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Settings" sheetId="6" state="visible" r:id="rId8"/>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<sst xmlns="http://schemas.openxmlformats.org/spreadsheetml/2006/main" count="2470" uniqueCount="616">
  <si>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</si>
  <si>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</si>
  <si>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</si>
  <si>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</si>
  <si>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</si>
  <si>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</si>
  <si>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</si>
  <si>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</si>
  <si>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</si>
  <si>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</si>
  <si>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</si>
  <si>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</si>
  <si>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</si>
  <si>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</si>
  <si>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</si>
  <si>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</si>
  <si>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</si>
  <si>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</si>
  <si>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</si>
  <si>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</si>
  <si>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</si>
  <si>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</si>
  <si>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</si>
  <si>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</si>
  <si>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</si>
  <si>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</si>
  <si>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</si>
  <si>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</si>
  <si>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</si>
  <si>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</si>
  <si>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</si>
  <si>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</si>
  <si>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</si>
  <si>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</si>
  <si>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</si>
  <si>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</si>
  <si>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</si>
  <si>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</si>
  <si>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</si>
  <si>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</si>
  <si>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</si>
  <si>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</si>
  <si>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</si>
  <si>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</si>
  <si>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</si>
  <si>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</si>
  <si>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</si>
  <si>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</si>
  <si>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</si>
  <si>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</si>
  <si>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</si>
  <si>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</si>
  <si>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</si>
  <si>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</si>
  <si>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</si>
  <si>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</si>
  <si>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</si>
  <si>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</si>
  <si>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</si>
  <si>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</si>
  <si>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</si>
  <si>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</si>
  <si>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</si>
  <si>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</si>
  <si>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</si>
  <si>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</si>
  <si>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</si>
  <si>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</si>
  <si>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</si>
  <si>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</si>
  <si>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</si>
  <si>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</si>
  <si>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</si>
  <si>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</si>
  <si>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</si>
  <si>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</si>
  <si>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</si>
  <si>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</si>
  <si>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</si>
  <si>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</si>
  <si>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</si>
  <si>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</si>
  <si>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</si>
  <si>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</si>
  <si>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</si>
  <si>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</si>
  <si>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</si>
  <si>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</si>
  <si>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</si>
  <si>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</si>
  <si>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</si>
  <si>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</si>
  <si>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</si>
  <si>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</si>
  <si>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</si>
  <si>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</si>
  <si>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</si>
  <si>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</si>
  <si>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</si>
  <si>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</si>
  <si>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</si>
  <si>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</si>
  <si>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</si>
  <si>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</si>
  <si>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</si>
  <si>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</si>
  <si>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</si>
  <si>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</si>
  <si>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</si>
  <si>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</si>
  <si>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</si>
  <si>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</si>
  <si>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</si>
  <si>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</si>
  <si>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</si>
  <si>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</si>
  <si>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</si>
  <si>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</si>
  <si>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</si>
  <si>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</si>
  <si>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</si>
  <si>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</si>
  <si>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</si>
  <si>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</si>
  <si>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</si>
  <si>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</si>
  <si>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</si>
  <si>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</si>
  <si>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</si>
  <si>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</si>
  <si>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</si>
  <si>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</si>
  <si>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</si>
  <si>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</si>
  <si>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</si>
  <si>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</si>
  <si>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</si>
  <si>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</si>
  <si>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</si>
  <si>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</si>
  <si>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</si>
  <si>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</si>
  <si>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</si>
  <si>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</si>
  <si>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</si>
  <si>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</si>
  <si>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</si>
  <si>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</si>
  <si>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</si>
  <si>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</si>
  <si>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</si>
  <si>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</si>
  <si>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</si>
  <si>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</si>
  <si>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Cai</t>
  </si>
  <si>
    <t xml:space="preserve">Neilson</t>
  </si>
  <si>
    <t xml:space="preserve">Carlo</t>
  </si>
  <si>
    <t xml:space="preserve">Daru</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</si>
  <si>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</si>
  <si>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</si>
  <si>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</si>
  <si>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</si>
  <si>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</si>
  <si>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</si>
  <si>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</si>
  <si>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</si>
  <si>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</si>
  <si>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</si>
  <si>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</si>
  <si>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</si>
  <si>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Danielle</t>
  </si>
  <si>
    <t xml:space="preserve">HURLEY</t>
  </si>
  <si>
    <t xml:space="preserve">David</t>
  </si>
  <si>
    <t xml:space="preserve">Milios</t>
  </si>
  <si>
    <t xml:space="preserve">Dimitri</t>
  </si>
  <si>
    <t xml:space="preserve">Gerakios</t>
  </si>
  <si>
    <t xml:space="preserve">Duncan</t>
  </si>
  <si>
    <t xml:space="preserve">LUGSTEIN</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</si>
  <si>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</si>
  <si>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</si>
  <si>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</si>
  <si>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</si>
  <si>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</si>
  <si>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</si>
  <si>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</si>
  <si>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</si>
  <si>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</si>
  <si>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</si>
  <si>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</si>
  <si>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</si>
  <si>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</si>
  <si>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</si>
  <si>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</si>
  <si>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</si>
  <si>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</si>
  <si>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</si>
  <si>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</si>
  <si>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</si>
  <si>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</si>
  <si>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</si>
  <si>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</si>
  <si>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</si>
  <si>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</si>
  <si>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</si>
  <si>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</si>
  <si>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</si>
  <si>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</si>
  <si>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</si>
  <si>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</si>
  <si>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</si>
  <si>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</si>
  <si>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</si>
  <si>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</si>
  <si>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</si>
  <si>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</si>
  <si>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</si>
  <si>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</si>
  <si>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</si>
  <si>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</si>
  <si>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</si>
  <si>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</si>
  <si>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</si>
  <si>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</si>
  <si>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</si>
  <si>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</si>
  <si>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</si>
  <si>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</si>
  <si>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</si>
  <si>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</si>
  <si>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</si>
  <si>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</si>
  <si>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</si>
  <si>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</si>
  <si>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</si>
  <si>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</si>
  <si>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</si>
  <si>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</si>
  <si>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</si>
  <si>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</si>
  <si>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</si>
  <si>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</si>
  <si>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</si>
  <si>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</si>
  <si>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</si>
  <si>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</si>
  <si>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</si>
  <si>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</si>
  <si>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</si>
  <si>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</si>
  <si>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</si>
  <si>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</si>
  <si>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</si>
  <si>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</si>
  <si>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</si>
  <si>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</si>
  <si>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</si>
  <si>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</si>
  <si>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</si>
  <si>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</si>
  <si>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</si>
  <si>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</si>
  <si>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</si>
  <si>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</si>
  <si>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</si>
  <si>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</si>
  <si>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</si>
  <si>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</si>
  <si>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</si>
  <si>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Tyrell</t>
  </si>
  <si>
    <t xml:space="preserve">SHORTT</t>
  </si>
  <si>
    <t xml:space="preserve">Wade</t>
  </si>
  <si>
    <t xml:space="preserve">TONNA</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</si>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</sst>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4">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0"/>
      <charset val="1"/>
    </font>
    <font>
      <i val="true"/>
      <sz val="9"/>
      <color rgb="FF555555"/>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5" fontId="13" fillId="7" borderId="1" xfId="0" applyFont="true" applyBorder="true" applyAlignment="false" applyProtection="false">
      <alignment horizontal="general" vertical="bottom" textRotation="0" wrapText="false" indent="0" shrinkToFit="false"/>
      <protection locked="true" hidden="false"/>
    </xf>
    <xf numFmtId="166" fontId="13" fillId="7" borderId="1" xfId="0" applyFont="true" applyBorder="true" applyAlignment="false" applyProtection="false">
      <alignment horizontal="general" vertical="bottom" textRotation="0" wrapText="false" indent="0" shrinkToFit="false"/>
      <protection locked="true" hidden="false"/>
    </xf>
    <xf numFmtId="164" fontId="13" fillId="7" borderId="1" xfId="0" applyFont="true" applyBorder="true" applyAlignment="false" applyProtection="false">
      <alignment horizontal="general" vertical="bottom" textRotation="0" wrapText="false" indent="0" shrinkToFit="false"/>
      <protection locked="true" hidden="false"/>
    </xf>
    <xf numFmtId="167" fontId="13" fillId="7" borderId="1" xfId="0" applyFont="true" applyBorder="true" applyAlignment="false" applyProtection="false">
      <alignment horizontal="general" vertical="bottom"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4" fontId="9" fillId="7"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2" fillId="8"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false" applyProtection="false">
      <alignment horizontal="general" vertical="bottom" textRotation="0" wrapText="false" indent="0" shrinkToFit="false"/>
      <protection locked="true" hidden="false"/>
    </xf>
    <xf numFmtId="168" fontId="10" fillId="7" borderId="1"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J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true" outlineLevel="1" max="61" min="33" style="0" width="6"/>
    <col collapsed="false" customWidth="true" hidden="true" outlineLevel="0" max="62" min="62" style="0" width="13"/>
  </cols>
  <sheetData>
    <row r="1" customFormat="false" ht="17.35" hidden="false" customHeight="false" outlineLevel="0" collapsed="false">
      <c r="A1" s="6" t="s">
        <v>46</v>
      </c>
      <c r="D1" s="7" t="s">
        <v>47</v>
      </c>
    </row>
    <row r="2" customFormat="false" ht="15" hidden="false" customHeight="false" outlineLevel="0" collapsed="false">
      <c r="A2" s="8"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06/10/2026  |  Report from 01/07/2019  |  Staff: 70  |  Accruing: 13  |  To accrue now: 1032 hrs for 14 people  |  Earned this month: 1 days</v>
      </c>
    </row>
    <row r="3" customFormat="false" ht="36" hidden="false" customHeight="true" outlineLevel="0" collapsed="false">
      <c r="A3" s="9" t="s">
        <v>48</v>
      </c>
      <c r="B3" s="9" t="s">
        <v>48</v>
      </c>
      <c r="C3" s="9" t="s">
        <v>49</v>
      </c>
      <c r="D3" s="9" t="s">
        <v>48</v>
      </c>
      <c r="E3" s="9" t="s">
        <v>50</v>
      </c>
      <c r="F3" s="9" t="s">
        <v>48</v>
      </c>
      <c r="G3" s="9" t="s">
        <v>51</v>
      </c>
      <c r="H3" s="9" t="s">
        <v>52</v>
      </c>
      <c r="I3" s="9" t="s">
        <v>53</v>
      </c>
      <c r="J3" s="9" t="s">
        <v>54</v>
      </c>
      <c r="K3" s="9" t="s">
        <v>55</v>
      </c>
      <c r="L3" s="9" t="s">
        <v>56</v>
      </c>
      <c r="M3" s="9" t="s">
        <v>57</v>
      </c>
      <c r="N3" s="9" t="s">
        <v>58</v>
      </c>
      <c r="O3" s="9" t="s">
        <v>59</v>
      </c>
      <c r="P3" s="9" t="s">
        <v>60</v>
      </c>
      <c r="Q3" s="9" t="s">
        <v>61</v>
      </c>
      <c r="R3" s="9"/>
      <c r="S3" s="9" t="s">
        <v>62</v>
      </c>
      <c r="T3" s="9" t="s">
        <v>63</v>
      </c>
      <c r="U3" s="9" t="s">
        <v>64</v>
      </c>
      <c r="V3" s="9" t="s">
        <v>65</v>
      </c>
      <c r="W3" s="9" t="s">
        <v>66</v>
      </c>
      <c r="X3" s="9" t="s">
        <v>67</v>
      </c>
      <c r="Y3" s="9" t="s">
        <v>68</v>
      </c>
      <c r="Z3" s="9" t="s">
        <v>69</v>
      </c>
      <c r="AA3" s="9"/>
      <c r="AB3" s="9" t="s">
        <v>70</v>
      </c>
      <c r="AC3" s="9" t="s">
        <v>71</v>
      </c>
      <c r="AD3" s="9"/>
      <c r="AE3" s="9" t="s">
        <v>72</v>
      </c>
      <c r="AF3" s="9" t="s">
        <v>73</v>
      </c>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row>
    <row r="4" customFormat="false" ht="42" hidden="false" customHeight="true" outlineLevel="0" collapsed="false">
      <c r="A4" s="10" t="s">
        <v>74</v>
      </c>
      <c r="B4" s="10" t="s">
        <v>75</v>
      </c>
      <c r="C4" s="10" t="s">
        <v>76</v>
      </c>
      <c r="D4" s="10" t="s">
        <v>77</v>
      </c>
      <c r="E4" s="11" t="s">
        <v>78</v>
      </c>
      <c r="F4" s="10" t="s">
        <v>79</v>
      </c>
      <c r="G4" s="10" t="s">
        <v>80</v>
      </c>
      <c r="H4" s="10" t="s">
        <v>81</v>
      </c>
      <c r="I4" s="10" t="s">
        <v>82</v>
      </c>
      <c r="J4" s="10" t="s">
        <v>83</v>
      </c>
      <c r="K4" s="11" t="s">
        <v>84</v>
      </c>
      <c r="L4" s="11" t="s">
        <v>85</v>
      </c>
      <c r="M4" s="11" t="s">
        <v>86</v>
      </c>
      <c r="N4" s="11" t="s">
        <v>87</v>
      </c>
      <c r="O4" s="11" t="s">
        <v>88</v>
      </c>
      <c r="P4" s="10" t="s">
        <v>89</v>
      </c>
      <c r="Q4" s="11" t="s">
        <v>90</v>
      </c>
      <c r="R4" s="11" t="s">
        <v>91</v>
      </c>
      <c r="S4" s="11" t="s">
        <v>92</v>
      </c>
      <c r="T4" s="12" t="s">
        <v>93</v>
      </c>
      <c r="U4" s="12" t="s">
        <v>94</v>
      </c>
      <c r="V4" s="12" t="s">
        <v>95</v>
      </c>
      <c r="W4" s="12" t="s">
        <v>96</v>
      </c>
      <c r="X4" s="12" t="s">
        <v>97</v>
      </c>
      <c r="Y4" s="12" t="s">
        <v>98</v>
      </c>
      <c r="Z4" s="12" t="s">
        <v>99</v>
      </c>
      <c r="AA4" s="12" t="s">
        <v>100</v>
      </c>
      <c r="AB4" s="12" t="s">
        <v>101</v>
      </c>
      <c r="AC4" s="12" t="s">
        <v>102</v>
      </c>
      <c r="AD4" s="11" t="s">
        <v>103</v>
      </c>
      <c r="AE4" s="12" t="s">
        <v>104</v>
      </c>
      <c r="AF4" s="12" t="s">
        <v>105</v>
      </c>
      <c r="AG4" s="13" t="s">
        <v>106</v>
      </c>
      <c r="AH4" s="13" t="s">
        <v>107</v>
      </c>
      <c r="AI4" s="13" t="s">
        <v>108</v>
      </c>
      <c r="AJ4" s="13" t="s">
        <v>109</v>
      </c>
      <c r="AK4" s="13" t="s">
        <v>110</v>
      </c>
      <c r="AL4" s="13" t="s">
        <v>111</v>
      </c>
      <c r="AM4" s="13" t="s">
        <v>112</v>
      </c>
      <c r="AN4" s="13" t="s">
        <v>113</v>
      </c>
      <c r="AO4" s="13" t="s">
        <v>114</v>
      </c>
      <c r="AP4" s="13" t="s">
        <v>115</v>
      </c>
      <c r="AQ4" s="13" t="s">
        <v>116</v>
      </c>
      <c r="AR4" s="13" t="s">
        <v>117</v>
      </c>
      <c r="AS4" s="13" t="s">
        <v>118</v>
      </c>
      <c r="AT4" s="13" t="s">
        <v>119</v>
      </c>
      <c r="AU4" s="13" t="s">
        <v>120</v>
      </c>
      <c r="AV4" s="13" t="s">
        <v>121</v>
      </c>
      <c r="AW4" s="13" t="s">
        <v>122</v>
      </c>
      <c r="AX4" s="13" t="s">
        <v>123</v>
      </c>
      <c r="AY4" s="13" t="s">
        <v>124</v>
      </c>
      <c r="AZ4" s="13" t="s">
        <v>125</v>
      </c>
      <c r="BA4" s="13" t="s">
        <v>126</v>
      </c>
      <c r="BB4" s="13" t="s">
        <v>127</v>
      </c>
      <c r="BC4" s="13" t="s">
        <v>128</v>
      </c>
      <c r="BD4" s="13" t="s">
        <v>129</v>
      </c>
      <c r="BE4" s="13" t="s">
        <v>130</v>
      </c>
      <c r="BF4" s="13" t="s">
        <v>131</v>
      </c>
      <c r="BG4" s="13" t="s">
        <v>132</v>
      </c>
      <c r="BH4" s="13" t="s">
        <v>133</v>
      </c>
      <c r="BI4" s="13" t="s">
        <v>134</v>
      </c>
      <c r="BJ4" s="14" t="s">
        <v>135</v>
      </c>
    </row>
    <row r="5" customFormat="false" ht="15" hidden="false" customHeight="false" outlineLevel="0" collapsed="false">
      <c r="A5" s="15" t="s">
        <v>136</v>
      </c>
      <c r="B5" s="15" t="s">
        <v>137</v>
      </c>
      <c r="C5" s="15" t="s">
        <v>138</v>
      </c>
      <c r="D5" s="16" t="n">
        <v>29546</v>
      </c>
      <c r="E5" s="17" t="n">
        <f aca="false">IF(OR(AG5=0,$D5=""),"",DATE(YEAR(AsOfDate)+IF(DATE(YEAR(AsOfDate),MONTH($D5),DAY($D5))&lt;=AsOfDate,1,0),MONTH($D5),DAY($D5)))</f>
        <v>46347</v>
      </c>
      <c r="F5" s="16" t="n">
        <v>44453</v>
      </c>
      <c r="G5" s="16"/>
      <c r="H5" s="16"/>
      <c r="I5" s="16"/>
      <c r="J5" s="16"/>
      <c r="K5" s="17" t="n">
        <f aca="false">IF(AG5=0,"",DATE(YEAR(AsOfDate)+IF(DATE(YEAR(AsOfDate),MONTH(AH5),DAY(AH5))&lt;=AsOfDate,1,0),MONTH(AH5),DAY(AH5)))</f>
        <v>46644</v>
      </c>
      <c r="L5" s="18" t="n">
        <f aca="false">IF(AG5=0,"",ROUND((AsOfDate-AH5)/365.25,1))</f>
        <v>5.1</v>
      </c>
      <c r="M5" s="19" t="str">
        <f aca="false">IF(AG5=0,"",IF(AsOfDate&lt;AH5,"-",DATEDIF(AH5,AsOfDate,"y")&amp;"y "&amp;DATEDIF(AH5,AsOfDate,"ym")&amp;"m "&amp;DATEDIF(AH5,AsOfDate,"md")&amp;"d"))</f>
        <v>5y 0m 22d</v>
      </c>
      <c r="N5" s="20" t="n">
        <f aca="false">IF(AG5=0,"",O5*HoursPerDay)</f>
        <v>0</v>
      </c>
      <c r="O5" s="20" t="n">
        <f aca="false">IF(AG5=0,"",AZ5)</f>
        <v>0</v>
      </c>
      <c r="P5" s="21"/>
      <c r="Q5" s="19"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19"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17" t="str">
        <f aca="false">IF(AG5=0,"",IF(AS5="None","",EDATE(AH5,BB5)))</f>
        <v/>
      </c>
      <c r="T5" s="20" t="n">
        <f aca="false">IF(AG5=0,"",IF(NOT(LH_Ready),"",IF(AH5&gt;PFYDate,0,IF(LH_ColPeriod=0,W5-U5+V5,SUMIFS(INDEX(LH_Data,0,LH_ColAcc),INDEX(LH_Data,0,LH_ColFirst),$A5,INDEX(LH_Data,0,LH_ColSur),$B5,INDEX(LH_Data,0,LH_ColCat),BonusCat,INDEX(LH_Data,0,LH_ColPeriod),LH_OpenLabel)*UnitFactor))))</f>
        <v>0</v>
      </c>
      <c r="U5" s="20" t="n">
        <f aca="false">IF(AG5=0,"",IF(NOT(LH_Ready),"",SUMIFS(INDEX(LH_Data,0,LH_ColAcc),INDEX(LH_Data,0,LH_ColFirst),$A5,INDEX(LH_Data,0,LH_ColSur),$B5,INDEX(LH_Data,0,LH_ColCat),BonusCat,INDEX(LH_Data,0,LH_ColStart),"&gt;="&amp;AH5)*UnitFactor))</f>
        <v>0</v>
      </c>
      <c r="V5" s="20" t="n">
        <f aca="false">IF(AG5=0,"",IF(NOT(LH_Ready),"",SUMIFS(INDEX(LH_Data,0,LH_ColTaken),INDEX(LH_Data,0,LH_ColFirst),$A5,INDEX(LH_Data,0,LH_ColSur),$B5,INDEX(LH_Data,0,LH_ColCat),BonusCat,INDEX(LH_Data,0,LH_ColStart),"&gt;="&amp;AH5)*UnitFactor))</f>
        <v>0</v>
      </c>
      <c r="W5" s="20" t="n">
        <f aca="false">IF(AG5=0,"",IF(NOT(LH_Ready),"",IF(BD5=0,0,INDEX(INDEX(LH_Data,0,LH_ColClose),BD5-1)*UnitFactor)))</f>
        <v>0</v>
      </c>
      <c r="X5" s="20" t="n">
        <f aca="false">IF(AG5=0,"",(AZ5-BA5)*HoursPerDay)</f>
        <v>0</v>
      </c>
      <c r="Y5" s="20" t="n">
        <f aca="false">IF(AG5=0,"",IF(NOT(LH_Ready),"",IF(BC5=0,N5,IF(PFYDate&lt;$F5,N5-N(T5)-N(U5),X5-N(U5)))))</f>
        <v>0</v>
      </c>
      <c r="Z5" s="19" t="str">
        <f aca="false">IF(OR(AG5=0,Y5=""),"",IF(Y5&gt;0,"Yes","No"))</f>
        <v>No</v>
      </c>
      <c r="AA5" s="19"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Not eligible - Casual</v>
      </c>
      <c r="AB5" s="20" t="n">
        <f aca="false">IF(OR(AG5=0,T5=""),"",BA5*HoursPerDay-T5)</f>
        <v>0</v>
      </c>
      <c r="AC5" s="19" t="n">
        <f aca="false">IF(AG5=0,"",BC5)</f>
        <v>0</v>
      </c>
      <c r="AD5" s="19"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20" t="n">
        <f aca="false">IF(AG5=0,"",O5-BH5)</f>
        <v>0</v>
      </c>
      <c r="AF5" s="17" t="str">
        <f aca="false">IF(OR(AG5=0,AE5="",N(AE5)=0,BI5=""),"",EDATE(AH5,BI5))</f>
        <v/>
      </c>
      <c r="AG5" s="19" t="n">
        <f aca="false">IF(OR(LEN($A5&amp;$B5)=0,$F5=""),0,1)</f>
        <v>1</v>
      </c>
      <c r="AH5" s="17" t="n">
        <f aca="false">IF(AG5=0,"",IF($J5&lt;&gt;"",$J5,IF(OR(CasualCounts="Yes",COUNT($G5:$I5)=0,COUNT($H5:$I5)=0),$F5,MIN($H5:$I5))))</f>
        <v>44453</v>
      </c>
      <c r="AI5" s="19" t="n">
        <f aca="false">IF(AG5=0,"",COUNT($G5:$I5))</f>
        <v>0</v>
      </c>
      <c r="AJ5" s="17" t="str">
        <f aca="false">IF(AG5=0,"",IFERROR(SMALL($G5:$I5,1),""))</f>
        <v/>
      </c>
      <c r="AK5" s="17" t="str">
        <f aca="false">IF(AG5=0,"",IFERROR(SMALL($G5:$I5,2),""))</f>
        <v/>
      </c>
      <c r="AL5" s="17" t="str">
        <f aca="false">IF(AG5=0,"",IFERROR(SMALL($G5:$I5,3),""))</f>
        <v/>
      </c>
      <c r="AM5" s="19" t="str">
        <f aca="false">IF(AG5=0,"",IF(AJ5="","",IF(AJ5=$H5,"Part-Time",IF(AJ5=$I5,"Full-Time","Casual"))))</f>
        <v/>
      </c>
      <c r="AN5" s="19" t="str">
        <f aca="false">IF(AG5=0,"",IF(AK5="","",IF(AK5=$H5,"Part-Time",IF(AK5=$I5,"Full-Time","Casual"))))</f>
        <v/>
      </c>
      <c r="AO5" s="19" t="str">
        <f aca="false">IF(AG5=0,"",IF(AL5="","",IF(AL5=$H5,"Part-Time",IF(AL5=$I5,"Full-Time","Casual"))))</f>
        <v/>
      </c>
      <c r="AP5" s="19"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None</v>
      </c>
      <c r="AQ5" s="19" t="str">
        <f aca="false">IF(AG5=0,"",IF(AI5&lt;2,"",IF(OR(ISNUMBER(SEARCH("full",AN5)),UPPER(TRIM(AN5))="FT",UPPER(TRIM(AN5))="FTE"),"FT",IF(AND(OR(ISNUMBER(SEARCH("part",AN5)),UPPER(TRIM(AN5))="PT",UPPER(TRIM(AN5))="PTE"),OR($P5="",N($P5)&gt;=PT_MinHours)),"PT","None"))))</f>
        <v/>
      </c>
      <c r="AR5" s="19" t="str">
        <f aca="false">IF(AG5=0,"",IF(AI5&lt;3,"",IF(OR(ISNUMBER(SEARCH("full",AO5)),UPPER(TRIM(AO5))="FT",UPPER(TRIM(AO5))="FTE"),"FT",IF(AND(OR(ISNUMBER(SEARCH("part",AO5)),UPPER(TRIM(AO5))="PT",UPPER(TRIM(AO5))="PTE"),OR($P5="",N($P5)&gt;=PT_MinHours)),"PT","None"))))</f>
        <v/>
      </c>
      <c r="AS5" s="19" t="str">
        <f aca="false">IF(AG5=0,"",IF(AND(AI5&gt;=3,AL5&lt;=AsOfDate),AR5,IF(AND(AI5&gt;=2,AK5&lt;=AsOfDate),AQ5,AP5)))</f>
        <v>None</v>
      </c>
      <c r="AT5" s="19" t="n">
        <f aca="false">IF(AG5=0,"",IF(AsOfDate&lt;AH5,-1,12*(YEAR(AsOfDate)-YEAR(AH5))+MONTH(AsOfDate)-MONTH(AH5)-IF(DAY(AsOfDate)&lt;MIN(DAY(AH5),DAY(EOMONTH(AsOfDate,0))),1,0)))</f>
        <v>60</v>
      </c>
      <c r="AU5" s="19" t="n">
        <f aca="false">IF(AG5=0,"",IF(OR(AI5&lt;2,AK5&gt;AsOfDate),AT5,IF((AK5-1)&lt;AH5,-1,12*(YEAR((AK5-1))-YEAR(AH5))+MONTH((AK5-1))-MONTH(AH5)-IF(DAY((AK5-1))&lt;MIN(DAY(AH5),DAY(EOMONTH((AK5-1),0))),1,0))))</f>
        <v>60</v>
      </c>
      <c r="AV5" s="19" t="n">
        <f aca="false">IF(AG5=0,"",IF(OR(AI5&lt;3,AL5&gt;AsOfDate),AT5,IF((AL5-1)&lt;AH5,-1,12*(YEAR((AL5-1))-YEAR(AH5))+MONTH((AL5-1))-MONTH(AH5)-IF(DAY((AL5-1))&lt;MIN(DAY(AH5),DAY(EOMONTH((AL5-1),0))),1,0))))</f>
        <v>60</v>
      </c>
      <c r="AW5" s="19" t="n">
        <f aca="false">IF(AG5=0,"",IF(PFYDate&lt;AH5,-1,12*(YEAR(PFYDate)-YEAR(AH5))+MONTH(PFYDate)-MONTH(AH5)-IF(DAY(PFYDate)&lt;MIN(DAY(AH5),DAY(EOMONTH(PFYDate,0))),1,0)))</f>
        <v>-1</v>
      </c>
      <c r="AX5" s="19" t="n">
        <f aca="false">IF(AG5=0,"",IF(OR(AI5&lt;2,AK5&gt;PFYDate),AW5,IF((AK5-1)&lt;AH5,-1,12*(YEAR((AK5-1))-YEAR(AH5))+MONTH((AK5-1))-MONTH(AH5)-IF(DAY((AK5-1))&lt;MIN(DAY(AH5),DAY(EOMONTH((AK5-1),0))),1,0))))</f>
        <v>-1</v>
      </c>
      <c r="AY5" s="19" t="n">
        <f aca="false">IF(AG5=0,"",IF(OR(AI5&lt;3,AL5&gt;PFYDate),AW5,IF((AL5-1)&lt;AH5,-1,12*(YEAR((AL5-1))-YEAR(AH5))+MONTH((AL5-1))-MONTH(AH5)-IF(DAY((AL5-1))&lt;MIN(DAY(AH5),DAY(EOMONTH((AL5-1),0))),1,0))))</f>
        <v>-1</v>
      </c>
      <c r="AZ5" s="19" t="n">
        <f aca="false">IF(AG5=0,"",IF(AP5="FT",IF(AU5&lt;FT_First,0,IF(AU5&lt;FT_Y5,1+INT((AU5-FT_First)/FT_Int1),FT_PreY5+FT_PerYear*INT((AU5-FT_Y5)/12)+FT_AnnivDays+INT(MOD(AU5-FT_Y5,12)/FT_Int2))),IF(AP5="PT",IF(AU5&lt;PT_First,0,1+INT((AU5-PT_First)/PT_Int)),0))+IF(AND(AI5&gt;=2,AK5&lt;=AsOfDate),IF(AQ5="FT",IF(AV5&lt;FT_First,0,IF(AV5&lt;FT_Y5,1+INT((AV5-FT_First)/FT_Int1),FT_PreY5+FT_PerYear*INT((AV5-FT_Y5)/12)+FT_AnnivDays+INT(MOD(AV5-FT_Y5,12)/FT_Int2))),IF(AQ5="PT",IF(AV5&lt;PT_First,0,1+INT((AV5-PT_First)/PT_Int)),0))-IF(AQ5="FT",IF(AU5&lt;FT_First,0,IF(AU5&lt;FT_Y5,1+INT((AU5-FT_First)/FT_Int1),FT_PreY5+FT_PerYear*INT((AU5-FT_Y5)/12)+FT_AnnivDays+INT(MOD(AU5-FT_Y5,12)/FT_Int2))),IF(AQ5="PT",IF(AU5&lt;PT_First,0,1+INT((AU5-PT_First)/PT_Int)),0)),0)+IF(AND(AI5&gt;=3,AL5&lt;=AsOfDate),IF(AR5="FT",IF(AT5&lt;FT_First,0,IF(AT5&lt;FT_Y5,1+INT((AT5-FT_First)/FT_Int1),FT_PreY5+FT_PerYear*INT((AT5-FT_Y5)/12)+FT_AnnivDays+INT(MOD(AT5-FT_Y5,12)/FT_Int2))),IF(AR5="PT",IF(AT5&lt;PT_First,0,1+INT((AT5-PT_First)/PT_Int)),0))-IF(AR5="FT",IF(AV5&lt;FT_First,0,IF(AV5&lt;FT_Y5,1+INT((AV5-FT_First)/FT_Int1),FT_PreY5+FT_PerYear*INT((AV5-FT_Y5)/12)+FT_AnnivDays+INT(MOD(AV5-FT_Y5,12)/FT_Int2))),IF(AR5="PT",IF(AV5&lt;PT_First,0,1+INT((AV5-PT_First)/PT_Int)),0)),0))</f>
        <v>0</v>
      </c>
      <c r="BA5" s="19" t="n">
        <f aca="false">IF(AG5=0,"",IF(AP5="FT",IF(AX5&lt;FT_First,0,IF(AX5&lt;FT_Y5,1+INT((AX5-FT_First)/FT_Int1),FT_PreY5+FT_PerYear*INT((AX5-FT_Y5)/12)+FT_AnnivDays+INT(MOD(AX5-FT_Y5,12)/FT_Int2))),IF(AP5="PT",IF(AX5&lt;PT_First,0,1+INT((AX5-PT_First)/PT_Int)),0))+IF(AND(AI5&gt;=2,AK5&lt;=PFYDate),IF(AQ5="FT",IF(AY5&lt;FT_First,0,IF(AY5&lt;FT_Y5,1+INT((AY5-FT_First)/FT_Int1),FT_PreY5+FT_PerYear*INT((AY5-FT_Y5)/12)+FT_AnnivDays+INT(MOD(AY5-FT_Y5,12)/FT_Int2))),IF(AQ5="PT",IF(AY5&lt;PT_First,0,1+INT((AY5-PT_First)/PT_Int)),0))-IF(AQ5="FT",IF(AX5&lt;FT_First,0,IF(AX5&lt;FT_Y5,1+INT((AX5-FT_First)/FT_Int1),FT_PreY5+FT_PerYear*INT((AX5-FT_Y5)/12)+FT_AnnivDays+INT(MOD(AX5-FT_Y5,12)/FT_Int2))),IF(AQ5="PT",IF(AX5&lt;PT_First,0,1+INT((AX5-PT_First)/PT_Int)),0)),0)+IF(AND(AI5&gt;=3,AL5&lt;=PFYDate),IF(AR5="FT",IF(AW5&lt;FT_First,0,IF(AW5&lt;FT_Y5,1+INT((AW5-FT_First)/FT_Int1),FT_PreY5+FT_PerYear*INT((AW5-FT_Y5)/12)+FT_AnnivDays+INT(MOD(AW5-FT_Y5,12)/FT_Int2))),IF(AR5="PT",IF(AW5&lt;PT_First,0,1+INT((AW5-PT_First)/PT_Int)),0))-IF(AR5="FT",IF(AY5&lt;FT_First,0,IF(AY5&lt;FT_Y5,1+INT((AY5-FT_First)/FT_Int1),FT_PreY5+FT_PerYear*INT((AY5-FT_Y5)/12)+FT_AnnivDays+INT(MOD(AY5-FT_Y5,12)/FT_Int2))),IF(AR5="PT",IF(AY5&lt;PT_First,0,1+INT((AY5-PT_First)/PT_Int)),0)),0))</f>
        <v>0</v>
      </c>
      <c r="BB5" s="19" t="str">
        <f aca="false">IF(AG5=0,"",IF(AS5="FT",IF(AT5&lt;FT_First,FT_First,IF(AT5&lt;FT_Y5,MIN(FT_Y5,FT_First+FT_Int1*(INT((AT5-FT_First)/FT_Int1)+1)),FT_Y5+12*INT((AT5-FT_Y5)/12)+FT_Int2*(INT(MOD(AT5-FT_Y5,12)/FT_Int2)+1))),IF(AS5="PT",IF(AT5&lt;PT_First,PT_First,PT_First+PT_Int*(INT((AT5-PT_First)/PT_Int)+1)),"")))</f>
        <v/>
      </c>
      <c r="BC5" s="19" t="n">
        <f aca="false">IF(AG5=0,"",IF(NOT(LH_Ready),0,COUNTIFS(INDEX(LH_Data,0,LH_ColFirst),$A5,INDEX(LH_Data,0,LH_ColSur),$B5,INDEX(LH_Data,0,LH_ColCat),BonusCat)))</f>
        <v>0</v>
      </c>
      <c r="BD5" s="19" t="n">
        <f aca="false">IF(AG5=0,"",IF(OR(NOT(LH_Ready),BC5=0),0,SUMPRODUCT(MAX((INDEX(LH_Data,0,LH_ColFirst)=$A5)*(INDEX(LH_Data,0,LH_ColSur)=$B5)*(INDEX(LH_Data,0,LH_ColCat)=BonusCat)*ROW(LH_Data)))))</f>
        <v>0</v>
      </c>
      <c r="BE5" s="19" t="n">
        <f aca="false">IF(AG5=0,"",IF(EOMONTH(AsOfDate,-1)&lt;AH5,-1,12*(YEAR(EOMONTH(AsOfDate,-1))-YEAR(AH5))+MONTH(EOMONTH(AsOfDate,-1))-MONTH(AH5)-IF(DAY(EOMONTH(AsOfDate,-1))&lt;MIN(DAY(AH5),DAY(EOMONTH(EOMONTH(AsOfDate,-1),0))),1,0)))</f>
        <v>60</v>
      </c>
      <c r="BF5" s="19" t="n">
        <f aca="false">IF(AG5=0,"",IF(OR(AI5&lt;2,AK5&gt;EOMONTH(AsOfDate,-1)),BE5,IF((AK5-1)&lt;AH5,-1,12*(YEAR((AK5-1))-YEAR(AH5))+MONTH((AK5-1))-MONTH(AH5)-IF(DAY((AK5-1))&lt;MIN(DAY(AH5),DAY(EOMONTH((AK5-1),0))),1,0))))</f>
        <v>60</v>
      </c>
      <c r="BG5" s="19" t="n">
        <f aca="false">IF(AG5=0,"",IF(OR(AI5&lt;3,AL5&gt;EOMONTH(AsOfDate,-1)),BE5,IF((AL5-1)&lt;AH5,-1,12*(YEAR((AL5-1))-YEAR(AH5))+MONTH((AL5-1))-MONTH(AH5)-IF(DAY((AL5-1))&lt;MIN(DAY(AH5),DAY(EOMONTH((AL5-1),0))),1,0))))</f>
        <v>60</v>
      </c>
      <c r="BH5" s="19" t="n">
        <f aca="false">IF(AG5=0,"",IF(AP5="FT",IF(BF5&lt;FT_First,0,IF(BF5&lt;FT_Y5,1+INT((BF5-FT_First)/FT_Int1),FT_PreY5+FT_PerYear*INT((BF5-FT_Y5)/12)+FT_AnnivDays+INT(MOD(BF5-FT_Y5,12)/FT_Int2))),IF(AP5="PT",IF(BF5&lt;PT_First,0,1+INT((BF5-PT_First)/PT_Int)),0))+IF(AND(AI5&gt;=2,AK5&lt;=EOMONTH(AsOfDate,-1)),IF(AQ5="FT",IF(BG5&lt;FT_First,0,IF(BG5&lt;FT_Y5,1+INT((BG5-FT_First)/FT_Int1),FT_PreY5+FT_PerYear*INT((BG5-FT_Y5)/12)+FT_AnnivDays+INT(MOD(BG5-FT_Y5,12)/FT_Int2))),IF(AQ5="PT",IF(BG5&lt;PT_First,0,1+INT((BG5-PT_First)/PT_Int)),0))-IF(AQ5="FT",IF(BF5&lt;FT_First,0,IF(BF5&lt;FT_Y5,1+INT((BF5-FT_First)/FT_Int1),FT_PreY5+FT_PerYear*INT((BF5-FT_Y5)/12)+FT_AnnivDays+INT(MOD(BF5-FT_Y5,12)/FT_Int2))),IF(AQ5="PT",IF(BF5&lt;PT_First,0,1+INT((BF5-PT_First)/PT_Int)),0)),0)+IF(AND(AI5&gt;=3,AL5&lt;=EOMONTH(AsOfDate,-1)),IF(AR5="FT",IF(BE5&lt;FT_First,0,IF(BE5&lt;FT_Y5,1+INT((BE5-FT_First)/FT_Int1),FT_PreY5+FT_PerYear*INT((BE5-FT_Y5)/12)+FT_AnnivDays+INT(MOD(BE5-FT_Y5,12)/FT_Int2))),IF(AR5="PT",IF(BE5&lt;PT_First,0,1+INT((BE5-PT_First)/PT_Int)),0))-IF(AR5="FT",IF(BG5&lt;FT_First,0,IF(BG5&lt;FT_Y5,1+INT((BG5-FT_First)/FT_Int1),FT_PreY5+FT_PerYear*INT((BG5-FT_Y5)/12)+FT_AnnivDays+INT(MOD(BG5-FT_Y5,12)/FT_Int2))),IF(AR5="PT",IF(BG5&lt;PT_First,0,1+INT((BG5-PT_First)/PT_Int)),0)),0))</f>
        <v>0</v>
      </c>
      <c r="BI5" s="19" t="str">
        <f aca="false">IF(AG5=0,"",IF(AS5="FT",IF(AT5&lt;FT_First,"",IF(AT5&lt;FT_Y5,FT_First+FT_Int1*INT((AT5-FT_First)/FT_Int1),FT_Y5+FT_Int2*INT((AT5-FT_Y5)/FT_Int2))),IF(AS5="PT",IF(AT5&lt;PT_First,"",PT_First+PT_Int*INT((AT5-PT_First)/PT_Int)),"")))</f>
        <v/>
      </c>
      <c r="BJ5" s="0" t="str">
        <f aca="false">IF(LEN($A5&amp;$B5)=0,"",$A5&amp;" "&amp;$B5)</f>
        <v>Abel SAVIGE</v>
      </c>
    </row>
    <row r="6" customFormat="false" ht="15" hidden="false" customHeight="false" outlineLevel="0" collapsed="false">
      <c r="A6" s="15" t="s">
        <v>139</v>
      </c>
      <c r="B6" s="15" t="s">
        <v>140</v>
      </c>
      <c r="C6" s="15" t="s">
        <v>138</v>
      </c>
      <c r="D6" s="16" t="n">
        <v>29000</v>
      </c>
      <c r="E6" s="17" t="n">
        <f aca="false">IF(OR(AG6=0,$D6=""),"",DATE(YEAR(AsOfDate)+IF(DATE(YEAR(AsOfDate),MONTH($D6),DAY($D6))&lt;=AsOfDate,1,0),MONTH($D6),DAY($D6)))</f>
        <v>46532</v>
      </c>
      <c r="F6" s="16" t="n">
        <v>43696</v>
      </c>
      <c r="G6" s="16"/>
      <c r="H6" s="16"/>
      <c r="I6" s="16"/>
      <c r="J6" s="16"/>
      <c r="K6" s="17" t="n">
        <f aca="false">IF(AG6=0,"",DATE(YEAR(AsOfDate)+IF(DATE(YEAR(AsOfDate),MONTH(AH6),DAY(AH6))&lt;=AsOfDate,1,0),MONTH(AH6),DAY(AH6)))</f>
        <v>46618</v>
      </c>
      <c r="L6" s="18" t="n">
        <f aca="false">IF(AG6=0,"",ROUND((AsOfDate-AH6)/365.25,1))</f>
        <v>7.1</v>
      </c>
      <c r="M6" s="19" t="str">
        <f aca="false">IF(AG6=0,"",IF(AsOfDate&lt;AH6,"-",DATEDIF(AH6,AsOfDate,"y")&amp;"y "&amp;DATEDIF(AH6,AsOfDate,"ym")&amp;"m "&amp;DATEDIF(AH6,AsOfDate,"md")&amp;"d"))</f>
        <v>7y 1m 17d</v>
      </c>
      <c r="N6" s="20" t="n">
        <f aca="false">IF(AG6=0,"",O6*HoursPerDay)</f>
        <v>0</v>
      </c>
      <c r="O6" s="20" t="n">
        <f aca="false">IF(AG6=0,"",AZ6)</f>
        <v>0</v>
      </c>
      <c r="P6" s="21"/>
      <c r="Q6" s="19"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19"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17" t="str">
        <f aca="false">IF(AG6=0,"",IF(AS6="None","",EDATE(AH6,BB6)))</f>
        <v/>
      </c>
      <c r="T6" s="20" t="n">
        <f aca="false">IF(AG6=0,"",IF(NOT(LH_Ready),"",IF(AH6&gt;PFYDate,0,IF(LH_ColPeriod=0,W6-U6+V6,SUMIFS(INDEX(LH_Data,0,LH_ColAcc),INDEX(LH_Data,0,LH_ColFirst),$A6,INDEX(LH_Data,0,LH_ColSur),$B6,INDEX(LH_Data,0,LH_ColCat),BonusCat,INDEX(LH_Data,0,LH_ColPeriod),LH_OpenLabel)*UnitFactor))))</f>
        <v>0</v>
      </c>
      <c r="U6" s="20" t="n">
        <f aca="false">IF(AG6=0,"",IF(NOT(LH_Ready),"",SUMIFS(INDEX(LH_Data,0,LH_ColAcc),INDEX(LH_Data,0,LH_ColFirst),$A6,INDEX(LH_Data,0,LH_ColSur),$B6,INDEX(LH_Data,0,LH_ColCat),BonusCat,INDEX(LH_Data,0,LH_ColStart),"&gt;="&amp;AH6)*UnitFactor))</f>
        <v>0</v>
      </c>
      <c r="V6" s="20" t="n">
        <f aca="false">IF(AG6=0,"",IF(NOT(LH_Ready),"",SUMIFS(INDEX(LH_Data,0,LH_ColTaken),INDEX(LH_Data,0,LH_ColFirst),$A6,INDEX(LH_Data,0,LH_ColSur),$B6,INDEX(LH_Data,0,LH_ColCat),BonusCat,INDEX(LH_Data,0,LH_ColStart),"&gt;="&amp;AH6)*UnitFactor))</f>
        <v>0</v>
      </c>
      <c r="W6" s="20" t="n">
        <f aca="false">IF(AG6=0,"",IF(NOT(LH_Ready),"",IF(BD6=0,0,INDEX(INDEX(LH_Data,0,LH_ColClose),BD6-1)*UnitFactor)))</f>
        <v>0</v>
      </c>
      <c r="X6" s="20" t="n">
        <f aca="false">IF(AG6=0,"",(AZ6-BA6)*HoursPerDay)</f>
        <v>0</v>
      </c>
      <c r="Y6" s="20" t="n">
        <f aca="false">IF(AG6=0,"",IF(NOT(LH_Ready),"",IF(BC6=0,N6,IF(PFYDate&lt;$F6,N6-N(T6)-N(U6),X6-N(U6)))))</f>
        <v>0</v>
      </c>
      <c r="Z6" s="19" t="str">
        <f aca="false">IF(OR(AG6=0,Y6=""),"",IF(Y6&gt;0,"Yes","No"))</f>
        <v>No</v>
      </c>
      <c r="AA6" s="19"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Not eligible - Casual</v>
      </c>
      <c r="AB6" s="20" t="n">
        <f aca="false">IF(OR(AG6=0,T6=""),"",BA6*HoursPerDay-T6)</f>
        <v>0</v>
      </c>
      <c r="AC6" s="19" t="n">
        <f aca="false">IF(AG6=0,"",BC6)</f>
        <v>0</v>
      </c>
      <c r="AD6" s="19"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20" t="n">
        <f aca="false">IF(AG6=0,"",O6-BH6)</f>
        <v>0</v>
      </c>
      <c r="AF6" s="17" t="str">
        <f aca="false">IF(OR(AG6=0,AE6="",N(AE6)=0,BI6=""),"",EDATE(AH6,BI6))</f>
        <v/>
      </c>
      <c r="AG6" s="19" t="n">
        <f aca="false">IF(OR(LEN($A6&amp;$B6)=0,$F6=""),0,1)</f>
        <v>1</v>
      </c>
      <c r="AH6" s="17" t="n">
        <f aca="false">IF(AG6=0,"",IF($J6&lt;&gt;"",$J6,IF(OR(CasualCounts="Yes",COUNT($G6:$I6)=0,COUNT($H6:$I6)=0),$F6,MIN($H6:$I6))))</f>
        <v>43696</v>
      </c>
      <c r="AI6" s="19" t="n">
        <f aca="false">IF(AG6=0,"",COUNT($G6:$I6))</f>
        <v>0</v>
      </c>
      <c r="AJ6" s="17" t="str">
        <f aca="false">IF(AG6=0,"",IFERROR(SMALL($G6:$I6,1),""))</f>
        <v/>
      </c>
      <c r="AK6" s="17" t="str">
        <f aca="false">IF(AG6=0,"",IFERROR(SMALL($G6:$I6,2),""))</f>
        <v/>
      </c>
      <c r="AL6" s="17" t="str">
        <f aca="false">IF(AG6=0,"",IFERROR(SMALL($G6:$I6,3),""))</f>
        <v/>
      </c>
      <c r="AM6" s="19" t="str">
        <f aca="false">IF(AG6=0,"",IF(AJ6="","",IF(AJ6=$H6,"Part-Time",IF(AJ6=$I6,"Full-Time","Casual"))))</f>
        <v/>
      </c>
      <c r="AN6" s="19" t="str">
        <f aca="false">IF(AG6=0,"",IF(AK6="","",IF(AK6=$H6,"Part-Time",IF(AK6=$I6,"Full-Time","Casual"))))</f>
        <v/>
      </c>
      <c r="AO6" s="19" t="str">
        <f aca="false">IF(AG6=0,"",IF(AL6="","",IF(AL6=$H6,"Part-Time",IF(AL6=$I6,"Full-Time","Casual"))))</f>
        <v/>
      </c>
      <c r="AP6" s="19"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None</v>
      </c>
      <c r="AQ6" s="19" t="str">
        <f aca="false">IF(AG6=0,"",IF(AI6&lt;2,"",IF(OR(ISNUMBER(SEARCH("full",AN6)),UPPER(TRIM(AN6))="FT",UPPER(TRIM(AN6))="FTE"),"FT",IF(AND(OR(ISNUMBER(SEARCH("part",AN6)),UPPER(TRIM(AN6))="PT",UPPER(TRIM(AN6))="PTE"),OR($P6="",N($P6)&gt;=PT_MinHours)),"PT","None"))))</f>
        <v/>
      </c>
      <c r="AR6" s="19" t="str">
        <f aca="false">IF(AG6=0,"",IF(AI6&lt;3,"",IF(OR(ISNUMBER(SEARCH("full",AO6)),UPPER(TRIM(AO6))="FT",UPPER(TRIM(AO6))="FTE"),"FT",IF(AND(OR(ISNUMBER(SEARCH("part",AO6)),UPPER(TRIM(AO6))="PT",UPPER(TRIM(AO6))="PTE"),OR($P6="",N($P6)&gt;=PT_MinHours)),"PT","None"))))</f>
        <v/>
      </c>
      <c r="AS6" s="19" t="str">
        <f aca="false">IF(AG6=0,"",IF(AND(AI6&gt;=3,AL6&lt;=AsOfDate),AR6,IF(AND(AI6&gt;=2,AK6&lt;=AsOfDate),AQ6,AP6)))</f>
        <v>None</v>
      </c>
      <c r="AT6" s="19" t="n">
        <f aca="false">IF(AG6=0,"",IF(AsOfDate&lt;AH6,-1,12*(YEAR(AsOfDate)-YEAR(AH6))+MONTH(AsOfDate)-MONTH(AH6)-IF(DAY(AsOfDate)&lt;MIN(DAY(AH6),DAY(EOMONTH(AsOfDate,0))),1,0)))</f>
        <v>85</v>
      </c>
      <c r="AU6" s="19" t="n">
        <f aca="false">IF(AG6=0,"",IF(OR(AI6&lt;2,AK6&gt;AsOfDate),AT6,IF((AK6-1)&lt;AH6,-1,12*(YEAR((AK6-1))-YEAR(AH6))+MONTH((AK6-1))-MONTH(AH6)-IF(DAY((AK6-1))&lt;MIN(DAY(AH6),DAY(EOMONTH((AK6-1),0))),1,0))))</f>
        <v>85</v>
      </c>
      <c r="AV6" s="19" t="n">
        <f aca="false">IF(AG6=0,"",IF(OR(AI6&lt;3,AL6&gt;AsOfDate),AT6,IF((AL6-1)&lt;AH6,-1,12*(YEAR((AL6-1))-YEAR(AH6))+MONTH((AL6-1))-MONTH(AH6)-IF(DAY((AL6-1))&lt;MIN(DAY(AH6),DAY(EOMONTH((AL6-1),0))),1,0))))</f>
        <v>85</v>
      </c>
      <c r="AW6" s="19" t="n">
        <f aca="false">IF(AG6=0,"",IF(PFYDate&lt;AH6,-1,12*(YEAR(PFYDate)-YEAR(AH6))+MONTH(PFYDate)-MONTH(AH6)-IF(DAY(PFYDate)&lt;MIN(DAY(AH6),DAY(EOMONTH(PFYDate,0))),1,0)))</f>
        <v>-1</v>
      </c>
      <c r="AX6" s="19" t="n">
        <f aca="false">IF(AG6=0,"",IF(OR(AI6&lt;2,AK6&gt;PFYDate),AW6,IF((AK6-1)&lt;AH6,-1,12*(YEAR((AK6-1))-YEAR(AH6))+MONTH((AK6-1))-MONTH(AH6)-IF(DAY((AK6-1))&lt;MIN(DAY(AH6),DAY(EOMONTH((AK6-1),0))),1,0))))</f>
        <v>-1</v>
      </c>
      <c r="AY6" s="19" t="n">
        <f aca="false">IF(AG6=0,"",IF(OR(AI6&lt;3,AL6&gt;PFYDate),AW6,IF((AL6-1)&lt;AH6,-1,12*(YEAR((AL6-1))-YEAR(AH6))+MONTH((AL6-1))-MONTH(AH6)-IF(DAY((AL6-1))&lt;MIN(DAY(AH6),DAY(EOMONTH((AL6-1),0))),1,0))))</f>
        <v>-1</v>
      </c>
      <c r="AZ6" s="19" t="n">
        <f aca="false">IF(AG6=0,"",IF(AP6="FT",IF(AU6&lt;FT_First,0,IF(AU6&lt;FT_Y5,1+INT((AU6-FT_First)/FT_Int1),FT_PreY5+FT_PerYear*INT((AU6-FT_Y5)/12)+FT_AnnivDays+INT(MOD(AU6-FT_Y5,12)/FT_Int2))),IF(AP6="PT",IF(AU6&lt;PT_First,0,1+INT((AU6-PT_First)/PT_Int)),0))+IF(AND(AI6&gt;=2,AK6&lt;=AsOfDate),IF(AQ6="FT",IF(AV6&lt;FT_First,0,IF(AV6&lt;FT_Y5,1+INT((AV6-FT_First)/FT_Int1),FT_PreY5+FT_PerYear*INT((AV6-FT_Y5)/12)+FT_AnnivDays+INT(MOD(AV6-FT_Y5,12)/FT_Int2))),IF(AQ6="PT",IF(AV6&lt;PT_First,0,1+INT((AV6-PT_First)/PT_Int)),0))-IF(AQ6="FT",IF(AU6&lt;FT_First,0,IF(AU6&lt;FT_Y5,1+INT((AU6-FT_First)/FT_Int1),FT_PreY5+FT_PerYear*INT((AU6-FT_Y5)/12)+FT_AnnivDays+INT(MOD(AU6-FT_Y5,12)/FT_Int2))),IF(AQ6="PT",IF(AU6&lt;PT_First,0,1+INT((AU6-PT_First)/PT_Int)),0)),0)+IF(AND(AI6&gt;=3,AL6&lt;=AsOfDate),IF(AR6="FT",IF(AT6&lt;FT_First,0,IF(AT6&lt;FT_Y5,1+INT((AT6-FT_First)/FT_Int1),FT_PreY5+FT_PerYear*INT((AT6-FT_Y5)/12)+FT_AnnivDays+INT(MOD(AT6-FT_Y5,12)/FT_Int2))),IF(AR6="PT",IF(AT6&lt;PT_First,0,1+INT((AT6-PT_First)/PT_Int)),0))-IF(AR6="FT",IF(AV6&lt;FT_First,0,IF(AV6&lt;FT_Y5,1+INT((AV6-FT_First)/FT_Int1),FT_PreY5+FT_PerYear*INT((AV6-FT_Y5)/12)+FT_AnnivDays+INT(MOD(AV6-FT_Y5,12)/FT_Int2))),IF(AR6="PT",IF(AV6&lt;PT_First,0,1+INT((AV6-PT_First)/PT_Int)),0)),0))</f>
        <v>0</v>
      </c>
      <c r="BA6" s="19" t="n">
        <f aca="false">IF(AG6=0,"",IF(AP6="FT",IF(AX6&lt;FT_First,0,IF(AX6&lt;FT_Y5,1+INT((AX6-FT_First)/FT_Int1),FT_PreY5+FT_PerYear*INT((AX6-FT_Y5)/12)+FT_AnnivDays+INT(MOD(AX6-FT_Y5,12)/FT_Int2))),IF(AP6="PT",IF(AX6&lt;PT_First,0,1+INT((AX6-PT_First)/PT_Int)),0))+IF(AND(AI6&gt;=2,AK6&lt;=PFYDate),IF(AQ6="FT",IF(AY6&lt;FT_First,0,IF(AY6&lt;FT_Y5,1+INT((AY6-FT_First)/FT_Int1),FT_PreY5+FT_PerYear*INT((AY6-FT_Y5)/12)+FT_AnnivDays+INT(MOD(AY6-FT_Y5,12)/FT_Int2))),IF(AQ6="PT",IF(AY6&lt;PT_First,0,1+INT((AY6-PT_First)/PT_Int)),0))-IF(AQ6="FT",IF(AX6&lt;FT_First,0,IF(AX6&lt;FT_Y5,1+INT((AX6-FT_First)/FT_Int1),FT_PreY5+FT_PerYear*INT((AX6-FT_Y5)/12)+FT_AnnivDays+INT(MOD(AX6-FT_Y5,12)/FT_Int2))),IF(AQ6="PT",IF(AX6&lt;PT_First,0,1+INT((AX6-PT_First)/PT_Int)),0)),0)+IF(AND(AI6&gt;=3,AL6&lt;=PFYDate),IF(AR6="FT",IF(AW6&lt;FT_First,0,IF(AW6&lt;FT_Y5,1+INT((AW6-FT_First)/FT_Int1),FT_PreY5+FT_PerYear*INT((AW6-FT_Y5)/12)+FT_AnnivDays+INT(MOD(AW6-FT_Y5,12)/FT_Int2))),IF(AR6="PT",IF(AW6&lt;PT_First,0,1+INT((AW6-PT_First)/PT_Int)),0))-IF(AR6="FT",IF(AY6&lt;FT_First,0,IF(AY6&lt;FT_Y5,1+INT((AY6-FT_First)/FT_Int1),FT_PreY5+FT_PerYear*INT((AY6-FT_Y5)/12)+FT_AnnivDays+INT(MOD(AY6-FT_Y5,12)/FT_Int2))),IF(AR6="PT",IF(AY6&lt;PT_First,0,1+INT((AY6-PT_First)/PT_Int)),0)),0))</f>
        <v>0</v>
      </c>
      <c r="BB6" s="19" t="str">
        <f aca="false">IF(AG6=0,"",IF(AS6="FT",IF(AT6&lt;FT_First,FT_First,IF(AT6&lt;FT_Y5,MIN(FT_Y5,FT_First+FT_Int1*(INT((AT6-FT_First)/FT_Int1)+1)),FT_Y5+12*INT((AT6-FT_Y5)/12)+FT_Int2*(INT(MOD(AT6-FT_Y5,12)/FT_Int2)+1))),IF(AS6="PT",IF(AT6&lt;PT_First,PT_First,PT_First+PT_Int*(INT((AT6-PT_First)/PT_Int)+1)),"")))</f>
        <v/>
      </c>
      <c r="BC6" s="19" t="n">
        <f aca="false">IF(AG6=0,"",IF(NOT(LH_Ready),0,COUNTIFS(INDEX(LH_Data,0,LH_ColFirst),$A6,INDEX(LH_Data,0,LH_ColSur),$B6,INDEX(LH_Data,0,LH_ColCat),BonusCat)))</f>
        <v>0</v>
      </c>
      <c r="BD6" s="19" t="n">
        <f aca="false">IF(AG6=0,"",IF(OR(NOT(LH_Ready),BC6=0),0,SUMPRODUCT(MAX((INDEX(LH_Data,0,LH_ColFirst)=$A6)*(INDEX(LH_Data,0,LH_ColSur)=$B6)*(INDEX(LH_Data,0,LH_ColCat)=BonusCat)*ROW(LH_Data)))))</f>
        <v>0</v>
      </c>
      <c r="BE6" s="19" t="n">
        <f aca="false">IF(AG6=0,"",IF(EOMONTH(AsOfDate,-1)&lt;AH6,-1,12*(YEAR(EOMONTH(AsOfDate,-1))-YEAR(AH6))+MONTH(EOMONTH(AsOfDate,-1))-MONTH(AH6)-IF(DAY(EOMONTH(AsOfDate,-1))&lt;MIN(DAY(AH6),DAY(EOMONTH(EOMONTH(AsOfDate,-1),0))),1,0)))</f>
        <v>85</v>
      </c>
      <c r="BF6" s="19" t="n">
        <f aca="false">IF(AG6=0,"",IF(OR(AI6&lt;2,AK6&gt;EOMONTH(AsOfDate,-1)),BE6,IF((AK6-1)&lt;AH6,-1,12*(YEAR((AK6-1))-YEAR(AH6))+MONTH((AK6-1))-MONTH(AH6)-IF(DAY((AK6-1))&lt;MIN(DAY(AH6),DAY(EOMONTH((AK6-1),0))),1,0))))</f>
        <v>85</v>
      </c>
      <c r="BG6" s="19" t="n">
        <f aca="false">IF(AG6=0,"",IF(OR(AI6&lt;3,AL6&gt;EOMONTH(AsOfDate,-1)),BE6,IF((AL6-1)&lt;AH6,-1,12*(YEAR((AL6-1))-YEAR(AH6))+MONTH((AL6-1))-MONTH(AH6)-IF(DAY((AL6-1))&lt;MIN(DAY(AH6),DAY(EOMONTH((AL6-1),0))),1,0))))</f>
        <v>85</v>
      </c>
      <c r="BH6" s="19" t="n">
        <f aca="false">IF(AG6=0,"",IF(AP6="FT",IF(BF6&lt;FT_First,0,IF(BF6&lt;FT_Y5,1+INT((BF6-FT_First)/FT_Int1),FT_PreY5+FT_PerYear*INT((BF6-FT_Y5)/12)+FT_AnnivDays+INT(MOD(BF6-FT_Y5,12)/FT_Int2))),IF(AP6="PT",IF(BF6&lt;PT_First,0,1+INT((BF6-PT_First)/PT_Int)),0))+IF(AND(AI6&gt;=2,AK6&lt;=EOMONTH(AsOfDate,-1)),IF(AQ6="FT",IF(BG6&lt;FT_First,0,IF(BG6&lt;FT_Y5,1+INT((BG6-FT_First)/FT_Int1),FT_PreY5+FT_PerYear*INT((BG6-FT_Y5)/12)+FT_AnnivDays+INT(MOD(BG6-FT_Y5,12)/FT_Int2))),IF(AQ6="PT",IF(BG6&lt;PT_First,0,1+INT((BG6-PT_First)/PT_Int)),0))-IF(AQ6="FT",IF(BF6&lt;FT_First,0,IF(BF6&lt;FT_Y5,1+INT((BF6-FT_First)/FT_Int1),FT_PreY5+FT_PerYear*INT((BF6-FT_Y5)/12)+FT_AnnivDays+INT(MOD(BF6-FT_Y5,12)/FT_Int2))),IF(AQ6="PT",IF(BF6&lt;PT_First,0,1+INT((BF6-PT_First)/PT_Int)),0)),0)+IF(AND(AI6&gt;=3,AL6&lt;=EOMONTH(AsOfDate,-1)),IF(AR6="FT",IF(BE6&lt;FT_First,0,IF(BE6&lt;FT_Y5,1+INT((BE6-FT_First)/FT_Int1),FT_PreY5+FT_PerYear*INT((BE6-FT_Y5)/12)+FT_AnnivDays+INT(MOD(BE6-FT_Y5,12)/FT_Int2))),IF(AR6="PT",IF(BE6&lt;PT_First,0,1+INT((BE6-PT_First)/PT_Int)),0))-IF(AR6="FT",IF(BG6&lt;FT_First,0,IF(BG6&lt;FT_Y5,1+INT((BG6-FT_First)/FT_Int1),FT_PreY5+FT_PerYear*INT((BG6-FT_Y5)/12)+FT_AnnivDays+INT(MOD(BG6-FT_Y5,12)/FT_Int2))),IF(AR6="PT",IF(BG6&lt;PT_First,0,1+INT((BG6-PT_First)/PT_Int)),0)),0))</f>
        <v>0</v>
      </c>
      <c r="BI6" s="19" t="str">
        <f aca="false">IF(AG6=0,"",IF(AS6="FT",IF(AT6&lt;FT_First,"",IF(AT6&lt;FT_Y5,FT_First+FT_Int1*INT((AT6-FT_First)/FT_Int1),FT_Y5+FT_Int2*INT((AT6-FT_Y5)/FT_Int2))),IF(AS6="PT",IF(AT6&lt;PT_First,"",PT_First+PT_Int*INT((AT6-PT_First)/PT_Int)),"")))</f>
        <v/>
      </c>
      <c r="BJ6" s="0" t="str">
        <f aca="false">IF(LEN($A6&amp;$B6)=0,"",$A6&amp;" "&amp;$B6)</f>
        <v>Adam Arnou</v>
      </c>
    </row>
    <row r="7" customFormat="false" ht="15" hidden="false" customHeight="false" outlineLevel="0" collapsed="false">
      <c r="A7" s="15" t="s">
        <v>141</v>
      </c>
      <c r="B7" s="15" t="s">
        <v>142</v>
      </c>
      <c r="C7" s="15" t="s">
        <v>138</v>
      </c>
      <c r="D7" s="16" t="n">
        <v>37595</v>
      </c>
      <c r="E7" s="17" t="n">
        <f aca="false">IF(OR(AG7=0,$D7=""),"",DATE(YEAR(AsOfDate)+IF(DATE(YEAR(AsOfDate),MONTH($D7),DAY($D7))&lt;=AsOfDate,1,0),MONTH($D7),DAY($D7)))</f>
        <v>46361</v>
      </c>
      <c r="F7" s="16" t="n">
        <v>45803</v>
      </c>
      <c r="G7" s="16"/>
      <c r="H7" s="16"/>
      <c r="I7" s="16"/>
      <c r="J7" s="16"/>
      <c r="K7" s="17" t="n">
        <f aca="false">IF(AG7=0,"",DATE(YEAR(AsOfDate)+IF(DATE(YEAR(AsOfDate),MONTH(AH7),DAY(AH7))&lt;=AsOfDate,1,0),MONTH(AH7),DAY(AH7)))</f>
        <v>46533</v>
      </c>
      <c r="L7" s="18" t="n">
        <f aca="false">IF(AG7=0,"",ROUND((AsOfDate-AH7)/365.25,1))</f>
        <v>1.4</v>
      </c>
      <c r="M7" s="19" t="str">
        <f aca="false">IF(AG7=0,"",IF(AsOfDate&lt;AH7,"-",DATEDIF(AH7,AsOfDate,"y")&amp;"y "&amp;DATEDIF(AH7,AsOfDate,"ym")&amp;"m "&amp;DATEDIF(AH7,AsOfDate,"md")&amp;"d"))</f>
        <v>1y 4m 10d</v>
      </c>
      <c r="N7" s="20" t="n">
        <f aca="false">IF(AG7=0,"",O7*HoursPerDay)</f>
        <v>0</v>
      </c>
      <c r="O7" s="20" t="n">
        <f aca="false">IF(AG7=0,"",AZ7)</f>
        <v>0</v>
      </c>
      <c r="P7" s="21"/>
      <c r="Q7" s="19"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19"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17" t="str">
        <f aca="false">IF(AG7=0,"",IF(AS7="None","",EDATE(AH7,BB7)))</f>
        <v/>
      </c>
      <c r="T7" s="20" t="n">
        <f aca="false">IF(AG7=0,"",IF(NOT(LH_Ready),"",IF(AH7&gt;PFYDate,0,IF(LH_ColPeriod=0,W7-U7+V7,SUMIFS(INDEX(LH_Data,0,LH_ColAcc),INDEX(LH_Data,0,LH_ColFirst),$A7,INDEX(LH_Data,0,LH_ColSur),$B7,INDEX(LH_Data,0,LH_ColCat),BonusCat,INDEX(LH_Data,0,LH_ColPeriod),LH_OpenLabel)*UnitFactor))))</f>
        <v>0</v>
      </c>
      <c r="U7" s="20" t="n">
        <f aca="false">IF(AG7=0,"",IF(NOT(LH_Ready),"",SUMIFS(INDEX(LH_Data,0,LH_ColAcc),INDEX(LH_Data,0,LH_ColFirst),$A7,INDEX(LH_Data,0,LH_ColSur),$B7,INDEX(LH_Data,0,LH_ColCat),BonusCat,INDEX(LH_Data,0,LH_ColStart),"&gt;="&amp;AH7)*UnitFactor))</f>
        <v>0</v>
      </c>
      <c r="V7" s="20" t="n">
        <f aca="false">IF(AG7=0,"",IF(NOT(LH_Ready),"",SUMIFS(INDEX(LH_Data,0,LH_ColTaken),INDEX(LH_Data,0,LH_ColFirst),$A7,INDEX(LH_Data,0,LH_ColSur),$B7,INDEX(LH_Data,0,LH_ColCat),BonusCat,INDEX(LH_Data,0,LH_ColStart),"&gt;="&amp;AH7)*UnitFactor))</f>
        <v>0</v>
      </c>
      <c r="W7" s="20" t="n">
        <f aca="false">IF(AG7=0,"",IF(NOT(LH_Ready),"",IF(BD7=0,0,INDEX(INDEX(LH_Data,0,LH_ColClose),BD7-1)*UnitFactor)))</f>
        <v>0</v>
      </c>
      <c r="X7" s="20" t="n">
        <f aca="false">IF(AG7=0,"",(AZ7-BA7)*HoursPerDay)</f>
        <v>0</v>
      </c>
      <c r="Y7" s="20" t="n">
        <f aca="false">IF(AG7=0,"",IF(NOT(LH_Ready),"",IF(BC7=0,N7,IF(PFYDate&lt;$F7,N7-N(T7)-N(U7),X7-N(U7)))))</f>
        <v>0</v>
      </c>
      <c r="Z7" s="19" t="str">
        <f aca="false">IF(OR(AG7=0,Y7=""),"",IF(Y7&gt;0,"Yes","No"))</f>
        <v>No</v>
      </c>
      <c r="AA7" s="19"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Not eligible - Casual</v>
      </c>
      <c r="AB7" s="20" t="n">
        <f aca="false">IF(OR(AG7=0,T7=""),"",BA7*HoursPerDay-T7)</f>
        <v>0</v>
      </c>
      <c r="AC7" s="19" t="n">
        <f aca="false">IF(AG7=0,"",BC7)</f>
        <v>0</v>
      </c>
      <c r="AD7" s="19"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20" t="n">
        <f aca="false">IF(AG7=0,"",O7-BH7)</f>
        <v>0</v>
      </c>
      <c r="AF7" s="17" t="str">
        <f aca="false">IF(OR(AG7=0,AE7="",N(AE7)=0,BI7=""),"",EDATE(AH7,BI7))</f>
        <v/>
      </c>
      <c r="AG7" s="19" t="n">
        <f aca="false">IF(OR(LEN($A7&amp;$B7)=0,$F7=""),0,1)</f>
        <v>1</v>
      </c>
      <c r="AH7" s="17" t="n">
        <f aca="false">IF(AG7=0,"",IF($J7&lt;&gt;"",$J7,IF(OR(CasualCounts="Yes",COUNT($G7:$I7)=0,COUNT($H7:$I7)=0),$F7,MIN($H7:$I7))))</f>
        <v>45803</v>
      </c>
      <c r="AI7" s="19" t="n">
        <f aca="false">IF(AG7=0,"",COUNT($G7:$I7))</f>
        <v>0</v>
      </c>
      <c r="AJ7" s="17" t="str">
        <f aca="false">IF(AG7=0,"",IFERROR(SMALL($G7:$I7,1),""))</f>
        <v/>
      </c>
      <c r="AK7" s="17" t="str">
        <f aca="false">IF(AG7=0,"",IFERROR(SMALL($G7:$I7,2),""))</f>
        <v/>
      </c>
      <c r="AL7" s="17" t="str">
        <f aca="false">IF(AG7=0,"",IFERROR(SMALL($G7:$I7,3),""))</f>
        <v/>
      </c>
      <c r="AM7" s="19" t="str">
        <f aca="false">IF(AG7=0,"",IF(AJ7="","",IF(AJ7=$H7,"Part-Time",IF(AJ7=$I7,"Full-Time","Casual"))))</f>
        <v/>
      </c>
      <c r="AN7" s="19" t="str">
        <f aca="false">IF(AG7=0,"",IF(AK7="","",IF(AK7=$H7,"Part-Time",IF(AK7=$I7,"Full-Time","Casual"))))</f>
        <v/>
      </c>
      <c r="AO7" s="19" t="str">
        <f aca="false">IF(AG7=0,"",IF(AL7="","",IF(AL7=$H7,"Part-Time",IF(AL7=$I7,"Full-Time","Casual"))))</f>
        <v/>
      </c>
      <c r="AP7" s="19"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None</v>
      </c>
      <c r="AQ7" s="19" t="str">
        <f aca="false">IF(AG7=0,"",IF(AI7&lt;2,"",IF(OR(ISNUMBER(SEARCH("full",AN7)),UPPER(TRIM(AN7))="FT",UPPER(TRIM(AN7))="FTE"),"FT",IF(AND(OR(ISNUMBER(SEARCH("part",AN7)),UPPER(TRIM(AN7))="PT",UPPER(TRIM(AN7))="PTE"),OR($P7="",N($P7)&gt;=PT_MinHours)),"PT","None"))))</f>
        <v/>
      </c>
      <c r="AR7" s="19" t="str">
        <f aca="false">IF(AG7=0,"",IF(AI7&lt;3,"",IF(OR(ISNUMBER(SEARCH("full",AO7)),UPPER(TRIM(AO7))="FT",UPPER(TRIM(AO7))="FTE"),"FT",IF(AND(OR(ISNUMBER(SEARCH("part",AO7)),UPPER(TRIM(AO7))="PT",UPPER(TRIM(AO7))="PTE"),OR($P7="",N($P7)&gt;=PT_MinHours)),"PT","None"))))</f>
        <v/>
      </c>
      <c r="AS7" s="19" t="str">
        <f aca="false">IF(AG7=0,"",IF(AND(AI7&gt;=3,AL7&lt;=AsOfDate),AR7,IF(AND(AI7&gt;=2,AK7&lt;=AsOfDate),AQ7,AP7)))</f>
        <v>None</v>
      </c>
      <c r="AT7" s="19" t="n">
        <f aca="false">IF(AG7=0,"",IF(AsOfDate&lt;AH7,-1,12*(YEAR(AsOfDate)-YEAR(AH7))+MONTH(AsOfDate)-MONTH(AH7)-IF(DAY(AsOfDate)&lt;MIN(DAY(AH7),DAY(EOMONTH(AsOfDate,0))),1,0)))</f>
        <v>16</v>
      </c>
      <c r="AU7" s="19" t="n">
        <f aca="false">IF(AG7=0,"",IF(OR(AI7&lt;2,AK7&gt;AsOfDate),AT7,IF((AK7-1)&lt;AH7,-1,12*(YEAR((AK7-1))-YEAR(AH7))+MONTH((AK7-1))-MONTH(AH7)-IF(DAY((AK7-1))&lt;MIN(DAY(AH7),DAY(EOMONTH((AK7-1),0))),1,0))))</f>
        <v>16</v>
      </c>
      <c r="AV7" s="19" t="n">
        <f aca="false">IF(AG7=0,"",IF(OR(AI7&lt;3,AL7&gt;AsOfDate),AT7,IF((AL7-1)&lt;AH7,-1,12*(YEAR((AL7-1))-YEAR(AH7))+MONTH((AL7-1))-MONTH(AH7)-IF(DAY((AL7-1))&lt;MIN(DAY(AH7),DAY(EOMONTH((AL7-1),0))),1,0))))</f>
        <v>16</v>
      </c>
      <c r="AW7" s="19" t="n">
        <f aca="false">IF(AG7=0,"",IF(PFYDate&lt;AH7,-1,12*(YEAR(PFYDate)-YEAR(AH7))+MONTH(PFYDate)-MONTH(AH7)-IF(DAY(PFYDate)&lt;MIN(DAY(AH7),DAY(EOMONTH(PFYDate,0))),1,0)))</f>
        <v>-1</v>
      </c>
      <c r="AX7" s="19" t="n">
        <f aca="false">IF(AG7=0,"",IF(OR(AI7&lt;2,AK7&gt;PFYDate),AW7,IF((AK7-1)&lt;AH7,-1,12*(YEAR((AK7-1))-YEAR(AH7))+MONTH((AK7-1))-MONTH(AH7)-IF(DAY((AK7-1))&lt;MIN(DAY(AH7),DAY(EOMONTH((AK7-1),0))),1,0))))</f>
        <v>-1</v>
      </c>
      <c r="AY7" s="19" t="n">
        <f aca="false">IF(AG7=0,"",IF(OR(AI7&lt;3,AL7&gt;PFYDate),AW7,IF((AL7-1)&lt;AH7,-1,12*(YEAR((AL7-1))-YEAR(AH7))+MONTH((AL7-1))-MONTH(AH7)-IF(DAY((AL7-1))&lt;MIN(DAY(AH7),DAY(EOMONTH((AL7-1),0))),1,0))))</f>
        <v>-1</v>
      </c>
      <c r="AZ7" s="19" t="n">
        <f aca="false">IF(AG7=0,"",IF(AP7="FT",IF(AU7&lt;FT_First,0,IF(AU7&lt;FT_Y5,1+INT((AU7-FT_First)/FT_Int1),FT_PreY5+FT_PerYear*INT((AU7-FT_Y5)/12)+FT_AnnivDays+INT(MOD(AU7-FT_Y5,12)/FT_Int2))),IF(AP7="PT",IF(AU7&lt;PT_First,0,1+INT((AU7-PT_First)/PT_Int)),0))+IF(AND(AI7&gt;=2,AK7&lt;=AsOfDate),IF(AQ7="FT",IF(AV7&lt;FT_First,0,IF(AV7&lt;FT_Y5,1+INT((AV7-FT_First)/FT_Int1),FT_PreY5+FT_PerYear*INT((AV7-FT_Y5)/12)+FT_AnnivDays+INT(MOD(AV7-FT_Y5,12)/FT_Int2))),IF(AQ7="PT",IF(AV7&lt;PT_First,0,1+INT((AV7-PT_First)/PT_Int)),0))-IF(AQ7="FT",IF(AU7&lt;FT_First,0,IF(AU7&lt;FT_Y5,1+INT((AU7-FT_First)/FT_Int1),FT_PreY5+FT_PerYear*INT((AU7-FT_Y5)/12)+FT_AnnivDays+INT(MOD(AU7-FT_Y5,12)/FT_Int2))),IF(AQ7="PT",IF(AU7&lt;PT_First,0,1+INT((AU7-PT_First)/PT_Int)),0)),0)+IF(AND(AI7&gt;=3,AL7&lt;=AsOfDate),IF(AR7="FT",IF(AT7&lt;FT_First,0,IF(AT7&lt;FT_Y5,1+INT((AT7-FT_First)/FT_Int1),FT_PreY5+FT_PerYear*INT((AT7-FT_Y5)/12)+FT_AnnivDays+INT(MOD(AT7-FT_Y5,12)/FT_Int2))),IF(AR7="PT",IF(AT7&lt;PT_First,0,1+INT((AT7-PT_First)/PT_Int)),0))-IF(AR7="FT",IF(AV7&lt;FT_First,0,IF(AV7&lt;FT_Y5,1+INT((AV7-FT_First)/FT_Int1),FT_PreY5+FT_PerYear*INT((AV7-FT_Y5)/12)+FT_AnnivDays+INT(MOD(AV7-FT_Y5,12)/FT_Int2))),IF(AR7="PT",IF(AV7&lt;PT_First,0,1+INT((AV7-PT_First)/PT_Int)),0)),0))</f>
        <v>0</v>
      </c>
      <c r="BA7" s="19" t="n">
        <f aca="false">IF(AG7=0,"",IF(AP7="FT",IF(AX7&lt;FT_First,0,IF(AX7&lt;FT_Y5,1+INT((AX7-FT_First)/FT_Int1),FT_PreY5+FT_PerYear*INT((AX7-FT_Y5)/12)+FT_AnnivDays+INT(MOD(AX7-FT_Y5,12)/FT_Int2))),IF(AP7="PT",IF(AX7&lt;PT_First,0,1+INT((AX7-PT_First)/PT_Int)),0))+IF(AND(AI7&gt;=2,AK7&lt;=PFYDate),IF(AQ7="FT",IF(AY7&lt;FT_First,0,IF(AY7&lt;FT_Y5,1+INT((AY7-FT_First)/FT_Int1),FT_PreY5+FT_PerYear*INT((AY7-FT_Y5)/12)+FT_AnnivDays+INT(MOD(AY7-FT_Y5,12)/FT_Int2))),IF(AQ7="PT",IF(AY7&lt;PT_First,0,1+INT((AY7-PT_First)/PT_Int)),0))-IF(AQ7="FT",IF(AX7&lt;FT_First,0,IF(AX7&lt;FT_Y5,1+INT((AX7-FT_First)/FT_Int1),FT_PreY5+FT_PerYear*INT((AX7-FT_Y5)/12)+FT_AnnivDays+INT(MOD(AX7-FT_Y5,12)/FT_Int2))),IF(AQ7="PT",IF(AX7&lt;PT_First,0,1+INT((AX7-PT_First)/PT_Int)),0)),0)+IF(AND(AI7&gt;=3,AL7&lt;=PFYDate),IF(AR7="FT",IF(AW7&lt;FT_First,0,IF(AW7&lt;FT_Y5,1+INT((AW7-FT_First)/FT_Int1),FT_PreY5+FT_PerYear*INT((AW7-FT_Y5)/12)+FT_AnnivDays+INT(MOD(AW7-FT_Y5,12)/FT_Int2))),IF(AR7="PT",IF(AW7&lt;PT_First,0,1+INT((AW7-PT_First)/PT_Int)),0))-IF(AR7="FT",IF(AY7&lt;FT_First,0,IF(AY7&lt;FT_Y5,1+INT((AY7-FT_First)/FT_Int1),FT_PreY5+FT_PerYear*INT((AY7-FT_Y5)/12)+FT_AnnivDays+INT(MOD(AY7-FT_Y5,12)/FT_Int2))),IF(AR7="PT",IF(AY7&lt;PT_First,0,1+INT((AY7-PT_First)/PT_Int)),0)),0))</f>
        <v>0</v>
      </c>
      <c r="BB7" s="19" t="str">
        <f aca="false">IF(AG7=0,"",IF(AS7="FT",IF(AT7&lt;FT_First,FT_First,IF(AT7&lt;FT_Y5,MIN(FT_Y5,FT_First+FT_Int1*(INT((AT7-FT_First)/FT_Int1)+1)),FT_Y5+12*INT((AT7-FT_Y5)/12)+FT_Int2*(INT(MOD(AT7-FT_Y5,12)/FT_Int2)+1))),IF(AS7="PT",IF(AT7&lt;PT_First,PT_First,PT_First+PT_Int*(INT((AT7-PT_First)/PT_Int)+1)),"")))</f>
        <v/>
      </c>
      <c r="BC7" s="19" t="n">
        <f aca="false">IF(AG7=0,"",IF(NOT(LH_Ready),0,COUNTIFS(INDEX(LH_Data,0,LH_ColFirst),$A7,INDEX(LH_Data,0,LH_ColSur),$B7,INDEX(LH_Data,0,LH_ColCat),BonusCat)))</f>
        <v>0</v>
      </c>
      <c r="BD7" s="19" t="n">
        <f aca="false">IF(AG7=0,"",IF(OR(NOT(LH_Ready),BC7=0),0,SUMPRODUCT(MAX((INDEX(LH_Data,0,LH_ColFirst)=$A7)*(INDEX(LH_Data,0,LH_ColSur)=$B7)*(INDEX(LH_Data,0,LH_ColCat)=BonusCat)*ROW(LH_Data)))))</f>
        <v>0</v>
      </c>
      <c r="BE7" s="19" t="n">
        <f aca="false">IF(AG7=0,"",IF(EOMONTH(AsOfDate,-1)&lt;AH7,-1,12*(YEAR(EOMONTH(AsOfDate,-1))-YEAR(AH7))+MONTH(EOMONTH(AsOfDate,-1))-MONTH(AH7)-IF(DAY(EOMONTH(AsOfDate,-1))&lt;MIN(DAY(AH7),DAY(EOMONTH(EOMONTH(AsOfDate,-1),0))),1,0)))</f>
        <v>16</v>
      </c>
      <c r="BF7" s="19" t="n">
        <f aca="false">IF(AG7=0,"",IF(OR(AI7&lt;2,AK7&gt;EOMONTH(AsOfDate,-1)),BE7,IF((AK7-1)&lt;AH7,-1,12*(YEAR((AK7-1))-YEAR(AH7))+MONTH((AK7-1))-MONTH(AH7)-IF(DAY((AK7-1))&lt;MIN(DAY(AH7),DAY(EOMONTH((AK7-1),0))),1,0))))</f>
        <v>16</v>
      </c>
      <c r="BG7" s="19" t="n">
        <f aca="false">IF(AG7=0,"",IF(OR(AI7&lt;3,AL7&gt;EOMONTH(AsOfDate,-1)),BE7,IF((AL7-1)&lt;AH7,-1,12*(YEAR((AL7-1))-YEAR(AH7))+MONTH((AL7-1))-MONTH(AH7)-IF(DAY((AL7-1))&lt;MIN(DAY(AH7),DAY(EOMONTH((AL7-1),0))),1,0))))</f>
        <v>16</v>
      </c>
      <c r="BH7" s="19" t="n">
        <f aca="false">IF(AG7=0,"",IF(AP7="FT",IF(BF7&lt;FT_First,0,IF(BF7&lt;FT_Y5,1+INT((BF7-FT_First)/FT_Int1),FT_PreY5+FT_PerYear*INT((BF7-FT_Y5)/12)+FT_AnnivDays+INT(MOD(BF7-FT_Y5,12)/FT_Int2))),IF(AP7="PT",IF(BF7&lt;PT_First,0,1+INT((BF7-PT_First)/PT_Int)),0))+IF(AND(AI7&gt;=2,AK7&lt;=EOMONTH(AsOfDate,-1)),IF(AQ7="FT",IF(BG7&lt;FT_First,0,IF(BG7&lt;FT_Y5,1+INT((BG7-FT_First)/FT_Int1),FT_PreY5+FT_PerYear*INT((BG7-FT_Y5)/12)+FT_AnnivDays+INT(MOD(BG7-FT_Y5,12)/FT_Int2))),IF(AQ7="PT",IF(BG7&lt;PT_First,0,1+INT((BG7-PT_First)/PT_Int)),0))-IF(AQ7="FT",IF(BF7&lt;FT_First,0,IF(BF7&lt;FT_Y5,1+INT((BF7-FT_First)/FT_Int1),FT_PreY5+FT_PerYear*INT((BF7-FT_Y5)/12)+FT_AnnivDays+INT(MOD(BF7-FT_Y5,12)/FT_Int2))),IF(AQ7="PT",IF(BF7&lt;PT_First,0,1+INT((BF7-PT_First)/PT_Int)),0)),0)+IF(AND(AI7&gt;=3,AL7&lt;=EOMONTH(AsOfDate,-1)),IF(AR7="FT",IF(BE7&lt;FT_First,0,IF(BE7&lt;FT_Y5,1+INT((BE7-FT_First)/FT_Int1),FT_PreY5+FT_PerYear*INT((BE7-FT_Y5)/12)+FT_AnnivDays+INT(MOD(BE7-FT_Y5,12)/FT_Int2))),IF(AR7="PT",IF(BE7&lt;PT_First,0,1+INT((BE7-PT_First)/PT_Int)),0))-IF(AR7="FT",IF(BG7&lt;FT_First,0,IF(BG7&lt;FT_Y5,1+INT((BG7-FT_First)/FT_Int1),FT_PreY5+FT_PerYear*INT((BG7-FT_Y5)/12)+FT_AnnivDays+INT(MOD(BG7-FT_Y5,12)/FT_Int2))),IF(AR7="PT",IF(BG7&lt;PT_First,0,1+INT((BG7-PT_First)/PT_Int)),0)),0))</f>
        <v>0</v>
      </c>
      <c r="BI7" s="19" t="str">
        <f aca="false">IF(AG7=0,"",IF(AS7="FT",IF(AT7&lt;FT_First,"",IF(AT7&lt;FT_Y5,FT_First+FT_Int1*INT((AT7-FT_First)/FT_Int1),FT_Y5+FT_Int2*INT((AT7-FT_Y5)/FT_Int2))),IF(AS7="PT",IF(AT7&lt;PT_First,"",PT_First+PT_Int*INT((AT7-PT_First)/PT_Int)),"")))</f>
        <v/>
      </c>
      <c r="BJ7" s="0" t="str">
        <f aca="false">IF(LEN($A7&amp;$B7)=0,"",$A7&amp;" "&amp;$B7)</f>
        <v>Alana Carling</v>
      </c>
    </row>
    <row r="8" customFormat="false" ht="15" hidden="false" customHeight="false" outlineLevel="0" collapsed="false">
      <c r="A8" s="15" t="s">
        <v>143</v>
      </c>
      <c r="B8" s="15" t="s">
        <v>144</v>
      </c>
      <c r="C8" s="15" t="s">
        <v>138</v>
      </c>
      <c r="D8" s="16" t="n">
        <v>35300</v>
      </c>
      <c r="E8" s="17" t="n">
        <f aca="false">IF(OR(AG8=0,$D8=""),"",DATE(YEAR(AsOfDate)+IF(DATE(YEAR(AsOfDate),MONTH($D8),DAY($D8))&lt;=AsOfDate,1,0),MONTH($D8),DAY($D8)))</f>
        <v>46622</v>
      </c>
      <c r="F8" s="16" t="n">
        <v>44858</v>
      </c>
      <c r="G8" s="16"/>
      <c r="H8" s="16"/>
      <c r="I8" s="16"/>
      <c r="J8" s="16"/>
      <c r="K8" s="17" t="n">
        <f aca="false">IF(AG8=0,"",DATE(YEAR(AsOfDate)+IF(DATE(YEAR(AsOfDate),MONTH(AH8),DAY(AH8))&lt;=AsOfDate,1,0),MONTH(AH8),DAY(AH8)))</f>
        <v>46319</v>
      </c>
      <c r="L8" s="18" t="n">
        <f aca="false">IF(AG8=0,"",ROUND((AsOfDate-AH8)/365.25,1))</f>
        <v>4</v>
      </c>
      <c r="M8" s="19" t="str">
        <f aca="false">IF(AG8=0,"",IF(AsOfDate&lt;AH8,"-",DATEDIF(AH8,AsOfDate,"y")&amp;"y "&amp;DATEDIF(AH8,AsOfDate,"ym")&amp;"m "&amp;DATEDIF(AH8,AsOfDate,"md")&amp;"d"))</f>
        <v>3y 11m 12d</v>
      </c>
      <c r="N8" s="20" t="n">
        <f aca="false">IF(AG8=0,"",O8*HoursPerDay)</f>
        <v>0</v>
      </c>
      <c r="O8" s="20" t="n">
        <f aca="false">IF(AG8=0,"",AZ8)</f>
        <v>0</v>
      </c>
      <c r="P8" s="21"/>
      <c r="Q8" s="19"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19"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17" t="str">
        <f aca="false">IF(AG8=0,"",IF(AS8="None","",EDATE(AH8,BB8)))</f>
        <v/>
      </c>
      <c r="T8" s="20" t="n">
        <f aca="false">IF(AG8=0,"",IF(NOT(LH_Ready),"",IF(AH8&gt;PFYDate,0,IF(LH_ColPeriod=0,W8-U8+V8,SUMIFS(INDEX(LH_Data,0,LH_ColAcc),INDEX(LH_Data,0,LH_ColFirst),$A8,INDEX(LH_Data,0,LH_ColSur),$B8,INDEX(LH_Data,0,LH_ColCat),BonusCat,INDEX(LH_Data,0,LH_ColPeriod),LH_OpenLabel)*UnitFactor))))</f>
        <v>0</v>
      </c>
      <c r="U8" s="20" t="n">
        <f aca="false">IF(AG8=0,"",IF(NOT(LH_Ready),"",SUMIFS(INDEX(LH_Data,0,LH_ColAcc),INDEX(LH_Data,0,LH_ColFirst),$A8,INDEX(LH_Data,0,LH_ColSur),$B8,INDEX(LH_Data,0,LH_ColCat),BonusCat,INDEX(LH_Data,0,LH_ColStart),"&gt;="&amp;AH8)*UnitFactor))</f>
        <v>0</v>
      </c>
      <c r="V8" s="20" t="n">
        <f aca="false">IF(AG8=0,"",IF(NOT(LH_Ready),"",SUMIFS(INDEX(LH_Data,0,LH_ColTaken),INDEX(LH_Data,0,LH_ColFirst),$A8,INDEX(LH_Data,0,LH_ColSur),$B8,INDEX(LH_Data,0,LH_ColCat),BonusCat,INDEX(LH_Data,0,LH_ColStart),"&gt;="&amp;AH8)*UnitFactor))</f>
        <v>0</v>
      </c>
      <c r="W8" s="20" t="n">
        <f aca="false">IF(AG8=0,"",IF(NOT(LH_Ready),"",IF(BD8=0,0,INDEX(INDEX(LH_Data,0,LH_ColClose),BD8-1)*UnitFactor)))</f>
        <v>0</v>
      </c>
      <c r="X8" s="20" t="n">
        <f aca="false">IF(AG8=0,"",(AZ8-BA8)*HoursPerDay)</f>
        <v>0</v>
      </c>
      <c r="Y8" s="20" t="n">
        <f aca="false">IF(AG8=0,"",IF(NOT(LH_Ready),"",IF(BC8=0,N8,IF(PFYDate&lt;$F8,N8-N(T8)-N(U8),X8-N(U8)))))</f>
        <v>0</v>
      </c>
      <c r="Z8" s="19" t="str">
        <f aca="false">IF(OR(AG8=0,Y8=""),"",IF(Y8&gt;0,"Yes","No"))</f>
        <v>No</v>
      </c>
      <c r="AA8" s="19"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Not eligible - Casual</v>
      </c>
      <c r="AB8" s="20" t="n">
        <f aca="false">IF(OR(AG8=0,T8=""),"",BA8*HoursPerDay-T8)</f>
        <v>0</v>
      </c>
      <c r="AC8" s="19" t="n">
        <f aca="false">IF(AG8=0,"",BC8)</f>
        <v>0</v>
      </c>
      <c r="AD8" s="19"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20" t="n">
        <f aca="false">IF(AG8=0,"",O8-BH8)</f>
        <v>0</v>
      </c>
      <c r="AF8" s="17" t="str">
        <f aca="false">IF(OR(AG8=0,AE8="",N(AE8)=0,BI8=""),"",EDATE(AH8,BI8))</f>
        <v/>
      </c>
      <c r="AG8" s="19" t="n">
        <f aca="false">IF(OR(LEN($A8&amp;$B8)=0,$F8=""),0,1)</f>
        <v>1</v>
      </c>
      <c r="AH8" s="17" t="n">
        <f aca="false">IF(AG8=0,"",IF($J8&lt;&gt;"",$J8,IF(OR(CasualCounts="Yes",COUNT($G8:$I8)=0,COUNT($H8:$I8)=0),$F8,MIN($H8:$I8))))</f>
        <v>44858</v>
      </c>
      <c r="AI8" s="19" t="n">
        <f aca="false">IF(AG8=0,"",COUNT($G8:$I8))</f>
        <v>0</v>
      </c>
      <c r="AJ8" s="17" t="str">
        <f aca="false">IF(AG8=0,"",IFERROR(SMALL($G8:$I8,1),""))</f>
        <v/>
      </c>
      <c r="AK8" s="17" t="str">
        <f aca="false">IF(AG8=0,"",IFERROR(SMALL($G8:$I8,2),""))</f>
        <v/>
      </c>
      <c r="AL8" s="17" t="str">
        <f aca="false">IF(AG8=0,"",IFERROR(SMALL($G8:$I8,3),""))</f>
        <v/>
      </c>
      <c r="AM8" s="19" t="str">
        <f aca="false">IF(AG8=0,"",IF(AJ8="","",IF(AJ8=$H8,"Part-Time",IF(AJ8=$I8,"Full-Time","Casual"))))</f>
        <v/>
      </c>
      <c r="AN8" s="19" t="str">
        <f aca="false">IF(AG8=0,"",IF(AK8="","",IF(AK8=$H8,"Part-Time",IF(AK8=$I8,"Full-Time","Casual"))))</f>
        <v/>
      </c>
      <c r="AO8" s="19" t="str">
        <f aca="false">IF(AG8=0,"",IF(AL8="","",IF(AL8=$H8,"Part-Time",IF(AL8=$I8,"Full-Time","Casual"))))</f>
        <v/>
      </c>
      <c r="AP8" s="19"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None</v>
      </c>
      <c r="AQ8" s="19" t="str">
        <f aca="false">IF(AG8=0,"",IF(AI8&lt;2,"",IF(OR(ISNUMBER(SEARCH("full",AN8)),UPPER(TRIM(AN8))="FT",UPPER(TRIM(AN8))="FTE"),"FT",IF(AND(OR(ISNUMBER(SEARCH("part",AN8)),UPPER(TRIM(AN8))="PT",UPPER(TRIM(AN8))="PTE"),OR($P8="",N($P8)&gt;=PT_MinHours)),"PT","None"))))</f>
        <v/>
      </c>
      <c r="AR8" s="19" t="str">
        <f aca="false">IF(AG8=0,"",IF(AI8&lt;3,"",IF(OR(ISNUMBER(SEARCH("full",AO8)),UPPER(TRIM(AO8))="FT",UPPER(TRIM(AO8))="FTE"),"FT",IF(AND(OR(ISNUMBER(SEARCH("part",AO8)),UPPER(TRIM(AO8))="PT",UPPER(TRIM(AO8))="PTE"),OR($P8="",N($P8)&gt;=PT_MinHours)),"PT","None"))))</f>
        <v/>
      </c>
      <c r="AS8" s="19" t="str">
        <f aca="false">IF(AG8=0,"",IF(AND(AI8&gt;=3,AL8&lt;=AsOfDate),AR8,IF(AND(AI8&gt;=2,AK8&lt;=AsOfDate),AQ8,AP8)))</f>
        <v>None</v>
      </c>
      <c r="AT8" s="19" t="n">
        <f aca="false">IF(AG8=0,"",IF(AsOfDate&lt;AH8,-1,12*(YEAR(AsOfDate)-YEAR(AH8))+MONTH(AsOfDate)-MONTH(AH8)-IF(DAY(AsOfDate)&lt;MIN(DAY(AH8),DAY(EOMONTH(AsOfDate,0))),1,0)))</f>
        <v>47</v>
      </c>
      <c r="AU8" s="19" t="n">
        <f aca="false">IF(AG8=0,"",IF(OR(AI8&lt;2,AK8&gt;AsOfDate),AT8,IF((AK8-1)&lt;AH8,-1,12*(YEAR((AK8-1))-YEAR(AH8))+MONTH((AK8-1))-MONTH(AH8)-IF(DAY((AK8-1))&lt;MIN(DAY(AH8),DAY(EOMONTH((AK8-1),0))),1,0))))</f>
        <v>47</v>
      </c>
      <c r="AV8" s="19" t="n">
        <f aca="false">IF(AG8=0,"",IF(OR(AI8&lt;3,AL8&gt;AsOfDate),AT8,IF((AL8-1)&lt;AH8,-1,12*(YEAR((AL8-1))-YEAR(AH8))+MONTH((AL8-1))-MONTH(AH8)-IF(DAY((AL8-1))&lt;MIN(DAY(AH8),DAY(EOMONTH((AL8-1),0))),1,0))))</f>
        <v>47</v>
      </c>
      <c r="AW8" s="19" t="n">
        <f aca="false">IF(AG8=0,"",IF(PFYDate&lt;AH8,-1,12*(YEAR(PFYDate)-YEAR(AH8))+MONTH(PFYDate)-MONTH(AH8)-IF(DAY(PFYDate)&lt;MIN(DAY(AH8),DAY(EOMONTH(PFYDate,0))),1,0)))</f>
        <v>-1</v>
      </c>
      <c r="AX8" s="19" t="n">
        <f aca="false">IF(AG8=0,"",IF(OR(AI8&lt;2,AK8&gt;PFYDate),AW8,IF((AK8-1)&lt;AH8,-1,12*(YEAR((AK8-1))-YEAR(AH8))+MONTH((AK8-1))-MONTH(AH8)-IF(DAY((AK8-1))&lt;MIN(DAY(AH8),DAY(EOMONTH((AK8-1),0))),1,0))))</f>
        <v>-1</v>
      </c>
      <c r="AY8" s="19" t="n">
        <f aca="false">IF(AG8=0,"",IF(OR(AI8&lt;3,AL8&gt;PFYDate),AW8,IF((AL8-1)&lt;AH8,-1,12*(YEAR((AL8-1))-YEAR(AH8))+MONTH((AL8-1))-MONTH(AH8)-IF(DAY((AL8-1))&lt;MIN(DAY(AH8),DAY(EOMONTH((AL8-1),0))),1,0))))</f>
        <v>-1</v>
      </c>
      <c r="AZ8" s="19" t="n">
        <f aca="false">IF(AG8=0,"",IF(AP8="FT",IF(AU8&lt;FT_First,0,IF(AU8&lt;FT_Y5,1+INT((AU8-FT_First)/FT_Int1),FT_PreY5+FT_PerYear*INT((AU8-FT_Y5)/12)+FT_AnnivDays+INT(MOD(AU8-FT_Y5,12)/FT_Int2))),IF(AP8="PT",IF(AU8&lt;PT_First,0,1+INT((AU8-PT_First)/PT_Int)),0))+IF(AND(AI8&gt;=2,AK8&lt;=AsOfDate),IF(AQ8="FT",IF(AV8&lt;FT_First,0,IF(AV8&lt;FT_Y5,1+INT((AV8-FT_First)/FT_Int1),FT_PreY5+FT_PerYear*INT((AV8-FT_Y5)/12)+FT_AnnivDays+INT(MOD(AV8-FT_Y5,12)/FT_Int2))),IF(AQ8="PT",IF(AV8&lt;PT_First,0,1+INT((AV8-PT_First)/PT_Int)),0))-IF(AQ8="FT",IF(AU8&lt;FT_First,0,IF(AU8&lt;FT_Y5,1+INT((AU8-FT_First)/FT_Int1),FT_PreY5+FT_PerYear*INT((AU8-FT_Y5)/12)+FT_AnnivDays+INT(MOD(AU8-FT_Y5,12)/FT_Int2))),IF(AQ8="PT",IF(AU8&lt;PT_First,0,1+INT((AU8-PT_First)/PT_Int)),0)),0)+IF(AND(AI8&gt;=3,AL8&lt;=AsOfDate),IF(AR8="FT",IF(AT8&lt;FT_First,0,IF(AT8&lt;FT_Y5,1+INT((AT8-FT_First)/FT_Int1),FT_PreY5+FT_PerYear*INT((AT8-FT_Y5)/12)+FT_AnnivDays+INT(MOD(AT8-FT_Y5,12)/FT_Int2))),IF(AR8="PT",IF(AT8&lt;PT_First,0,1+INT((AT8-PT_First)/PT_Int)),0))-IF(AR8="FT",IF(AV8&lt;FT_First,0,IF(AV8&lt;FT_Y5,1+INT((AV8-FT_First)/FT_Int1),FT_PreY5+FT_PerYear*INT((AV8-FT_Y5)/12)+FT_AnnivDays+INT(MOD(AV8-FT_Y5,12)/FT_Int2))),IF(AR8="PT",IF(AV8&lt;PT_First,0,1+INT((AV8-PT_First)/PT_Int)),0)),0))</f>
        <v>0</v>
      </c>
      <c r="BA8" s="19" t="n">
        <f aca="false">IF(AG8=0,"",IF(AP8="FT",IF(AX8&lt;FT_First,0,IF(AX8&lt;FT_Y5,1+INT((AX8-FT_First)/FT_Int1),FT_PreY5+FT_PerYear*INT((AX8-FT_Y5)/12)+FT_AnnivDays+INT(MOD(AX8-FT_Y5,12)/FT_Int2))),IF(AP8="PT",IF(AX8&lt;PT_First,0,1+INT((AX8-PT_First)/PT_Int)),0))+IF(AND(AI8&gt;=2,AK8&lt;=PFYDate),IF(AQ8="FT",IF(AY8&lt;FT_First,0,IF(AY8&lt;FT_Y5,1+INT((AY8-FT_First)/FT_Int1),FT_PreY5+FT_PerYear*INT((AY8-FT_Y5)/12)+FT_AnnivDays+INT(MOD(AY8-FT_Y5,12)/FT_Int2))),IF(AQ8="PT",IF(AY8&lt;PT_First,0,1+INT((AY8-PT_First)/PT_Int)),0))-IF(AQ8="FT",IF(AX8&lt;FT_First,0,IF(AX8&lt;FT_Y5,1+INT((AX8-FT_First)/FT_Int1),FT_PreY5+FT_PerYear*INT((AX8-FT_Y5)/12)+FT_AnnivDays+INT(MOD(AX8-FT_Y5,12)/FT_Int2))),IF(AQ8="PT",IF(AX8&lt;PT_First,0,1+INT((AX8-PT_First)/PT_Int)),0)),0)+IF(AND(AI8&gt;=3,AL8&lt;=PFYDate),IF(AR8="FT",IF(AW8&lt;FT_First,0,IF(AW8&lt;FT_Y5,1+INT((AW8-FT_First)/FT_Int1),FT_PreY5+FT_PerYear*INT((AW8-FT_Y5)/12)+FT_AnnivDays+INT(MOD(AW8-FT_Y5,12)/FT_Int2))),IF(AR8="PT",IF(AW8&lt;PT_First,0,1+INT((AW8-PT_First)/PT_Int)),0))-IF(AR8="FT",IF(AY8&lt;FT_First,0,IF(AY8&lt;FT_Y5,1+INT((AY8-FT_First)/FT_Int1),FT_PreY5+FT_PerYear*INT((AY8-FT_Y5)/12)+FT_AnnivDays+INT(MOD(AY8-FT_Y5,12)/FT_Int2))),IF(AR8="PT",IF(AY8&lt;PT_First,0,1+INT((AY8-PT_First)/PT_Int)),0)),0))</f>
        <v>0</v>
      </c>
      <c r="BB8" s="19" t="str">
        <f aca="false">IF(AG8=0,"",IF(AS8="FT",IF(AT8&lt;FT_First,FT_First,IF(AT8&lt;FT_Y5,MIN(FT_Y5,FT_First+FT_Int1*(INT((AT8-FT_First)/FT_Int1)+1)),FT_Y5+12*INT((AT8-FT_Y5)/12)+FT_Int2*(INT(MOD(AT8-FT_Y5,12)/FT_Int2)+1))),IF(AS8="PT",IF(AT8&lt;PT_First,PT_First,PT_First+PT_Int*(INT((AT8-PT_First)/PT_Int)+1)),"")))</f>
        <v/>
      </c>
      <c r="BC8" s="19" t="n">
        <f aca="false">IF(AG8=0,"",IF(NOT(LH_Ready),0,COUNTIFS(INDEX(LH_Data,0,LH_ColFirst),$A8,INDEX(LH_Data,0,LH_ColSur),$B8,INDEX(LH_Data,0,LH_ColCat),BonusCat)))</f>
        <v>0</v>
      </c>
      <c r="BD8" s="19" t="n">
        <f aca="false">IF(AG8=0,"",IF(OR(NOT(LH_Ready),BC8=0),0,SUMPRODUCT(MAX((INDEX(LH_Data,0,LH_ColFirst)=$A8)*(INDEX(LH_Data,0,LH_ColSur)=$B8)*(INDEX(LH_Data,0,LH_ColCat)=BonusCat)*ROW(LH_Data)))))</f>
        <v>0</v>
      </c>
      <c r="BE8" s="19" t="n">
        <f aca="false">IF(AG8=0,"",IF(EOMONTH(AsOfDate,-1)&lt;AH8,-1,12*(YEAR(EOMONTH(AsOfDate,-1))-YEAR(AH8))+MONTH(EOMONTH(AsOfDate,-1))-MONTH(AH8)-IF(DAY(EOMONTH(AsOfDate,-1))&lt;MIN(DAY(AH8),DAY(EOMONTH(EOMONTH(AsOfDate,-1),0))),1,0)))</f>
        <v>47</v>
      </c>
      <c r="BF8" s="19" t="n">
        <f aca="false">IF(AG8=0,"",IF(OR(AI8&lt;2,AK8&gt;EOMONTH(AsOfDate,-1)),BE8,IF((AK8-1)&lt;AH8,-1,12*(YEAR((AK8-1))-YEAR(AH8))+MONTH((AK8-1))-MONTH(AH8)-IF(DAY((AK8-1))&lt;MIN(DAY(AH8),DAY(EOMONTH((AK8-1),0))),1,0))))</f>
        <v>47</v>
      </c>
      <c r="BG8" s="19" t="n">
        <f aca="false">IF(AG8=0,"",IF(OR(AI8&lt;3,AL8&gt;EOMONTH(AsOfDate,-1)),BE8,IF((AL8-1)&lt;AH8,-1,12*(YEAR((AL8-1))-YEAR(AH8))+MONTH((AL8-1))-MONTH(AH8)-IF(DAY((AL8-1))&lt;MIN(DAY(AH8),DAY(EOMONTH((AL8-1),0))),1,0))))</f>
        <v>47</v>
      </c>
      <c r="BH8" s="19" t="n">
        <f aca="false">IF(AG8=0,"",IF(AP8="FT",IF(BF8&lt;FT_First,0,IF(BF8&lt;FT_Y5,1+INT((BF8-FT_First)/FT_Int1),FT_PreY5+FT_PerYear*INT((BF8-FT_Y5)/12)+FT_AnnivDays+INT(MOD(BF8-FT_Y5,12)/FT_Int2))),IF(AP8="PT",IF(BF8&lt;PT_First,0,1+INT((BF8-PT_First)/PT_Int)),0))+IF(AND(AI8&gt;=2,AK8&lt;=EOMONTH(AsOfDate,-1)),IF(AQ8="FT",IF(BG8&lt;FT_First,0,IF(BG8&lt;FT_Y5,1+INT((BG8-FT_First)/FT_Int1),FT_PreY5+FT_PerYear*INT((BG8-FT_Y5)/12)+FT_AnnivDays+INT(MOD(BG8-FT_Y5,12)/FT_Int2))),IF(AQ8="PT",IF(BG8&lt;PT_First,0,1+INT((BG8-PT_First)/PT_Int)),0))-IF(AQ8="FT",IF(BF8&lt;FT_First,0,IF(BF8&lt;FT_Y5,1+INT((BF8-FT_First)/FT_Int1),FT_PreY5+FT_PerYear*INT((BF8-FT_Y5)/12)+FT_AnnivDays+INT(MOD(BF8-FT_Y5,12)/FT_Int2))),IF(AQ8="PT",IF(BF8&lt;PT_First,0,1+INT((BF8-PT_First)/PT_Int)),0)),0)+IF(AND(AI8&gt;=3,AL8&lt;=EOMONTH(AsOfDate,-1)),IF(AR8="FT",IF(BE8&lt;FT_First,0,IF(BE8&lt;FT_Y5,1+INT((BE8-FT_First)/FT_Int1),FT_PreY5+FT_PerYear*INT((BE8-FT_Y5)/12)+FT_AnnivDays+INT(MOD(BE8-FT_Y5,12)/FT_Int2))),IF(AR8="PT",IF(BE8&lt;PT_First,0,1+INT((BE8-PT_First)/PT_Int)),0))-IF(AR8="FT",IF(BG8&lt;FT_First,0,IF(BG8&lt;FT_Y5,1+INT((BG8-FT_First)/FT_Int1),FT_PreY5+FT_PerYear*INT((BG8-FT_Y5)/12)+FT_AnnivDays+INT(MOD(BG8-FT_Y5,12)/FT_Int2))),IF(AR8="PT",IF(BG8&lt;PT_First,0,1+INT((BG8-PT_First)/PT_Int)),0)),0))</f>
        <v>0</v>
      </c>
      <c r="BI8" s="19" t="str">
        <f aca="false">IF(AG8=0,"",IF(AS8="FT",IF(AT8&lt;FT_First,"",IF(AT8&lt;FT_Y5,FT_First+FT_Int1*INT((AT8-FT_First)/FT_Int1),FT_Y5+FT_Int2*INT((AT8-FT_Y5)/FT_Int2))),IF(AS8="PT",IF(AT8&lt;PT_First,"",PT_First+PT_Int*INT((AT8-PT_First)/PT_Int)),"")))</f>
        <v/>
      </c>
      <c r="BJ8" s="0" t="str">
        <f aca="false">IF(LEN($A8&amp;$B8)=0,"",$A8&amp;" "&amp;$B8)</f>
        <v>Alex Gage</v>
      </c>
    </row>
    <row r="9" customFormat="false" ht="15" hidden="false" customHeight="false" outlineLevel="0" collapsed="false">
      <c r="A9" s="15" t="s">
        <v>145</v>
      </c>
      <c r="B9" s="15" t="s">
        <v>146</v>
      </c>
      <c r="C9" s="15" t="s">
        <v>138</v>
      </c>
      <c r="D9" s="16" t="n">
        <v>34916</v>
      </c>
      <c r="E9" s="17" t="n">
        <f aca="false">IF(OR(AG9=0,$D9=""),"",DATE(YEAR(AsOfDate)+IF(DATE(YEAR(AsOfDate),MONTH($D9),DAY($D9))&lt;=AsOfDate,1,0),MONTH($D9),DAY($D9)))</f>
        <v>46604</v>
      </c>
      <c r="F9" s="16" t="n">
        <v>46055</v>
      </c>
      <c r="G9" s="16"/>
      <c r="H9" s="16"/>
      <c r="I9" s="16"/>
      <c r="J9" s="16"/>
      <c r="K9" s="17" t="n">
        <f aca="false">IF(AG9=0,"",DATE(YEAR(AsOfDate)+IF(DATE(YEAR(AsOfDate),MONTH(AH9),DAY(AH9))&lt;=AsOfDate,1,0),MONTH(AH9),DAY(AH9)))</f>
        <v>46420</v>
      </c>
      <c r="L9" s="18" t="n">
        <f aca="false">IF(AG9=0,"",ROUND((AsOfDate-AH9)/365.25,1))</f>
        <v>0.7</v>
      </c>
      <c r="M9" s="19" t="str">
        <f aca="false">IF(AG9=0,"",IF(AsOfDate&lt;AH9,"-",DATEDIF(AH9,AsOfDate,"y")&amp;"y "&amp;DATEDIF(AH9,AsOfDate,"ym")&amp;"m "&amp;DATEDIF(AH9,AsOfDate,"md")&amp;"d"))</f>
        <v>0y 8m 4d</v>
      </c>
      <c r="N9" s="20" t="n">
        <f aca="false">IF(AG9=0,"",O9*HoursPerDay)</f>
        <v>0</v>
      </c>
      <c r="O9" s="20" t="n">
        <f aca="false">IF(AG9=0,"",AZ9)</f>
        <v>0</v>
      </c>
      <c r="P9" s="21"/>
      <c r="Q9" s="19"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19"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17" t="str">
        <f aca="false">IF(AG9=0,"",IF(AS9="None","",EDATE(AH9,BB9)))</f>
        <v/>
      </c>
      <c r="T9" s="20" t="n">
        <f aca="false">IF(AG9=0,"",IF(NOT(LH_Ready),"",IF(AH9&gt;PFYDate,0,IF(LH_ColPeriod=0,W9-U9+V9,SUMIFS(INDEX(LH_Data,0,LH_ColAcc),INDEX(LH_Data,0,LH_ColFirst),$A9,INDEX(LH_Data,0,LH_ColSur),$B9,INDEX(LH_Data,0,LH_ColCat),BonusCat,INDEX(LH_Data,0,LH_ColPeriod),LH_OpenLabel)*UnitFactor))))</f>
        <v>0</v>
      </c>
      <c r="U9" s="20" t="n">
        <f aca="false">IF(AG9=0,"",IF(NOT(LH_Ready),"",SUMIFS(INDEX(LH_Data,0,LH_ColAcc),INDEX(LH_Data,0,LH_ColFirst),$A9,INDEX(LH_Data,0,LH_ColSur),$B9,INDEX(LH_Data,0,LH_ColCat),BonusCat,INDEX(LH_Data,0,LH_ColStart),"&gt;="&amp;AH9)*UnitFactor))</f>
        <v>0</v>
      </c>
      <c r="V9" s="20" t="n">
        <f aca="false">IF(AG9=0,"",IF(NOT(LH_Ready),"",SUMIFS(INDEX(LH_Data,0,LH_ColTaken),INDEX(LH_Data,0,LH_ColFirst),$A9,INDEX(LH_Data,0,LH_ColSur),$B9,INDEX(LH_Data,0,LH_ColCat),BonusCat,INDEX(LH_Data,0,LH_ColStart),"&gt;="&amp;AH9)*UnitFactor))</f>
        <v>0</v>
      </c>
      <c r="W9" s="20" t="n">
        <f aca="false">IF(AG9=0,"",IF(NOT(LH_Ready),"",IF(BD9=0,0,INDEX(INDEX(LH_Data,0,LH_ColClose),BD9-1)*UnitFactor)))</f>
        <v>0</v>
      </c>
      <c r="X9" s="20" t="n">
        <f aca="false">IF(AG9=0,"",(AZ9-BA9)*HoursPerDay)</f>
        <v>0</v>
      </c>
      <c r="Y9" s="20" t="n">
        <f aca="false">IF(AG9=0,"",IF(NOT(LH_Ready),"",IF(BC9=0,N9,IF(PFYDate&lt;$F9,N9-N(T9)-N(U9),X9-N(U9)))))</f>
        <v>0</v>
      </c>
      <c r="Z9" s="19" t="str">
        <f aca="false">IF(OR(AG9=0,Y9=""),"",IF(Y9&gt;0,"Yes","No"))</f>
        <v>No</v>
      </c>
      <c r="AA9" s="19"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Not eligible - Casual</v>
      </c>
      <c r="AB9" s="20" t="n">
        <f aca="false">IF(OR(AG9=0,T9=""),"",BA9*HoursPerDay-T9)</f>
        <v>0</v>
      </c>
      <c r="AC9" s="19" t="n">
        <f aca="false">IF(AG9=0,"",BC9)</f>
        <v>0</v>
      </c>
      <c r="AD9" s="19"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20" t="n">
        <f aca="false">IF(AG9=0,"",O9-BH9)</f>
        <v>0</v>
      </c>
      <c r="AF9" s="17" t="str">
        <f aca="false">IF(OR(AG9=0,AE9="",N(AE9)=0,BI9=""),"",EDATE(AH9,BI9))</f>
        <v/>
      </c>
      <c r="AG9" s="19" t="n">
        <f aca="false">IF(OR(LEN($A9&amp;$B9)=0,$F9=""),0,1)</f>
        <v>1</v>
      </c>
      <c r="AH9" s="17" t="n">
        <f aca="false">IF(AG9=0,"",IF($J9&lt;&gt;"",$J9,IF(OR(CasualCounts="Yes",COUNT($G9:$I9)=0,COUNT($H9:$I9)=0),$F9,MIN($H9:$I9))))</f>
        <v>46055</v>
      </c>
      <c r="AI9" s="19" t="n">
        <f aca="false">IF(AG9=0,"",COUNT($G9:$I9))</f>
        <v>0</v>
      </c>
      <c r="AJ9" s="17" t="str">
        <f aca="false">IF(AG9=0,"",IFERROR(SMALL($G9:$I9,1),""))</f>
        <v/>
      </c>
      <c r="AK9" s="17" t="str">
        <f aca="false">IF(AG9=0,"",IFERROR(SMALL($G9:$I9,2),""))</f>
        <v/>
      </c>
      <c r="AL9" s="17" t="str">
        <f aca="false">IF(AG9=0,"",IFERROR(SMALL($G9:$I9,3),""))</f>
        <v/>
      </c>
      <c r="AM9" s="19" t="str">
        <f aca="false">IF(AG9=0,"",IF(AJ9="","",IF(AJ9=$H9,"Part-Time",IF(AJ9=$I9,"Full-Time","Casual"))))</f>
        <v/>
      </c>
      <c r="AN9" s="19" t="str">
        <f aca="false">IF(AG9=0,"",IF(AK9="","",IF(AK9=$H9,"Part-Time",IF(AK9=$I9,"Full-Time","Casual"))))</f>
        <v/>
      </c>
      <c r="AO9" s="19" t="str">
        <f aca="false">IF(AG9=0,"",IF(AL9="","",IF(AL9=$H9,"Part-Time",IF(AL9=$I9,"Full-Time","Casual"))))</f>
        <v/>
      </c>
      <c r="AP9" s="19"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None</v>
      </c>
      <c r="AQ9" s="19" t="str">
        <f aca="false">IF(AG9=0,"",IF(AI9&lt;2,"",IF(OR(ISNUMBER(SEARCH("full",AN9)),UPPER(TRIM(AN9))="FT",UPPER(TRIM(AN9))="FTE"),"FT",IF(AND(OR(ISNUMBER(SEARCH("part",AN9)),UPPER(TRIM(AN9))="PT",UPPER(TRIM(AN9))="PTE"),OR($P9="",N($P9)&gt;=PT_MinHours)),"PT","None"))))</f>
        <v/>
      </c>
      <c r="AR9" s="19" t="str">
        <f aca="false">IF(AG9=0,"",IF(AI9&lt;3,"",IF(OR(ISNUMBER(SEARCH("full",AO9)),UPPER(TRIM(AO9))="FT",UPPER(TRIM(AO9))="FTE"),"FT",IF(AND(OR(ISNUMBER(SEARCH("part",AO9)),UPPER(TRIM(AO9))="PT",UPPER(TRIM(AO9))="PTE"),OR($P9="",N($P9)&gt;=PT_MinHours)),"PT","None"))))</f>
        <v/>
      </c>
      <c r="AS9" s="19" t="str">
        <f aca="false">IF(AG9=0,"",IF(AND(AI9&gt;=3,AL9&lt;=AsOfDate),AR9,IF(AND(AI9&gt;=2,AK9&lt;=AsOfDate),AQ9,AP9)))</f>
        <v>None</v>
      </c>
      <c r="AT9" s="19" t="n">
        <f aca="false">IF(AG9=0,"",IF(AsOfDate&lt;AH9,-1,12*(YEAR(AsOfDate)-YEAR(AH9))+MONTH(AsOfDate)-MONTH(AH9)-IF(DAY(AsOfDate)&lt;MIN(DAY(AH9),DAY(EOMONTH(AsOfDate,0))),1,0)))</f>
        <v>8</v>
      </c>
      <c r="AU9" s="19" t="n">
        <f aca="false">IF(AG9=0,"",IF(OR(AI9&lt;2,AK9&gt;AsOfDate),AT9,IF((AK9-1)&lt;AH9,-1,12*(YEAR((AK9-1))-YEAR(AH9))+MONTH((AK9-1))-MONTH(AH9)-IF(DAY((AK9-1))&lt;MIN(DAY(AH9),DAY(EOMONTH((AK9-1),0))),1,0))))</f>
        <v>8</v>
      </c>
      <c r="AV9" s="19" t="n">
        <f aca="false">IF(AG9=0,"",IF(OR(AI9&lt;3,AL9&gt;AsOfDate),AT9,IF((AL9-1)&lt;AH9,-1,12*(YEAR((AL9-1))-YEAR(AH9))+MONTH((AL9-1))-MONTH(AH9)-IF(DAY((AL9-1))&lt;MIN(DAY(AH9),DAY(EOMONTH((AL9-1),0))),1,0))))</f>
        <v>8</v>
      </c>
      <c r="AW9" s="19" t="n">
        <f aca="false">IF(AG9=0,"",IF(PFYDate&lt;AH9,-1,12*(YEAR(PFYDate)-YEAR(AH9))+MONTH(PFYDate)-MONTH(AH9)-IF(DAY(PFYDate)&lt;MIN(DAY(AH9),DAY(EOMONTH(PFYDate,0))),1,0)))</f>
        <v>-1</v>
      </c>
      <c r="AX9" s="19" t="n">
        <f aca="false">IF(AG9=0,"",IF(OR(AI9&lt;2,AK9&gt;PFYDate),AW9,IF((AK9-1)&lt;AH9,-1,12*(YEAR((AK9-1))-YEAR(AH9))+MONTH((AK9-1))-MONTH(AH9)-IF(DAY((AK9-1))&lt;MIN(DAY(AH9),DAY(EOMONTH((AK9-1),0))),1,0))))</f>
        <v>-1</v>
      </c>
      <c r="AY9" s="19" t="n">
        <f aca="false">IF(AG9=0,"",IF(OR(AI9&lt;3,AL9&gt;PFYDate),AW9,IF((AL9-1)&lt;AH9,-1,12*(YEAR((AL9-1))-YEAR(AH9))+MONTH((AL9-1))-MONTH(AH9)-IF(DAY((AL9-1))&lt;MIN(DAY(AH9),DAY(EOMONTH((AL9-1),0))),1,0))))</f>
        <v>-1</v>
      </c>
      <c r="AZ9" s="19" t="n">
        <f aca="false">IF(AG9=0,"",IF(AP9="FT",IF(AU9&lt;FT_First,0,IF(AU9&lt;FT_Y5,1+INT((AU9-FT_First)/FT_Int1),FT_PreY5+FT_PerYear*INT((AU9-FT_Y5)/12)+FT_AnnivDays+INT(MOD(AU9-FT_Y5,12)/FT_Int2))),IF(AP9="PT",IF(AU9&lt;PT_First,0,1+INT((AU9-PT_First)/PT_Int)),0))+IF(AND(AI9&gt;=2,AK9&lt;=AsOfDate),IF(AQ9="FT",IF(AV9&lt;FT_First,0,IF(AV9&lt;FT_Y5,1+INT((AV9-FT_First)/FT_Int1),FT_PreY5+FT_PerYear*INT((AV9-FT_Y5)/12)+FT_AnnivDays+INT(MOD(AV9-FT_Y5,12)/FT_Int2))),IF(AQ9="PT",IF(AV9&lt;PT_First,0,1+INT((AV9-PT_First)/PT_Int)),0))-IF(AQ9="FT",IF(AU9&lt;FT_First,0,IF(AU9&lt;FT_Y5,1+INT((AU9-FT_First)/FT_Int1),FT_PreY5+FT_PerYear*INT((AU9-FT_Y5)/12)+FT_AnnivDays+INT(MOD(AU9-FT_Y5,12)/FT_Int2))),IF(AQ9="PT",IF(AU9&lt;PT_First,0,1+INT((AU9-PT_First)/PT_Int)),0)),0)+IF(AND(AI9&gt;=3,AL9&lt;=AsOfDate),IF(AR9="FT",IF(AT9&lt;FT_First,0,IF(AT9&lt;FT_Y5,1+INT((AT9-FT_First)/FT_Int1),FT_PreY5+FT_PerYear*INT((AT9-FT_Y5)/12)+FT_AnnivDays+INT(MOD(AT9-FT_Y5,12)/FT_Int2))),IF(AR9="PT",IF(AT9&lt;PT_First,0,1+INT((AT9-PT_First)/PT_Int)),0))-IF(AR9="FT",IF(AV9&lt;FT_First,0,IF(AV9&lt;FT_Y5,1+INT((AV9-FT_First)/FT_Int1),FT_PreY5+FT_PerYear*INT((AV9-FT_Y5)/12)+FT_AnnivDays+INT(MOD(AV9-FT_Y5,12)/FT_Int2))),IF(AR9="PT",IF(AV9&lt;PT_First,0,1+INT((AV9-PT_First)/PT_Int)),0)),0))</f>
        <v>0</v>
      </c>
      <c r="BA9" s="19" t="n">
        <f aca="false">IF(AG9=0,"",IF(AP9="FT",IF(AX9&lt;FT_First,0,IF(AX9&lt;FT_Y5,1+INT((AX9-FT_First)/FT_Int1),FT_PreY5+FT_PerYear*INT((AX9-FT_Y5)/12)+FT_AnnivDays+INT(MOD(AX9-FT_Y5,12)/FT_Int2))),IF(AP9="PT",IF(AX9&lt;PT_First,0,1+INT((AX9-PT_First)/PT_Int)),0))+IF(AND(AI9&gt;=2,AK9&lt;=PFYDate),IF(AQ9="FT",IF(AY9&lt;FT_First,0,IF(AY9&lt;FT_Y5,1+INT((AY9-FT_First)/FT_Int1),FT_PreY5+FT_PerYear*INT((AY9-FT_Y5)/12)+FT_AnnivDays+INT(MOD(AY9-FT_Y5,12)/FT_Int2))),IF(AQ9="PT",IF(AY9&lt;PT_First,0,1+INT((AY9-PT_First)/PT_Int)),0))-IF(AQ9="FT",IF(AX9&lt;FT_First,0,IF(AX9&lt;FT_Y5,1+INT((AX9-FT_First)/FT_Int1),FT_PreY5+FT_PerYear*INT((AX9-FT_Y5)/12)+FT_AnnivDays+INT(MOD(AX9-FT_Y5,12)/FT_Int2))),IF(AQ9="PT",IF(AX9&lt;PT_First,0,1+INT((AX9-PT_First)/PT_Int)),0)),0)+IF(AND(AI9&gt;=3,AL9&lt;=PFYDate),IF(AR9="FT",IF(AW9&lt;FT_First,0,IF(AW9&lt;FT_Y5,1+INT((AW9-FT_First)/FT_Int1),FT_PreY5+FT_PerYear*INT((AW9-FT_Y5)/12)+FT_AnnivDays+INT(MOD(AW9-FT_Y5,12)/FT_Int2))),IF(AR9="PT",IF(AW9&lt;PT_First,0,1+INT((AW9-PT_First)/PT_Int)),0))-IF(AR9="FT",IF(AY9&lt;FT_First,0,IF(AY9&lt;FT_Y5,1+INT((AY9-FT_First)/FT_Int1),FT_PreY5+FT_PerYear*INT((AY9-FT_Y5)/12)+FT_AnnivDays+INT(MOD(AY9-FT_Y5,12)/FT_Int2))),IF(AR9="PT",IF(AY9&lt;PT_First,0,1+INT((AY9-PT_First)/PT_Int)),0)),0))</f>
        <v>0</v>
      </c>
      <c r="BB9" s="19" t="str">
        <f aca="false">IF(AG9=0,"",IF(AS9="FT",IF(AT9&lt;FT_First,FT_First,IF(AT9&lt;FT_Y5,MIN(FT_Y5,FT_First+FT_Int1*(INT((AT9-FT_First)/FT_Int1)+1)),FT_Y5+12*INT((AT9-FT_Y5)/12)+FT_Int2*(INT(MOD(AT9-FT_Y5,12)/FT_Int2)+1))),IF(AS9="PT",IF(AT9&lt;PT_First,PT_First,PT_First+PT_Int*(INT((AT9-PT_First)/PT_Int)+1)),"")))</f>
        <v/>
      </c>
      <c r="BC9" s="19" t="n">
        <f aca="false">IF(AG9=0,"",IF(NOT(LH_Ready),0,COUNTIFS(INDEX(LH_Data,0,LH_ColFirst),$A9,INDEX(LH_Data,0,LH_ColSur),$B9,INDEX(LH_Data,0,LH_ColCat),BonusCat)))</f>
        <v>0</v>
      </c>
      <c r="BD9" s="19" t="n">
        <f aca="false">IF(AG9=0,"",IF(OR(NOT(LH_Ready),BC9=0),0,SUMPRODUCT(MAX((INDEX(LH_Data,0,LH_ColFirst)=$A9)*(INDEX(LH_Data,0,LH_ColSur)=$B9)*(INDEX(LH_Data,0,LH_ColCat)=BonusCat)*ROW(LH_Data)))))</f>
        <v>0</v>
      </c>
      <c r="BE9" s="19" t="n">
        <f aca="false">IF(AG9=0,"",IF(EOMONTH(AsOfDate,-1)&lt;AH9,-1,12*(YEAR(EOMONTH(AsOfDate,-1))-YEAR(AH9))+MONTH(EOMONTH(AsOfDate,-1))-MONTH(AH9)-IF(DAY(EOMONTH(AsOfDate,-1))&lt;MIN(DAY(AH9),DAY(EOMONTH(EOMONTH(AsOfDate,-1),0))),1,0)))</f>
        <v>7</v>
      </c>
      <c r="BF9" s="19" t="n">
        <f aca="false">IF(AG9=0,"",IF(OR(AI9&lt;2,AK9&gt;EOMONTH(AsOfDate,-1)),BE9,IF((AK9-1)&lt;AH9,-1,12*(YEAR((AK9-1))-YEAR(AH9))+MONTH((AK9-1))-MONTH(AH9)-IF(DAY((AK9-1))&lt;MIN(DAY(AH9),DAY(EOMONTH((AK9-1),0))),1,0))))</f>
        <v>7</v>
      </c>
      <c r="BG9" s="19" t="n">
        <f aca="false">IF(AG9=0,"",IF(OR(AI9&lt;3,AL9&gt;EOMONTH(AsOfDate,-1)),BE9,IF((AL9-1)&lt;AH9,-1,12*(YEAR((AL9-1))-YEAR(AH9))+MONTH((AL9-1))-MONTH(AH9)-IF(DAY((AL9-1))&lt;MIN(DAY(AH9),DAY(EOMONTH((AL9-1),0))),1,0))))</f>
        <v>7</v>
      </c>
      <c r="BH9" s="19" t="n">
        <f aca="false">IF(AG9=0,"",IF(AP9="FT",IF(BF9&lt;FT_First,0,IF(BF9&lt;FT_Y5,1+INT((BF9-FT_First)/FT_Int1),FT_PreY5+FT_PerYear*INT((BF9-FT_Y5)/12)+FT_AnnivDays+INT(MOD(BF9-FT_Y5,12)/FT_Int2))),IF(AP9="PT",IF(BF9&lt;PT_First,0,1+INT((BF9-PT_First)/PT_Int)),0))+IF(AND(AI9&gt;=2,AK9&lt;=EOMONTH(AsOfDate,-1)),IF(AQ9="FT",IF(BG9&lt;FT_First,0,IF(BG9&lt;FT_Y5,1+INT((BG9-FT_First)/FT_Int1),FT_PreY5+FT_PerYear*INT((BG9-FT_Y5)/12)+FT_AnnivDays+INT(MOD(BG9-FT_Y5,12)/FT_Int2))),IF(AQ9="PT",IF(BG9&lt;PT_First,0,1+INT((BG9-PT_First)/PT_Int)),0))-IF(AQ9="FT",IF(BF9&lt;FT_First,0,IF(BF9&lt;FT_Y5,1+INT((BF9-FT_First)/FT_Int1),FT_PreY5+FT_PerYear*INT((BF9-FT_Y5)/12)+FT_AnnivDays+INT(MOD(BF9-FT_Y5,12)/FT_Int2))),IF(AQ9="PT",IF(BF9&lt;PT_First,0,1+INT((BF9-PT_First)/PT_Int)),0)),0)+IF(AND(AI9&gt;=3,AL9&lt;=EOMONTH(AsOfDate,-1)),IF(AR9="FT",IF(BE9&lt;FT_First,0,IF(BE9&lt;FT_Y5,1+INT((BE9-FT_First)/FT_Int1),FT_PreY5+FT_PerYear*INT((BE9-FT_Y5)/12)+FT_AnnivDays+INT(MOD(BE9-FT_Y5,12)/FT_Int2))),IF(AR9="PT",IF(BE9&lt;PT_First,0,1+INT((BE9-PT_First)/PT_Int)),0))-IF(AR9="FT",IF(BG9&lt;FT_First,0,IF(BG9&lt;FT_Y5,1+INT((BG9-FT_First)/FT_Int1),FT_PreY5+FT_PerYear*INT((BG9-FT_Y5)/12)+FT_AnnivDays+INT(MOD(BG9-FT_Y5,12)/FT_Int2))),IF(AR9="PT",IF(BG9&lt;PT_First,0,1+INT((BG9-PT_First)/PT_Int)),0)),0))</f>
        <v>0</v>
      </c>
      <c r="BI9" s="19" t="str">
        <f aca="false">IF(AG9=0,"",IF(AS9="FT",IF(AT9&lt;FT_First,"",IF(AT9&lt;FT_Y5,FT_First+FT_Int1*INT((AT9-FT_First)/FT_Int1),FT_Y5+FT_Int2*INT((AT9-FT_Y5)/FT_Int2))),IF(AS9="PT",IF(AT9&lt;PT_First,"",PT_First+PT_Int*INT((AT9-PT_First)/PT_Int)),"")))</f>
        <v/>
      </c>
      <c r="BJ9" s="0" t="str">
        <f aca="false">IF(LEN($A9&amp;$B9)=0,"",$A9&amp;" "&amp;$B9)</f>
        <v>Alexander Mattock</v>
      </c>
    </row>
    <row r="10" customFormat="false" ht="15" hidden="false" customHeight="false" outlineLevel="0" collapsed="false">
      <c r="A10" s="15" t="s">
        <v>147</v>
      </c>
      <c r="B10" s="15" t="s">
        <v>148</v>
      </c>
      <c r="C10" s="15" t="s">
        <v>138</v>
      </c>
      <c r="D10" s="16" t="n">
        <v>37805</v>
      </c>
      <c r="E10" s="17" t="n">
        <f aca="false">IF(OR(AG10=0,$D10=""),"",DATE(YEAR(AsOfDate)+IF(DATE(YEAR(AsOfDate),MONTH($D10),DAY($D10))&lt;=AsOfDate,1,0),MONTH($D10),DAY($D10)))</f>
        <v>46571</v>
      </c>
      <c r="F10" s="16" t="n">
        <v>45747</v>
      </c>
      <c r="G10" s="16"/>
      <c r="H10" s="16"/>
      <c r="I10" s="16"/>
      <c r="J10" s="16"/>
      <c r="K10" s="17" t="n">
        <f aca="false">IF(AG10=0,"",DATE(YEAR(AsOfDate)+IF(DATE(YEAR(AsOfDate),MONTH(AH10),DAY(AH10))&lt;=AsOfDate,1,0),MONTH(AH10),DAY(AH10)))</f>
        <v>46477</v>
      </c>
      <c r="L10" s="18" t="n">
        <f aca="false">IF(AG10=0,"",ROUND((AsOfDate-AH10)/365.25,1))</f>
        <v>1.5</v>
      </c>
      <c r="M10" s="19" t="str">
        <f aca="false">IF(AG10=0,"",IF(AsOfDate&lt;AH10,"-",DATEDIF(AH10,AsOfDate,"y")&amp;"y "&amp;DATEDIF(AH10,AsOfDate,"ym")&amp;"m "&amp;DATEDIF(AH10,AsOfDate,"md")&amp;"d"))</f>
        <v>1y 6m 5d</v>
      </c>
      <c r="N10" s="20" t="n">
        <f aca="false">IF(AG10=0,"",O10*HoursPerDay)</f>
        <v>0</v>
      </c>
      <c r="O10" s="20" t="n">
        <f aca="false">IF(AG10=0,"",AZ10)</f>
        <v>0</v>
      </c>
      <c r="P10" s="21"/>
      <c r="Q10" s="19"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19"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17" t="str">
        <f aca="false">IF(AG10=0,"",IF(AS10="None","",EDATE(AH10,BB10)))</f>
        <v/>
      </c>
      <c r="T10" s="20" t="n">
        <f aca="false">IF(AG10=0,"",IF(NOT(LH_Ready),"",IF(AH10&gt;PFYDate,0,IF(LH_ColPeriod=0,W10-U10+V10,SUMIFS(INDEX(LH_Data,0,LH_ColAcc),INDEX(LH_Data,0,LH_ColFirst),$A10,INDEX(LH_Data,0,LH_ColSur),$B10,INDEX(LH_Data,0,LH_ColCat),BonusCat,INDEX(LH_Data,0,LH_ColPeriod),LH_OpenLabel)*UnitFactor))))</f>
        <v>0</v>
      </c>
      <c r="U10" s="20" t="n">
        <f aca="false">IF(AG10=0,"",IF(NOT(LH_Ready),"",SUMIFS(INDEX(LH_Data,0,LH_ColAcc),INDEX(LH_Data,0,LH_ColFirst),$A10,INDEX(LH_Data,0,LH_ColSur),$B10,INDEX(LH_Data,0,LH_ColCat),BonusCat,INDEX(LH_Data,0,LH_ColStart),"&gt;="&amp;AH10)*UnitFactor))</f>
        <v>0</v>
      </c>
      <c r="V10" s="20" t="n">
        <f aca="false">IF(AG10=0,"",IF(NOT(LH_Ready),"",SUMIFS(INDEX(LH_Data,0,LH_ColTaken),INDEX(LH_Data,0,LH_ColFirst),$A10,INDEX(LH_Data,0,LH_ColSur),$B10,INDEX(LH_Data,0,LH_ColCat),BonusCat,INDEX(LH_Data,0,LH_ColStart),"&gt;="&amp;AH10)*UnitFactor))</f>
        <v>0</v>
      </c>
      <c r="W10" s="20" t="n">
        <f aca="false">IF(AG10=0,"",IF(NOT(LH_Ready),"",IF(BD10=0,0,INDEX(INDEX(LH_Data,0,LH_ColClose),BD10-1)*UnitFactor)))</f>
        <v>0</v>
      </c>
      <c r="X10" s="20" t="n">
        <f aca="false">IF(AG10=0,"",(AZ10-BA10)*HoursPerDay)</f>
        <v>0</v>
      </c>
      <c r="Y10" s="20" t="n">
        <f aca="false">IF(AG10=0,"",IF(NOT(LH_Ready),"",IF(BC10=0,N10,IF(PFYDate&lt;$F10,N10-N(T10)-N(U10),X10-N(U10)))))</f>
        <v>0</v>
      </c>
      <c r="Z10" s="19" t="str">
        <f aca="false">IF(OR(AG10=0,Y10=""),"",IF(Y10&gt;0,"Yes","No"))</f>
        <v>No</v>
      </c>
      <c r="AA10" s="19"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Not eligible - Casual</v>
      </c>
      <c r="AB10" s="20" t="n">
        <f aca="false">IF(OR(AG10=0,T10=""),"",BA10*HoursPerDay-T10)</f>
        <v>0</v>
      </c>
      <c r="AC10" s="19" t="n">
        <f aca="false">IF(AG10=0,"",BC10)</f>
        <v>0</v>
      </c>
      <c r="AD10" s="19"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20" t="n">
        <f aca="false">IF(AG10=0,"",O10-BH10)</f>
        <v>0</v>
      </c>
      <c r="AF10" s="17" t="str">
        <f aca="false">IF(OR(AG10=0,AE10="",N(AE10)=0,BI10=""),"",EDATE(AH10,BI10))</f>
        <v/>
      </c>
      <c r="AG10" s="19" t="n">
        <f aca="false">IF(OR(LEN($A10&amp;$B10)=0,$F10=""),0,1)</f>
        <v>1</v>
      </c>
      <c r="AH10" s="17" t="n">
        <f aca="false">IF(AG10=0,"",IF($J10&lt;&gt;"",$J10,IF(OR(CasualCounts="Yes",COUNT($G10:$I10)=0,COUNT($H10:$I10)=0),$F10,MIN($H10:$I10))))</f>
        <v>45747</v>
      </c>
      <c r="AI10" s="19" t="n">
        <f aca="false">IF(AG10=0,"",COUNT($G10:$I10))</f>
        <v>0</v>
      </c>
      <c r="AJ10" s="17" t="str">
        <f aca="false">IF(AG10=0,"",IFERROR(SMALL($G10:$I10,1),""))</f>
        <v/>
      </c>
      <c r="AK10" s="17" t="str">
        <f aca="false">IF(AG10=0,"",IFERROR(SMALL($G10:$I10,2),""))</f>
        <v/>
      </c>
      <c r="AL10" s="17" t="str">
        <f aca="false">IF(AG10=0,"",IFERROR(SMALL($G10:$I10,3),""))</f>
        <v/>
      </c>
      <c r="AM10" s="19" t="str">
        <f aca="false">IF(AG10=0,"",IF(AJ10="","",IF(AJ10=$H10,"Part-Time",IF(AJ10=$I10,"Full-Time","Casual"))))</f>
        <v/>
      </c>
      <c r="AN10" s="19" t="str">
        <f aca="false">IF(AG10=0,"",IF(AK10="","",IF(AK10=$H10,"Part-Time",IF(AK10=$I10,"Full-Time","Casual"))))</f>
        <v/>
      </c>
      <c r="AO10" s="19" t="str">
        <f aca="false">IF(AG10=0,"",IF(AL10="","",IF(AL10=$H10,"Part-Time",IF(AL10=$I10,"Full-Time","Casual"))))</f>
        <v/>
      </c>
      <c r="AP10" s="19"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None</v>
      </c>
      <c r="AQ10" s="19" t="str">
        <f aca="false">IF(AG10=0,"",IF(AI10&lt;2,"",IF(OR(ISNUMBER(SEARCH("full",AN10)),UPPER(TRIM(AN10))="FT",UPPER(TRIM(AN10))="FTE"),"FT",IF(AND(OR(ISNUMBER(SEARCH("part",AN10)),UPPER(TRIM(AN10))="PT",UPPER(TRIM(AN10))="PTE"),OR($P10="",N($P10)&gt;=PT_MinHours)),"PT","None"))))</f>
        <v/>
      </c>
      <c r="AR10" s="19" t="str">
        <f aca="false">IF(AG10=0,"",IF(AI10&lt;3,"",IF(OR(ISNUMBER(SEARCH("full",AO10)),UPPER(TRIM(AO10))="FT",UPPER(TRIM(AO10))="FTE"),"FT",IF(AND(OR(ISNUMBER(SEARCH("part",AO10)),UPPER(TRIM(AO10))="PT",UPPER(TRIM(AO10))="PTE"),OR($P10="",N($P10)&gt;=PT_MinHours)),"PT","None"))))</f>
        <v/>
      </c>
      <c r="AS10" s="19" t="str">
        <f aca="false">IF(AG10=0,"",IF(AND(AI10&gt;=3,AL10&lt;=AsOfDate),AR10,IF(AND(AI10&gt;=2,AK10&lt;=AsOfDate),AQ10,AP10)))</f>
        <v>None</v>
      </c>
      <c r="AT10" s="19" t="n">
        <f aca="false">IF(AG10=0,"",IF(AsOfDate&lt;AH10,-1,12*(YEAR(AsOfDate)-YEAR(AH10))+MONTH(AsOfDate)-MONTH(AH10)-IF(DAY(AsOfDate)&lt;MIN(DAY(AH10),DAY(EOMONTH(AsOfDate,0))),1,0)))</f>
        <v>18</v>
      </c>
      <c r="AU10" s="19" t="n">
        <f aca="false">IF(AG10=0,"",IF(OR(AI10&lt;2,AK10&gt;AsOfDate),AT10,IF((AK10-1)&lt;AH10,-1,12*(YEAR((AK10-1))-YEAR(AH10))+MONTH((AK10-1))-MONTH(AH10)-IF(DAY((AK10-1))&lt;MIN(DAY(AH10),DAY(EOMONTH((AK10-1),0))),1,0))))</f>
        <v>18</v>
      </c>
      <c r="AV10" s="19" t="n">
        <f aca="false">IF(AG10=0,"",IF(OR(AI10&lt;3,AL10&gt;AsOfDate),AT10,IF((AL10-1)&lt;AH10,-1,12*(YEAR((AL10-1))-YEAR(AH10))+MONTH((AL10-1))-MONTH(AH10)-IF(DAY((AL10-1))&lt;MIN(DAY(AH10),DAY(EOMONTH((AL10-1),0))),1,0))))</f>
        <v>18</v>
      </c>
      <c r="AW10" s="19" t="n">
        <f aca="false">IF(AG10=0,"",IF(PFYDate&lt;AH10,-1,12*(YEAR(PFYDate)-YEAR(AH10))+MONTH(PFYDate)-MONTH(AH10)-IF(DAY(PFYDate)&lt;MIN(DAY(AH10),DAY(EOMONTH(PFYDate,0))),1,0)))</f>
        <v>-1</v>
      </c>
      <c r="AX10" s="19" t="n">
        <f aca="false">IF(AG10=0,"",IF(OR(AI10&lt;2,AK10&gt;PFYDate),AW10,IF((AK10-1)&lt;AH10,-1,12*(YEAR((AK10-1))-YEAR(AH10))+MONTH((AK10-1))-MONTH(AH10)-IF(DAY((AK10-1))&lt;MIN(DAY(AH10),DAY(EOMONTH((AK10-1),0))),1,0))))</f>
        <v>-1</v>
      </c>
      <c r="AY10" s="19" t="n">
        <f aca="false">IF(AG10=0,"",IF(OR(AI10&lt;3,AL10&gt;PFYDate),AW10,IF((AL10-1)&lt;AH10,-1,12*(YEAR((AL10-1))-YEAR(AH10))+MONTH((AL10-1))-MONTH(AH10)-IF(DAY((AL10-1))&lt;MIN(DAY(AH10),DAY(EOMONTH((AL10-1),0))),1,0))))</f>
        <v>-1</v>
      </c>
      <c r="AZ10" s="19" t="n">
        <f aca="false">IF(AG10=0,"",IF(AP10="FT",IF(AU10&lt;FT_First,0,IF(AU10&lt;FT_Y5,1+INT((AU10-FT_First)/FT_Int1),FT_PreY5+FT_PerYear*INT((AU10-FT_Y5)/12)+FT_AnnivDays+INT(MOD(AU10-FT_Y5,12)/FT_Int2))),IF(AP10="PT",IF(AU10&lt;PT_First,0,1+INT((AU10-PT_First)/PT_Int)),0))+IF(AND(AI10&gt;=2,AK10&lt;=AsOfDate),IF(AQ10="FT",IF(AV10&lt;FT_First,0,IF(AV10&lt;FT_Y5,1+INT((AV10-FT_First)/FT_Int1),FT_PreY5+FT_PerYear*INT((AV10-FT_Y5)/12)+FT_AnnivDays+INT(MOD(AV10-FT_Y5,12)/FT_Int2))),IF(AQ10="PT",IF(AV10&lt;PT_First,0,1+INT((AV10-PT_First)/PT_Int)),0))-IF(AQ10="FT",IF(AU10&lt;FT_First,0,IF(AU10&lt;FT_Y5,1+INT((AU10-FT_First)/FT_Int1),FT_PreY5+FT_PerYear*INT((AU10-FT_Y5)/12)+FT_AnnivDays+INT(MOD(AU10-FT_Y5,12)/FT_Int2))),IF(AQ10="PT",IF(AU10&lt;PT_First,0,1+INT((AU10-PT_First)/PT_Int)),0)),0)+IF(AND(AI10&gt;=3,AL10&lt;=AsOfDate),IF(AR10="FT",IF(AT10&lt;FT_First,0,IF(AT10&lt;FT_Y5,1+INT((AT10-FT_First)/FT_Int1),FT_PreY5+FT_PerYear*INT((AT10-FT_Y5)/12)+FT_AnnivDays+INT(MOD(AT10-FT_Y5,12)/FT_Int2))),IF(AR10="PT",IF(AT10&lt;PT_First,0,1+INT((AT10-PT_First)/PT_Int)),0))-IF(AR10="FT",IF(AV10&lt;FT_First,0,IF(AV10&lt;FT_Y5,1+INT((AV10-FT_First)/FT_Int1),FT_PreY5+FT_PerYear*INT((AV10-FT_Y5)/12)+FT_AnnivDays+INT(MOD(AV10-FT_Y5,12)/FT_Int2))),IF(AR10="PT",IF(AV10&lt;PT_First,0,1+INT((AV10-PT_First)/PT_Int)),0)),0))</f>
        <v>0</v>
      </c>
      <c r="BA10" s="19" t="n">
        <f aca="false">IF(AG10=0,"",IF(AP10="FT",IF(AX10&lt;FT_First,0,IF(AX10&lt;FT_Y5,1+INT((AX10-FT_First)/FT_Int1),FT_PreY5+FT_PerYear*INT((AX10-FT_Y5)/12)+FT_AnnivDays+INT(MOD(AX10-FT_Y5,12)/FT_Int2))),IF(AP10="PT",IF(AX10&lt;PT_First,0,1+INT((AX10-PT_First)/PT_Int)),0))+IF(AND(AI10&gt;=2,AK10&lt;=PFYDate),IF(AQ10="FT",IF(AY10&lt;FT_First,0,IF(AY10&lt;FT_Y5,1+INT((AY10-FT_First)/FT_Int1),FT_PreY5+FT_PerYear*INT((AY10-FT_Y5)/12)+FT_AnnivDays+INT(MOD(AY10-FT_Y5,12)/FT_Int2))),IF(AQ10="PT",IF(AY10&lt;PT_First,0,1+INT((AY10-PT_First)/PT_Int)),0))-IF(AQ10="FT",IF(AX10&lt;FT_First,0,IF(AX10&lt;FT_Y5,1+INT((AX10-FT_First)/FT_Int1),FT_PreY5+FT_PerYear*INT((AX10-FT_Y5)/12)+FT_AnnivDays+INT(MOD(AX10-FT_Y5,12)/FT_Int2))),IF(AQ10="PT",IF(AX10&lt;PT_First,0,1+INT((AX10-PT_First)/PT_Int)),0)),0)+IF(AND(AI10&gt;=3,AL10&lt;=PFYDate),IF(AR10="FT",IF(AW10&lt;FT_First,0,IF(AW10&lt;FT_Y5,1+INT((AW10-FT_First)/FT_Int1),FT_PreY5+FT_PerYear*INT((AW10-FT_Y5)/12)+FT_AnnivDays+INT(MOD(AW10-FT_Y5,12)/FT_Int2))),IF(AR10="PT",IF(AW10&lt;PT_First,0,1+INT((AW10-PT_First)/PT_Int)),0))-IF(AR10="FT",IF(AY10&lt;FT_First,0,IF(AY10&lt;FT_Y5,1+INT((AY10-FT_First)/FT_Int1),FT_PreY5+FT_PerYear*INT((AY10-FT_Y5)/12)+FT_AnnivDays+INT(MOD(AY10-FT_Y5,12)/FT_Int2))),IF(AR10="PT",IF(AY10&lt;PT_First,0,1+INT((AY10-PT_First)/PT_Int)),0)),0))</f>
        <v>0</v>
      </c>
      <c r="BB10" s="19" t="str">
        <f aca="false">IF(AG10=0,"",IF(AS10="FT",IF(AT10&lt;FT_First,FT_First,IF(AT10&lt;FT_Y5,MIN(FT_Y5,FT_First+FT_Int1*(INT((AT10-FT_First)/FT_Int1)+1)),FT_Y5+12*INT((AT10-FT_Y5)/12)+FT_Int2*(INT(MOD(AT10-FT_Y5,12)/FT_Int2)+1))),IF(AS10="PT",IF(AT10&lt;PT_First,PT_First,PT_First+PT_Int*(INT((AT10-PT_First)/PT_Int)+1)),"")))</f>
        <v/>
      </c>
      <c r="BC10" s="19" t="n">
        <f aca="false">IF(AG10=0,"",IF(NOT(LH_Ready),0,COUNTIFS(INDEX(LH_Data,0,LH_ColFirst),$A10,INDEX(LH_Data,0,LH_ColSur),$B10,INDEX(LH_Data,0,LH_ColCat),BonusCat)))</f>
        <v>0</v>
      </c>
      <c r="BD10" s="19" t="n">
        <f aca="false">IF(AG10=0,"",IF(OR(NOT(LH_Ready),BC10=0),0,SUMPRODUCT(MAX((INDEX(LH_Data,0,LH_ColFirst)=$A10)*(INDEX(LH_Data,0,LH_ColSur)=$B10)*(INDEX(LH_Data,0,LH_ColCat)=BonusCat)*ROW(LH_Data)))))</f>
        <v>0</v>
      </c>
      <c r="BE10" s="19" t="n">
        <f aca="false">IF(AG10=0,"",IF(EOMONTH(AsOfDate,-1)&lt;AH10,-1,12*(YEAR(EOMONTH(AsOfDate,-1))-YEAR(AH10))+MONTH(EOMONTH(AsOfDate,-1))-MONTH(AH10)-IF(DAY(EOMONTH(AsOfDate,-1))&lt;MIN(DAY(AH10),DAY(EOMONTH(EOMONTH(AsOfDate,-1),0))),1,0)))</f>
        <v>18</v>
      </c>
      <c r="BF10" s="19" t="n">
        <f aca="false">IF(AG10=0,"",IF(OR(AI10&lt;2,AK10&gt;EOMONTH(AsOfDate,-1)),BE10,IF((AK10-1)&lt;AH10,-1,12*(YEAR((AK10-1))-YEAR(AH10))+MONTH((AK10-1))-MONTH(AH10)-IF(DAY((AK10-1))&lt;MIN(DAY(AH10),DAY(EOMONTH((AK10-1),0))),1,0))))</f>
        <v>18</v>
      </c>
      <c r="BG10" s="19" t="n">
        <f aca="false">IF(AG10=0,"",IF(OR(AI10&lt;3,AL10&gt;EOMONTH(AsOfDate,-1)),BE10,IF((AL10-1)&lt;AH10,-1,12*(YEAR((AL10-1))-YEAR(AH10))+MONTH((AL10-1))-MONTH(AH10)-IF(DAY((AL10-1))&lt;MIN(DAY(AH10),DAY(EOMONTH((AL10-1),0))),1,0))))</f>
        <v>18</v>
      </c>
      <c r="BH10" s="19" t="n">
        <f aca="false">IF(AG10=0,"",IF(AP10="FT",IF(BF10&lt;FT_First,0,IF(BF10&lt;FT_Y5,1+INT((BF10-FT_First)/FT_Int1),FT_PreY5+FT_PerYear*INT((BF10-FT_Y5)/12)+FT_AnnivDays+INT(MOD(BF10-FT_Y5,12)/FT_Int2))),IF(AP10="PT",IF(BF10&lt;PT_First,0,1+INT((BF10-PT_First)/PT_Int)),0))+IF(AND(AI10&gt;=2,AK10&lt;=EOMONTH(AsOfDate,-1)),IF(AQ10="FT",IF(BG10&lt;FT_First,0,IF(BG10&lt;FT_Y5,1+INT((BG10-FT_First)/FT_Int1),FT_PreY5+FT_PerYear*INT((BG10-FT_Y5)/12)+FT_AnnivDays+INT(MOD(BG10-FT_Y5,12)/FT_Int2))),IF(AQ10="PT",IF(BG10&lt;PT_First,0,1+INT((BG10-PT_First)/PT_Int)),0))-IF(AQ10="FT",IF(BF10&lt;FT_First,0,IF(BF10&lt;FT_Y5,1+INT((BF10-FT_First)/FT_Int1),FT_PreY5+FT_PerYear*INT((BF10-FT_Y5)/12)+FT_AnnivDays+INT(MOD(BF10-FT_Y5,12)/FT_Int2))),IF(AQ10="PT",IF(BF10&lt;PT_First,0,1+INT((BF10-PT_First)/PT_Int)),0)),0)+IF(AND(AI10&gt;=3,AL10&lt;=EOMONTH(AsOfDate,-1)),IF(AR10="FT",IF(BE10&lt;FT_First,0,IF(BE10&lt;FT_Y5,1+INT((BE10-FT_First)/FT_Int1),FT_PreY5+FT_PerYear*INT((BE10-FT_Y5)/12)+FT_AnnivDays+INT(MOD(BE10-FT_Y5,12)/FT_Int2))),IF(AR10="PT",IF(BE10&lt;PT_First,0,1+INT((BE10-PT_First)/PT_Int)),0))-IF(AR10="FT",IF(BG10&lt;FT_First,0,IF(BG10&lt;FT_Y5,1+INT((BG10-FT_First)/FT_Int1),FT_PreY5+FT_PerYear*INT((BG10-FT_Y5)/12)+FT_AnnivDays+INT(MOD(BG10-FT_Y5,12)/FT_Int2))),IF(AR10="PT",IF(BG10&lt;PT_First,0,1+INT((BG10-PT_First)/PT_Int)),0)),0))</f>
        <v>0</v>
      </c>
      <c r="BI10" s="19" t="str">
        <f aca="false">IF(AG10=0,"",IF(AS10="FT",IF(AT10&lt;FT_First,"",IF(AT10&lt;FT_Y5,FT_First+FT_Int1*INT((AT10-FT_First)/FT_Int1),FT_Y5+FT_Int2*INT((AT10-FT_Y5)/FT_Int2))),IF(AS10="PT",IF(AT10&lt;PT_First,"",PT_First+PT_Int*INT((AT10-PT_First)/PT_Int)),"")))</f>
        <v/>
      </c>
      <c r="BJ10" s="0" t="str">
        <f aca="false">IF(LEN($A10&amp;$B10)=0,"",$A10&amp;" "&amp;$B10)</f>
        <v>Amadeus Anggaraksa</v>
      </c>
    </row>
    <row r="11" customFormat="false" ht="15" hidden="false" customHeight="false" outlineLevel="0" collapsed="false">
      <c r="A11" s="15" t="s">
        <v>149</v>
      </c>
      <c r="B11" s="15" t="s">
        <v>150</v>
      </c>
      <c r="C11" s="15" t="s">
        <v>138</v>
      </c>
      <c r="D11" s="16" t="n">
        <v>31969</v>
      </c>
      <c r="E11" s="17" t="n">
        <f aca="false">IF(OR(AG11=0,$D11=""),"",DATE(YEAR(AsOfDate)+IF(DATE(YEAR(AsOfDate),MONTH($D11),DAY($D11))&lt;=AsOfDate,1,0),MONTH($D11),DAY($D11)))</f>
        <v>46579</v>
      </c>
      <c r="F11" s="16" t="n">
        <v>46055</v>
      </c>
      <c r="G11" s="16"/>
      <c r="H11" s="16"/>
      <c r="I11" s="16"/>
      <c r="J11" s="16"/>
      <c r="K11" s="17" t="n">
        <f aca="false">IF(AG11=0,"",DATE(YEAR(AsOfDate)+IF(DATE(YEAR(AsOfDate),MONTH(AH11),DAY(AH11))&lt;=AsOfDate,1,0),MONTH(AH11),DAY(AH11)))</f>
        <v>46420</v>
      </c>
      <c r="L11" s="18" t="n">
        <f aca="false">IF(AG11=0,"",ROUND((AsOfDate-AH11)/365.25,1))</f>
        <v>0.7</v>
      </c>
      <c r="M11" s="19" t="str">
        <f aca="false">IF(AG11=0,"",IF(AsOfDate&lt;AH11,"-",DATEDIF(AH11,AsOfDate,"y")&amp;"y "&amp;DATEDIF(AH11,AsOfDate,"ym")&amp;"m "&amp;DATEDIF(AH11,AsOfDate,"md")&amp;"d"))</f>
        <v>0y 8m 4d</v>
      </c>
      <c r="N11" s="20" t="n">
        <f aca="false">IF(AG11=0,"",O11*HoursPerDay)</f>
        <v>0</v>
      </c>
      <c r="O11" s="20" t="n">
        <f aca="false">IF(AG11=0,"",AZ11)</f>
        <v>0</v>
      </c>
      <c r="P11" s="21"/>
      <c r="Q11" s="19"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19"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17" t="str">
        <f aca="false">IF(AG11=0,"",IF(AS11="None","",EDATE(AH11,BB11)))</f>
        <v/>
      </c>
      <c r="T11" s="20" t="n">
        <f aca="false">IF(AG11=0,"",IF(NOT(LH_Ready),"",IF(AH11&gt;PFYDate,0,IF(LH_ColPeriod=0,W11-U11+V11,SUMIFS(INDEX(LH_Data,0,LH_ColAcc),INDEX(LH_Data,0,LH_ColFirst),$A11,INDEX(LH_Data,0,LH_ColSur),$B11,INDEX(LH_Data,0,LH_ColCat),BonusCat,INDEX(LH_Data,0,LH_ColPeriod),LH_OpenLabel)*UnitFactor))))</f>
        <v>0</v>
      </c>
      <c r="U11" s="20" t="n">
        <f aca="false">IF(AG11=0,"",IF(NOT(LH_Ready),"",SUMIFS(INDEX(LH_Data,0,LH_ColAcc),INDEX(LH_Data,0,LH_ColFirst),$A11,INDEX(LH_Data,0,LH_ColSur),$B11,INDEX(LH_Data,0,LH_ColCat),BonusCat,INDEX(LH_Data,0,LH_ColStart),"&gt;="&amp;AH11)*UnitFactor))</f>
        <v>0</v>
      </c>
      <c r="V11" s="20" t="n">
        <f aca="false">IF(AG11=0,"",IF(NOT(LH_Ready),"",SUMIFS(INDEX(LH_Data,0,LH_ColTaken),INDEX(LH_Data,0,LH_ColFirst),$A11,INDEX(LH_Data,0,LH_ColSur),$B11,INDEX(LH_Data,0,LH_ColCat),BonusCat,INDEX(LH_Data,0,LH_ColStart),"&gt;="&amp;AH11)*UnitFactor))</f>
        <v>0</v>
      </c>
      <c r="W11" s="20" t="n">
        <f aca="false">IF(AG11=0,"",IF(NOT(LH_Ready),"",IF(BD11=0,0,INDEX(INDEX(LH_Data,0,LH_ColClose),BD11-1)*UnitFactor)))</f>
        <v>0</v>
      </c>
      <c r="X11" s="20" t="n">
        <f aca="false">IF(AG11=0,"",(AZ11-BA11)*HoursPerDay)</f>
        <v>0</v>
      </c>
      <c r="Y11" s="20" t="n">
        <f aca="false">IF(AG11=0,"",IF(NOT(LH_Ready),"",IF(BC11=0,N11,IF(PFYDate&lt;$F11,N11-N(T11)-N(U11),X11-N(U11)))))</f>
        <v>0</v>
      </c>
      <c r="Z11" s="19" t="str">
        <f aca="false">IF(OR(AG11=0,Y11=""),"",IF(Y11&gt;0,"Yes","No"))</f>
        <v>No</v>
      </c>
      <c r="AA11" s="19"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Not eligible - Casual</v>
      </c>
      <c r="AB11" s="20" t="n">
        <f aca="false">IF(OR(AG11=0,T11=""),"",BA11*HoursPerDay-T11)</f>
        <v>0</v>
      </c>
      <c r="AC11" s="19" t="n">
        <f aca="false">IF(AG11=0,"",BC11)</f>
        <v>0</v>
      </c>
      <c r="AD11" s="19"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20" t="n">
        <f aca="false">IF(AG11=0,"",O11-BH11)</f>
        <v>0</v>
      </c>
      <c r="AF11" s="17" t="str">
        <f aca="false">IF(OR(AG11=0,AE11="",N(AE11)=0,BI11=""),"",EDATE(AH11,BI11))</f>
        <v/>
      </c>
      <c r="AG11" s="19" t="n">
        <f aca="false">IF(OR(LEN($A11&amp;$B11)=0,$F11=""),0,1)</f>
        <v>1</v>
      </c>
      <c r="AH11" s="17" t="n">
        <f aca="false">IF(AG11=0,"",IF($J11&lt;&gt;"",$J11,IF(OR(CasualCounts="Yes",COUNT($G11:$I11)=0,COUNT($H11:$I11)=0),$F11,MIN($H11:$I11))))</f>
        <v>46055</v>
      </c>
      <c r="AI11" s="19" t="n">
        <f aca="false">IF(AG11=0,"",COUNT($G11:$I11))</f>
        <v>0</v>
      </c>
      <c r="AJ11" s="17" t="str">
        <f aca="false">IF(AG11=0,"",IFERROR(SMALL($G11:$I11,1),""))</f>
        <v/>
      </c>
      <c r="AK11" s="17" t="str">
        <f aca="false">IF(AG11=0,"",IFERROR(SMALL($G11:$I11,2),""))</f>
        <v/>
      </c>
      <c r="AL11" s="17" t="str">
        <f aca="false">IF(AG11=0,"",IFERROR(SMALL($G11:$I11,3),""))</f>
        <v/>
      </c>
      <c r="AM11" s="19" t="str">
        <f aca="false">IF(AG11=0,"",IF(AJ11="","",IF(AJ11=$H11,"Part-Time",IF(AJ11=$I11,"Full-Time","Casual"))))</f>
        <v/>
      </c>
      <c r="AN11" s="19" t="str">
        <f aca="false">IF(AG11=0,"",IF(AK11="","",IF(AK11=$H11,"Part-Time",IF(AK11=$I11,"Full-Time","Casual"))))</f>
        <v/>
      </c>
      <c r="AO11" s="19" t="str">
        <f aca="false">IF(AG11=0,"",IF(AL11="","",IF(AL11=$H11,"Part-Time",IF(AL11=$I11,"Full-Time","Casual"))))</f>
        <v/>
      </c>
      <c r="AP11" s="19"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None</v>
      </c>
      <c r="AQ11" s="19" t="str">
        <f aca="false">IF(AG11=0,"",IF(AI11&lt;2,"",IF(OR(ISNUMBER(SEARCH("full",AN11)),UPPER(TRIM(AN11))="FT",UPPER(TRIM(AN11))="FTE"),"FT",IF(AND(OR(ISNUMBER(SEARCH("part",AN11)),UPPER(TRIM(AN11))="PT",UPPER(TRIM(AN11))="PTE"),OR($P11="",N($P11)&gt;=PT_MinHours)),"PT","None"))))</f>
        <v/>
      </c>
      <c r="AR11" s="19" t="str">
        <f aca="false">IF(AG11=0,"",IF(AI11&lt;3,"",IF(OR(ISNUMBER(SEARCH("full",AO11)),UPPER(TRIM(AO11))="FT",UPPER(TRIM(AO11))="FTE"),"FT",IF(AND(OR(ISNUMBER(SEARCH("part",AO11)),UPPER(TRIM(AO11))="PT",UPPER(TRIM(AO11))="PTE"),OR($P11="",N($P11)&gt;=PT_MinHours)),"PT","None"))))</f>
        <v/>
      </c>
      <c r="AS11" s="19" t="str">
        <f aca="false">IF(AG11=0,"",IF(AND(AI11&gt;=3,AL11&lt;=AsOfDate),AR11,IF(AND(AI11&gt;=2,AK11&lt;=AsOfDate),AQ11,AP11)))</f>
        <v>None</v>
      </c>
      <c r="AT11" s="19" t="n">
        <f aca="false">IF(AG11=0,"",IF(AsOfDate&lt;AH11,-1,12*(YEAR(AsOfDate)-YEAR(AH11))+MONTH(AsOfDate)-MONTH(AH11)-IF(DAY(AsOfDate)&lt;MIN(DAY(AH11),DAY(EOMONTH(AsOfDate,0))),1,0)))</f>
        <v>8</v>
      </c>
      <c r="AU11" s="19" t="n">
        <f aca="false">IF(AG11=0,"",IF(OR(AI11&lt;2,AK11&gt;AsOfDate),AT11,IF((AK11-1)&lt;AH11,-1,12*(YEAR((AK11-1))-YEAR(AH11))+MONTH((AK11-1))-MONTH(AH11)-IF(DAY((AK11-1))&lt;MIN(DAY(AH11),DAY(EOMONTH((AK11-1),0))),1,0))))</f>
        <v>8</v>
      </c>
      <c r="AV11" s="19" t="n">
        <f aca="false">IF(AG11=0,"",IF(OR(AI11&lt;3,AL11&gt;AsOfDate),AT11,IF((AL11-1)&lt;AH11,-1,12*(YEAR((AL11-1))-YEAR(AH11))+MONTH((AL11-1))-MONTH(AH11)-IF(DAY((AL11-1))&lt;MIN(DAY(AH11),DAY(EOMONTH((AL11-1),0))),1,0))))</f>
        <v>8</v>
      </c>
      <c r="AW11" s="19" t="n">
        <f aca="false">IF(AG11=0,"",IF(PFYDate&lt;AH11,-1,12*(YEAR(PFYDate)-YEAR(AH11))+MONTH(PFYDate)-MONTH(AH11)-IF(DAY(PFYDate)&lt;MIN(DAY(AH11),DAY(EOMONTH(PFYDate,0))),1,0)))</f>
        <v>-1</v>
      </c>
      <c r="AX11" s="19" t="n">
        <f aca="false">IF(AG11=0,"",IF(OR(AI11&lt;2,AK11&gt;PFYDate),AW11,IF((AK11-1)&lt;AH11,-1,12*(YEAR((AK11-1))-YEAR(AH11))+MONTH((AK11-1))-MONTH(AH11)-IF(DAY((AK11-1))&lt;MIN(DAY(AH11),DAY(EOMONTH((AK11-1),0))),1,0))))</f>
        <v>-1</v>
      </c>
      <c r="AY11" s="19" t="n">
        <f aca="false">IF(AG11=0,"",IF(OR(AI11&lt;3,AL11&gt;PFYDate),AW11,IF((AL11-1)&lt;AH11,-1,12*(YEAR((AL11-1))-YEAR(AH11))+MONTH((AL11-1))-MONTH(AH11)-IF(DAY((AL11-1))&lt;MIN(DAY(AH11),DAY(EOMONTH((AL11-1),0))),1,0))))</f>
        <v>-1</v>
      </c>
      <c r="AZ11" s="19" t="n">
        <f aca="false">IF(AG11=0,"",IF(AP11="FT",IF(AU11&lt;FT_First,0,IF(AU11&lt;FT_Y5,1+INT((AU11-FT_First)/FT_Int1),FT_PreY5+FT_PerYear*INT((AU11-FT_Y5)/12)+FT_AnnivDays+INT(MOD(AU11-FT_Y5,12)/FT_Int2))),IF(AP11="PT",IF(AU11&lt;PT_First,0,1+INT((AU11-PT_First)/PT_Int)),0))+IF(AND(AI11&gt;=2,AK11&lt;=AsOfDate),IF(AQ11="FT",IF(AV11&lt;FT_First,0,IF(AV11&lt;FT_Y5,1+INT((AV11-FT_First)/FT_Int1),FT_PreY5+FT_PerYear*INT((AV11-FT_Y5)/12)+FT_AnnivDays+INT(MOD(AV11-FT_Y5,12)/FT_Int2))),IF(AQ11="PT",IF(AV11&lt;PT_First,0,1+INT((AV11-PT_First)/PT_Int)),0))-IF(AQ11="FT",IF(AU11&lt;FT_First,0,IF(AU11&lt;FT_Y5,1+INT((AU11-FT_First)/FT_Int1),FT_PreY5+FT_PerYear*INT((AU11-FT_Y5)/12)+FT_AnnivDays+INT(MOD(AU11-FT_Y5,12)/FT_Int2))),IF(AQ11="PT",IF(AU11&lt;PT_First,0,1+INT((AU11-PT_First)/PT_Int)),0)),0)+IF(AND(AI11&gt;=3,AL11&lt;=AsOfDate),IF(AR11="FT",IF(AT11&lt;FT_First,0,IF(AT11&lt;FT_Y5,1+INT((AT11-FT_First)/FT_Int1),FT_PreY5+FT_PerYear*INT((AT11-FT_Y5)/12)+FT_AnnivDays+INT(MOD(AT11-FT_Y5,12)/FT_Int2))),IF(AR11="PT",IF(AT11&lt;PT_First,0,1+INT((AT11-PT_First)/PT_Int)),0))-IF(AR11="FT",IF(AV11&lt;FT_First,0,IF(AV11&lt;FT_Y5,1+INT((AV11-FT_First)/FT_Int1),FT_PreY5+FT_PerYear*INT((AV11-FT_Y5)/12)+FT_AnnivDays+INT(MOD(AV11-FT_Y5,12)/FT_Int2))),IF(AR11="PT",IF(AV11&lt;PT_First,0,1+INT((AV11-PT_First)/PT_Int)),0)),0))</f>
        <v>0</v>
      </c>
      <c r="BA11" s="19" t="n">
        <f aca="false">IF(AG11=0,"",IF(AP11="FT",IF(AX11&lt;FT_First,0,IF(AX11&lt;FT_Y5,1+INT((AX11-FT_First)/FT_Int1),FT_PreY5+FT_PerYear*INT((AX11-FT_Y5)/12)+FT_AnnivDays+INT(MOD(AX11-FT_Y5,12)/FT_Int2))),IF(AP11="PT",IF(AX11&lt;PT_First,0,1+INT((AX11-PT_First)/PT_Int)),0))+IF(AND(AI11&gt;=2,AK11&lt;=PFYDate),IF(AQ11="FT",IF(AY11&lt;FT_First,0,IF(AY11&lt;FT_Y5,1+INT((AY11-FT_First)/FT_Int1),FT_PreY5+FT_PerYear*INT((AY11-FT_Y5)/12)+FT_AnnivDays+INT(MOD(AY11-FT_Y5,12)/FT_Int2))),IF(AQ11="PT",IF(AY11&lt;PT_First,0,1+INT((AY11-PT_First)/PT_Int)),0))-IF(AQ11="FT",IF(AX11&lt;FT_First,0,IF(AX11&lt;FT_Y5,1+INT((AX11-FT_First)/FT_Int1),FT_PreY5+FT_PerYear*INT((AX11-FT_Y5)/12)+FT_AnnivDays+INT(MOD(AX11-FT_Y5,12)/FT_Int2))),IF(AQ11="PT",IF(AX11&lt;PT_First,0,1+INT((AX11-PT_First)/PT_Int)),0)),0)+IF(AND(AI11&gt;=3,AL11&lt;=PFYDate),IF(AR11="FT",IF(AW11&lt;FT_First,0,IF(AW11&lt;FT_Y5,1+INT((AW11-FT_First)/FT_Int1),FT_PreY5+FT_PerYear*INT((AW11-FT_Y5)/12)+FT_AnnivDays+INT(MOD(AW11-FT_Y5,12)/FT_Int2))),IF(AR11="PT",IF(AW11&lt;PT_First,0,1+INT((AW11-PT_First)/PT_Int)),0))-IF(AR11="FT",IF(AY11&lt;FT_First,0,IF(AY11&lt;FT_Y5,1+INT((AY11-FT_First)/FT_Int1),FT_PreY5+FT_PerYear*INT((AY11-FT_Y5)/12)+FT_AnnivDays+INT(MOD(AY11-FT_Y5,12)/FT_Int2))),IF(AR11="PT",IF(AY11&lt;PT_First,0,1+INT((AY11-PT_First)/PT_Int)),0)),0))</f>
        <v>0</v>
      </c>
      <c r="BB11" s="19" t="str">
        <f aca="false">IF(AG11=0,"",IF(AS11="FT",IF(AT11&lt;FT_First,FT_First,IF(AT11&lt;FT_Y5,MIN(FT_Y5,FT_First+FT_Int1*(INT((AT11-FT_First)/FT_Int1)+1)),FT_Y5+12*INT((AT11-FT_Y5)/12)+FT_Int2*(INT(MOD(AT11-FT_Y5,12)/FT_Int2)+1))),IF(AS11="PT",IF(AT11&lt;PT_First,PT_First,PT_First+PT_Int*(INT((AT11-PT_First)/PT_Int)+1)),"")))</f>
        <v/>
      </c>
      <c r="BC11" s="19" t="n">
        <f aca="false">IF(AG11=0,"",IF(NOT(LH_Ready),0,COUNTIFS(INDEX(LH_Data,0,LH_ColFirst),$A11,INDEX(LH_Data,0,LH_ColSur),$B11,INDEX(LH_Data,0,LH_ColCat),BonusCat)))</f>
        <v>0</v>
      </c>
      <c r="BD11" s="19" t="n">
        <f aca="false">IF(AG11=0,"",IF(OR(NOT(LH_Ready),BC11=0),0,SUMPRODUCT(MAX((INDEX(LH_Data,0,LH_ColFirst)=$A11)*(INDEX(LH_Data,0,LH_ColSur)=$B11)*(INDEX(LH_Data,0,LH_ColCat)=BonusCat)*ROW(LH_Data)))))</f>
        <v>0</v>
      </c>
      <c r="BE11" s="19" t="n">
        <f aca="false">IF(AG11=0,"",IF(EOMONTH(AsOfDate,-1)&lt;AH11,-1,12*(YEAR(EOMONTH(AsOfDate,-1))-YEAR(AH11))+MONTH(EOMONTH(AsOfDate,-1))-MONTH(AH11)-IF(DAY(EOMONTH(AsOfDate,-1))&lt;MIN(DAY(AH11),DAY(EOMONTH(EOMONTH(AsOfDate,-1),0))),1,0)))</f>
        <v>7</v>
      </c>
      <c r="BF11" s="19" t="n">
        <f aca="false">IF(AG11=0,"",IF(OR(AI11&lt;2,AK11&gt;EOMONTH(AsOfDate,-1)),BE11,IF((AK11-1)&lt;AH11,-1,12*(YEAR((AK11-1))-YEAR(AH11))+MONTH((AK11-1))-MONTH(AH11)-IF(DAY((AK11-1))&lt;MIN(DAY(AH11),DAY(EOMONTH((AK11-1),0))),1,0))))</f>
        <v>7</v>
      </c>
      <c r="BG11" s="19" t="n">
        <f aca="false">IF(AG11=0,"",IF(OR(AI11&lt;3,AL11&gt;EOMONTH(AsOfDate,-1)),BE11,IF((AL11-1)&lt;AH11,-1,12*(YEAR((AL11-1))-YEAR(AH11))+MONTH((AL11-1))-MONTH(AH11)-IF(DAY((AL11-1))&lt;MIN(DAY(AH11),DAY(EOMONTH((AL11-1),0))),1,0))))</f>
        <v>7</v>
      </c>
      <c r="BH11" s="19" t="n">
        <f aca="false">IF(AG11=0,"",IF(AP11="FT",IF(BF11&lt;FT_First,0,IF(BF11&lt;FT_Y5,1+INT((BF11-FT_First)/FT_Int1),FT_PreY5+FT_PerYear*INT((BF11-FT_Y5)/12)+FT_AnnivDays+INT(MOD(BF11-FT_Y5,12)/FT_Int2))),IF(AP11="PT",IF(BF11&lt;PT_First,0,1+INT((BF11-PT_First)/PT_Int)),0))+IF(AND(AI11&gt;=2,AK11&lt;=EOMONTH(AsOfDate,-1)),IF(AQ11="FT",IF(BG11&lt;FT_First,0,IF(BG11&lt;FT_Y5,1+INT((BG11-FT_First)/FT_Int1),FT_PreY5+FT_PerYear*INT((BG11-FT_Y5)/12)+FT_AnnivDays+INT(MOD(BG11-FT_Y5,12)/FT_Int2))),IF(AQ11="PT",IF(BG11&lt;PT_First,0,1+INT((BG11-PT_First)/PT_Int)),0))-IF(AQ11="FT",IF(BF11&lt;FT_First,0,IF(BF11&lt;FT_Y5,1+INT((BF11-FT_First)/FT_Int1),FT_PreY5+FT_PerYear*INT((BF11-FT_Y5)/12)+FT_AnnivDays+INT(MOD(BF11-FT_Y5,12)/FT_Int2))),IF(AQ11="PT",IF(BF11&lt;PT_First,0,1+INT((BF11-PT_First)/PT_Int)),0)),0)+IF(AND(AI11&gt;=3,AL11&lt;=EOMONTH(AsOfDate,-1)),IF(AR11="FT",IF(BE11&lt;FT_First,0,IF(BE11&lt;FT_Y5,1+INT((BE11-FT_First)/FT_Int1),FT_PreY5+FT_PerYear*INT((BE11-FT_Y5)/12)+FT_AnnivDays+INT(MOD(BE11-FT_Y5,12)/FT_Int2))),IF(AR11="PT",IF(BE11&lt;PT_First,0,1+INT((BE11-PT_First)/PT_Int)),0))-IF(AR11="FT",IF(BG11&lt;FT_First,0,IF(BG11&lt;FT_Y5,1+INT((BG11-FT_First)/FT_Int1),FT_PreY5+FT_PerYear*INT((BG11-FT_Y5)/12)+FT_AnnivDays+INT(MOD(BG11-FT_Y5,12)/FT_Int2))),IF(AR11="PT",IF(BG11&lt;PT_First,0,1+INT((BG11-PT_First)/PT_Int)),0)),0))</f>
        <v>0</v>
      </c>
      <c r="BI11" s="19" t="str">
        <f aca="false">IF(AG11=0,"",IF(AS11="FT",IF(AT11&lt;FT_First,"",IF(AT11&lt;FT_Y5,FT_First+FT_Int1*INT((AT11-FT_First)/FT_Int1),FT_Y5+FT_Int2*INT((AT11-FT_Y5)/FT_Int2))),IF(AS11="PT",IF(AT11&lt;PT_First,"",PT_First+PT_Int*INT((AT11-PT_First)/PT_Int)),"")))</f>
        <v/>
      </c>
      <c r="BJ11" s="0" t="str">
        <f aca="false">IF(LEN($A11&amp;$B11)=0,"",$A11&amp;" "&amp;$B11)</f>
        <v>Anton Khumala</v>
      </c>
    </row>
    <row r="12" customFormat="false" ht="15" hidden="false" customHeight="false" outlineLevel="0" collapsed="false">
      <c r="A12" s="15" t="s">
        <v>151</v>
      </c>
      <c r="B12" s="15" t="s">
        <v>152</v>
      </c>
      <c r="C12" s="15" t="s">
        <v>153</v>
      </c>
      <c r="D12" s="16" t="n">
        <v>31025</v>
      </c>
      <c r="E12" s="17" t="n">
        <f aca="false">IF(OR(AG12=0,$D12=""),"",DATE(YEAR(AsOfDate)+IF(DATE(YEAR(AsOfDate),MONTH($D12),DAY($D12))&lt;=AsOfDate,1,0),MONTH($D12),DAY($D12)))</f>
        <v>46365</v>
      </c>
      <c r="F12" s="16" t="n">
        <v>44971</v>
      </c>
      <c r="G12" s="16"/>
      <c r="H12" s="16"/>
      <c r="I12" s="16" t="n">
        <v>44971</v>
      </c>
      <c r="J12" s="16"/>
      <c r="K12" s="17" t="n">
        <f aca="false">IF(AG12=0,"",DATE(YEAR(AsOfDate)+IF(DATE(YEAR(AsOfDate),MONTH(AH12),DAY(AH12))&lt;=AsOfDate,1,0),MONTH(AH12),DAY(AH12)))</f>
        <v>46432</v>
      </c>
      <c r="L12" s="18" t="n">
        <f aca="false">IF(AG12=0,"",ROUND((AsOfDate-AH12)/365.25,1))</f>
        <v>3.6</v>
      </c>
      <c r="M12" s="19" t="str">
        <f aca="false">IF(AG12=0,"",IF(AsOfDate&lt;AH12,"-",DATEDIF(AH12,AsOfDate,"y")&amp;"y "&amp;DATEDIF(AH12,AsOfDate,"ym")&amp;"m "&amp;DATEDIF(AH12,AsOfDate,"md")&amp;"d"))</f>
        <v>3y 7m 22d</v>
      </c>
      <c r="N12" s="20" t="n">
        <f aca="false">IF(AG12=0,"",O12*HoursPerDay)</f>
        <v>16</v>
      </c>
      <c r="O12" s="20" t="n">
        <f aca="false">IF(AG12=0,"",AZ12)</f>
        <v>2</v>
      </c>
      <c r="P12" s="21"/>
      <c r="Q12" s="19"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19"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17" t="n">
        <f aca="false">IF(AG12=0,"",IF(AS12="None","",EDATE(AH12,BB12)))</f>
        <v>46309</v>
      </c>
      <c r="T12" s="20" t="n">
        <f aca="false">IF(AG12=0,"",IF(NOT(LH_Ready),"",IF(AH12&gt;PFYDate,0,IF(LH_ColPeriod=0,W12-U12+V12,SUMIFS(INDEX(LH_Data,0,LH_ColAcc),INDEX(LH_Data,0,LH_ColFirst),$A12,INDEX(LH_Data,0,LH_ColSur),$B12,INDEX(LH_Data,0,LH_ColCat),BonusCat,INDEX(LH_Data,0,LH_ColPeriod),LH_OpenLabel)*UnitFactor))))</f>
        <v>0</v>
      </c>
      <c r="U12" s="20" t="n">
        <f aca="false">IF(AG12=0,"",IF(NOT(LH_Ready),"",SUMIFS(INDEX(LH_Data,0,LH_ColAcc),INDEX(LH_Data,0,LH_ColFirst),$A12,INDEX(LH_Data,0,LH_ColSur),$B12,INDEX(LH_Data,0,LH_ColCat),BonusCat,INDEX(LH_Data,0,LH_ColStart),"&gt;="&amp;AH12)*UnitFactor))</f>
        <v>0</v>
      </c>
      <c r="V12" s="20" t="n">
        <f aca="false">IF(AG12=0,"",IF(NOT(LH_Ready),"",SUMIFS(INDEX(LH_Data,0,LH_ColTaken),INDEX(LH_Data,0,LH_ColFirst),$A12,INDEX(LH_Data,0,LH_ColSur),$B12,INDEX(LH_Data,0,LH_ColCat),BonusCat,INDEX(LH_Data,0,LH_ColStart),"&gt;="&amp;AH12)*UnitFactor))</f>
        <v>0</v>
      </c>
      <c r="W12" s="20" t="n">
        <f aca="false">IF(AG12=0,"",IF(NOT(LH_Ready),"",IF(BD12=0,0,INDEX(INDEX(LH_Data,0,LH_ColClose),BD12-1)*UnitFactor)))</f>
        <v>0</v>
      </c>
      <c r="X12" s="20" t="n">
        <f aca="false">IF(AG12=0,"",(AZ12-BA12)*HoursPerDay)</f>
        <v>16</v>
      </c>
      <c r="Y12" s="20" t="n">
        <f aca="false">IF(AG12=0,"",IF(NOT(LH_Ready),"",IF(BC12=0,N12,IF(PFYDate&lt;$F12,N12-N(T12)-N(U12),X12-N(U12)))))</f>
        <v>16</v>
      </c>
      <c r="Z12" s="19" t="str">
        <f aca="false">IF(OR(AG12=0,Y12=""),"",IF(Y12&gt;0,"Yes","No"))</f>
        <v>Yes</v>
      </c>
      <c r="AA12" s="19"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ACCRUE 16 hrs (2 days): all catch-up from earlier months, nothing new this month; no Bonus Leave in EH yet</v>
      </c>
      <c r="AB12" s="20" t="n">
        <f aca="false">IF(OR(AG12=0,T12=""),"",BA12*HoursPerDay-T12)</f>
        <v>0</v>
      </c>
      <c r="AC12" s="19" t="n">
        <f aca="false">IF(AG12=0,"",BC12)</f>
        <v>0</v>
      </c>
      <c r="AD12" s="19"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20" t="n">
        <f aca="false">IF(AG12=0,"",O12-BH12)</f>
        <v>0</v>
      </c>
      <c r="AF12" s="17" t="str">
        <f aca="false">IF(OR(AG12=0,AE12="",N(AE12)=0,BI12=""),"",EDATE(AH12,BI12))</f>
        <v/>
      </c>
      <c r="AG12" s="19" t="n">
        <f aca="false">IF(OR(LEN($A12&amp;$B12)=0,$F12=""),0,1)</f>
        <v>1</v>
      </c>
      <c r="AH12" s="17" t="n">
        <f aca="false">IF(AG12=0,"",IF($J12&lt;&gt;"",$J12,IF(OR(CasualCounts="Yes",COUNT($G12:$I12)=0,COUNT($H12:$I12)=0),$F12,MIN($H12:$I12))))</f>
        <v>44971</v>
      </c>
      <c r="AI12" s="19" t="n">
        <f aca="false">IF(AG12=0,"",COUNT($G12:$I12))</f>
        <v>1</v>
      </c>
      <c r="AJ12" s="17" t="n">
        <f aca="false">IF(AG12=0,"",IFERROR(SMALL($G12:$I12,1),""))</f>
        <v>44971</v>
      </c>
      <c r="AK12" s="17" t="str">
        <f aca="false">IF(AG12=0,"",IFERROR(SMALL($G12:$I12,2),""))</f>
        <v/>
      </c>
      <c r="AL12" s="17" t="str">
        <f aca="false">IF(AG12=0,"",IFERROR(SMALL($G12:$I12,3),""))</f>
        <v/>
      </c>
      <c r="AM12" s="19" t="str">
        <f aca="false">IF(AG12=0,"",IF(AJ12="","",IF(AJ12=$H12,"Part-Time",IF(AJ12=$I12,"Full-Time","Casual"))))</f>
        <v>Full-Time</v>
      </c>
      <c r="AN12" s="19" t="str">
        <f aca="false">IF(AG12=0,"",IF(AK12="","",IF(AK12=$H12,"Part-Time",IF(AK12=$I12,"Full-Time","Casual"))))</f>
        <v/>
      </c>
      <c r="AO12" s="19" t="str">
        <f aca="false">IF(AG12=0,"",IF(AL12="","",IF(AL12=$H12,"Part-Time",IF(AL12=$I12,"Full-Time","Casual"))))</f>
        <v/>
      </c>
      <c r="AP12" s="19"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FT</v>
      </c>
      <c r="AQ12" s="19" t="str">
        <f aca="false">IF(AG12=0,"",IF(AI12&lt;2,"",IF(OR(ISNUMBER(SEARCH("full",AN12)),UPPER(TRIM(AN12))="FT",UPPER(TRIM(AN12))="FTE"),"FT",IF(AND(OR(ISNUMBER(SEARCH("part",AN12)),UPPER(TRIM(AN12))="PT",UPPER(TRIM(AN12))="PTE"),OR($P12="",N($P12)&gt;=PT_MinHours)),"PT","None"))))</f>
        <v/>
      </c>
      <c r="AR12" s="19" t="str">
        <f aca="false">IF(AG12=0,"",IF(AI12&lt;3,"",IF(OR(ISNUMBER(SEARCH("full",AO12)),UPPER(TRIM(AO12))="FT",UPPER(TRIM(AO12))="FTE"),"FT",IF(AND(OR(ISNUMBER(SEARCH("part",AO12)),UPPER(TRIM(AO12))="PT",UPPER(TRIM(AO12))="PTE"),OR($P12="",N($P12)&gt;=PT_MinHours)),"PT","None"))))</f>
        <v/>
      </c>
      <c r="AS12" s="19" t="str">
        <f aca="false">IF(AG12=0,"",IF(AND(AI12&gt;=3,AL12&lt;=AsOfDate),AR12,IF(AND(AI12&gt;=2,AK12&lt;=AsOfDate),AQ12,AP12)))</f>
        <v>FT</v>
      </c>
      <c r="AT12" s="19" t="n">
        <f aca="false">IF(AG12=0,"",IF(AsOfDate&lt;AH12,-1,12*(YEAR(AsOfDate)-YEAR(AH12))+MONTH(AsOfDate)-MONTH(AH12)-IF(DAY(AsOfDate)&lt;MIN(DAY(AH12),DAY(EOMONTH(AsOfDate,0))),1,0)))</f>
        <v>43</v>
      </c>
      <c r="AU12" s="19" t="n">
        <f aca="false">IF(AG12=0,"",IF(OR(AI12&lt;2,AK12&gt;AsOfDate),AT12,IF((AK12-1)&lt;AH12,-1,12*(YEAR((AK12-1))-YEAR(AH12))+MONTH((AK12-1))-MONTH(AH12)-IF(DAY((AK12-1))&lt;MIN(DAY(AH12),DAY(EOMONTH((AK12-1),0))),1,0))))</f>
        <v>43</v>
      </c>
      <c r="AV12" s="19" t="n">
        <f aca="false">IF(AG12=0,"",IF(OR(AI12&lt;3,AL12&gt;AsOfDate),AT12,IF((AL12-1)&lt;AH12,-1,12*(YEAR((AL12-1))-YEAR(AH12))+MONTH((AL12-1))-MONTH(AH12)-IF(DAY((AL12-1))&lt;MIN(DAY(AH12),DAY(EOMONTH((AL12-1),0))),1,0))))</f>
        <v>43</v>
      </c>
      <c r="AW12" s="19" t="n">
        <f aca="false">IF(AG12=0,"",IF(PFYDate&lt;AH12,-1,12*(YEAR(PFYDate)-YEAR(AH12))+MONTH(PFYDate)-MONTH(AH12)-IF(DAY(PFYDate)&lt;MIN(DAY(AH12),DAY(EOMONTH(PFYDate,0))),1,0)))</f>
        <v>-1</v>
      </c>
      <c r="AX12" s="19" t="n">
        <f aca="false">IF(AG12=0,"",IF(OR(AI12&lt;2,AK12&gt;PFYDate),AW12,IF((AK12-1)&lt;AH12,-1,12*(YEAR((AK12-1))-YEAR(AH12))+MONTH((AK12-1))-MONTH(AH12)-IF(DAY((AK12-1))&lt;MIN(DAY(AH12),DAY(EOMONTH((AK12-1),0))),1,0))))</f>
        <v>-1</v>
      </c>
      <c r="AY12" s="19" t="n">
        <f aca="false">IF(AG12=0,"",IF(OR(AI12&lt;3,AL12&gt;PFYDate),AW12,IF((AL12-1)&lt;AH12,-1,12*(YEAR((AL12-1))-YEAR(AH12))+MONTH((AL12-1))-MONTH(AH12)-IF(DAY((AL12-1))&lt;MIN(DAY(AH12),DAY(EOMONTH((AL12-1),0))),1,0))))</f>
        <v>-1</v>
      </c>
      <c r="AZ12" s="19" t="n">
        <f aca="false">IF(AG12=0,"",IF(AP12="FT",IF(AU12&lt;FT_First,0,IF(AU12&lt;FT_Y5,1+INT((AU12-FT_First)/FT_Int1),FT_PreY5+FT_PerYear*INT((AU12-FT_Y5)/12)+FT_AnnivDays+INT(MOD(AU12-FT_Y5,12)/FT_Int2))),IF(AP12="PT",IF(AU12&lt;PT_First,0,1+INT((AU12-PT_First)/PT_Int)),0))+IF(AND(AI12&gt;=2,AK12&lt;=AsOfDate),IF(AQ12="FT",IF(AV12&lt;FT_First,0,IF(AV12&lt;FT_Y5,1+INT((AV12-FT_First)/FT_Int1),FT_PreY5+FT_PerYear*INT((AV12-FT_Y5)/12)+FT_AnnivDays+INT(MOD(AV12-FT_Y5,12)/FT_Int2))),IF(AQ12="PT",IF(AV12&lt;PT_First,0,1+INT((AV12-PT_First)/PT_Int)),0))-IF(AQ12="FT",IF(AU12&lt;FT_First,0,IF(AU12&lt;FT_Y5,1+INT((AU12-FT_First)/FT_Int1),FT_PreY5+FT_PerYear*INT((AU12-FT_Y5)/12)+FT_AnnivDays+INT(MOD(AU12-FT_Y5,12)/FT_Int2))),IF(AQ12="PT",IF(AU12&lt;PT_First,0,1+INT((AU12-PT_First)/PT_Int)),0)),0)+IF(AND(AI12&gt;=3,AL12&lt;=AsOfDate),IF(AR12="FT",IF(AT12&lt;FT_First,0,IF(AT12&lt;FT_Y5,1+INT((AT12-FT_First)/FT_Int1),FT_PreY5+FT_PerYear*INT((AT12-FT_Y5)/12)+FT_AnnivDays+INT(MOD(AT12-FT_Y5,12)/FT_Int2))),IF(AR12="PT",IF(AT12&lt;PT_First,0,1+INT((AT12-PT_First)/PT_Int)),0))-IF(AR12="FT",IF(AV12&lt;FT_First,0,IF(AV12&lt;FT_Y5,1+INT((AV12-FT_First)/FT_Int1),FT_PreY5+FT_PerYear*INT((AV12-FT_Y5)/12)+FT_AnnivDays+INT(MOD(AV12-FT_Y5,12)/FT_Int2))),IF(AR12="PT",IF(AV12&lt;PT_First,0,1+INT((AV12-PT_First)/PT_Int)),0)),0))</f>
        <v>2</v>
      </c>
      <c r="BA12" s="19" t="n">
        <f aca="false">IF(AG12=0,"",IF(AP12="FT",IF(AX12&lt;FT_First,0,IF(AX12&lt;FT_Y5,1+INT((AX12-FT_First)/FT_Int1),FT_PreY5+FT_PerYear*INT((AX12-FT_Y5)/12)+FT_AnnivDays+INT(MOD(AX12-FT_Y5,12)/FT_Int2))),IF(AP12="PT",IF(AX12&lt;PT_First,0,1+INT((AX12-PT_First)/PT_Int)),0))+IF(AND(AI12&gt;=2,AK12&lt;=PFYDate),IF(AQ12="FT",IF(AY12&lt;FT_First,0,IF(AY12&lt;FT_Y5,1+INT((AY12-FT_First)/FT_Int1),FT_PreY5+FT_PerYear*INT((AY12-FT_Y5)/12)+FT_AnnivDays+INT(MOD(AY12-FT_Y5,12)/FT_Int2))),IF(AQ12="PT",IF(AY12&lt;PT_First,0,1+INT((AY12-PT_First)/PT_Int)),0))-IF(AQ12="FT",IF(AX12&lt;FT_First,0,IF(AX12&lt;FT_Y5,1+INT((AX12-FT_First)/FT_Int1),FT_PreY5+FT_PerYear*INT((AX12-FT_Y5)/12)+FT_AnnivDays+INT(MOD(AX12-FT_Y5,12)/FT_Int2))),IF(AQ12="PT",IF(AX12&lt;PT_First,0,1+INT((AX12-PT_First)/PT_Int)),0)),0)+IF(AND(AI12&gt;=3,AL12&lt;=PFYDate),IF(AR12="FT",IF(AW12&lt;FT_First,0,IF(AW12&lt;FT_Y5,1+INT((AW12-FT_First)/FT_Int1),FT_PreY5+FT_PerYear*INT((AW12-FT_Y5)/12)+FT_AnnivDays+INT(MOD(AW12-FT_Y5,12)/FT_Int2))),IF(AR12="PT",IF(AW12&lt;PT_First,0,1+INT((AW12-PT_First)/PT_Int)),0))-IF(AR12="FT",IF(AY12&lt;FT_First,0,IF(AY12&lt;FT_Y5,1+INT((AY12-FT_First)/FT_Int1),FT_PreY5+FT_PerYear*INT((AY12-FT_Y5)/12)+FT_AnnivDays+INT(MOD(AY12-FT_Y5,12)/FT_Int2))),IF(AR12="PT",IF(AY12&lt;PT_First,0,1+INT((AY12-PT_First)/PT_Int)),0)),0))</f>
        <v>0</v>
      </c>
      <c r="BB12" s="19" t="n">
        <f aca="false">IF(AG12=0,"",IF(AS12="FT",IF(AT12&lt;FT_First,FT_First,IF(AT12&lt;FT_Y5,MIN(FT_Y5,FT_First+FT_Int1*(INT((AT12-FT_First)/FT_Int1)+1)),FT_Y5+12*INT((AT12-FT_Y5)/12)+FT_Int2*(INT(MOD(AT12-FT_Y5,12)/FT_Int2)+1))),IF(AS12="PT",IF(AT12&lt;PT_First,PT_First,PT_First+PT_Int*(INT((AT12-PT_First)/PT_Int)+1)),"")))</f>
        <v>44</v>
      </c>
      <c r="BC12" s="19" t="n">
        <f aca="false">IF(AG12=0,"",IF(NOT(LH_Ready),0,COUNTIFS(INDEX(LH_Data,0,LH_ColFirst),$A12,INDEX(LH_Data,0,LH_ColSur),$B12,INDEX(LH_Data,0,LH_ColCat),BonusCat)))</f>
        <v>0</v>
      </c>
      <c r="BD12" s="19" t="n">
        <f aca="false">IF(AG12=0,"",IF(OR(NOT(LH_Ready),BC12=0),0,SUMPRODUCT(MAX((INDEX(LH_Data,0,LH_ColFirst)=$A12)*(INDEX(LH_Data,0,LH_ColSur)=$B12)*(INDEX(LH_Data,0,LH_ColCat)=BonusCat)*ROW(LH_Data)))))</f>
        <v>0</v>
      </c>
      <c r="BE12" s="19" t="n">
        <f aca="false">IF(AG12=0,"",IF(EOMONTH(AsOfDate,-1)&lt;AH12,-1,12*(YEAR(EOMONTH(AsOfDate,-1))-YEAR(AH12))+MONTH(EOMONTH(AsOfDate,-1))-MONTH(AH12)-IF(DAY(EOMONTH(AsOfDate,-1))&lt;MIN(DAY(AH12),DAY(EOMONTH(EOMONTH(AsOfDate,-1),0))),1,0)))</f>
        <v>43</v>
      </c>
      <c r="BF12" s="19" t="n">
        <f aca="false">IF(AG12=0,"",IF(OR(AI12&lt;2,AK12&gt;EOMONTH(AsOfDate,-1)),BE12,IF((AK12-1)&lt;AH12,-1,12*(YEAR((AK12-1))-YEAR(AH12))+MONTH((AK12-1))-MONTH(AH12)-IF(DAY((AK12-1))&lt;MIN(DAY(AH12),DAY(EOMONTH((AK12-1),0))),1,0))))</f>
        <v>43</v>
      </c>
      <c r="BG12" s="19" t="n">
        <f aca="false">IF(AG12=0,"",IF(OR(AI12&lt;3,AL12&gt;EOMONTH(AsOfDate,-1)),BE12,IF((AL12-1)&lt;AH12,-1,12*(YEAR((AL12-1))-YEAR(AH12))+MONTH((AL12-1))-MONTH(AH12)-IF(DAY((AL12-1))&lt;MIN(DAY(AH12),DAY(EOMONTH((AL12-1),0))),1,0))))</f>
        <v>43</v>
      </c>
      <c r="BH12" s="19" t="n">
        <f aca="false">IF(AG12=0,"",IF(AP12="FT",IF(BF12&lt;FT_First,0,IF(BF12&lt;FT_Y5,1+INT((BF12-FT_First)/FT_Int1),FT_PreY5+FT_PerYear*INT((BF12-FT_Y5)/12)+FT_AnnivDays+INT(MOD(BF12-FT_Y5,12)/FT_Int2))),IF(AP12="PT",IF(BF12&lt;PT_First,0,1+INT((BF12-PT_First)/PT_Int)),0))+IF(AND(AI12&gt;=2,AK12&lt;=EOMONTH(AsOfDate,-1)),IF(AQ12="FT",IF(BG12&lt;FT_First,0,IF(BG12&lt;FT_Y5,1+INT((BG12-FT_First)/FT_Int1),FT_PreY5+FT_PerYear*INT((BG12-FT_Y5)/12)+FT_AnnivDays+INT(MOD(BG12-FT_Y5,12)/FT_Int2))),IF(AQ12="PT",IF(BG12&lt;PT_First,0,1+INT((BG12-PT_First)/PT_Int)),0))-IF(AQ12="FT",IF(BF12&lt;FT_First,0,IF(BF12&lt;FT_Y5,1+INT((BF12-FT_First)/FT_Int1),FT_PreY5+FT_PerYear*INT((BF12-FT_Y5)/12)+FT_AnnivDays+INT(MOD(BF12-FT_Y5,12)/FT_Int2))),IF(AQ12="PT",IF(BF12&lt;PT_First,0,1+INT((BF12-PT_First)/PT_Int)),0)),0)+IF(AND(AI12&gt;=3,AL12&lt;=EOMONTH(AsOfDate,-1)),IF(AR12="FT",IF(BE12&lt;FT_First,0,IF(BE12&lt;FT_Y5,1+INT((BE12-FT_First)/FT_Int1),FT_PreY5+FT_PerYear*INT((BE12-FT_Y5)/12)+FT_AnnivDays+INT(MOD(BE12-FT_Y5,12)/FT_Int2))),IF(AR12="PT",IF(BE12&lt;PT_First,0,1+INT((BE12-PT_First)/PT_Int)),0))-IF(AR12="FT",IF(BG12&lt;FT_First,0,IF(BG12&lt;FT_Y5,1+INT((BG12-FT_First)/FT_Int1),FT_PreY5+FT_PerYear*INT((BG12-FT_Y5)/12)+FT_AnnivDays+INT(MOD(BG12-FT_Y5,12)/FT_Int2))),IF(AR12="PT",IF(BG12&lt;PT_First,0,1+INT((BG12-PT_First)/PT_Int)),0)),0))</f>
        <v>2</v>
      </c>
      <c r="BI12" s="19" t="n">
        <f aca="false">IF(AG12=0,"",IF(AS12="FT",IF(AT12&lt;FT_First,"",IF(AT12&lt;FT_Y5,FT_First+FT_Int1*INT((AT12-FT_First)/FT_Int1),FT_Y5+FT_Int2*INT((AT12-FT_Y5)/FT_Int2))),IF(AS12="PT",IF(AT12&lt;PT_First,"",PT_First+PT_Int*INT((AT12-PT_First)/PT_Int)),"")))</f>
        <v>40</v>
      </c>
      <c r="BJ12" s="0" t="str">
        <f aca="false">IF(LEN($A12&amp;$B12)=0,"",$A12&amp;" "&amp;$B12)</f>
        <v>Blake Crisford</v>
      </c>
    </row>
    <row r="13" customFormat="false" ht="15" hidden="false" customHeight="false" outlineLevel="0" collapsed="false">
      <c r="A13" s="15" t="s">
        <v>154</v>
      </c>
      <c r="B13" s="15" t="s">
        <v>155</v>
      </c>
      <c r="C13" s="15" t="s">
        <v>138</v>
      </c>
      <c r="D13" s="16" t="n">
        <v>36102</v>
      </c>
      <c r="E13" s="17" t="n">
        <f aca="false">IF(OR(AG13=0,$D13=""),"",DATE(YEAR(AsOfDate)+IF(DATE(YEAR(AsOfDate),MONTH($D13),DAY($D13))&lt;=AsOfDate,1,0),MONTH($D13),DAY($D13)))</f>
        <v>46329</v>
      </c>
      <c r="F13" s="16" t="n">
        <v>45924</v>
      </c>
      <c r="G13" s="16"/>
      <c r="H13" s="16"/>
      <c r="I13" s="16"/>
      <c r="J13" s="16"/>
      <c r="K13" s="17" t="n">
        <f aca="false">IF(AG13=0,"",DATE(YEAR(AsOfDate)+IF(DATE(YEAR(AsOfDate),MONTH(AH13),DAY(AH13))&lt;=AsOfDate,1,0),MONTH(AH13),DAY(AH13)))</f>
        <v>46654</v>
      </c>
      <c r="L13" s="18" t="n">
        <f aca="false">IF(AG13=0,"",ROUND((AsOfDate-AH13)/365.25,1))</f>
        <v>1</v>
      </c>
      <c r="M13" s="19" t="str">
        <f aca="false">IF(AG13=0,"",IF(AsOfDate&lt;AH13,"-",DATEDIF(AH13,AsOfDate,"y")&amp;"y "&amp;DATEDIF(AH13,AsOfDate,"ym")&amp;"m "&amp;DATEDIF(AH13,AsOfDate,"md")&amp;"d"))</f>
        <v>1y 0m 12d</v>
      </c>
      <c r="N13" s="20" t="n">
        <f aca="false">IF(AG13=0,"",O13*HoursPerDay)</f>
        <v>0</v>
      </c>
      <c r="O13" s="20" t="n">
        <f aca="false">IF(AG13=0,"",AZ13)</f>
        <v>0</v>
      </c>
      <c r="P13" s="21"/>
      <c r="Q13" s="19"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19"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17" t="str">
        <f aca="false">IF(AG13=0,"",IF(AS13="None","",EDATE(AH13,BB13)))</f>
        <v/>
      </c>
      <c r="T13" s="20" t="n">
        <f aca="false">IF(AG13=0,"",IF(NOT(LH_Ready),"",IF(AH13&gt;PFYDate,0,IF(LH_ColPeriod=0,W13-U13+V13,SUMIFS(INDEX(LH_Data,0,LH_ColAcc),INDEX(LH_Data,0,LH_ColFirst),$A13,INDEX(LH_Data,0,LH_ColSur),$B13,INDEX(LH_Data,0,LH_ColCat),BonusCat,INDEX(LH_Data,0,LH_ColPeriod),LH_OpenLabel)*UnitFactor))))</f>
        <v>0</v>
      </c>
      <c r="U13" s="20" t="n">
        <f aca="false">IF(AG13=0,"",IF(NOT(LH_Ready),"",SUMIFS(INDEX(LH_Data,0,LH_ColAcc),INDEX(LH_Data,0,LH_ColFirst),$A13,INDEX(LH_Data,0,LH_ColSur),$B13,INDEX(LH_Data,0,LH_ColCat),BonusCat,INDEX(LH_Data,0,LH_ColStart),"&gt;="&amp;AH13)*UnitFactor))</f>
        <v>0</v>
      </c>
      <c r="V13" s="20" t="n">
        <f aca="false">IF(AG13=0,"",IF(NOT(LH_Ready),"",SUMIFS(INDEX(LH_Data,0,LH_ColTaken),INDEX(LH_Data,0,LH_ColFirst),$A13,INDEX(LH_Data,0,LH_ColSur),$B13,INDEX(LH_Data,0,LH_ColCat),BonusCat,INDEX(LH_Data,0,LH_ColStart),"&gt;="&amp;AH13)*UnitFactor))</f>
        <v>0</v>
      </c>
      <c r="W13" s="20" t="n">
        <f aca="false">IF(AG13=0,"",IF(NOT(LH_Ready),"",IF(BD13=0,0,INDEX(INDEX(LH_Data,0,LH_ColClose),BD13-1)*UnitFactor)))</f>
        <v>0</v>
      </c>
      <c r="X13" s="20" t="n">
        <f aca="false">IF(AG13=0,"",(AZ13-BA13)*HoursPerDay)</f>
        <v>0</v>
      </c>
      <c r="Y13" s="20" t="n">
        <f aca="false">IF(AG13=0,"",IF(NOT(LH_Ready),"",IF(BC13=0,N13,IF(PFYDate&lt;$F13,N13-N(T13)-N(U13),X13-N(U13)))))</f>
        <v>0</v>
      </c>
      <c r="Z13" s="19" t="str">
        <f aca="false">IF(OR(AG13=0,Y13=""),"",IF(Y13&gt;0,"Yes","No"))</f>
        <v>No</v>
      </c>
      <c r="AA13" s="19"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Not eligible - Casual</v>
      </c>
      <c r="AB13" s="20" t="n">
        <f aca="false">IF(OR(AG13=0,T13=""),"",BA13*HoursPerDay-T13)</f>
        <v>0</v>
      </c>
      <c r="AC13" s="19" t="n">
        <f aca="false">IF(AG13=0,"",BC13)</f>
        <v>0</v>
      </c>
      <c r="AD13" s="19"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20" t="n">
        <f aca="false">IF(AG13=0,"",O13-BH13)</f>
        <v>0</v>
      </c>
      <c r="AF13" s="17" t="str">
        <f aca="false">IF(OR(AG13=0,AE13="",N(AE13)=0,BI13=""),"",EDATE(AH13,BI13))</f>
        <v/>
      </c>
      <c r="AG13" s="19" t="n">
        <f aca="false">IF(OR(LEN($A13&amp;$B13)=0,$F13=""),0,1)</f>
        <v>1</v>
      </c>
      <c r="AH13" s="17" t="n">
        <f aca="false">IF(AG13=0,"",IF($J13&lt;&gt;"",$J13,IF(OR(CasualCounts="Yes",COUNT($G13:$I13)=0,COUNT($H13:$I13)=0),$F13,MIN($H13:$I13))))</f>
        <v>45924</v>
      </c>
      <c r="AI13" s="19" t="n">
        <f aca="false">IF(AG13=0,"",COUNT($G13:$I13))</f>
        <v>0</v>
      </c>
      <c r="AJ13" s="17" t="str">
        <f aca="false">IF(AG13=0,"",IFERROR(SMALL($G13:$I13,1),""))</f>
        <v/>
      </c>
      <c r="AK13" s="17" t="str">
        <f aca="false">IF(AG13=0,"",IFERROR(SMALL($G13:$I13,2),""))</f>
        <v/>
      </c>
      <c r="AL13" s="17" t="str">
        <f aca="false">IF(AG13=0,"",IFERROR(SMALL($G13:$I13,3),""))</f>
        <v/>
      </c>
      <c r="AM13" s="19" t="str">
        <f aca="false">IF(AG13=0,"",IF(AJ13="","",IF(AJ13=$H13,"Part-Time",IF(AJ13=$I13,"Full-Time","Casual"))))</f>
        <v/>
      </c>
      <c r="AN13" s="19" t="str">
        <f aca="false">IF(AG13=0,"",IF(AK13="","",IF(AK13=$H13,"Part-Time",IF(AK13=$I13,"Full-Time","Casual"))))</f>
        <v/>
      </c>
      <c r="AO13" s="19" t="str">
        <f aca="false">IF(AG13=0,"",IF(AL13="","",IF(AL13=$H13,"Part-Time",IF(AL13=$I13,"Full-Time","Casual"))))</f>
        <v/>
      </c>
      <c r="AP13" s="19"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None</v>
      </c>
      <c r="AQ13" s="19" t="str">
        <f aca="false">IF(AG13=0,"",IF(AI13&lt;2,"",IF(OR(ISNUMBER(SEARCH("full",AN13)),UPPER(TRIM(AN13))="FT",UPPER(TRIM(AN13))="FTE"),"FT",IF(AND(OR(ISNUMBER(SEARCH("part",AN13)),UPPER(TRIM(AN13))="PT",UPPER(TRIM(AN13))="PTE"),OR($P13="",N($P13)&gt;=PT_MinHours)),"PT","None"))))</f>
        <v/>
      </c>
      <c r="AR13" s="19" t="str">
        <f aca="false">IF(AG13=0,"",IF(AI13&lt;3,"",IF(OR(ISNUMBER(SEARCH("full",AO13)),UPPER(TRIM(AO13))="FT",UPPER(TRIM(AO13))="FTE"),"FT",IF(AND(OR(ISNUMBER(SEARCH("part",AO13)),UPPER(TRIM(AO13))="PT",UPPER(TRIM(AO13))="PTE"),OR($P13="",N($P13)&gt;=PT_MinHours)),"PT","None"))))</f>
        <v/>
      </c>
      <c r="AS13" s="19" t="str">
        <f aca="false">IF(AG13=0,"",IF(AND(AI13&gt;=3,AL13&lt;=AsOfDate),AR13,IF(AND(AI13&gt;=2,AK13&lt;=AsOfDate),AQ13,AP13)))</f>
        <v>None</v>
      </c>
      <c r="AT13" s="19" t="n">
        <f aca="false">IF(AG13=0,"",IF(AsOfDate&lt;AH13,-1,12*(YEAR(AsOfDate)-YEAR(AH13))+MONTH(AsOfDate)-MONTH(AH13)-IF(DAY(AsOfDate)&lt;MIN(DAY(AH13),DAY(EOMONTH(AsOfDate,0))),1,0)))</f>
        <v>12</v>
      </c>
      <c r="AU13" s="19" t="n">
        <f aca="false">IF(AG13=0,"",IF(OR(AI13&lt;2,AK13&gt;AsOfDate),AT13,IF((AK13-1)&lt;AH13,-1,12*(YEAR((AK13-1))-YEAR(AH13))+MONTH((AK13-1))-MONTH(AH13)-IF(DAY((AK13-1))&lt;MIN(DAY(AH13),DAY(EOMONTH((AK13-1),0))),1,0))))</f>
        <v>12</v>
      </c>
      <c r="AV13" s="19" t="n">
        <f aca="false">IF(AG13=0,"",IF(OR(AI13&lt;3,AL13&gt;AsOfDate),AT13,IF((AL13-1)&lt;AH13,-1,12*(YEAR((AL13-1))-YEAR(AH13))+MONTH((AL13-1))-MONTH(AH13)-IF(DAY((AL13-1))&lt;MIN(DAY(AH13),DAY(EOMONTH((AL13-1),0))),1,0))))</f>
        <v>12</v>
      </c>
      <c r="AW13" s="19" t="n">
        <f aca="false">IF(AG13=0,"",IF(PFYDate&lt;AH13,-1,12*(YEAR(PFYDate)-YEAR(AH13))+MONTH(PFYDate)-MONTH(AH13)-IF(DAY(PFYDate)&lt;MIN(DAY(AH13),DAY(EOMONTH(PFYDate,0))),1,0)))</f>
        <v>-1</v>
      </c>
      <c r="AX13" s="19" t="n">
        <f aca="false">IF(AG13=0,"",IF(OR(AI13&lt;2,AK13&gt;PFYDate),AW13,IF((AK13-1)&lt;AH13,-1,12*(YEAR((AK13-1))-YEAR(AH13))+MONTH((AK13-1))-MONTH(AH13)-IF(DAY((AK13-1))&lt;MIN(DAY(AH13),DAY(EOMONTH((AK13-1),0))),1,0))))</f>
        <v>-1</v>
      </c>
      <c r="AY13" s="19" t="n">
        <f aca="false">IF(AG13=0,"",IF(OR(AI13&lt;3,AL13&gt;PFYDate),AW13,IF((AL13-1)&lt;AH13,-1,12*(YEAR((AL13-1))-YEAR(AH13))+MONTH((AL13-1))-MONTH(AH13)-IF(DAY((AL13-1))&lt;MIN(DAY(AH13),DAY(EOMONTH((AL13-1),0))),1,0))))</f>
        <v>-1</v>
      </c>
      <c r="AZ13" s="19" t="n">
        <f aca="false">IF(AG13=0,"",IF(AP13="FT",IF(AU13&lt;FT_First,0,IF(AU13&lt;FT_Y5,1+INT((AU13-FT_First)/FT_Int1),FT_PreY5+FT_PerYear*INT((AU13-FT_Y5)/12)+FT_AnnivDays+INT(MOD(AU13-FT_Y5,12)/FT_Int2))),IF(AP13="PT",IF(AU13&lt;PT_First,0,1+INT((AU13-PT_First)/PT_Int)),0))+IF(AND(AI13&gt;=2,AK13&lt;=AsOfDate),IF(AQ13="FT",IF(AV13&lt;FT_First,0,IF(AV13&lt;FT_Y5,1+INT((AV13-FT_First)/FT_Int1),FT_PreY5+FT_PerYear*INT((AV13-FT_Y5)/12)+FT_AnnivDays+INT(MOD(AV13-FT_Y5,12)/FT_Int2))),IF(AQ13="PT",IF(AV13&lt;PT_First,0,1+INT((AV13-PT_First)/PT_Int)),0))-IF(AQ13="FT",IF(AU13&lt;FT_First,0,IF(AU13&lt;FT_Y5,1+INT((AU13-FT_First)/FT_Int1),FT_PreY5+FT_PerYear*INT((AU13-FT_Y5)/12)+FT_AnnivDays+INT(MOD(AU13-FT_Y5,12)/FT_Int2))),IF(AQ13="PT",IF(AU13&lt;PT_First,0,1+INT((AU13-PT_First)/PT_Int)),0)),0)+IF(AND(AI13&gt;=3,AL13&lt;=AsOfDate),IF(AR13="FT",IF(AT13&lt;FT_First,0,IF(AT13&lt;FT_Y5,1+INT((AT13-FT_First)/FT_Int1),FT_PreY5+FT_PerYear*INT((AT13-FT_Y5)/12)+FT_AnnivDays+INT(MOD(AT13-FT_Y5,12)/FT_Int2))),IF(AR13="PT",IF(AT13&lt;PT_First,0,1+INT((AT13-PT_First)/PT_Int)),0))-IF(AR13="FT",IF(AV13&lt;FT_First,0,IF(AV13&lt;FT_Y5,1+INT((AV13-FT_First)/FT_Int1),FT_PreY5+FT_PerYear*INT((AV13-FT_Y5)/12)+FT_AnnivDays+INT(MOD(AV13-FT_Y5,12)/FT_Int2))),IF(AR13="PT",IF(AV13&lt;PT_First,0,1+INT((AV13-PT_First)/PT_Int)),0)),0))</f>
        <v>0</v>
      </c>
      <c r="BA13" s="19" t="n">
        <f aca="false">IF(AG13=0,"",IF(AP13="FT",IF(AX13&lt;FT_First,0,IF(AX13&lt;FT_Y5,1+INT((AX13-FT_First)/FT_Int1),FT_PreY5+FT_PerYear*INT((AX13-FT_Y5)/12)+FT_AnnivDays+INT(MOD(AX13-FT_Y5,12)/FT_Int2))),IF(AP13="PT",IF(AX13&lt;PT_First,0,1+INT((AX13-PT_First)/PT_Int)),0))+IF(AND(AI13&gt;=2,AK13&lt;=PFYDate),IF(AQ13="FT",IF(AY13&lt;FT_First,0,IF(AY13&lt;FT_Y5,1+INT((AY13-FT_First)/FT_Int1),FT_PreY5+FT_PerYear*INT((AY13-FT_Y5)/12)+FT_AnnivDays+INT(MOD(AY13-FT_Y5,12)/FT_Int2))),IF(AQ13="PT",IF(AY13&lt;PT_First,0,1+INT((AY13-PT_First)/PT_Int)),0))-IF(AQ13="FT",IF(AX13&lt;FT_First,0,IF(AX13&lt;FT_Y5,1+INT((AX13-FT_First)/FT_Int1),FT_PreY5+FT_PerYear*INT((AX13-FT_Y5)/12)+FT_AnnivDays+INT(MOD(AX13-FT_Y5,12)/FT_Int2))),IF(AQ13="PT",IF(AX13&lt;PT_First,0,1+INT((AX13-PT_First)/PT_Int)),0)),0)+IF(AND(AI13&gt;=3,AL13&lt;=PFYDate),IF(AR13="FT",IF(AW13&lt;FT_First,0,IF(AW13&lt;FT_Y5,1+INT((AW13-FT_First)/FT_Int1),FT_PreY5+FT_PerYear*INT((AW13-FT_Y5)/12)+FT_AnnivDays+INT(MOD(AW13-FT_Y5,12)/FT_Int2))),IF(AR13="PT",IF(AW13&lt;PT_First,0,1+INT((AW13-PT_First)/PT_Int)),0))-IF(AR13="FT",IF(AY13&lt;FT_First,0,IF(AY13&lt;FT_Y5,1+INT((AY13-FT_First)/FT_Int1),FT_PreY5+FT_PerYear*INT((AY13-FT_Y5)/12)+FT_AnnivDays+INT(MOD(AY13-FT_Y5,12)/FT_Int2))),IF(AR13="PT",IF(AY13&lt;PT_First,0,1+INT((AY13-PT_First)/PT_Int)),0)),0))</f>
        <v>0</v>
      </c>
      <c r="BB13" s="19" t="str">
        <f aca="false">IF(AG13=0,"",IF(AS13="FT",IF(AT13&lt;FT_First,FT_First,IF(AT13&lt;FT_Y5,MIN(FT_Y5,FT_First+FT_Int1*(INT((AT13-FT_First)/FT_Int1)+1)),FT_Y5+12*INT((AT13-FT_Y5)/12)+FT_Int2*(INT(MOD(AT13-FT_Y5,12)/FT_Int2)+1))),IF(AS13="PT",IF(AT13&lt;PT_First,PT_First,PT_First+PT_Int*(INT((AT13-PT_First)/PT_Int)+1)),"")))</f>
        <v/>
      </c>
      <c r="BC13" s="19" t="n">
        <f aca="false">IF(AG13=0,"",IF(NOT(LH_Ready),0,COUNTIFS(INDEX(LH_Data,0,LH_ColFirst),$A13,INDEX(LH_Data,0,LH_ColSur),$B13,INDEX(LH_Data,0,LH_ColCat),BonusCat)))</f>
        <v>0</v>
      </c>
      <c r="BD13" s="19" t="n">
        <f aca="false">IF(AG13=0,"",IF(OR(NOT(LH_Ready),BC13=0),0,SUMPRODUCT(MAX((INDEX(LH_Data,0,LH_ColFirst)=$A13)*(INDEX(LH_Data,0,LH_ColSur)=$B13)*(INDEX(LH_Data,0,LH_ColCat)=BonusCat)*ROW(LH_Data)))))</f>
        <v>0</v>
      </c>
      <c r="BE13" s="19" t="n">
        <f aca="false">IF(AG13=0,"",IF(EOMONTH(AsOfDate,-1)&lt;AH13,-1,12*(YEAR(EOMONTH(AsOfDate,-1))-YEAR(AH13))+MONTH(EOMONTH(AsOfDate,-1))-MONTH(AH13)-IF(DAY(EOMONTH(AsOfDate,-1))&lt;MIN(DAY(AH13),DAY(EOMONTH(EOMONTH(AsOfDate,-1),0))),1,0)))</f>
        <v>12</v>
      </c>
      <c r="BF13" s="19" t="n">
        <f aca="false">IF(AG13=0,"",IF(OR(AI13&lt;2,AK13&gt;EOMONTH(AsOfDate,-1)),BE13,IF((AK13-1)&lt;AH13,-1,12*(YEAR((AK13-1))-YEAR(AH13))+MONTH((AK13-1))-MONTH(AH13)-IF(DAY((AK13-1))&lt;MIN(DAY(AH13),DAY(EOMONTH((AK13-1),0))),1,0))))</f>
        <v>12</v>
      </c>
      <c r="BG13" s="19" t="n">
        <f aca="false">IF(AG13=0,"",IF(OR(AI13&lt;3,AL13&gt;EOMONTH(AsOfDate,-1)),BE13,IF((AL13-1)&lt;AH13,-1,12*(YEAR((AL13-1))-YEAR(AH13))+MONTH((AL13-1))-MONTH(AH13)-IF(DAY((AL13-1))&lt;MIN(DAY(AH13),DAY(EOMONTH((AL13-1),0))),1,0))))</f>
        <v>12</v>
      </c>
      <c r="BH13" s="19" t="n">
        <f aca="false">IF(AG13=0,"",IF(AP13="FT",IF(BF13&lt;FT_First,0,IF(BF13&lt;FT_Y5,1+INT((BF13-FT_First)/FT_Int1),FT_PreY5+FT_PerYear*INT((BF13-FT_Y5)/12)+FT_AnnivDays+INT(MOD(BF13-FT_Y5,12)/FT_Int2))),IF(AP13="PT",IF(BF13&lt;PT_First,0,1+INT((BF13-PT_First)/PT_Int)),0))+IF(AND(AI13&gt;=2,AK13&lt;=EOMONTH(AsOfDate,-1)),IF(AQ13="FT",IF(BG13&lt;FT_First,0,IF(BG13&lt;FT_Y5,1+INT((BG13-FT_First)/FT_Int1),FT_PreY5+FT_PerYear*INT((BG13-FT_Y5)/12)+FT_AnnivDays+INT(MOD(BG13-FT_Y5,12)/FT_Int2))),IF(AQ13="PT",IF(BG13&lt;PT_First,0,1+INT((BG13-PT_First)/PT_Int)),0))-IF(AQ13="FT",IF(BF13&lt;FT_First,0,IF(BF13&lt;FT_Y5,1+INT((BF13-FT_First)/FT_Int1),FT_PreY5+FT_PerYear*INT((BF13-FT_Y5)/12)+FT_AnnivDays+INT(MOD(BF13-FT_Y5,12)/FT_Int2))),IF(AQ13="PT",IF(BF13&lt;PT_First,0,1+INT((BF13-PT_First)/PT_Int)),0)),0)+IF(AND(AI13&gt;=3,AL13&lt;=EOMONTH(AsOfDate,-1)),IF(AR13="FT",IF(BE13&lt;FT_First,0,IF(BE13&lt;FT_Y5,1+INT((BE13-FT_First)/FT_Int1),FT_PreY5+FT_PerYear*INT((BE13-FT_Y5)/12)+FT_AnnivDays+INT(MOD(BE13-FT_Y5,12)/FT_Int2))),IF(AR13="PT",IF(BE13&lt;PT_First,0,1+INT((BE13-PT_First)/PT_Int)),0))-IF(AR13="FT",IF(BG13&lt;FT_First,0,IF(BG13&lt;FT_Y5,1+INT((BG13-FT_First)/FT_Int1),FT_PreY5+FT_PerYear*INT((BG13-FT_Y5)/12)+FT_AnnivDays+INT(MOD(BG13-FT_Y5,12)/FT_Int2))),IF(AR13="PT",IF(BG13&lt;PT_First,0,1+INT((BG13-PT_First)/PT_Int)),0)),0))</f>
        <v>0</v>
      </c>
      <c r="BI13" s="19" t="str">
        <f aca="false">IF(AG13=0,"",IF(AS13="FT",IF(AT13&lt;FT_First,"",IF(AT13&lt;FT_Y5,FT_First+FT_Int1*INT((AT13-FT_First)/FT_Int1),FT_Y5+FT_Int2*INT((AT13-FT_Y5)/FT_Int2))),IF(AS13="PT",IF(AT13&lt;PT_First,"",PT_First+PT_Int*INT((AT13-PT_First)/PT_Int)),"")))</f>
        <v/>
      </c>
      <c r="BJ13" s="0" t="str">
        <f aca="false">IF(LEN($A13&amp;$B13)=0,"",$A13&amp;" "&amp;$B13)</f>
        <v>Cai Neilson</v>
      </c>
    </row>
    <row r="14" customFormat="false" ht="15" hidden="false" customHeight="false" outlineLevel="0" collapsed="false">
      <c r="A14" s="15" t="s">
        <v>156</v>
      </c>
      <c r="B14" s="15" t="s">
        <v>157</v>
      </c>
      <c r="C14" s="15" t="s">
        <v>153</v>
      </c>
      <c r="D14" s="16" t="n">
        <v>24154</v>
      </c>
      <c r="E14" s="17" t="n">
        <f aca="false">IF(OR(AG14=0,$D14=""),"",DATE(YEAR(AsOfDate)+IF(DATE(YEAR(AsOfDate),MONTH($D14),DAY($D14))&lt;=AsOfDate,1,0),MONTH($D14),DAY($D14)))</f>
        <v>46434</v>
      </c>
      <c r="F14" s="16" t="n">
        <v>44742</v>
      </c>
      <c r="G14" s="16" t="n">
        <v>44742</v>
      </c>
      <c r="H14" s="16"/>
      <c r="I14" s="16" t="n">
        <v>44823</v>
      </c>
      <c r="J14" s="16"/>
      <c r="K14" s="17" t="n">
        <f aca="false">IF(AG14=0,"",DATE(YEAR(AsOfDate)+IF(DATE(YEAR(AsOfDate),MONTH(AH14),DAY(AH14))&lt;=AsOfDate,1,0),MONTH(AH14),DAY(AH14)))</f>
        <v>46649</v>
      </c>
      <c r="L14" s="18" t="n">
        <f aca="false">IF(AG14=0,"",ROUND((AsOfDate-AH14)/365.25,1))</f>
        <v>4</v>
      </c>
      <c r="M14" s="19" t="str">
        <f aca="false">IF(AG14=0,"",IF(AsOfDate&lt;AH14,"-",DATEDIF(AH14,AsOfDate,"y")&amp;"y "&amp;DATEDIF(AH14,AsOfDate,"ym")&amp;"m "&amp;DATEDIF(AH14,AsOfDate,"md")&amp;"d"))</f>
        <v>4y 0m 17d</v>
      </c>
      <c r="N14" s="20" t="n">
        <f aca="false">IF(AG14=0,"",O14*HoursPerDay)</f>
        <v>32</v>
      </c>
      <c r="O14" s="20" t="n">
        <f aca="false">IF(AG14=0,"",AZ14)</f>
        <v>4</v>
      </c>
      <c r="P14" s="21"/>
      <c r="Q14" s="19"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Casual to Full-Time on 19/09/2022 - commencement for Bonus Leave</v>
      </c>
      <c r="R14" s="19"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17" t="n">
        <f aca="false">IF(AG14=0,"",IF(AS14="None","",EDATE(AH14,BB14)))</f>
        <v>46406</v>
      </c>
      <c r="T14" s="20" t="n">
        <f aca="false">IF(AG14=0,"",IF(NOT(LH_Ready),"",IF(AH14&gt;PFYDate,0,IF(LH_ColPeriod=0,W14-U14+V14,SUMIFS(INDEX(LH_Data,0,LH_ColAcc),INDEX(LH_Data,0,LH_ColFirst),$A14,INDEX(LH_Data,0,LH_ColSur),$B14,INDEX(LH_Data,0,LH_ColCat),BonusCat,INDEX(LH_Data,0,LH_ColPeriod),LH_OpenLabel)*UnitFactor))))</f>
        <v>0</v>
      </c>
      <c r="U14" s="20" t="n">
        <f aca="false">IF(AG14=0,"",IF(NOT(LH_Ready),"",SUMIFS(INDEX(LH_Data,0,LH_ColAcc),INDEX(LH_Data,0,LH_ColFirst),$A14,INDEX(LH_Data,0,LH_ColSur),$B14,INDEX(LH_Data,0,LH_ColCat),BonusCat,INDEX(LH_Data,0,LH_ColStart),"&gt;="&amp;AH14)*UnitFactor))</f>
        <v>0</v>
      </c>
      <c r="V14" s="20" t="n">
        <f aca="false">IF(AG14=0,"",IF(NOT(LH_Ready),"",SUMIFS(INDEX(LH_Data,0,LH_ColTaken),INDEX(LH_Data,0,LH_ColFirst),$A14,INDEX(LH_Data,0,LH_ColSur),$B14,INDEX(LH_Data,0,LH_ColCat),BonusCat,INDEX(LH_Data,0,LH_ColStart),"&gt;="&amp;AH14)*UnitFactor))</f>
        <v>0</v>
      </c>
      <c r="W14" s="20" t="n">
        <f aca="false">IF(AG14=0,"",IF(NOT(LH_Ready),"",IF(BD14=0,0,INDEX(INDEX(LH_Data,0,LH_ColClose),BD14-1)*UnitFactor)))</f>
        <v>0</v>
      </c>
      <c r="X14" s="20" t="n">
        <f aca="false">IF(AG14=0,"",(AZ14-BA14)*HoursPerDay)</f>
        <v>32</v>
      </c>
      <c r="Y14" s="20" t="n">
        <f aca="false">IF(AG14=0,"",IF(NOT(LH_Ready),"",IF(BC14=0,N14,IF(PFYDate&lt;$F14,N14-N(T14)-N(U14),X14-N(U14)))))</f>
        <v>32</v>
      </c>
      <c r="Z14" s="19" t="str">
        <f aca="false">IF(OR(AG14=0,Y14=""),"",IF(Y14&gt;0,"Yes","No"))</f>
        <v>Yes</v>
      </c>
      <c r="AA14" s="19"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ACCRUE 32 hrs (4 days): all catch-up from earlier months, nothing new this month; no Bonus Leave in EH yet</v>
      </c>
      <c r="AB14" s="20" t="n">
        <f aca="false">IF(OR(AG14=0,T14=""),"",BA14*HoursPerDay-T14)</f>
        <v>0</v>
      </c>
      <c r="AC14" s="19" t="n">
        <f aca="false">IF(AG14=0,"",BC14)</f>
        <v>0</v>
      </c>
      <c r="AD14" s="19"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20" t="n">
        <f aca="false">IF(AG14=0,"",O14-BH14)</f>
        <v>0</v>
      </c>
      <c r="AF14" s="17" t="str">
        <f aca="false">IF(OR(AG14=0,AE14="",N(AE14)=0,BI14=""),"",EDATE(AH14,BI14))</f>
        <v/>
      </c>
      <c r="AG14" s="19" t="n">
        <f aca="false">IF(OR(LEN($A14&amp;$B14)=0,$F14=""),0,1)</f>
        <v>1</v>
      </c>
      <c r="AH14" s="17" t="n">
        <f aca="false">IF(AG14=0,"",IF($J14&lt;&gt;"",$J14,IF(OR(CasualCounts="Yes",COUNT($G14:$I14)=0,COUNT($H14:$I14)=0),$F14,MIN($H14:$I14))))</f>
        <v>44823</v>
      </c>
      <c r="AI14" s="19" t="n">
        <f aca="false">IF(AG14=0,"",COUNT($G14:$I14))</f>
        <v>2</v>
      </c>
      <c r="AJ14" s="17" t="n">
        <f aca="false">IF(AG14=0,"",IFERROR(SMALL($G14:$I14,1),""))</f>
        <v>44742</v>
      </c>
      <c r="AK14" s="17" t="n">
        <f aca="false">IF(AG14=0,"",IFERROR(SMALL($G14:$I14,2),""))</f>
        <v>44823</v>
      </c>
      <c r="AL14" s="17" t="str">
        <f aca="false">IF(AG14=0,"",IFERROR(SMALL($G14:$I14,3),""))</f>
        <v/>
      </c>
      <c r="AM14" s="19" t="str">
        <f aca="false">IF(AG14=0,"",IF(AJ14="","",IF(AJ14=$H14,"Part-Time",IF(AJ14=$I14,"Full-Time","Casual"))))</f>
        <v>Casual</v>
      </c>
      <c r="AN14" s="19" t="str">
        <f aca="false">IF(AG14=0,"",IF(AK14="","",IF(AK14=$H14,"Part-Time",IF(AK14=$I14,"Full-Time","Casual"))))</f>
        <v>Full-Time</v>
      </c>
      <c r="AO14" s="19" t="str">
        <f aca="false">IF(AG14=0,"",IF(AL14="","",IF(AL14=$H14,"Part-Time",IF(AL14=$I14,"Full-Time","Casual"))))</f>
        <v/>
      </c>
      <c r="AP14" s="19"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None</v>
      </c>
      <c r="AQ14" s="19" t="str">
        <f aca="false">IF(AG14=0,"",IF(AI14&lt;2,"",IF(OR(ISNUMBER(SEARCH("full",AN14)),UPPER(TRIM(AN14))="FT",UPPER(TRIM(AN14))="FTE"),"FT",IF(AND(OR(ISNUMBER(SEARCH("part",AN14)),UPPER(TRIM(AN14))="PT",UPPER(TRIM(AN14))="PTE"),OR($P14="",N($P14)&gt;=PT_MinHours)),"PT","None"))))</f>
        <v>FT</v>
      </c>
      <c r="AR14" s="19" t="str">
        <f aca="false">IF(AG14=0,"",IF(AI14&lt;3,"",IF(OR(ISNUMBER(SEARCH("full",AO14)),UPPER(TRIM(AO14))="FT",UPPER(TRIM(AO14))="FTE"),"FT",IF(AND(OR(ISNUMBER(SEARCH("part",AO14)),UPPER(TRIM(AO14))="PT",UPPER(TRIM(AO14))="PTE"),OR($P14="",N($P14)&gt;=PT_MinHours)),"PT","None"))))</f>
        <v/>
      </c>
      <c r="AS14" s="19" t="str">
        <f aca="false">IF(AG14=0,"",IF(AND(AI14&gt;=3,AL14&lt;=AsOfDate),AR14,IF(AND(AI14&gt;=2,AK14&lt;=AsOfDate),AQ14,AP14)))</f>
        <v>FT</v>
      </c>
      <c r="AT14" s="19" t="n">
        <f aca="false">IF(AG14=0,"",IF(AsOfDate&lt;AH14,-1,12*(YEAR(AsOfDate)-YEAR(AH14))+MONTH(AsOfDate)-MONTH(AH14)-IF(DAY(AsOfDate)&lt;MIN(DAY(AH14),DAY(EOMONTH(AsOfDate,0))),1,0)))</f>
        <v>48</v>
      </c>
      <c r="AU14" s="19" t="n">
        <f aca="false">IF(AG14=0,"",IF(OR(AI14&lt;2,AK14&gt;AsOfDate),AT14,IF((AK14-1)&lt;AH14,-1,12*(YEAR((AK14-1))-YEAR(AH14))+MONTH((AK14-1))-MONTH(AH14)-IF(DAY((AK14-1))&lt;MIN(DAY(AH14),DAY(EOMONTH((AK14-1),0))),1,0))))</f>
        <v>-1</v>
      </c>
      <c r="AV14" s="19" t="n">
        <f aca="false">IF(AG14=0,"",IF(OR(AI14&lt;3,AL14&gt;AsOfDate),AT14,IF((AL14-1)&lt;AH14,-1,12*(YEAR((AL14-1))-YEAR(AH14))+MONTH((AL14-1))-MONTH(AH14)-IF(DAY((AL14-1))&lt;MIN(DAY(AH14),DAY(EOMONTH((AL14-1),0))),1,0))))</f>
        <v>48</v>
      </c>
      <c r="AW14" s="19" t="n">
        <f aca="false">IF(AG14=0,"",IF(PFYDate&lt;AH14,-1,12*(YEAR(PFYDate)-YEAR(AH14))+MONTH(PFYDate)-MONTH(AH14)-IF(DAY(PFYDate)&lt;MIN(DAY(AH14),DAY(EOMONTH(PFYDate,0))),1,0)))</f>
        <v>-1</v>
      </c>
      <c r="AX14" s="19" t="n">
        <f aca="false">IF(AG14=0,"",IF(OR(AI14&lt;2,AK14&gt;PFYDate),AW14,IF((AK14-1)&lt;AH14,-1,12*(YEAR((AK14-1))-YEAR(AH14))+MONTH((AK14-1))-MONTH(AH14)-IF(DAY((AK14-1))&lt;MIN(DAY(AH14),DAY(EOMONTH((AK14-1),0))),1,0))))</f>
        <v>-1</v>
      </c>
      <c r="AY14" s="19" t="n">
        <f aca="false">IF(AG14=0,"",IF(OR(AI14&lt;3,AL14&gt;PFYDate),AW14,IF((AL14-1)&lt;AH14,-1,12*(YEAR((AL14-1))-YEAR(AH14))+MONTH((AL14-1))-MONTH(AH14)-IF(DAY((AL14-1))&lt;MIN(DAY(AH14),DAY(EOMONTH((AL14-1),0))),1,0))))</f>
        <v>-1</v>
      </c>
      <c r="AZ14" s="19" t="n">
        <f aca="false">IF(AG14=0,"",IF(AP14="FT",IF(AU14&lt;FT_First,0,IF(AU14&lt;FT_Y5,1+INT((AU14-FT_First)/FT_Int1),FT_PreY5+FT_PerYear*INT((AU14-FT_Y5)/12)+FT_AnnivDays+INT(MOD(AU14-FT_Y5,12)/FT_Int2))),IF(AP14="PT",IF(AU14&lt;PT_First,0,1+INT((AU14-PT_First)/PT_Int)),0))+IF(AND(AI14&gt;=2,AK14&lt;=AsOfDate),IF(AQ14="FT",IF(AV14&lt;FT_First,0,IF(AV14&lt;FT_Y5,1+INT((AV14-FT_First)/FT_Int1),FT_PreY5+FT_PerYear*INT((AV14-FT_Y5)/12)+FT_AnnivDays+INT(MOD(AV14-FT_Y5,12)/FT_Int2))),IF(AQ14="PT",IF(AV14&lt;PT_First,0,1+INT((AV14-PT_First)/PT_Int)),0))-IF(AQ14="FT",IF(AU14&lt;FT_First,0,IF(AU14&lt;FT_Y5,1+INT((AU14-FT_First)/FT_Int1),FT_PreY5+FT_PerYear*INT((AU14-FT_Y5)/12)+FT_AnnivDays+INT(MOD(AU14-FT_Y5,12)/FT_Int2))),IF(AQ14="PT",IF(AU14&lt;PT_First,0,1+INT((AU14-PT_First)/PT_Int)),0)),0)+IF(AND(AI14&gt;=3,AL14&lt;=AsOfDate),IF(AR14="FT",IF(AT14&lt;FT_First,0,IF(AT14&lt;FT_Y5,1+INT((AT14-FT_First)/FT_Int1),FT_PreY5+FT_PerYear*INT((AT14-FT_Y5)/12)+FT_AnnivDays+INT(MOD(AT14-FT_Y5,12)/FT_Int2))),IF(AR14="PT",IF(AT14&lt;PT_First,0,1+INT((AT14-PT_First)/PT_Int)),0))-IF(AR14="FT",IF(AV14&lt;FT_First,0,IF(AV14&lt;FT_Y5,1+INT((AV14-FT_First)/FT_Int1),FT_PreY5+FT_PerYear*INT((AV14-FT_Y5)/12)+FT_AnnivDays+INT(MOD(AV14-FT_Y5,12)/FT_Int2))),IF(AR14="PT",IF(AV14&lt;PT_First,0,1+INT((AV14-PT_First)/PT_Int)),0)),0))</f>
        <v>4</v>
      </c>
      <c r="BA14" s="19" t="n">
        <f aca="false">IF(AG14=0,"",IF(AP14="FT",IF(AX14&lt;FT_First,0,IF(AX14&lt;FT_Y5,1+INT((AX14-FT_First)/FT_Int1),FT_PreY5+FT_PerYear*INT((AX14-FT_Y5)/12)+FT_AnnivDays+INT(MOD(AX14-FT_Y5,12)/FT_Int2))),IF(AP14="PT",IF(AX14&lt;PT_First,0,1+INT((AX14-PT_First)/PT_Int)),0))+IF(AND(AI14&gt;=2,AK14&lt;=PFYDate),IF(AQ14="FT",IF(AY14&lt;FT_First,0,IF(AY14&lt;FT_Y5,1+INT((AY14-FT_First)/FT_Int1),FT_PreY5+FT_PerYear*INT((AY14-FT_Y5)/12)+FT_AnnivDays+INT(MOD(AY14-FT_Y5,12)/FT_Int2))),IF(AQ14="PT",IF(AY14&lt;PT_First,0,1+INT((AY14-PT_First)/PT_Int)),0))-IF(AQ14="FT",IF(AX14&lt;FT_First,0,IF(AX14&lt;FT_Y5,1+INT((AX14-FT_First)/FT_Int1),FT_PreY5+FT_PerYear*INT((AX14-FT_Y5)/12)+FT_AnnivDays+INT(MOD(AX14-FT_Y5,12)/FT_Int2))),IF(AQ14="PT",IF(AX14&lt;PT_First,0,1+INT((AX14-PT_First)/PT_Int)),0)),0)+IF(AND(AI14&gt;=3,AL14&lt;=PFYDate),IF(AR14="FT",IF(AW14&lt;FT_First,0,IF(AW14&lt;FT_Y5,1+INT((AW14-FT_First)/FT_Int1),FT_PreY5+FT_PerYear*INT((AW14-FT_Y5)/12)+FT_AnnivDays+INT(MOD(AW14-FT_Y5,12)/FT_Int2))),IF(AR14="PT",IF(AW14&lt;PT_First,0,1+INT((AW14-PT_First)/PT_Int)),0))-IF(AR14="FT",IF(AY14&lt;FT_First,0,IF(AY14&lt;FT_Y5,1+INT((AY14-FT_First)/FT_Int1),FT_PreY5+FT_PerYear*INT((AY14-FT_Y5)/12)+FT_AnnivDays+INT(MOD(AY14-FT_Y5,12)/FT_Int2))),IF(AR14="PT",IF(AY14&lt;PT_First,0,1+INT((AY14-PT_First)/PT_Int)),0)),0))</f>
        <v>0</v>
      </c>
      <c r="BB14" s="19" t="n">
        <f aca="false">IF(AG14=0,"",IF(AS14="FT",IF(AT14&lt;FT_First,FT_First,IF(AT14&lt;FT_Y5,MIN(FT_Y5,FT_First+FT_Int1*(INT((AT14-FT_First)/FT_Int1)+1)),FT_Y5+12*INT((AT14-FT_Y5)/12)+FT_Int2*(INT(MOD(AT14-FT_Y5,12)/FT_Int2)+1))),IF(AS14="PT",IF(AT14&lt;PT_First,PT_First,PT_First+PT_Int*(INT((AT14-PT_First)/PT_Int)+1)),"")))</f>
        <v>52</v>
      </c>
      <c r="BC14" s="19" t="n">
        <f aca="false">IF(AG14=0,"",IF(NOT(LH_Ready),0,COUNTIFS(INDEX(LH_Data,0,LH_ColFirst),$A14,INDEX(LH_Data,0,LH_ColSur),$B14,INDEX(LH_Data,0,LH_ColCat),BonusCat)))</f>
        <v>0</v>
      </c>
      <c r="BD14" s="19" t="n">
        <f aca="false">IF(AG14=0,"",IF(OR(NOT(LH_Ready),BC14=0),0,SUMPRODUCT(MAX((INDEX(LH_Data,0,LH_ColFirst)=$A14)*(INDEX(LH_Data,0,LH_ColSur)=$B14)*(INDEX(LH_Data,0,LH_ColCat)=BonusCat)*ROW(LH_Data)))))</f>
        <v>0</v>
      </c>
      <c r="BE14" s="19" t="n">
        <f aca="false">IF(AG14=0,"",IF(EOMONTH(AsOfDate,-1)&lt;AH14,-1,12*(YEAR(EOMONTH(AsOfDate,-1))-YEAR(AH14))+MONTH(EOMONTH(AsOfDate,-1))-MONTH(AH14)-IF(DAY(EOMONTH(AsOfDate,-1))&lt;MIN(DAY(AH14),DAY(EOMONTH(EOMONTH(AsOfDate,-1),0))),1,0)))</f>
        <v>48</v>
      </c>
      <c r="BF14" s="19" t="n">
        <f aca="false">IF(AG14=0,"",IF(OR(AI14&lt;2,AK14&gt;EOMONTH(AsOfDate,-1)),BE14,IF((AK14-1)&lt;AH14,-1,12*(YEAR((AK14-1))-YEAR(AH14))+MONTH((AK14-1))-MONTH(AH14)-IF(DAY((AK14-1))&lt;MIN(DAY(AH14),DAY(EOMONTH((AK14-1),0))),1,0))))</f>
        <v>-1</v>
      </c>
      <c r="BG14" s="19" t="n">
        <f aca="false">IF(AG14=0,"",IF(OR(AI14&lt;3,AL14&gt;EOMONTH(AsOfDate,-1)),BE14,IF((AL14-1)&lt;AH14,-1,12*(YEAR((AL14-1))-YEAR(AH14))+MONTH((AL14-1))-MONTH(AH14)-IF(DAY((AL14-1))&lt;MIN(DAY(AH14),DAY(EOMONTH((AL14-1),0))),1,0))))</f>
        <v>48</v>
      </c>
      <c r="BH14" s="19" t="n">
        <f aca="false">IF(AG14=0,"",IF(AP14="FT",IF(BF14&lt;FT_First,0,IF(BF14&lt;FT_Y5,1+INT((BF14-FT_First)/FT_Int1),FT_PreY5+FT_PerYear*INT((BF14-FT_Y5)/12)+FT_AnnivDays+INT(MOD(BF14-FT_Y5,12)/FT_Int2))),IF(AP14="PT",IF(BF14&lt;PT_First,0,1+INT((BF14-PT_First)/PT_Int)),0))+IF(AND(AI14&gt;=2,AK14&lt;=EOMONTH(AsOfDate,-1)),IF(AQ14="FT",IF(BG14&lt;FT_First,0,IF(BG14&lt;FT_Y5,1+INT((BG14-FT_First)/FT_Int1),FT_PreY5+FT_PerYear*INT((BG14-FT_Y5)/12)+FT_AnnivDays+INT(MOD(BG14-FT_Y5,12)/FT_Int2))),IF(AQ14="PT",IF(BG14&lt;PT_First,0,1+INT((BG14-PT_First)/PT_Int)),0))-IF(AQ14="FT",IF(BF14&lt;FT_First,0,IF(BF14&lt;FT_Y5,1+INT((BF14-FT_First)/FT_Int1),FT_PreY5+FT_PerYear*INT((BF14-FT_Y5)/12)+FT_AnnivDays+INT(MOD(BF14-FT_Y5,12)/FT_Int2))),IF(AQ14="PT",IF(BF14&lt;PT_First,0,1+INT((BF14-PT_First)/PT_Int)),0)),0)+IF(AND(AI14&gt;=3,AL14&lt;=EOMONTH(AsOfDate,-1)),IF(AR14="FT",IF(BE14&lt;FT_First,0,IF(BE14&lt;FT_Y5,1+INT((BE14-FT_First)/FT_Int1),FT_PreY5+FT_PerYear*INT((BE14-FT_Y5)/12)+FT_AnnivDays+INT(MOD(BE14-FT_Y5,12)/FT_Int2))),IF(AR14="PT",IF(BE14&lt;PT_First,0,1+INT((BE14-PT_First)/PT_Int)),0))-IF(AR14="FT",IF(BG14&lt;FT_First,0,IF(BG14&lt;FT_Y5,1+INT((BG14-FT_First)/FT_Int1),FT_PreY5+FT_PerYear*INT((BG14-FT_Y5)/12)+FT_AnnivDays+INT(MOD(BG14-FT_Y5,12)/FT_Int2))),IF(AR14="PT",IF(BG14&lt;PT_First,0,1+INT((BG14-PT_First)/PT_Int)),0)),0))</f>
        <v>4</v>
      </c>
      <c r="BI14" s="19" t="n">
        <f aca="false">IF(AG14=0,"",IF(AS14="FT",IF(AT14&lt;FT_First,"",IF(AT14&lt;FT_Y5,FT_First+FT_Int1*INT((AT14-FT_First)/FT_Int1),FT_Y5+FT_Int2*INT((AT14-FT_Y5)/FT_Int2))),IF(AS14="PT",IF(AT14&lt;PT_First,"",PT_First+PT_Int*INT((AT14-PT_First)/PT_Int)),"")))</f>
        <v>48</v>
      </c>
      <c r="BJ14" s="0" t="str">
        <f aca="false">IF(LEN($A14&amp;$B14)=0,"",$A14&amp;" "&amp;$B14)</f>
        <v>Carlo Daru</v>
      </c>
    </row>
    <row r="15" customFormat="false" ht="15" hidden="false" customHeight="false" outlineLevel="0" collapsed="false">
      <c r="A15" s="15" t="s">
        <v>158</v>
      </c>
      <c r="B15" s="15" t="s">
        <v>159</v>
      </c>
      <c r="C15" s="15" t="s">
        <v>138</v>
      </c>
      <c r="D15" s="16" t="n">
        <v>37769</v>
      </c>
      <c r="E15" s="17" t="n">
        <f aca="false">IF(OR(AG15=0,$D15=""),"",DATE(YEAR(AsOfDate)+IF(DATE(YEAR(AsOfDate),MONTH($D15),DAY($D15))&lt;=AsOfDate,1,0),MONTH($D15),DAY($D15)))</f>
        <v>46535</v>
      </c>
      <c r="F15" s="16" t="n">
        <v>45202</v>
      </c>
      <c r="G15" s="16"/>
      <c r="H15" s="16"/>
      <c r="I15" s="16"/>
      <c r="J15" s="16"/>
      <c r="K15" s="17" t="n">
        <f aca="false">IF(AG15=0,"",DATE(YEAR(AsOfDate)+IF(DATE(YEAR(AsOfDate),MONTH(AH15),DAY(AH15))&lt;=AsOfDate,1,0),MONTH(AH15),DAY(AH15)))</f>
        <v>46663</v>
      </c>
      <c r="L15" s="18" t="n">
        <f aca="false">IF(AG15=0,"",ROUND((AsOfDate-AH15)/365.25,1))</f>
        <v>3</v>
      </c>
      <c r="M15" s="19" t="str">
        <f aca="false">IF(AG15=0,"",IF(AsOfDate&lt;AH15,"-",DATEDIF(AH15,AsOfDate,"y")&amp;"y "&amp;DATEDIF(AH15,AsOfDate,"ym")&amp;"m "&amp;DATEDIF(AH15,AsOfDate,"md")&amp;"d"))</f>
        <v>3y 0m 3d</v>
      </c>
      <c r="N15" s="20" t="n">
        <f aca="false">IF(AG15=0,"",O15*HoursPerDay)</f>
        <v>0</v>
      </c>
      <c r="O15" s="20" t="n">
        <f aca="false">IF(AG15=0,"",AZ15)</f>
        <v>0</v>
      </c>
      <c r="P15" s="21"/>
      <c r="Q15" s="19"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19"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17" t="str">
        <f aca="false">IF(AG15=0,"",IF(AS15="None","",EDATE(AH15,BB15)))</f>
        <v/>
      </c>
      <c r="T15" s="20" t="n">
        <f aca="false">IF(AG15=0,"",IF(NOT(LH_Ready),"",IF(AH15&gt;PFYDate,0,IF(LH_ColPeriod=0,W15-U15+V15,SUMIFS(INDEX(LH_Data,0,LH_ColAcc),INDEX(LH_Data,0,LH_ColFirst),$A15,INDEX(LH_Data,0,LH_ColSur),$B15,INDEX(LH_Data,0,LH_ColCat),BonusCat,INDEX(LH_Data,0,LH_ColPeriod),LH_OpenLabel)*UnitFactor))))</f>
        <v>0</v>
      </c>
      <c r="U15" s="20" t="n">
        <f aca="false">IF(AG15=0,"",IF(NOT(LH_Ready),"",SUMIFS(INDEX(LH_Data,0,LH_ColAcc),INDEX(LH_Data,0,LH_ColFirst),$A15,INDEX(LH_Data,0,LH_ColSur),$B15,INDEX(LH_Data,0,LH_ColCat),BonusCat,INDEX(LH_Data,0,LH_ColStart),"&gt;="&amp;AH15)*UnitFactor))</f>
        <v>0</v>
      </c>
      <c r="V15" s="20" t="n">
        <f aca="false">IF(AG15=0,"",IF(NOT(LH_Ready),"",SUMIFS(INDEX(LH_Data,0,LH_ColTaken),INDEX(LH_Data,0,LH_ColFirst),$A15,INDEX(LH_Data,0,LH_ColSur),$B15,INDEX(LH_Data,0,LH_ColCat),BonusCat,INDEX(LH_Data,0,LH_ColStart),"&gt;="&amp;AH15)*UnitFactor))</f>
        <v>0</v>
      </c>
      <c r="W15" s="20" t="n">
        <f aca="false">IF(AG15=0,"",IF(NOT(LH_Ready),"",IF(BD15=0,0,INDEX(INDEX(LH_Data,0,LH_ColClose),BD15-1)*UnitFactor)))</f>
        <v>0</v>
      </c>
      <c r="X15" s="20" t="n">
        <f aca="false">IF(AG15=0,"",(AZ15-BA15)*HoursPerDay)</f>
        <v>0</v>
      </c>
      <c r="Y15" s="20" t="n">
        <f aca="false">IF(AG15=0,"",IF(NOT(LH_Ready),"",IF(BC15=0,N15,IF(PFYDate&lt;$F15,N15-N(T15)-N(U15),X15-N(U15)))))</f>
        <v>0</v>
      </c>
      <c r="Z15" s="19" t="str">
        <f aca="false">IF(OR(AG15=0,Y15=""),"",IF(Y15&gt;0,"Yes","No"))</f>
        <v>No</v>
      </c>
      <c r="AA15" s="19"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Not eligible - Casual</v>
      </c>
      <c r="AB15" s="20" t="n">
        <f aca="false">IF(OR(AG15=0,T15=""),"",BA15*HoursPerDay-T15)</f>
        <v>0</v>
      </c>
      <c r="AC15" s="19" t="n">
        <f aca="false">IF(AG15=0,"",BC15)</f>
        <v>0</v>
      </c>
      <c r="AD15" s="19"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20" t="n">
        <f aca="false">IF(AG15=0,"",O15-BH15)</f>
        <v>0</v>
      </c>
      <c r="AF15" s="17" t="str">
        <f aca="false">IF(OR(AG15=0,AE15="",N(AE15)=0,BI15=""),"",EDATE(AH15,BI15))</f>
        <v/>
      </c>
      <c r="AG15" s="19" t="n">
        <f aca="false">IF(OR(LEN($A15&amp;$B15)=0,$F15=""),0,1)</f>
        <v>1</v>
      </c>
      <c r="AH15" s="17" t="n">
        <f aca="false">IF(AG15=0,"",IF($J15&lt;&gt;"",$J15,IF(OR(CasualCounts="Yes",COUNT($G15:$I15)=0,COUNT($H15:$I15)=0),$F15,MIN($H15:$I15))))</f>
        <v>45202</v>
      </c>
      <c r="AI15" s="19" t="n">
        <f aca="false">IF(AG15=0,"",COUNT($G15:$I15))</f>
        <v>0</v>
      </c>
      <c r="AJ15" s="17" t="str">
        <f aca="false">IF(AG15=0,"",IFERROR(SMALL($G15:$I15,1),""))</f>
        <v/>
      </c>
      <c r="AK15" s="17" t="str">
        <f aca="false">IF(AG15=0,"",IFERROR(SMALL($G15:$I15,2),""))</f>
        <v/>
      </c>
      <c r="AL15" s="17" t="str">
        <f aca="false">IF(AG15=0,"",IFERROR(SMALL($G15:$I15,3),""))</f>
        <v/>
      </c>
      <c r="AM15" s="19" t="str">
        <f aca="false">IF(AG15=0,"",IF(AJ15="","",IF(AJ15=$H15,"Part-Time",IF(AJ15=$I15,"Full-Time","Casual"))))</f>
        <v/>
      </c>
      <c r="AN15" s="19" t="str">
        <f aca="false">IF(AG15=0,"",IF(AK15="","",IF(AK15=$H15,"Part-Time",IF(AK15=$I15,"Full-Time","Casual"))))</f>
        <v/>
      </c>
      <c r="AO15" s="19" t="str">
        <f aca="false">IF(AG15=0,"",IF(AL15="","",IF(AL15=$H15,"Part-Time",IF(AL15=$I15,"Full-Time","Casual"))))</f>
        <v/>
      </c>
      <c r="AP15" s="19"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None</v>
      </c>
      <c r="AQ15" s="19" t="str">
        <f aca="false">IF(AG15=0,"",IF(AI15&lt;2,"",IF(OR(ISNUMBER(SEARCH("full",AN15)),UPPER(TRIM(AN15))="FT",UPPER(TRIM(AN15))="FTE"),"FT",IF(AND(OR(ISNUMBER(SEARCH("part",AN15)),UPPER(TRIM(AN15))="PT",UPPER(TRIM(AN15))="PTE"),OR($P15="",N($P15)&gt;=PT_MinHours)),"PT","None"))))</f>
        <v/>
      </c>
      <c r="AR15" s="19" t="str">
        <f aca="false">IF(AG15=0,"",IF(AI15&lt;3,"",IF(OR(ISNUMBER(SEARCH("full",AO15)),UPPER(TRIM(AO15))="FT",UPPER(TRIM(AO15))="FTE"),"FT",IF(AND(OR(ISNUMBER(SEARCH("part",AO15)),UPPER(TRIM(AO15))="PT",UPPER(TRIM(AO15))="PTE"),OR($P15="",N($P15)&gt;=PT_MinHours)),"PT","None"))))</f>
        <v/>
      </c>
      <c r="AS15" s="19" t="str">
        <f aca="false">IF(AG15=0,"",IF(AND(AI15&gt;=3,AL15&lt;=AsOfDate),AR15,IF(AND(AI15&gt;=2,AK15&lt;=AsOfDate),AQ15,AP15)))</f>
        <v>None</v>
      </c>
      <c r="AT15" s="19" t="n">
        <f aca="false">IF(AG15=0,"",IF(AsOfDate&lt;AH15,-1,12*(YEAR(AsOfDate)-YEAR(AH15))+MONTH(AsOfDate)-MONTH(AH15)-IF(DAY(AsOfDate)&lt;MIN(DAY(AH15),DAY(EOMONTH(AsOfDate,0))),1,0)))</f>
        <v>36</v>
      </c>
      <c r="AU15" s="19" t="n">
        <f aca="false">IF(AG15=0,"",IF(OR(AI15&lt;2,AK15&gt;AsOfDate),AT15,IF((AK15-1)&lt;AH15,-1,12*(YEAR((AK15-1))-YEAR(AH15))+MONTH((AK15-1))-MONTH(AH15)-IF(DAY((AK15-1))&lt;MIN(DAY(AH15),DAY(EOMONTH((AK15-1),0))),1,0))))</f>
        <v>36</v>
      </c>
      <c r="AV15" s="19" t="n">
        <f aca="false">IF(AG15=0,"",IF(OR(AI15&lt;3,AL15&gt;AsOfDate),AT15,IF((AL15-1)&lt;AH15,-1,12*(YEAR((AL15-1))-YEAR(AH15))+MONTH((AL15-1))-MONTH(AH15)-IF(DAY((AL15-1))&lt;MIN(DAY(AH15),DAY(EOMONTH((AL15-1),0))),1,0))))</f>
        <v>36</v>
      </c>
      <c r="AW15" s="19" t="n">
        <f aca="false">IF(AG15=0,"",IF(PFYDate&lt;AH15,-1,12*(YEAR(PFYDate)-YEAR(AH15))+MONTH(PFYDate)-MONTH(AH15)-IF(DAY(PFYDate)&lt;MIN(DAY(AH15),DAY(EOMONTH(PFYDate,0))),1,0)))</f>
        <v>-1</v>
      </c>
      <c r="AX15" s="19" t="n">
        <f aca="false">IF(AG15=0,"",IF(OR(AI15&lt;2,AK15&gt;PFYDate),AW15,IF((AK15-1)&lt;AH15,-1,12*(YEAR((AK15-1))-YEAR(AH15))+MONTH((AK15-1))-MONTH(AH15)-IF(DAY((AK15-1))&lt;MIN(DAY(AH15),DAY(EOMONTH((AK15-1),0))),1,0))))</f>
        <v>-1</v>
      </c>
      <c r="AY15" s="19" t="n">
        <f aca="false">IF(AG15=0,"",IF(OR(AI15&lt;3,AL15&gt;PFYDate),AW15,IF((AL15-1)&lt;AH15,-1,12*(YEAR((AL15-1))-YEAR(AH15))+MONTH((AL15-1))-MONTH(AH15)-IF(DAY((AL15-1))&lt;MIN(DAY(AH15),DAY(EOMONTH((AL15-1),0))),1,0))))</f>
        <v>-1</v>
      </c>
      <c r="AZ15" s="19" t="n">
        <f aca="false">IF(AG15=0,"",IF(AP15="FT",IF(AU15&lt;FT_First,0,IF(AU15&lt;FT_Y5,1+INT((AU15-FT_First)/FT_Int1),FT_PreY5+FT_PerYear*INT((AU15-FT_Y5)/12)+FT_AnnivDays+INT(MOD(AU15-FT_Y5,12)/FT_Int2))),IF(AP15="PT",IF(AU15&lt;PT_First,0,1+INT((AU15-PT_First)/PT_Int)),0))+IF(AND(AI15&gt;=2,AK15&lt;=AsOfDate),IF(AQ15="FT",IF(AV15&lt;FT_First,0,IF(AV15&lt;FT_Y5,1+INT((AV15-FT_First)/FT_Int1),FT_PreY5+FT_PerYear*INT((AV15-FT_Y5)/12)+FT_AnnivDays+INT(MOD(AV15-FT_Y5,12)/FT_Int2))),IF(AQ15="PT",IF(AV15&lt;PT_First,0,1+INT((AV15-PT_First)/PT_Int)),0))-IF(AQ15="FT",IF(AU15&lt;FT_First,0,IF(AU15&lt;FT_Y5,1+INT((AU15-FT_First)/FT_Int1),FT_PreY5+FT_PerYear*INT((AU15-FT_Y5)/12)+FT_AnnivDays+INT(MOD(AU15-FT_Y5,12)/FT_Int2))),IF(AQ15="PT",IF(AU15&lt;PT_First,0,1+INT((AU15-PT_First)/PT_Int)),0)),0)+IF(AND(AI15&gt;=3,AL15&lt;=AsOfDate),IF(AR15="FT",IF(AT15&lt;FT_First,0,IF(AT15&lt;FT_Y5,1+INT((AT15-FT_First)/FT_Int1),FT_PreY5+FT_PerYear*INT((AT15-FT_Y5)/12)+FT_AnnivDays+INT(MOD(AT15-FT_Y5,12)/FT_Int2))),IF(AR15="PT",IF(AT15&lt;PT_First,0,1+INT((AT15-PT_First)/PT_Int)),0))-IF(AR15="FT",IF(AV15&lt;FT_First,0,IF(AV15&lt;FT_Y5,1+INT((AV15-FT_First)/FT_Int1),FT_PreY5+FT_PerYear*INT((AV15-FT_Y5)/12)+FT_AnnivDays+INT(MOD(AV15-FT_Y5,12)/FT_Int2))),IF(AR15="PT",IF(AV15&lt;PT_First,0,1+INT((AV15-PT_First)/PT_Int)),0)),0))</f>
        <v>0</v>
      </c>
      <c r="BA15" s="19" t="n">
        <f aca="false">IF(AG15=0,"",IF(AP15="FT",IF(AX15&lt;FT_First,0,IF(AX15&lt;FT_Y5,1+INT((AX15-FT_First)/FT_Int1),FT_PreY5+FT_PerYear*INT((AX15-FT_Y5)/12)+FT_AnnivDays+INT(MOD(AX15-FT_Y5,12)/FT_Int2))),IF(AP15="PT",IF(AX15&lt;PT_First,0,1+INT((AX15-PT_First)/PT_Int)),0))+IF(AND(AI15&gt;=2,AK15&lt;=PFYDate),IF(AQ15="FT",IF(AY15&lt;FT_First,0,IF(AY15&lt;FT_Y5,1+INT((AY15-FT_First)/FT_Int1),FT_PreY5+FT_PerYear*INT((AY15-FT_Y5)/12)+FT_AnnivDays+INT(MOD(AY15-FT_Y5,12)/FT_Int2))),IF(AQ15="PT",IF(AY15&lt;PT_First,0,1+INT((AY15-PT_First)/PT_Int)),0))-IF(AQ15="FT",IF(AX15&lt;FT_First,0,IF(AX15&lt;FT_Y5,1+INT((AX15-FT_First)/FT_Int1),FT_PreY5+FT_PerYear*INT((AX15-FT_Y5)/12)+FT_AnnivDays+INT(MOD(AX15-FT_Y5,12)/FT_Int2))),IF(AQ15="PT",IF(AX15&lt;PT_First,0,1+INT((AX15-PT_First)/PT_Int)),0)),0)+IF(AND(AI15&gt;=3,AL15&lt;=PFYDate),IF(AR15="FT",IF(AW15&lt;FT_First,0,IF(AW15&lt;FT_Y5,1+INT((AW15-FT_First)/FT_Int1),FT_PreY5+FT_PerYear*INT((AW15-FT_Y5)/12)+FT_AnnivDays+INT(MOD(AW15-FT_Y5,12)/FT_Int2))),IF(AR15="PT",IF(AW15&lt;PT_First,0,1+INT((AW15-PT_First)/PT_Int)),0))-IF(AR15="FT",IF(AY15&lt;FT_First,0,IF(AY15&lt;FT_Y5,1+INT((AY15-FT_First)/FT_Int1),FT_PreY5+FT_PerYear*INT((AY15-FT_Y5)/12)+FT_AnnivDays+INT(MOD(AY15-FT_Y5,12)/FT_Int2))),IF(AR15="PT",IF(AY15&lt;PT_First,0,1+INT((AY15-PT_First)/PT_Int)),0)),0))</f>
        <v>0</v>
      </c>
      <c r="BB15" s="19" t="str">
        <f aca="false">IF(AG15=0,"",IF(AS15="FT",IF(AT15&lt;FT_First,FT_First,IF(AT15&lt;FT_Y5,MIN(FT_Y5,FT_First+FT_Int1*(INT((AT15-FT_First)/FT_Int1)+1)),FT_Y5+12*INT((AT15-FT_Y5)/12)+FT_Int2*(INT(MOD(AT15-FT_Y5,12)/FT_Int2)+1))),IF(AS15="PT",IF(AT15&lt;PT_First,PT_First,PT_First+PT_Int*(INT((AT15-PT_First)/PT_Int)+1)),"")))</f>
        <v/>
      </c>
      <c r="BC15" s="19" t="n">
        <f aca="false">IF(AG15=0,"",IF(NOT(LH_Ready),0,COUNTIFS(INDEX(LH_Data,0,LH_ColFirst),$A15,INDEX(LH_Data,0,LH_ColSur),$B15,INDEX(LH_Data,0,LH_ColCat),BonusCat)))</f>
        <v>0</v>
      </c>
      <c r="BD15" s="19" t="n">
        <f aca="false">IF(AG15=0,"",IF(OR(NOT(LH_Ready),BC15=0),0,SUMPRODUCT(MAX((INDEX(LH_Data,0,LH_ColFirst)=$A15)*(INDEX(LH_Data,0,LH_ColSur)=$B15)*(INDEX(LH_Data,0,LH_ColCat)=BonusCat)*ROW(LH_Data)))))</f>
        <v>0</v>
      </c>
      <c r="BE15" s="19" t="n">
        <f aca="false">IF(AG15=0,"",IF(EOMONTH(AsOfDate,-1)&lt;AH15,-1,12*(YEAR(EOMONTH(AsOfDate,-1))-YEAR(AH15))+MONTH(EOMONTH(AsOfDate,-1))-MONTH(AH15)-IF(DAY(EOMONTH(AsOfDate,-1))&lt;MIN(DAY(AH15),DAY(EOMONTH(EOMONTH(AsOfDate,-1),0))),1,0)))</f>
        <v>35</v>
      </c>
      <c r="BF15" s="19" t="n">
        <f aca="false">IF(AG15=0,"",IF(OR(AI15&lt;2,AK15&gt;EOMONTH(AsOfDate,-1)),BE15,IF((AK15-1)&lt;AH15,-1,12*(YEAR((AK15-1))-YEAR(AH15))+MONTH((AK15-1))-MONTH(AH15)-IF(DAY((AK15-1))&lt;MIN(DAY(AH15),DAY(EOMONTH((AK15-1),0))),1,0))))</f>
        <v>35</v>
      </c>
      <c r="BG15" s="19" t="n">
        <f aca="false">IF(AG15=0,"",IF(OR(AI15&lt;3,AL15&gt;EOMONTH(AsOfDate,-1)),BE15,IF((AL15-1)&lt;AH15,-1,12*(YEAR((AL15-1))-YEAR(AH15))+MONTH((AL15-1))-MONTH(AH15)-IF(DAY((AL15-1))&lt;MIN(DAY(AH15),DAY(EOMONTH((AL15-1),0))),1,0))))</f>
        <v>35</v>
      </c>
      <c r="BH15" s="19" t="n">
        <f aca="false">IF(AG15=0,"",IF(AP15="FT",IF(BF15&lt;FT_First,0,IF(BF15&lt;FT_Y5,1+INT((BF15-FT_First)/FT_Int1),FT_PreY5+FT_PerYear*INT((BF15-FT_Y5)/12)+FT_AnnivDays+INT(MOD(BF15-FT_Y5,12)/FT_Int2))),IF(AP15="PT",IF(BF15&lt;PT_First,0,1+INT((BF15-PT_First)/PT_Int)),0))+IF(AND(AI15&gt;=2,AK15&lt;=EOMONTH(AsOfDate,-1)),IF(AQ15="FT",IF(BG15&lt;FT_First,0,IF(BG15&lt;FT_Y5,1+INT((BG15-FT_First)/FT_Int1),FT_PreY5+FT_PerYear*INT((BG15-FT_Y5)/12)+FT_AnnivDays+INT(MOD(BG15-FT_Y5,12)/FT_Int2))),IF(AQ15="PT",IF(BG15&lt;PT_First,0,1+INT((BG15-PT_First)/PT_Int)),0))-IF(AQ15="FT",IF(BF15&lt;FT_First,0,IF(BF15&lt;FT_Y5,1+INT((BF15-FT_First)/FT_Int1),FT_PreY5+FT_PerYear*INT((BF15-FT_Y5)/12)+FT_AnnivDays+INT(MOD(BF15-FT_Y5,12)/FT_Int2))),IF(AQ15="PT",IF(BF15&lt;PT_First,0,1+INT((BF15-PT_First)/PT_Int)),0)),0)+IF(AND(AI15&gt;=3,AL15&lt;=EOMONTH(AsOfDate,-1)),IF(AR15="FT",IF(BE15&lt;FT_First,0,IF(BE15&lt;FT_Y5,1+INT((BE15-FT_First)/FT_Int1),FT_PreY5+FT_PerYear*INT((BE15-FT_Y5)/12)+FT_AnnivDays+INT(MOD(BE15-FT_Y5,12)/FT_Int2))),IF(AR15="PT",IF(BE15&lt;PT_First,0,1+INT((BE15-PT_First)/PT_Int)),0))-IF(AR15="FT",IF(BG15&lt;FT_First,0,IF(BG15&lt;FT_Y5,1+INT((BG15-FT_First)/FT_Int1),FT_PreY5+FT_PerYear*INT((BG15-FT_Y5)/12)+FT_AnnivDays+INT(MOD(BG15-FT_Y5,12)/FT_Int2))),IF(AR15="PT",IF(BG15&lt;PT_First,0,1+INT((BG15-PT_First)/PT_Int)),0)),0))</f>
        <v>0</v>
      </c>
      <c r="BI15" s="19" t="str">
        <f aca="false">IF(AG15=0,"",IF(AS15="FT",IF(AT15&lt;FT_First,"",IF(AT15&lt;FT_Y5,FT_First+FT_Int1*INT((AT15-FT_First)/FT_Int1),FT_Y5+FT_Int2*INT((AT15-FT_Y5)/FT_Int2))),IF(AS15="PT",IF(AT15&lt;PT_First,"",PT_First+PT_Int*INT((AT15-PT_First)/PT_Int)),"")))</f>
        <v/>
      </c>
      <c r="BJ15" s="0" t="str">
        <f aca="false">IF(LEN($A15&amp;$B15)=0,"",$A15&amp;" "&amp;$B15)</f>
        <v>Caspar Nivison-Smith</v>
      </c>
    </row>
    <row r="16" customFormat="false" ht="15" hidden="false" customHeight="false" outlineLevel="0" collapsed="false">
      <c r="A16" s="15" t="s">
        <v>160</v>
      </c>
      <c r="B16" s="15" t="s">
        <v>161</v>
      </c>
      <c r="C16" s="15" t="s">
        <v>138</v>
      </c>
      <c r="D16" s="16" t="n">
        <v>37466</v>
      </c>
      <c r="E16" s="17" t="n">
        <f aca="false">IF(OR(AG16=0,$D16=""),"",DATE(YEAR(AsOfDate)+IF(DATE(YEAR(AsOfDate),MONTH($D16),DAY($D16))&lt;=AsOfDate,1,0),MONTH($D16),DAY($D16)))</f>
        <v>46597</v>
      </c>
      <c r="F16" s="16" t="n">
        <v>46230</v>
      </c>
      <c r="G16" s="16"/>
      <c r="H16" s="16"/>
      <c r="I16" s="16"/>
      <c r="J16" s="16"/>
      <c r="K16" s="17" t="n">
        <f aca="false">IF(AG16=0,"",DATE(YEAR(AsOfDate)+IF(DATE(YEAR(AsOfDate),MONTH(AH16),DAY(AH16))&lt;=AsOfDate,1,0),MONTH(AH16),DAY(AH16)))</f>
        <v>46595</v>
      </c>
      <c r="L16" s="18" t="n">
        <f aca="false">IF(AG16=0,"",ROUND((AsOfDate-AH16)/365.25,1))</f>
        <v>0.2</v>
      </c>
      <c r="M16" s="19" t="str">
        <f aca="false">IF(AG16=0,"",IF(AsOfDate&lt;AH16,"-",DATEDIF(AH16,AsOfDate,"y")&amp;"y "&amp;DATEDIF(AH16,AsOfDate,"ym")&amp;"m "&amp;DATEDIF(AH16,AsOfDate,"md")&amp;"d"))</f>
        <v>0y 2m 9d</v>
      </c>
      <c r="N16" s="20" t="n">
        <f aca="false">IF(AG16=0,"",O16*HoursPerDay)</f>
        <v>0</v>
      </c>
      <c r="O16" s="20" t="n">
        <f aca="false">IF(AG16=0,"",AZ16)</f>
        <v>0</v>
      </c>
      <c r="P16" s="21"/>
      <c r="Q16" s="19"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19"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17" t="str">
        <f aca="false">IF(AG16=0,"",IF(AS16="None","",EDATE(AH16,BB16)))</f>
        <v/>
      </c>
      <c r="T16" s="20" t="n">
        <f aca="false">IF(AG16=0,"",IF(NOT(LH_Ready),"",IF(AH16&gt;PFYDate,0,IF(LH_ColPeriod=0,W16-U16+V16,SUMIFS(INDEX(LH_Data,0,LH_ColAcc),INDEX(LH_Data,0,LH_ColFirst),$A16,INDEX(LH_Data,0,LH_ColSur),$B16,INDEX(LH_Data,0,LH_ColCat),BonusCat,INDEX(LH_Data,0,LH_ColPeriod),LH_OpenLabel)*UnitFactor))))</f>
        <v>0</v>
      </c>
      <c r="U16" s="20" t="n">
        <f aca="false">IF(AG16=0,"",IF(NOT(LH_Ready),"",SUMIFS(INDEX(LH_Data,0,LH_ColAcc),INDEX(LH_Data,0,LH_ColFirst),$A16,INDEX(LH_Data,0,LH_ColSur),$B16,INDEX(LH_Data,0,LH_ColCat),BonusCat,INDEX(LH_Data,0,LH_ColStart),"&gt;="&amp;AH16)*UnitFactor))</f>
        <v>0</v>
      </c>
      <c r="V16" s="20" t="n">
        <f aca="false">IF(AG16=0,"",IF(NOT(LH_Ready),"",SUMIFS(INDEX(LH_Data,0,LH_ColTaken),INDEX(LH_Data,0,LH_ColFirst),$A16,INDEX(LH_Data,0,LH_ColSur),$B16,INDEX(LH_Data,0,LH_ColCat),BonusCat,INDEX(LH_Data,0,LH_ColStart),"&gt;="&amp;AH16)*UnitFactor))</f>
        <v>0</v>
      </c>
      <c r="W16" s="20" t="n">
        <f aca="false">IF(AG16=0,"",IF(NOT(LH_Ready),"",IF(BD16=0,0,INDEX(INDEX(LH_Data,0,LH_ColClose),BD16-1)*UnitFactor)))</f>
        <v>0</v>
      </c>
      <c r="X16" s="20" t="n">
        <f aca="false">IF(AG16=0,"",(AZ16-BA16)*HoursPerDay)</f>
        <v>0</v>
      </c>
      <c r="Y16" s="20" t="n">
        <f aca="false">IF(AG16=0,"",IF(NOT(LH_Ready),"",IF(BC16=0,N16,IF(PFYDate&lt;$F16,N16-N(T16)-N(U16),X16-N(U16)))))</f>
        <v>0</v>
      </c>
      <c r="Z16" s="19" t="str">
        <f aca="false">IF(OR(AG16=0,Y16=""),"",IF(Y16&gt;0,"Yes","No"))</f>
        <v>No</v>
      </c>
      <c r="AA16" s="19"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Not eligible - Casual</v>
      </c>
      <c r="AB16" s="20" t="n">
        <f aca="false">IF(OR(AG16=0,T16=""),"",BA16*HoursPerDay-T16)</f>
        <v>0</v>
      </c>
      <c r="AC16" s="19" t="n">
        <f aca="false">IF(AG16=0,"",BC16)</f>
        <v>0</v>
      </c>
      <c r="AD16" s="19"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20" t="n">
        <f aca="false">IF(AG16=0,"",O16-BH16)</f>
        <v>0</v>
      </c>
      <c r="AF16" s="17" t="str">
        <f aca="false">IF(OR(AG16=0,AE16="",N(AE16)=0,BI16=""),"",EDATE(AH16,BI16))</f>
        <v/>
      </c>
      <c r="AG16" s="19" t="n">
        <f aca="false">IF(OR(LEN($A16&amp;$B16)=0,$F16=""),0,1)</f>
        <v>1</v>
      </c>
      <c r="AH16" s="17" t="n">
        <f aca="false">IF(AG16=0,"",IF($J16&lt;&gt;"",$J16,IF(OR(CasualCounts="Yes",COUNT($G16:$I16)=0,COUNT($H16:$I16)=0),$F16,MIN($H16:$I16))))</f>
        <v>46230</v>
      </c>
      <c r="AI16" s="19" t="n">
        <f aca="false">IF(AG16=0,"",COUNT($G16:$I16))</f>
        <v>0</v>
      </c>
      <c r="AJ16" s="17" t="str">
        <f aca="false">IF(AG16=0,"",IFERROR(SMALL($G16:$I16,1),""))</f>
        <v/>
      </c>
      <c r="AK16" s="17" t="str">
        <f aca="false">IF(AG16=0,"",IFERROR(SMALL($G16:$I16,2),""))</f>
        <v/>
      </c>
      <c r="AL16" s="17" t="str">
        <f aca="false">IF(AG16=0,"",IFERROR(SMALL($G16:$I16,3),""))</f>
        <v/>
      </c>
      <c r="AM16" s="19" t="str">
        <f aca="false">IF(AG16=0,"",IF(AJ16="","",IF(AJ16=$H16,"Part-Time",IF(AJ16=$I16,"Full-Time","Casual"))))</f>
        <v/>
      </c>
      <c r="AN16" s="19" t="str">
        <f aca="false">IF(AG16=0,"",IF(AK16="","",IF(AK16=$H16,"Part-Time",IF(AK16=$I16,"Full-Time","Casual"))))</f>
        <v/>
      </c>
      <c r="AO16" s="19" t="str">
        <f aca="false">IF(AG16=0,"",IF(AL16="","",IF(AL16=$H16,"Part-Time",IF(AL16=$I16,"Full-Time","Casual"))))</f>
        <v/>
      </c>
      <c r="AP16" s="19"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None</v>
      </c>
      <c r="AQ16" s="19" t="str">
        <f aca="false">IF(AG16=0,"",IF(AI16&lt;2,"",IF(OR(ISNUMBER(SEARCH("full",AN16)),UPPER(TRIM(AN16))="FT",UPPER(TRIM(AN16))="FTE"),"FT",IF(AND(OR(ISNUMBER(SEARCH("part",AN16)),UPPER(TRIM(AN16))="PT",UPPER(TRIM(AN16))="PTE"),OR($P16="",N($P16)&gt;=PT_MinHours)),"PT","None"))))</f>
        <v/>
      </c>
      <c r="AR16" s="19" t="str">
        <f aca="false">IF(AG16=0,"",IF(AI16&lt;3,"",IF(OR(ISNUMBER(SEARCH("full",AO16)),UPPER(TRIM(AO16))="FT",UPPER(TRIM(AO16))="FTE"),"FT",IF(AND(OR(ISNUMBER(SEARCH("part",AO16)),UPPER(TRIM(AO16))="PT",UPPER(TRIM(AO16))="PTE"),OR($P16="",N($P16)&gt;=PT_MinHours)),"PT","None"))))</f>
        <v/>
      </c>
      <c r="AS16" s="19" t="str">
        <f aca="false">IF(AG16=0,"",IF(AND(AI16&gt;=3,AL16&lt;=AsOfDate),AR16,IF(AND(AI16&gt;=2,AK16&lt;=AsOfDate),AQ16,AP16)))</f>
        <v>None</v>
      </c>
      <c r="AT16" s="19" t="n">
        <f aca="false">IF(AG16=0,"",IF(AsOfDate&lt;AH16,-1,12*(YEAR(AsOfDate)-YEAR(AH16))+MONTH(AsOfDate)-MONTH(AH16)-IF(DAY(AsOfDate)&lt;MIN(DAY(AH16),DAY(EOMONTH(AsOfDate,0))),1,0)))</f>
        <v>2</v>
      </c>
      <c r="AU16" s="19" t="n">
        <f aca="false">IF(AG16=0,"",IF(OR(AI16&lt;2,AK16&gt;AsOfDate),AT16,IF((AK16-1)&lt;AH16,-1,12*(YEAR((AK16-1))-YEAR(AH16))+MONTH((AK16-1))-MONTH(AH16)-IF(DAY((AK16-1))&lt;MIN(DAY(AH16),DAY(EOMONTH((AK16-1),0))),1,0))))</f>
        <v>2</v>
      </c>
      <c r="AV16" s="19" t="n">
        <f aca="false">IF(AG16=0,"",IF(OR(AI16&lt;3,AL16&gt;AsOfDate),AT16,IF((AL16-1)&lt;AH16,-1,12*(YEAR((AL16-1))-YEAR(AH16))+MONTH((AL16-1))-MONTH(AH16)-IF(DAY((AL16-1))&lt;MIN(DAY(AH16),DAY(EOMONTH((AL16-1),0))),1,0))))</f>
        <v>2</v>
      </c>
      <c r="AW16" s="19" t="n">
        <f aca="false">IF(AG16=0,"",IF(PFYDate&lt;AH16,-1,12*(YEAR(PFYDate)-YEAR(AH16))+MONTH(PFYDate)-MONTH(AH16)-IF(DAY(PFYDate)&lt;MIN(DAY(AH16),DAY(EOMONTH(PFYDate,0))),1,0)))</f>
        <v>-1</v>
      </c>
      <c r="AX16" s="19" t="n">
        <f aca="false">IF(AG16=0,"",IF(OR(AI16&lt;2,AK16&gt;PFYDate),AW16,IF((AK16-1)&lt;AH16,-1,12*(YEAR((AK16-1))-YEAR(AH16))+MONTH((AK16-1))-MONTH(AH16)-IF(DAY((AK16-1))&lt;MIN(DAY(AH16),DAY(EOMONTH((AK16-1),0))),1,0))))</f>
        <v>-1</v>
      </c>
      <c r="AY16" s="19" t="n">
        <f aca="false">IF(AG16=0,"",IF(OR(AI16&lt;3,AL16&gt;PFYDate),AW16,IF((AL16-1)&lt;AH16,-1,12*(YEAR((AL16-1))-YEAR(AH16))+MONTH((AL16-1))-MONTH(AH16)-IF(DAY((AL16-1))&lt;MIN(DAY(AH16),DAY(EOMONTH((AL16-1),0))),1,0))))</f>
        <v>-1</v>
      </c>
      <c r="AZ16" s="19" t="n">
        <f aca="false">IF(AG16=0,"",IF(AP16="FT",IF(AU16&lt;FT_First,0,IF(AU16&lt;FT_Y5,1+INT((AU16-FT_First)/FT_Int1),FT_PreY5+FT_PerYear*INT((AU16-FT_Y5)/12)+FT_AnnivDays+INT(MOD(AU16-FT_Y5,12)/FT_Int2))),IF(AP16="PT",IF(AU16&lt;PT_First,0,1+INT((AU16-PT_First)/PT_Int)),0))+IF(AND(AI16&gt;=2,AK16&lt;=AsOfDate),IF(AQ16="FT",IF(AV16&lt;FT_First,0,IF(AV16&lt;FT_Y5,1+INT((AV16-FT_First)/FT_Int1),FT_PreY5+FT_PerYear*INT((AV16-FT_Y5)/12)+FT_AnnivDays+INT(MOD(AV16-FT_Y5,12)/FT_Int2))),IF(AQ16="PT",IF(AV16&lt;PT_First,0,1+INT((AV16-PT_First)/PT_Int)),0))-IF(AQ16="FT",IF(AU16&lt;FT_First,0,IF(AU16&lt;FT_Y5,1+INT((AU16-FT_First)/FT_Int1),FT_PreY5+FT_PerYear*INT((AU16-FT_Y5)/12)+FT_AnnivDays+INT(MOD(AU16-FT_Y5,12)/FT_Int2))),IF(AQ16="PT",IF(AU16&lt;PT_First,0,1+INT((AU16-PT_First)/PT_Int)),0)),0)+IF(AND(AI16&gt;=3,AL16&lt;=AsOfDate),IF(AR16="FT",IF(AT16&lt;FT_First,0,IF(AT16&lt;FT_Y5,1+INT((AT16-FT_First)/FT_Int1),FT_PreY5+FT_PerYear*INT((AT16-FT_Y5)/12)+FT_AnnivDays+INT(MOD(AT16-FT_Y5,12)/FT_Int2))),IF(AR16="PT",IF(AT16&lt;PT_First,0,1+INT((AT16-PT_First)/PT_Int)),0))-IF(AR16="FT",IF(AV16&lt;FT_First,0,IF(AV16&lt;FT_Y5,1+INT((AV16-FT_First)/FT_Int1),FT_PreY5+FT_PerYear*INT((AV16-FT_Y5)/12)+FT_AnnivDays+INT(MOD(AV16-FT_Y5,12)/FT_Int2))),IF(AR16="PT",IF(AV16&lt;PT_First,0,1+INT((AV16-PT_First)/PT_Int)),0)),0))</f>
        <v>0</v>
      </c>
      <c r="BA16" s="19" t="n">
        <f aca="false">IF(AG16=0,"",IF(AP16="FT",IF(AX16&lt;FT_First,0,IF(AX16&lt;FT_Y5,1+INT((AX16-FT_First)/FT_Int1),FT_PreY5+FT_PerYear*INT((AX16-FT_Y5)/12)+FT_AnnivDays+INT(MOD(AX16-FT_Y5,12)/FT_Int2))),IF(AP16="PT",IF(AX16&lt;PT_First,0,1+INT((AX16-PT_First)/PT_Int)),0))+IF(AND(AI16&gt;=2,AK16&lt;=PFYDate),IF(AQ16="FT",IF(AY16&lt;FT_First,0,IF(AY16&lt;FT_Y5,1+INT((AY16-FT_First)/FT_Int1),FT_PreY5+FT_PerYear*INT((AY16-FT_Y5)/12)+FT_AnnivDays+INT(MOD(AY16-FT_Y5,12)/FT_Int2))),IF(AQ16="PT",IF(AY16&lt;PT_First,0,1+INT((AY16-PT_First)/PT_Int)),0))-IF(AQ16="FT",IF(AX16&lt;FT_First,0,IF(AX16&lt;FT_Y5,1+INT((AX16-FT_First)/FT_Int1),FT_PreY5+FT_PerYear*INT((AX16-FT_Y5)/12)+FT_AnnivDays+INT(MOD(AX16-FT_Y5,12)/FT_Int2))),IF(AQ16="PT",IF(AX16&lt;PT_First,0,1+INT((AX16-PT_First)/PT_Int)),0)),0)+IF(AND(AI16&gt;=3,AL16&lt;=PFYDate),IF(AR16="FT",IF(AW16&lt;FT_First,0,IF(AW16&lt;FT_Y5,1+INT((AW16-FT_First)/FT_Int1),FT_PreY5+FT_PerYear*INT((AW16-FT_Y5)/12)+FT_AnnivDays+INT(MOD(AW16-FT_Y5,12)/FT_Int2))),IF(AR16="PT",IF(AW16&lt;PT_First,0,1+INT((AW16-PT_First)/PT_Int)),0))-IF(AR16="FT",IF(AY16&lt;FT_First,0,IF(AY16&lt;FT_Y5,1+INT((AY16-FT_First)/FT_Int1),FT_PreY5+FT_PerYear*INT((AY16-FT_Y5)/12)+FT_AnnivDays+INT(MOD(AY16-FT_Y5,12)/FT_Int2))),IF(AR16="PT",IF(AY16&lt;PT_First,0,1+INT((AY16-PT_First)/PT_Int)),0)),0))</f>
        <v>0</v>
      </c>
      <c r="BB16" s="19" t="str">
        <f aca="false">IF(AG16=0,"",IF(AS16="FT",IF(AT16&lt;FT_First,FT_First,IF(AT16&lt;FT_Y5,MIN(FT_Y5,FT_First+FT_Int1*(INT((AT16-FT_First)/FT_Int1)+1)),FT_Y5+12*INT((AT16-FT_Y5)/12)+FT_Int2*(INT(MOD(AT16-FT_Y5,12)/FT_Int2)+1))),IF(AS16="PT",IF(AT16&lt;PT_First,PT_First,PT_First+PT_Int*(INT((AT16-PT_First)/PT_Int)+1)),"")))</f>
        <v/>
      </c>
      <c r="BC16" s="19" t="n">
        <f aca="false">IF(AG16=0,"",IF(NOT(LH_Ready),0,COUNTIFS(INDEX(LH_Data,0,LH_ColFirst),$A16,INDEX(LH_Data,0,LH_ColSur),$B16,INDEX(LH_Data,0,LH_ColCat),BonusCat)))</f>
        <v>0</v>
      </c>
      <c r="BD16" s="19" t="n">
        <f aca="false">IF(AG16=0,"",IF(OR(NOT(LH_Ready),BC16=0),0,SUMPRODUCT(MAX((INDEX(LH_Data,0,LH_ColFirst)=$A16)*(INDEX(LH_Data,0,LH_ColSur)=$B16)*(INDEX(LH_Data,0,LH_ColCat)=BonusCat)*ROW(LH_Data)))))</f>
        <v>0</v>
      </c>
      <c r="BE16" s="19" t="n">
        <f aca="false">IF(AG16=0,"",IF(EOMONTH(AsOfDate,-1)&lt;AH16,-1,12*(YEAR(EOMONTH(AsOfDate,-1))-YEAR(AH16))+MONTH(EOMONTH(AsOfDate,-1))-MONTH(AH16)-IF(DAY(EOMONTH(AsOfDate,-1))&lt;MIN(DAY(AH16),DAY(EOMONTH(EOMONTH(AsOfDate,-1),0))),1,0)))</f>
        <v>2</v>
      </c>
      <c r="BF16" s="19" t="n">
        <f aca="false">IF(AG16=0,"",IF(OR(AI16&lt;2,AK16&gt;EOMONTH(AsOfDate,-1)),BE16,IF((AK16-1)&lt;AH16,-1,12*(YEAR((AK16-1))-YEAR(AH16))+MONTH((AK16-1))-MONTH(AH16)-IF(DAY((AK16-1))&lt;MIN(DAY(AH16),DAY(EOMONTH((AK16-1),0))),1,0))))</f>
        <v>2</v>
      </c>
      <c r="BG16" s="19" t="n">
        <f aca="false">IF(AG16=0,"",IF(OR(AI16&lt;3,AL16&gt;EOMONTH(AsOfDate,-1)),BE16,IF((AL16-1)&lt;AH16,-1,12*(YEAR((AL16-1))-YEAR(AH16))+MONTH((AL16-1))-MONTH(AH16)-IF(DAY((AL16-1))&lt;MIN(DAY(AH16),DAY(EOMONTH((AL16-1),0))),1,0))))</f>
        <v>2</v>
      </c>
      <c r="BH16" s="19" t="n">
        <f aca="false">IF(AG16=0,"",IF(AP16="FT",IF(BF16&lt;FT_First,0,IF(BF16&lt;FT_Y5,1+INT((BF16-FT_First)/FT_Int1),FT_PreY5+FT_PerYear*INT((BF16-FT_Y5)/12)+FT_AnnivDays+INT(MOD(BF16-FT_Y5,12)/FT_Int2))),IF(AP16="PT",IF(BF16&lt;PT_First,0,1+INT((BF16-PT_First)/PT_Int)),0))+IF(AND(AI16&gt;=2,AK16&lt;=EOMONTH(AsOfDate,-1)),IF(AQ16="FT",IF(BG16&lt;FT_First,0,IF(BG16&lt;FT_Y5,1+INT((BG16-FT_First)/FT_Int1),FT_PreY5+FT_PerYear*INT((BG16-FT_Y5)/12)+FT_AnnivDays+INT(MOD(BG16-FT_Y5,12)/FT_Int2))),IF(AQ16="PT",IF(BG16&lt;PT_First,0,1+INT((BG16-PT_First)/PT_Int)),0))-IF(AQ16="FT",IF(BF16&lt;FT_First,0,IF(BF16&lt;FT_Y5,1+INT((BF16-FT_First)/FT_Int1),FT_PreY5+FT_PerYear*INT((BF16-FT_Y5)/12)+FT_AnnivDays+INT(MOD(BF16-FT_Y5,12)/FT_Int2))),IF(AQ16="PT",IF(BF16&lt;PT_First,0,1+INT((BF16-PT_First)/PT_Int)),0)),0)+IF(AND(AI16&gt;=3,AL16&lt;=EOMONTH(AsOfDate,-1)),IF(AR16="FT",IF(BE16&lt;FT_First,0,IF(BE16&lt;FT_Y5,1+INT((BE16-FT_First)/FT_Int1),FT_PreY5+FT_PerYear*INT((BE16-FT_Y5)/12)+FT_AnnivDays+INT(MOD(BE16-FT_Y5,12)/FT_Int2))),IF(AR16="PT",IF(BE16&lt;PT_First,0,1+INT((BE16-PT_First)/PT_Int)),0))-IF(AR16="FT",IF(BG16&lt;FT_First,0,IF(BG16&lt;FT_Y5,1+INT((BG16-FT_First)/FT_Int1),FT_PreY5+FT_PerYear*INT((BG16-FT_Y5)/12)+FT_AnnivDays+INT(MOD(BG16-FT_Y5,12)/FT_Int2))),IF(AR16="PT",IF(BG16&lt;PT_First,0,1+INT((BG16-PT_First)/PT_Int)),0)),0))</f>
        <v>0</v>
      </c>
      <c r="BI16" s="19" t="str">
        <f aca="false">IF(AG16=0,"",IF(AS16="FT",IF(AT16&lt;FT_First,"",IF(AT16&lt;FT_Y5,FT_First+FT_Int1*INT((AT16-FT_First)/FT_Int1),FT_Y5+FT_Int2*INT((AT16-FT_Y5)/FT_Int2))),IF(AS16="PT",IF(AT16&lt;PT_First,"",PT_First+PT_Int*INT((AT16-PT_First)/PT_Int)),"")))</f>
        <v/>
      </c>
      <c r="BJ16" s="0" t="str">
        <f aca="false">IF(LEN($A16&amp;$B16)=0,"",$A16&amp;" "&amp;$B16)</f>
        <v>Charlotte Owens</v>
      </c>
    </row>
    <row r="17" customFormat="false" ht="15" hidden="false" customHeight="false" outlineLevel="0" collapsed="false">
      <c r="A17" s="15" t="s">
        <v>162</v>
      </c>
      <c r="B17" s="15" t="s">
        <v>163</v>
      </c>
      <c r="C17" s="15" t="s">
        <v>153</v>
      </c>
      <c r="D17" s="16" t="n">
        <v>36848</v>
      </c>
      <c r="E17" s="17" t="n">
        <f aca="false">IF(OR(AG17=0,$D17=""),"",DATE(YEAR(AsOfDate)+IF(DATE(YEAR(AsOfDate),MONTH($D17),DAY($D17))&lt;=AsOfDate,1,0),MONTH($D17),DAY($D17)))</f>
        <v>46344</v>
      </c>
      <c r="F17" s="16" t="n">
        <v>45586</v>
      </c>
      <c r="G17" s="16"/>
      <c r="H17" s="16" t="n">
        <v>45586</v>
      </c>
      <c r="I17" s="16" t="n">
        <v>46119</v>
      </c>
      <c r="J17" s="16"/>
      <c r="K17" s="17" t="n">
        <f aca="false">IF(AG17=0,"",DATE(YEAR(AsOfDate)+IF(DATE(YEAR(AsOfDate),MONTH(AH17),DAY(AH17))&lt;=AsOfDate,1,0),MONTH(AH17),DAY(AH17)))</f>
        <v>46316</v>
      </c>
      <c r="L17" s="18" t="n">
        <f aca="false">IF(AG17=0,"",ROUND((AsOfDate-AH17)/365.25,1))</f>
        <v>2</v>
      </c>
      <c r="M17" s="19" t="str">
        <f aca="false">IF(AG17=0,"",IF(AsOfDate&lt;AH17,"-",DATEDIF(AH17,AsOfDate,"y")&amp;"y "&amp;DATEDIF(AH17,AsOfDate,"ym")&amp;"m "&amp;DATEDIF(AH17,AsOfDate,"md")&amp;"d"))</f>
        <v>1y 11m 15d</v>
      </c>
      <c r="N17" s="20" t="n">
        <f aca="false">IF(AG17=0,"",O17*HoursPerDay)</f>
        <v>0</v>
      </c>
      <c r="O17" s="20" t="n">
        <f aca="false">IF(AG17=0,"",AZ17)</f>
        <v>0</v>
      </c>
      <c r="P17" s="21"/>
      <c r="Q17" s="19"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Part-Time to Full-Time on 07/04/2026 - pathway changed</v>
      </c>
      <c r="R17" s="19"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17" t="n">
        <f aca="false">IF(AG17=0,"",IF(AS17="None","",EDATE(AH17,BB17)))</f>
        <v>46681</v>
      </c>
      <c r="T17" s="20" t="n">
        <f aca="false">IF(AG17=0,"",IF(NOT(LH_Ready),"",IF(AH17&gt;PFYDate,0,IF(LH_ColPeriod=0,W17-U17+V17,SUMIFS(INDEX(LH_Data,0,LH_ColAcc),INDEX(LH_Data,0,LH_ColFirst),$A17,INDEX(LH_Data,0,LH_ColSur),$B17,INDEX(LH_Data,0,LH_ColCat),BonusCat,INDEX(LH_Data,0,LH_ColPeriod),LH_OpenLabel)*UnitFactor))))</f>
        <v>0</v>
      </c>
      <c r="U17" s="20" t="n">
        <f aca="false">IF(AG17=0,"",IF(NOT(LH_Ready),"",SUMIFS(INDEX(LH_Data,0,LH_ColAcc),INDEX(LH_Data,0,LH_ColFirst),$A17,INDEX(LH_Data,0,LH_ColSur),$B17,INDEX(LH_Data,0,LH_ColCat),BonusCat,INDEX(LH_Data,0,LH_ColStart),"&gt;="&amp;AH17)*UnitFactor))</f>
        <v>0</v>
      </c>
      <c r="V17" s="20" t="n">
        <f aca="false">IF(AG17=0,"",IF(NOT(LH_Ready),"",SUMIFS(INDEX(LH_Data,0,LH_ColTaken),INDEX(LH_Data,0,LH_ColFirst),$A17,INDEX(LH_Data,0,LH_ColSur),$B17,INDEX(LH_Data,0,LH_ColCat),BonusCat,INDEX(LH_Data,0,LH_ColStart),"&gt;="&amp;AH17)*UnitFactor))</f>
        <v>0</v>
      </c>
      <c r="W17" s="20" t="n">
        <f aca="false">IF(AG17=0,"",IF(NOT(LH_Ready),"",IF(BD17=0,0,INDEX(INDEX(LH_Data,0,LH_ColClose),BD17-1)*UnitFactor)))</f>
        <v>0</v>
      </c>
      <c r="X17" s="20" t="n">
        <f aca="false">IF(AG17=0,"",(AZ17-BA17)*HoursPerDay)</f>
        <v>0</v>
      </c>
      <c r="Y17" s="20" t="n">
        <f aca="false">IF(AG17=0,"",IF(NOT(LH_Ready),"",IF(BC17=0,N17,IF(PFYDate&lt;$F17,N17-N(T17)-N(U17),X17-N(U17)))))</f>
        <v>0</v>
      </c>
      <c r="Z17" s="19" t="str">
        <f aca="false">IF(OR(AG17=0,Y17=""),"",IF(Y17&gt;0,"Yes","No"))</f>
        <v>No</v>
      </c>
      <c r="AA17" s="19"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Not yet - first day on 21/10/2027</v>
      </c>
      <c r="AB17" s="20" t="n">
        <f aca="false">IF(OR(AG17=0,T17=""),"",BA17*HoursPerDay-T17)</f>
        <v>0</v>
      </c>
      <c r="AC17" s="19" t="n">
        <f aca="false">IF(AG17=0,"",BC17)</f>
        <v>0</v>
      </c>
      <c r="AD17" s="19"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20" t="n">
        <f aca="false">IF(AG17=0,"",O17-BH17)</f>
        <v>0</v>
      </c>
      <c r="AF17" s="17" t="str">
        <f aca="false">IF(OR(AG17=0,AE17="",N(AE17)=0,BI17=""),"",EDATE(AH17,BI17))</f>
        <v/>
      </c>
      <c r="AG17" s="19" t="n">
        <f aca="false">IF(OR(LEN($A17&amp;$B17)=0,$F17=""),0,1)</f>
        <v>1</v>
      </c>
      <c r="AH17" s="17" t="n">
        <f aca="false">IF(AG17=0,"",IF($J17&lt;&gt;"",$J17,IF(OR(CasualCounts="Yes",COUNT($G17:$I17)=0,COUNT($H17:$I17)=0),$F17,MIN($H17:$I17))))</f>
        <v>45586</v>
      </c>
      <c r="AI17" s="19" t="n">
        <f aca="false">IF(AG17=0,"",COUNT($G17:$I17))</f>
        <v>2</v>
      </c>
      <c r="AJ17" s="17" t="n">
        <f aca="false">IF(AG17=0,"",IFERROR(SMALL($G17:$I17,1),""))</f>
        <v>45586</v>
      </c>
      <c r="AK17" s="17" t="n">
        <f aca="false">IF(AG17=0,"",IFERROR(SMALL($G17:$I17,2),""))</f>
        <v>46119</v>
      </c>
      <c r="AL17" s="17" t="str">
        <f aca="false">IF(AG17=0,"",IFERROR(SMALL($G17:$I17,3),""))</f>
        <v/>
      </c>
      <c r="AM17" s="19" t="str">
        <f aca="false">IF(AG17=0,"",IF(AJ17="","",IF(AJ17=$H17,"Part-Time",IF(AJ17=$I17,"Full-Time","Casual"))))</f>
        <v>Part-Time</v>
      </c>
      <c r="AN17" s="19" t="str">
        <f aca="false">IF(AG17=0,"",IF(AK17="","",IF(AK17=$H17,"Part-Time",IF(AK17=$I17,"Full-Time","Casual"))))</f>
        <v>Full-Time</v>
      </c>
      <c r="AO17" s="19" t="str">
        <f aca="false">IF(AG17=0,"",IF(AL17="","",IF(AL17=$H17,"Part-Time",IF(AL17=$I17,"Full-Time","Casual"))))</f>
        <v/>
      </c>
      <c r="AP17" s="19"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PT</v>
      </c>
      <c r="AQ17" s="19" t="str">
        <f aca="false">IF(AG17=0,"",IF(AI17&lt;2,"",IF(OR(ISNUMBER(SEARCH("full",AN17)),UPPER(TRIM(AN17))="FT",UPPER(TRIM(AN17))="FTE"),"FT",IF(AND(OR(ISNUMBER(SEARCH("part",AN17)),UPPER(TRIM(AN17))="PT",UPPER(TRIM(AN17))="PTE"),OR($P17="",N($P17)&gt;=PT_MinHours)),"PT","None"))))</f>
        <v>FT</v>
      </c>
      <c r="AR17" s="19" t="str">
        <f aca="false">IF(AG17=0,"",IF(AI17&lt;3,"",IF(OR(ISNUMBER(SEARCH("full",AO17)),UPPER(TRIM(AO17))="FT",UPPER(TRIM(AO17))="FTE"),"FT",IF(AND(OR(ISNUMBER(SEARCH("part",AO17)),UPPER(TRIM(AO17))="PT",UPPER(TRIM(AO17))="PTE"),OR($P17="",N($P17)&gt;=PT_MinHours)),"PT","None"))))</f>
        <v/>
      </c>
      <c r="AS17" s="19" t="str">
        <f aca="false">IF(AG17=0,"",IF(AND(AI17&gt;=3,AL17&lt;=AsOfDate),AR17,IF(AND(AI17&gt;=2,AK17&lt;=AsOfDate),AQ17,AP17)))</f>
        <v>FT</v>
      </c>
      <c r="AT17" s="19" t="n">
        <f aca="false">IF(AG17=0,"",IF(AsOfDate&lt;AH17,-1,12*(YEAR(AsOfDate)-YEAR(AH17))+MONTH(AsOfDate)-MONTH(AH17)-IF(DAY(AsOfDate)&lt;MIN(DAY(AH17),DAY(EOMONTH(AsOfDate,0))),1,0)))</f>
        <v>23</v>
      </c>
      <c r="AU17" s="19" t="n">
        <f aca="false">IF(AG17=0,"",IF(OR(AI17&lt;2,AK17&gt;AsOfDate),AT17,IF((AK17-1)&lt;AH17,-1,12*(YEAR((AK17-1))-YEAR(AH17))+MONTH((AK17-1))-MONTH(AH17)-IF(DAY((AK17-1))&lt;MIN(DAY(AH17),DAY(EOMONTH((AK17-1),0))),1,0))))</f>
        <v>17</v>
      </c>
      <c r="AV17" s="19" t="n">
        <f aca="false">IF(AG17=0,"",IF(OR(AI17&lt;3,AL17&gt;AsOfDate),AT17,IF((AL17-1)&lt;AH17,-1,12*(YEAR((AL17-1))-YEAR(AH17))+MONTH((AL17-1))-MONTH(AH17)-IF(DAY((AL17-1))&lt;MIN(DAY(AH17),DAY(EOMONTH((AL17-1),0))),1,0))))</f>
        <v>23</v>
      </c>
      <c r="AW17" s="19" t="n">
        <f aca="false">IF(AG17=0,"",IF(PFYDate&lt;AH17,-1,12*(YEAR(PFYDate)-YEAR(AH17))+MONTH(PFYDate)-MONTH(AH17)-IF(DAY(PFYDate)&lt;MIN(DAY(AH17),DAY(EOMONTH(PFYDate,0))),1,0)))</f>
        <v>-1</v>
      </c>
      <c r="AX17" s="19" t="n">
        <f aca="false">IF(AG17=0,"",IF(OR(AI17&lt;2,AK17&gt;PFYDate),AW17,IF((AK17-1)&lt;AH17,-1,12*(YEAR((AK17-1))-YEAR(AH17))+MONTH((AK17-1))-MONTH(AH17)-IF(DAY((AK17-1))&lt;MIN(DAY(AH17),DAY(EOMONTH((AK17-1),0))),1,0))))</f>
        <v>-1</v>
      </c>
      <c r="AY17" s="19" t="n">
        <f aca="false">IF(AG17=0,"",IF(OR(AI17&lt;3,AL17&gt;PFYDate),AW17,IF((AL17-1)&lt;AH17,-1,12*(YEAR((AL17-1))-YEAR(AH17))+MONTH((AL17-1))-MONTH(AH17)-IF(DAY((AL17-1))&lt;MIN(DAY(AH17),DAY(EOMONTH((AL17-1),0))),1,0))))</f>
        <v>-1</v>
      </c>
      <c r="AZ17" s="19" t="n">
        <f aca="false">IF(AG17=0,"",IF(AP17="FT",IF(AU17&lt;FT_First,0,IF(AU17&lt;FT_Y5,1+INT((AU17-FT_First)/FT_Int1),FT_PreY5+FT_PerYear*INT((AU17-FT_Y5)/12)+FT_AnnivDays+INT(MOD(AU17-FT_Y5,12)/FT_Int2))),IF(AP17="PT",IF(AU17&lt;PT_First,0,1+INT((AU17-PT_First)/PT_Int)),0))+IF(AND(AI17&gt;=2,AK17&lt;=AsOfDate),IF(AQ17="FT",IF(AV17&lt;FT_First,0,IF(AV17&lt;FT_Y5,1+INT((AV17-FT_First)/FT_Int1),FT_PreY5+FT_PerYear*INT((AV17-FT_Y5)/12)+FT_AnnivDays+INT(MOD(AV17-FT_Y5,12)/FT_Int2))),IF(AQ17="PT",IF(AV17&lt;PT_First,0,1+INT((AV17-PT_First)/PT_Int)),0))-IF(AQ17="FT",IF(AU17&lt;FT_First,0,IF(AU17&lt;FT_Y5,1+INT((AU17-FT_First)/FT_Int1),FT_PreY5+FT_PerYear*INT((AU17-FT_Y5)/12)+FT_AnnivDays+INT(MOD(AU17-FT_Y5,12)/FT_Int2))),IF(AQ17="PT",IF(AU17&lt;PT_First,0,1+INT((AU17-PT_First)/PT_Int)),0)),0)+IF(AND(AI17&gt;=3,AL17&lt;=AsOfDate),IF(AR17="FT",IF(AT17&lt;FT_First,0,IF(AT17&lt;FT_Y5,1+INT((AT17-FT_First)/FT_Int1),FT_PreY5+FT_PerYear*INT((AT17-FT_Y5)/12)+FT_AnnivDays+INT(MOD(AT17-FT_Y5,12)/FT_Int2))),IF(AR17="PT",IF(AT17&lt;PT_First,0,1+INT((AT17-PT_First)/PT_Int)),0))-IF(AR17="FT",IF(AV17&lt;FT_First,0,IF(AV17&lt;FT_Y5,1+INT((AV17-FT_First)/FT_Int1),FT_PreY5+FT_PerYear*INT((AV17-FT_Y5)/12)+FT_AnnivDays+INT(MOD(AV17-FT_Y5,12)/FT_Int2))),IF(AR17="PT",IF(AV17&lt;PT_First,0,1+INT((AV17-PT_First)/PT_Int)),0)),0))</f>
        <v>0</v>
      </c>
      <c r="BA17" s="19" t="n">
        <f aca="false">IF(AG17=0,"",IF(AP17="FT",IF(AX17&lt;FT_First,0,IF(AX17&lt;FT_Y5,1+INT((AX17-FT_First)/FT_Int1),FT_PreY5+FT_PerYear*INT((AX17-FT_Y5)/12)+FT_AnnivDays+INT(MOD(AX17-FT_Y5,12)/FT_Int2))),IF(AP17="PT",IF(AX17&lt;PT_First,0,1+INT((AX17-PT_First)/PT_Int)),0))+IF(AND(AI17&gt;=2,AK17&lt;=PFYDate),IF(AQ17="FT",IF(AY17&lt;FT_First,0,IF(AY17&lt;FT_Y5,1+INT((AY17-FT_First)/FT_Int1),FT_PreY5+FT_PerYear*INT((AY17-FT_Y5)/12)+FT_AnnivDays+INT(MOD(AY17-FT_Y5,12)/FT_Int2))),IF(AQ17="PT",IF(AY17&lt;PT_First,0,1+INT((AY17-PT_First)/PT_Int)),0))-IF(AQ17="FT",IF(AX17&lt;FT_First,0,IF(AX17&lt;FT_Y5,1+INT((AX17-FT_First)/FT_Int1),FT_PreY5+FT_PerYear*INT((AX17-FT_Y5)/12)+FT_AnnivDays+INT(MOD(AX17-FT_Y5,12)/FT_Int2))),IF(AQ17="PT",IF(AX17&lt;PT_First,0,1+INT((AX17-PT_First)/PT_Int)),0)),0)+IF(AND(AI17&gt;=3,AL17&lt;=PFYDate),IF(AR17="FT",IF(AW17&lt;FT_First,0,IF(AW17&lt;FT_Y5,1+INT((AW17-FT_First)/FT_Int1),FT_PreY5+FT_PerYear*INT((AW17-FT_Y5)/12)+FT_AnnivDays+INT(MOD(AW17-FT_Y5,12)/FT_Int2))),IF(AR17="PT",IF(AW17&lt;PT_First,0,1+INT((AW17-PT_First)/PT_Int)),0))-IF(AR17="FT",IF(AY17&lt;FT_First,0,IF(AY17&lt;FT_Y5,1+INT((AY17-FT_First)/FT_Int1),FT_PreY5+FT_PerYear*INT((AY17-FT_Y5)/12)+FT_AnnivDays+INT(MOD(AY17-FT_Y5,12)/FT_Int2))),IF(AR17="PT",IF(AY17&lt;PT_First,0,1+INT((AY17-PT_First)/PT_Int)),0)),0))</f>
        <v>0</v>
      </c>
      <c r="BB17" s="19" t="n">
        <f aca="false">IF(AG17=0,"",IF(AS17="FT",IF(AT17&lt;FT_First,FT_First,IF(AT17&lt;FT_Y5,MIN(FT_Y5,FT_First+FT_Int1*(INT((AT17-FT_First)/FT_Int1)+1)),FT_Y5+12*INT((AT17-FT_Y5)/12)+FT_Int2*(INT(MOD(AT17-FT_Y5,12)/FT_Int2)+1))),IF(AS17="PT",IF(AT17&lt;PT_First,PT_First,PT_First+PT_Int*(INT((AT17-PT_First)/PT_Int)+1)),"")))</f>
        <v>36</v>
      </c>
      <c r="BC17" s="19" t="n">
        <f aca="false">IF(AG17=0,"",IF(NOT(LH_Ready),0,COUNTIFS(INDEX(LH_Data,0,LH_ColFirst),$A17,INDEX(LH_Data,0,LH_ColSur),$B17,INDEX(LH_Data,0,LH_ColCat),BonusCat)))</f>
        <v>0</v>
      </c>
      <c r="BD17" s="19" t="n">
        <f aca="false">IF(AG17=0,"",IF(OR(NOT(LH_Ready),BC17=0),0,SUMPRODUCT(MAX((INDEX(LH_Data,0,LH_ColFirst)=$A17)*(INDEX(LH_Data,0,LH_ColSur)=$B17)*(INDEX(LH_Data,0,LH_ColCat)=BonusCat)*ROW(LH_Data)))))</f>
        <v>0</v>
      </c>
      <c r="BE17" s="19" t="n">
        <f aca="false">IF(AG17=0,"",IF(EOMONTH(AsOfDate,-1)&lt;AH17,-1,12*(YEAR(EOMONTH(AsOfDate,-1))-YEAR(AH17))+MONTH(EOMONTH(AsOfDate,-1))-MONTH(AH17)-IF(DAY(EOMONTH(AsOfDate,-1))&lt;MIN(DAY(AH17),DAY(EOMONTH(EOMONTH(AsOfDate,-1),0))),1,0)))</f>
        <v>23</v>
      </c>
      <c r="BF17" s="19" t="n">
        <f aca="false">IF(AG17=0,"",IF(OR(AI17&lt;2,AK17&gt;EOMONTH(AsOfDate,-1)),BE17,IF((AK17-1)&lt;AH17,-1,12*(YEAR((AK17-1))-YEAR(AH17))+MONTH((AK17-1))-MONTH(AH17)-IF(DAY((AK17-1))&lt;MIN(DAY(AH17),DAY(EOMONTH((AK17-1),0))),1,0))))</f>
        <v>17</v>
      </c>
      <c r="BG17" s="19" t="n">
        <f aca="false">IF(AG17=0,"",IF(OR(AI17&lt;3,AL17&gt;EOMONTH(AsOfDate,-1)),BE17,IF((AL17-1)&lt;AH17,-1,12*(YEAR((AL17-1))-YEAR(AH17))+MONTH((AL17-1))-MONTH(AH17)-IF(DAY((AL17-1))&lt;MIN(DAY(AH17),DAY(EOMONTH((AL17-1),0))),1,0))))</f>
        <v>23</v>
      </c>
      <c r="BH17" s="19" t="n">
        <f aca="false">IF(AG17=0,"",IF(AP17="FT",IF(BF17&lt;FT_First,0,IF(BF17&lt;FT_Y5,1+INT((BF17-FT_First)/FT_Int1),FT_PreY5+FT_PerYear*INT((BF17-FT_Y5)/12)+FT_AnnivDays+INT(MOD(BF17-FT_Y5,12)/FT_Int2))),IF(AP17="PT",IF(BF17&lt;PT_First,0,1+INT((BF17-PT_First)/PT_Int)),0))+IF(AND(AI17&gt;=2,AK17&lt;=EOMONTH(AsOfDate,-1)),IF(AQ17="FT",IF(BG17&lt;FT_First,0,IF(BG17&lt;FT_Y5,1+INT((BG17-FT_First)/FT_Int1),FT_PreY5+FT_PerYear*INT((BG17-FT_Y5)/12)+FT_AnnivDays+INT(MOD(BG17-FT_Y5,12)/FT_Int2))),IF(AQ17="PT",IF(BG17&lt;PT_First,0,1+INT((BG17-PT_First)/PT_Int)),0))-IF(AQ17="FT",IF(BF17&lt;FT_First,0,IF(BF17&lt;FT_Y5,1+INT((BF17-FT_First)/FT_Int1),FT_PreY5+FT_PerYear*INT((BF17-FT_Y5)/12)+FT_AnnivDays+INT(MOD(BF17-FT_Y5,12)/FT_Int2))),IF(AQ17="PT",IF(BF17&lt;PT_First,0,1+INT((BF17-PT_First)/PT_Int)),0)),0)+IF(AND(AI17&gt;=3,AL17&lt;=EOMONTH(AsOfDate,-1)),IF(AR17="FT",IF(BE17&lt;FT_First,0,IF(BE17&lt;FT_Y5,1+INT((BE17-FT_First)/FT_Int1),FT_PreY5+FT_PerYear*INT((BE17-FT_Y5)/12)+FT_AnnivDays+INT(MOD(BE17-FT_Y5,12)/FT_Int2))),IF(AR17="PT",IF(BE17&lt;PT_First,0,1+INT((BE17-PT_First)/PT_Int)),0))-IF(AR17="FT",IF(BG17&lt;FT_First,0,IF(BG17&lt;FT_Y5,1+INT((BG17-FT_First)/FT_Int1),FT_PreY5+FT_PerYear*INT((BG17-FT_Y5)/12)+FT_AnnivDays+INT(MOD(BG17-FT_Y5,12)/FT_Int2))),IF(AR17="PT",IF(BG17&lt;PT_First,0,1+INT((BG17-PT_First)/PT_Int)),0)),0))</f>
        <v>0</v>
      </c>
      <c r="BI17" s="19" t="str">
        <f aca="false">IF(AG17=0,"",IF(AS17="FT",IF(AT17&lt;FT_First,"",IF(AT17&lt;FT_Y5,FT_First+FT_Int1*INT((AT17-FT_First)/FT_Int1),FT_Y5+FT_Int2*INT((AT17-FT_Y5)/FT_Int2))),IF(AS17="PT",IF(AT17&lt;PT_First,"",PT_First+PT_Int*INT((AT17-PT_First)/PT_Int)),"")))</f>
        <v/>
      </c>
      <c r="BJ17" s="0" t="str">
        <f aca="false">IF(LEN($A17&amp;$B17)=0,"",$A17&amp;" "&amp;$B17)</f>
        <v>Chloe Landayan</v>
      </c>
    </row>
    <row r="18" customFormat="false" ht="15" hidden="false" customHeight="false" outlineLevel="0" collapsed="false">
      <c r="A18" s="15" t="s">
        <v>164</v>
      </c>
      <c r="B18" s="15" t="s">
        <v>165</v>
      </c>
      <c r="C18" s="15" t="s">
        <v>138</v>
      </c>
      <c r="D18" s="16" t="n">
        <v>28365</v>
      </c>
      <c r="E18" s="17" t="n">
        <f aca="false">IF(OR(AG18=0,$D18=""),"",DATE(YEAR(AsOfDate)+IF(DATE(YEAR(AsOfDate),MONTH($D18),DAY($D18))&lt;=AsOfDate,1,0),MONTH($D18),DAY($D18)))</f>
        <v>46627</v>
      </c>
      <c r="F18" s="16" t="n">
        <v>45250</v>
      </c>
      <c r="G18" s="16"/>
      <c r="H18" s="16"/>
      <c r="I18" s="16"/>
      <c r="J18" s="16"/>
      <c r="K18" s="17" t="n">
        <f aca="false">IF(AG18=0,"",DATE(YEAR(AsOfDate)+IF(DATE(YEAR(AsOfDate),MONTH(AH18),DAY(AH18))&lt;=AsOfDate,1,0),MONTH(AH18),DAY(AH18)))</f>
        <v>46346</v>
      </c>
      <c r="L18" s="18" t="n">
        <f aca="false">IF(AG18=0,"",ROUND((AsOfDate-AH18)/365.25,1))</f>
        <v>2.9</v>
      </c>
      <c r="M18" s="19" t="str">
        <f aca="false">IF(AG18=0,"",IF(AsOfDate&lt;AH18,"-",DATEDIF(AH18,AsOfDate,"y")&amp;"y "&amp;DATEDIF(AH18,AsOfDate,"ym")&amp;"m "&amp;DATEDIF(AH18,AsOfDate,"md")&amp;"d"))</f>
        <v>2y 10m 16d</v>
      </c>
      <c r="N18" s="20" t="n">
        <f aca="false">IF(AG18=0,"",O18*HoursPerDay)</f>
        <v>0</v>
      </c>
      <c r="O18" s="20" t="n">
        <f aca="false">IF(AG18=0,"",AZ18)</f>
        <v>0</v>
      </c>
      <c r="P18" s="21"/>
      <c r="Q18" s="19"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19"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17" t="str">
        <f aca="false">IF(AG18=0,"",IF(AS18="None","",EDATE(AH18,BB18)))</f>
        <v/>
      </c>
      <c r="T18" s="20" t="n">
        <f aca="false">IF(AG18=0,"",IF(NOT(LH_Ready),"",IF(AH18&gt;PFYDate,0,IF(LH_ColPeriod=0,W18-U18+V18,SUMIFS(INDEX(LH_Data,0,LH_ColAcc),INDEX(LH_Data,0,LH_ColFirst),$A18,INDEX(LH_Data,0,LH_ColSur),$B18,INDEX(LH_Data,0,LH_ColCat),BonusCat,INDEX(LH_Data,0,LH_ColPeriod),LH_OpenLabel)*UnitFactor))))</f>
        <v>0</v>
      </c>
      <c r="U18" s="20" t="n">
        <f aca="false">IF(AG18=0,"",IF(NOT(LH_Ready),"",SUMIFS(INDEX(LH_Data,0,LH_ColAcc),INDEX(LH_Data,0,LH_ColFirst),$A18,INDEX(LH_Data,0,LH_ColSur),$B18,INDEX(LH_Data,0,LH_ColCat),BonusCat,INDEX(LH_Data,0,LH_ColStart),"&gt;="&amp;AH18)*UnitFactor))</f>
        <v>0</v>
      </c>
      <c r="V18" s="20" t="n">
        <f aca="false">IF(AG18=0,"",IF(NOT(LH_Ready),"",SUMIFS(INDEX(LH_Data,0,LH_ColTaken),INDEX(LH_Data,0,LH_ColFirst),$A18,INDEX(LH_Data,0,LH_ColSur),$B18,INDEX(LH_Data,0,LH_ColCat),BonusCat,INDEX(LH_Data,0,LH_ColStart),"&gt;="&amp;AH18)*UnitFactor))</f>
        <v>0</v>
      </c>
      <c r="W18" s="20" t="n">
        <f aca="false">IF(AG18=0,"",IF(NOT(LH_Ready),"",IF(BD18=0,0,INDEX(INDEX(LH_Data,0,LH_ColClose),BD18-1)*UnitFactor)))</f>
        <v>0</v>
      </c>
      <c r="X18" s="20" t="n">
        <f aca="false">IF(AG18=0,"",(AZ18-BA18)*HoursPerDay)</f>
        <v>0</v>
      </c>
      <c r="Y18" s="20" t="n">
        <f aca="false">IF(AG18=0,"",IF(NOT(LH_Ready),"",IF(BC18=0,N18,IF(PFYDate&lt;$F18,N18-N(T18)-N(U18),X18-N(U18)))))</f>
        <v>0</v>
      </c>
      <c r="Z18" s="19" t="str">
        <f aca="false">IF(OR(AG18=0,Y18=""),"",IF(Y18&gt;0,"Yes","No"))</f>
        <v>No</v>
      </c>
      <c r="AA18" s="19"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Not eligible - Casual</v>
      </c>
      <c r="AB18" s="20" t="n">
        <f aca="false">IF(OR(AG18=0,T18=""),"",BA18*HoursPerDay-T18)</f>
        <v>0</v>
      </c>
      <c r="AC18" s="19" t="n">
        <f aca="false">IF(AG18=0,"",BC18)</f>
        <v>0</v>
      </c>
      <c r="AD18" s="19"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20" t="n">
        <f aca="false">IF(AG18=0,"",O18-BH18)</f>
        <v>0</v>
      </c>
      <c r="AF18" s="17" t="str">
        <f aca="false">IF(OR(AG18=0,AE18="",N(AE18)=0,BI18=""),"",EDATE(AH18,BI18))</f>
        <v/>
      </c>
      <c r="AG18" s="19" t="n">
        <f aca="false">IF(OR(LEN($A18&amp;$B18)=0,$F18=""),0,1)</f>
        <v>1</v>
      </c>
      <c r="AH18" s="17" t="n">
        <f aca="false">IF(AG18=0,"",IF($J18&lt;&gt;"",$J18,IF(OR(CasualCounts="Yes",COUNT($G18:$I18)=0,COUNT($H18:$I18)=0),$F18,MIN($H18:$I18))))</f>
        <v>45250</v>
      </c>
      <c r="AI18" s="19" t="n">
        <f aca="false">IF(AG18=0,"",COUNT($G18:$I18))</f>
        <v>0</v>
      </c>
      <c r="AJ18" s="17" t="str">
        <f aca="false">IF(AG18=0,"",IFERROR(SMALL($G18:$I18,1),""))</f>
        <v/>
      </c>
      <c r="AK18" s="17" t="str">
        <f aca="false">IF(AG18=0,"",IFERROR(SMALL($G18:$I18,2),""))</f>
        <v/>
      </c>
      <c r="AL18" s="17" t="str">
        <f aca="false">IF(AG18=0,"",IFERROR(SMALL($G18:$I18,3),""))</f>
        <v/>
      </c>
      <c r="AM18" s="19" t="str">
        <f aca="false">IF(AG18=0,"",IF(AJ18="","",IF(AJ18=$H18,"Part-Time",IF(AJ18=$I18,"Full-Time","Casual"))))</f>
        <v/>
      </c>
      <c r="AN18" s="19" t="str">
        <f aca="false">IF(AG18=0,"",IF(AK18="","",IF(AK18=$H18,"Part-Time",IF(AK18=$I18,"Full-Time","Casual"))))</f>
        <v/>
      </c>
      <c r="AO18" s="19" t="str">
        <f aca="false">IF(AG18=0,"",IF(AL18="","",IF(AL18=$H18,"Part-Time",IF(AL18=$I18,"Full-Time","Casual"))))</f>
        <v/>
      </c>
      <c r="AP18" s="19"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None</v>
      </c>
      <c r="AQ18" s="19" t="str">
        <f aca="false">IF(AG18=0,"",IF(AI18&lt;2,"",IF(OR(ISNUMBER(SEARCH("full",AN18)),UPPER(TRIM(AN18))="FT",UPPER(TRIM(AN18))="FTE"),"FT",IF(AND(OR(ISNUMBER(SEARCH("part",AN18)),UPPER(TRIM(AN18))="PT",UPPER(TRIM(AN18))="PTE"),OR($P18="",N($P18)&gt;=PT_MinHours)),"PT","None"))))</f>
        <v/>
      </c>
      <c r="AR18" s="19" t="str">
        <f aca="false">IF(AG18=0,"",IF(AI18&lt;3,"",IF(OR(ISNUMBER(SEARCH("full",AO18)),UPPER(TRIM(AO18))="FT",UPPER(TRIM(AO18))="FTE"),"FT",IF(AND(OR(ISNUMBER(SEARCH("part",AO18)),UPPER(TRIM(AO18))="PT",UPPER(TRIM(AO18))="PTE"),OR($P18="",N($P18)&gt;=PT_MinHours)),"PT","None"))))</f>
        <v/>
      </c>
      <c r="AS18" s="19" t="str">
        <f aca="false">IF(AG18=0,"",IF(AND(AI18&gt;=3,AL18&lt;=AsOfDate),AR18,IF(AND(AI18&gt;=2,AK18&lt;=AsOfDate),AQ18,AP18)))</f>
        <v>None</v>
      </c>
      <c r="AT18" s="19" t="n">
        <f aca="false">IF(AG18=0,"",IF(AsOfDate&lt;AH18,-1,12*(YEAR(AsOfDate)-YEAR(AH18))+MONTH(AsOfDate)-MONTH(AH18)-IF(DAY(AsOfDate)&lt;MIN(DAY(AH18),DAY(EOMONTH(AsOfDate,0))),1,0)))</f>
        <v>34</v>
      </c>
      <c r="AU18" s="19" t="n">
        <f aca="false">IF(AG18=0,"",IF(OR(AI18&lt;2,AK18&gt;AsOfDate),AT18,IF((AK18-1)&lt;AH18,-1,12*(YEAR((AK18-1))-YEAR(AH18))+MONTH((AK18-1))-MONTH(AH18)-IF(DAY((AK18-1))&lt;MIN(DAY(AH18),DAY(EOMONTH((AK18-1),0))),1,0))))</f>
        <v>34</v>
      </c>
      <c r="AV18" s="19" t="n">
        <f aca="false">IF(AG18=0,"",IF(OR(AI18&lt;3,AL18&gt;AsOfDate),AT18,IF((AL18-1)&lt;AH18,-1,12*(YEAR((AL18-1))-YEAR(AH18))+MONTH((AL18-1))-MONTH(AH18)-IF(DAY((AL18-1))&lt;MIN(DAY(AH18),DAY(EOMONTH((AL18-1),0))),1,0))))</f>
        <v>34</v>
      </c>
      <c r="AW18" s="19" t="n">
        <f aca="false">IF(AG18=0,"",IF(PFYDate&lt;AH18,-1,12*(YEAR(PFYDate)-YEAR(AH18))+MONTH(PFYDate)-MONTH(AH18)-IF(DAY(PFYDate)&lt;MIN(DAY(AH18),DAY(EOMONTH(PFYDate,0))),1,0)))</f>
        <v>-1</v>
      </c>
      <c r="AX18" s="19" t="n">
        <f aca="false">IF(AG18=0,"",IF(OR(AI18&lt;2,AK18&gt;PFYDate),AW18,IF((AK18-1)&lt;AH18,-1,12*(YEAR((AK18-1))-YEAR(AH18))+MONTH((AK18-1))-MONTH(AH18)-IF(DAY((AK18-1))&lt;MIN(DAY(AH18),DAY(EOMONTH((AK18-1),0))),1,0))))</f>
        <v>-1</v>
      </c>
      <c r="AY18" s="19" t="n">
        <f aca="false">IF(AG18=0,"",IF(OR(AI18&lt;3,AL18&gt;PFYDate),AW18,IF((AL18-1)&lt;AH18,-1,12*(YEAR((AL18-1))-YEAR(AH18))+MONTH((AL18-1))-MONTH(AH18)-IF(DAY((AL18-1))&lt;MIN(DAY(AH18),DAY(EOMONTH((AL18-1),0))),1,0))))</f>
        <v>-1</v>
      </c>
      <c r="AZ18" s="19" t="n">
        <f aca="false">IF(AG18=0,"",IF(AP18="FT",IF(AU18&lt;FT_First,0,IF(AU18&lt;FT_Y5,1+INT((AU18-FT_First)/FT_Int1),FT_PreY5+FT_PerYear*INT((AU18-FT_Y5)/12)+FT_AnnivDays+INT(MOD(AU18-FT_Y5,12)/FT_Int2))),IF(AP18="PT",IF(AU18&lt;PT_First,0,1+INT((AU18-PT_First)/PT_Int)),0))+IF(AND(AI18&gt;=2,AK18&lt;=AsOfDate),IF(AQ18="FT",IF(AV18&lt;FT_First,0,IF(AV18&lt;FT_Y5,1+INT((AV18-FT_First)/FT_Int1),FT_PreY5+FT_PerYear*INT((AV18-FT_Y5)/12)+FT_AnnivDays+INT(MOD(AV18-FT_Y5,12)/FT_Int2))),IF(AQ18="PT",IF(AV18&lt;PT_First,0,1+INT((AV18-PT_First)/PT_Int)),0))-IF(AQ18="FT",IF(AU18&lt;FT_First,0,IF(AU18&lt;FT_Y5,1+INT((AU18-FT_First)/FT_Int1),FT_PreY5+FT_PerYear*INT((AU18-FT_Y5)/12)+FT_AnnivDays+INT(MOD(AU18-FT_Y5,12)/FT_Int2))),IF(AQ18="PT",IF(AU18&lt;PT_First,0,1+INT((AU18-PT_First)/PT_Int)),0)),0)+IF(AND(AI18&gt;=3,AL18&lt;=AsOfDate),IF(AR18="FT",IF(AT18&lt;FT_First,0,IF(AT18&lt;FT_Y5,1+INT((AT18-FT_First)/FT_Int1),FT_PreY5+FT_PerYear*INT((AT18-FT_Y5)/12)+FT_AnnivDays+INT(MOD(AT18-FT_Y5,12)/FT_Int2))),IF(AR18="PT",IF(AT18&lt;PT_First,0,1+INT((AT18-PT_First)/PT_Int)),0))-IF(AR18="FT",IF(AV18&lt;FT_First,0,IF(AV18&lt;FT_Y5,1+INT((AV18-FT_First)/FT_Int1),FT_PreY5+FT_PerYear*INT((AV18-FT_Y5)/12)+FT_AnnivDays+INT(MOD(AV18-FT_Y5,12)/FT_Int2))),IF(AR18="PT",IF(AV18&lt;PT_First,0,1+INT((AV18-PT_First)/PT_Int)),0)),0))</f>
        <v>0</v>
      </c>
      <c r="BA18" s="19" t="n">
        <f aca="false">IF(AG18=0,"",IF(AP18="FT",IF(AX18&lt;FT_First,0,IF(AX18&lt;FT_Y5,1+INT((AX18-FT_First)/FT_Int1),FT_PreY5+FT_PerYear*INT((AX18-FT_Y5)/12)+FT_AnnivDays+INT(MOD(AX18-FT_Y5,12)/FT_Int2))),IF(AP18="PT",IF(AX18&lt;PT_First,0,1+INT((AX18-PT_First)/PT_Int)),0))+IF(AND(AI18&gt;=2,AK18&lt;=PFYDate),IF(AQ18="FT",IF(AY18&lt;FT_First,0,IF(AY18&lt;FT_Y5,1+INT((AY18-FT_First)/FT_Int1),FT_PreY5+FT_PerYear*INT((AY18-FT_Y5)/12)+FT_AnnivDays+INT(MOD(AY18-FT_Y5,12)/FT_Int2))),IF(AQ18="PT",IF(AY18&lt;PT_First,0,1+INT((AY18-PT_First)/PT_Int)),0))-IF(AQ18="FT",IF(AX18&lt;FT_First,0,IF(AX18&lt;FT_Y5,1+INT((AX18-FT_First)/FT_Int1),FT_PreY5+FT_PerYear*INT((AX18-FT_Y5)/12)+FT_AnnivDays+INT(MOD(AX18-FT_Y5,12)/FT_Int2))),IF(AQ18="PT",IF(AX18&lt;PT_First,0,1+INT((AX18-PT_First)/PT_Int)),0)),0)+IF(AND(AI18&gt;=3,AL18&lt;=PFYDate),IF(AR18="FT",IF(AW18&lt;FT_First,0,IF(AW18&lt;FT_Y5,1+INT((AW18-FT_First)/FT_Int1),FT_PreY5+FT_PerYear*INT((AW18-FT_Y5)/12)+FT_AnnivDays+INT(MOD(AW18-FT_Y5,12)/FT_Int2))),IF(AR18="PT",IF(AW18&lt;PT_First,0,1+INT((AW18-PT_First)/PT_Int)),0))-IF(AR18="FT",IF(AY18&lt;FT_First,0,IF(AY18&lt;FT_Y5,1+INT((AY18-FT_First)/FT_Int1),FT_PreY5+FT_PerYear*INT((AY18-FT_Y5)/12)+FT_AnnivDays+INT(MOD(AY18-FT_Y5,12)/FT_Int2))),IF(AR18="PT",IF(AY18&lt;PT_First,0,1+INT((AY18-PT_First)/PT_Int)),0)),0))</f>
        <v>0</v>
      </c>
      <c r="BB18" s="19" t="str">
        <f aca="false">IF(AG18=0,"",IF(AS18="FT",IF(AT18&lt;FT_First,FT_First,IF(AT18&lt;FT_Y5,MIN(FT_Y5,FT_First+FT_Int1*(INT((AT18-FT_First)/FT_Int1)+1)),FT_Y5+12*INT((AT18-FT_Y5)/12)+FT_Int2*(INT(MOD(AT18-FT_Y5,12)/FT_Int2)+1))),IF(AS18="PT",IF(AT18&lt;PT_First,PT_First,PT_First+PT_Int*(INT((AT18-PT_First)/PT_Int)+1)),"")))</f>
        <v/>
      </c>
      <c r="BC18" s="19" t="n">
        <f aca="false">IF(AG18=0,"",IF(NOT(LH_Ready),0,COUNTIFS(INDEX(LH_Data,0,LH_ColFirst),$A18,INDEX(LH_Data,0,LH_ColSur),$B18,INDEX(LH_Data,0,LH_ColCat),BonusCat)))</f>
        <v>0</v>
      </c>
      <c r="BD18" s="19" t="n">
        <f aca="false">IF(AG18=0,"",IF(OR(NOT(LH_Ready),BC18=0),0,SUMPRODUCT(MAX((INDEX(LH_Data,0,LH_ColFirst)=$A18)*(INDEX(LH_Data,0,LH_ColSur)=$B18)*(INDEX(LH_Data,0,LH_ColCat)=BonusCat)*ROW(LH_Data)))))</f>
        <v>0</v>
      </c>
      <c r="BE18" s="19" t="n">
        <f aca="false">IF(AG18=0,"",IF(EOMONTH(AsOfDate,-1)&lt;AH18,-1,12*(YEAR(EOMONTH(AsOfDate,-1))-YEAR(AH18))+MONTH(EOMONTH(AsOfDate,-1))-MONTH(AH18)-IF(DAY(EOMONTH(AsOfDate,-1))&lt;MIN(DAY(AH18),DAY(EOMONTH(EOMONTH(AsOfDate,-1),0))),1,0)))</f>
        <v>34</v>
      </c>
      <c r="BF18" s="19" t="n">
        <f aca="false">IF(AG18=0,"",IF(OR(AI18&lt;2,AK18&gt;EOMONTH(AsOfDate,-1)),BE18,IF((AK18-1)&lt;AH18,-1,12*(YEAR((AK18-1))-YEAR(AH18))+MONTH((AK18-1))-MONTH(AH18)-IF(DAY((AK18-1))&lt;MIN(DAY(AH18),DAY(EOMONTH((AK18-1),0))),1,0))))</f>
        <v>34</v>
      </c>
      <c r="BG18" s="19" t="n">
        <f aca="false">IF(AG18=0,"",IF(OR(AI18&lt;3,AL18&gt;EOMONTH(AsOfDate,-1)),BE18,IF((AL18-1)&lt;AH18,-1,12*(YEAR((AL18-1))-YEAR(AH18))+MONTH((AL18-1))-MONTH(AH18)-IF(DAY((AL18-1))&lt;MIN(DAY(AH18),DAY(EOMONTH((AL18-1),0))),1,0))))</f>
        <v>34</v>
      </c>
      <c r="BH18" s="19" t="n">
        <f aca="false">IF(AG18=0,"",IF(AP18="FT",IF(BF18&lt;FT_First,0,IF(BF18&lt;FT_Y5,1+INT((BF18-FT_First)/FT_Int1),FT_PreY5+FT_PerYear*INT((BF18-FT_Y5)/12)+FT_AnnivDays+INT(MOD(BF18-FT_Y5,12)/FT_Int2))),IF(AP18="PT",IF(BF18&lt;PT_First,0,1+INT((BF18-PT_First)/PT_Int)),0))+IF(AND(AI18&gt;=2,AK18&lt;=EOMONTH(AsOfDate,-1)),IF(AQ18="FT",IF(BG18&lt;FT_First,0,IF(BG18&lt;FT_Y5,1+INT((BG18-FT_First)/FT_Int1),FT_PreY5+FT_PerYear*INT((BG18-FT_Y5)/12)+FT_AnnivDays+INT(MOD(BG18-FT_Y5,12)/FT_Int2))),IF(AQ18="PT",IF(BG18&lt;PT_First,0,1+INT((BG18-PT_First)/PT_Int)),0))-IF(AQ18="FT",IF(BF18&lt;FT_First,0,IF(BF18&lt;FT_Y5,1+INT((BF18-FT_First)/FT_Int1),FT_PreY5+FT_PerYear*INT((BF18-FT_Y5)/12)+FT_AnnivDays+INT(MOD(BF18-FT_Y5,12)/FT_Int2))),IF(AQ18="PT",IF(BF18&lt;PT_First,0,1+INT((BF18-PT_First)/PT_Int)),0)),0)+IF(AND(AI18&gt;=3,AL18&lt;=EOMONTH(AsOfDate,-1)),IF(AR18="FT",IF(BE18&lt;FT_First,0,IF(BE18&lt;FT_Y5,1+INT((BE18-FT_First)/FT_Int1),FT_PreY5+FT_PerYear*INT((BE18-FT_Y5)/12)+FT_AnnivDays+INT(MOD(BE18-FT_Y5,12)/FT_Int2))),IF(AR18="PT",IF(BE18&lt;PT_First,0,1+INT((BE18-PT_First)/PT_Int)),0))-IF(AR18="FT",IF(BG18&lt;FT_First,0,IF(BG18&lt;FT_Y5,1+INT((BG18-FT_First)/FT_Int1),FT_PreY5+FT_PerYear*INT((BG18-FT_Y5)/12)+FT_AnnivDays+INT(MOD(BG18-FT_Y5,12)/FT_Int2))),IF(AR18="PT",IF(BG18&lt;PT_First,0,1+INT((BG18-PT_First)/PT_Int)),0)),0))</f>
        <v>0</v>
      </c>
      <c r="BI18" s="19" t="str">
        <f aca="false">IF(AG18=0,"",IF(AS18="FT",IF(AT18&lt;FT_First,"",IF(AT18&lt;FT_Y5,FT_First+FT_Int1*INT((AT18-FT_First)/FT_Int1),FT_Y5+FT_Int2*INT((AT18-FT_Y5)/FT_Int2))),IF(AS18="PT",IF(AT18&lt;PT_First,"",PT_First+PT_Int*INT((AT18-PT_First)/PT_Int)),"")))</f>
        <v/>
      </c>
      <c r="BJ18" s="0" t="str">
        <f aca="false">IF(LEN($A18&amp;$B18)=0,"",$A18&amp;" "&amp;$B18)</f>
        <v>Damien Suchy</v>
      </c>
    </row>
    <row r="19" customFormat="false" ht="15" hidden="false" customHeight="false" outlineLevel="0" collapsed="false">
      <c r="A19" s="15" t="s">
        <v>166</v>
      </c>
      <c r="B19" s="15" t="s">
        <v>167</v>
      </c>
      <c r="C19" s="15" t="s">
        <v>153</v>
      </c>
      <c r="D19" s="16" t="n">
        <v>31850</v>
      </c>
      <c r="E19" s="17" t="n">
        <f aca="false">IF(OR(AG19=0,$D19=""),"",DATE(YEAR(AsOfDate)+IF(DATE(YEAR(AsOfDate),MONTH($D19),DAY($D19))&lt;=AsOfDate,1,0),MONTH($D19),DAY($D19)))</f>
        <v>46460</v>
      </c>
      <c r="F19" s="16" t="n">
        <v>46253</v>
      </c>
      <c r="G19" s="16"/>
      <c r="H19" s="16"/>
      <c r="I19" s="16" t="n">
        <v>46253</v>
      </c>
      <c r="J19" s="16"/>
      <c r="K19" s="17" t="n">
        <f aca="false">IF(AG19=0,"",DATE(YEAR(AsOfDate)+IF(DATE(YEAR(AsOfDate),MONTH(AH19),DAY(AH19))&lt;=AsOfDate,1,0),MONTH(AH19),DAY(AH19)))</f>
        <v>46618</v>
      </c>
      <c r="L19" s="18" t="n">
        <f aca="false">IF(AG19=0,"",ROUND((AsOfDate-AH19)/365.25,1))</f>
        <v>0.1</v>
      </c>
      <c r="M19" s="19" t="str">
        <f aca="false">IF(AG19=0,"",IF(AsOfDate&lt;AH19,"-",DATEDIF(AH19,AsOfDate,"y")&amp;"y "&amp;DATEDIF(AH19,AsOfDate,"ym")&amp;"m "&amp;DATEDIF(AH19,AsOfDate,"md")&amp;"d"))</f>
        <v>0y 1m 17d</v>
      </c>
      <c r="N19" s="20" t="n">
        <f aca="false">IF(AG19=0,"",O19*HoursPerDay)</f>
        <v>0</v>
      </c>
      <c r="O19" s="20" t="n">
        <f aca="false">IF(AG19=0,"",AZ19)</f>
        <v>0</v>
      </c>
      <c r="P19" s="21"/>
      <c r="Q19" s="19"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19"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17" t="n">
        <f aca="false">IF(AG19=0,"",IF(AS19="None","",EDATE(AH19,BB19)))</f>
        <v>47349</v>
      </c>
      <c r="T19" s="20" t="n">
        <f aca="false">IF(AG19=0,"",IF(NOT(LH_Ready),"",IF(AH19&gt;PFYDate,0,IF(LH_ColPeriod=0,W19-U19+V19,SUMIFS(INDEX(LH_Data,0,LH_ColAcc),INDEX(LH_Data,0,LH_ColFirst),$A19,INDEX(LH_Data,0,LH_ColSur),$B19,INDEX(LH_Data,0,LH_ColCat),BonusCat,INDEX(LH_Data,0,LH_ColPeriod),LH_OpenLabel)*UnitFactor))))</f>
        <v>0</v>
      </c>
      <c r="U19" s="20" t="n">
        <f aca="false">IF(AG19=0,"",IF(NOT(LH_Ready),"",SUMIFS(INDEX(LH_Data,0,LH_ColAcc),INDEX(LH_Data,0,LH_ColFirst),$A19,INDEX(LH_Data,0,LH_ColSur),$B19,INDEX(LH_Data,0,LH_ColCat),BonusCat,INDEX(LH_Data,0,LH_ColStart),"&gt;="&amp;AH19)*UnitFactor))</f>
        <v>0</v>
      </c>
      <c r="V19" s="20" t="n">
        <f aca="false">IF(AG19=0,"",IF(NOT(LH_Ready),"",SUMIFS(INDEX(LH_Data,0,LH_ColTaken),INDEX(LH_Data,0,LH_ColFirst),$A19,INDEX(LH_Data,0,LH_ColSur),$B19,INDEX(LH_Data,0,LH_ColCat),BonusCat,INDEX(LH_Data,0,LH_ColStart),"&gt;="&amp;AH19)*UnitFactor))</f>
        <v>0</v>
      </c>
      <c r="W19" s="20" t="n">
        <f aca="false">IF(AG19=0,"",IF(NOT(LH_Ready),"",IF(BD19=0,0,INDEX(INDEX(LH_Data,0,LH_ColClose),BD19-1)*UnitFactor)))</f>
        <v>0</v>
      </c>
      <c r="X19" s="20" t="n">
        <f aca="false">IF(AG19=0,"",(AZ19-BA19)*HoursPerDay)</f>
        <v>0</v>
      </c>
      <c r="Y19" s="20" t="n">
        <f aca="false">IF(AG19=0,"",IF(NOT(LH_Ready),"",IF(BC19=0,N19,IF(PFYDate&lt;$F19,N19-N(T19)-N(U19),X19-N(U19)))))</f>
        <v>0</v>
      </c>
      <c r="Z19" s="19" t="str">
        <f aca="false">IF(OR(AG19=0,Y19=""),"",IF(Y19&gt;0,"Yes","No"))</f>
        <v>No</v>
      </c>
      <c r="AA19" s="19"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Not yet - first day on 19/08/2029</v>
      </c>
      <c r="AB19" s="20" t="n">
        <f aca="false">IF(OR(AG19=0,T19=""),"",BA19*HoursPerDay-T19)</f>
        <v>0</v>
      </c>
      <c r="AC19" s="19" t="n">
        <f aca="false">IF(AG19=0,"",BC19)</f>
        <v>0</v>
      </c>
      <c r="AD19" s="19"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20" t="n">
        <f aca="false">IF(AG19=0,"",O19-BH19)</f>
        <v>0</v>
      </c>
      <c r="AF19" s="17" t="str">
        <f aca="false">IF(OR(AG19=0,AE19="",N(AE19)=0,BI19=""),"",EDATE(AH19,BI19))</f>
        <v/>
      </c>
      <c r="AG19" s="19" t="n">
        <f aca="false">IF(OR(LEN($A19&amp;$B19)=0,$F19=""),0,1)</f>
        <v>1</v>
      </c>
      <c r="AH19" s="17" t="n">
        <f aca="false">IF(AG19=0,"",IF($J19&lt;&gt;"",$J19,IF(OR(CasualCounts="Yes",COUNT($G19:$I19)=0,COUNT($H19:$I19)=0),$F19,MIN($H19:$I19))))</f>
        <v>46253</v>
      </c>
      <c r="AI19" s="19" t="n">
        <f aca="false">IF(AG19=0,"",COUNT($G19:$I19))</f>
        <v>1</v>
      </c>
      <c r="AJ19" s="17" t="n">
        <f aca="false">IF(AG19=0,"",IFERROR(SMALL($G19:$I19,1),""))</f>
        <v>46253</v>
      </c>
      <c r="AK19" s="17" t="str">
        <f aca="false">IF(AG19=0,"",IFERROR(SMALL($G19:$I19,2),""))</f>
        <v/>
      </c>
      <c r="AL19" s="17" t="str">
        <f aca="false">IF(AG19=0,"",IFERROR(SMALL($G19:$I19,3),""))</f>
        <v/>
      </c>
      <c r="AM19" s="19" t="str">
        <f aca="false">IF(AG19=0,"",IF(AJ19="","",IF(AJ19=$H19,"Part-Time",IF(AJ19=$I19,"Full-Time","Casual"))))</f>
        <v>Full-Time</v>
      </c>
      <c r="AN19" s="19" t="str">
        <f aca="false">IF(AG19=0,"",IF(AK19="","",IF(AK19=$H19,"Part-Time",IF(AK19=$I19,"Full-Time","Casual"))))</f>
        <v/>
      </c>
      <c r="AO19" s="19" t="str">
        <f aca="false">IF(AG19=0,"",IF(AL19="","",IF(AL19=$H19,"Part-Time",IF(AL19=$I19,"Full-Time","Casual"))))</f>
        <v/>
      </c>
      <c r="AP19" s="19"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FT</v>
      </c>
      <c r="AQ19" s="19" t="str">
        <f aca="false">IF(AG19=0,"",IF(AI19&lt;2,"",IF(OR(ISNUMBER(SEARCH("full",AN19)),UPPER(TRIM(AN19))="FT",UPPER(TRIM(AN19))="FTE"),"FT",IF(AND(OR(ISNUMBER(SEARCH("part",AN19)),UPPER(TRIM(AN19))="PT",UPPER(TRIM(AN19))="PTE"),OR($P19="",N($P19)&gt;=PT_MinHours)),"PT","None"))))</f>
        <v/>
      </c>
      <c r="AR19" s="19" t="str">
        <f aca="false">IF(AG19=0,"",IF(AI19&lt;3,"",IF(OR(ISNUMBER(SEARCH("full",AO19)),UPPER(TRIM(AO19))="FT",UPPER(TRIM(AO19))="FTE"),"FT",IF(AND(OR(ISNUMBER(SEARCH("part",AO19)),UPPER(TRIM(AO19))="PT",UPPER(TRIM(AO19))="PTE"),OR($P19="",N($P19)&gt;=PT_MinHours)),"PT","None"))))</f>
        <v/>
      </c>
      <c r="AS19" s="19" t="str">
        <f aca="false">IF(AG19=0,"",IF(AND(AI19&gt;=3,AL19&lt;=AsOfDate),AR19,IF(AND(AI19&gt;=2,AK19&lt;=AsOfDate),AQ19,AP19)))</f>
        <v>FT</v>
      </c>
      <c r="AT19" s="19" t="n">
        <f aca="false">IF(AG19=0,"",IF(AsOfDate&lt;AH19,-1,12*(YEAR(AsOfDate)-YEAR(AH19))+MONTH(AsOfDate)-MONTH(AH19)-IF(DAY(AsOfDate)&lt;MIN(DAY(AH19),DAY(EOMONTH(AsOfDate,0))),1,0)))</f>
        <v>1</v>
      </c>
      <c r="AU19" s="19" t="n">
        <f aca="false">IF(AG19=0,"",IF(OR(AI19&lt;2,AK19&gt;AsOfDate),AT19,IF((AK19-1)&lt;AH19,-1,12*(YEAR((AK19-1))-YEAR(AH19))+MONTH((AK19-1))-MONTH(AH19)-IF(DAY((AK19-1))&lt;MIN(DAY(AH19),DAY(EOMONTH((AK19-1),0))),1,0))))</f>
        <v>1</v>
      </c>
      <c r="AV19" s="19" t="n">
        <f aca="false">IF(AG19=0,"",IF(OR(AI19&lt;3,AL19&gt;AsOfDate),AT19,IF((AL19-1)&lt;AH19,-1,12*(YEAR((AL19-1))-YEAR(AH19))+MONTH((AL19-1))-MONTH(AH19)-IF(DAY((AL19-1))&lt;MIN(DAY(AH19),DAY(EOMONTH((AL19-1),0))),1,0))))</f>
        <v>1</v>
      </c>
      <c r="AW19" s="19" t="n">
        <f aca="false">IF(AG19=0,"",IF(PFYDate&lt;AH19,-1,12*(YEAR(PFYDate)-YEAR(AH19))+MONTH(PFYDate)-MONTH(AH19)-IF(DAY(PFYDate)&lt;MIN(DAY(AH19),DAY(EOMONTH(PFYDate,0))),1,0)))</f>
        <v>-1</v>
      </c>
      <c r="AX19" s="19" t="n">
        <f aca="false">IF(AG19=0,"",IF(OR(AI19&lt;2,AK19&gt;PFYDate),AW19,IF((AK19-1)&lt;AH19,-1,12*(YEAR((AK19-1))-YEAR(AH19))+MONTH((AK19-1))-MONTH(AH19)-IF(DAY((AK19-1))&lt;MIN(DAY(AH19),DAY(EOMONTH((AK19-1),0))),1,0))))</f>
        <v>-1</v>
      </c>
      <c r="AY19" s="19" t="n">
        <f aca="false">IF(AG19=0,"",IF(OR(AI19&lt;3,AL19&gt;PFYDate),AW19,IF((AL19-1)&lt;AH19,-1,12*(YEAR((AL19-1))-YEAR(AH19))+MONTH((AL19-1))-MONTH(AH19)-IF(DAY((AL19-1))&lt;MIN(DAY(AH19),DAY(EOMONTH((AL19-1),0))),1,0))))</f>
        <v>-1</v>
      </c>
      <c r="AZ19" s="19" t="n">
        <f aca="false">IF(AG19=0,"",IF(AP19="FT",IF(AU19&lt;FT_First,0,IF(AU19&lt;FT_Y5,1+INT((AU19-FT_First)/FT_Int1),FT_PreY5+FT_PerYear*INT((AU19-FT_Y5)/12)+FT_AnnivDays+INT(MOD(AU19-FT_Y5,12)/FT_Int2))),IF(AP19="PT",IF(AU19&lt;PT_First,0,1+INT((AU19-PT_First)/PT_Int)),0))+IF(AND(AI19&gt;=2,AK19&lt;=AsOfDate),IF(AQ19="FT",IF(AV19&lt;FT_First,0,IF(AV19&lt;FT_Y5,1+INT((AV19-FT_First)/FT_Int1),FT_PreY5+FT_PerYear*INT((AV19-FT_Y5)/12)+FT_AnnivDays+INT(MOD(AV19-FT_Y5,12)/FT_Int2))),IF(AQ19="PT",IF(AV19&lt;PT_First,0,1+INT((AV19-PT_First)/PT_Int)),0))-IF(AQ19="FT",IF(AU19&lt;FT_First,0,IF(AU19&lt;FT_Y5,1+INT((AU19-FT_First)/FT_Int1),FT_PreY5+FT_PerYear*INT((AU19-FT_Y5)/12)+FT_AnnivDays+INT(MOD(AU19-FT_Y5,12)/FT_Int2))),IF(AQ19="PT",IF(AU19&lt;PT_First,0,1+INT((AU19-PT_First)/PT_Int)),0)),0)+IF(AND(AI19&gt;=3,AL19&lt;=AsOfDate),IF(AR19="FT",IF(AT19&lt;FT_First,0,IF(AT19&lt;FT_Y5,1+INT((AT19-FT_First)/FT_Int1),FT_PreY5+FT_PerYear*INT((AT19-FT_Y5)/12)+FT_AnnivDays+INT(MOD(AT19-FT_Y5,12)/FT_Int2))),IF(AR19="PT",IF(AT19&lt;PT_First,0,1+INT((AT19-PT_First)/PT_Int)),0))-IF(AR19="FT",IF(AV19&lt;FT_First,0,IF(AV19&lt;FT_Y5,1+INT((AV19-FT_First)/FT_Int1),FT_PreY5+FT_PerYear*INT((AV19-FT_Y5)/12)+FT_AnnivDays+INT(MOD(AV19-FT_Y5,12)/FT_Int2))),IF(AR19="PT",IF(AV19&lt;PT_First,0,1+INT((AV19-PT_First)/PT_Int)),0)),0))</f>
        <v>0</v>
      </c>
      <c r="BA19" s="19" t="n">
        <f aca="false">IF(AG19=0,"",IF(AP19="FT",IF(AX19&lt;FT_First,0,IF(AX19&lt;FT_Y5,1+INT((AX19-FT_First)/FT_Int1),FT_PreY5+FT_PerYear*INT((AX19-FT_Y5)/12)+FT_AnnivDays+INT(MOD(AX19-FT_Y5,12)/FT_Int2))),IF(AP19="PT",IF(AX19&lt;PT_First,0,1+INT((AX19-PT_First)/PT_Int)),0))+IF(AND(AI19&gt;=2,AK19&lt;=PFYDate),IF(AQ19="FT",IF(AY19&lt;FT_First,0,IF(AY19&lt;FT_Y5,1+INT((AY19-FT_First)/FT_Int1),FT_PreY5+FT_PerYear*INT((AY19-FT_Y5)/12)+FT_AnnivDays+INT(MOD(AY19-FT_Y5,12)/FT_Int2))),IF(AQ19="PT",IF(AY19&lt;PT_First,0,1+INT((AY19-PT_First)/PT_Int)),0))-IF(AQ19="FT",IF(AX19&lt;FT_First,0,IF(AX19&lt;FT_Y5,1+INT((AX19-FT_First)/FT_Int1),FT_PreY5+FT_PerYear*INT((AX19-FT_Y5)/12)+FT_AnnivDays+INT(MOD(AX19-FT_Y5,12)/FT_Int2))),IF(AQ19="PT",IF(AX19&lt;PT_First,0,1+INT((AX19-PT_First)/PT_Int)),0)),0)+IF(AND(AI19&gt;=3,AL19&lt;=PFYDate),IF(AR19="FT",IF(AW19&lt;FT_First,0,IF(AW19&lt;FT_Y5,1+INT((AW19-FT_First)/FT_Int1),FT_PreY5+FT_PerYear*INT((AW19-FT_Y5)/12)+FT_AnnivDays+INT(MOD(AW19-FT_Y5,12)/FT_Int2))),IF(AR19="PT",IF(AW19&lt;PT_First,0,1+INT((AW19-PT_First)/PT_Int)),0))-IF(AR19="FT",IF(AY19&lt;FT_First,0,IF(AY19&lt;FT_Y5,1+INT((AY19-FT_First)/FT_Int1),FT_PreY5+FT_PerYear*INT((AY19-FT_Y5)/12)+FT_AnnivDays+INT(MOD(AY19-FT_Y5,12)/FT_Int2))),IF(AR19="PT",IF(AY19&lt;PT_First,0,1+INT((AY19-PT_First)/PT_Int)),0)),0))</f>
        <v>0</v>
      </c>
      <c r="BB19" s="19" t="n">
        <f aca="false">IF(AG19=0,"",IF(AS19="FT",IF(AT19&lt;FT_First,FT_First,IF(AT19&lt;FT_Y5,MIN(FT_Y5,FT_First+FT_Int1*(INT((AT19-FT_First)/FT_Int1)+1)),FT_Y5+12*INT((AT19-FT_Y5)/12)+FT_Int2*(INT(MOD(AT19-FT_Y5,12)/FT_Int2)+1))),IF(AS19="PT",IF(AT19&lt;PT_First,PT_First,PT_First+PT_Int*(INT((AT19-PT_First)/PT_Int)+1)),"")))</f>
        <v>36</v>
      </c>
      <c r="BC19" s="19" t="n">
        <f aca="false">IF(AG19=0,"",IF(NOT(LH_Ready),0,COUNTIFS(INDEX(LH_Data,0,LH_ColFirst),$A19,INDEX(LH_Data,0,LH_ColSur),$B19,INDEX(LH_Data,0,LH_ColCat),BonusCat)))</f>
        <v>0</v>
      </c>
      <c r="BD19" s="19" t="n">
        <f aca="false">IF(AG19=0,"",IF(OR(NOT(LH_Ready),BC19=0),0,SUMPRODUCT(MAX((INDEX(LH_Data,0,LH_ColFirst)=$A19)*(INDEX(LH_Data,0,LH_ColSur)=$B19)*(INDEX(LH_Data,0,LH_ColCat)=BonusCat)*ROW(LH_Data)))))</f>
        <v>0</v>
      </c>
      <c r="BE19" s="19" t="n">
        <f aca="false">IF(AG19=0,"",IF(EOMONTH(AsOfDate,-1)&lt;AH19,-1,12*(YEAR(EOMONTH(AsOfDate,-1))-YEAR(AH19))+MONTH(EOMONTH(AsOfDate,-1))-MONTH(AH19)-IF(DAY(EOMONTH(AsOfDate,-1))&lt;MIN(DAY(AH19),DAY(EOMONTH(EOMONTH(AsOfDate,-1),0))),1,0)))</f>
        <v>1</v>
      </c>
      <c r="BF19" s="19" t="n">
        <f aca="false">IF(AG19=0,"",IF(OR(AI19&lt;2,AK19&gt;EOMONTH(AsOfDate,-1)),BE19,IF((AK19-1)&lt;AH19,-1,12*(YEAR((AK19-1))-YEAR(AH19))+MONTH((AK19-1))-MONTH(AH19)-IF(DAY((AK19-1))&lt;MIN(DAY(AH19),DAY(EOMONTH((AK19-1),0))),1,0))))</f>
        <v>1</v>
      </c>
      <c r="BG19" s="19" t="n">
        <f aca="false">IF(AG19=0,"",IF(OR(AI19&lt;3,AL19&gt;EOMONTH(AsOfDate,-1)),BE19,IF((AL19-1)&lt;AH19,-1,12*(YEAR((AL19-1))-YEAR(AH19))+MONTH((AL19-1))-MONTH(AH19)-IF(DAY((AL19-1))&lt;MIN(DAY(AH19),DAY(EOMONTH((AL19-1),0))),1,0))))</f>
        <v>1</v>
      </c>
      <c r="BH19" s="19" t="n">
        <f aca="false">IF(AG19=0,"",IF(AP19="FT",IF(BF19&lt;FT_First,0,IF(BF19&lt;FT_Y5,1+INT((BF19-FT_First)/FT_Int1),FT_PreY5+FT_PerYear*INT((BF19-FT_Y5)/12)+FT_AnnivDays+INT(MOD(BF19-FT_Y5,12)/FT_Int2))),IF(AP19="PT",IF(BF19&lt;PT_First,0,1+INT((BF19-PT_First)/PT_Int)),0))+IF(AND(AI19&gt;=2,AK19&lt;=EOMONTH(AsOfDate,-1)),IF(AQ19="FT",IF(BG19&lt;FT_First,0,IF(BG19&lt;FT_Y5,1+INT((BG19-FT_First)/FT_Int1),FT_PreY5+FT_PerYear*INT((BG19-FT_Y5)/12)+FT_AnnivDays+INT(MOD(BG19-FT_Y5,12)/FT_Int2))),IF(AQ19="PT",IF(BG19&lt;PT_First,0,1+INT((BG19-PT_First)/PT_Int)),0))-IF(AQ19="FT",IF(BF19&lt;FT_First,0,IF(BF19&lt;FT_Y5,1+INT((BF19-FT_First)/FT_Int1),FT_PreY5+FT_PerYear*INT((BF19-FT_Y5)/12)+FT_AnnivDays+INT(MOD(BF19-FT_Y5,12)/FT_Int2))),IF(AQ19="PT",IF(BF19&lt;PT_First,0,1+INT((BF19-PT_First)/PT_Int)),0)),0)+IF(AND(AI19&gt;=3,AL19&lt;=EOMONTH(AsOfDate,-1)),IF(AR19="FT",IF(BE19&lt;FT_First,0,IF(BE19&lt;FT_Y5,1+INT((BE19-FT_First)/FT_Int1),FT_PreY5+FT_PerYear*INT((BE19-FT_Y5)/12)+FT_AnnivDays+INT(MOD(BE19-FT_Y5,12)/FT_Int2))),IF(AR19="PT",IF(BE19&lt;PT_First,0,1+INT((BE19-PT_First)/PT_Int)),0))-IF(AR19="FT",IF(BG19&lt;FT_First,0,IF(BG19&lt;FT_Y5,1+INT((BG19-FT_First)/FT_Int1),FT_PreY5+FT_PerYear*INT((BG19-FT_Y5)/12)+FT_AnnivDays+INT(MOD(BG19-FT_Y5,12)/FT_Int2))),IF(AR19="PT",IF(BG19&lt;PT_First,0,1+INT((BG19-PT_First)/PT_Int)),0)),0))</f>
        <v>0</v>
      </c>
      <c r="BI19" s="19" t="str">
        <f aca="false">IF(AG19=0,"",IF(AS19="FT",IF(AT19&lt;FT_First,"",IF(AT19&lt;FT_Y5,FT_First+FT_Int1*INT((AT19-FT_First)/FT_Int1),FT_Y5+FT_Int2*INT((AT19-FT_Y5)/FT_Int2))),IF(AS19="PT",IF(AT19&lt;PT_First,"",PT_First+PT_Int*INT((AT19-PT_First)/PT_Int)),"")))</f>
        <v/>
      </c>
      <c r="BJ19" s="0" t="str">
        <f aca="false">IF(LEN($A19&amp;$B19)=0,"",$A19&amp;" "&amp;$B19)</f>
        <v>Danica Nelson</v>
      </c>
    </row>
    <row r="20" customFormat="false" ht="15" hidden="false" customHeight="false" outlineLevel="0" collapsed="false">
      <c r="A20" s="15" t="s">
        <v>168</v>
      </c>
      <c r="B20" s="15" t="s">
        <v>169</v>
      </c>
      <c r="C20" s="15" t="s">
        <v>153</v>
      </c>
      <c r="D20" s="16" t="n">
        <v>32353</v>
      </c>
      <c r="E20" s="17" t="n">
        <f aca="false">IF(OR(AG20=0,$D20=""),"",DATE(YEAR(AsOfDate)+IF(DATE(YEAR(AsOfDate),MONTH($D20),DAY($D20))&lt;=AsOfDate,1,0),MONTH($D20),DAY($D20)))</f>
        <v>46597</v>
      </c>
      <c r="F20" s="16" t="n">
        <v>41484</v>
      </c>
      <c r="G20" s="16"/>
      <c r="H20" s="16"/>
      <c r="I20" s="16" t="n">
        <v>41484</v>
      </c>
      <c r="J20" s="16"/>
      <c r="K20" s="17" t="n">
        <f aca="false">IF(AG20=0,"",DATE(YEAR(AsOfDate)+IF(DATE(YEAR(AsOfDate),MONTH(AH20),DAY(AH20))&lt;=AsOfDate,1,0),MONTH(AH20),DAY(AH20)))</f>
        <v>46597</v>
      </c>
      <c r="L20" s="18" t="n">
        <f aca="false">IF(AG20=0,"",ROUND((AsOfDate-AH20)/365.25,1))</f>
        <v>13.2</v>
      </c>
      <c r="M20" s="19" t="str">
        <f aca="false">IF(AG20=0,"",IF(AsOfDate&lt;AH20,"-",DATEDIF(AH20,AsOfDate,"y")&amp;"y "&amp;DATEDIF(AH20,AsOfDate,"ym")&amp;"m "&amp;DATEDIF(AH20,AsOfDate,"md")&amp;"d"))</f>
        <v>13y 2m 7d</v>
      </c>
      <c r="N20" s="20" t="n">
        <f aca="false">IF(AG20=0,"",O20*HoursPerDay)</f>
        <v>384</v>
      </c>
      <c r="O20" s="20" t="n">
        <f aca="false">IF(AG20=0,"",AZ20)</f>
        <v>48</v>
      </c>
      <c r="P20" s="21"/>
      <c r="Q20" s="19"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19"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17" t="n">
        <f aca="false">IF(AG20=0,"",IF(AS20="None","",EDATE(AH20,BB20)))</f>
        <v>46324</v>
      </c>
      <c r="T20" s="20" t="n">
        <f aca="false">IF(AG20=0,"",IF(NOT(LH_Ready),"",IF(AH20&gt;PFYDate,0,IF(LH_ColPeriod=0,W20-U20+V20,SUMIFS(INDEX(LH_Data,0,LH_ColAcc),INDEX(LH_Data,0,LH_ColFirst),$A20,INDEX(LH_Data,0,LH_ColSur),$B20,INDEX(LH_Data,0,LH_ColCat),BonusCat,INDEX(LH_Data,0,LH_ColPeriod),LH_OpenLabel)*UnitFactor))))</f>
        <v>80</v>
      </c>
      <c r="U20" s="20" t="n">
        <f aca="false">IF(AG20=0,"",IF(NOT(LH_Ready),"",SUMIFS(INDEX(LH_Data,0,LH_ColAcc),INDEX(LH_Data,0,LH_ColFirst),$A20,INDEX(LH_Data,0,LH_ColSur),$B20,INDEX(LH_Data,0,LH_ColCat),BonusCat,INDEX(LH_Data,0,LH_ColStart),"&gt;="&amp;AH20)*UnitFactor))</f>
        <v>160</v>
      </c>
      <c r="V20" s="20" t="n">
        <f aca="false">IF(AG20=0,"",IF(NOT(LH_Ready),"",SUMIFS(INDEX(LH_Data,0,LH_ColTaken),INDEX(LH_Data,0,LH_ColFirst),$A20,INDEX(LH_Data,0,LH_ColSur),$B20,INDEX(LH_Data,0,LH_ColCat),BonusCat,INDEX(LH_Data,0,LH_ColStart),"&gt;="&amp;AH20)*UnitFactor))</f>
        <v>32</v>
      </c>
      <c r="W20" s="20" t="n">
        <f aca="false">IF(AG20=0,"",IF(NOT(LH_Ready),"",IF(BD20=0,0,INDEX(INDEX(LH_Data,0,LH_ColClose),BD20-1)*UnitFactor)))</f>
        <v>208</v>
      </c>
      <c r="X20" s="20" t="n">
        <f aca="false">IF(AG20=0,"",(AZ20-BA20)*HoursPerDay)</f>
        <v>296</v>
      </c>
      <c r="Y20" s="20" t="n">
        <f aca="false">IF(AG20=0,"",IF(NOT(LH_Ready),"",IF(BC20=0,N20,IF(PFYDate&lt;$F20,N20-N(T20)-N(U20),X20-N(U20)))))</f>
        <v>136</v>
      </c>
      <c r="Z20" s="19" t="str">
        <f aca="false">IF(OR(AG20=0,Y20=""),"",IF(Y20&gt;0,"Yes","No"))</f>
        <v>Yes</v>
      </c>
      <c r="AA20" s="19"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ACCRUE 136 hrs (17 days): all catch-up from earlier months, nothing new this month</v>
      </c>
      <c r="AB20" s="20" t="n">
        <f aca="false">IF(OR(AG20=0,T20=""),"",BA20*HoursPerDay-T20)</f>
        <v>8</v>
      </c>
      <c r="AC20" s="19" t="n">
        <f aca="false">IF(AG20=0,"",BC20)</f>
        <v>17</v>
      </c>
      <c r="AD20" s="19"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20" t="n">
        <f aca="false">IF(AG20=0,"",O20-BH20)</f>
        <v>0</v>
      </c>
      <c r="AF20" s="17" t="str">
        <f aca="false">IF(OR(AG20=0,AE20="",N(AE20)=0,BI20=""),"",EDATE(AH20,BI20))</f>
        <v/>
      </c>
      <c r="AG20" s="19" t="n">
        <f aca="false">IF(OR(LEN($A20&amp;$B20)=0,$F20=""),0,1)</f>
        <v>1</v>
      </c>
      <c r="AH20" s="17" t="n">
        <f aca="false">IF(AG20=0,"",IF($J20&lt;&gt;"",$J20,IF(OR(CasualCounts="Yes",COUNT($G20:$I20)=0,COUNT($H20:$I20)=0),$F20,MIN($H20:$I20))))</f>
        <v>41484</v>
      </c>
      <c r="AI20" s="19" t="n">
        <f aca="false">IF(AG20=0,"",COUNT($G20:$I20))</f>
        <v>1</v>
      </c>
      <c r="AJ20" s="17" t="n">
        <f aca="false">IF(AG20=0,"",IFERROR(SMALL($G20:$I20,1),""))</f>
        <v>41484</v>
      </c>
      <c r="AK20" s="17" t="str">
        <f aca="false">IF(AG20=0,"",IFERROR(SMALL($G20:$I20,2),""))</f>
        <v/>
      </c>
      <c r="AL20" s="17" t="str">
        <f aca="false">IF(AG20=0,"",IFERROR(SMALL($G20:$I20,3),""))</f>
        <v/>
      </c>
      <c r="AM20" s="19" t="str">
        <f aca="false">IF(AG20=0,"",IF(AJ20="","",IF(AJ20=$H20,"Part-Time",IF(AJ20=$I20,"Full-Time","Casual"))))</f>
        <v>Full-Time</v>
      </c>
      <c r="AN20" s="19" t="str">
        <f aca="false">IF(AG20=0,"",IF(AK20="","",IF(AK20=$H20,"Part-Time",IF(AK20=$I20,"Full-Time","Casual"))))</f>
        <v/>
      </c>
      <c r="AO20" s="19" t="str">
        <f aca="false">IF(AG20=0,"",IF(AL20="","",IF(AL20=$H20,"Part-Time",IF(AL20=$I20,"Full-Time","Casual"))))</f>
        <v/>
      </c>
      <c r="AP20" s="19"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FT</v>
      </c>
      <c r="AQ20" s="19" t="str">
        <f aca="false">IF(AG20=0,"",IF(AI20&lt;2,"",IF(OR(ISNUMBER(SEARCH("full",AN20)),UPPER(TRIM(AN20))="FT",UPPER(TRIM(AN20))="FTE"),"FT",IF(AND(OR(ISNUMBER(SEARCH("part",AN20)),UPPER(TRIM(AN20))="PT",UPPER(TRIM(AN20))="PTE"),OR($P20="",N($P20)&gt;=PT_MinHours)),"PT","None"))))</f>
        <v/>
      </c>
      <c r="AR20" s="19" t="str">
        <f aca="false">IF(AG20=0,"",IF(AI20&lt;3,"",IF(OR(ISNUMBER(SEARCH("full",AO20)),UPPER(TRIM(AO20))="FT",UPPER(TRIM(AO20))="FTE"),"FT",IF(AND(OR(ISNUMBER(SEARCH("part",AO20)),UPPER(TRIM(AO20))="PT",UPPER(TRIM(AO20))="PTE"),OR($P20="",N($P20)&gt;=PT_MinHours)),"PT","None"))))</f>
        <v/>
      </c>
      <c r="AS20" s="19" t="str">
        <f aca="false">IF(AG20=0,"",IF(AND(AI20&gt;=3,AL20&lt;=AsOfDate),AR20,IF(AND(AI20&gt;=2,AK20&lt;=AsOfDate),AQ20,AP20)))</f>
        <v>FT</v>
      </c>
      <c r="AT20" s="19" t="n">
        <f aca="false">IF(AG20=0,"",IF(AsOfDate&lt;AH20,-1,12*(YEAR(AsOfDate)-YEAR(AH20))+MONTH(AsOfDate)-MONTH(AH20)-IF(DAY(AsOfDate)&lt;MIN(DAY(AH20),DAY(EOMONTH(AsOfDate,0))),1,0)))</f>
        <v>158</v>
      </c>
      <c r="AU20" s="19" t="n">
        <f aca="false">IF(AG20=0,"",IF(OR(AI20&lt;2,AK20&gt;AsOfDate),AT20,IF((AK20-1)&lt;AH20,-1,12*(YEAR((AK20-1))-YEAR(AH20))+MONTH((AK20-1))-MONTH(AH20)-IF(DAY((AK20-1))&lt;MIN(DAY(AH20),DAY(EOMONTH((AK20-1),0))),1,0))))</f>
        <v>158</v>
      </c>
      <c r="AV20" s="19" t="n">
        <f aca="false">IF(AG20=0,"",IF(OR(AI20&lt;3,AL20&gt;AsOfDate),AT20,IF((AL20-1)&lt;AH20,-1,12*(YEAR((AL20-1))-YEAR(AH20))+MONTH((AL20-1))-MONTH(AH20)-IF(DAY((AL20-1))&lt;MIN(DAY(AH20),DAY(EOMONTH((AL20-1),0))),1,0))))</f>
        <v>158</v>
      </c>
      <c r="AW20" s="19" t="n">
        <f aca="false">IF(AG20=0,"",IF(PFYDate&lt;AH20,-1,12*(YEAR(PFYDate)-YEAR(AH20))+MONTH(PFYDate)-MONTH(AH20)-IF(DAY(PFYDate)&lt;MIN(DAY(AH20),DAY(EOMONTH(PFYDate,0))),1,0)))</f>
        <v>71</v>
      </c>
      <c r="AX20" s="19" t="n">
        <f aca="false">IF(AG20=0,"",IF(OR(AI20&lt;2,AK20&gt;PFYDate),AW20,IF((AK20-1)&lt;AH20,-1,12*(YEAR((AK20-1))-YEAR(AH20))+MONTH((AK20-1))-MONTH(AH20)-IF(DAY((AK20-1))&lt;MIN(DAY(AH20),DAY(EOMONTH((AK20-1),0))),1,0))))</f>
        <v>71</v>
      </c>
      <c r="AY20" s="19" t="n">
        <f aca="false">IF(AG20=0,"",IF(OR(AI20&lt;3,AL20&gt;PFYDate),AW20,IF((AL20-1)&lt;AH20,-1,12*(YEAR((AL20-1))-YEAR(AH20))+MONTH((AL20-1))-MONTH(AH20)-IF(DAY((AL20-1))&lt;MIN(DAY(AH20),DAY(EOMONTH((AL20-1),0))),1,0))))</f>
        <v>71</v>
      </c>
      <c r="AZ20" s="19" t="n">
        <f aca="false">IF(AG20=0,"",IF(AP20="FT",IF(AU20&lt;FT_First,0,IF(AU20&lt;FT_Y5,1+INT((AU20-FT_First)/FT_Int1),FT_PreY5+FT_PerYear*INT((AU20-FT_Y5)/12)+FT_AnnivDays+INT(MOD(AU20-FT_Y5,12)/FT_Int2))),IF(AP20="PT",IF(AU20&lt;PT_First,0,1+INT((AU20-PT_First)/PT_Int)),0))+IF(AND(AI20&gt;=2,AK20&lt;=AsOfDate),IF(AQ20="FT",IF(AV20&lt;FT_First,0,IF(AV20&lt;FT_Y5,1+INT((AV20-FT_First)/FT_Int1),FT_PreY5+FT_PerYear*INT((AV20-FT_Y5)/12)+FT_AnnivDays+INT(MOD(AV20-FT_Y5,12)/FT_Int2))),IF(AQ20="PT",IF(AV20&lt;PT_First,0,1+INT((AV20-PT_First)/PT_Int)),0))-IF(AQ20="FT",IF(AU20&lt;FT_First,0,IF(AU20&lt;FT_Y5,1+INT((AU20-FT_First)/FT_Int1),FT_PreY5+FT_PerYear*INT((AU20-FT_Y5)/12)+FT_AnnivDays+INT(MOD(AU20-FT_Y5,12)/FT_Int2))),IF(AQ20="PT",IF(AU20&lt;PT_First,0,1+INT((AU20-PT_First)/PT_Int)),0)),0)+IF(AND(AI20&gt;=3,AL20&lt;=AsOfDate),IF(AR20="FT",IF(AT20&lt;FT_First,0,IF(AT20&lt;FT_Y5,1+INT((AT20-FT_First)/FT_Int1),FT_PreY5+FT_PerYear*INT((AT20-FT_Y5)/12)+FT_AnnivDays+INT(MOD(AT20-FT_Y5,12)/FT_Int2))),IF(AR20="PT",IF(AT20&lt;PT_First,0,1+INT((AT20-PT_First)/PT_Int)),0))-IF(AR20="FT",IF(AV20&lt;FT_First,0,IF(AV20&lt;FT_Y5,1+INT((AV20-FT_First)/FT_Int1),FT_PreY5+FT_PerYear*INT((AV20-FT_Y5)/12)+FT_AnnivDays+INT(MOD(AV20-FT_Y5,12)/FT_Int2))),IF(AR20="PT",IF(AV20&lt;PT_First,0,1+INT((AV20-PT_First)/PT_Int)),0)),0))</f>
        <v>48</v>
      </c>
      <c r="BA20" s="19" t="n">
        <f aca="false">IF(AG20=0,"",IF(AP20="FT",IF(AX20&lt;FT_First,0,IF(AX20&lt;FT_Y5,1+INT((AX20-FT_First)/FT_Int1),FT_PreY5+FT_PerYear*INT((AX20-FT_Y5)/12)+FT_AnnivDays+INT(MOD(AX20-FT_Y5,12)/FT_Int2))),IF(AP20="PT",IF(AX20&lt;PT_First,0,1+INT((AX20-PT_First)/PT_Int)),0))+IF(AND(AI20&gt;=2,AK20&lt;=PFYDate),IF(AQ20="FT",IF(AY20&lt;FT_First,0,IF(AY20&lt;FT_Y5,1+INT((AY20-FT_First)/FT_Int1),FT_PreY5+FT_PerYear*INT((AY20-FT_Y5)/12)+FT_AnnivDays+INT(MOD(AY20-FT_Y5,12)/FT_Int2))),IF(AQ20="PT",IF(AY20&lt;PT_First,0,1+INT((AY20-PT_First)/PT_Int)),0))-IF(AQ20="FT",IF(AX20&lt;FT_First,0,IF(AX20&lt;FT_Y5,1+INT((AX20-FT_First)/FT_Int1),FT_PreY5+FT_PerYear*INT((AX20-FT_Y5)/12)+FT_AnnivDays+INT(MOD(AX20-FT_Y5,12)/FT_Int2))),IF(AQ20="PT",IF(AX20&lt;PT_First,0,1+INT((AX20-PT_First)/PT_Int)),0)),0)+IF(AND(AI20&gt;=3,AL20&lt;=PFYDate),IF(AR20="FT",IF(AW20&lt;FT_First,0,IF(AW20&lt;FT_Y5,1+INT((AW20-FT_First)/FT_Int1),FT_PreY5+FT_PerYear*INT((AW20-FT_Y5)/12)+FT_AnnivDays+INT(MOD(AW20-FT_Y5,12)/FT_Int2))),IF(AR20="PT",IF(AW20&lt;PT_First,0,1+INT((AW20-PT_First)/PT_Int)),0))-IF(AR20="FT",IF(AY20&lt;FT_First,0,IF(AY20&lt;FT_Y5,1+INT((AY20-FT_First)/FT_Int1),FT_PreY5+FT_PerYear*INT((AY20-FT_Y5)/12)+FT_AnnivDays+INT(MOD(AY20-FT_Y5,12)/FT_Int2))),IF(AR20="PT",IF(AY20&lt;PT_First,0,1+INT((AY20-PT_First)/PT_Int)),0)),0))</f>
        <v>11</v>
      </c>
      <c r="BB20" s="19" t="n">
        <f aca="false">IF(AG20=0,"",IF(AS20="FT",IF(AT20&lt;FT_First,FT_First,IF(AT20&lt;FT_Y5,MIN(FT_Y5,FT_First+FT_Int1*(INT((AT20-FT_First)/FT_Int1)+1)),FT_Y5+12*INT((AT20-FT_Y5)/12)+FT_Int2*(INT(MOD(AT20-FT_Y5,12)/FT_Int2)+1))),IF(AS20="PT",IF(AT20&lt;PT_First,PT_First,PT_First+PT_Int*(INT((AT20-PT_First)/PT_Int)+1)),"")))</f>
        <v>159</v>
      </c>
      <c r="BC20" s="19" t="n">
        <f aca="false">IF(AG20=0,"",IF(NOT(LH_Ready),0,COUNTIFS(INDEX(LH_Data,0,LH_ColFirst),$A20,INDEX(LH_Data,0,LH_ColSur),$B20,INDEX(LH_Data,0,LH_ColCat),BonusCat)))</f>
        <v>17</v>
      </c>
      <c r="BD20" s="19" t="n">
        <f aca="false">IF(AG20=0,"",IF(OR(NOT(LH_Ready),BC20=0),0,SUMPRODUCT(MAX((INDEX(LH_Data,0,LH_ColFirst)=$A20)*(INDEX(LH_Data,0,LH_ColSur)=$B20)*(INDEX(LH_Data,0,LH_ColCat)=BonusCat)*ROW(LH_Data)))))</f>
        <v>49</v>
      </c>
      <c r="BE20" s="19" t="n">
        <f aca="false">IF(AG20=0,"",IF(EOMONTH(AsOfDate,-1)&lt;AH20,-1,12*(YEAR(EOMONTH(AsOfDate,-1))-YEAR(AH20))+MONTH(EOMONTH(AsOfDate,-1))-MONTH(AH20)-IF(DAY(EOMONTH(AsOfDate,-1))&lt;MIN(DAY(AH20),DAY(EOMONTH(EOMONTH(AsOfDate,-1),0))),1,0)))</f>
        <v>158</v>
      </c>
      <c r="BF20" s="19" t="n">
        <f aca="false">IF(AG20=0,"",IF(OR(AI20&lt;2,AK20&gt;EOMONTH(AsOfDate,-1)),BE20,IF((AK20-1)&lt;AH20,-1,12*(YEAR((AK20-1))-YEAR(AH20))+MONTH((AK20-1))-MONTH(AH20)-IF(DAY((AK20-1))&lt;MIN(DAY(AH20),DAY(EOMONTH((AK20-1),0))),1,0))))</f>
        <v>158</v>
      </c>
      <c r="BG20" s="19" t="n">
        <f aca="false">IF(AG20=0,"",IF(OR(AI20&lt;3,AL20&gt;EOMONTH(AsOfDate,-1)),BE20,IF((AL20-1)&lt;AH20,-1,12*(YEAR((AL20-1))-YEAR(AH20))+MONTH((AL20-1))-MONTH(AH20)-IF(DAY((AL20-1))&lt;MIN(DAY(AH20),DAY(EOMONTH((AL20-1),0))),1,0))))</f>
        <v>158</v>
      </c>
      <c r="BH20" s="19" t="n">
        <f aca="false">IF(AG20=0,"",IF(AP20="FT",IF(BF20&lt;FT_First,0,IF(BF20&lt;FT_Y5,1+INT((BF20-FT_First)/FT_Int1),FT_PreY5+FT_PerYear*INT((BF20-FT_Y5)/12)+FT_AnnivDays+INT(MOD(BF20-FT_Y5,12)/FT_Int2))),IF(AP20="PT",IF(BF20&lt;PT_First,0,1+INT((BF20-PT_First)/PT_Int)),0))+IF(AND(AI20&gt;=2,AK20&lt;=EOMONTH(AsOfDate,-1)),IF(AQ20="FT",IF(BG20&lt;FT_First,0,IF(BG20&lt;FT_Y5,1+INT((BG20-FT_First)/FT_Int1),FT_PreY5+FT_PerYear*INT((BG20-FT_Y5)/12)+FT_AnnivDays+INT(MOD(BG20-FT_Y5,12)/FT_Int2))),IF(AQ20="PT",IF(BG20&lt;PT_First,0,1+INT((BG20-PT_First)/PT_Int)),0))-IF(AQ20="FT",IF(BF20&lt;FT_First,0,IF(BF20&lt;FT_Y5,1+INT((BF20-FT_First)/FT_Int1),FT_PreY5+FT_PerYear*INT((BF20-FT_Y5)/12)+FT_AnnivDays+INT(MOD(BF20-FT_Y5,12)/FT_Int2))),IF(AQ20="PT",IF(BF20&lt;PT_First,0,1+INT((BF20-PT_First)/PT_Int)),0)),0)+IF(AND(AI20&gt;=3,AL20&lt;=EOMONTH(AsOfDate,-1)),IF(AR20="FT",IF(BE20&lt;FT_First,0,IF(BE20&lt;FT_Y5,1+INT((BE20-FT_First)/FT_Int1),FT_PreY5+FT_PerYear*INT((BE20-FT_Y5)/12)+FT_AnnivDays+INT(MOD(BE20-FT_Y5,12)/FT_Int2))),IF(AR20="PT",IF(BE20&lt;PT_First,0,1+INT((BE20-PT_First)/PT_Int)),0))-IF(AR20="FT",IF(BG20&lt;FT_First,0,IF(BG20&lt;FT_Y5,1+INT((BG20-FT_First)/FT_Int1),FT_PreY5+FT_PerYear*INT((BG20-FT_Y5)/12)+FT_AnnivDays+INT(MOD(BG20-FT_Y5,12)/FT_Int2))),IF(AR20="PT",IF(BG20&lt;PT_First,0,1+INT((BG20-PT_First)/PT_Int)),0)),0))</f>
        <v>48</v>
      </c>
      <c r="BI20" s="19" t="n">
        <f aca="false">IF(AG20=0,"",IF(AS20="FT",IF(AT20&lt;FT_First,"",IF(AT20&lt;FT_Y5,FT_First+FT_Int1*INT((AT20-FT_First)/FT_Int1),FT_Y5+FT_Int2*INT((AT20-FT_Y5)/FT_Int2))),IF(AS20="PT",IF(AT20&lt;PT_First,"",PT_First+PT_Int*INT((AT20-PT_First)/PT_Int)),"")))</f>
        <v>156</v>
      </c>
      <c r="BJ20" s="0" t="str">
        <f aca="false">IF(LEN($A20&amp;$B20)=0,"",$A20&amp;" "&amp;$B20)</f>
        <v>Daniel SOBKOWSKI</v>
      </c>
    </row>
    <row r="21" customFormat="false" ht="15" hidden="false" customHeight="false" outlineLevel="0" collapsed="false">
      <c r="A21" s="15" t="s">
        <v>170</v>
      </c>
      <c r="B21" s="15" t="s">
        <v>171</v>
      </c>
      <c r="C21" s="15" t="s">
        <v>153</v>
      </c>
      <c r="D21" s="16" t="n">
        <v>36054</v>
      </c>
      <c r="E21" s="17" t="n">
        <f aca="false">IF(OR(AG21=0,$D21=""),"",DATE(YEAR(AsOfDate)+IF(DATE(YEAR(AsOfDate),MONTH($D21),DAY($D21))&lt;=AsOfDate,1,0),MONTH($D21),DAY($D21)))</f>
        <v>46646</v>
      </c>
      <c r="F21" s="16" t="n">
        <v>44312</v>
      </c>
      <c r="G21" s="16"/>
      <c r="H21" s="16"/>
      <c r="I21" s="16" t="n">
        <v>44312</v>
      </c>
      <c r="J21" s="16"/>
      <c r="K21" s="17" t="n">
        <f aca="false">IF(AG21=0,"",DATE(YEAR(AsOfDate)+IF(DATE(YEAR(AsOfDate),MONTH(AH21),DAY(AH21))&lt;=AsOfDate,1,0),MONTH(AH21),DAY(AH21)))</f>
        <v>46503</v>
      </c>
      <c r="L21" s="18" t="n">
        <f aca="false">IF(AG21=0,"",ROUND((AsOfDate-AH21)/365.25,1))</f>
        <v>5.4</v>
      </c>
      <c r="M21" s="19" t="str">
        <f aca="false">IF(AG21=0,"",IF(AsOfDate&lt;AH21,"-",DATEDIF(AH21,AsOfDate,"y")&amp;"y "&amp;DATEDIF(AH21,AsOfDate,"ym")&amp;"m "&amp;DATEDIF(AH21,AsOfDate,"md")&amp;"d"))</f>
        <v>5y 5m 10d</v>
      </c>
      <c r="N21" s="20" t="n">
        <f aca="false">IF(AG21=0,"",O21*HoursPerDay)</f>
        <v>72</v>
      </c>
      <c r="O21" s="20" t="n">
        <f aca="false">IF(AG21=0,"",AZ21)</f>
        <v>9</v>
      </c>
      <c r="P21" s="21"/>
      <c r="Q21" s="19"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19"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17" t="n">
        <f aca="false">IF(AG21=0,"",IF(AS21="None","",EDATE(AH21,BB21)))</f>
        <v>46321</v>
      </c>
      <c r="T21" s="20" t="n">
        <f aca="false">IF(AG21=0,"",IF(NOT(LH_Ready),"",IF(AH21&gt;PFYDate,0,IF(LH_ColPeriod=0,W21-U21+V21,SUMIFS(INDEX(LH_Data,0,LH_ColAcc),INDEX(LH_Data,0,LH_ColFirst),$A21,INDEX(LH_Data,0,LH_ColSur),$B21,INDEX(LH_Data,0,LH_ColCat),BonusCat,INDEX(LH_Data,0,LH_ColPeriod),LH_OpenLabel)*UnitFactor))))</f>
        <v>0</v>
      </c>
      <c r="U21" s="20" t="n">
        <f aca="false">IF(AG21=0,"",IF(NOT(LH_Ready),"",SUMIFS(INDEX(LH_Data,0,LH_ColAcc),INDEX(LH_Data,0,LH_ColFirst),$A21,INDEX(LH_Data,0,LH_ColSur),$B21,INDEX(LH_Data,0,LH_ColCat),BonusCat,INDEX(LH_Data,0,LH_ColStart),"&gt;="&amp;AH21)*UnitFactor))</f>
        <v>40</v>
      </c>
      <c r="V21" s="20" t="n">
        <f aca="false">IF(AG21=0,"",IF(NOT(LH_Ready),"",SUMIFS(INDEX(LH_Data,0,LH_ColTaken),INDEX(LH_Data,0,LH_ColFirst),$A21,INDEX(LH_Data,0,LH_ColSur),$B21,INDEX(LH_Data,0,LH_ColCat),BonusCat,INDEX(LH_Data,0,LH_ColStart),"&gt;="&amp;AH21)*UnitFactor))</f>
        <v>0</v>
      </c>
      <c r="W21" s="20" t="n">
        <f aca="false">IF(AG21=0,"",IF(NOT(LH_Ready),"",IF(BD21=0,0,INDEX(INDEX(LH_Data,0,LH_ColClose),BD21-1)*UnitFactor)))</f>
        <v>40</v>
      </c>
      <c r="X21" s="20" t="n">
        <f aca="false">IF(AG21=0,"",(AZ21-BA21)*HoursPerDay)</f>
        <v>72</v>
      </c>
      <c r="Y21" s="20" t="n">
        <f aca="false">IF(AG21=0,"",IF(NOT(LH_Ready),"",IF(BC21=0,N21,IF(PFYDate&lt;$F21,N21-N(T21)-N(U21),X21-N(U21)))))</f>
        <v>32</v>
      </c>
      <c r="Z21" s="19" t="str">
        <f aca="false">IF(OR(AG21=0,Y21=""),"",IF(Y21&gt;0,"Yes","No"))</f>
        <v>Yes</v>
      </c>
      <c r="AA21" s="19"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ACCRUE 32 hrs (4 days): all catch-up from earlier months, nothing new this month</v>
      </c>
      <c r="AB21" s="20" t="n">
        <f aca="false">IF(OR(AG21=0,T21=""),"",BA21*HoursPerDay-T21)</f>
        <v>0</v>
      </c>
      <c r="AC21" s="19" t="n">
        <f aca="false">IF(AG21=0,"",BC21)</f>
        <v>5</v>
      </c>
      <c r="AD21" s="19"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20" t="n">
        <f aca="false">IF(AG21=0,"",O21-BH21)</f>
        <v>0</v>
      </c>
      <c r="AF21" s="17" t="str">
        <f aca="false">IF(OR(AG21=0,AE21="",N(AE21)=0,BI21=""),"",EDATE(AH21,BI21))</f>
        <v/>
      </c>
      <c r="AG21" s="19" t="n">
        <f aca="false">IF(OR(LEN($A21&amp;$B21)=0,$F21=""),0,1)</f>
        <v>1</v>
      </c>
      <c r="AH21" s="17" t="n">
        <f aca="false">IF(AG21=0,"",IF($J21&lt;&gt;"",$J21,IF(OR(CasualCounts="Yes",COUNT($G21:$I21)=0,COUNT($H21:$I21)=0),$F21,MIN($H21:$I21))))</f>
        <v>44312</v>
      </c>
      <c r="AI21" s="19" t="n">
        <f aca="false">IF(AG21=0,"",COUNT($G21:$I21))</f>
        <v>1</v>
      </c>
      <c r="AJ21" s="17" t="n">
        <f aca="false">IF(AG21=0,"",IFERROR(SMALL($G21:$I21,1),""))</f>
        <v>44312</v>
      </c>
      <c r="AK21" s="17" t="str">
        <f aca="false">IF(AG21=0,"",IFERROR(SMALL($G21:$I21,2),""))</f>
        <v/>
      </c>
      <c r="AL21" s="17" t="str">
        <f aca="false">IF(AG21=0,"",IFERROR(SMALL($G21:$I21,3),""))</f>
        <v/>
      </c>
      <c r="AM21" s="19" t="str">
        <f aca="false">IF(AG21=0,"",IF(AJ21="","",IF(AJ21=$H21,"Part-Time",IF(AJ21=$I21,"Full-Time","Casual"))))</f>
        <v>Full-Time</v>
      </c>
      <c r="AN21" s="19" t="str">
        <f aca="false">IF(AG21=0,"",IF(AK21="","",IF(AK21=$H21,"Part-Time",IF(AK21=$I21,"Full-Time","Casual"))))</f>
        <v/>
      </c>
      <c r="AO21" s="19" t="str">
        <f aca="false">IF(AG21=0,"",IF(AL21="","",IF(AL21=$H21,"Part-Time",IF(AL21=$I21,"Full-Time","Casual"))))</f>
        <v/>
      </c>
      <c r="AP21" s="19"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FT</v>
      </c>
      <c r="AQ21" s="19" t="str">
        <f aca="false">IF(AG21=0,"",IF(AI21&lt;2,"",IF(OR(ISNUMBER(SEARCH("full",AN21)),UPPER(TRIM(AN21))="FT",UPPER(TRIM(AN21))="FTE"),"FT",IF(AND(OR(ISNUMBER(SEARCH("part",AN21)),UPPER(TRIM(AN21))="PT",UPPER(TRIM(AN21))="PTE"),OR($P21="",N($P21)&gt;=PT_MinHours)),"PT","None"))))</f>
        <v/>
      </c>
      <c r="AR21" s="19" t="str">
        <f aca="false">IF(AG21=0,"",IF(AI21&lt;3,"",IF(OR(ISNUMBER(SEARCH("full",AO21)),UPPER(TRIM(AO21))="FT",UPPER(TRIM(AO21))="FTE"),"FT",IF(AND(OR(ISNUMBER(SEARCH("part",AO21)),UPPER(TRIM(AO21))="PT",UPPER(TRIM(AO21))="PTE"),OR($P21="",N($P21)&gt;=PT_MinHours)),"PT","None"))))</f>
        <v/>
      </c>
      <c r="AS21" s="19" t="str">
        <f aca="false">IF(AG21=0,"",IF(AND(AI21&gt;=3,AL21&lt;=AsOfDate),AR21,IF(AND(AI21&gt;=2,AK21&lt;=AsOfDate),AQ21,AP21)))</f>
        <v>FT</v>
      </c>
      <c r="AT21" s="19" t="n">
        <f aca="false">IF(AG21=0,"",IF(AsOfDate&lt;AH21,-1,12*(YEAR(AsOfDate)-YEAR(AH21))+MONTH(AsOfDate)-MONTH(AH21)-IF(DAY(AsOfDate)&lt;MIN(DAY(AH21),DAY(EOMONTH(AsOfDate,0))),1,0)))</f>
        <v>65</v>
      </c>
      <c r="AU21" s="19" t="n">
        <f aca="false">IF(AG21=0,"",IF(OR(AI21&lt;2,AK21&gt;AsOfDate),AT21,IF((AK21-1)&lt;AH21,-1,12*(YEAR((AK21-1))-YEAR(AH21))+MONTH((AK21-1))-MONTH(AH21)-IF(DAY((AK21-1))&lt;MIN(DAY(AH21),DAY(EOMONTH((AK21-1),0))),1,0))))</f>
        <v>65</v>
      </c>
      <c r="AV21" s="19" t="n">
        <f aca="false">IF(AG21=0,"",IF(OR(AI21&lt;3,AL21&gt;AsOfDate),AT21,IF((AL21-1)&lt;AH21,-1,12*(YEAR((AL21-1))-YEAR(AH21))+MONTH((AL21-1))-MONTH(AH21)-IF(DAY((AL21-1))&lt;MIN(DAY(AH21),DAY(EOMONTH((AL21-1),0))),1,0))))</f>
        <v>65</v>
      </c>
      <c r="AW21" s="19" t="n">
        <f aca="false">IF(AG21=0,"",IF(PFYDate&lt;AH21,-1,12*(YEAR(PFYDate)-YEAR(AH21))+MONTH(PFYDate)-MONTH(AH21)-IF(DAY(PFYDate)&lt;MIN(DAY(AH21),DAY(EOMONTH(PFYDate,0))),1,0)))</f>
        <v>-1</v>
      </c>
      <c r="AX21" s="19" t="n">
        <f aca="false">IF(AG21=0,"",IF(OR(AI21&lt;2,AK21&gt;PFYDate),AW21,IF((AK21-1)&lt;AH21,-1,12*(YEAR((AK21-1))-YEAR(AH21))+MONTH((AK21-1))-MONTH(AH21)-IF(DAY((AK21-1))&lt;MIN(DAY(AH21),DAY(EOMONTH((AK21-1),0))),1,0))))</f>
        <v>-1</v>
      </c>
      <c r="AY21" s="19" t="n">
        <f aca="false">IF(AG21=0,"",IF(OR(AI21&lt;3,AL21&gt;PFYDate),AW21,IF((AL21-1)&lt;AH21,-1,12*(YEAR((AL21-1))-YEAR(AH21))+MONTH((AL21-1))-MONTH(AH21)-IF(DAY((AL21-1))&lt;MIN(DAY(AH21),DAY(EOMONTH((AL21-1),0))),1,0))))</f>
        <v>-1</v>
      </c>
      <c r="AZ21" s="19" t="n">
        <f aca="false">IF(AG21=0,"",IF(AP21="FT",IF(AU21&lt;FT_First,0,IF(AU21&lt;FT_Y5,1+INT((AU21-FT_First)/FT_Int1),FT_PreY5+FT_PerYear*INT((AU21-FT_Y5)/12)+FT_AnnivDays+INT(MOD(AU21-FT_Y5,12)/FT_Int2))),IF(AP21="PT",IF(AU21&lt;PT_First,0,1+INT((AU21-PT_First)/PT_Int)),0))+IF(AND(AI21&gt;=2,AK21&lt;=AsOfDate),IF(AQ21="FT",IF(AV21&lt;FT_First,0,IF(AV21&lt;FT_Y5,1+INT((AV21-FT_First)/FT_Int1),FT_PreY5+FT_PerYear*INT((AV21-FT_Y5)/12)+FT_AnnivDays+INT(MOD(AV21-FT_Y5,12)/FT_Int2))),IF(AQ21="PT",IF(AV21&lt;PT_First,0,1+INT((AV21-PT_First)/PT_Int)),0))-IF(AQ21="FT",IF(AU21&lt;FT_First,0,IF(AU21&lt;FT_Y5,1+INT((AU21-FT_First)/FT_Int1),FT_PreY5+FT_PerYear*INT((AU21-FT_Y5)/12)+FT_AnnivDays+INT(MOD(AU21-FT_Y5,12)/FT_Int2))),IF(AQ21="PT",IF(AU21&lt;PT_First,0,1+INT((AU21-PT_First)/PT_Int)),0)),0)+IF(AND(AI21&gt;=3,AL21&lt;=AsOfDate),IF(AR21="FT",IF(AT21&lt;FT_First,0,IF(AT21&lt;FT_Y5,1+INT((AT21-FT_First)/FT_Int1),FT_PreY5+FT_PerYear*INT((AT21-FT_Y5)/12)+FT_AnnivDays+INT(MOD(AT21-FT_Y5,12)/FT_Int2))),IF(AR21="PT",IF(AT21&lt;PT_First,0,1+INT((AT21-PT_First)/PT_Int)),0))-IF(AR21="FT",IF(AV21&lt;FT_First,0,IF(AV21&lt;FT_Y5,1+INT((AV21-FT_First)/FT_Int1),FT_PreY5+FT_PerYear*INT((AV21-FT_Y5)/12)+FT_AnnivDays+INT(MOD(AV21-FT_Y5,12)/FT_Int2))),IF(AR21="PT",IF(AV21&lt;PT_First,0,1+INT((AV21-PT_First)/PT_Int)),0)),0))</f>
        <v>9</v>
      </c>
      <c r="BA21" s="19" t="n">
        <f aca="false">IF(AG21=0,"",IF(AP21="FT",IF(AX21&lt;FT_First,0,IF(AX21&lt;FT_Y5,1+INT((AX21-FT_First)/FT_Int1),FT_PreY5+FT_PerYear*INT((AX21-FT_Y5)/12)+FT_AnnivDays+INT(MOD(AX21-FT_Y5,12)/FT_Int2))),IF(AP21="PT",IF(AX21&lt;PT_First,0,1+INT((AX21-PT_First)/PT_Int)),0))+IF(AND(AI21&gt;=2,AK21&lt;=PFYDate),IF(AQ21="FT",IF(AY21&lt;FT_First,0,IF(AY21&lt;FT_Y5,1+INT((AY21-FT_First)/FT_Int1),FT_PreY5+FT_PerYear*INT((AY21-FT_Y5)/12)+FT_AnnivDays+INT(MOD(AY21-FT_Y5,12)/FT_Int2))),IF(AQ21="PT",IF(AY21&lt;PT_First,0,1+INT((AY21-PT_First)/PT_Int)),0))-IF(AQ21="FT",IF(AX21&lt;FT_First,0,IF(AX21&lt;FT_Y5,1+INT((AX21-FT_First)/FT_Int1),FT_PreY5+FT_PerYear*INT((AX21-FT_Y5)/12)+FT_AnnivDays+INT(MOD(AX21-FT_Y5,12)/FT_Int2))),IF(AQ21="PT",IF(AX21&lt;PT_First,0,1+INT((AX21-PT_First)/PT_Int)),0)),0)+IF(AND(AI21&gt;=3,AL21&lt;=PFYDate),IF(AR21="FT",IF(AW21&lt;FT_First,0,IF(AW21&lt;FT_Y5,1+INT((AW21-FT_First)/FT_Int1),FT_PreY5+FT_PerYear*INT((AW21-FT_Y5)/12)+FT_AnnivDays+INT(MOD(AW21-FT_Y5,12)/FT_Int2))),IF(AR21="PT",IF(AW21&lt;PT_First,0,1+INT((AW21-PT_First)/PT_Int)),0))-IF(AR21="FT",IF(AY21&lt;FT_First,0,IF(AY21&lt;FT_Y5,1+INT((AY21-FT_First)/FT_Int1),FT_PreY5+FT_PerYear*INT((AY21-FT_Y5)/12)+FT_AnnivDays+INT(MOD(AY21-FT_Y5,12)/FT_Int2))),IF(AR21="PT",IF(AY21&lt;PT_First,0,1+INT((AY21-PT_First)/PT_Int)),0)),0))</f>
        <v>0</v>
      </c>
      <c r="BB21" s="19" t="n">
        <f aca="false">IF(AG21=0,"",IF(AS21="FT",IF(AT21&lt;FT_First,FT_First,IF(AT21&lt;FT_Y5,MIN(FT_Y5,FT_First+FT_Int1*(INT((AT21-FT_First)/FT_Int1)+1)),FT_Y5+12*INT((AT21-FT_Y5)/12)+FT_Int2*(INT(MOD(AT21-FT_Y5,12)/FT_Int2)+1))),IF(AS21="PT",IF(AT21&lt;PT_First,PT_First,PT_First+PT_Int*(INT((AT21-PT_First)/PT_Int)+1)),"")))</f>
        <v>66</v>
      </c>
      <c r="BC21" s="19" t="n">
        <f aca="false">IF(AG21=0,"",IF(NOT(LH_Ready),0,COUNTIFS(INDEX(LH_Data,0,LH_ColFirst),$A21,INDEX(LH_Data,0,LH_ColSur),$B21,INDEX(LH_Data,0,LH_ColCat),BonusCat)))</f>
        <v>5</v>
      </c>
      <c r="BD21" s="19" t="n">
        <f aca="false">IF(AG21=0,"",IF(OR(NOT(LH_Ready),BC21=0),0,SUMPRODUCT(MAX((INDEX(LH_Data,0,LH_ColFirst)=$A21)*(INDEX(LH_Data,0,LH_ColSur)=$B21)*(INDEX(LH_Data,0,LH_ColCat)=BonusCat)*ROW(LH_Data)))))</f>
        <v>54</v>
      </c>
      <c r="BE21" s="19" t="n">
        <f aca="false">IF(AG21=0,"",IF(EOMONTH(AsOfDate,-1)&lt;AH21,-1,12*(YEAR(EOMONTH(AsOfDate,-1))-YEAR(AH21))+MONTH(EOMONTH(AsOfDate,-1))-MONTH(AH21)-IF(DAY(EOMONTH(AsOfDate,-1))&lt;MIN(DAY(AH21),DAY(EOMONTH(EOMONTH(AsOfDate,-1),0))),1,0)))</f>
        <v>65</v>
      </c>
      <c r="BF21" s="19" t="n">
        <f aca="false">IF(AG21=0,"",IF(OR(AI21&lt;2,AK21&gt;EOMONTH(AsOfDate,-1)),BE21,IF((AK21-1)&lt;AH21,-1,12*(YEAR((AK21-1))-YEAR(AH21))+MONTH((AK21-1))-MONTH(AH21)-IF(DAY((AK21-1))&lt;MIN(DAY(AH21),DAY(EOMONTH((AK21-1),0))),1,0))))</f>
        <v>65</v>
      </c>
      <c r="BG21" s="19" t="n">
        <f aca="false">IF(AG21=0,"",IF(OR(AI21&lt;3,AL21&gt;EOMONTH(AsOfDate,-1)),BE21,IF((AL21-1)&lt;AH21,-1,12*(YEAR((AL21-1))-YEAR(AH21))+MONTH((AL21-1))-MONTH(AH21)-IF(DAY((AL21-1))&lt;MIN(DAY(AH21),DAY(EOMONTH((AL21-1),0))),1,0))))</f>
        <v>65</v>
      </c>
      <c r="BH21" s="19" t="n">
        <f aca="false">IF(AG21=0,"",IF(AP21="FT",IF(BF21&lt;FT_First,0,IF(BF21&lt;FT_Y5,1+INT((BF21-FT_First)/FT_Int1),FT_PreY5+FT_PerYear*INT((BF21-FT_Y5)/12)+FT_AnnivDays+INT(MOD(BF21-FT_Y5,12)/FT_Int2))),IF(AP21="PT",IF(BF21&lt;PT_First,0,1+INT((BF21-PT_First)/PT_Int)),0))+IF(AND(AI21&gt;=2,AK21&lt;=EOMONTH(AsOfDate,-1)),IF(AQ21="FT",IF(BG21&lt;FT_First,0,IF(BG21&lt;FT_Y5,1+INT((BG21-FT_First)/FT_Int1),FT_PreY5+FT_PerYear*INT((BG21-FT_Y5)/12)+FT_AnnivDays+INT(MOD(BG21-FT_Y5,12)/FT_Int2))),IF(AQ21="PT",IF(BG21&lt;PT_First,0,1+INT((BG21-PT_First)/PT_Int)),0))-IF(AQ21="FT",IF(BF21&lt;FT_First,0,IF(BF21&lt;FT_Y5,1+INT((BF21-FT_First)/FT_Int1),FT_PreY5+FT_PerYear*INT((BF21-FT_Y5)/12)+FT_AnnivDays+INT(MOD(BF21-FT_Y5,12)/FT_Int2))),IF(AQ21="PT",IF(BF21&lt;PT_First,0,1+INT((BF21-PT_First)/PT_Int)),0)),0)+IF(AND(AI21&gt;=3,AL21&lt;=EOMONTH(AsOfDate,-1)),IF(AR21="FT",IF(BE21&lt;FT_First,0,IF(BE21&lt;FT_Y5,1+INT((BE21-FT_First)/FT_Int1),FT_PreY5+FT_PerYear*INT((BE21-FT_Y5)/12)+FT_AnnivDays+INT(MOD(BE21-FT_Y5,12)/FT_Int2))),IF(AR21="PT",IF(BE21&lt;PT_First,0,1+INT((BE21-PT_First)/PT_Int)),0))-IF(AR21="FT",IF(BG21&lt;FT_First,0,IF(BG21&lt;FT_Y5,1+INT((BG21-FT_First)/FT_Int1),FT_PreY5+FT_PerYear*INT((BG21-FT_Y5)/12)+FT_AnnivDays+INT(MOD(BG21-FT_Y5,12)/FT_Int2))),IF(AR21="PT",IF(BG21&lt;PT_First,0,1+INT((BG21-PT_First)/PT_Int)),0)),0))</f>
        <v>9</v>
      </c>
      <c r="BI21" s="19" t="n">
        <f aca="false">IF(AG21=0,"",IF(AS21="FT",IF(AT21&lt;FT_First,"",IF(AT21&lt;FT_Y5,FT_First+FT_Int1*INT((AT21-FT_First)/FT_Int1),FT_Y5+FT_Int2*INT((AT21-FT_Y5)/FT_Int2))),IF(AS21="PT",IF(AT21&lt;PT_First,"",PT_First+PT_Int*INT((AT21-PT_First)/PT_Int)),"")))</f>
        <v>63</v>
      </c>
      <c r="BJ21" s="0" t="str">
        <f aca="false">IF(LEN($A21&amp;$B21)=0,"",$A21&amp;" "&amp;$B21)</f>
        <v>Danielle HURLEY</v>
      </c>
    </row>
    <row r="22" customFormat="false" ht="15" hidden="false" customHeight="false" outlineLevel="0" collapsed="false">
      <c r="A22" s="15" t="s">
        <v>172</v>
      </c>
      <c r="B22" s="15" t="s">
        <v>173</v>
      </c>
      <c r="C22" s="15" t="s">
        <v>138</v>
      </c>
      <c r="D22" s="16" t="n">
        <v>38412</v>
      </c>
      <c r="E22" s="17" t="n">
        <f aca="false">IF(OR(AG22=0,$D22=""),"",DATE(YEAR(AsOfDate)+IF(DATE(YEAR(AsOfDate),MONTH($D22),DAY($D22))&lt;=AsOfDate,1,0),MONTH($D22),DAY($D22)))</f>
        <v>46447</v>
      </c>
      <c r="F22" s="16" t="n">
        <v>45943</v>
      </c>
      <c r="G22" s="16"/>
      <c r="H22" s="16"/>
      <c r="I22" s="16"/>
      <c r="J22" s="16"/>
      <c r="K22" s="17" t="n">
        <f aca="false">IF(AG22=0,"",DATE(YEAR(AsOfDate)+IF(DATE(YEAR(AsOfDate),MONTH(AH22),DAY(AH22))&lt;=AsOfDate,1,0),MONTH(AH22),DAY(AH22)))</f>
        <v>46308</v>
      </c>
      <c r="L22" s="18" t="n">
        <f aca="false">IF(AG22=0,"",ROUND((AsOfDate-AH22)/365.25,1))</f>
        <v>1</v>
      </c>
      <c r="M22" s="19" t="str">
        <f aca="false">IF(AG22=0,"",IF(AsOfDate&lt;AH22,"-",DATEDIF(AH22,AsOfDate,"y")&amp;"y "&amp;DATEDIF(AH22,AsOfDate,"ym")&amp;"m "&amp;DATEDIF(AH22,AsOfDate,"md")&amp;"d"))</f>
        <v>0y 11m 23d</v>
      </c>
      <c r="N22" s="20" t="n">
        <f aca="false">IF(AG22=0,"",O22*HoursPerDay)</f>
        <v>0</v>
      </c>
      <c r="O22" s="20" t="n">
        <f aca="false">IF(AG22=0,"",AZ22)</f>
        <v>0</v>
      </c>
      <c r="P22" s="21"/>
      <c r="Q22" s="19"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19"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17" t="str">
        <f aca="false">IF(AG22=0,"",IF(AS22="None","",EDATE(AH22,BB22)))</f>
        <v/>
      </c>
      <c r="T22" s="20" t="n">
        <f aca="false">IF(AG22=0,"",IF(NOT(LH_Ready),"",IF(AH22&gt;PFYDate,0,IF(LH_ColPeriod=0,W22-U22+V22,SUMIFS(INDEX(LH_Data,0,LH_ColAcc),INDEX(LH_Data,0,LH_ColFirst),$A22,INDEX(LH_Data,0,LH_ColSur),$B22,INDEX(LH_Data,0,LH_ColCat),BonusCat,INDEX(LH_Data,0,LH_ColPeriod),LH_OpenLabel)*UnitFactor))))</f>
        <v>0</v>
      </c>
      <c r="U22" s="20" t="n">
        <f aca="false">IF(AG22=0,"",IF(NOT(LH_Ready),"",SUMIFS(INDEX(LH_Data,0,LH_ColAcc),INDEX(LH_Data,0,LH_ColFirst),$A22,INDEX(LH_Data,0,LH_ColSur),$B22,INDEX(LH_Data,0,LH_ColCat),BonusCat,INDEX(LH_Data,0,LH_ColStart),"&gt;="&amp;AH22)*UnitFactor))</f>
        <v>0</v>
      </c>
      <c r="V22" s="20" t="n">
        <f aca="false">IF(AG22=0,"",IF(NOT(LH_Ready),"",SUMIFS(INDEX(LH_Data,0,LH_ColTaken),INDEX(LH_Data,0,LH_ColFirst),$A22,INDEX(LH_Data,0,LH_ColSur),$B22,INDEX(LH_Data,0,LH_ColCat),BonusCat,INDEX(LH_Data,0,LH_ColStart),"&gt;="&amp;AH22)*UnitFactor))</f>
        <v>0</v>
      </c>
      <c r="W22" s="20" t="n">
        <f aca="false">IF(AG22=0,"",IF(NOT(LH_Ready),"",IF(BD22=0,0,INDEX(INDEX(LH_Data,0,LH_ColClose),BD22-1)*UnitFactor)))</f>
        <v>0</v>
      </c>
      <c r="X22" s="20" t="n">
        <f aca="false">IF(AG22=0,"",(AZ22-BA22)*HoursPerDay)</f>
        <v>0</v>
      </c>
      <c r="Y22" s="20" t="n">
        <f aca="false">IF(AG22=0,"",IF(NOT(LH_Ready),"",IF(BC22=0,N22,IF(PFYDate&lt;$F22,N22-N(T22)-N(U22),X22-N(U22)))))</f>
        <v>0</v>
      </c>
      <c r="Z22" s="19" t="str">
        <f aca="false">IF(OR(AG22=0,Y22=""),"",IF(Y22&gt;0,"Yes","No"))</f>
        <v>No</v>
      </c>
      <c r="AA22" s="19"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Not eligible - Casual</v>
      </c>
      <c r="AB22" s="20" t="n">
        <f aca="false">IF(OR(AG22=0,T22=""),"",BA22*HoursPerDay-T22)</f>
        <v>0</v>
      </c>
      <c r="AC22" s="19" t="n">
        <f aca="false">IF(AG22=0,"",BC22)</f>
        <v>0</v>
      </c>
      <c r="AD22" s="19"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20" t="n">
        <f aca="false">IF(AG22=0,"",O22-BH22)</f>
        <v>0</v>
      </c>
      <c r="AF22" s="17" t="str">
        <f aca="false">IF(OR(AG22=0,AE22="",N(AE22)=0,BI22=""),"",EDATE(AH22,BI22))</f>
        <v/>
      </c>
      <c r="AG22" s="19" t="n">
        <f aca="false">IF(OR(LEN($A22&amp;$B22)=0,$F22=""),0,1)</f>
        <v>1</v>
      </c>
      <c r="AH22" s="17" t="n">
        <f aca="false">IF(AG22=0,"",IF($J22&lt;&gt;"",$J22,IF(OR(CasualCounts="Yes",COUNT($G22:$I22)=0,COUNT($H22:$I22)=0),$F22,MIN($H22:$I22))))</f>
        <v>45943</v>
      </c>
      <c r="AI22" s="19" t="n">
        <f aca="false">IF(AG22=0,"",COUNT($G22:$I22))</f>
        <v>0</v>
      </c>
      <c r="AJ22" s="17" t="str">
        <f aca="false">IF(AG22=0,"",IFERROR(SMALL($G22:$I22,1),""))</f>
        <v/>
      </c>
      <c r="AK22" s="17" t="str">
        <f aca="false">IF(AG22=0,"",IFERROR(SMALL($G22:$I22,2),""))</f>
        <v/>
      </c>
      <c r="AL22" s="17" t="str">
        <f aca="false">IF(AG22=0,"",IFERROR(SMALL($G22:$I22,3),""))</f>
        <v/>
      </c>
      <c r="AM22" s="19" t="str">
        <f aca="false">IF(AG22=0,"",IF(AJ22="","",IF(AJ22=$H22,"Part-Time",IF(AJ22=$I22,"Full-Time","Casual"))))</f>
        <v/>
      </c>
      <c r="AN22" s="19" t="str">
        <f aca="false">IF(AG22=0,"",IF(AK22="","",IF(AK22=$H22,"Part-Time",IF(AK22=$I22,"Full-Time","Casual"))))</f>
        <v/>
      </c>
      <c r="AO22" s="19" t="str">
        <f aca="false">IF(AG22=0,"",IF(AL22="","",IF(AL22=$H22,"Part-Time",IF(AL22=$I22,"Full-Time","Casual"))))</f>
        <v/>
      </c>
      <c r="AP22" s="19"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None</v>
      </c>
      <c r="AQ22" s="19" t="str">
        <f aca="false">IF(AG22=0,"",IF(AI22&lt;2,"",IF(OR(ISNUMBER(SEARCH("full",AN22)),UPPER(TRIM(AN22))="FT",UPPER(TRIM(AN22))="FTE"),"FT",IF(AND(OR(ISNUMBER(SEARCH("part",AN22)),UPPER(TRIM(AN22))="PT",UPPER(TRIM(AN22))="PTE"),OR($P22="",N($P22)&gt;=PT_MinHours)),"PT","None"))))</f>
        <v/>
      </c>
      <c r="AR22" s="19" t="str">
        <f aca="false">IF(AG22=0,"",IF(AI22&lt;3,"",IF(OR(ISNUMBER(SEARCH("full",AO22)),UPPER(TRIM(AO22))="FT",UPPER(TRIM(AO22))="FTE"),"FT",IF(AND(OR(ISNUMBER(SEARCH("part",AO22)),UPPER(TRIM(AO22))="PT",UPPER(TRIM(AO22))="PTE"),OR($P22="",N($P22)&gt;=PT_MinHours)),"PT","None"))))</f>
        <v/>
      </c>
      <c r="AS22" s="19" t="str">
        <f aca="false">IF(AG22=0,"",IF(AND(AI22&gt;=3,AL22&lt;=AsOfDate),AR22,IF(AND(AI22&gt;=2,AK22&lt;=AsOfDate),AQ22,AP22)))</f>
        <v>None</v>
      </c>
      <c r="AT22" s="19" t="n">
        <f aca="false">IF(AG22=0,"",IF(AsOfDate&lt;AH22,-1,12*(YEAR(AsOfDate)-YEAR(AH22))+MONTH(AsOfDate)-MONTH(AH22)-IF(DAY(AsOfDate)&lt;MIN(DAY(AH22),DAY(EOMONTH(AsOfDate,0))),1,0)))</f>
        <v>11</v>
      </c>
      <c r="AU22" s="19" t="n">
        <f aca="false">IF(AG22=0,"",IF(OR(AI22&lt;2,AK22&gt;AsOfDate),AT22,IF((AK22-1)&lt;AH22,-1,12*(YEAR((AK22-1))-YEAR(AH22))+MONTH((AK22-1))-MONTH(AH22)-IF(DAY((AK22-1))&lt;MIN(DAY(AH22),DAY(EOMONTH((AK22-1),0))),1,0))))</f>
        <v>11</v>
      </c>
      <c r="AV22" s="19" t="n">
        <f aca="false">IF(AG22=0,"",IF(OR(AI22&lt;3,AL22&gt;AsOfDate),AT22,IF((AL22-1)&lt;AH22,-1,12*(YEAR((AL22-1))-YEAR(AH22))+MONTH((AL22-1))-MONTH(AH22)-IF(DAY((AL22-1))&lt;MIN(DAY(AH22),DAY(EOMONTH((AL22-1),0))),1,0))))</f>
        <v>11</v>
      </c>
      <c r="AW22" s="19" t="n">
        <f aca="false">IF(AG22=0,"",IF(PFYDate&lt;AH22,-1,12*(YEAR(PFYDate)-YEAR(AH22))+MONTH(PFYDate)-MONTH(AH22)-IF(DAY(PFYDate)&lt;MIN(DAY(AH22),DAY(EOMONTH(PFYDate,0))),1,0)))</f>
        <v>-1</v>
      </c>
      <c r="AX22" s="19" t="n">
        <f aca="false">IF(AG22=0,"",IF(OR(AI22&lt;2,AK22&gt;PFYDate),AW22,IF((AK22-1)&lt;AH22,-1,12*(YEAR((AK22-1))-YEAR(AH22))+MONTH((AK22-1))-MONTH(AH22)-IF(DAY((AK22-1))&lt;MIN(DAY(AH22),DAY(EOMONTH((AK22-1),0))),1,0))))</f>
        <v>-1</v>
      </c>
      <c r="AY22" s="19" t="n">
        <f aca="false">IF(AG22=0,"",IF(OR(AI22&lt;3,AL22&gt;PFYDate),AW22,IF((AL22-1)&lt;AH22,-1,12*(YEAR((AL22-1))-YEAR(AH22))+MONTH((AL22-1))-MONTH(AH22)-IF(DAY((AL22-1))&lt;MIN(DAY(AH22),DAY(EOMONTH((AL22-1),0))),1,0))))</f>
        <v>-1</v>
      </c>
      <c r="AZ22" s="19" t="n">
        <f aca="false">IF(AG22=0,"",IF(AP22="FT",IF(AU22&lt;FT_First,0,IF(AU22&lt;FT_Y5,1+INT((AU22-FT_First)/FT_Int1),FT_PreY5+FT_PerYear*INT((AU22-FT_Y5)/12)+FT_AnnivDays+INT(MOD(AU22-FT_Y5,12)/FT_Int2))),IF(AP22="PT",IF(AU22&lt;PT_First,0,1+INT((AU22-PT_First)/PT_Int)),0))+IF(AND(AI22&gt;=2,AK22&lt;=AsOfDate),IF(AQ22="FT",IF(AV22&lt;FT_First,0,IF(AV22&lt;FT_Y5,1+INT((AV22-FT_First)/FT_Int1),FT_PreY5+FT_PerYear*INT((AV22-FT_Y5)/12)+FT_AnnivDays+INT(MOD(AV22-FT_Y5,12)/FT_Int2))),IF(AQ22="PT",IF(AV22&lt;PT_First,0,1+INT((AV22-PT_First)/PT_Int)),0))-IF(AQ22="FT",IF(AU22&lt;FT_First,0,IF(AU22&lt;FT_Y5,1+INT((AU22-FT_First)/FT_Int1),FT_PreY5+FT_PerYear*INT((AU22-FT_Y5)/12)+FT_AnnivDays+INT(MOD(AU22-FT_Y5,12)/FT_Int2))),IF(AQ22="PT",IF(AU22&lt;PT_First,0,1+INT((AU22-PT_First)/PT_Int)),0)),0)+IF(AND(AI22&gt;=3,AL22&lt;=AsOfDate),IF(AR22="FT",IF(AT22&lt;FT_First,0,IF(AT22&lt;FT_Y5,1+INT((AT22-FT_First)/FT_Int1),FT_PreY5+FT_PerYear*INT((AT22-FT_Y5)/12)+FT_AnnivDays+INT(MOD(AT22-FT_Y5,12)/FT_Int2))),IF(AR22="PT",IF(AT22&lt;PT_First,0,1+INT((AT22-PT_First)/PT_Int)),0))-IF(AR22="FT",IF(AV22&lt;FT_First,0,IF(AV22&lt;FT_Y5,1+INT((AV22-FT_First)/FT_Int1),FT_PreY5+FT_PerYear*INT((AV22-FT_Y5)/12)+FT_AnnivDays+INT(MOD(AV22-FT_Y5,12)/FT_Int2))),IF(AR22="PT",IF(AV22&lt;PT_First,0,1+INT((AV22-PT_First)/PT_Int)),0)),0))</f>
        <v>0</v>
      </c>
      <c r="BA22" s="19" t="n">
        <f aca="false">IF(AG22=0,"",IF(AP22="FT",IF(AX22&lt;FT_First,0,IF(AX22&lt;FT_Y5,1+INT((AX22-FT_First)/FT_Int1),FT_PreY5+FT_PerYear*INT((AX22-FT_Y5)/12)+FT_AnnivDays+INT(MOD(AX22-FT_Y5,12)/FT_Int2))),IF(AP22="PT",IF(AX22&lt;PT_First,0,1+INT((AX22-PT_First)/PT_Int)),0))+IF(AND(AI22&gt;=2,AK22&lt;=PFYDate),IF(AQ22="FT",IF(AY22&lt;FT_First,0,IF(AY22&lt;FT_Y5,1+INT((AY22-FT_First)/FT_Int1),FT_PreY5+FT_PerYear*INT((AY22-FT_Y5)/12)+FT_AnnivDays+INT(MOD(AY22-FT_Y5,12)/FT_Int2))),IF(AQ22="PT",IF(AY22&lt;PT_First,0,1+INT((AY22-PT_First)/PT_Int)),0))-IF(AQ22="FT",IF(AX22&lt;FT_First,0,IF(AX22&lt;FT_Y5,1+INT((AX22-FT_First)/FT_Int1),FT_PreY5+FT_PerYear*INT((AX22-FT_Y5)/12)+FT_AnnivDays+INT(MOD(AX22-FT_Y5,12)/FT_Int2))),IF(AQ22="PT",IF(AX22&lt;PT_First,0,1+INT((AX22-PT_First)/PT_Int)),0)),0)+IF(AND(AI22&gt;=3,AL22&lt;=PFYDate),IF(AR22="FT",IF(AW22&lt;FT_First,0,IF(AW22&lt;FT_Y5,1+INT((AW22-FT_First)/FT_Int1),FT_PreY5+FT_PerYear*INT((AW22-FT_Y5)/12)+FT_AnnivDays+INT(MOD(AW22-FT_Y5,12)/FT_Int2))),IF(AR22="PT",IF(AW22&lt;PT_First,0,1+INT((AW22-PT_First)/PT_Int)),0))-IF(AR22="FT",IF(AY22&lt;FT_First,0,IF(AY22&lt;FT_Y5,1+INT((AY22-FT_First)/FT_Int1),FT_PreY5+FT_PerYear*INT((AY22-FT_Y5)/12)+FT_AnnivDays+INT(MOD(AY22-FT_Y5,12)/FT_Int2))),IF(AR22="PT",IF(AY22&lt;PT_First,0,1+INT((AY22-PT_First)/PT_Int)),0)),0))</f>
        <v>0</v>
      </c>
      <c r="BB22" s="19" t="str">
        <f aca="false">IF(AG22=0,"",IF(AS22="FT",IF(AT22&lt;FT_First,FT_First,IF(AT22&lt;FT_Y5,MIN(FT_Y5,FT_First+FT_Int1*(INT((AT22-FT_First)/FT_Int1)+1)),FT_Y5+12*INT((AT22-FT_Y5)/12)+FT_Int2*(INT(MOD(AT22-FT_Y5,12)/FT_Int2)+1))),IF(AS22="PT",IF(AT22&lt;PT_First,PT_First,PT_First+PT_Int*(INT((AT22-PT_First)/PT_Int)+1)),"")))</f>
        <v/>
      </c>
      <c r="BC22" s="19" t="n">
        <f aca="false">IF(AG22=0,"",IF(NOT(LH_Ready),0,COUNTIFS(INDEX(LH_Data,0,LH_ColFirst),$A22,INDEX(LH_Data,0,LH_ColSur),$B22,INDEX(LH_Data,0,LH_ColCat),BonusCat)))</f>
        <v>0</v>
      </c>
      <c r="BD22" s="19" t="n">
        <f aca="false">IF(AG22=0,"",IF(OR(NOT(LH_Ready),BC22=0),0,SUMPRODUCT(MAX((INDEX(LH_Data,0,LH_ColFirst)=$A22)*(INDEX(LH_Data,0,LH_ColSur)=$B22)*(INDEX(LH_Data,0,LH_ColCat)=BonusCat)*ROW(LH_Data)))))</f>
        <v>0</v>
      </c>
      <c r="BE22" s="19" t="n">
        <f aca="false">IF(AG22=0,"",IF(EOMONTH(AsOfDate,-1)&lt;AH22,-1,12*(YEAR(EOMONTH(AsOfDate,-1))-YEAR(AH22))+MONTH(EOMONTH(AsOfDate,-1))-MONTH(AH22)-IF(DAY(EOMONTH(AsOfDate,-1))&lt;MIN(DAY(AH22),DAY(EOMONTH(EOMONTH(AsOfDate,-1),0))),1,0)))</f>
        <v>11</v>
      </c>
      <c r="BF22" s="19" t="n">
        <f aca="false">IF(AG22=0,"",IF(OR(AI22&lt;2,AK22&gt;EOMONTH(AsOfDate,-1)),BE22,IF((AK22-1)&lt;AH22,-1,12*(YEAR((AK22-1))-YEAR(AH22))+MONTH((AK22-1))-MONTH(AH22)-IF(DAY((AK22-1))&lt;MIN(DAY(AH22),DAY(EOMONTH((AK22-1),0))),1,0))))</f>
        <v>11</v>
      </c>
      <c r="BG22" s="19" t="n">
        <f aca="false">IF(AG22=0,"",IF(OR(AI22&lt;3,AL22&gt;EOMONTH(AsOfDate,-1)),BE22,IF((AL22-1)&lt;AH22,-1,12*(YEAR((AL22-1))-YEAR(AH22))+MONTH((AL22-1))-MONTH(AH22)-IF(DAY((AL22-1))&lt;MIN(DAY(AH22),DAY(EOMONTH((AL22-1),0))),1,0))))</f>
        <v>11</v>
      </c>
      <c r="BH22" s="19" t="n">
        <f aca="false">IF(AG22=0,"",IF(AP22="FT",IF(BF22&lt;FT_First,0,IF(BF22&lt;FT_Y5,1+INT((BF22-FT_First)/FT_Int1),FT_PreY5+FT_PerYear*INT((BF22-FT_Y5)/12)+FT_AnnivDays+INT(MOD(BF22-FT_Y5,12)/FT_Int2))),IF(AP22="PT",IF(BF22&lt;PT_First,0,1+INT((BF22-PT_First)/PT_Int)),0))+IF(AND(AI22&gt;=2,AK22&lt;=EOMONTH(AsOfDate,-1)),IF(AQ22="FT",IF(BG22&lt;FT_First,0,IF(BG22&lt;FT_Y5,1+INT((BG22-FT_First)/FT_Int1),FT_PreY5+FT_PerYear*INT((BG22-FT_Y5)/12)+FT_AnnivDays+INT(MOD(BG22-FT_Y5,12)/FT_Int2))),IF(AQ22="PT",IF(BG22&lt;PT_First,0,1+INT((BG22-PT_First)/PT_Int)),0))-IF(AQ22="FT",IF(BF22&lt;FT_First,0,IF(BF22&lt;FT_Y5,1+INT((BF22-FT_First)/FT_Int1),FT_PreY5+FT_PerYear*INT((BF22-FT_Y5)/12)+FT_AnnivDays+INT(MOD(BF22-FT_Y5,12)/FT_Int2))),IF(AQ22="PT",IF(BF22&lt;PT_First,0,1+INT((BF22-PT_First)/PT_Int)),0)),0)+IF(AND(AI22&gt;=3,AL22&lt;=EOMONTH(AsOfDate,-1)),IF(AR22="FT",IF(BE22&lt;FT_First,0,IF(BE22&lt;FT_Y5,1+INT((BE22-FT_First)/FT_Int1),FT_PreY5+FT_PerYear*INT((BE22-FT_Y5)/12)+FT_AnnivDays+INT(MOD(BE22-FT_Y5,12)/FT_Int2))),IF(AR22="PT",IF(BE22&lt;PT_First,0,1+INT((BE22-PT_First)/PT_Int)),0))-IF(AR22="FT",IF(BG22&lt;FT_First,0,IF(BG22&lt;FT_Y5,1+INT((BG22-FT_First)/FT_Int1),FT_PreY5+FT_PerYear*INT((BG22-FT_Y5)/12)+FT_AnnivDays+INT(MOD(BG22-FT_Y5,12)/FT_Int2))),IF(AR22="PT",IF(BG22&lt;PT_First,0,1+INT((BG22-PT_First)/PT_Int)),0)),0))</f>
        <v>0</v>
      </c>
      <c r="BI22" s="19" t="str">
        <f aca="false">IF(AG22=0,"",IF(AS22="FT",IF(AT22&lt;FT_First,"",IF(AT22&lt;FT_Y5,FT_First+FT_Int1*INT((AT22-FT_First)/FT_Int1),FT_Y5+FT_Int2*INT((AT22-FT_Y5)/FT_Int2))),IF(AS22="PT",IF(AT22&lt;PT_First,"",PT_First+PT_Int*INT((AT22-PT_First)/PT_Int)),"")))</f>
        <v/>
      </c>
      <c r="BJ22" s="0" t="str">
        <f aca="false">IF(LEN($A22&amp;$B22)=0,"",$A22&amp;" "&amp;$B22)</f>
        <v>David Milios</v>
      </c>
    </row>
    <row r="23" customFormat="false" ht="15" hidden="false" customHeight="false" outlineLevel="0" collapsed="false">
      <c r="A23" s="15" t="s">
        <v>174</v>
      </c>
      <c r="B23" s="15" t="s">
        <v>175</v>
      </c>
      <c r="C23" s="15" t="s">
        <v>138</v>
      </c>
      <c r="D23" s="16" t="n">
        <v>38273</v>
      </c>
      <c r="E23" s="17" t="n">
        <f aca="false">IF(OR(AG23=0,$D23=""),"",DATE(YEAR(AsOfDate)+IF(DATE(YEAR(AsOfDate),MONTH($D23),DAY($D23))&lt;=AsOfDate,1,0),MONTH($D23),DAY($D23)))</f>
        <v>46308</v>
      </c>
      <c r="F23" s="16" t="n">
        <v>46114</v>
      </c>
      <c r="G23" s="16"/>
      <c r="H23" s="16"/>
      <c r="I23" s="16"/>
      <c r="J23" s="16"/>
      <c r="K23" s="17" t="n">
        <f aca="false">IF(AG23=0,"",DATE(YEAR(AsOfDate)+IF(DATE(YEAR(AsOfDate),MONTH(AH23),DAY(AH23))&lt;=AsOfDate,1,0),MONTH(AH23),DAY(AH23)))</f>
        <v>46479</v>
      </c>
      <c r="L23" s="18" t="n">
        <f aca="false">IF(AG23=0,"",ROUND((AsOfDate-AH23)/365.25,1))</f>
        <v>0.5</v>
      </c>
      <c r="M23" s="19" t="str">
        <f aca="false">IF(AG23=0,"",IF(AsOfDate&lt;AH23,"-",DATEDIF(AH23,AsOfDate,"y")&amp;"y "&amp;DATEDIF(AH23,AsOfDate,"ym")&amp;"m "&amp;DATEDIF(AH23,AsOfDate,"md")&amp;"d"))</f>
        <v>0y 6m 4d</v>
      </c>
      <c r="N23" s="20" t="n">
        <f aca="false">IF(AG23=0,"",O23*HoursPerDay)</f>
        <v>0</v>
      </c>
      <c r="O23" s="20" t="n">
        <f aca="false">IF(AG23=0,"",AZ23)</f>
        <v>0</v>
      </c>
      <c r="P23" s="21"/>
      <c r="Q23" s="19"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19"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17" t="str">
        <f aca="false">IF(AG23=0,"",IF(AS23="None","",EDATE(AH23,BB23)))</f>
        <v/>
      </c>
      <c r="T23" s="20" t="n">
        <f aca="false">IF(AG23=0,"",IF(NOT(LH_Ready),"",IF(AH23&gt;PFYDate,0,IF(LH_ColPeriod=0,W23-U23+V23,SUMIFS(INDEX(LH_Data,0,LH_ColAcc),INDEX(LH_Data,0,LH_ColFirst),$A23,INDEX(LH_Data,0,LH_ColSur),$B23,INDEX(LH_Data,0,LH_ColCat),BonusCat,INDEX(LH_Data,0,LH_ColPeriod),LH_OpenLabel)*UnitFactor))))</f>
        <v>0</v>
      </c>
      <c r="U23" s="20" t="n">
        <f aca="false">IF(AG23=0,"",IF(NOT(LH_Ready),"",SUMIFS(INDEX(LH_Data,0,LH_ColAcc),INDEX(LH_Data,0,LH_ColFirst),$A23,INDEX(LH_Data,0,LH_ColSur),$B23,INDEX(LH_Data,0,LH_ColCat),BonusCat,INDEX(LH_Data,0,LH_ColStart),"&gt;="&amp;AH23)*UnitFactor))</f>
        <v>0</v>
      </c>
      <c r="V23" s="20" t="n">
        <f aca="false">IF(AG23=0,"",IF(NOT(LH_Ready),"",SUMIFS(INDEX(LH_Data,0,LH_ColTaken),INDEX(LH_Data,0,LH_ColFirst),$A23,INDEX(LH_Data,0,LH_ColSur),$B23,INDEX(LH_Data,0,LH_ColCat),BonusCat,INDEX(LH_Data,0,LH_ColStart),"&gt;="&amp;AH23)*UnitFactor))</f>
        <v>0</v>
      </c>
      <c r="W23" s="20" t="n">
        <f aca="false">IF(AG23=0,"",IF(NOT(LH_Ready),"",IF(BD23=0,0,INDEX(INDEX(LH_Data,0,LH_ColClose),BD23-1)*UnitFactor)))</f>
        <v>0</v>
      </c>
      <c r="X23" s="20" t="n">
        <f aca="false">IF(AG23=0,"",(AZ23-BA23)*HoursPerDay)</f>
        <v>0</v>
      </c>
      <c r="Y23" s="20" t="n">
        <f aca="false">IF(AG23=0,"",IF(NOT(LH_Ready),"",IF(BC23=0,N23,IF(PFYDate&lt;$F23,N23-N(T23)-N(U23),X23-N(U23)))))</f>
        <v>0</v>
      </c>
      <c r="Z23" s="19" t="str">
        <f aca="false">IF(OR(AG23=0,Y23=""),"",IF(Y23&gt;0,"Yes","No"))</f>
        <v>No</v>
      </c>
      <c r="AA23" s="19"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Not eligible - Casual</v>
      </c>
      <c r="AB23" s="20" t="n">
        <f aca="false">IF(OR(AG23=0,T23=""),"",BA23*HoursPerDay-T23)</f>
        <v>0</v>
      </c>
      <c r="AC23" s="19" t="n">
        <f aca="false">IF(AG23=0,"",BC23)</f>
        <v>0</v>
      </c>
      <c r="AD23" s="19"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20" t="n">
        <f aca="false">IF(AG23=0,"",O23-BH23)</f>
        <v>0</v>
      </c>
      <c r="AF23" s="17" t="str">
        <f aca="false">IF(OR(AG23=0,AE23="",N(AE23)=0,BI23=""),"",EDATE(AH23,BI23))</f>
        <v/>
      </c>
      <c r="AG23" s="19" t="n">
        <f aca="false">IF(OR(LEN($A23&amp;$B23)=0,$F23=""),0,1)</f>
        <v>1</v>
      </c>
      <c r="AH23" s="17" t="n">
        <f aca="false">IF(AG23=0,"",IF($J23&lt;&gt;"",$J23,IF(OR(CasualCounts="Yes",COUNT($G23:$I23)=0,COUNT($H23:$I23)=0),$F23,MIN($H23:$I23))))</f>
        <v>46114</v>
      </c>
      <c r="AI23" s="19" t="n">
        <f aca="false">IF(AG23=0,"",COUNT($G23:$I23))</f>
        <v>0</v>
      </c>
      <c r="AJ23" s="17" t="str">
        <f aca="false">IF(AG23=0,"",IFERROR(SMALL($G23:$I23,1),""))</f>
        <v/>
      </c>
      <c r="AK23" s="17" t="str">
        <f aca="false">IF(AG23=0,"",IFERROR(SMALL($G23:$I23,2),""))</f>
        <v/>
      </c>
      <c r="AL23" s="17" t="str">
        <f aca="false">IF(AG23=0,"",IFERROR(SMALL($G23:$I23,3),""))</f>
        <v/>
      </c>
      <c r="AM23" s="19" t="str">
        <f aca="false">IF(AG23=0,"",IF(AJ23="","",IF(AJ23=$H23,"Part-Time",IF(AJ23=$I23,"Full-Time","Casual"))))</f>
        <v/>
      </c>
      <c r="AN23" s="19" t="str">
        <f aca="false">IF(AG23=0,"",IF(AK23="","",IF(AK23=$H23,"Part-Time",IF(AK23=$I23,"Full-Time","Casual"))))</f>
        <v/>
      </c>
      <c r="AO23" s="19" t="str">
        <f aca="false">IF(AG23=0,"",IF(AL23="","",IF(AL23=$H23,"Part-Time",IF(AL23=$I23,"Full-Time","Casual"))))</f>
        <v/>
      </c>
      <c r="AP23" s="19"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None</v>
      </c>
      <c r="AQ23" s="19" t="str">
        <f aca="false">IF(AG23=0,"",IF(AI23&lt;2,"",IF(OR(ISNUMBER(SEARCH("full",AN23)),UPPER(TRIM(AN23))="FT",UPPER(TRIM(AN23))="FTE"),"FT",IF(AND(OR(ISNUMBER(SEARCH("part",AN23)),UPPER(TRIM(AN23))="PT",UPPER(TRIM(AN23))="PTE"),OR($P23="",N($P23)&gt;=PT_MinHours)),"PT","None"))))</f>
        <v/>
      </c>
      <c r="AR23" s="19" t="str">
        <f aca="false">IF(AG23=0,"",IF(AI23&lt;3,"",IF(OR(ISNUMBER(SEARCH("full",AO23)),UPPER(TRIM(AO23))="FT",UPPER(TRIM(AO23))="FTE"),"FT",IF(AND(OR(ISNUMBER(SEARCH("part",AO23)),UPPER(TRIM(AO23))="PT",UPPER(TRIM(AO23))="PTE"),OR($P23="",N($P23)&gt;=PT_MinHours)),"PT","None"))))</f>
        <v/>
      </c>
      <c r="AS23" s="19" t="str">
        <f aca="false">IF(AG23=0,"",IF(AND(AI23&gt;=3,AL23&lt;=AsOfDate),AR23,IF(AND(AI23&gt;=2,AK23&lt;=AsOfDate),AQ23,AP23)))</f>
        <v>None</v>
      </c>
      <c r="AT23" s="19" t="n">
        <f aca="false">IF(AG23=0,"",IF(AsOfDate&lt;AH23,-1,12*(YEAR(AsOfDate)-YEAR(AH23))+MONTH(AsOfDate)-MONTH(AH23)-IF(DAY(AsOfDate)&lt;MIN(DAY(AH23),DAY(EOMONTH(AsOfDate,0))),1,0)))</f>
        <v>6</v>
      </c>
      <c r="AU23" s="19" t="n">
        <f aca="false">IF(AG23=0,"",IF(OR(AI23&lt;2,AK23&gt;AsOfDate),AT23,IF((AK23-1)&lt;AH23,-1,12*(YEAR((AK23-1))-YEAR(AH23))+MONTH((AK23-1))-MONTH(AH23)-IF(DAY((AK23-1))&lt;MIN(DAY(AH23),DAY(EOMONTH((AK23-1),0))),1,0))))</f>
        <v>6</v>
      </c>
      <c r="AV23" s="19" t="n">
        <f aca="false">IF(AG23=0,"",IF(OR(AI23&lt;3,AL23&gt;AsOfDate),AT23,IF((AL23-1)&lt;AH23,-1,12*(YEAR((AL23-1))-YEAR(AH23))+MONTH((AL23-1))-MONTH(AH23)-IF(DAY((AL23-1))&lt;MIN(DAY(AH23),DAY(EOMONTH((AL23-1),0))),1,0))))</f>
        <v>6</v>
      </c>
      <c r="AW23" s="19" t="n">
        <f aca="false">IF(AG23=0,"",IF(PFYDate&lt;AH23,-1,12*(YEAR(PFYDate)-YEAR(AH23))+MONTH(PFYDate)-MONTH(AH23)-IF(DAY(PFYDate)&lt;MIN(DAY(AH23),DAY(EOMONTH(PFYDate,0))),1,0)))</f>
        <v>-1</v>
      </c>
      <c r="AX23" s="19" t="n">
        <f aca="false">IF(AG23=0,"",IF(OR(AI23&lt;2,AK23&gt;PFYDate),AW23,IF((AK23-1)&lt;AH23,-1,12*(YEAR((AK23-1))-YEAR(AH23))+MONTH((AK23-1))-MONTH(AH23)-IF(DAY((AK23-1))&lt;MIN(DAY(AH23),DAY(EOMONTH((AK23-1),0))),1,0))))</f>
        <v>-1</v>
      </c>
      <c r="AY23" s="19" t="n">
        <f aca="false">IF(AG23=0,"",IF(OR(AI23&lt;3,AL23&gt;PFYDate),AW23,IF((AL23-1)&lt;AH23,-1,12*(YEAR((AL23-1))-YEAR(AH23))+MONTH((AL23-1))-MONTH(AH23)-IF(DAY((AL23-1))&lt;MIN(DAY(AH23),DAY(EOMONTH((AL23-1),0))),1,0))))</f>
        <v>-1</v>
      </c>
      <c r="AZ23" s="19" t="n">
        <f aca="false">IF(AG23=0,"",IF(AP23="FT",IF(AU23&lt;FT_First,0,IF(AU23&lt;FT_Y5,1+INT((AU23-FT_First)/FT_Int1),FT_PreY5+FT_PerYear*INT((AU23-FT_Y5)/12)+FT_AnnivDays+INT(MOD(AU23-FT_Y5,12)/FT_Int2))),IF(AP23="PT",IF(AU23&lt;PT_First,0,1+INT((AU23-PT_First)/PT_Int)),0))+IF(AND(AI23&gt;=2,AK23&lt;=AsOfDate),IF(AQ23="FT",IF(AV23&lt;FT_First,0,IF(AV23&lt;FT_Y5,1+INT((AV23-FT_First)/FT_Int1),FT_PreY5+FT_PerYear*INT((AV23-FT_Y5)/12)+FT_AnnivDays+INT(MOD(AV23-FT_Y5,12)/FT_Int2))),IF(AQ23="PT",IF(AV23&lt;PT_First,0,1+INT((AV23-PT_First)/PT_Int)),0))-IF(AQ23="FT",IF(AU23&lt;FT_First,0,IF(AU23&lt;FT_Y5,1+INT((AU23-FT_First)/FT_Int1),FT_PreY5+FT_PerYear*INT((AU23-FT_Y5)/12)+FT_AnnivDays+INT(MOD(AU23-FT_Y5,12)/FT_Int2))),IF(AQ23="PT",IF(AU23&lt;PT_First,0,1+INT((AU23-PT_First)/PT_Int)),0)),0)+IF(AND(AI23&gt;=3,AL23&lt;=AsOfDate),IF(AR23="FT",IF(AT23&lt;FT_First,0,IF(AT23&lt;FT_Y5,1+INT((AT23-FT_First)/FT_Int1),FT_PreY5+FT_PerYear*INT((AT23-FT_Y5)/12)+FT_AnnivDays+INT(MOD(AT23-FT_Y5,12)/FT_Int2))),IF(AR23="PT",IF(AT23&lt;PT_First,0,1+INT((AT23-PT_First)/PT_Int)),0))-IF(AR23="FT",IF(AV23&lt;FT_First,0,IF(AV23&lt;FT_Y5,1+INT((AV23-FT_First)/FT_Int1),FT_PreY5+FT_PerYear*INT((AV23-FT_Y5)/12)+FT_AnnivDays+INT(MOD(AV23-FT_Y5,12)/FT_Int2))),IF(AR23="PT",IF(AV23&lt;PT_First,0,1+INT((AV23-PT_First)/PT_Int)),0)),0))</f>
        <v>0</v>
      </c>
      <c r="BA23" s="19" t="n">
        <f aca="false">IF(AG23=0,"",IF(AP23="FT",IF(AX23&lt;FT_First,0,IF(AX23&lt;FT_Y5,1+INT((AX23-FT_First)/FT_Int1),FT_PreY5+FT_PerYear*INT((AX23-FT_Y5)/12)+FT_AnnivDays+INT(MOD(AX23-FT_Y5,12)/FT_Int2))),IF(AP23="PT",IF(AX23&lt;PT_First,0,1+INT((AX23-PT_First)/PT_Int)),0))+IF(AND(AI23&gt;=2,AK23&lt;=PFYDate),IF(AQ23="FT",IF(AY23&lt;FT_First,0,IF(AY23&lt;FT_Y5,1+INT((AY23-FT_First)/FT_Int1),FT_PreY5+FT_PerYear*INT((AY23-FT_Y5)/12)+FT_AnnivDays+INT(MOD(AY23-FT_Y5,12)/FT_Int2))),IF(AQ23="PT",IF(AY23&lt;PT_First,0,1+INT((AY23-PT_First)/PT_Int)),0))-IF(AQ23="FT",IF(AX23&lt;FT_First,0,IF(AX23&lt;FT_Y5,1+INT((AX23-FT_First)/FT_Int1),FT_PreY5+FT_PerYear*INT((AX23-FT_Y5)/12)+FT_AnnivDays+INT(MOD(AX23-FT_Y5,12)/FT_Int2))),IF(AQ23="PT",IF(AX23&lt;PT_First,0,1+INT((AX23-PT_First)/PT_Int)),0)),0)+IF(AND(AI23&gt;=3,AL23&lt;=PFYDate),IF(AR23="FT",IF(AW23&lt;FT_First,0,IF(AW23&lt;FT_Y5,1+INT((AW23-FT_First)/FT_Int1),FT_PreY5+FT_PerYear*INT((AW23-FT_Y5)/12)+FT_AnnivDays+INT(MOD(AW23-FT_Y5,12)/FT_Int2))),IF(AR23="PT",IF(AW23&lt;PT_First,0,1+INT((AW23-PT_First)/PT_Int)),0))-IF(AR23="FT",IF(AY23&lt;FT_First,0,IF(AY23&lt;FT_Y5,1+INT((AY23-FT_First)/FT_Int1),FT_PreY5+FT_PerYear*INT((AY23-FT_Y5)/12)+FT_AnnivDays+INT(MOD(AY23-FT_Y5,12)/FT_Int2))),IF(AR23="PT",IF(AY23&lt;PT_First,0,1+INT((AY23-PT_First)/PT_Int)),0)),0))</f>
        <v>0</v>
      </c>
      <c r="BB23" s="19" t="str">
        <f aca="false">IF(AG23=0,"",IF(AS23="FT",IF(AT23&lt;FT_First,FT_First,IF(AT23&lt;FT_Y5,MIN(FT_Y5,FT_First+FT_Int1*(INT((AT23-FT_First)/FT_Int1)+1)),FT_Y5+12*INT((AT23-FT_Y5)/12)+FT_Int2*(INT(MOD(AT23-FT_Y5,12)/FT_Int2)+1))),IF(AS23="PT",IF(AT23&lt;PT_First,PT_First,PT_First+PT_Int*(INT((AT23-PT_First)/PT_Int)+1)),"")))</f>
        <v/>
      </c>
      <c r="BC23" s="19" t="n">
        <f aca="false">IF(AG23=0,"",IF(NOT(LH_Ready),0,COUNTIFS(INDEX(LH_Data,0,LH_ColFirst),$A23,INDEX(LH_Data,0,LH_ColSur),$B23,INDEX(LH_Data,0,LH_ColCat),BonusCat)))</f>
        <v>0</v>
      </c>
      <c r="BD23" s="19" t="n">
        <f aca="false">IF(AG23=0,"",IF(OR(NOT(LH_Ready),BC23=0),0,SUMPRODUCT(MAX((INDEX(LH_Data,0,LH_ColFirst)=$A23)*(INDEX(LH_Data,0,LH_ColSur)=$B23)*(INDEX(LH_Data,0,LH_ColCat)=BonusCat)*ROW(LH_Data)))))</f>
        <v>0</v>
      </c>
      <c r="BE23" s="19" t="n">
        <f aca="false">IF(AG23=0,"",IF(EOMONTH(AsOfDate,-1)&lt;AH23,-1,12*(YEAR(EOMONTH(AsOfDate,-1))-YEAR(AH23))+MONTH(EOMONTH(AsOfDate,-1))-MONTH(AH23)-IF(DAY(EOMONTH(AsOfDate,-1))&lt;MIN(DAY(AH23),DAY(EOMONTH(EOMONTH(AsOfDate,-1),0))),1,0)))</f>
        <v>5</v>
      </c>
      <c r="BF23" s="19" t="n">
        <f aca="false">IF(AG23=0,"",IF(OR(AI23&lt;2,AK23&gt;EOMONTH(AsOfDate,-1)),BE23,IF((AK23-1)&lt;AH23,-1,12*(YEAR((AK23-1))-YEAR(AH23))+MONTH((AK23-1))-MONTH(AH23)-IF(DAY((AK23-1))&lt;MIN(DAY(AH23),DAY(EOMONTH((AK23-1),0))),1,0))))</f>
        <v>5</v>
      </c>
      <c r="BG23" s="19" t="n">
        <f aca="false">IF(AG23=0,"",IF(OR(AI23&lt;3,AL23&gt;EOMONTH(AsOfDate,-1)),BE23,IF((AL23-1)&lt;AH23,-1,12*(YEAR((AL23-1))-YEAR(AH23))+MONTH((AL23-1))-MONTH(AH23)-IF(DAY((AL23-1))&lt;MIN(DAY(AH23),DAY(EOMONTH((AL23-1),0))),1,0))))</f>
        <v>5</v>
      </c>
      <c r="BH23" s="19" t="n">
        <f aca="false">IF(AG23=0,"",IF(AP23="FT",IF(BF23&lt;FT_First,0,IF(BF23&lt;FT_Y5,1+INT((BF23-FT_First)/FT_Int1),FT_PreY5+FT_PerYear*INT((BF23-FT_Y5)/12)+FT_AnnivDays+INT(MOD(BF23-FT_Y5,12)/FT_Int2))),IF(AP23="PT",IF(BF23&lt;PT_First,0,1+INT((BF23-PT_First)/PT_Int)),0))+IF(AND(AI23&gt;=2,AK23&lt;=EOMONTH(AsOfDate,-1)),IF(AQ23="FT",IF(BG23&lt;FT_First,0,IF(BG23&lt;FT_Y5,1+INT((BG23-FT_First)/FT_Int1),FT_PreY5+FT_PerYear*INT((BG23-FT_Y5)/12)+FT_AnnivDays+INT(MOD(BG23-FT_Y5,12)/FT_Int2))),IF(AQ23="PT",IF(BG23&lt;PT_First,0,1+INT((BG23-PT_First)/PT_Int)),0))-IF(AQ23="FT",IF(BF23&lt;FT_First,0,IF(BF23&lt;FT_Y5,1+INT((BF23-FT_First)/FT_Int1),FT_PreY5+FT_PerYear*INT((BF23-FT_Y5)/12)+FT_AnnivDays+INT(MOD(BF23-FT_Y5,12)/FT_Int2))),IF(AQ23="PT",IF(BF23&lt;PT_First,0,1+INT((BF23-PT_First)/PT_Int)),0)),0)+IF(AND(AI23&gt;=3,AL23&lt;=EOMONTH(AsOfDate,-1)),IF(AR23="FT",IF(BE23&lt;FT_First,0,IF(BE23&lt;FT_Y5,1+INT((BE23-FT_First)/FT_Int1),FT_PreY5+FT_PerYear*INT((BE23-FT_Y5)/12)+FT_AnnivDays+INT(MOD(BE23-FT_Y5,12)/FT_Int2))),IF(AR23="PT",IF(BE23&lt;PT_First,0,1+INT((BE23-PT_First)/PT_Int)),0))-IF(AR23="FT",IF(BG23&lt;FT_First,0,IF(BG23&lt;FT_Y5,1+INT((BG23-FT_First)/FT_Int1),FT_PreY5+FT_PerYear*INT((BG23-FT_Y5)/12)+FT_AnnivDays+INT(MOD(BG23-FT_Y5,12)/FT_Int2))),IF(AR23="PT",IF(BG23&lt;PT_First,0,1+INT((BG23-PT_First)/PT_Int)),0)),0))</f>
        <v>0</v>
      </c>
      <c r="BI23" s="19" t="str">
        <f aca="false">IF(AG23=0,"",IF(AS23="FT",IF(AT23&lt;FT_First,"",IF(AT23&lt;FT_Y5,FT_First+FT_Int1*INT((AT23-FT_First)/FT_Int1),FT_Y5+FT_Int2*INT((AT23-FT_Y5)/FT_Int2))),IF(AS23="PT",IF(AT23&lt;PT_First,"",PT_First+PT_Int*INT((AT23-PT_First)/PT_Int)),"")))</f>
        <v/>
      </c>
      <c r="BJ23" s="0" t="str">
        <f aca="false">IF(LEN($A23&amp;$B23)=0,"",$A23&amp;" "&amp;$B23)</f>
        <v>Dimitri Gerakios</v>
      </c>
    </row>
    <row r="24" customFormat="false" ht="15" hidden="false" customHeight="false" outlineLevel="0" collapsed="false">
      <c r="A24" s="15" t="s">
        <v>176</v>
      </c>
      <c r="B24" s="15" t="s">
        <v>177</v>
      </c>
      <c r="C24" s="15" t="s">
        <v>153</v>
      </c>
      <c r="D24" s="16" t="n">
        <v>25900</v>
      </c>
      <c r="E24" s="17" t="n">
        <f aca="false">IF(OR(AG24=0,$D24=""),"",DATE(YEAR(AsOfDate)+IF(DATE(YEAR(AsOfDate),MONTH($D24),DAY($D24))&lt;=AsOfDate,1,0),MONTH($D24),DAY($D24)))</f>
        <v>46354</v>
      </c>
      <c r="F24" s="16" t="n">
        <v>39006</v>
      </c>
      <c r="G24" s="16"/>
      <c r="H24" s="16"/>
      <c r="I24" s="16" t="n">
        <v>39006</v>
      </c>
      <c r="J24" s="16"/>
      <c r="K24" s="17" t="n">
        <f aca="false">IF(AG24=0,"",DATE(YEAR(AsOfDate)+IF(DATE(YEAR(AsOfDate),MONTH(AH24),DAY(AH24))&lt;=AsOfDate,1,0),MONTH(AH24),DAY(AH24)))</f>
        <v>46311</v>
      </c>
      <c r="L24" s="18" t="n">
        <f aca="false">IF(AG24=0,"",ROUND((AsOfDate-AH24)/365.25,1))</f>
        <v>20</v>
      </c>
      <c r="M24" s="19" t="str">
        <f aca="false">IF(AG24=0,"",IF(AsOfDate&lt;AH24,"-",DATEDIF(AH24,AsOfDate,"y")&amp;"y "&amp;DATEDIF(AH24,AsOfDate,"ym")&amp;"m "&amp;DATEDIF(AH24,AsOfDate,"md")&amp;"d"))</f>
        <v>19y 11m 20d</v>
      </c>
      <c r="N24" s="20" t="n">
        <f aca="false">IF(AG24=0,"",O24*HoursPerDay)</f>
        <v>648</v>
      </c>
      <c r="O24" s="20" t="n">
        <f aca="false">IF(AG24=0,"",AZ24)</f>
        <v>81</v>
      </c>
      <c r="P24" s="21"/>
      <c r="Q24" s="19"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19"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17" t="n">
        <f aca="false">IF(AG24=0,"",IF(AS24="None","",EDATE(AH24,BB24)))</f>
        <v>46311</v>
      </c>
      <c r="T24" s="20" t="n">
        <f aca="false">IF(AG24=0,"",IF(NOT(LH_Ready),"",IF(AH24&gt;PFYDate,0,IF(LH_ColPeriod=0,W24-U24+V24,SUMIFS(INDEX(LH_Data,0,LH_ColAcc),INDEX(LH_Data,0,LH_ColFirst),$A24,INDEX(LH_Data,0,LH_ColSur),$B24,INDEX(LH_Data,0,LH_ColCat),BonusCat,INDEX(LH_Data,0,LH_ColPeriod),LH_OpenLabel)*UnitFactor))))</f>
        <v>208</v>
      </c>
      <c r="U24" s="20" t="n">
        <f aca="false">IF(AG24=0,"",IF(NOT(LH_Ready),"",SUMIFS(INDEX(LH_Data,0,LH_ColAcc),INDEX(LH_Data,0,LH_ColFirst),$A24,INDEX(LH_Data,0,LH_ColSur),$B24,INDEX(LH_Data,0,LH_ColCat),BonusCat,INDEX(LH_Data,0,LH_ColStart),"&gt;="&amp;AH24)*UnitFactor))</f>
        <v>152</v>
      </c>
      <c r="V24" s="20" t="n">
        <f aca="false">IF(AG24=0,"",IF(NOT(LH_Ready),"",SUMIFS(INDEX(LH_Data,0,LH_ColTaken),INDEX(LH_Data,0,LH_ColFirst),$A24,INDEX(LH_Data,0,LH_ColSur),$B24,INDEX(LH_Data,0,LH_ColCat),BonusCat,INDEX(LH_Data,0,LH_ColStart),"&gt;="&amp;AH24)*UnitFactor))</f>
        <v>12</v>
      </c>
      <c r="W24" s="20" t="n">
        <f aca="false">IF(AG24=0,"",IF(NOT(LH_Ready),"",IF(BD24=0,0,INDEX(INDEX(LH_Data,0,LH_ColClose),BD24-1)*UnitFactor)))</f>
        <v>348</v>
      </c>
      <c r="X24" s="20" t="n">
        <f aca="false">IF(AG24=0,"",(AZ24-BA24)*HoursPerDay)</f>
        <v>288</v>
      </c>
      <c r="Y24" s="20" t="n">
        <f aca="false">IF(AG24=0,"",IF(NOT(LH_Ready),"",IF(BC24=0,N24,IF(PFYDate&lt;$F24,N24-N(T24)-N(U24),X24-N(U24)))))</f>
        <v>136</v>
      </c>
      <c r="Z24" s="19" t="str">
        <f aca="false">IF(OR(AG24=0,Y24=""),"",IF(Y24&gt;0,"Yes","No"))</f>
        <v>Yes</v>
      </c>
      <c r="AA24" s="19"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ACCRUE 136 hrs (17 days): all catch-up from earlier months, nothing new this month</v>
      </c>
      <c r="AB24" s="20" t="n">
        <f aca="false">IF(OR(AG24=0,T24=""),"",BA24*HoursPerDay-T24)</f>
        <v>152</v>
      </c>
      <c r="AC24" s="19" t="n">
        <f aca="false">IF(AG24=0,"",BC24)</f>
        <v>17</v>
      </c>
      <c r="AD24" s="19"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20" t="n">
        <f aca="false">IF(AG24=0,"",O24-BH24)</f>
        <v>0</v>
      </c>
      <c r="AF24" s="17" t="str">
        <f aca="false">IF(OR(AG24=0,AE24="",N(AE24)=0,BI24=""),"",EDATE(AH24,BI24))</f>
        <v/>
      </c>
      <c r="AG24" s="19" t="n">
        <f aca="false">IF(OR(LEN($A24&amp;$B24)=0,$F24=""),0,1)</f>
        <v>1</v>
      </c>
      <c r="AH24" s="17" t="n">
        <f aca="false">IF(AG24=0,"",IF($J24&lt;&gt;"",$J24,IF(OR(CasualCounts="Yes",COUNT($G24:$I24)=0,COUNT($H24:$I24)=0),$F24,MIN($H24:$I24))))</f>
        <v>39006</v>
      </c>
      <c r="AI24" s="19" t="n">
        <f aca="false">IF(AG24=0,"",COUNT($G24:$I24))</f>
        <v>1</v>
      </c>
      <c r="AJ24" s="17" t="n">
        <f aca="false">IF(AG24=0,"",IFERROR(SMALL($G24:$I24,1),""))</f>
        <v>39006</v>
      </c>
      <c r="AK24" s="17" t="str">
        <f aca="false">IF(AG24=0,"",IFERROR(SMALL($G24:$I24,2),""))</f>
        <v/>
      </c>
      <c r="AL24" s="17" t="str">
        <f aca="false">IF(AG24=0,"",IFERROR(SMALL($G24:$I24,3),""))</f>
        <v/>
      </c>
      <c r="AM24" s="19" t="str">
        <f aca="false">IF(AG24=0,"",IF(AJ24="","",IF(AJ24=$H24,"Part-Time",IF(AJ24=$I24,"Full-Time","Casual"))))</f>
        <v>Full-Time</v>
      </c>
      <c r="AN24" s="19" t="str">
        <f aca="false">IF(AG24=0,"",IF(AK24="","",IF(AK24=$H24,"Part-Time",IF(AK24=$I24,"Full-Time","Casual"))))</f>
        <v/>
      </c>
      <c r="AO24" s="19" t="str">
        <f aca="false">IF(AG24=0,"",IF(AL24="","",IF(AL24=$H24,"Part-Time",IF(AL24=$I24,"Full-Time","Casual"))))</f>
        <v/>
      </c>
      <c r="AP24" s="19"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FT</v>
      </c>
      <c r="AQ24" s="19" t="str">
        <f aca="false">IF(AG24=0,"",IF(AI24&lt;2,"",IF(OR(ISNUMBER(SEARCH("full",AN24)),UPPER(TRIM(AN24))="FT",UPPER(TRIM(AN24))="FTE"),"FT",IF(AND(OR(ISNUMBER(SEARCH("part",AN24)),UPPER(TRIM(AN24))="PT",UPPER(TRIM(AN24))="PTE"),OR($P24="",N($P24)&gt;=PT_MinHours)),"PT","None"))))</f>
        <v/>
      </c>
      <c r="AR24" s="19" t="str">
        <f aca="false">IF(AG24=0,"",IF(AI24&lt;3,"",IF(OR(ISNUMBER(SEARCH("full",AO24)),UPPER(TRIM(AO24))="FT",UPPER(TRIM(AO24))="FTE"),"FT",IF(AND(OR(ISNUMBER(SEARCH("part",AO24)),UPPER(TRIM(AO24))="PT",UPPER(TRIM(AO24))="PTE"),OR($P24="",N($P24)&gt;=PT_MinHours)),"PT","None"))))</f>
        <v/>
      </c>
      <c r="AS24" s="19" t="str">
        <f aca="false">IF(AG24=0,"",IF(AND(AI24&gt;=3,AL24&lt;=AsOfDate),AR24,IF(AND(AI24&gt;=2,AK24&lt;=AsOfDate),AQ24,AP24)))</f>
        <v>FT</v>
      </c>
      <c r="AT24" s="19" t="n">
        <f aca="false">IF(AG24=0,"",IF(AsOfDate&lt;AH24,-1,12*(YEAR(AsOfDate)-YEAR(AH24))+MONTH(AsOfDate)-MONTH(AH24)-IF(DAY(AsOfDate)&lt;MIN(DAY(AH24),DAY(EOMONTH(AsOfDate,0))),1,0)))</f>
        <v>239</v>
      </c>
      <c r="AU24" s="19" t="n">
        <f aca="false">IF(AG24=0,"",IF(OR(AI24&lt;2,AK24&gt;AsOfDate),AT24,IF((AK24-1)&lt;AH24,-1,12*(YEAR((AK24-1))-YEAR(AH24))+MONTH((AK24-1))-MONTH(AH24)-IF(DAY((AK24-1))&lt;MIN(DAY(AH24),DAY(EOMONTH((AK24-1),0))),1,0))))</f>
        <v>239</v>
      </c>
      <c r="AV24" s="19" t="n">
        <f aca="false">IF(AG24=0,"",IF(OR(AI24&lt;3,AL24&gt;AsOfDate),AT24,IF((AL24-1)&lt;AH24,-1,12*(YEAR((AL24-1))-YEAR(AH24))+MONTH((AL24-1))-MONTH(AH24)-IF(DAY((AL24-1))&lt;MIN(DAY(AH24),DAY(EOMONTH((AL24-1),0))),1,0))))</f>
        <v>239</v>
      </c>
      <c r="AW24" s="19" t="n">
        <f aca="false">IF(AG24=0,"",IF(PFYDate&lt;AH24,-1,12*(YEAR(PFYDate)-YEAR(AH24))+MONTH(PFYDate)-MONTH(AH24)-IF(DAY(PFYDate)&lt;MIN(DAY(AH24),DAY(EOMONTH(PFYDate,0))),1,0)))</f>
        <v>152</v>
      </c>
      <c r="AX24" s="19" t="n">
        <f aca="false">IF(AG24=0,"",IF(OR(AI24&lt;2,AK24&gt;PFYDate),AW24,IF((AK24-1)&lt;AH24,-1,12*(YEAR((AK24-1))-YEAR(AH24))+MONTH((AK24-1))-MONTH(AH24)-IF(DAY((AK24-1))&lt;MIN(DAY(AH24),DAY(EOMONTH((AK24-1),0))),1,0))))</f>
        <v>152</v>
      </c>
      <c r="AY24" s="19" t="n">
        <f aca="false">IF(AG24=0,"",IF(OR(AI24&lt;3,AL24&gt;PFYDate),AW24,IF((AL24-1)&lt;AH24,-1,12*(YEAR((AL24-1))-YEAR(AH24))+MONTH((AL24-1))-MONTH(AH24)-IF(DAY((AL24-1))&lt;MIN(DAY(AH24),DAY(EOMONTH((AL24-1),0))),1,0))))</f>
        <v>152</v>
      </c>
      <c r="AZ24" s="19" t="n">
        <f aca="false">IF(AG24=0,"",IF(AP24="FT",IF(AU24&lt;FT_First,0,IF(AU24&lt;FT_Y5,1+INT((AU24-FT_First)/FT_Int1),FT_PreY5+FT_PerYear*INT((AU24-FT_Y5)/12)+FT_AnnivDays+INT(MOD(AU24-FT_Y5,12)/FT_Int2))),IF(AP24="PT",IF(AU24&lt;PT_First,0,1+INT((AU24-PT_First)/PT_Int)),0))+IF(AND(AI24&gt;=2,AK24&lt;=AsOfDate),IF(AQ24="FT",IF(AV24&lt;FT_First,0,IF(AV24&lt;FT_Y5,1+INT((AV24-FT_First)/FT_Int1),FT_PreY5+FT_PerYear*INT((AV24-FT_Y5)/12)+FT_AnnivDays+INT(MOD(AV24-FT_Y5,12)/FT_Int2))),IF(AQ24="PT",IF(AV24&lt;PT_First,0,1+INT((AV24-PT_First)/PT_Int)),0))-IF(AQ24="FT",IF(AU24&lt;FT_First,0,IF(AU24&lt;FT_Y5,1+INT((AU24-FT_First)/FT_Int1),FT_PreY5+FT_PerYear*INT((AU24-FT_Y5)/12)+FT_AnnivDays+INT(MOD(AU24-FT_Y5,12)/FT_Int2))),IF(AQ24="PT",IF(AU24&lt;PT_First,0,1+INT((AU24-PT_First)/PT_Int)),0)),0)+IF(AND(AI24&gt;=3,AL24&lt;=AsOfDate),IF(AR24="FT",IF(AT24&lt;FT_First,0,IF(AT24&lt;FT_Y5,1+INT((AT24-FT_First)/FT_Int1),FT_PreY5+FT_PerYear*INT((AT24-FT_Y5)/12)+FT_AnnivDays+INT(MOD(AT24-FT_Y5,12)/FT_Int2))),IF(AR24="PT",IF(AT24&lt;PT_First,0,1+INT((AT24-PT_First)/PT_Int)),0))-IF(AR24="FT",IF(AV24&lt;FT_First,0,IF(AV24&lt;FT_Y5,1+INT((AV24-FT_First)/FT_Int1),FT_PreY5+FT_PerYear*INT((AV24-FT_Y5)/12)+FT_AnnivDays+INT(MOD(AV24-FT_Y5,12)/FT_Int2))),IF(AR24="PT",IF(AV24&lt;PT_First,0,1+INT((AV24-PT_First)/PT_Int)),0)),0))</f>
        <v>81</v>
      </c>
      <c r="BA24" s="19" t="n">
        <f aca="false">IF(AG24=0,"",IF(AP24="FT",IF(AX24&lt;FT_First,0,IF(AX24&lt;FT_Y5,1+INT((AX24-FT_First)/FT_Int1),FT_PreY5+FT_PerYear*INT((AX24-FT_Y5)/12)+FT_AnnivDays+INT(MOD(AX24-FT_Y5,12)/FT_Int2))),IF(AP24="PT",IF(AX24&lt;PT_First,0,1+INT((AX24-PT_First)/PT_Int)),0))+IF(AND(AI24&gt;=2,AK24&lt;=PFYDate),IF(AQ24="FT",IF(AY24&lt;FT_First,0,IF(AY24&lt;FT_Y5,1+INT((AY24-FT_First)/FT_Int1),FT_PreY5+FT_PerYear*INT((AY24-FT_Y5)/12)+FT_AnnivDays+INT(MOD(AY24-FT_Y5,12)/FT_Int2))),IF(AQ24="PT",IF(AY24&lt;PT_First,0,1+INT((AY24-PT_First)/PT_Int)),0))-IF(AQ24="FT",IF(AX24&lt;FT_First,0,IF(AX24&lt;FT_Y5,1+INT((AX24-FT_First)/FT_Int1),FT_PreY5+FT_PerYear*INT((AX24-FT_Y5)/12)+FT_AnnivDays+INT(MOD(AX24-FT_Y5,12)/FT_Int2))),IF(AQ24="PT",IF(AX24&lt;PT_First,0,1+INT((AX24-PT_First)/PT_Int)),0)),0)+IF(AND(AI24&gt;=3,AL24&lt;=PFYDate),IF(AR24="FT",IF(AW24&lt;FT_First,0,IF(AW24&lt;FT_Y5,1+INT((AW24-FT_First)/FT_Int1),FT_PreY5+FT_PerYear*INT((AW24-FT_Y5)/12)+FT_AnnivDays+INT(MOD(AW24-FT_Y5,12)/FT_Int2))),IF(AR24="PT",IF(AW24&lt;PT_First,0,1+INT((AW24-PT_First)/PT_Int)),0))-IF(AR24="FT",IF(AY24&lt;FT_First,0,IF(AY24&lt;FT_Y5,1+INT((AY24-FT_First)/FT_Int1),FT_PreY5+FT_PerYear*INT((AY24-FT_Y5)/12)+FT_AnnivDays+INT(MOD(AY24-FT_Y5,12)/FT_Int2))),IF(AR24="PT",IF(AY24&lt;PT_First,0,1+INT((AY24-PT_First)/PT_Int)),0)),0))</f>
        <v>45</v>
      </c>
      <c r="BB24" s="19" t="n">
        <f aca="false">IF(AG24=0,"",IF(AS24="FT",IF(AT24&lt;FT_First,FT_First,IF(AT24&lt;FT_Y5,MIN(FT_Y5,FT_First+FT_Int1*(INT((AT24-FT_First)/FT_Int1)+1)),FT_Y5+12*INT((AT24-FT_Y5)/12)+FT_Int2*(INT(MOD(AT24-FT_Y5,12)/FT_Int2)+1))),IF(AS24="PT",IF(AT24&lt;PT_First,PT_First,PT_First+PT_Int*(INT((AT24-PT_First)/PT_Int)+1)),"")))</f>
        <v>240</v>
      </c>
      <c r="BC24" s="19" t="n">
        <f aca="false">IF(AG24=0,"",IF(NOT(LH_Ready),0,COUNTIFS(INDEX(LH_Data,0,LH_ColFirst),$A24,INDEX(LH_Data,0,LH_ColSur),$B24,INDEX(LH_Data,0,LH_ColCat),BonusCat)))</f>
        <v>17</v>
      </c>
      <c r="BD24" s="19" t="n">
        <f aca="false">IF(AG24=0,"",IF(OR(NOT(LH_Ready),BC24=0),0,SUMPRODUCT(MAX((INDEX(LH_Data,0,LH_ColFirst)=$A24)*(INDEX(LH_Data,0,LH_ColSur)=$B24)*(INDEX(LH_Data,0,LH_ColCat)=BonusCat)*ROW(LH_Data)))))</f>
        <v>81</v>
      </c>
      <c r="BE24" s="19" t="n">
        <f aca="false">IF(AG24=0,"",IF(EOMONTH(AsOfDate,-1)&lt;AH24,-1,12*(YEAR(EOMONTH(AsOfDate,-1))-YEAR(AH24))+MONTH(EOMONTH(AsOfDate,-1))-MONTH(AH24)-IF(DAY(EOMONTH(AsOfDate,-1))&lt;MIN(DAY(AH24),DAY(EOMONTH(EOMONTH(AsOfDate,-1),0))),1,0)))</f>
        <v>239</v>
      </c>
      <c r="BF24" s="19" t="n">
        <f aca="false">IF(AG24=0,"",IF(OR(AI24&lt;2,AK24&gt;EOMONTH(AsOfDate,-1)),BE24,IF((AK24-1)&lt;AH24,-1,12*(YEAR((AK24-1))-YEAR(AH24))+MONTH((AK24-1))-MONTH(AH24)-IF(DAY((AK24-1))&lt;MIN(DAY(AH24),DAY(EOMONTH((AK24-1),0))),1,0))))</f>
        <v>239</v>
      </c>
      <c r="BG24" s="19" t="n">
        <f aca="false">IF(AG24=0,"",IF(OR(AI24&lt;3,AL24&gt;EOMONTH(AsOfDate,-1)),BE24,IF((AL24-1)&lt;AH24,-1,12*(YEAR((AL24-1))-YEAR(AH24))+MONTH((AL24-1))-MONTH(AH24)-IF(DAY((AL24-1))&lt;MIN(DAY(AH24),DAY(EOMONTH((AL24-1),0))),1,0))))</f>
        <v>239</v>
      </c>
      <c r="BH24" s="19" t="n">
        <f aca="false">IF(AG24=0,"",IF(AP24="FT",IF(BF24&lt;FT_First,0,IF(BF24&lt;FT_Y5,1+INT((BF24-FT_First)/FT_Int1),FT_PreY5+FT_PerYear*INT((BF24-FT_Y5)/12)+FT_AnnivDays+INT(MOD(BF24-FT_Y5,12)/FT_Int2))),IF(AP24="PT",IF(BF24&lt;PT_First,0,1+INT((BF24-PT_First)/PT_Int)),0))+IF(AND(AI24&gt;=2,AK24&lt;=EOMONTH(AsOfDate,-1)),IF(AQ24="FT",IF(BG24&lt;FT_First,0,IF(BG24&lt;FT_Y5,1+INT((BG24-FT_First)/FT_Int1),FT_PreY5+FT_PerYear*INT((BG24-FT_Y5)/12)+FT_AnnivDays+INT(MOD(BG24-FT_Y5,12)/FT_Int2))),IF(AQ24="PT",IF(BG24&lt;PT_First,0,1+INT((BG24-PT_First)/PT_Int)),0))-IF(AQ24="FT",IF(BF24&lt;FT_First,0,IF(BF24&lt;FT_Y5,1+INT((BF24-FT_First)/FT_Int1),FT_PreY5+FT_PerYear*INT((BF24-FT_Y5)/12)+FT_AnnivDays+INT(MOD(BF24-FT_Y5,12)/FT_Int2))),IF(AQ24="PT",IF(BF24&lt;PT_First,0,1+INT((BF24-PT_First)/PT_Int)),0)),0)+IF(AND(AI24&gt;=3,AL24&lt;=EOMONTH(AsOfDate,-1)),IF(AR24="FT",IF(BE24&lt;FT_First,0,IF(BE24&lt;FT_Y5,1+INT((BE24-FT_First)/FT_Int1),FT_PreY5+FT_PerYear*INT((BE24-FT_Y5)/12)+FT_AnnivDays+INT(MOD(BE24-FT_Y5,12)/FT_Int2))),IF(AR24="PT",IF(BE24&lt;PT_First,0,1+INT((BE24-PT_First)/PT_Int)),0))-IF(AR24="FT",IF(BG24&lt;FT_First,0,IF(BG24&lt;FT_Y5,1+INT((BG24-FT_First)/FT_Int1),FT_PreY5+FT_PerYear*INT((BG24-FT_Y5)/12)+FT_AnnivDays+INT(MOD(BG24-FT_Y5,12)/FT_Int2))),IF(AR24="PT",IF(BG24&lt;PT_First,0,1+INT((BG24-PT_First)/PT_Int)),0)),0))</f>
        <v>81</v>
      </c>
      <c r="BI24" s="19" t="n">
        <f aca="false">IF(AG24=0,"",IF(AS24="FT",IF(AT24&lt;FT_First,"",IF(AT24&lt;FT_Y5,FT_First+FT_Int1*INT((AT24-FT_First)/FT_Int1),FT_Y5+FT_Int2*INT((AT24-FT_Y5)/FT_Int2))),IF(AS24="PT",IF(AT24&lt;PT_First,"",PT_First+PT_Int*INT((AT24-PT_First)/PT_Int)),"")))</f>
        <v>237</v>
      </c>
      <c r="BJ24" s="0" t="str">
        <f aca="false">IF(LEN($A24&amp;$B24)=0,"",$A24&amp;" "&amp;$B24)</f>
        <v>Duncan LUGSTEIN</v>
      </c>
    </row>
    <row r="25" customFormat="false" ht="15" hidden="false" customHeight="false" outlineLevel="0" collapsed="false">
      <c r="A25" s="15" t="s">
        <v>178</v>
      </c>
      <c r="B25" s="15" t="s">
        <v>179</v>
      </c>
      <c r="C25" s="15" t="s">
        <v>138</v>
      </c>
      <c r="D25" s="16" t="n">
        <v>38013</v>
      </c>
      <c r="E25" s="17" t="n">
        <f aca="false">IF(OR(AG25=0,$D25=""),"",DATE(YEAR(AsOfDate)+IF(DATE(YEAR(AsOfDate),MONTH($D25),DAY($D25))&lt;=AsOfDate,1,0),MONTH($D25),DAY($D25)))</f>
        <v>46414</v>
      </c>
      <c r="F25" s="16" t="n">
        <v>45971</v>
      </c>
      <c r="G25" s="16"/>
      <c r="H25" s="16"/>
      <c r="I25" s="16"/>
      <c r="J25" s="16"/>
      <c r="K25" s="17" t="n">
        <f aca="false">IF(AG25=0,"",DATE(YEAR(AsOfDate)+IF(DATE(YEAR(AsOfDate),MONTH(AH25),DAY(AH25))&lt;=AsOfDate,1,0),MONTH(AH25),DAY(AH25)))</f>
        <v>46336</v>
      </c>
      <c r="L25" s="18" t="n">
        <f aca="false">IF(AG25=0,"",ROUND((AsOfDate-AH25)/365.25,1))</f>
        <v>0.9</v>
      </c>
      <c r="M25" s="19" t="str">
        <f aca="false">IF(AG25=0,"",IF(AsOfDate&lt;AH25,"-",DATEDIF(AH25,AsOfDate,"y")&amp;"y "&amp;DATEDIF(AH25,AsOfDate,"ym")&amp;"m "&amp;DATEDIF(AH25,AsOfDate,"md")&amp;"d"))</f>
        <v>0y 10m 26d</v>
      </c>
      <c r="N25" s="20" t="n">
        <f aca="false">IF(AG25=0,"",O25*HoursPerDay)</f>
        <v>0</v>
      </c>
      <c r="O25" s="20" t="n">
        <f aca="false">IF(AG25=0,"",AZ25)</f>
        <v>0</v>
      </c>
      <c r="P25" s="21"/>
      <c r="Q25" s="19"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19"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17" t="str">
        <f aca="false">IF(AG25=0,"",IF(AS25="None","",EDATE(AH25,BB25)))</f>
        <v/>
      </c>
      <c r="T25" s="20" t="n">
        <f aca="false">IF(AG25=0,"",IF(NOT(LH_Ready),"",IF(AH25&gt;PFYDate,0,IF(LH_ColPeriod=0,W25-U25+V25,SUMIFS(INDEX(LH_Data,0,LH_ColAcc),INDEX(LH_Data,0,LH_ColFirst),$A25,INDEX(LH_Data,0,LH_ColSur),$B25,INDEX(LH_Data,0,LH_ColCat),BonusCat,INDEX(LH_Data,0,LH_ColPeriod),LH_OpenLabel)*UnitFactor))))</f>
        <v>0</v>
      </c>
      <c r="U25" s="20" t="n">
        <f aca="false">IF(AG25=0,"",IF(NOT(LH_Ready),"",SUMIFS(INDEX(LH_Data,0,LH_ColAcc),INDEX(LH_Data,0,LH_ColFirst),$A25,INDEX(LH_Data,0,LH_ColSur),$B25,INDEX(LH_Data,0,LH_ColCat),BonusCat,INDEX(LH_Data,0,LH_ColStart),"&gt;="&amp;AH25)*UnitFactor))</f>
        <v>0</v>
      </c>
      <c r="V25" s="20" t="n">
        <f aca="false">IF(AG25=0,"",IF(NOT(LH_Ready),"",SUMIFS(INDEX(LH_Data,0,LH_ColTaken),INDEX(LH_Data,0,LH_ColFirst),$A25,INDEX(LH_Data,0,LH_ColSur),$B25,INDEX(LH_Data,0,LH_ColCat),BonusCat,INDEX(LH_Data,0,LH_ColStart),"&gt;="&amp;AH25)*UnitFactor))</f>
        <v>0</v>
      </c>
      <c r="W25" s="20" t="n">
        <f aca="false">IF(AG25=0,"",IF(NOT(LH_Ready),"",IF(BD25=0,0,INDEX(INDEX(LH_Data,0,LH_ColClose),BD25-1)*UnitFactor)))</f>
        <v>0</v>
      </c>
      <c r="X25" s="20" t="n">
        <f aca="false">IF(AG25=0,"",(AZ25-BA25)*HoursPerDay)</f>
        <v>0</v>
      </c>
      <c r="Y25" s="20" t="n">
        <f aca="false">IF(AG25=0,"",IF(NOT(LH_Ready),"",IF(BC25=0,N25,IF(PFYDate&lt;$F25,N25-N(T25)-N(U25),X25-N(U25)))))</f>
        <v>0</v>
      </c>
      <c r="Z25" s="19" t="str">
        <f aca="false">IF(OR(AG25=0,Y25=""),"",IF(Y25&gt;0,"Yes","No"))</f>
        <v>No</v>
      </c>
      <c r="AA25" s="19"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Not eligible - Casual</v>
      </c>
      <c r="AB25" s="20" t="n">
        <f aca="false">IF(OR(AG25=0,T25=""),"",BA25*HoursPerDay-T25)</f>
        <v>0</v>
      </c>
      <c r="AC25" s="19" t="n">
        <f aca="false">IF(AG25=0,"",BC25)</f>
        <v>0</v>
      </c>
      <c r="AD25" s="19"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20" t="n">
        <f aca="false">IF(AG25=0,"",O25-BH25)</f>
        <v>0</v>
      </c>
      <c r="AF25" s="17" t="str">
        <f aca="false">IF(OR(AG25=0,AE25="",N(AE25)=0,BI25=""),"",EDATE(AH25,BI25))</f>
        <v/>
      </c>
      <c r="AG25" s="19" t="n">
        <f aca="false">IF(OR(LEN($A25&amp;$B25)=0,$F25=""),0,1)</f>
        <v>1</v>
      </c>
      <c r="AH25" s="17" t="n">
        <f aca="false">IF(AG25=0,"",IF($J25&lt;&gt;"",$J25,IF(OR(CasualCounts="Yes",COUNT($G25:$I25)=0,COUNT($H25:$I25)=0),$F25,MIN($H25:$I25))))</f>
        <v>45971</v>
      </c>
      <c r="AI25" s="19" t="n">
        <f aca="false">IF(AG25=0,"",COUNT($G25:$I25))</f>
        <v>0</v>
      </c>
      <c r="AJ25" s="17" t="str">
        <f aca="false">IF(AG25=0,"",IFERROR(SMALL($G25:$I25,1),""))</f>
        <v/>
      </c>
      <c r="AK25" s="17" t="str">
        <f aca="false">IF(AG25=0,"",IFERROR(SMALL($G25:$I25,2),""))</f>
        <v/>
      </c>
      <c r="AL25" s="17" t="str">
        <f aca="false">IF(AG25=0,"",IFERROR(SMALL($G25:$I25,3),""))</f>
        <v/>
      </c>
      <c r="AM25" s="19" t="str">
        <f aca="false">IF(AG25=0,"",IF(AJ25="","",IF(AJ25=$H25,"Part-Time",IF(AJ25=$I25,"Full-Time","Casual"))))</f>
        <v/>
      </c>
      <c r="AN25" s="19" t="str">
        <f aca="false">IF(AG25=0,"",IF(AK25="","",IF(AK25=$H25,"Part-Time",IF(AK25=$I25,"Full-Time","Casual"))))</f>
        <v/>
      </c>
      <c r="AO25" s="19" t="str">
        <f aca="false">IF(AG25=0,"",IF(AL25="","",IF(AL25=$H25,"Part-Time",IF(AL25=$I25,"Full-Time","Casual"))))</f>
        <v/>
      </c>
      <c r="AP25" s="19"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None</v>
      </c>
      <c r="AQ25" s="19" t="str">
        <f aca="false">IF(AG25=0,"",IF(AI25&lt;2,"",IF(OR(ISNUMBER(SEARCH("full",AN25)),UPPER(TRIM(AN25))="FT",UPPER(TRIM(AN25))="FTE"),"FT",IF(AND(OR(ISNUMBER(SEARCH("part",AN25)),UPPER(TRIM(AN25))="PT",UPPER(TRIM(AN25))="PTE"),OR($P25="",N($P25)&gt;=PT_MinHours)),"PT","None"))))</f>
        <v/>
      </c>
      <c r="AR25" s="19" t="str">
        <f aca="false">IF(AG25=0,"",IF(AI25&lt;3,"",IF(OR(ISNUMBER(SEARCH("full",AO25)),UPPER(TRIM(AO25))="FT",UPPER(TRIM(AO25))="FTE"),"FT",IF(AND(OR(ISNUMBER(SEARCH("part",AO25)),UPPER(TRIM(AO25))="PT",UPPER(TRIM(AO25))="PTE"),OR($P25="",N($P25)&gt;=PT_MinHours)),"PT","None"))))</f>
        <v/>
      </c>
      <c r="AS25" s="19" t="str">
        <f aca="false">IF(AG25=0,"",IF(AND(AI25&gt;=3,AL25&lt;=AsOfDate),AR25,IF(AND(AI25&gt;=2,AK25&lt;=AsOfDate),AQ25,AP25)))</f>
        <v>None</v>
      </c>
      <c r="AT25" s="19" t="n">
        <f aca="false">IF(AG25=0,"",IF(AsOfDate&lt;AH25,-1,12*(YEAR(AsOfDate)-YEAR(AH25))+MONTH(AsOfDate)-MONTH(AH25)-IF(DAY(AsOfDate)&lt;MIN(DAY(AH25),DAY(EOMONTH(AsOfDate,0))),1,0)))</f>
        <v>10</v>
      </c>
      <c r="AU25" s="19" t="n">
        <f aca="false">IF(AG25=0,"",IF(OR(AI25&lt;2,AK25&gt;AsOfDate),AT25,IF((AK25-1)&lt;AH25,-1,12*(YEAR((AK25-1))-YEAR(AH25))+MONTH((AK25-1))-MONTH(AH25)-IF(DAY((AK25-1))&lt;MIN(DAY(AH25),DAY(EOMONTH((AK25-1),0))),1,0))))</f>
        <v>10</v>
      </c>
      <c r="AV25" s="19" t="n">
        <f aca="false">IF(AG25=0,"",IF(OR(AI25&lt;3,AL25&gt;AsOfDate),AT25,IF((AL25-1)&lt;AH25,-1,12*(YEAR((AL25-1))-YEAR(AH25))+MONTH((AL25-1))-MONTH(AH25)-IF(DAY((AL25-1))&lt;MIN(DAY(AH25),DAY(EOMONTH((AL25-1),0))),1,0))))</f>
        <v>10</v>
      </c>
      <c r="AW25" s="19" t="n">
        <f aca="false">IF(AG25=0,"",IF(PFYDate&lt;AH25,-1,12*(YEAR(PFYDate)-YEAR(AH25))+MONTH(PFYDate)-MONTH(AH25)-IF(DAY(PFYDate)&lt;MIN(DAY(AH25),DAY(EOMONTH(PFYDate,0))),1,0)))</f>
        <v>-1</v>
      </c>
      <c r="AX25" s="19" t="n">
        <f aca="false">IF(AG25=0,"",IF(OR(AI25&lt;2,AK25&gt;PFYDate),AW25,IF((AK25-1)&lt;AH25,-1,12*(YEAR((AK25-1))-YEAR(AH25))+MONTH((AK25-1))-MONTH(AH25)-IF(DAY((AK25-1))&lt;MIN(DAY(AH25),DAY(EOMONTH((AK25-1),0))),1,0))))</f>
        <v>-1</v>
      </c>
      <c r="AY25" s="19" t="n">
        <f aca="false">IF(AG25=0,"",IF(OR(AI25&lt;3,AL25&gt;PFYDate),AW25,IF((AL25-1)&lt;AH25,-1,12*(YEAR((AL25-1))-YEAR(AH25))+MONTH((AL25-1))-MONTH(AH25)-IF(DAY((AL25-1))&lt;MIN(DAY(AH25),DAY(EOMONTH((AL25-1),0))),1,0))))</f>
        <v>-1</v>
      </c>
      <c r="AZ25" s="19" t="n">
        <f aca="false">IF(AG25=0,"",IF(AP25="FT",IF(AU25&lt;FT_First,0,IF(AU25&lt;FT_Y5,1+INT((AU25-FT_First)/FT_Int1),FT_PreY5+FT_PerYear*INT((AU25-FT_Y5)/12)+FT_AnnivDays+INT(MOD(AU25-FT_Y5,12)/FT_Int2))),IF(AP25="PT",IF(AU25&lt;PT_First,0,1+INT((AU25-PT_First)/PT_Int)),0))+IF(AND(AI25&gt;=2,AK25&lt;=AsOfDate),IF(AQ25="FT",IF(AV25&lt;FT_First,0,IF(AV25&lt;FT_Y5,1+INT((AV25-FT_First)/FT_Int1),FT_PreY5+FT_PerYear*INT((AV25-FT_Y5)/12)+FT_AnnivDays+INT(MOD(AV25-FT_Y5,12)/FT_Int2))),IF(AQ25="PT",IF(AV25&lt;PT_First,0,1+INT((AV25-PT_First)/PT_Int)),0))-IF(AQ25="FT",IF(AU25&lt;FT_First,0,IF(AU25&lt;FT_Y5,1+INT((AU25-FT_First)/FT_Int1),FT_PreY5+FT_PerYear*INT((AU25-FT_Y5)/12)+FT_AnnivDays+INT(MOD(AU25-FT_Y5,12)/FT_Int2))),IF(AQ25="PT",IF(AU25&lt;PT_First,0,1+INT((AU25-PT_First)/PT_Int)),0)),0)+IF(AND(AI25&gt;=3,AL25&lt;=AsOfDate),IF(AR25="FT",IF(AT25&lt;FT_First,0,IF(AT25&lt;FT_Y5,1+INT((AT25-FT_First)/FT_Int1),FT_PreY5+FT_PerYear*INT((AT25-FT_Y5)/12)+FT_AnnivDays+INT(MOD(AT25-FT_Y5,12)/FT_Int2))),IF(AR25="PT",IF(AT25&lt;PT_First,0,1+INT((AT25-PT_First)/PT_Int)),0))-IF(AR25="FT",IF(AV25&lt;FT_First,0,IF(AV25&lt;FT_Y5,1+INT((AV25-FT_First)/FT_Int1),FT_PreY5+FT_PerYear*INT((AV25-FT_Y5)/12)+FT_AnnivDays+INT(MOD(AV25-FT_Y5,12)/FT_Int2))),IF(AR25="PT",IF(AV25&lt;PT_First,0,1+INT((AV25-PT_First)/PT_Int)),0)),0))</f>
        <v>0</v>
      </c>
      <c r="BA25" s="19" t="n">
        <f aca="false">IF(AG25=0,"",IF(AP25="FT",IF(AX25&lt;FT_First,0,IF(AX25&lt;FT_Y5,1+INT((AX25-FT_First)/FT_Int1),FT_PreY5+FT_PerYear*INT((AX25-FT_Y5)/12)+FT_AnnivDays+INT(MOD(AX25-FT_Y5,12)/FT_Int2))),IF(AP25="PT",IF(AX25&lt;PT_First,0,1+INT((AX25-PT_First)/PT_Int)),0))+IF(AND(AI25&gt;=2,AK25&lt;=PFYDate),IF(AQ25="FT",IF(AY25&lt;FT_First,0,IF(AY25&lt;FT_Y5,1+INT((AY25-FT_First)/FT_Int1),FT_PreY5+FT_PerYear*INT((AY25-FT_Y5)/12)+FT_AnnivDays+INT(MOD(AY25-FT_Y5,12)/FT_Int2))),IF(AQ25="PT",IF(AY25&lt;PT_First,0,1+INT((AY25-PT_First)/PT_Int)),0))-IF(AQ25="FT",IF(AX25&lt;FT_First,0,IF(AX25&lt;FT_Y5,1+INT((AX25-FT_First)/FT_Int1),FT_PreY5+FT_PerYear*INT((AX25-FT_Y5)/12)+FT_AnnivDays+INT(MOD(AX25-FT_Y5,12)/FT_Int2))),IF(AQ25="PT",IF(AX25&lt;PT_First,0,1+INT((AX25-PT_First)/PT_Int)),0)),0)+IF(AND(AI25&gt;=3,AL25&lt;=PFYDate),IF(AR25="FT",IF(AW25&lt;FT_First,0,IF(AW25&lt;FT_Y5,1+INT((AW25-FT_First)/FT_Int1),FT_PreY5+FT_PerYear*INT((AW25-FT_Y5)/12)+FT_AnnivDays+INT(MOD(AW25-FT_Y5,12)/FT_Int2))),IF(AR25="PT",IF(AW25&lt;PT_First,0,1+INT((AW25-PT_First)/PT_Int)),0))-IF(AR25="FT",IF(AY25&lt;FT_First,0,IF(AY25&lt;FT_Y5,1+INT((AY25-FT_First)/FT_Int1),FT_PreY5+FT_PerYear*INT((AY25-FT_Y5)/12)+FT_AnnivDays+INT(MOD(AY25-FT_Y5,12)/FT_Int2))),IF(AR25="PT",IF(AY25&lt;PT_First,0,1+INT((AY25-PT_First)/PT_Int)),0)),0))</f>
        <v>0</v>
      </c>
      <c r="BB25" s="19" t="str">
        <f aca="false">IF(AG25=0,"",IF(AS25="FT",IF(AT25&lt;FT_First,FT_First,IF(AT25&lt;FT_Y5,MIN(FT_Y5,FT_First+FT_Int1*(INT((AT25-FT_First)/FT_Int1)+1)),FT_Y5+12*INT((AT25-FT_Y5)/12)+FT_Int2*(INT(MOD(AT25-FT_Y5,12)/FT_Int2)+1))),IF(AS25="PT",IF(AT25&lt;PT_First,PT_First,PT_First+PT_Int*(INT((AT25-PT_First)/PT_Int)+1)),"")))</f>
        <v/>
      </c>
      <c r="BC25" s="19" t="n">
        <f aca="false">IF(AG25=0,"",IF(NOT(LH_Ready),0,COUNTIFS(INDEX(LH_Data,0,LH_ColFirst),$A25,INDEX(LH_Data,0,LH_ColSur),$B25,INDEX(LH_Data,0,LH_ColCat),BonusCat)))</f>
        <v>0</v>
      </c>
      <c r="BD25" s="19" t="n">
        <f aca="false">IF(AG25=0,"",IF(OR(NOT(LH_Ready),BC25=0),0,SUMPRODUCT(MAX((INDEX(LH_Data,0,LH_ColFirst)=$A25)*(INDEX(LH_Data,0,LH_ColSur)=$B25)*(INDEX(LH_Data,0,LH_ColCat)=BonusCat)*ROW(LH_Data)))))</f>
        <v>0</v>
      </c>
      <c r="BE25" s="19" t="n">
        <f aca="false">IF(AG25=0,"",IF(EOMONTH(AsOfDate,-1)&lt;AH25,-1,12*(YEAR(EOMONTH(AsOfDate,-1))-YEAR(AH25))+MONTH(EOMONTH(AsOfDate,-1))-MONTH(AH25)-IF(DAY(EOMONTH(AsOfDate,-1))&lt;MIN(DAY(AH25),DAY(EOMONTH(EOMONTH(AsOfDate,-1),0))),1,0)))</f>
        <v>10</v>
      </c>
      <c r="BF25" s="19" t="n">
        <f aca="false">IF(AG25=0,"",IF(OR(AI25&lt;2,AK25&gt;EOMONTH(AsOfDate,-1)),BE25,IF((AK25-1)&lt;AH25,-1,12*(YEAR((AK25-1))-YEAR(AH25))+MONTH((AK25-1))-MONTH(AH25)-IF(DAY((AK25-1))&lt;MIN(DAY(AH25),DAY(EOMONTH((AK25-1),0))),1,0))))</f>
        <v>10</v>
      </c>
      <c r="BG25" s="19" t="n">
        <f aca="false">IF(AG25=0,"",IF(OR(AI25&lt;3,AL25&gt;EOMONTH(AsOfDate,-1)),BE25,IF((AL25-1)&lt;AH25,-1,12*(YEAR((AL25-1))-YEAR(AH25))+MONTH((AL25-1))-MONTH(AH25)-IF(DAY((AL25-1))&lt;MIN(DAY(AH25),DAY(EOMONTH((AL25-1),0))),1,0))))</f>
        <v>10</v>
      </c>
      <c r="BH25" s="19" t="n">
        <f aca="false">IF(AG25=0,"",IF(AP25="FT",IF(BF25&lt;FT_First,0,IF(BF25&lt;FT_Y5,1+INT((BF25-FT_First)/FT_Int1),FT_PreY5+FT_PerYear*INT((BF25-FT_Y5)/12)+FT_AnnivDays+INT(MOD(BF25-FT_Y5,12)/FT_Int2))),IF(AP25="PT",IF(BF25&lt;PT_First,0,1+INT((BF25-PT_First)/PT_Int)),0))+IF(AND(AI25&gt;=2,AK25&lt;=EOMONTH(AsOfDate,-1)),IF(AQ25="FT",IF(BG25&lt;FT_First,0,IF(BG25&lt;FT_Y5,1+INT((BG25-FT_First)/FT_Int1),FT_PreY5+FT_PerYear*INT((BG25-FT_Y5)/12)+FT_AnnivDays+INT(MOD(BG25-FT_Y5,12)/FT_Int2))),IF(AQ25="PT",IF(BG25&lt;PT_First,0,1+INT((BG25-PT_First)/PT_Int)),0))-IF(AQ25="FT",IF(BF25&lt;FT_First,0,IF(BF25&lt;FT_Y5,1+INT((BF25-FT_First)/FT_Int1),FT_PreY5+FT_PerYear*INT((BF25-FT_Y5)/12)+FT_AnnivDays+INT(MOD(BF25-FT_Y5,12)/FT_Int2))),IF(AQ25="PT",IF(BF25&lt;PT_First,0,1+INT((BF25-PT_First)/PT_Int)),0)),0)+IF(AND(AI25&gt;=3,AL25&lt;=EOMONTH(AsOfDate,-1)),IF(AR25="FT",IF(BE25&lt;FT_First,0,IF(BE25&lt;FT_Y5,1+INT((BE25-FT_First)/FT_Int1),FT_PreY5+FT_PerYear*INT((BE25-FT_Y5)/12)+FT_AnnivDays+INT(MOD(BE25-FT_Y5,12)/FT_Int2))),IF(AR25="PT",IF(BE25&lt;PT_First,0,1+INT((BE25-PT_First)/PT_Int)),0))-IF(AR25="FT",IF(BG25&lt;FT_First,0,IF(BG25&lt;FT_Y5,1+INT((BG25-FT_First)/FT_Int1),FT_PreY5+FT_PerYear*INT((BG25-FT_Y5)/12)+FT_AnnivDays+INT(MOD(BG25-FT_Y5,12)/FT_Int2))),IF(AR25="PT",IF(BG25&lt;PT_First,0,1+INT((BG25-PT_First)/PT_Int)),0)),0))</f>
        <v>0</v>
      </c>
      <c r="BI25" s="19" t="str">
        <f aca="false">IF(AG25=0,"",IF(AS25="FT",IF(AT25&lt;FT_First,"",IF(AT25&lt;FT_Y5,FT_First+FT_Int1*INT((AT25-FT_First)/FT_Int1),FT_Y5+FT_Int2*INT((AT25-FT_Y5)/FT_Int2))),IF(AS25="PT",IF(AT25&lt;PT_First,"",PT_First+PT_Int*INT((AT25-PT_First)/PT_Int)),"")))</f>
        <v/>
      </c>
      <c r="BJ25" s="0" t="str">
        <f aca="false">IF(LEN($A25&amp;$B25)=0,"",$A25&amp;" "&amp;$B25)</f>
        <v>Dylan Motsi</v>
      </c>
    </row>
    <row r="26" customFormat="false" ht="15" hidden="false" customHeight="false" outlineLevel="0" collapsed="false">
      <c r="A26" s="15" t="s">
        <v>180</v>
      </c>
      <c r="B26" s="15" t="s">
        <v>181</v>
      </c>
      <c r="C26" s="15" t="s">
        <v>138</v>
      </c>
      <c r="D26" s="16" t="n">
        <v>38744</v>
      </c>
      <c r="E26" s="17" t="n">
        <f aca="false">IF(OR(AG26=0,$D26=""),"",DATE(YEAR(AsOfDate)+IF(DATE(YEAR(AsOfDate),MONTH($D26),DAY($D26))&lt;=AsOfDate,1,0),MONTH($D26),DAY($D26)))</f>
        <v>46414</v>
      </c>
      <c r="F26" s="16" t="n">
        <v>45551</v>
      </c>
      <c r="G26" s="16"/>
      <c r="H26" s="16"/>
      <c r="I26" s="16"/>
      <c r="J26" s="16"/>
      <c r="K26" s="17" t="n">
        <f aca="false">IF(AG26=0,"",DATE(YEAR(AsOfDate)+IF(DATE(YEAR(AsOfDate),MONTH(AH26),DAY(AH26))&lt;=AsOfDate,1,0),MONTH(AH26),DAY(AH26)))</f>
        <v>46646</v>
      </c>
      <c r="L26" s="18" t="n">
        <f aca="false">IF(AG26=0,"",ROUND((AsOfDate-AH26)/365.25,1))</f>
        <v>2.1</v>
      </c>
      <c r="M26" s="19" t="str">
        <f aca="false">IF(AG26=0,"",IF(AsOfDate&lt;AH26,"-",DATEDIF(AH26,AsOfDate,"y")&amp;"y "&amp;DATEDIF(AH26,AsOfDate,"ym")&amp;"m "&amp;DATEDIF(AH26,AsOfDate,"md")&amp;"d"))</f>
        <v>2y 0m 20d</v>
      </c>
      <c r="N26" s="20" t="n">
        <f aca="false">IF(AG26=0,"",O26*HoursPerDay)</f>
        <v>0</v>
      </c>
      <c r="O26" s="20" t="n">
        <f aca="false">IF(AG26=0,"",AZ26)</f>
        <v>0</v>
      </c>
      <c r="P26" s="21"/>
      <c r="Q26" s="19"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19"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17" t="str">
        <f aca="false">IF(AG26=0,"",IF(AS26="None","",EDATE(AH26,BB26)))</f>
        <v/>
      </c>
      <c r="T26" s="20" t="n">
        <f aca="false">IF(AG26=0,"",IF(NOT(LH_Ready),"",IF(AH26&gt;PFYDate,0,IF(LH_ColPeriod=0,W26-U26+V26,SUMIFS(INDEX(LH_Data,0,LH_ColAcc),INDEX(LH_Data,0,LH_ColFirst),$A26,INDEX(LH_Data,0,LH_ColSur),$B26,INDEX(LH_Data,0,LH_ColCat),BonusCat,INDEX(LH_Data,0,LH_ColPeriod),LH_OpenLabel)*UnitFactor))))</f>
        <v>0</v>
      </c>
      <c r="U26" s="20" t="n">
        <f aca="false">IF(AG26=0,"",IF(NOT(LH_Ready),"",SUMIFS(INDEX(LH_Data,0,LH_ColAcc),INDEX(LH_Data,0,LH_ColFirst),$A26,INDEX(LH_Data,0,LH_ColSur),$B26,INDEX(LH_Data,0,LH_ColCat),BonusCat,INDEX(LH_Data,0,LH_ColStart),"&gt;="&amp;AH26)*UnitFactor))</f>
        <v>0</v>
      </c>
      <c r="V26" s="20" t="n">
        <f aca="false">IF(AG26=0,"",IF(NOT(LH_Ready),"",SUMIFS(INDEX(LH_Data,0,LH_ColTaken),INDEX(LH_Data,0,LH_ColFirst),$A26,INDEX(LH_Data,0,LH_ColSur),$B26,INDEX(LH_Data,0,LH_ColCat),BonusCat,INDEX(LH_Data,0,LH_ColStart),"&gt;="&amp;AH26)*UnitFactor))</f>
        <v>0</v>
      </c>
      <c r="W26" s="20" t="n">
        <f aca="false">IF(AG26=0,"",IF(NOT(LH_Ready),"",IF(BD26=0,0,INDEX(INDEX(LH_Data,0,LH_ColClose),BD26-1)*UnitFactor)))</f>
        <v>0</v>
      </c>
      <c r="X26" s="20" t="n">
        <f aca="false">IF(AG26=0,"",(AZ26-BA26)*HoursPerDay)</f>
        <v>0</v>
      </c>
      <c r="Y26" s="20" t="n">
        <f aca="false">IF(AG26=0,"",IF(NOT(LH_Ready),"",IF(BC26=0,N26,IF(PFYDate&lt;$F26,N26-N(T26)-N(U26),X26-N(U26)))))</f>
        <v>0</v>
      </c>
      <c r="Z26" s="19" t="str">
        <f aca="false">IF(OR(AG26=0,Y26=""),"",IF(Y26&gt;0,"Yes","No"))</f>
        <v>No</v>
      </c>
      <c r="AA26" s="19"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Not eligible - Casual</v>
      </c>
      <c r="AB26" s="20" t="n">
        <f aca="false">IF(OR(AG26=0,T26=""),"",BA26*HoursPerDay-T26)</f>
        <v>0</v>
      </c>
      <c r="AC26" s="19" t="n">
        <f aca="false">IF(AG26=0,"",BC26)</f>
        <v>0</v>
      </c>
      <c r="AD26" s="19"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20" t="n">
        <f aca="false">IF(AG26=0,"",O26-BH26)</f>
        <v>0</v>
      </c>
      <c r="AF26" s="17" t="str">
        <f aca="false">IF(OR(AG26=0,AE26="",N(AE26)=0,BI26=""),"",EDATE(AH26,BI26))</f>
        <v/>
      </c>
      <c r="AG26" s="19" t="n">
        <f aca="false">IF(OR(LEN($A26&amp;$B26)=0,$F26=""),0,1)</f>
        <v>1</v>
      </c>
      <c r="AH26" s="17" t="n">
        <f aca="false">IF(AG26=0,"",IF($J26&lt;&gt;"",$J26,IF(OR(CasualCounts="Yes",COUNT($G26:$I26)=0,COUNT($H26:$I26)=0),$F26,MIN($H26:$I26))))</f>
        <v>45551</v>
      </c>
      <c r="AI26" s="19" t="n">
        <f aca="false">IF(AG26=0,"",COUNT($G26:$I26))</f>
        <v>0</v>
      </c>
      <c r="AJ26" s="17" t="str">
        <f aca="false">IF(AG26=0,"",IFERROR(SMALL($G26:$I26,1),""))</f>
        <v/>
      </c>
      <c r="AK26" s="17" t="str">
        <f aca="false">IF(AG26=0,"",IFERROR(SMALL($G26:$I26,2),""))</f>
        <v/>
      </c>
      <c r="AL26" s="17" t="str">
        <f aca="false">IF(AG26=0,"",IFERROR(SMALL($G26:$I26,3),""))</f>
        <v/>
      </c>
      <c r="AM26" s="19" t="str">
        <f aca="false">IF(AG26=0,"",IF(AJ26="","",IF(AJ26=$H26,"Part-Time",IF(AJ26=$I26,"Full-Time","Casual"))))</f>
        <v/>
      </c>
      <c r="AN26" s="19" t="str">
        <f aca="false">IF(AG26=0,"",IF(AK26="","",IF(AK26=$H26,"Part-Time",IF(AK26=$I26,"Full-Time","Casual"))))</f>
        <v/>
      </c>
      <c r="AO26" s="19" t="str">
        <f aca="false">IF(AG26=0,"",IF(AL26="","",IF(AL26=$H26,"Part-Time",IF(AL26=$I26,"Full-Time","Casual"))))</f>
        <v/>
      </c>
      <c r="AP26" s="19"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None</v>
      </c>
      <c r="AQ26" s="19" t="str">
        <f aca="false">IF(AG26=0,"",IF(AI26&lt;2,"",IF(OR(ISNUMBER(SEARCH("full",AN26)),UPPER(TRIM(AN26))="FT",UPPER(TRIM(AN26))="FTE"),"FT",IF(AND(OR(ISNUMBER(SEARCH("part",AN26)),UPPER(TRIM(AN26))="PT",UPPER(TRIM(AN26))="PTE"),OR($P26="",N($P26)&gt;=PT_MinHours)),"PT","None"))))</f>
        <v/>
      </c>
      <c r="AR26" s="19" t="str">
        <f aca="false">IF(AG26=0,"",IF(AI26&lt;3,"",IF(OR(ISNUMBER(SEARCH("full",AO26)),UPPER(TRIM(AO26))="FT",UPPER(TRIM(AO26))="FTE"),"FT",IF(AND(OR(ISNUMBER(SEARCH("part",AO26)),UPPER(TRIM(AO26))="PT",UPPER(TRIM(AO26))="PTE"),OR($P26="",N($P26)&gt;=PT_MinHours)),"PT","None"))))</f>
        <v/>
      </c>
      <c r="AS26" s="19" t="str">
        <f aca="false">IF(AG26=0,"",IF(AND(AI26&gt;=3,AL26&lt;=AsOfDate),AR26,IF(AND(AI26&gt;=2,AK26&lt;=AsOfDate),AQ26,AP26)))</f>
        <v>None</v>
      </c>
      <c r="AT26" s="19" t="n">
        <f aca="false">IF(AG26=0,"",IF(AsOfDate&lt;AH26,-1,12*(YEAR(AsOfDate)-YEAR(AH26))+MONTH(AsOfDate)-MONTH(AH26)-IF(DAY(AsOfDate)&lt;MIN(DAY(AH26),DAY(EOMONTH(AsOfDate,0))),1,0)))</f>
        <v>24</v>
      </c>
      <c r="AU26" s="19" t="n">
        <f aca="false">IF(AG26=0,"",IF(OR(AI26&lt;2,AK26&gt;AsOfDate),AT26,IF((AK26-1)&lt;AH26,-1,12*(YEAR((AK26-1))-YEAR(AH26))+MONTH((AK26-1))-MONTH(AH26)-IF(DAY((AK26-1))&lt;MIN(DAY(AH26),DAY(EOMONTH((AK26-1),0))),1,0))))</f>
        <v>24</v>
      </c>
      <c r="AV26" s="19" t="n">
        <f aca="false">IF(AG26=0,"",IF(OR(AI26&lt;3,AL26&gt;AsOfDate),AT26,IF((AL26-1)&lt;AH26,-1,12*(YEAR((AL26-1))-YEAR(AH26))+MONTH((AL26-1))-MONTH(AH26)-IF(DAY((AL26-1))&lt;MIN(DAY(AH26),DAY(EOMONTH((AL26-1),0))),1,0))))</f>
        <v>24</v>
      </c>
      <c r="AW26" s="19" t="n">
        <f aca="false">IF(AG26=0,"",IF(PFYDate&lt;AH26,-1,12*(YEAR(PFYDate)-YEAR(AH26))+MONTH(PFYDate)-MONTH(AH26)-IF(DAY(PFYDate)&lt;MIN(DAY(AH26),DAY(EOMONTH(PFYDate,0))),1,0)))</f>
        <v>-1</v>
      </c>
      <c r="AX26" s="19" t="n">
        <f aca="false">IF(AG26=0,"",IF(OR(AI26&lt;2,AK26&gt;PFYDate),AW26,IF((AK26-1)&lt;AH26,-1,12*(YEAR((AK26-1))-YEAR(AH26))+MONTH((AK26-1))-MONTH(AH26)-IF(DAY((AK26-1))&lt;MIN(DAY(AH26),DAY(EOMONTH((AK26-1),0))),1,0))))</f>
        <v>-1</v>
      </c>
      <c r="AY26" s="19" t="n">
        <f aca="false">IF(AG26=0,"",IF(OR(AI26&lt;3,AL26&gt;PFYDate),AW26,IF((AL26-1)&lt;AH26,-1,12*(YEAR((AL26-1))-YEAR(AH26))+MONTH((AL26-1))-MONTH(AH26)-IF(DAY((AL26-1))&lt;MIN(DAY(AH26),DAY(EOMONTH((AL26-1),0))),1,0))))</f>
        <v>-1</v>
      </c>
      <c r="AZ26" s="19" t="n">
        <f aca="false">IF(AG26=0,"",IF(AP26="FT",IF(AU26&lt;FT_First,0,IF(AU26&lt;FT_Y5,1+INT((AU26-FT_First)/FT_Int1),FT_PreY5+FT_PerYear*INT((AU26-FT_Y5)/12)+FT_AnnivDays+INT(MOD(AU26-FT_Y5,12)/FT_Int2))),IF(AP26="PT",IF(AU26&lt;PT_First,0,1+INT((AU26-PT_First)/PT_Int)),0))+IF(AND(AI26&gt;=2,AK26&lt;=AsOfDate),IF(AQ26="FT",IF(AV26&lt;FT_First,0,IF(AV26&lt;FT_Y5,1+INT((AV26-FT_First)/FT_Int1),FT_PreY5+FT_PerYear*INT((AV26-FT_Y5)/12)+FT_AnnivDays+INT(MOD(AV26-FT_Y5,12)/FT_Int2))),IF(AQ26="PT",IF(AV26&lt;PT_First,0,1+INT((AV26-PT_First)/PT_Int)),0))-IF(AQ26="FT",IF(AU26&lt;FT_First,0,IF(AU26&lt;FT_Y5,1+INT((AU26-FT_First)/FT_Int1),FT_PreY5+FT_PerYear*INT((AU26-FT_Y5)/12)+FT_AnnivDays+INT(MOD(AU26-FT_Y5,12)/FT_Int2))),IF(AQ26="PT",IF(AU26&lt;PT_First,0,1+INT((AU26-PT_First)/PT_Int)),0)),0)+IF(AND(AI26&gt;=3,AL26&lt;=AsOfDate),IF(AR26="FT",IF(AT26&lt;FT_First,0,IF(AT26&lt;FT_Y5,1+INT((AT26-FT_First)/FT_Int1),FT_PreY5+FT_PerYear*INT((AT26-FT_Y5)/12)+FT_AnnivDays+INT(MOD(AT26-FT_Y5,12)/FT_Int2))),IF(AR26="PT",IF(AT26&lt;PT_First,0,1+INT((AT26-PT_First)/PT_Int)),0))-IF(AR26="FT",IF(AV26&lt;FT_First,0,IF(AV26&lt;FT_Y5,1+INT((AV26-FT_First)/FT_Int1),FT_PreY5+FT_PerYear*INT((AV26-FT_Y5)/12)+FT_AnnivDays+INT(MOD(AV26-FT_Y5,12)/FT_Int2))),IF(AR26="PT",IF(AV26&lt;PT_First,0,1+INT((AV26-PT_First)/PT_Int)),0)),0))</f>
        <v>0</v>
      </c>
      <c r="BA26" s="19" t="n">
        <f aca="false">IF(AG26=0,"",IF(AP26="FT",IF(AX26&lt;FT_First,0,IF(AX26&lt;FT_Y5,1+INT((AX26-FT_First)/FT_Int1),FT_PreY5+FT_PerYear*INT((AX26-FT_Y5)/12)+FT_AnnivDays+INT(MOD(AX26-FT_Y5,12)/FT_Int2))),IF(AP26="PT",IF(AX26&lt;PT_First,0,1+INT((AX26-PT_First)/PT_Int)),0))+IF(AND(AI26&gt;=2,AK26&lt;=PFYDate),IF(AQ26="FT",IF(AY26&lt;FT_First,0,IF(AY26&lt;FT_Y5,1+INT((AY26-FT_First)/FT_Int1),FT_PreY5+FT_PerYear*INT((AY26-FT_Y5)/12)+FT_AnnivDays+INT(MOD(AY26-FT_Y5,12)/FT_Int2))),IF(AQ26="PT",IF(AY26&lt;PT_First,0,1+INT((AY26-PT_First)/PT_Int)),0))-IF(AQ26="FT",IF(AX26&lt;FT_First,0,IF(AX26&lt;FT_Y5,1+INT((AX26-FT_First)/FT_Int1),FT_PreY5+FT_PerYear*INT((AX26-FT_Y5)/12)+FT_AnnivDays+INT(MOD(AX26-FT_Y5,12)/FT_Int2))),IF(AQ26="PT",IF(AX26&lt;PT_First,0,1+INT((AX26-PT_First)/PT_Int)),0)),0)+IF(AND(AI26&gt;=3,AL26&lt;=PFYDate),IF(AR26="FT",IF(AW26&lt;FT_First,0,IF(AW26&lt;FT_Y5,1+INT((AW26-FT_First)/FT_Int1),FT_PreY5+FT_PerYear*INT((AW26-FT_Y5)/12)+FT_AnnivDays+INT(MOD(AW26-FT_Y5,12)/FT_Int2))),IF(AR26="PT",IF(AW26&lt;PT_First,0,1+INT((AW26-PT_First)/PT_Int)),0))-IF(AR26="FT",IF(AY26&lt;FT_First,0,IF(AY26&lt;FT_Y5,1+INT((AY26-FT_First)/FT_Int1),FT_PreY5+FT_PerYear*INT((AY26-FT_Y5)/12)+FT_AnnivDays+INT(MOD(AY26-FT_Y5,12)/FT_Int2))),IF(AR26="PT",IF(AY26&lt;PT_First,0,1+INT((AY26-PT_First)/PT_Int)),0)),0))</f>
        <v>0</v>
      </c>
      <c r="BB26" s="19" t="str">
        <f aca="false">IF(AG26=0,"",IF(AS26="FT",IF(AT26&lt;FT_First,FT_First,IF(AT26&lt;FT_Y5,MIN(FT_Y5,FT_First+FT_Int1*(INT((AT26-FT_First)/FT_Int1)+1)),FT_Y5+12*INT((AT26-FT_Y5)/12)+FT_Int2*(INT(MOD(AT26-FT_Y5,12)/FT_Int2)+1))),IF(AS26="PT",IF(AT26&lt;PT_First,PT_First,PT_First+PT_Int*(INT((AT26-PT_First)/PT_Int)+1)),"")))</f>
        <v/>
      </c>
      <c r="BC26" s="19" t="n">
        <f aca="false">IF(AG26=0,"",IF(NOT(LH_Ready),0,COUNTIFS(INDEX(LH_Data,0,LH_ColFirst),$A26,INDEX(LH_Data,0,LH_ColSur),$B26,INDEX(LH_Data,0,LH_ColCat),BonusCat)))</f>
        <v>0</v>
      </c>
      <c r="BD26" s="19" t="n">
        <f aca="false">IF(AG26=0,"",IF(OR(NOT(LH_Ready),BC26=0),0,SUMPRODUCT(MAX((INDEX(LH_Data,0,LH_ColFirst)=$A26)*(INDEX(LH_Data,0,LH_ColSur)=$B26)*(INDEX(LH_Data,0,LH_ColCat)=BonusCat)*ROW(LH_Data)))))</f>
        <v>0</v>
      </c>
      <c r="BE26" s="19" t="n">
        <f aca="false">IF(AG26=0,"",IF(EOMONTH(AsOfDate,-1)&lt;AH26,-1,12*(YEAR(EOMONTH(AsOfDate,-1))-YEAR(AH26))+MONTH(EOMONTH(AsOfDate,-1))-MONTH(AH26)-IF(DAY(EOMONTH(AsOfDate,-1))&lt;MIN(DAY(AH26),DAY(EOMONTH(EOMONTH(AsOfDate,-1),0))),1,0)))</f>
        <v>24</v>
      </c>
      <c r="BF26" s="19" t="n">
        <f aca="false">IF(AG26=0,"",IF(OR(AI26&lt;2,AK26&gt;EOMONTH(AsOfDate,-1)),BE26,IF((AK26-1)&lt;AH26,-1,12*(YEAR((AK26-1))-YEAR(AH26))+MONTH((AK26-1))-MONTH(AH26)-IF(DAY((AK26-1))&lt;MIN(DAY(AH26),DAY(EOMONTH((AK26-1),0))),1,0))))</f>
        <v>24</v>
      </c>
      <c r="BG26" s="19" t="n">
        <f aca="false">IF(AG26=0,"",IF(OR(AI26&lt;3,AL26&gt;EOMONTH(AsOfDate,-1)),BE26,IF((AL26-1)&lt;AH26,-1,12*(YEAR((AL26-1))-YEAR(AH26))+MONTH((AL26-1))-MONTH(AH26)-IF(DAY((AL26-1))&lt;MIN(DAY(AH26),DAY(EOMONTH((AL26-1),0))),1,0))))</f>
        <v>24</v>
      </c>
      <c r="BH26" s="19" t="n">
        <f aca="false">IF(AG26=0,"",IF(AP26="FT",IF(BF26&lt;FT_First,0,IF(BF26&lt;FT_Y5,1+INT((BF26-FT_First)/FT_Int1),FT_PreY5+FT_PerYear*INT((BF26-FT_Y5)/12)+FT_AnnivDays+INT(MOD(BF26-FT_Y5,12)/FT_Int2))),IF(AP26="PT",IF(BF26&lt;PT_First,0,1+INT((BF26-PT_First)/PT_Int)),0))+IF(AND(AI26&gt;=2,AK26&lt;=EOMONTH(AsOfDate,-1)),IF(AQ26="FT",IF(BG26&lt;FT_First,0,IF(BG26&lt;FT_Y5,1+INT((BG26-FT_First)/FT_Int1),FT_PreY5+FT_PerYear*INT((BG26-FT_Y5)/12)+FT_AnnivDays+INT(MOD(BG26-FT_Y5,12)/FT_Int2))),IF(AQ26="PT",IF(BG26&lt;PT_First,0,1+INT((BG26-PT_First)/PT_Int)),0))-IF(AQ26="FT",IF(BF26&lt;FT_First,0,IF(BF26&lt;FT_Y5,1+INT((BF26-FT_First)/FT_Int1),FT_PreY5+FT_PerYear*INT((BF26-FT_Y5)/12)+FT_AnnivDays+INT(MOD(BF26-FT_Y5,12)/FT_Int2))),IF(AQ26="PT",IF(BF26&lt;PT_First,0,1+INT((BF26-PT_First)/PT_Int)),0)),0)+IF(AND(AI26&gt;=3,AL26&lt;=EOMONTH(AsOfDate,-1)),IF(AR26="FT",IF(BE26&lt;FT_First,0,IF(BE26&lt;FT_Y5,1+INT((BE26-FT_First)/FT_Int1),FT_PreY5+FT_PerYear*INT((BE26-FT_Y5)/12)+FT_AnnivDays+INT(MOD(BE26-FT_Y5,12)/FT_Int2))),IF(AR26="PT",IF(BE26&lt;PT_First,0,1+INT((BE26-PT_First)/PT_Int)),0))-IF(AR26="FT",IF(BG26&lt;FT_First,0,IF(BG26&lt;FT_Y5,1+INT((BG26-FT_First)/FT_Int1),FT_PreY5+FT_PerYear*INT((BG26-FT_Y5)/12)+FT_AnnivDays+INT(MOD(BG26-FT_Y5,12)/FT_Int2))),IF(AR26="PT",IF(BG26&lt;PT_First,0,1+INT((BG26-PT_First)/PT_Int)),0)),0))</f>
        <v>0</v>
      </c>
      <c r="BI26" s="19" t="str">
        <f aca="false">IF(AG26=0,"",IF(AS26="FT",IF(AT26&lt;FT_First,"",IF(AT26&lt;FT_Y5,FT_First+FT_Int1*INT((AT26-FT_First)/FT_Int1),FT_Y5+FT_Int2*INT((AT26-FT_Y5)/FT_Int2))),IF(AS26="PT",IF(AT26&lt;PT_First,"",PT_First+PT_Int*INT((AT26-PT_First)/PT_Int)),"")))</f>
        <v/>
      </c>
      <c r="BJ26" s="0" t="str">
        <f aca="false">IF(LEN($A26&amp;$B26)=0,"",$A26&amp;" "&amp;$B26)</f>
        <v>Ebrahim Seedat</v>
      </c>
    </row>
    <row r="27" customFormat="false" ht="15" hidden="false" customHeight="false" outlineLevel="0" collapsed="false">
      <c r="A27" s="15" t="s">
        <v>182</v>
      </c>
      <c r="B27" s="15" t="s">
        <v>183</v>
      </c>
      <c r="C27" s="15" t="s">
        <v>184</v>
      </c>
      <c r="D27" s="16" t="n">
        <v>35634</v>
      </c>
      <c r="E27" s="17" t="n">
        <f aca="false">IF(OR(AG27=0,$D27=""),"",DATE(YEAR(AsOfDate)+IF(DATE(YEAR(AsOfDate),MONTH($D27),DAY($D27))&lt;=AsOfDate,1,0),MONTH($D27),DAY($D27)))</f>
        <v>46591</v>
      </c>
      <c r="F27" s="16" t="n">
        <v>45476</v>
      </c>
      <c r="G27" s="16"/>
      <c r="H27" s="16" t="n">
        <v>45476</v>
      </c>
      <c r="I27" s="16"/>
      <c r="J27" s="16"/>
      <c r="K27" s="17" t="n">
        <f aca="false">IF(AG27=0,"",DATE(YEAR(AsOfDate)+IF(DATE(YEAR(AsOfDate),MONTH(AH27),DAY(AH27))&lt;=AsOfDate,1,0),MONTH(AH27),DAY(AH27)))</f>
        <v>46571</v>
      </c>
      <c r="L27" s="18" t="n">
        <f aca="false">IF(AG27=0,"",ROUND((AsOfDate-AH27)/365.25,1))</f>
        <v>2.3</v>
      </c>
      <c r="M27" s="19" t="str">
        <f aca="false">IF(AG27=0,"",IF(AsOfDate&lt;AH27,"-",DATEDIF(AH27,AsOfDate,"y")&amp;"y "&amp;DATEDIF(AH27,AsOfDate,"ym")&amp;"m "&amp;DATEDIF(AH27,AsOfDate,"md")&amp;"d"))</f>
        <v>2y 3m 3d</v>
      </c>
      <c r="N27" s="20" t="n">
        <f aca="false">IF(AG27=0,"",O27*HoursPerDay)</f>
        <v>0</v>
      </c>
      <c r="O27" s="20" t="n">
        <f aca="false">IF(AG27=0,"",AZ27)</f>
        <v>0</v>
      </c>
      <c r="P27" s="21" t="n">
        <v>24</v>
      </c>
      <c r="Q27" s="19"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19"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17" t="n">
        <f aca="false">IF(AG27=0,"",IF(AS27="None","",EDATE(AH27,BB27)))</f>
        <v>47302</v>
      </c>
      <c r="T27" s="20" t="n">
        <f aca="false">IF(AG27=0,"",IF(NOT(LH_Ready),"",IF(AH27&gt;PFYDate,0,IF(LH_ColPeriod=0,W27-U27+V27,SUMIFS(INDEX(LH_Data,0,LH_ColAcc),INDEX(LH_Data,0,LH_ColFirst),$A27,INDEX(LH_Data,0,LH_ColSur),$B27,INDEX(LH_Data,0,LH_ColCat),BonusCat,INDEX(LH_Data,0,LH_ColPeriod),LH_OpenLabel)*UnitFactor))))</f>
        <v>0</v>
      </c>
      <c r="U27" s="20" t="n">
        <f aca="false">IF(AG27=0,"",IF(NOT(LH_Ready),"",SUMIFS(INDEX(LH_Data,0,LH_ColAcc),INDEX(LH_Data,0,LH_ColFirst),$A27,INDEX(LH_Data,0,LH_ColSur),$B27,INDEX(LH_Data,0,LH_ColCat),BonusCat,INDEX(LH_Data,0,LH_ColStart),"&gt;="&amp;AH27)*UnitFactor))</f>
        <v>0</v>
      </c>
      <c r="V27" s="20" t="n">
        <f aca="false">IF(AG27=0,"",IF(NOT(LH_Ready),"",SUMIFS(INDEX(LH_Data,0,LH_ColTaken),INDEX(LH_Data,0,LH_ColFirst),$A27,INDEX(LH_Data,0,LH_ColSur),$B27,INDEX(LH_Data,0,LH_ColCat),BonusCat,INDEX(LH_Data,0,LH_ColStart),"&gt;="&amp;AH27)*UnitFactor))</f>
        <v>0</v>
      </c>
      <c r="W27" s="20" t="n">
        <f aca="false">IF(AG27=0,"",IF(NOT(LH_Ready),"",IF(BD27=0,0,INDEX(INDEX(LH_Data,0,LH_ColClose),BD27-1)*UnitFactor)))</f>
        <v>0</v>
      </c>
      <c r="X27" s="20" t="n">
        <f aca="false">IF(AG27=0,"",(AZ27-BA27)*HoursPerDay)</f>
        <v>0</v>
      </c>
      <c r="Y27" s="20" t="n">
        <f aca="false">IF(AG27=0,"",IF(NOT(LH_Ready),"",IF(BC27=0,N27,IF(PFYDate&lt;$F27,N27-N(T27)-N(U27),X27-N(U27)))))</f>
        <v>0</v>
      </c>
      <c r="Z27" s="19" t="str">
        <f aca="false">IF(OR(AG27=0,Y27=""),"",IF(Y27&gt;0,"Yes","No"))</f>
        <v>No</v>
      </c>
      <c r="AA27" s="19"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Not yet - first day on 03/07/2029</v>
      </c>
      <c r="AB27" s="20" t="n">
        <f aca="false">IF(OR(AG27=0,T27=""),"",BA27*HoursPerDay-T27)</f>
        <v>0</v>
      </c>
      <c r="AC27" s="19" t="n">
        <f aca="false">IF(AG27=0,"",BC27)</f>
        <v>0</v>
      </c>
      <c r="AD27" s="19"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20" t="n">
        <f aca="false">IF(AG27=0,"",O27-BH27)</f>
        <v>0</v>
      </c>
      <c r="AF27" s="17" t="str">
        <f aca="false">IF(OR(AG27=0,AE27="",N(AE27)=0,BI27=""),"",EDATE(AH27,BI27))</f>
        <v/>
      </c>
      <c r="AG27" s="19" t="n">
        <f aca="false">IF(OR(LEN($A27&amp;$B27)=0,$F27=""),0,1)</f>
        <v>1</v>
      </c>
      <c r="AH27" s="17" t="n">
        <f aca="false">IF(AG27=0,"",IF($J27&lt;&gt;"",$J27,IF(OR(CasualCounts="Yes",COUNT($G27:$I27)=0,COUNT($H27:$I27)=0),$F27,MIN($H27:$I27))))</f>
        <v>45476</v>
      </c>
      <c r="AI27" s="19" t="n">
        <f aca="false">IF(AG27=0,"",COUNT($G27:$I27))</f>
        <v>1</v>
      </c>
      <c r="AJ27" s="17" t="n">
        <f aca="false">IF(AG27=0,"",IFERROR(SMALL($G27:$I27,1),""))</f>
        <v>45476</v>
      </c>
      <c r="AK27" s="17" t="str">
        <f aca="false">IF(AG27=0,"",IFERROR(SMALL($G27:$I27,2),""))</f>
        <v/>
      </c>
      <c r="AL27" s="17" t="str">
        <f aca="false">IF(AG27=0,"",IFERROR(SMALL($G27:$I27,3),""))</f>
        <v/>
      </c>
      <c r="AM27" s="19" t="str">
        <f aca="false">IF(AG27=0,"",IF(AJ27="","",IF(AJ27=$H27,"Part-Time",IF(AJ27=$I27,"Full-Time","Casual"))))</f>
        <v>Part-Time</v>
      </c>
      <c r="AN27" s="19" t="str">
        <f aca="false">IF(AG27=0,"",IF(AK27="","",IF(AK27=$H27,"Part-Time",IF(AK27=$I27,"Full-Time","Casual"))))</f>
        <v/>
      </c>
      <c r="AO27" s="19" t="str">
        <f aca="false">IF(AG27=0,"",IF(AL27="","",IF(AL27=$H27,"Part-Time",IF(AL27=$I27,"Full-Time","Casual"))))</f>
        <v/>
      </c>
      <c r="AP27" s="19"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PT</v>
      </c>
      <c r="AQ27" s="19" t="str">
        <f aca="false">IF(AG27=0,"",IF(AI27&lt;2,"",IF(OR(ISNUMBER(SEARCH("full",AN27)),UPPER(TRIM(AN27))="FT",UPPER(TRIM(AN27))="FTE"),"FT",IF(AND(OR(ISNUMBER(SEARCH("part",AN27)),UPPER(TRIM(AN27))="PT",UPPER(TRIM(AN27))="PTE"),OR($P27="",N($P27)&gt;=PT_MinHours)),"PT","None"))))</f>
        <v/>
      </c>
      <c r="AR27" s="19" t="str">
        <f aca="false">IF(AG27=0,"",IF(AI27&lt;3,"",IF(OR(ISNUMBER(SEARCH("full",AO27)),UPPER(TRIM(AO27))="FT",UPPER(TRIM(AO27))="FTE"),"FT",IF(AND(OR(ISNUMBER(SEARCH("part",AO27)),UPPER(TRIM(AO27))="PT",UPPER(TRIM(AO27))="PTE"),OR($P27="",N($P27)&gt;=PT_MinHours)),"PT","None"))))</f>
        <v/>
      </c>
      <c r="AS27" s="19" t="str">
        <f aca="false">IF(AG27=0,"",IF(AND(AI27&gt;=3,AL27&lt;=AsOfDate),AR27,IF(AND(AI27&gt;=2,AK27&lt;=AsOfDate),AQ27,AP27)))</f>
        <v>PT</v>
      </c>
      <c r="AT27" s="19" t="n">
        <f aca="false">IF(AG27=0,"",IF(AsOfDate&lt;AH27,-1,12*(YEAR(AsOfDate)-YEAR(AH27))+MONTH(AsOfDate)-MONTH(AH27)-IF(DAY(AsOfDate)&lt;MIN(DAY(AH27),DAY(EOMONTH(AsOfDate,0))),1,0)))</f>
        <v>27</v>
      </c>
      <c r="AU27" s="19" t="n">
        <f aca="false">IF(AG27=0,"",IF(OR(AI27&lt;2,AK27&gt;AsOfDate),AT27,IF((AK27-1)&lt;AH27,-1,12*(YEAR((AK27-1))-YEAR(AH27))+MONTH((AK27-1))-MONTH(AH27)-IF(DAY((AK27-1))&lt;MIN(DAY(AH27),DAY(EOMONTH((AK27-1),0))),1,0))))</f>
        <v>27</v>
      </c>
      <c r="AV27" s="19" t="n">
        <f aca="false">IF(AG27=0,"",IF(OR(AI27&lt;3,AL27&gt;AsOfDate),AT27,IF((AL27-1)&lt;AH27,-1,12*(YEAR((AL27-1))-YEAR(AH27))+MONTH((AL27-1))-MONTH(AH27)-IF(DAY((AL27-1))&lt;MIN(DAY(AH27),DAY(EOMONTH((AL27-1),0))),1,0))))</f>
        <v>27</v>
      </c>
      <c r="AW27" s="19" t="n">
        <f aca="false">IF(AG27=0,"",IF(PFYDate&lt;AH27,-1,12*(YEAR(PFYDate)-YEAR(AH27))+MONTH(PFYDate)-MONTH(AH27)-IF(DAY(PFYDate)&lt;MIN(DAY(AH27),DAY(EOMONTH(PFYDate,0))),1,0)))</f>
        <v>-1</v>
      </c>
      <c r="AX27" s="19" t="n">
        <f aca="false">IF(AG27=0,"",IF(OR(AI27&lt;2,AK27&gt;PFYDate),AW27,IF((AK27-1)&lt;AH27,-1,12*(YEAR((AK27-1))-YEAR(AH27))+MONTH((AK27-1))-MONTH(AH27)-IF(DAY((AK27-1))&lt;MIN(DAY(AH27),DAY(EOMONTH((AK27-1),0))),1,0))))</f>
        <v>-1</v>
      </c>
      <c r="AY27" s="19" t="n">
        <f aca="false">IF(AG27=0,"",IF(OR(AI27&lt;3,AL27&gt;PFYDate),AW27,IF((AL27-1)&lt;AH27,-1,12*(YEAR((AL27-1))-YEAR(AH27))+MONTH((AL27-1))-MONTH(AH27)-IF(DAY((AL27-1))&lt;MIN(DAY(AH27),DAY(EOMONTH((AL27-1),0))),1,0))))</f>
        <v>-1</v>
      </c>
      <c r="AZ27" s="19" t="n">
        <f aca="false">IF(AG27=0,"",IF(AP27="FT",IF(AU27&lt;FT_First,0,IF(AU27&lt;FT_Y5,1+INT((AU27-FT_First)/FT_Int1),FT_PreY5+FT_PerYear*INT((AU27-FT_Y5)/12)+FT_AnnivDays+INT(MOD(AU27-FT_Y5,12)/FT_Int2))),IF(AP27="PT",IF(AU27&lt;PT_First,0,1+INT((AU27-PT_First)/PT_Int)),0))+IF(AND(AI27&gt;=2,AK27&lt;=AsOfDate),IF(AQ27="FT",IF(AV27&lt;FT_First,0,IF(AV27&lt;FT_Y5,1+INT((AV27-FT_First)/FT_Int1),FT_PreY5+FT_PerYear*INT((AV27-FT_Y5)/12)+FT_AnnivDays+INT(MOD(AV27-FT_Y5,12)/FT_Int2))),IF(AQ27="PT",IF(AV27&lt;PT_First,0,1+INT((AV27-PT_First)/PT_Int)),0))-IF(AQ27="FT",IF(AU27&lt;FT_First,0,IF(AU27&lt;FT_Y5,1+INT((AU27-FT_First)/FT_Int1),FT_PreY5+FT_PerYear*INT((AU27-FT_Y5)/12)+FT_AnnivDays+INT(MOD(AU27-FT_Y5,12)/FT_Int2))),IF(AQ27="PT",IF(AU27&lt;PT_First,0,1+INT((AU27-PT_First)/PT_Int)),0)),0)+IF(AND(AI27&gt;=3,AL27&lt;=AsOfDate),IF(AR27="FT",IF(AT27&lt;FT_First,0,IF(AT27&lt;FT_Y5,1+INT((AT27-FT_First)/FT_Int1),FT_PreY5+FT_PerYear*INT((AT27-FT_Y5)/12)+FT_AnnivDays+INT(MOD(AT27-FT_Y5,12)/FT_Int2))),IF(AR27="PT",IF(AT27&lt;PT_First,0,1+INT((AT27-PT_First)/PT_Int)),0))-IF(AR27="FT",IF(AV27&lt;FT_First,0,IF(AV27&lt;FT_Y5,1+INT((AV27-FT_First)/FT_Int1),FT_PreY5+FT_PerYear*INT((AV27-FT_Y5)/12)+FT_AnnivDays+INT(MOD(AV27-FT_Y5,12)/FT_Int2))),IF(AR27="PT",IF(AV27&lt;PT_First,0,1+INT((AV27-PT_First)/PT_Int)),0)),0))</f>
        <v>0</v>
      </c>
      <c r="BA27" s="19" t="n">
        <f aca="false">IF(AG27=0,"",IF(AP27="FT",IF(AX27&lt;FT_First,0,IF(AX27&lt;FT_Y5,1+INT((AX27-FT_First)/FT_Int1),FT_PreY5+FT_PerYear*INT((AX27-FT_Y5)/12)+FT_AnnivDays+INT(MOD(AX27-FT_Y5,12)/FT_Int2))),IF(AP27="PT",IF(AX27&lt;PT_First,0,1+INT((AX27-PT_First)/PT_Int)),0))+IF(AND(AI27&gt;=2,AK27&lt;=PFYDate),IF(AQ27="FT",IF(AY27&lt;FT_First,0,IF(AY27&lt;FT_Y5,1+INT((AY27-FT_First)/FT_Int1),FT_PreY5+FT_PerYear*INT((AY27-FT_Y5)/12)+FT_AnnivDays+INT(MOD(AY27-FT_Y5,12)/FT_Int2))),IF(AQ27="PT",IF(AY27&lt;PT_First,0,1+INT((AY27-PT_First)/PT_Int)),0))-IF(AQ27="FT",IF(AX27&lt;FT_First,0,IF(AX27&lt;FT_Y5,1+INT((AX27-FT_First)/FT_Int1),FT_PreY5+FT_PerYear*INT((AX27-FT_Y5)/12)+FT_AnnivDays+INT(MOD(AX27-FT_Y5,12)/FT_Int2))),IF(AQ27="PT",IF(AX27&lt;PT_First,0,1+INT((AX27-PT_First)/PT_Int)),0)),0)+IF(AND(AI27&gt;=3,AL27&lt;=PFYDate),IF(AR27="FT",IF(AW27&lt;FT_First,0,IF(AW27&lt;FT_Y5,1+INT((AW27-FT_First)/FT_Int1),FT_PreY5+FT_PerYear*INT((AW27-FT_Y5)/12)+FT_AnnivDays+INT(MOD(AW27-FT_Y5,12)/FT_Int2))),IF(AR27="PT",IF(AW27&lt;PT_First,0,1+INT((AW27-PT_First)/PT_Int)),0))-IF(AR27="FT",IF(AY27&lt;FT_First,0,IF(AY27&lt;FT_Y5,1+INT((AY27-FT_First)/FT_Int1),FT_PreY5+FT_PerYear*INT((AY27-FT_Y5)/12)+FT_AnnivDays+INT(MOD(AY27-FT_Y5,12)/FT_Int2))),IF(AR27="PT",IF(AY27&lt;PT_First,0,1+INT((AY27-PT_First)/PT_Int)),0)),0))</f>
        <v>0</v>
      </c>
      <c r="BB27" s="19" t="n">
        <f aca="false">IF(AG27=0,"",IF(AS27="FT",IF(AT27&lt;FT_First,FT_First,IF(AT27&lt;FT_Y5,MIN(FT_Y5,FT_First+FT_Int1*(INT((AT27-FT_First)/FT_Int1)+1)),FT_Y5+12*INT((AT27-FT_Y5)/12)+FT_Int2*(INT(MOD(AT27-FT_Y5,12)/FT_Int2)+1))),IF(AS27="PT",IF(AT27&lt;PT_First,PT_First,PT_First+PT_Int*(INT((AT27-PT_First)/PT_Int)+1)),"")))</f>
        <v>60</v>
      </c>
      <c r="BC27" s="19" t="n">
        <f aca="false">IF(AG27=0,"",IF(NOT(LH_Ready),0,COUNTIFS(INDEX(LH_Data,0,LH_ColFirst),$A27,INDEX(LH_Data,0,LH_ColSur),$B27,INDEX(LH_Data,0,LH_ColCat),BonusCat)))</f>
        <v>0</v>
      </c>
      <c r="BD27" s="19" t="n">
        <f aca="false">IF(AG27=0,"",IF(OR(NOT(LH_Ready),BC27=0),0,SUMPRODUCT(MAX((INDEX(LH_Data,0,LH_ColFirst)=$A27)*(INDEX(LH_Data,0,LH_ColSur)=$B27)*(INDEX(LH_Data,0,LH_ColCat)=BonusCat)*ROW(LH_Data)))))</f>
        <v>0</v>
      </c>
      <c r="BE27" s="19" t="n">
        <f aca="false">IF(AG27=0,"",IF(EOMONTH(AsOfDate,-1)&lt;AH27,-1,12*(YEAR(EOMONTH(AsOfDate,-1))-YEAR(AH27))+MONTH(EOMONTH(AsOfDate,-1))-MONTH(AH27)-IF(DAY(EOMONTH(AsOfDate,-1))&lt;MIN(DAY(AH27),DAY(EOMONTH(EOMONTH(AsOfDate,-1),0))),1,0)))</f>
        <v>26</v>
      </c>
      <c r="BF27" s="19" t="n">
        <f aca="false">IF(AG27=0,"",IF(OR(AI27&lt;2,AK27&gt;EOMONTH(AsOfDate,-1)),BE27,IF((AK27-1)&lt;AH27,-1,12*(YEAR((AK27-1))-YEAR(AH27))+MONTH((AK27-1))-MONTH(AH27)-IF(DAY((AK27-1))&lt;MIN(DAY(AH27),DAY(EOMONTH((AK27-1),0))),1,0))))</f>
        <v>26</v>
      </c>
      <c r="BG27" s="19" t="n">
        <f aca="false">IF(AG27=0,"",IF(OR(AI27&lt;3,AL27&gt;EOMONTH(AsOfDate,-1)),BE27,IF((AL27-1)&lt;AH27,-1,12*(YEAR((AL27-1))-YEAR(AH27))+MONTH((AL27-1))-MONTH(AH27)-IF(DAY((AL27-1))&lt;MIN(DAY(AH27),DAY(EOMONTH((AL27-1),0))),1,0))))</f>
        <v>26</v>
      </c>
      <c r="BH27" s="19" t="n">
        <f aca="false">IF(AG27=0,"",IF(AP27="FT",IF(BF27&lt;FT_First,0,IF(BF27&lt;FT_Y5,1+INT((BF27-FT_First)/FT_Int1),FT_PreY5+FT_PerYear*INT((BF27-FT_Y5)/12)+FT_AnnivDays+INT(MOD(BF27-FT_Y5,12)/FT_Int2))),IF(AP27="PT",IF(BF27&lt;PT_First,0,1+INT((BF27-PT_First)/PT_Int)),0))+IF(AND(AI27&gt;=2,AK27&lt;=EOMONTH(AsOfDate,-1)),IF(AQ27="FT",IF(BG27&lt;FT_First,0,IF(BG27&lt;FT_Y5,1+INT((BG27-FT_First)/FT_Int1),FT_PreY5+FT_PerYear*INT((BG27-FT_Y5)/12)+FT_AnnivDays+INT(MOD(BG27-FT_Y5,12)/FT_Int2))),IF(AQ27="PT",IF(BG27&lt;PT_First,0,1+INT((BG27-PT_First)/PT_Int)),0))-IF(AQ27="FT",IF(BF27&lt;FT_First,0,IF(BF27&lt;FT_Y5,1+INT((BF27-FT_First)/FT_Int1),FT_PreY5+FT_PerYear*INT((BF27-FT_Y5)/12)+FT_AnnivDays+INT(MOD(BF27-FT_Y5,12)/FT_Int2))),IF(AQ27="PT",IF(BF27&lt;PT_First,0,1+INT((BF27-PT_First)/PT_Int)),0)),0)+IF(AND(AI27&gt;=3,AL27&lt;=EOMONTH(AsOfDate,-1)),IF(AR27="FT",IF(BE27&lt;FT_First,0,IF(BE27&lt;FT_Y5,1+INT((BE27-FT_First)/FT_Int1),FT_PreY5+FT_PerYear*INT((BE27-FT_Y5)/12)+FT_AnnivDays+INT(MOD(BE27-FT_Y5,12)/FT_Int2))),IF(AR27="PT",IF(BE27&lt;PT_First,0,1+INT((BE27-PT_First)/PT_Int)),0))-IF(AR27="FT",IF(BG27&lt;FT_First,0,IF(BG27&lt;FT_Y5,1+INT((BG27-FT_First)/FT_Int1),FT_PreY5+FT_PerYear*INT((BG27-FT_Y5)/12)+FT_AnnivDays+INT(MOD(BG27-FT_Y5,12)/FT_Int2))),IF(AR27="PT",IF(BG27&lt;PT_First,0,1+INT((BG27-PT_First)/PT_Int)),0)),0))</f>
        <v>0</v>
      </c>
      <c r="BI27" s="19" t="str">
        <f aca="false">IF(AG27=0,"",IF(AS27="FT",IF(AT27&lt;FT_First,"",IF(AT27&lt;FT_Y5,FT_First+FT_Int1*INT((AT27-FT_First)/FT_Int1),FT_Y5+FT_Int2*INT((AT27-FT_Y5)/FT_Int2))),IF(AS27="PT",IF(AT27&lt;PT_First,"",PT_First+PT_Int*INT((AT27-PT_First)/PT_Int)),"")))</f>
        <v/>
      </c>
      <c r="BJ27" s="0" t="str">
        <f aca="false">IF(LEN($A27&amp;$B27)=0,"",$A27&amp;" "&amp;$B27)</f>
        <v>Emelda Waiya</v>
      </c>
    </row>
    <row r="28" customFormat="false" ht="15" hidden="false" customHeight="false" outlineLevel="0" collapsed="false">
      <c r="A28" s="15" t="s">
        <v>185</v>
      </c>
      <c r="B28" s="15" t="s">
        <v>186</v>
      </c>
      <c r="C28" s="15" t="s">
        <v>138</v>
      </c>
      <c r="D28" s="16" t="n">
        <v>35934</v>
      </c>
      <c r="E28" s="17" t="n">
        <f aca="false">IF(OR(AG28=0,$D28=""),"",DATE(YEAR(AsOfDate)+IF(DATE(YEAR(AsOfDate),MONTH($D28),DAY($D28))&lt;=AsOfDate,1,0),MONTH($D28),DAY($D28)))</f>
        <v>46526</v>
      </c>
      <c r="F28" s="16" t="n">
        <v>45740</v>
      </c>
      <c r="G28" s="16"/>
      <c r="H28" s="16"/>
      <c r="I28" s="16"/>
      <c r="J28" s="16"/>
      <c r="K28" s="17" t="n">
        <f aca="false">IF(AG28=0,"",DATE(YEAR(AsOfDate)+IF(DATE(YEAR(AsOfDate),MONTH(AH28),DAY(AH28))&lt;=AsOfDate,1,0),MONTH(AH28),DAY(AH28)))</f>
        <v>46470</v>
      </c>
      <c r="L28" s="18" t="n">
        <f aca="false">IF(AG28=0,"",ROUND((AsOfDate-AH28)/365.25,1))</f>
        <v>1.5</v>
      </c>
      <c r="M28" s="19" t="str">
        <f aca="false">IF(AG28=0,"",IF(AsOfDate&lt;AH28,"-",DATEDIF(AH28,AsOfDate,"y")&amp;"y "&amp;DATEDIF(AH28,AsOfDate,"ym")&amp;"m "&amp;DATEDIF(AH28,AsOfDate,"md")&amp;"d"))</f>
        <v>1y 6m 12d</v>
      </c>
      <c r="N28" s="20" t="n">
        <f aca="false">IF(AG28=0,"",O28*HoursPerDay)</f>
        <v>0</v>
      </c>
      <c r="O28" s="20" t="n">
        <f aca="false">IF(AG28=0,"",AZ28)</f>
        <v>0</v>
      </c>
      <c r="P28" s="21"/>
      <c r="Q28" s="19"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19"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17" t="str">
        <f aca="false">IF(AG28=0,"",IF(AS28="None","",EDATE(AH28,BB28)))</f>
        <v/>
      </c>
      <c r="T28" s="20" t="n">
        <f aca="false">IF(AG28=0,"",IF(NOT(LH_Ready),"",IF(AH28&gt;PFYDate,0,IF(LH_ColPeriod=0,W28-U28+V28,SUMIFS(INDEX(LH_Data,0,LH_ColAcc),INDEX(LH_Data,0,LH_ColFirst),$A28,INDEX(LH_Data,0,LH_ColSur),$B28,INDEX(LH_Data,0,LH_ColCat),BonusCat,INDEX(LH_Data,0,LH_ColPeriod),LH_OpenLabel)*UnitFactor))))</f>
        <v>0</v>
      </c>
      <c r="U28" s="20" t="n">
        <f aca="false">IF(AG28=0,"",IF(NOT(LH_Ready),"",SUMIFS(INDEX(LH_Data,0,LH_ColAcc),INDEX(LH_Data,0,LH_ColFirst),$A28,INDEX(LH_Data,0,LH_ColSur),$B28,INDEX(LH_Data,0,LH_ColCat),BonusCat,INDEX(LH_Data,0,LH_ColStart),"&gt;="&amp;AH28)*UnitFactor))</f>
        <v>0</v>
      </c>
      <c r="V28" s="20" t="n">
        <f aca="false">IF(AG28=0,"",IF(NOT(LH_Ready),"",SUMIFS(INDEX(LH_Data,0,LH_ColTaken),INDEX(LH_Data,0,LH_ColFirst),$A28,INDEX(LH_Data,0,LH_ColSur),$B28,INDEX(LH_Data,0,LH_ColCat),BonusCat,INDEX(LH_Data,0,LH_ColStart),"&gt;="&amp;AH28)*UnitFactor))</f>
        <v>0</v>
      </c>
      <c r="W28" s="20" t="n">
        <f aca="false">IF(AG28=0,"",IF(NOT(LH_Ready),"",IF(BD28=0,0,INDEX(INDEX(LH_Data,0,LH_ColClose),BD28-1)*UnitFactor)))</f>
        <v>0</v>
      </c>
      <c r="X28" s="20" t="n">
        <f aca="false">IF(AG28=0,"",(AZ28-BA28)*HoursPerDay)</f>
        <v>0</v>
      </c>
      <c r="Y28" s="20" t="n">
        <f aca="false">IF(AG28=0,"",IF(NOT(LH_Ready),"",IF(BC28=0,N28,IF(PFYDate&lt;$F28,N28-N(T28)-N(U28),X28-N(U28)))))</f>
        <v>0</v>
      </c>
      <c r="Z28" s="19" t="str">
        <f aca="false">IF(OR(AG28=0,Y28=""),"",IF(Y28&gt;0,"Yes","No"))</f>
        <v>No</v>
      </c>
      <c r="AA28" s="19"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Not eligible - Casual</v>
      </c>
      <c r="AB28" s="20" t="n">
        <f aca="false">IF(OR(AG28=0,T28=""),"",BA28*HoursPerDay-T28)</f>
        <v>0</v>
      </c>
      <c r="AC28" s="19" t="n">
        <f aca="false">IF(AG28=0,"",BC28)</f>
        <v>0</v>
      </c>
      <c r="AD28" s="19"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20" t="n">
        <f aca="false">IF(AG28=0,"",O28-BH28)</f>
        <v>0</v>
      </c>
      <c r="AF28" s="17" t="str">
        <f aca="false">IF(OR(AG28=0,AE28="",N(AE28)=0,BI28=""),"",EDATE(AH28,BI28))</f>
        <v/>
      </c>
      <c r="AG28" s="19" t="n">
        <f aca="false">IF(OR(LEN($A28&amp;$B28)=0,$F28=""),0,1)</f>
        <v>1</v>
      </c>
      <c r="AH28" s="17" t="n">
        <f aca="false">IF(AG28=0,"",IF($J28&lt;&gt;"",$J28,IF(OR(CasualCounts="Yes",COUNT($G28:$I28)=0,COUNT($H28:$I28)=0),$F28,MIN($H28:$I28))))</f>
        <v>45740</v>
      </c>
      <c r="AI28" s="19" t="n">
        <f aca="false">IF(AG28=0,"",COUNT($G28:$I28))</f>
        <v>0</v>
      </c>
      <c r="AJ28" s="17" t="str">
        <f aca="false">IF(AG28=0,"",IFERROR(SMALL($G28:$I28,1),""))</f>
        <v/>
      </c>
      <c r="AK28" s="17" t="str">
        <f aca="false">IF(AG28=0,"",IFERROR(SMALL($G28:$I28,2),""))</f>
        <v/>
      </c>
      <c r="AL28" s="17" t="str">
        <f aca="false">IF(AG28=0,"",IFERROR(SMALL($G28:$I28,3),""))</f>
        <v/>
      </c>
      <c r="AM28" s="19" t="str">
        <f aca="false">IF(AG28=0,"",IF(AJ28="","",IF(AJ28=$H28,"Part-Time",IF(AJ28=$I28,"Full-Time","Casual"))))</f>
        <v/>
      </c>
      <c r="AN28" s="19" t="str">
        <f aca="false">IF(AG28=0,"",IF(AK28="","",IF(AK28=$H28,"Part-Time",IF(AK28=$I28,"Full-Time","Casual"))))</f>
        <v/>
      </c>
      <c r="AO28" s="19" t="str">
        <f aca="false">IF(AG28=0,"",IF(AL28="","",IF(AL28=$H28,"Part-Time",IF(AL28=$I28,"Full-Time","Casual"))))</f>
        <v/>
      </c>
      <c r="AP28" s="19"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None</v>
      </c>
      <c r="AQ28" s="19" t="str">
        <f aca="false">IF(AG28=0,"",IF(AI28&lt;2,"",IF(OR(ISNUMBER(SEARCH("full",AN28)),UPPER(TRIM(AN28))="FT",UPPER(TRIM(AN28))="FTE"),"FT",IF(AND(OR(ISNUMBER(SEARCH("part",AN28)),UPPER(TRIM(AN28))="PT",UPPER(TRIM(AN28))="PTE"),OR($P28="",N($P28)&gt;=PT_MinHours)),"PT","None"))))</f>
        <v/>
      </c>
      <c r="AR28" s="19" t="str">
        <f aca="false">IF(AG28=0,"",IF(AI28&lt;3,"",IF(OR(ISNUMBER(SEARCH("full",AO28)),UPPER(TRIM(AO28))="FT",UPPER(TRIM(AO28))="FTE"),"FT",IF(AND(OR(ISNUMBER(SEARCH("part",AO28)),UPPER(TRIM(AO28))="PT",UPPER(TRIM(AO28))="PTE"),OR($P28="",N($P28)&gt;=PT_MinHours)),"PT","None"))))</f>
        <v/>
      </c>
      <c r="AS28" s="19" t="str">
        <f aca="false">IF(AG28=0,"",IF(AND(AI28&gt;=3,AL28&lt;=AsOfDate),AR28,IF(AND(AI28&gt;=2,AK28&lt;=AsOfDate),AQ28,AP28)))</f>
        <v>None</v>
      </c>
      <c r="AT28" s="19" t="n">
        <f aca="false">IF(AG28=0,"",IF(AsOfDate&lt;AH28,-1,12*(YEAR(AsOfDate)-YEAR(AH28))+MONTH(AsOfDate)-MONTH(AH28)-IF(DAY(AsOfDate)&lt;MIN(DAY(AH28),DAY(EOMONTH(AsOfDate,0))),1,0)))</f>
        <v>18</v>
      </c>
      <c r="AU28" s="19" t="n">
        <f aca="false">IF(AG28=0,"",IF(OR(AI28&lt;2,AK28&gt;AsOfDate),AT28,IF((AK28-1)&lt;AH28,-1,12*(YEAR((AK28-1))-YEAR(AH28))+MONTH((AK28-1))-MONTH(AH28)-IF(DAY((AK28-1))&lt;MIN(DAY(AH28),DAY(EOMONTH((AK28-1),0))),1,0))))</f>
        <v>18</v>
      </c>
      <c r="AV28" s="19" t="n">
        <f aca="false">IF(AG28=0,"",IF(OR(AI28&lt;3,AL28&gt;AsOfDate),AT28,IF((AL28-1)&lt;AH28,-1,12*(YEAR((AL28-1))-YEAR(AH28))+MONTH((AL28-1))-MONTH(AH28)-IF(DAY((AL28-1))&lt;MIN(DAY(AH28),DAY(EOMONTH((AL28-1),0))),1,0))))</f>
        <v>18</v>
      </c>
      <c r="AW28" s="19" t="n">
        <f aca="false">IF(AG28=0,"",IF(PFYDate&lt;AH28,-1,12*(YEAR(PFYDate)-YEAR(AH28))+MONTH(PFYDate)-MONTH(AH28)-IF(DAY(PFYDate)&lt;MIN(DAY(AH28),DAY(EOMONTH(PFYDate,0))),1,0)))</f>
        <v>-1</v>
      </c>
      <c r="AX28" s="19" t="n">
        <f aca="false">IF(AG28=0,"",IF(OR(AI28&lt;2,AK28&gt;PFYDate),AW28,IF((AK28-1)&lt;AH28,-1,12*(YEAR((AK28-1))-YEAR(AH28))+MONTH((AK28-1))-MONTH(AH28)-IF(DAY((AK28-1))&lt;MIN(DAY(AH28),DAY(EOMONTH((AK28-1),0))),1,0))))</f>
        <v>-1</v>
      </c>
      <c r="AY28" s="19" t="n">
        <f aca="false">IF(AG28=0,"",IF(OR(AI28&lt;3,AL28&gt;PFYDate),AW28,IF((AL28-1)&lt;AH28,-1,12*(YEAR((AL28-1))-YEAR(AH28))+MONTH((AL28-1))-MONTH(AH28)-IF(DAY((AL28-1))&lt;MIN(DAY(AH28),DAY(EOMONTH((AL28-1),0))),1,0))))</f>
        <v>-1</v>
      </c>
      <c r="AZ28" s="19" t="n">
        <f aca="false">IF(AG28=0,"",IF(AP28="FT",IF(AU28&lt;FT_First,0,IF(AU28&lt;FT_Y5,1+INT((AU28-FT_First)/FT_Int1),FT_PreY5+FT_PerYear*INT((AU28-FT_Y5)/12)+FT_AnnivDays+INT(MOD(AU28-FT_Y5,12)/FT_Int2))),IF(AP28="PT",IF(AU28&lt;PT_First,0,1+INT((AU28-PT_First)/PT_Int)),0))+IF(AND(AI28&gt;=2,AK28&lt;=AsOfDate),IF(AQ28="FT",IF(AV28&lt;FT_First,0,IF(AV28&lt;FT_Y5,1+INT((AV28-FT_First)/FT_Int1),FT_PreY5+FT_PerYear*INT((AV28-FT_Y5)/12)+FT_AnnivDays+INT(MOD(AV28-FT_Y5,12)/FT_Int2))),IF(AQ28="PT",IF(AV28&lt;PT_First,0,1+INT((AV28-PT_First)/PT_Int)),0))-IF(AQ28="FT",IF(AU28&lt;FT_First,0,IF(AU28&lt;FT_Y5,1+INT((AU28-FT_First)/FT_Int1),FT_PreY5+FT_PerYear*INT((AU28-FT_Y5)/12)+FT_AnnivDays+INT(MOD(AU28-FT_Y5,12)/FT_Int2))),IF(AQ28="PT",IF(AU28&lt;PT_First,0,1+INT((AU28-PT_First)/PT_Int)),0)),0)+IF(AND(AI28&gt;=3,AL28&lt;=AsOfDate),IF(AR28="FT",IF(AT28&lt;FT_First,0,IF(AT28&lt;FT_Y5,1+INT((AT28-FT_First)/FT_Int1),FT_PreY5+FT_PerYear*INT((AT28-FT_Y5)/12)+FT_AnnivDays+INT(MOD(AT28-FT_Y5,12)/FT_Int2))),IF(AR28="PT",IF(AT28&lt;PT_First,0,1+INT((AT28-PT_First)/PT_Int)),0))-IF(AR28="FT",IF(AV28&lt;FT_First,0,IF(AV28&lt;FT_Y5,1+INT((AV28-FT_First)/FT_Int1),FT_PreY5+FT_PerYear*INT((AV28-FT_Y5)/12)+FT_AnnivDays+INT(MOD(AV28-FT_Y5,12)/FT_Int2))),IF(AR28="PT",IF(AV28&lt;PT_First,0,1+INT((AV28-PT_First)/PT_Int)),0)),0))</f>
        <v>0</v>
      </c>
      <c r="BA28" s="19" t="n">
        <f aca="false">IF(AG28=0,"",IF(AP28="FT",IF(AX28&lt;FT_First,0,IF(AX28&lt;FT_Y5,1+INT((AX28-FT_First)/FT_Int1),FT_PreY5+FT_PerYear*INT((AX28-FT_Y5)/12)+FT_AnnivDays+INT(MOD(AX28-FT_Y5,12)/FT_Int2))),IF(AP28="PT",IF(AX28&lt;PT_First,0,1+INT((AX28-PT_First)/PT_Int)),0))+IF(AND(AI28&gt;=2,AK28&lt;=PFYDate),IF(AQ28="FT",IF(AY28&lt;FT_First,0,IF(AY28&lt;FT_Y5,1+INT((AY28-FT_First)/FT_Int1),FT_PreY5+FT_PerYear*INT((AY28-FT_Y5)/12)+FT_AnnivDays+INT(MOD(AY28-FT_Y5,12)/FT_Int2))),IF(AQ28="PT",IF(AY28&lt;PT_First,0,1+INT((AY28-PT_First)/PT_Int)),0))-IF(AQ28="FT",IF(AX28&lt;FT_First,0,IF(AX28&lt;FT_Y5,1+INT((AX28-FT_First)/FT_Int1),FT_PreY5+FT_PerYear*INT((AX28-FT_Y5)/12)+FT_AnnivDays+INT(MOD(AX28-FT_Y5,12)/FT_Int2))),IF(AQ28="PT",IF(AX28&lt;PT_First,0,1+INT((AX28-PT_First)/PT_Int)),0)),0)+IF(AND(AI28&gt;=3,AL28&lt;=PFYDate),IF(AR28="FT",IF(AW28&lt;FT_First,0,IF(AW28&lt;FT_Y5,1+INT((AW28-FT_First)/FT_Int1),FT_PreY5+FT_PerYear*INT((AW28-FT_Y5)/12)+FT_AnnivDays+INT(MOD(AW28-FT_Y5,12)/FT_Int2))),IF(AR28="PT",IF(AW28&lt;PT_First,0,1+INT((AW28-PT_First)/PT_Int)),0))-IF(AR28="FT",IF(AY28&lt;FT_First,0,IF(AY28&lt;FT_Y5,1+INT((AY28-FT_First)/FT_Int1),FT_PreY5+FT_PerYear*INT((AY28-FT_Y5)/12)+FT_AnnivDays+INT(MOD(AY28-FT_Y5,12)/FT_Int2))),IF(AR28="PT",IF(AY28&lt;PT_First,0,1+INT((AY28-PT_First)/PT_Int)),0)),0))</f>
        <v>0</v>
      </c>
      <c r="BB28" s="19" t="str">
        <f aca="false">IF(AG28=0,"",IF(AS28="FT",IF(AT28&lt;FT_First,FT_First,IF(AT28&lt;FT_Y5,MIN(FT_Y5,FT_First+FT_Int1*(INT((AT28-FT_First)/FT_Int1)+1)),FT_Y5+12*INT((AT28-FT_Y5)/12)+FT_Int2*(INT(MOD(AT28-FT_Y5,12)/FT_Int2)+1))),IF(AS28="PT",IF(AT28&lt;PT_First,PT_First,PT_First+PT_Int*(INT((AT28-PT_First)/PT_Int)+1)),"")))</f>
        <v/>
      </c>
      <c r="BC28" s="19" t="n">
        <f aca="false">IF(AG28=0,"",IF(NOT(LH_Ready),0,COUNTIFS(INDEX(LH_Data,0,LH_ColFirst),$A28,INDEX(LH_Data,0,LH_ColSur),$B28,INDEX(LH_Data,0,LH_ColCat),BonusCat)))</f>
        <v>0</v>
      </c>
      <c r="BD28" s="19" t="n">
        <f aca="false">IF(AG28=0,"",IF(OR(NOT(LH_Ready),BC28=0),0,SUMPRODUCT(MAX((INDEX(LH_Data,0,LH_ColFirst)=$A28)*(INDEX(LH_Data,0,LH_ColSur)=$B28)*(INDEX(LH_Data,0,LH_ColCat)=BonusCat)*ROW(LH_Data)))))</f>
        <v>0</v>
      </c>
      <c r="BE28" s="19" t="n">
        <f aca="false">IF(AG28=0,"",IF(EOMONTH(AsOfDate,-1)&lt;AH28,-1,12*(YEAR(EOMONTH(AsOfDate,-1))-YEAR(AH28))+MONTH(EOMONTH(AsOfDate,-1))-MONTH(AH28)-IF(DAY(EOMONTH(AsOfDate,-1))&lt;MIN(DAY(AH28),DAY(EOMONTH(EOMONTH(AsOfDate,-1),0))),1,0)))</f>
        <v>18</v>
      </c>
      <c r="BF28" s="19" t="n">
        <f aca="false">IF(AG28=0,"",IF(OR(AI28&lt;2,AK28&gt;EOMONTH(AsOfDate,-1)),BE28,IF((AK28-1)&lt;AH28,-1,12*(YEAR((AK28-1))-YEAR(AH28))+MONTH((AK28-1))-MONTH(AH28)-IF(DAY((AK28-1))&lt;MIN(DAY(AH28),DAY(EOMONTH((AK28-1),0))),1,0))))</f>
        <v>18</v>
      </c>
      <c r="BG28" s="19" t="n">
        <f aca="false">IF(AG28=0,"",IF(OR(AI28&lt;3,AL28&gt;EOMONTH(AsOfDate,-1)),BE28,IF((AL28-1)&lt;AH28,-1,12*(YEAR((AL28-1))-YEAR(AH28))+MONTH((AL28-1))-MONTH(AH28)-IF(DAY((AL28-1))&lt;MIN(DAY(AH28),DAY(EOMONTH((AL28-1),0))),1,0))))</f>
        <v>18</v>
      </c>
      <c r="BH28" s="19" t="n">
        <f aca="false">IF(AG28=0,"",IF(AP28="FT",IF(BF28&lt;FT_First,0,IF(BF28&lt;FT_Y5,1+INT((BF28-FT_First)/FT_Int1),FT_PreY5+FT_PerYear*INT((BF28-FT_Y5)/12)+FT_AnnivDays+INT(MOD(BF28-FT_Y5,12)/FT_Int2))),IF(AP28="PT",IF(BF28&lt;PT_First,0,1+INT((BF28-PT_First)/PT_Int)),0))+IF(AND(AI28&gt;=2,AK28&lt;=EOMONTH(AsOfDate,-1)),IF(AQ28="FT",IF(BG28&lt;FT_First,0,IF(BG28&lt;FT_Y5,1+INT((BG28-FT_First)/FT_Int1),FT_PreY5+FT_PerYear*INT((BG28-FT_Y5)/12)+FT_AnnivDays+INT(MOD(BG28-FT_Y5,12)/FT_Int2))),IF(AQ28="PT",IF(BG28&lt;PT_First,0,1+INT((BG28-PT_First)/PT_Int)),0))-IF(AQ28="FT",IF(BF28&lt;FT_First,0,IF(BF28&lt;FT_Y5,1+INT((BF28-FT_First)/FT_Int1),FT_PreY5+FT_PerYear*INT((BF28-FT_Y5)/12)+FT_AnnivDays+INT(MOD(BF28-FT_Y5,12)/FT_Int2))),IF(AQ28="PT",IF(BF28&lt;PT_First,0,1+INT((BF28-PT_First)/PT_Int)),0)),0)+IF(AND(AI28&gt;=3,AL28&lt;=EOMONTH(AsOfDate,-1)),IF(AR28="FT",IF(BE28&lt;FT_First,0,IF(BE28&lt;FT_Y5,1+INT((BE28-FT_First)/FT_Int1),FT_PreY5+FT_PerYear*INT((BE28-FT_Y5)/12)+FT_AnnivDays+INT(MOD(BE28-FT_Y5,12)/FT_Int2))),IF(AR28="PT",IF(BE28&lt;PT_First,0,1+INT((BE28-PT_First)/PT_Int)),0))-IF(AR28="FT",IF(BG28&lt;FT_First,0,IF(BG28&lt;FT_Y5,1+INT((BG28-FT_First)/FT_Int1),FT_PreY5+FT_PerYear*INT((BG28-FT_Y5)/12)+FT_AnnivDays+INT(MOD(BG28-FT_Y5,12)/FT_Int2))),IF(AR28="PT",IF(BG28&lt;PT_First,0,1+INT((BG28-PT_First)/PT_Int)),0)),0))</f>
        <v>0</v>
      </c>
      <c r="BI28" s="19" t="str">
        <f aca="false">IF(AG28=0,"",IF(AS28="FT",IF(AT28&lt;FT_First,"",IF(AT28&lt;FT_Y5,FT_First+FT_Int1*INT((AT28-FT_First)/FT_Int1),FT_Y5+FT_Int2*INT((AT28-FT_Y5)/FT_Int2))),IF(AS28="PT",IF(AT28&lt;PT_First,"",PT_First+PT_Int*INT((AT28-PT_First)/PT_Int)),"")))</f>
        <v/>
      </c>
      <c r="BJ28" s="0" t="str">
        <f aca="false">IF(LEN($A28&amp;$B28)=0,"",$A28&amp;" "&amp;$B28)</f>
        <v>Emily Cooper</v>
      </c>
    </row>
    <row r="29" customFormat="false" ht="15" hidden="false" customHeight="false" outlineLevel="0" collapsed="false">
      <c r="A29" s="15" t="s">
        <v>187</v>
      </c>
      <c r="B29" s="15" t="s">
        <v>188</v>
      </c>
      <c r="C29" s="15" t="s">
        <v>138</v>
      </c>
      <c r="D29" s="16" t="n">
        <v>38864</v>
      </c>
      <c r="E29" s="17" t="n">
        <f aca="false">IF(OR(AG29=0,$D29=""),"",DATE(YEAR(AsOfDate)+IF(DATE(YEAR(AsOfDate),MONTH($D29),DAY($D29))&lt;=AsOfDate,1,0),MONTH($D29),DAY($D29)))</f>
        <v>46534</v>
      </c>
      <c r="F29" s="16" t="n">
        <v>46171</v>
      </c>
      <c r="G29" s="16"/>
      <c r="H29" s="16"/>
      <c r="I29" s="16"/>
      <c r="J29" s="16"/>
      <c r="K29" s="17" t="n">
        <f aca="false">IF(AG29=0,"",DATE(YEAR(AsOfDate)+IF(DATE(YEAR(AsOfDate),MONTH(AH29),DAY(AH29))&lt;=AsOfDate,1,0),MONTH(AH29),DAY(AH29)))</f>
        <v>46536</v>
      </c>
      <c r="L29" s="18" t="n">
        <f aca="false">IF(AG29=0,"",ROUND((AsOfDate-AH29)/365.25,1))</f>
        <v>0.4</v>
      </c>
      <c r="M29" s="19" t="str">
        <f aca="false">IF(AG29=0,"",IF(AsOfDate&lt;AH29,"-",DATEDIF(AH29,AsOfDate,"y")&amp;"y "&amp;DATEDIF(AH29,AsOfDate,"ym")&amp;"m "&amp;DATEDIF(AH29,AsOfDate,"md")&amp;"d"))</f>
        <v>0y 4m 7d</v>
      </c>
      <c r="N29" s="20" t="n">
        <f aca="false">IF(AG29=0,"",O29*HoursPerDay)</f>
        <v>0</v>
      </c>
      <c r="O29" s="20" t="n">
        <f aca="false">IF(AG29=0,"",AZ29)</f>
        <v>0</v>
      </c>
      <c r="P29" s="21"/>
      <c r="Q29" s="19"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19"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17" t="str">
        <f aca="false">IF(AG29=0,"",IF(AS29="None","",EDATE(AH29,BB29)))</f>
        <v/>
      </c>
      <c r="T29" s="20" t="n">
        <f aca="false">IF(AG29=0,"",IF(NOT(LH_Ready),"",IF(AH29&gt;PFYDate,0,IF(LH_ColPeriod=0,W29-U29+V29,SUMIFS(INDEX(LH_Data,0,LH_ColAcc),INDEX(LH_Data,0,LH_ColFirst),$A29,INDEX(LH_Data,0,LH_ColSur),$B29,INDEX(LH_Data,0,LH_ColCat),BonusCat,INDEX(LH_Data,0,LH_ColPeriod),LH_OpenLabel)*UnitFactor))))</f>
        <v>0</v>
      </c>
      <c r="U29" s="20" t="n">
        <f aca="false">IF(AG29=0,"",IF(NOT(LH_Ready),"",SUMIFS(INDEX(LH_Data,0,LH_ColAcc),INDEX(LH_Data,0,LH_ColFirst),$A29,INDEX(LH_Data,0,LH_ColSur),$B29,INDEX(LH_Data,0,LH_ColCat),BonusCat,INDEX(LH_Data,0,LH_ColStart),"&gt;="&amp;AH29)*UnitFactor))</f>
        <v>0</v>
      </c>
      <c r="V29" s="20" t="n">
        <f aca="false">IF(AG29=0,"",IF(NOT(LH_Ready),"",SUMIFS(INDEX(LH_Data,0,LH_ColTaken),INDEX(LH_Data,0,LH_ColFirst),$A29,INDEX(LH_Data,0,LH_ColSur),$B29,INDEX(LH_Data,0,LH_ColCat),BonusCat,INDEX(LH_Data,0,LH_ColStart),"&gt;="&amp;AH29)*UnitFactor))</f>
        <v>0</v>
      </c>
      <c r="W29" s="20" t="n">
        <f aca="false">IF(AG29=0,"",IF(NOT(LH_Ready),"",IF(BD29=0,0,INDEX(INDEX(LH_Data,0,LH_ColClose),BD29-1)*UnitFactor)))</f>
        <v>0</v>
      </c>
      <c r="X29" s="20" t="n">
        <f aca="false">IF(AG29=0,"",(AZ29-BA29)*HoursPerDay)</f>
        <v>0</v>
      </c>
      <c r="Y29" s="20" t="n">
        <f aca="false">IF(AG29=0,"",IF(NOT(LH_Ready),"",IF(BC29=0,N29,IF(PFYDate&lt;$F29,N29-N(T29)-N(U29),X29-N(U29)))))</f>
        <v>0</v>
      </c>
      <c r="Z29" s="19" t="str">
        <f aca="false">IF(OR(AG29=0,Y29=""),"",IF(Y29&gt;0,"Yes","No"))</f>
        <v>No</v>
      </c>
      <c r="AA29" s="19"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Not eligible - Casual</v>
      </c>
      <c r="AB29" s="20" t="n">
        <f aca="false">IF(OR(AG29=0,T29=""),"",BA29*HoursPerDay-T29)</f>
        <v>0</v>
      </c>
      <c r="AC29" s="19" t="n">
        <f aca="false">IF(AG29=0,"",BC29)</f>
        <v>0</v>
      </c>
      <c r="AD29" s="19"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20" t="n">
        <f aca="false">IF(AG29=0,"",O29-BH29)</f>
        <v>0</v>
      </c>
      <c r="AF29" s="17" t="str">
        <f aca="false">IF(OR(AG29=0,AE29="",N(AE29)=0,BI29=""),"",EDATE(AH29,BI29))</f>
        <v/>
      </c>
      <c r="AG29" s="19" t="n">
        <f aca="false">IF(OR(LEN($A29&amp;$B29)=0,$F29=""),0,1)</f>
        <v>1</v>
      </c>
      <c r="AH29" s="17" t="n">
        <f aca="false">IF(AG29=0,"",IF($J29&lt;&gt;"",$J29,IF(OR(CasualCounts="Yes",COUNT($G29:$I29)=0,COUNT($H29:$I29)=0),$F29,MIN($H29:$I29))))</f>
        <v>46171</v>
      </c>
      <c r="AI29" s="19" t="n">
        <f aca="false">IF(AG29=0,"",COUNT($G29:$I29))</f>
        <v>0</v>
      </c>
      <c r="AJ29" s="17" t="str">
        <f aca="false">IF(AG29=0,"",IFERROR(SMALL($G29:$I29,1),""))</f>
        <v/>
      </c>
      <c r="AK29" s="17" t="str">
        <f aca="false">IF(AG29=0,"",IFERROR(SMALL($G29:$I29,2),""))</f>
        <v/>
      </c>
      <c r="AL29" s="17" t="str">
        <f aca="false">IF(AG29=0,"",IFERROR(SMALL($G29:$I29,3),""))</f>
        <v/>
      </c>
      <c r="AM29" s="19" t="str">
        <f aca="false">IF(AG29=0,"",IF(AJ29="","",IF(AJ29=$H29,"Part-Time",IF(AJ29=$I29,"Full-Time","Casual"))))</f>
        <v/>
      </c>
      <c r="AN29" s="19" t="str">
        <f aca="false">IF(AG29=0,"",IF(AK29="","",IF(AK29=$H29,"Part-Time",IF(AK29=$I29,"Full-Time","Casual"))))</f>
        <v/>
      </c>
      <c r="AO29" s="19" t="str">
        <f aca="false">IF(AG29=0,"",IF(AL29="","",IF(AL29=$H29,"Part-Time",IF(AL29=$I29,"Full-Time","Casual"))))</f>
        <v/>
      </c>
      <c r="AP29" s="19"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None</v>
      </c>
      <c r="AQ29" s="19" t="str">
        <f aca="false">IF(AG29=0,"",IF(AI29&lt;2,"",IF(OR(ISNUMBER(SEARCH("full",AN29)),UPPER(TRIM(AN29))="FT",UPPER(TRIM(AN29))="FTE"),"FT",IF(AND(OR(ISNUMBER(SEARCH("part",AN29)),UPPER(TRIM(AN29))="PT",UPPER(TRIM(AN29))="PTE"),OR($P29="",N($P29)&gt;=PT_MinHours)),"PT","None"))))</f>
        <v/>
      </c>
      <c r="AR29" s="19" t="str">
        <f aca="false">IF(AG29=0,"",IF(AI29&lt;3,"",IF(OR(ISNUMBER(SEARCH("full",AO29)),UPPER(TRIM(AO29))="FT",UPPER(TRIM(AO29))="FTE"),"FT",IF(AND(OR(ISNUMBER(SEARCH("part",AO29)),UPPER(TRIM(AO29))="PT",UPPER(TRIM(AO29))="PTE"),OR($P29="",N($P29)&gt;=PT_MinHours)),"PT","None"))))</f>
        <v/>
      </c>
      <c r="AS29" s="19" t="str">
        <f aca="false">IF(AG29=0,"",IF(AND(AI29&gt;=3,AL29&lt;=AsOfDate),AR29,IF(AND(AI29&gt;=2,AK29&lt;=AsOfDate),AQ29,AP29)))</f>
        <v>None</v>
      </c>
      <c r="AT29" s="19" t="n">
        <f aca="false">IF(AG29=0,"",IF(AsOfDate&lt;AH29,-1,12*(YEAR(AsOfDate)-YEAR(AH29))+MONTH(AsOfDate)-MONTH(AH29)-IF(DAY(AsOfDate)&lt;MIN(DAY(AH29),DAY(EOMONTH(AsOfDate,0))),1,0)))</f>
        <v>4</v>
      </c>
      <c r="AU29" s="19" t="n">
        <f aca="false">IF(AG29=0,"",IF(OR(AI29&lt;2,AK29&gt;AsOfDate),AT29,IF((AK29-1)&lt;AH29,-1,12*(YEAR((AK29-1))-YEAR(AH29))+MONTH((AK29-1))-MONTH(AH29)-IF(DAY((AK29-1))&lt;MIN(DAY(AH29),DAY(EOMONTH((AK29-1),0))),1,0))))</f>
        <v>4</v>
      </c>
      <c r="AV29" s="19" t="n">
        <f aca="false">IF(AG29=0,"",IF(OR(AI29&lt;3,AL29&gt;AsOfDate),AT29,IF((AL29-1)&lt;AH29,-1,12*(YEAR((AL29-1))-YEAR(AH29))+MONTH((AL29-1))-MONTH(AH29)-IF(DAY((AL29-1))&lt;MIN(DAY(AH29),DAY(EOMONTH((AL29-1),0))),1,0))))</f>
        <v>4</v>
      </c>
      <c r="AW29" s="19" t="n">
        <f aca="false">IF(AG29=0,"",IF(PFYDate&lt;AH29,-1,12*(YEAR(PFYDate)-YEAR(AH29))+MONTH(PFYDate)-MONTH(AH29)-IF(DAY(PFYDate)&lt;MIN(DAY(AH29),DAY(EOMONTH(PFYDate,0))),1,0)))</f>
        <v>-1</v>
      </c>
      <c r="AX29" s="19" t="n">
        <f aca="false">IF(AG29=0,"",IF(OR(AI29&lt;2,AK29&gt;PFYDate),AW29,IF((AK29-1)&lt;AH29,-1,12*(YEAR((AK29-1))-YEAR(AH29))+MONTH((AK29-1))-MONTH(AH29)-IF(DAY((AK29-1))&lt;MIN(DAY(AH29),DAY(EOMONTH((AK29-1),0))),1,0))))</f>
        <v>-1</v>
      </c>
      <c r="AY29" s="19" t="n">
        <f aca="false">IF(AG29=0,"",IF(OR(AI29&lt;3,AL29&gt;PFYDate),AW29,IF((AL29-1)&lt;AH29,-1,12*(YEAR((AL29-1))-YEAR(AH29))+MONTH((AL29-1))-MONTH(AH29)-IF(DAY((AL29-1))&lt;MIN(DAY(AH29),DAY(EOMONTH((AL29-1),0))),1,0))))</f>
        <v>-1</v>
      </c>
      <c r="AZ29" s="19" t="n">
        <f aca="false">IF(AG29=0,"",IF(AP29="FT",IF(AU29&lt;FT_First,0,IF(AU29&lt;FT_Y5,1+INT((AU29-FT_First)/FT_Int1),FT_PreY5+FT_PerYear*INT((AU29-FT_Y5)/12)+FT_AnnivDays+INT(MOD(AU29-FT_Y5,12)/FT_Int2))),IF(AP29="PT",IF(AU29&lt;PT_First,0,1+INT((AU29-PT_First)/PT_Int)),0))+IF(AND(AI29&gt;=2,AK29&lt;=AsOfDate),IF(AQ29="FT",IF(AV29&lt;FT_First,0,IF(AV29&lt;FT_Y5,1+INT((AV29-FT_First)/FT_Int1),FT_PreY5+FT_PerYear*INT((AV29-FT_Y5)/12)+FT_AnnivDays+INT(MOD(AV29-FT_Y5,12)/FT_Int2))),IF(AQ29="PT",IF(AV29&lt;PT_First,0,1+INT((AV29-PT_First)/PT_Int)),0))-IF(AQ29="FT",IF(AU29&lt;FT_First,0,IF(AU29&lt;FT_Y5,1+INT((AU29-FT_First)/FT_Int1),FT_PreY5+FT_PerYear*INT((AU29-FT_Y5)/12)+FT_AnnivDays+INT(MOD(AU29-FT_Y5,12)/FT_Int2))),IF(AQ29="PT",IF(AU29&lt;PT_First,0,1+INT((AU29-PT_First)/PT_Int)),0)),0)+IF(AND(AI29&gt;=3,AL29&lt;=AsOfDate),IF(AR29="FT",IF(AT29&lt;FT_First,0,IF(AT29&lt;FT_Y5,1+INT((AT29-FT_First)/FT_Int1),FT_PreY5+FT_PerYear*INT((AT29-FT_Y5)/12)+FT_AnnivDays+INT(MOD(AT29-FT_Y5,12)/FT_Int2))),IF(AR29="PT",IF(AT29&lt;PT_First,0,1+INT((AT29-PT_First)/PT_Int)),0))-IF(AR29="FT",IF(AV29&lt;FT_First,0,IF(AV29&lt;FT_Y5,1+INT((AV29-FT_First)/FT_Int1),FT_PreY5+FT_PerYear*INT((AV29-FT_Y5)/12)+FT_AnnivDays+INT(MOD(AV29-FT_Y5,12)/FT_Int2))),IF(AR29="PT",IF(AV29&lt;PT_First,0,1+INT((AV29-PT_First)/PT_Int)),0)),0))</f>
        <v>0</v>
      </c>
      <c r="BA29" s="19" t="n">
        <f aca="false">IF(AG29=0,"",IF(AP29="FT",IF(AX29&lt;FT_First,0,IF(AX29&lt;FT_Y5,1+INT((AX29-FT_First)/FT_Int1),FT_PreY5+FT_PerYear*INT((AX29-FT_Y5)/12)+FT_AnnivDays+INT(MOD(AX29-FT_Y5,12)/FT_Int2))),IF(AP29="PT",IF(AX29&lt;PT_First,0,1+INT((AX29-PT_First)/PT_Int)),0))+IF(AND(AI29&gt;=2,AK29&lt;=PFYDate),IF(AQ29="FT",IF(AY29&lt;FT_First,0,IF(AY29&lt;FT_Y5,1+INT((AY29-FT_First)/FT_Int1),FT_PreY5+FT_PerYear*INT((AY29-FT_Y5)/12)+FT_AnnivDays+INT(MOD(AY29-FT_Y5,12)/FT_Int2))),IF(AQ29="PT",IF(AY29&lt;PT_First,0,1+INT((AY29-PT_First)/PT_Int)),0))-IF(AQ29="FT",IF(AX29&lt;FT_First,0,IF(AX29&lt;FT_Y5,1+INT((AX29-FT_First)/FT_Int1),FT_PreY5+FT_PerYear*INT((AX29-FT_Y5)/12)+FT_AnnivDays+INT(MOD(AX29-FT_Y5,12)/FT_Int2))),IF(AQ29="PT",IF(AX29&lt;PT_First,0,1+INT((AX29-PT_First)/PT_Int)),0)),0)+IF(AND(AI29&gt;=3,AL29&lt;=PFYDate),IF(AR29="FT",IF(AW29&lt;FT_First,0,IF(AW29&lt;FT_Y5,1+INT((AW29-FT_First)/FT_Int1),FT_PreY5+FT_PerYear*INT((AW29-FT_Y5)/12)+FT_AnnivDays+INT(MOD(AW29-FT_Y5,12)/FT_Int2))),IF(AR29="PT",IF(AW29&lt;PT_First,0,1+INT((AW29-PT_First)/PT_Int)),0))-IF(AR29="FT",IF(AY29&lt;FT_First,0,IF(AY29&lt;FT_Y5,1+INT((AY29-FT_First)/FT_Int1),FT_PreY5+FT_PerYear*INT((AY29-FT_Y5)/12)+FT_AnnivDays+INT(MOD(AY29-FT_Y5,12)/FT_Int2))),IF(AR29="PT",IF(AY29&lt;PT_First,0,1+INT((AY29-PT_First)/PT_Int)),0)),0))</f>
        <v>0</v>
      </c>
      <c r="BB29" s="19" t="str">
        <f aca="false">IF(AG29=0,"",IF(AS29="FT",IF(AT29&lt;FT_First,FT_First,IF(AT29&lt;FT_Y5,MIN(FT_Y5,FT_First+FT_Int1*(INT((AT29-FT_First)/FT_Int1)+1)),FT_Y5+12*INT((AT29-FT_Y5)/12)+FT_Int2*(INT(MOD(AT29-FT_Y5,12)/FT_Int2)+1))),IF(AS29="PT",IF(AT29&lt;PT_First,PT_First,PT_First+PT_Int*(INT((AT29-PT_First)/PT_Int)+1)),"")))</f>
        <v/>
      </c>
      <c r="BC29" s="19" t="n">
        <f aca="false">IF(AG29=0,"",IF(NOT(LH_Ready),0,COUNTIFS(INDEX(LH_Data,0,LH_ColFirst),$A29,INDEX(LH_Data,0,LH_ColSur),$B29,INDEX(LH_Data,0,LH_ColCat),BonusCat)))</f>
        <v>0</v>
      </c>
      <c r="BD29" s="19" t="n">
        <f aca="false">IF(AG29=0,"",IF(OR(NOT(LH_Ready),BC29=0),0,SUMPRODUCT(MAX((INDEX(LH_Data,0,LH_ColFirst)=$A29)*(INDEX(LH_Data,0,LH_ColSur)=$B29)*(INDEX(LH_Data,0,LH_ColCat)=BonusCat)*ROW(LH_Data)))))</f>
        <v>0</v>
      </c>
      <c r="BE29" s="19" t="n">
        <f aca="false">IF(AG29=0,"",IF(EOMONTH(AsOfDate,-1)&lt;AH29,-1,12*(YEAR(EOMONTH(AsOfDate,-1))-YEAR(AH29))+MONTH(EOMONTH(AsOfDate,-1))-MONTH(AH29)-IF(DAY(EOMONTH(AsOfDate,-1))&lt;MIN(DAY(AH29),DAY(EOMONTH(EOMONTH(AsOfDate,-1),0))),1,0)))</f>
        <v>4</v>
      </c>
      <c r="BF29" s="19" t="n">
        <f aca="false">IF(AG29=0,"",IF(OR(AI29&lt;2,AK29&gt;EOMONTH(AsOfDate,-1)),BE29,IF((AK29-1)&lt;AH29,-1,12*(YEAR((AK29-1))-YEAR(AH29))+MONTH((AK29-1))-MONTH(AH29)-IF(DAY((AK29-1))&lt;MIN(DAY(AH29),DAY(EOMONTH((AK29-1),0))),1,0))))</f>
        <v>4</v>
      </c>
      <c r="BG29" s="19" t="n">
        <f aca="false">IF(AG29=0,"",IF(OR(AI29&lt;3,AL29&gt;EOMONTH(AsOfDate,-1)),BE29,IF((AL29-1)&lt;AH29,-1,12*(YEAR((AL29-1))-YEAR(AH29))+MONTH((AL29-1))-MONTH(AH29)-IF(DAY((AL29-1))&lt;MIN(DAY(AH29),DAY(EOMONTH((AL29-1),0))),1,0))))</f>
        <v>4</v>
      </c>
      <c r="BH29" s="19" t="n">
        <f aca="false">IF(AG29=0,"",IF(AP29="FT",IF(BF29&lt;FT_First,0,IF(BF29&lt;FT_Y5,1+INT((BF29-FT_First)/FT_Int1),FT_PreY5+FT_PerYear*INT((BF29-FT_Y5)/12)+FT_AnnivDays+INT(MOD(BF29-FT_Y5,12)/FT_Int2))),IF(AP29="PT",IF(BF29&lt;PT_First,0,1+INT((BF29-PT_First)/PT_Int)),0))+IF(AND(AI29&gt;=2,AK29&lt;=EOMONTH(AsOfDate,-1)),IF(AQ29="FT",IF(BG29&lt;FT_First,0,IF(BG29&lt;FT_Y5,1+INT((BG29-FT_First)/FT_Int1),FT_PreY5+FT_PerYear*INT((BG29-FT_Y5)/12)+FT_AnnivDays+INT(MOD(BG29-FT_Y5,12)/FT_Int2))),IF(AQ29="PT",IF(BG29&lt;PT_First,0,1+INT((BG29-PT_First)/PT_Int)),0))-IF(AQ29="FT",IF(BF29&lt;FT_First,0,IF(BF29&lt;FT_Y5,1+INT((BF29-FT_First)/FT_Int1),FT_PreY5+FT_PerYear*INT((BF29-FT_Y5)/12)+FT_AnnivDays+INT(MOD(BF29-FT_Y5,12)/FT_Int2))),IF(AQ29="PT",IF(BF29&lt;PT_First,0,1+INT((BF29-PT_First)/PT_Int)),0)),0)+IF(AND(AI29&gt;=3,AL29&lt;=EOMONTH(AsOfDate,-1)),IF(AR29="FT",IF(BE29&lt;FT_First,0,IF(BE29&lt;FT_Y5,1+INT((BE29-FT_First)/FT_Int1),FT_PreY5+FT_PerYear*INT((BE29-FT_Y5)/12)+FT_AnnivDays+INT(MOD(BE29-FT_Y5,12)/FT_Int2))),IF(AR29="PT",IF(BE29&lt;PT_First,0,1+INT((BE29-PT_First)/PT_Int)),0))-IF(AR29="FT",IF(BG29&lt;FT_First,0,IF(BG29&lt;FT_Y5,1+INT((BG29-FT_First)/FT_Int1),FT_PreY5+FT_PerYear*INT((BG29-FT_Y5)/12)+FT_AnnivDays+INT(MOD(BG29-FT_Y5,12)/FT_Int2))),IF(AR29="PT",IF(BG29&lt;PT_First,0,1+INT((BG29-PT_First)/PT_Int)),0)),0))</f>
        <v>0</v>
      </c>
      <c r="BI29" s="19" t="str">
        <f aca="false">IF(AG29=0,"",IF(AS29="FT",IF(AT29&lt;FT_First,"",IF(AT29&lt;FT_Y5,FT_First+FT_Int1*INT((AT29-FT_First)/FT_Int1),FT_Y5+FT_Int2*INT((AT29-FT_Y5)/FT_Int2))),IF(AS29="PT",IF(AT29&lt;PT_First,"",PT_First+PT_Int*INT((AT29-PT_First)/PT_Int)),"")))</f>
        <v/>
      </c>
      <c r="BJ29" s="0" t="str">
        <f aca="false">IF(LEN($A29&amp;$B29)=0,"",$A29&amp;" "&amp;$B29)</f>
        <v>Emmett Todd</v>
      </c>
    </row>
    <row r="30" customFormat="false" ht="15" hidden="false" customHeight="false" outlineLevel="0" collapsed="false">
      <c r="A30" s="15" t="s">
        <v>189</v>
      </c>
      <c r="B30" s="15" t="s">
        <v>190</v>
      </c>
      <c r="C30" s="15" t="s">
        <v>138</v>
      </c>
      <c r="D30" s="16" t="n">
        <v>36059</v>
      </c>
      <c r="E30" s="17" t="n">
        <f aca="false">IF(OR(AG30=0,$D30=""),"",DATE(YEAR(AsOfDate)+IF(DATE(YEAR(AsOfDate),MONTH($D30),DAY($D30))&lt;=AsOfDate,1,0),MONTH($D30),DAY($D30)))</f>
        <v>46651</v>
      </c>
      <c r="F30" s="16" t="n">
        <v>45698</v>
      </c>
      <c r="G30" s="16"/>
      <c r="H30" s="16"/>
      <c r="I30" s="16"/>
      <c r="J30" s="16"/>
      <c r="K30" s="17" t="n">
        <f aca="false">IF(AG30=0,"",DATE(YEAR(AsOfDate)+IF(DATE(YEAR(AsOfDate),MONTH(AH30),DAY(AH30))&lt;=AsOfDate,1,0),MONTH(AH30),DAY(AH30)))</f>
        <v>46428</v>
      </c>
      <c r="L30" s="18" t="n">
        <f aca="false">IF(AG30=0,"",ROUND((AsOfDate-AH30)/365.25,1))</f>
        <v>1.7</v>
      </c>
      <c r="M30" s="19" t="str">
        <f aca="false">IF(AG30=0,"",IF(AsOfDate&lt;AH30,"-",DATEDIF(AH30,AsOfDate,"y")&amp;"y "&amp;DATEDIF(AH30,AsOfDate,"ym")&amp;"m "&amp;DATEDIF(AH30,AsOfDate,"md")&amp;"d"))</f>
        <v>1y 7m 26d</v>
      </c>
      <c r="N30" s="20" t="n">
        <f aca="false">IF(AG30=0,"",O30*HoursPerDay)</f>
        <v>0</v>
      </c>
      <c r="O30" s="20" t="n">
        <f aca="false">IF(AG30=0,"",AZ30)</f>
        <v>0</v>
      </c>
      <c r="P30" s="21"/>
      <c r="Q30" s="19"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19"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17" t="str">
        <f aca="false">IF(AG30=0,"",IF(AS30="None","",EDATE(AH30,BB30)))</f>
        <v/>
      </c>
      <c r="T30" s="20" t="n">
        <f aca="false">IF(AG30=0,"",IF(NOT(LH_Ready),"",IF(AH30&gt;PFYDate,0,IF(LH_ColPeriod=0,W30-U30+V30,SUMIFS(INDEX(LH_Data,0,LH_ColAcc),INDEX(LH_Data,0,LH_ColFirst),$A30,INDEX(LH_Data,0,LH_ColSur),$B30,INDEX(LH_Data,0,LH_ColCat),BonusCat,INDEX(LH_Data,0,LH_ColPeriod),LH_OpenLabel)*UnitFactor))))</f>
        <v>0</v>
      </c>
      <c r="U30" s="20" t="n">
        <f aca="false">IF(AG30=0,"",IF(NOT(LH_Ready),"",SUMIFS(INDEX(LH_Data,0,LH_ColAcc),INDEX(LH_Data,0,LH_ColFirst),$A30,INDEX(LH_Data,0,LH_ColSur),$B30,INDEX(LH_Data,0,LH_ColCat),BonusCat,INDEX(LH_Data,0,LH_ColStart),"&gt;="&amp;AH30)*UnitFactor))</f>
        <v>0</v>
      </c>
      <c r="V30" s="20" t="n">
        <f aca="false">IF(AG30=0,"",IF(NOT(LH_Ready),"",SUMIFS(INDEX(LH_Data,0,LH_ColTaken),INDEX(LH_Data,0,LH_ColFirst),$A30,INDEX(LH_Data,0,LH_ColSur),$B30,INDEX(LH_Data,0,LH_ColCat),BonusCat,INDEX(LH_Data,0,LH_ColStart),"&gt;="&amp;AH30)*UnitFactor))</f>
        <v>0</v>
      </c>
      <c r="W30" s="20" t="n">
        <f aca="false">IF(AG30=0,"",IF(NOT(LH_Ready),"",IF(BD30=0,0,INDEX(INDEX(LH_Data,0,LH_ColClose),BD30-1)*UnitFactor)))</f>
        <v>0</v>
      </c>
      <c r="X30" s="20" t="n">
        <f aca="false">IF(AG30=0,"",(AZ30-BA30)*HoursPerDay)</f>
        <v>0</v>
      </c>
      <c r="Y30" s="20" t="n">
        <f aca="false">IF(AG30=0,"",IF(NOT(LH_Ready),"",IF(BC30=0,N30,IF(PFYDate&lt;$F30,N30-N(T30)-N(U30),X30-N(U30)))))</f>
        <v>0</v>
      </c>
      <c r="Z30" s="19" t="str">
        <f aca="false">IF(OR(AG30=0,Y30=""),"",IF(Y30&gt;0,"Yes","No"))</f>
        <v>No</v>
      </c>
      <c r="AA30" s="19"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Not eligible - Casual</v>
      </c>
      <c r="AB30" s="20" t="n">
        <f aca="false">IF(OR(AG30=0,T30=""),"",BA30*HoursPerDay-T30)</f>
        <v>0</v>
      </c>
      <c r="AC30" s="19" t="n">
        <f aca="false">IF(AG30=0,"",BC30)</f>
        <v>0</v>
      </c>
      <c r="AD30" s="19"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20" t="n">
        <f aca="false">IF(AG30=0,"",O30-BH30)</f>
        <v>0</v>
      </c>
      <c r="AF30" s="17" t="str">
        <f aca="false">IF(OR(AG30=0,AE30="",N(AE30)=0,BI30=""),"",EDATE(AH30,BI30))</f>
        <v/>
      </c>
      <c r="AG30" s="19" t="n">
        <f aca="false">IF(OR(LEN($A30&amp;$B30)=0,$F30=""),0,1)</f>
        <v>1</v>
      </c>
      <c r="AH30" s="17" t="n">
        <f aca="false">IF(AG30=0,"",IF($J30&lt;&gt;"",$J30,IF(OR(CasualCounts="Yes",COUNT($G30:$I30)=0,COUNT($H30:$I30)=0),$F30,MIN($H30:$I30))))</f>
        <v>45698</v>
      </c>
      <c r="AI30" s="19" t="n">
        <f aca="false">IF(AG30=0,"",COUNT($G30:$I30))</f>
        <v>0</v>
      </c>
      <c r="AJ30" s="17" t="str">
        <f aca="false">IF(AG30=0,"",IFERROR(SMALL($G30:$I30,1),""))</f>
        <v/>
      </c>
      <c r="AK30" s="17" t="str">
        <f aca="false">IF(AG30=0,"",IFERROR(SMALL($G30:$I30,2),""))</f>
        <v/>
      </c>
      <c r="AL30" s="17" t="str">
        <f aca="false">IF(AG30=0,"",IFERROR(SMALL($G30:$I30,3),""))</f>
        <v/>
      </c>
      <c r="AM30" s="19" t="str">
        <f aca="false">IF(AG30=0,"",IF(AJ30="","",IF(AJ30=$H30,"Part-Time",IF(AJ30=$I30,"Full-Time","Casual"))))</f>
        <v/>
      </c>
      <c r="AN30" s="19" t="str">
        <f aca="false">IF(AG30=0,"",IF(AK30="","",IF(AK30=$H30,"Part-Time",IF(AK30=$I30,"Full-Time","Casual"))))</f>
        <v/>
      </c>
      <c r="AO30" s="19" t="str">
        <f aca="false">IF(AG30=0,"",IF(AL30="","",IF(AL30=$H30,"Part-Time",IF(AL30=$I30,"Full-Time","Casual"))))</f>
        <v/>
      </c>
      <c r="AP30" s="19"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None</v>
      </c>
      <c r="AQ30" s="19" t="str">
        <f aca="false">IF(AG30=0,"",IF(AI30&lt;2,"",IF(OR(ISNUMBER(SEARCH("full",AN30)),UPPER(TRIM(AN30))="FT",UPPER(TRIM(AN30))="FTE"),"FT",IF(AND(OR(ISNUMBER(SEARCH("part",AN30)),UPPER(TRIM(AN30))="PT",UPPER(TRIM(AN30))="PTE"),OR($P30="",N($P30)&gt;=PT_MinHours)),"PT","None"))))</f>
        <v/>
      </c>
      <c r="AR30" s="19" t="str">
        <f aca="false">IF(AG30=0,"",IF(AI30&lt;3,"",IF(OR(ISNUMBER(SEARCH("full",AO30)),UPPER(TRIM(AO30))="FT",UPPER(TRIM(AO30))="FTE"),"FT",IF(AND(OR(ISNUMBER(SEARCH("part",AO30)),UPPER(TRIM(AO30))="PT",UPPER(TRIM(AO30))="PTE"),OR($P30="",N($P30)&gt;=PT_MinHours)),"PT","None"))))</f>
        <v/>
      </c>
      <c r="AS30" s="19" t="str">
        <f aca="false">IF(AG30=0,"",IF(AND(AI30&gt;=3,AL30&lt;=AsOfDate),AR30,IF(AND(AI30&gt;=2,AK30&lt;=AsOfDate),AQ30,AP30)))</f>
        <v>None</v>
      </c>
      <c r="AT30" s="19" t="n">
        <f aca="false">IF(AG30=0,"",IF(AsOfDate&lt;AH30,-1,12*(YEAR(AsOfDate)-YEAR(AH30))+MONTH(AsOfDate)-MONTH(AH30)-IF(DAY(AsOfDate)&lt;MIN(DAY(AH30),DAY(EOMONTH(AsOfDate,0))),1,0)))</f>
        <v>19</v>
      </c>
      <c r="AU30" s="19" t="n">
        <f aca="false">IF(AG30=0,"",IF(OR(AI30&lt;2,AK30&gt;AsOfDate),AT30,IF((AK30-1)&lt;AH30,-1,12*(YEAR((AK30-1))-YEAR(AH30))+MONTH((AK30-1))-MONTH(AH30)-IF(DAY((AK30-1))&lt;MIN(DAY(AH30),DAY(EOMONTH((AK30-1),0))),1,0))))</f>
        <v>19</v>
      </c>
      <c r="AV30" s="19" t="n">
        <f aca="false">IF(AG30=0,"",IF(OR(AI30&lt;3,AL30&gt;AsOfDate),AT30,IF((AL30-1)&lt;AH30,-1,12*(YEAR((AL30-1))-YEAR(AH30))+MONTH((AL30-1))-MONTH(AH30)-IF(DAY((AL30-1))&lt;MIN(DAY(AH30),DAY(EOMONTH((AL30-1),0))),1,0))))</f>
        <v>19</v>
      </c>
      <c r="AW30" s="19" t="n">
        <f aca="false">IF(AG30=0,"",IF(PFYDate&lt;AH30,-1,12*(YEAR(PFYDate)-YEAR(AH30))+MONTH(PFYDate)-MONTH(AH30)-IF(DAY(PFYDate)&lt;MIN(DAY(AH30),DAY(EOMONTH(PFYDate,0))),1,0)))</f>
        <v>-1</v>
      </c>
      <c r="AX30" s="19" t="n">
        <f aca="false">IF(AG30=0,"",IF(OR(AI30&lt;2,AK30&gt;PFYDate),AW30,IF((AK30-1)&lt;AH30,-1,12*(YEAR((AK30-1))-YEAR(AH30))+MONTH((AK30-1))-MONTH(AH30)-IF(DAY((AK30-1))&lt;MIN(DAY(AH30),DAY(EOMONTH((AK30-1),0))),1,0))))</f>
        <v>-1</v>
      </c>
      <c r="AY30" s="19" t="n">
        <f aca="false">IF(AG30=0,"",IF(OR(AI30&lt;3,AL30&gt;PFYDate),AW30,IF((AL30-1)&lt;AH30,-1,12*(YEAR((AL30-1))-YEAR(AH30))+MONTH((AL30-1))-MONTH(AH30)-IF(DAY((AL30-1))&lt;MIN(DAY(AH30),DAY(EOMONTH((AL30-1),0))),1,0))))</f>
        <v>-1</v>
      </c>
      <c r="AZ30" s="19" t="n">
        <f aca="false">IF(AG30=0,"",IF(AP30="FT",IF(AU30&lt;FT_First,0,IF(AU30&lt;FT_Y5,1+INT((AU30-FT_First)/FT_Int1),FT_PreY5+FT_PerYear*INT((AU30-FT_Y5)/12)+FT_AnnivDays+INT(MOD(AU30-FT_Y5,12)/FT_Int2))),IF(AP30="PT",IF(AU30&lt;PT_First,0,1+INT((AU30-PT_First)/PT_Int)),0))+IF(AND(AI30&gt;=2,AK30&lt;=AsOfDate),IF(AQ30="FT",IF(AV30&lt;FT_First,0,IF(AV30&lt;FT_Y5,1+INT((AV30-FT_First)/FT_Int1),FT_PreY5+FT_PerYear*INT((AV30-FT_Y5)/12)+FT_AnnivDays+INT(MOD(AV30-FT_Y5,12)/FT_Int2))),IF(AQ30="PT",IF(AV30&lt;PT_First,0,1+INT((AV30-PT_First)/PT_Int)),0))-IF(AQ30="FT",IF(AU30&lt;FT_First,0,IF(AU30&lt;FT_Y5,1+INT((AU30-FT_First)/FT_Int1),FT_PreY5+FT_PerYear*INT((AU30-FT_Y5)/12)+FT_AnnivDays+INT(MOD(AU30-FT_Y5,12)/FT_Int2))),IF(AQ30="PT",IF(AU30&lt;PT_First,0,1+INT((AU30-PT_First)/PT_Int)),0)),0)+IF(AND(AI30&gt;=3,AL30&lt;=AsOfDate),IF(AR30="FT",IF(AT30&lt;FT_First,0,IF(AT30&lt;FT_Y5,1+INT((AT30-FT_First)/FT_Int1),FT_PreY5+FT_PerYear*INT((AT30-FT_Y5)/12)+FT_AnnivDays+INT(MOD(AT30-FT_Y5,12)/FT_Int2))),IF(AR30="PT",IF(AT30&lt;PT_First,0,1+INT((AT30-PT_First)/PT_Int)),0))-IF(AR30="FT",IF(AV30&lt;FT_First,0,IF(AV30&lt;FT_Y5,1+INT((AV30-FT_First)/FT_Int1),FT_PreY5+FT_PerYear*INT((AV30-FT_Y5)/12)+FT_AnnivDays+INT(MOD(AV30-FT_Y5,12)/FT_Int2))),IF(AR30="PT",IF(AV30&lt;PT_First,0,1+INT((AV30-PT_First)/PT_Int)),0)),0))</f>
        <v>0</v>
      </c>
      <c r="BA30" s="19" t="n">
        <f aca="false">IF(AG30=0,"",IF(AP30="FT",IF(AX30&lt;FT_First,0,IF(AX30&lt;FT_Y5,1+INT((AX30-FT_First)/FT_Int1),FT_PreY5+FT_PerYear*INT((AX30-FT_Y5)/12)+FT_AnnivDays+INT(MOD(AX30-FT_Y5,12)/FT_Int2))),IF(AP30="PT",IF(AX30&lt;PT_First,0,1+INT((AX30-PT_First)/PT_Int)),0))+IF(AND(AI30&gt;=2,AK30&lt;=PFYDate),IF(AQ30="FT",IF(AY30&lt;FT_First,0,IF(AY30&lt;FT_Y5,1+INT((AY30-FT_First)/FT_Int1),FT_PreY5+FT_PerYear*INT((AY30-FT_Y5)/12)+FT_AnnivDays+INT(MOD(AY30-FT_Y5,12)/FT_Int2))),IF(AQ30="PT",IF(AY30&lt;PT_First,0,1+INT((AY30-PT_First)/PT_Int)),0))-IF(AQ30="FT",IF(AX30&lt;FT_First,0,IF(AX30&lt;FT_Y5,1+INT((AX30-FT_First)/FT_Int1),FT_PreY5+FT_PerYear*INT((AX30-FT_Y5)/12)+FT_AnnivDays+INT(MOD(AX30-FT_Y5,12)/FT_Int2))),IF(AQ30="PT",IF(AX30&lt;PT_First,0,1+INT((AX30-PT_First)/PT_Int)),0)),0)+IF(AND(AI30&gt;=3,AL30&lt;=PFYDate),IF(AR30="FT",IF(AW30&lt;FT_First,0,IF(AW30&lt;FT_Y5,1+INT((AW30-FT_First)/FT_Int1),FT_PreY5+FT_PerYear*INT((AW30-FT_Y5)/12)+FT_AnnivDays+INT(MOD(AW30-FT_Y5,12)/FT_Int2))),IF(AR30="PT",IF(AW30&lt;PT_First,0,1+INT((AW30-PT_First)/PT_Int)),0))-IF(AR30="FT",IF(AY30&lt;FT_First,0,IF(AY30&lt;FT_Y5,1+INT((AY30-FT_First)/FT_Int1),FT_PreY5+FT_PerYear*INT((AY30-FT_Y5)/12)+FT_AnnivDays+INT(MOD(AY30-FT_Y5,12)/FT_Int2))),IF(AR30="PT",IF(AY30&lt;PT_First,0,1+INT((AY30-PT_First)/PT_Int)),0)),0))</f>
        <v>0</v>
      </c>
      <c r="BB30" s="19" t="str">
        <f aca="false">IF(AG30=0,"",IF(AS30="FT",IF(AT30&lt;FT_First,FT_First,IF(AT30&lt;FT_Y5,MIN(FT_Y5,FT_First+FT_Int1*(INT((AT30-FT_First)/FT_Int1)+1)),FT_Y5+12*INT((AT30-FT_Y5)/12)+FT_Int2*(INT(MOD(AT30-FT_Y5,12)/FT_Int2)+1))),IF(AS30="PT",IF(AT30&lt;PT_First,PT_First,PT_First+PT_Int*(INT((AT30-PT_First)/PT_Int)+1)),"")))</f>
        <v/>
      </c>
      <c r="BC30" s="19" t="n">
        <f aca="false">IF(AG30=0,"",IF(NOT(LH_Ready),0,COUNTIFS(INDEX(LH_Data,0,LH_ColFirst),$A30,INDEX(LH_Data,0,LH_ColSur),$B30,INDEX(LH_Data,0,LH_ColCat),BonusCat)))</f>
        <v>0</v>
      </c>
      <c r="BD30" s="19" t="n">
        <f aca="false">IF(AG30=0,"",IF(OR(NOT(LH_Ready),BC30=0),0,SUMPRODUCT(MAX((INDEX(LH_Data,0,LH_ColFirst)=$A30)*(INDEX(LH_Data,0,LH_ColSur)=$B30)*(INDEX(LH_Data,0,LH_ColCat)=BonusCat)*ROW(LH_Data)))))</f>
        <v>0</v>
      </c>
      <c r="BE30" s="19" t="n">
        <f aca="false">IF(AG30=0,"",IF(EOMONTH(AsOfDate,-1)&lt;AH30,-1,12*(YEAR(EOMONTH(AsOfDate,-1))-YEAR(AH30))+MONTH(EOMONTH(AsOfDate,-1))-MONTH(AH30)-IF(DAY(EOMONTH(AsOfDate,-1))&lt;MIN(DAY(AH30),DAY(EOMONTH(EOMONTH(AsOfDate,-1),0))),1,0)))</f>
        <v>19</v>
      </c>
      <c r="BF30" s="19" t="n">
        <f aca="false">IF(AG30=0,"",IF(OR(AI30&lt;2,AK30&gt;EOMONTH(AsOfDate,-1)),BE30,IF((AK30-1)&lt;AH30,-1,12*(YEAR((AK30-1))-YEAR(AH30))+MONTH((AK30-1))-MONTH(AH30)-IF(DAY((AK30-1))&lt;MIN(DAY(AH30),DAY(EOMONTH((AK30-1),0))),1,0))))</f>
        <v>19</v>
      </c>
      <c r="BG30" s="19" t="n">
        <f aca="false">IF(AG30=0,"",IF(OR(AI30&lt;3,AL30&gt;EOMONTH(AsOfDate,-1)),BE30,IF((AL30-1)&lt;AH30,-1,12*(YEAR((AL30-1))-YEAR(AH30))+MONTH((AL30-1))-MONTH(AH30)-IF(DAY((AL30-1))&lt;MIN(DAY(AH30),DAY(EOMONTH((AL30-1),0))),1,0))))</f>
        <v>19</v>
      </c>
      <c r="BH30" s="19" t="n">
        <f aca="false">IF(AG30=0,"",IF(AP30="FT",IF(BF30&lt;FT_First,0,IF(BF30&lt;FT_Y5,1+INT((BF30-FT_First)/FT_Int1),FT_PreY5+FT_PerYear*INT((BF30-FT_Y5)/12)+FT_AnnivDays+INT(MOD(BF30-FT_Y5,12)/FT_Int2))),IF(AP30="PT",IF(BF30&lt;PT_First,0,1+INT((BF30-PT_First)/PT_Int)),0))+IF(AND(AI30&gt;=2,AK30&lt;=EOMONTH(AsOfDate,-1)),IF(AQ30="FT",IF(BG30&lt;FT_First,0,IF(BG30&lt;FT_Y5,1+INT((BG30-FT_First)/FT_Int1),FT_PreY5+FT_PerYear*INT((BG30-FT_Y5)/12)+FT_AnnivDays+INT(MOD(BG30-FT_Y5,12)/FT_Int2))),IF(AQ30="PT",IF(BG30&lt;PT_First,0,1+INT((BG30-PT_First)/PT_Int)),0))-IF(AQ30="FT",IF(BF30&lt;FT_First,0,IF(BF30&lt;FT_Y5,1+INT((BF30-FT_First)/FT_Int1),FT_PreY5+FT_PerYear*INT((BF30-FT_Y5)/12)+FT_AnnivDays+INT(MOD(BF30-FT_Y5,12)/FT_Int2))),IF(AQ30="PT",IF(BF30&lt;PT_First,0,1+INT((BF30-PT_First)/PT_Int)),0)),0)+IF(AND(AI30&gt;=3,AL30&lt;=EOMONTH(AsOfDate,-1)),IF(AR30="FT",IF(BE30&lt;FT_First,0,IF(BE30&lt;FT_Y5,1+INT((BE30-FT_First)/FT_Int1),FT_PreY5+FT_PerYear*INT((BE30-FT_Y5)/12)+FT_AnnivDays+INT(MOD(BE30-FT_Y5,12)/FT_Int2))),IF(AR30="PT",IF(BE30&lt;PT_First,0,1+INT((BE30-PT_First)/PT_Int)),0))-IF(AR30="FT",IF(BG30&lt;FT_First,0,IF(BG30&lt;FT_Y5,1+INT((BG30-FT_First)/FT_Int1),FT_PreY5+FT_PerYear*INT((BG30-FT_Y5)/12)+FT_AnnivDays+INT(MOD(BG30-FT_Y5,12)/FT_Int2))),IF(AR30="PT",IF(BG30&lt;PT_First,0,1+INT((BG30-PT_First)/PT_Int)),0)),0))</f>
        <v>0</v>
      </c>
      <c r="BI30" s="19" t="str">
        <f aca="false">IF(AG30=0,"",IF(AS30="FT",IF(AT30&lt;FT_First,"",IF(AT30&lt;FT_Y5,FT_First+FT_Int1*INT((AT30-FT_First)/FT_Int1),FT_Y5+FT_Int2*INT((AT30-FT_Y5)/FT_Int2))),IF(AS30="PT",IF(AT30&lt;PT_First,"",PT_First+PT_Int*INT((AT30-PT_First)/PT_Int)),"")))</f>
        <v/>
      </c>
      <c r="BJ30" s="0" t="str">
        <f aca="false">IF(LEN($A30&amp;$B30)=0,"",$A30&amp;" "&amp;$B30)</f>
        <v>Gabriela Alchaar</v>
      </c>
    </row>
    <row r="31" customFormat="false" ht="15" hidden="false" customHeight="false" outlineLevel="0" collapsed="false">
      <c r="A31" s="15" t="s">
        <v>191</v>
      </c>
      <c r="B31" s="15" t="s">
        <v>192</v>
      </c>
      <c r="C31" s="15" t="s">
        <v>138</v>
      </c>
      <c r="D31" s="16" t="n">
        <v>24604</v>
      </c>
      <c r="E31" s="17" t="n">
        <f aca="false">IF(OR(AG31=0,$D31=""),"",DATE(YEAR(AsOfDate)+IF(DATE(YEAR(AsOfDate),MONTH($D31),DAY($D31))&lt;=AsOfDate,1,0),MONTH($D31),DAY($D31)))</f>
        <v>46519</v>
      </c>
      <c r="F31" s="16" t="n">
        <v>46140</v>
      </c>
      <c r="G31" s="16"/>
      <c r="H31" s="16"/>
      <c r="I31" s="16"/>
      <c r="J31" s="16"/>
      <c r="K31" s="17" t="n">
        <f aca="false">IF(AG31=0,"",DATE(YEAR(AsOfDate)+IF(DATE(YEAR(AsOfDate),MONTH(AH31),DAY(AH31))&lt;=AsOfDate,1,0),MONTH(AH31),DAY(AH31)))</f>
        <v>46505</v>
      </c>
      <c r="L31" s="18" t="n">
        <f aca="false">IF(AG31=0,"",ROUND((AsOfDate-AH31)/365.25,1))</f>
        <v>0.4</v>
      </c>
      <c r="M31" s="19" t="str">
        <f aca="false">IF(AG31=0,"",IF(AsOfDate&lt;AH31,"-",DATEDIF(AH31,AsOfDate,"y")&amp;"y "&amp;DATEDIF(AH31,AsOfDate,"ym")&amp;"m "&amp;DATEDIF(AH31,AsOfDate,"md")&amp;"d"))</f>
        <v>0y 5m 8d</v>
      </c>
      <c r="N31" s="20" t="n">
        <f aca="false">IF(AG31=0,"",O31*HoursPerDay)</f>
        <v>0</v>
      </c>
      <c r="O31" s="20" t="n">
        <f aca="false">IF(AG31=0,"",AZ31)</f>
        <v>0</v>
      </c>
      <c r="P31" s="21"/>
      <c r="Q31" s="19"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19"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17" t="str">
        <f aca="false">IF(AG31=0,"",IF(AS31="None","",EDATE(AH31,BB31)))</f>
        <v/>
      </c>
      <c r="T31" s="20" t="n">
        <f aca="false">IF(AG31=0,"",IF(NOT(LH_Ready),"",IF(AH31&gt;PFYDate,0,IF(LH_ColPeriod=0,W31-U31+V31,SUMIFS(INDEX(LH_Data,0,LH_ColAcc),INDEX(LH_Data,0,LH_ColFirst),$A31,INDEX(LH_Data,0,LH_ColSur),$B31,INDEX(LH_Data,0,LH_ColCat),BonusCat,INDEX(LH_Data,0,LH_ColPeriod),LH_OpenLabel)*UnitFactor))))</f>
        <v>0</v>
      </c>
      <c r="U31" s="20" t="n">
        <f aca="false">IF(AG31=0,"",IF(NOT(LH_Ready),"",SUMIFS(INDEX(LH_Data,0,LH_ColAcc),INDEX(LH_Data,0,LH_ColFirst),$A31,INDEX(LH_Data,0,LH_ColSur),$B31,INDEX(LH_Data,0,LH_ColCat),BonusCat,INDEX(LH_Data,0,LH_ColStart),"&gt;="&amp;AH31)*UnitFactor))</f>
        <v>0</v>
      </c>
      <c r="V31" s="20" t="n">
        <f aca="false">IF(AG31=0,"",IF(NOT(LH_Ready),"",SUMIFS(INDEX(LH_Data,0,LH_ColTaken),INDEX(LH_Data,0,LH_ColFirst),$A31,INDEX(LH_Data,0,LH_ColSur),$B31,INDEX(LH_Data,0,LH_ColCat),BonusCat,INDEX(LH_Data,0,LH_ColStart),"&gt;="&amp;AH31)*UnitFactor))</f>
        <v>0</v>
      </c>
      <c r="W31" s="20" t="n">
        <f aca="false">IF(AG31=0,"",IF(NOT(LH_Ready),"",IF(BD31=0,0,INDEX(INDEX(LH_Data,0,LH_ColClose),BD31-1)*UnitFactor)))</f>
        <v>0</v>
      </c>
      <c r="X31" s="20" t="n">
        <f aca="false">IF(AG31=0,"",(AZ31-BA31)*HoursPerDay)</f>
        <v>0</v>
      </c>
      <c r="Y31" s="20" t="n">
        <f aca="false">IF(AG31=0,"",IF(NOT(LH_Ready),"",IF(BC31=0,N31,IF(PFYDate&lt;$F31,N31-N(T31)-N(U31),X31-N(U31)))))</f>
        <v>0</v>
      </c>
      <c r="Z31" s="19" t="str">
        <f aca="false">IF(OR(AG31=0,Y31=""),"",IF(Y31&gt;0,"Yes","No"))</f>
        <v>No</v>
      </c>
      <c r="AA31" s="19"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Not eligible - Casual</v>
      </c>
      <c r="AB31" s="20" t="n">
        <f aca="false">IF(OR(AG31=0,T31=""),"",BA31*HoursPerDay-T31)</f>
        <v>0</v>
      </c>
      <c r="AC31" s="19" t="n">
        <f aca="false">IF(AG31=0,"",BC31)</f>
        <v>33</v>
      </c>
      <c r="AD31" s="19"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20" t="n">
        <f aca="false">IF(AG31=0,"",O31-BH31)</f>
        <v>0</v>
      </c>
      <c r="AF31" s="17" t="str">
        <f aca="false">IF(OR(AG31=0,AE31="",N(AE31)=0,BI31=""),"",EDATE(AH31,BI31))</f>
        <v/>
      </c>
      <c r="AG31" s="19" t="n">
        <f aca="false">IF(OR(LEN($A31&amp;$B31)=0,$F31=""),0,1)</f>
        <v>1</v>
      </c>
      <c r="AH31" s="17" t="n">
        <f aca="false">IF(AG31=0,"",IF($J31&lt;&gt;"",$J31,IF(OR(CasualCounts="Yes",COUNT($G31:$I31)=0,COUNT($H31:$I31)=0),$F31,MIN($H31:$I31))))</f>
        <v>46140</v>
      </c>
      <c r="AI31" s="19" t="n">
        <f aca="false">IF(AG31=0,"",COUNT($G31:$I31))</f>
        <v>0</v>
      </c>
      <c r="AJ31" s="17" t="str">
        <f aca="false">IF(AG31=0,"",IFERROR(SMALL($G31:$I31,1),""))</f>
        <v/>
      </c>
      <c r="AK31" s="17" t="str">
        <f aca="false">IF(AG31=0,"",IFERROR(SMALL($G31:$I31,2),""))</f>
        <v/>
      </c>
      <c r="AL31" s="17" t="str">
        <f aca="false">IF(AG31=0,"",IFERROR(SMALL($G31:$I31,3),""))</f>
        <v/>
      </c>
      <c r="AM31" s="19" t="str">
        <f aca="false">IF(AG31=0,"",IF(AJ31="","",IF(AJ31=$H31,"Part-Time",IF(AJ31=$I31,"Full-Time","Casual"))))</f>
        <v/>
      </c>
      <c r="AN31" s="19" t="str">
        <f aca="false">IF(AG31=0,"",IF(AK31="","",IF(AK31=$H31,"Part-Time",IF(AK31=$I31,"Full-Time","Casual"))))</f>
        <v/>
      </c>
      <c r="AO31" s="19" t="str">
        <f aca="false">IF(AG31=0,"",IF(AL31="","",IF(AL31=$H31,"Part-Time",IF(AL31=$I31,"Full-Time","Casual"))))</f>
        <v/>
      </c>
      <c r="AP31" s="19"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None</v>
      </c>
      <c r="AQ31" s="19" t="str">
        <f aca="false">IF(AG31=0,"",IF(AI31&lt;2,"",IF(OR(ISNUMBER(SEARCH("full",AN31)),UPPER(TRIM(AN31))="FT",UPPER(TRIM(AN31))="FTE"),"FT",IF(AND(OR(ISNUMBER(SEARCH("part",AN31)),UPPER(TRIM(AN31))="PT",UPPER(TRIM(AN31))="PTE"),OR($P31="",N($P31)&gt;=PT_MinHours)),"PT","None"))))</f>
        <v/>
      </c>
      <c r="AR31" s="19" t="str">
        <f aca="false">IF(AG31=0,"",IF(AI31&lt;3,"",IF(OR(ISNUMBER(SEARCH("full",AO31)),UPPER(TRIM(AO31))="FT",UPPER(TRIM(AO31))="FTE"),"FT",IF(AND(OR(ISNUMBER(SEARCH("part",AO31)),UPPER(TRIM(AO31))="PT",UPPER(TRIM(AO31))="PTE"),OR($P31="",N($P31)&gt;=PT_MinHours)),"PT","None"))))</f>
        <v/>
      </c>
      <c r="AS31" s="19" t="str">
        <f aca="false">IF(AG31=0,"",IF(AND(AI31&gt;=3,AL31&lt;=AsOfDate),AR31,IF(AND(AI31&gt;=2,AK31&lt;=AsOfDate),AQ31,AP31)))</f>
        <v>None</v>
      </c>
      <c r="AT31" s="19" t="n">
        <f aca="false">IF(AG31=0,"",IF(AsOfDate&lt;AH31,-1,12*(YEAR(AsOfDate)-YEAR(AH31))+MONTH(AsOfDate)-MONTH(AH31)-IF(DAY(AsOfDate)&lt;MIN(DAY(AH31),DAY(EOMONTH(AsOfDate,0))),1,0)))</f>
        <v>5</v>
      </c>
      <c r="AU31" s="19" t="n">
        <f aca="false">IF(AG31=0,"",IF(OR(AI31&lt;2,AK31&gt;AsOfDate),AT31,IF((AK31-1)&lt;AH31,-1,12*(YEAR((AK31-1))-YEAR(AH31))+MONTH((AK31-1))-MONTH(AH31)-IF(DAY((AK31-1))&lt;MIN(DAY(AH31),DAY(EOMONTH((AK31-1),0))),1,0))))</f>
        <v>5</v>
      </c>
      <c r="AV31" s="19" t="n">
        <f aca="false">IF(AG31=0,"",IF(OR(AI31&lt;3,AL31&gt;AsOfDate),AT31,IF((AL31-1)&lt;AH31,-1,12*(YEAR((AL31-1))-YEAR(AH31))+MONTH((AL31-1))-MONTH(AH31)-IF(DAY((AL31-1))&lt;MIN(DAY(AH31),DAY(EOMONTH((AL31-1),0))),1,0))))</f>
        <v>5</v>
      </c>
      <c r="AW31" s="19" t="n">
        <f aca="false">IF(AG31=0,"",IF(PFYDate&lt;AH31,-1,12*(YEAR(PFYDate)-YEAR(AH31))+MONTH(PFYDate)-MONTH(AH31)-IF(DAY(PFYDate)&lt;MIN(DAY(AH31),DAY(EOMONTH(PFYDate,0))),1,0)))</f>
        <v>-1</v>
      </c>
      <c r="AX31" s="19" t="n">
        <f aca="false">IF(AG31=0,"",IF(OR(AI31&lt;2,AK31&gt;PFYDate),AW31,IF((AK31-1)&lt;AH31,-1,12*(YEAR((AK31-1))-YEAR(AH31))+MONTH((AK31-1))-MONTH(AH31)-IF(DAY((AK31-1))&lt;MIN(DAY(AH31),DAY(EOMONTH((AK31-1),0))),1,0))))</f>
        <v>-1</v>
      </c>
      <c r="AY31" s="19" t="n">
        <f aca="false">IF(AG31=0,"",IF(OR(AI31&lt;3,AL31&gt;PFYDate),AW31,IF((AL31-1)&lt;AH31,-1,12*(YEAR((AL31-1))-YEAR(AH31))+MONTH((AL31-1))-MONTH(AH31)-IF(DAY((AL31-1))&lt;MIN(DAY(AH31),DAY(EOMONTH((AL31-1),0))),1,0))))</f>
        <v>-1</v>
      </c>
      <c r="AZ31" s="19" t="n">
        <f aca="false">IF(AG31=0,"",IF(AP31="FT",IF(AU31&lt;FT_First,0,IF(AU31&lt;FT_Y5,1+INT((AU31-FT_First)/FT_Int1),FT_PreY5+FT_PerYear*INT((AU31-FT_Y5)/12)+FT_AnnivDays+INT(MOD(AU31-FT_Y5,12)/FT_Int2))),IF(AP31="PT",IF(AU31&lt;PT_First,0,1+INT((AU31-PT_First)/PT_Int)),0))+IF(AND(AI31&gt;=2,AK31&lt;=AsOfDate),IF(AQ31="FT",IF(AV31&lt;FT_First,0,IF(AV31&lt;FT_Y5,1+INT((AV31-FT_First)/FT_Int1),FT_PreY5+FT_PerYear*INT((AV31-FT_Y5)/12)+FT_AnnivDays+INT(MOD(AV31-FT_Y5,12)/FT_Int2))),IF(AQ31="PT",IF(AV31&lt;PT_First,0,1+INT((AV31-PT_First)/PT_Int)),0))-IF(AQ31="FT",IF(AU31&lt;FT_First,0,IF(AU31&lt;FT_Y5,1+INT((AU31-FT_First)/FT_Int1),FT_PreY5+FT_PerYear*INT((AU31-FT_Y5)/12)+FT_AnnivDays+INT(MOD(AU31-FT_Y5,12)/FT_Int2))),IF(AQ31="PT",IF(AU31&lt;PT_First,0,1+INT((AU31-PT_First)/PT_Int)),0)),0)+IF(AND(AI31&gt;=3,AL31&lt;=AsOfDate),IF(AR31="FT",IF(AT31&lt;FT_First,0,IF(AT31&lt;FT_Y5,1+INT((AT31-FT_First)/FT_Int1),FT_PreY5+FT_PerYear*INT((AT31-FT_Y5)/12)+FT_AnnivDays+INT(MOD(AT31-FT_Y5,12)/FT_Int2))),IF(AR31="PT",IF(AT31&lt;PT_First,0,1+INT((AT31-PT_First)/PT_Int)),0))-IF(AR31="FT",IF(AV31&lt;FT_First,0,IF(AV31&lt;FT_Y5,1+INT((AV31-FT_First)/FT_Int1),FT_PreY5+FT_PerYear*INT((AV31-FT_Y5)/12)+FT_AnnivDays+INT(MOD(AV31-FT_Y5,12)/FT_Int2))),IF(AR31="PT",IF(AV31&lt;PT_First,0,1+INT((AV31-PT_First)/PT_Int)),0)),0))</f>
        <v>0</v>
      </c>
      <c r="BA31" s="19" t="n">
        <f aca="false">IF(AG31=0,"",IF(AP31="FT",IF(AX31&lt;FT_First,0,IF(AX31&lt;FT_Y5,1+INT((AX31-FT_First)/FT_Int1),FT_PreY5+FT_PerYear*INT((AX31-FT_Y5)/12)+FT_AnnivDays+INT(MOD(AX31-FT_Y5,12)/FT_Int2))),IF(AP31="PT",IF(AX31&lt;PT_First,0,1+INT((AX31-PT_First)/PT_Int)),0))+IF(AND(AI31&gt;=2,AK31&lt;=PFYDate),IF(AQ31="FT",IF(AY31&lt;FT_First,0,IF(AY31&lt;FT_Y5,1+INT((AY31-FT_First)/FT_Int1),FT_PreY5+FT_PerYear*INT((AY31-FT_Y5)/12)+FT_AnnivDays+INT(MOD(AY31-FT_Y5,12)/FT_Int2))),IF(AQ31="PT",IF(AY31&lt;PT_First,0,1+INT((AY31-PT_First)/PT_Int)),0))-IF(AQ31="FT",IF(AX31&lt;FT_First,0,IF(AX31&lt;FT_Y5,1+INT((AX31-FT_First)/FT_Int1),FT_PreY5+FT_PerYear*INT((AX31-FT_Y5)/12)+FT_AnnivDays+INT(MOD(AX31-FT_Y5,12)/FT_Int2))),IF(AQ31="PT",IF(AX31&lt;PT_First,0,1+INT((AX31-PT_First)/PT_Int)),0)),0)+IF(AND(AI31&gt;=3,AL31&lt;=PFYDate),IF(AR31="FT",IF(AW31&lt;FT_First,0,IF(AW31&lt;FT_Y5,1+INT((AW31-FT_First)/FT_Int1),FT_PreY5+FT_PerYear*INT((AW31-FT_Y5)/12)+FT_AnnivDays+INT(MOD(AW31-FT_Y5,12)/FT_Int2))),IF(AR31="PT",IF(AW31&lt;PT_First,0,1+INT((AW31-PT_First)/PT_Int)),0))-IF(AR31="FT",IF(AY31&lt;FT_First,0,IF(AY31&lt;FT_Y5,1+INT((AY31-FT_First)/FT_Int1),FT_PreY5+FT_PerYear*INT((AY31-FT_Y5)/12)+FT_AnnivDays+INT(MOD(AY31-FT_Y5,12)/FT_Int2))),IF(AR31="PT",IF(AY31&lt;PT_First,0,1+INT((AY31-PT_First)/PT_Int)),0)),0))</f>
        <v>0</v>
      </c>
      <c r="BB31" s="19" t="str">
        <f aca="false">IF(AG31=0,"",IF(AS31="FT",IF(AT31&lt;FT_First,FT_First,IF(AT31&lt;FT_Y5,MIN(FT_Y5,FT_First+FT_Int1*(INT((AT31-FT_First)/FT_Int1)+1)),FT_Y5+12*INT((AT31-FT_Y5)/12)+FT_Int2*(INT(MOD(AT31-FT_Y5,12)/FT_Int2)+1))),IF(AS31="PT",IF(AT31&lt;PT_First,PT_First,PT_First+PT_Int*(INT((AT31-PT_First)/PT_Int)+1)),"")))</f>
        <v/>
      </c>
      <c r="BC31" s="19" t="n">
        <f aca="false">IF(AG31=0,"",IF(NOT(LH_Ready),0,COUNTIFS(INDEX(LH_Data,0,LH_ColFirst),$A31,INDEX(LH_Data,0,LH_ColSur),$B31,INDEX(LH_Data,0,LH_ColCat),BonusCat)))</f>
        <v>33</v>
      </c>
      <c r="BD31" s="19" t="n">
        <f aca="false">IF(AG31=0,"",IF(OR(NOT(LH_Ready),BC31=0),0,SUMPRODUCT(MAX((INDEX(LH_Data,0,LH_ColFirst)=$A31)*(INDEX(LH_Data,0,LH_ColSur)=$B31)*(INDEX(LH_Data,0,LH_ColCat)=BonusCat)*ROW(LH_Data)))))</f>
        <v>114</v>
      </c>
      <c r="BE31" s="19" t="n">
        <f aca="false">IF(AG31=0,"",IF(EOMONTH(AsOfDate,-1)&lt;AH31,-1,12*(YEAR(EOMONTH(AsOfDate,-1))-YEAR(AH31))+MONTH(EOMONTH(AsOfDate,-1))-MONTH(AH31)-IF(DAY(EOMONTH(AsOfDate,-1))&lt;MIN(DAY(AH31),DAY(EOMONTH(EOMONTH(AsOfDate,-1),0))),1,0)))</f>
        <v>5</v>
      </c>
      <c r="BF31" s="19" t="n">
        <f aca="false">IF(AG31=0,"",IF(OR(AI31&lt;2,AK31&gt;EOMONTH(AsOfDate,-1)),BE31,IF((AK31-1)&lt;AH31,-1,12*(YEAR((AK31-1))-YEAR(AH31))+MONTH((AK31-1))-MONTH(AH31)-IF(DAY((AK31-1))&lt;MIN(DAY(AH31),DAY(EOMONTH((AK31-1),0))),1,0))))</f>
        <v>5</v>
      </c>
      <c r="BG31" s="19" t="n">
        <f aca="false">IF(AG31=0,"",IF(OR(AI31&lt;3,AL31&gt;EOMONTH(AsOfDate,-1)),BE31,IF((AL31-1)&lt;AH31,-1,12*(YEAR((AL31-1))-YEAR(AH31))+MONTH((AL31-1))-MONTH(AH31)-IF(DAY((AL31-1))&lt;MIN(DAY(AH31),DAY(EOMONTH((AL31-1),0))),1,0))))</f>
        <v>5</v>
      </c>
      <c r="BH31" s="19" t="n">
        <f aca="false">IF(AG31=0,"",IF(AP31="FT",IF(BF31&lt;FT_First,0,IF(BF31&lt;FT_Y5,1+INT((BF31-FT_First)/FT_Int1),FT_PreY5+FT_PerYear*INT((BF31-FT_Y5)/12)+FT_AnnivDays+INT(MOD(BF31-FT_Y5,12)/FT_Int2))),IF(AP31="PT",IF(BF31&lt;PT_First,0,1+INT((BF31-PT_First)/PT_Int)),0))+IF(AND(AI31&gt;=2,AK31&lt;=EOMONTH(AsOfDate,-1)),IF(AQ31="FT",IF(BG31&lt;FT_First,0,IF(BG31&lt;FT_Y5,1+INT((BG31-FT_First)/FT_Int1),FT_PreY5+FT_PerYear*INT((BG31-FT_Y5)/12)+FT_AnnivDays+INT(MOD(BG31-FT_Y5,12)/FT_Int2))),IF(AQ31="PT",IF(BG31&lt;PT_First,0,1+INT((BG31-PT_First)/PT_Int)),0))-IF(AQ31="FT",IF(BF31&lt;FT_First,0,IF(BF31&lt;FT_Y5,1+INT((BF31-FT_First)/FT_Int1),FT_PreY5+FT_PerYear*INT((BF31-FT_Y5)/12)+FT_AnnivDays+INT(MOD(BF31-FT_Y5,12)/FT_Int2))),IF(AQ31="PT",IF(BF31&lt;PT_First,0,1+INT((BF31-PT_First)/PT_Int)),0)),0)+IF(AND(AI31&gt;=3,AL31&lt;=EOMONTH(AsOfDate,-1)),IF(AR31="FT",IF(BE31&lt;FT_First,0,IF(BE31&lt;FT_Y5,1+INT((BE31-FT_First)/FT_Int1),FT_PreY5+FT_PerYear*INT((BE31-FT_Y5)/12)+FT_AnnivDays+INT(MOD(BE31-FT_Y5,12)/FT_Int2))),IF(AR31="PT",IF(BE31&lt;PT_First,0,1+INT((BE31-PT_First)/PT_Int)),0))-IF(AR31="FT",IF(BG31&lt;FT_First,0,IF(BG31&lt;FT_Y5,1+INT((BG31-FT_First)/FT_Int1),FT_PreY5+FT_PerYear*INT((BG31-FT_Y5)/12)+FT_AnnivDays+INT(MOD(BG31-FT_Y5,12)/FT_Int2))),IF(AR31="PT",IF(BG31&lt;PT_First,0,1+INT((BG31-PT_First)/PT_Int)),0)),0))</f>
        <v>0</v>
      </c>
      <c r="BI31" s="19" t="str">
        <f aca="false">IF(AG31=0,"",IF(AS31="FT",IF(AT31&lt;FT_First,"",IF(AT31&lt;FT_Y5,FT_First+FT_Int1*INT((AT31-FT_First)/FT_Int1),FT_Y5+FT_Int2*INT((AT31-FT_Y5)/FT_Int2))),IF(AS31="PT",IF(AT31&lt;PT_First,"",PT_First+PT_Int*INT((AT31-PT_First)/PT_Int)),"")))</f>
        <v/>
      </c>
      <c r="BJ31" s="0" t="str">
        <f aca="false">IF(LEN($A31&amp;$B31)=0,"",$A31&amp;" "&amp;$B31)</f>
        <v>Gary CARTER</v>
      </c>
    </row>
    <row r="32" customFormat="false" ht="15" hidden="false" customHeight="false" outlineLevel="0" collapsed="false">
      <c r="A32" s="15" t="s">
        <v>193</v>
      </c>
      <c r="B32" s="15" t="s">
        <v>194</v>
      </c>
      <c r="C32" s="15" t="s">
        <v>138</v>
      </c>
      <c r="D32" s="16" t="n">
        <v>39649</v>
      </c>
      <c r="E32" s="17" t="n">
        <f aca="false">IF(OR(AG32=0,$D32=""),"",DATE(YEAR(AsOfDate)+IF(DATE(YEAR(AsOfDate),MONTH($D32),DAY($D32))&lt;=AsOfDate,1,0),MONTH($D32),DAY($D32)))</f>
        <v>46588</v>
      </c>
      <c r="F32" s="16" t="n">
        <v>46258</v>
      </c>
      <c r="G32" s="16"/>
      <c r="H32" s="16"/>
      <c r="I32" s="16"/>
      <c r="J32" s="16"/>
      <c r="K32" s="17" t="n">
        <f aca="false">IF(AG32=0,"",DATE(YEAR(AsOfDate)+IF(DATE(YEAR(AsOfDate),MONTH(AH32),DAY(AH32))&lt;=AsOfDate,1,0),MONTH(AH32),DAY(AH32)))</f>
        <v>46623</v>
      </c>
      <c r="L32" s="18" t="n">
        <f aca="false">IF(AG32=0,"",ROUND((AsOfDate-AH32)/365.25,1))</f>
        <v>0.1</v>
      </c>
      <c r="M32" s="19" t="str">
        <f aca="false">IF(AG32=0,"",IF(AsOfDate&lt;AH32,"-",DATEDIF(AH32,AsOfDate,"y")&amp;"y "&amp;DATEDIF(AH32,AsOfDate,"ym")&amp;"m "&amp;DATEDIF(AH32,AsOfDate,"md")&amp;"d"))</f>
        <v>0y 1m 12d</v>
      </c>
      <c r="N32" s="20" t="n">
        <f aca="false">IF(AG32=0,"",O32*HoursPerDay)</f>
        <v>0</v>
      </c>
      <c r="O32" s="20" t="n">
        <f aca="false">IF(AG32=0,"",AZ32)</f>
        <v>0</v>
      </c>
      <c r="P32" s="21"/>
      <c r="Q32" s="19"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19"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17" t="str">
        <f aca="false">IF(AG32=0,"",IF(AS32="None","",EDATE(AH32,BB32)))</f>
        <v/>
      </c>
      <c r="T32" s="20" t="n">
        <f aca="false">IF(AG32=0,"",IF(NOT(LH_Ready),"",IF(AH32&gt;PFYDate,0,IF(LH_ColPeriod=0,W32-U32+V32,SUMIFS(INDEX(LH_Data,0,LH_ColAcc),INDEX(LH_Data,0,LH_ColFirst),$A32,INDEX(LH_Data,0,LH_ColSur),$B32,INDEX(LH_Data,0,LH_ColCat),BonusCat,INDEX(LH_Data,0,LH_ColPeriod),LH_OpenLabel)*UnitFactor))))</f>
        <v>0</v>
      </c>
      <c r="U32" s="20" t="n">
        <f aca="false">IF(AG32=0,"",IF(NOT(LH_Ready),"",SUMIFS(INDEX(LH_Data,0,LH_ColAcc),INDEX(LH_Data,0,LH_ColFirst),$A32,INDEX(LH_Data,0,LH_ColSur),$B32,INDEX(LH_Data,0,LH_ColCat),BonusCat,INDEX(LH_Data,0,LH_ColStart),"&gt;="&amp;AH32)*UnitFactor))</f>
        <v>0</v>
      </c>
      <c r="V32" s="20" t="n">
        <f aca="false">IF(AG32=0,"",IF(NOT(LH_Ready),"",SUMIFS(INDEX(LH_Data,0,LH_ColTaken),INDEX(LH_Data,0,LH_ColFirst),$A32,INDEX(LH_Data,0,LH_ColSur),$B32,INDEX(LH_Data,0,LH_ColCat),BonusCat,INDEX(LH_Data,0,LH_ColStart),"&gt;="&amp;AH32)*UnitFactor))</f>
        <v>0</v>
      </c>
      <c r="W32" s="20" t="n">
        <f aca="false">IF(AG32=0,"",IF(NOT(LH_Ready),"",IF(BD32=0,0,INDEX(INDEX(LH_Data,0,LH_ColClose),BD32-1)*UnitFactor)))</f>
        <v>0</v>
      </c>
      <c r="X32" s="20" t="n">
        <f aca="false">IF(AG32=0,"",(AZ32-BA32)*HoursPerDay)</f>
        <v>0</v>
      </c>
      <c r="Y32" s="20" t="n">
        <f aca="false">IF(AG32=0,"",IF(NOT(LH_Ready),"",IF(BC32=0,N32,IF(PFYDate&lt;$F32,N32-N(T32)-N(U32),X32-N(U32)))))</f>
        <v>0</v>
      </c>
      <c r="Z32" s="19" t="str">
        <f aca="false">IF(OR(AG32=0,Y32=""),"",IF(Y32&gt;0,"Yes","No"))</f>
        <v>No</v>
      </c>
      <c r="AA32" s="19"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Not eligible - Casual</v>
      </c>
      <c r="AB32" s="20" t="n">
        <f aca="false">IF(OR(AG32=0,T32=""),"",BA32*HoursPerDay-T32)</f>
        <v>0</v>
      </c>
      <c r="AC32" s="19" t="n">
        <f aca="false">IF(AG32=0,"",BC32)</f>
        <v>0</v>
      </c>
      <c r="AD32" s="19"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20" t="n">
        <f aca="false">IF(AG32=0,"",O32-BH32)</f>
        <v>0</v>
      </c>
      <c r="AF32" s="17" t="str">
        <f aca="false">IF(OR(AG32=0,AE32="",N(AE32)=0,BI32=""),"",EDATE(AH32,BI32))</f>
        <v/>
      </c>
      <c r="AG32" s="19" t="n">
        <f aca="false">IF(OR(LEN($A32&amp;$B32)=0,$F32=""),0,1)</f>
        <v>1</v>
      </c>
      <c r="AH32" s="17" t="n">
        <f aca="false">IF(AG32=0,"",IF($J32&lt;&gt;"",$J32,IF(OR(CasualCounts="Yes",COUNT($G32:$I32)=0,COUNT($H32:$I32)=0),$F32,MIN($H32:$I32))))</f>
        <v>46258</v>
      </c>
      <c r="AI32" s="19" t="n">
        <f aca="false">IF(AG32=0,"",COUNT($G32:$I32))</f>
        <v>0</v>
      </c>
      <c r="AJ32" s="17" t="str">
        <f aca="false">IF(AG32=0,"",IFERROR(SMALL($G32:$I32,1),""))</f>
        <v/>
      </c>
      <c r="AK32" s="17" t="str">
        <f aca="false">IF(AG32=0,"",IFERROR(SMALL($G32:$I32,2),""))</f>
        <v/>
      </c>
      <c r="AL32" s="17" t="str">
        <f aca="false">IF(AG32=0,"",IFERROR(SMALL($G32:$I32,3),""))</f>
        <v/>
      </c>
      <c r="AM32" s="19" t="str">
        <f aca="false">IF(AG32=0,"",IF(AJ32="","",IF(AJ32=$H32,"Part-Time",IF(AJ32=$I32,"Full-Time","Casual"))))</f>
        <v/>
      </c>
      <c r="AN32" s="19" t="str">
        <f aca="false">IF(AG32=0,"",IF(AK32="","",IF(AK32=$H32,"Part-Time",IF(AK32=$I32,"Full-Time","Casual"))))</f>
        <v/>
      </c>
      <c r="AO32" s="19" t="str">
        <f aca="false">IF(AG32=0,"",IF(AL32="","",IF(AL32=$H32,"Part-Time",IF(AL32=$I32,"Full-Time","Casual"))))</f>
        <v/>
      </c>
      <c r="AP32" s="19"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None</v>
      </c>
      <c r="AQ32" s="19" t="str">
        <f aca="false">IF(AG32=0,"",IF(AI32&lt;2,"",IF(OR(ISNUMBER(SEARCH("full",AN32)),UPPER(TRIM(AN32))="FT",UPPER(TRIM(AN32))="FTE"),"FT",IF(AND(OR(ISNUMBER(SEARCH("part",AN32)),UPPER(TRIM(AN32))="PT",UPPER(TRIM(AN32))="PTE"),OR($P32="",N($P32)&gt;=PT_MinHours)),"PT","None"))))</f>
        <v/>
      </c>
      <c r="AR32" s="19" t="str">
        <f aca="false">IF(AG32=0,"",IF(AI32&lt;3,"",IF(OR(ISNUMBER(SEARCH("full",AO32)),UPPER(TRIM(AO32))="FT",UPPER(TRIM(AO32))="FTE"),"FT",IF(AND(OR(ISNUMBER(SEARCH("part",AO32)),UPPER(TRIM(AO32))="PT",UPPER(TRIM(AO32))="PTE"),OR($P32="",N($P32)&gt;=PT_MinHours)),"PT","None"))))</f>
        <v/>
      </c>
      <c r="AS32" s="19" t="str">
        <f aca="false">IF(AG32=0,"",IF(AND(AI32&gt;=3,AL32&lt;=AsOfDate),AR32,IF(AND(AI32&gt;=2,AK32&lt;=AsOfDate),AQ32,AP32)))</f>
        <v>None</v>
      </c>
      <c r="AT32" s="19" t="n">
        <f aca="false">IF(AG32=0,"",IF(AsOfDate&lt;AH32,-1,12*(YEAR(AsOfDate)-YEAR(AH32))+MONTH(AsOfDate)-MONTH(AH32)-IF(DAY(AsOfDate)&lt;MIN(DAY(AH32),DAY(EOMONTH(AsOfDate,0))),1,0)))</f>
        <v>1</v>
      </c>
      <c r="AU32" s="19" t="n">
        <f aca="false">IF(AG32=0,"",IF(OR(AI32&lt;2,AK32&gt;AsOfDate),AT32,IF((AK32-1)&lt;AH32,-1,12*(YEAR((AK32-1))-YEAR(AH32))+MONTH((AK32-1))-MONTH(AH32)-IF(DAY((AK32-1))&lt;MIN(DAY(AH32),DAY(EOMONTH((AK32-1),0))),1,0))))</f>
        <v>1</v>
      </c>
      <c r="AV32" s="19" t="n">
        <f aca="false">IF(AG32=0,"",IF(OR(AI32&lt;3,AL32&gt;AsOfDate),AT32,IF((AL32-1)&lt;AH32,-1,12*(YEAR((AL32-1))-YEAR(AH32))+MONTH((AL32-1))-MONTH(AH32)-IF(DAY((AL32-1))&lt;MIN(DAY(AH32),DAY(EOMONTH((AL32-1),0))),1,0))))</f>
        <v>1</v>
      </c>
      <c r="AW32" s="19" t="n">
        <f aca="false">IF(AG32=0,"",IF(PFYDate&lt;AH32,-1,12*(YEAR(PFYDate)-YEAR(AH32))+MONTH(PFYDate)-MONTH(AH32)-IF(DAY(PFYDate)&lt;MIN(DAY(AH32),DAY(EOMONTH(PFYDate,0))),1,0)))</f>
        <v>-1</v>
      </c>
      <c r="AX32" s="19" t="n">
        <f aca="false">IF(AG32=0,"",IF(OR(AI32&lt;2,AK32&gt;PFYDate),AW32,IF((AK32-1)&lt;AH32,-1,12*(YEAR((AK32-1))-YEAR(AH32))+MONTH((AK32-1))-MONTH(AH32)-IF(DAY((AK32-1))&lt;MIN(DAY(AH32),DAY(EOMONTH((AK32-1),0))),1,0))))</f>
        <v>-1</v>
      </c>
      <c r="AY32" s="19" t="n">
        <f aca="false">IF(AG32=0,"",IF(OR(AI32&lt;3,AL32&gt;PFYDate),AW32,IF((AL32-1)&lt;AH32,-1,12*(YEAR((AL32-1))-YEAR(AH32))+MONTH((AL32-1))-MONTH(AH32)-IF(DAY((AL32-1))&lt;MIN(DAY(AH32),DAY(EOMONTH((AL32-1),0))),1,0))))</f>
        <v>-1</v>
      </c>
      <c r="AZ32" s="19" t="n">
        <f aca="false">IF(AG32=0,"",IF(AP32="FT",IF(AU32&lt;FT_First,0,IF(AU32&lt;FT_Y5,1+INT((AU32-FT_First)/FT_Int1),FT_PreY5+FT_PerYear*INT((AU32-FT_Y5)/12)+FT_AnnivDays+INT(MOD(AU32-FT_Y5,12)/FT_Int2))),IF(AP32="PT",IF(AU32&lt;PT_First,0,1+INT((AU32-PT_First)/PT_Int)),0))+IF(AND(AI32&gt;=2,AK32&lt;=AsOfDate),IF(AQ32="FT",IF(AV32&lt;FT_First,0,IF(AV32&lt;FT_Y5,1+INT((AV32-FT_First)/FT_Int1),FT_PreY5+FT_PerYear*INT((AV32-FT_Y5)/12)+FT_AnnivDays+INT(MOD(AV32-FT_Y5,12)/FT_Int2))),IF(AQ32="PT",IF(AV32&lt;PT_First,0,1+INT((AV32-PT_First)/PT_Int)),0))-IF(AQ32="FT",IF(AU32&lt;FT_First,0,IF(AU32&lt;FT_Y5,1+INT((AU32-FT_First)/FT_Int1),FT_PreY5+FT_PerYear*INT((AU32-FT_Y5)/12)+FT_AnnivDays+INT(MOD(AU32-FT_Y5,12)/FT_Int2))),IF(AQ32="PT",IF(AU32&lt;PT_First,0,1+INT((AU32-PT_First)/PT_Int)),0)),0)+IF(AND(AI32&gt;=3,AL32&lt;=AsOfDate),IF(AR32="FT",IF(AT32&lt;FT_First,0,IF(AT32&lt;FT_Y5,1+INT((AT32-FT_First)/FT_Int1),FT_PreY5+FT_PerYear*INT((AT32-FT_Y5)/12)+FT_AnnivDays+INT(MOD(AT32-FT_Y5,12)/FT_Int2))),IF(AR32="PT",IF(AT32&lt;PT_First,0,1+INT((AT32-PT_First)/PT_Int)),0))-IF(AR32="FT",IF(AV32&lt;FT_First,0,IF(AV32&lt;FT_Y5,1+INT((AV32-FT_First)/FT_Int1),FT_PreY5+FT_PerYear*INT((AV32-FT_Y5)/12)+FT_AnnivDays+INT(MOD(AV32-FT_Y5,12)/FT_Int2))),IF(AR32="PT",IF(AV32&lt;PT_First,0,1+INT((AV32-PT_First)/PT_Int)),0)),0))</f>
        <v>0</v>
      </c>
      <c r="BA32" s="19" t="n">
        <f aca="false">IF(AG32=0,"",IF(AP32="FT",IF(AX32&lt;FT_First,0,IF(AX32&lt;FT_Y5,1+INT((AX32-FT_First)/FT_Int1),FT_PreY5+FT_PerYear*INT((AX32-FT_Y5)/12)+FT_AnnivDays+INT(MOD(AX32-FT_Y5,12)/FT_Int2))),IF(AP32="PT",IF(AX32&lt;PT_First,0,1+INT((AX32-PT_First)/PT_Int)),0))+IF(AND(AI32&gt;=2,AK32&lt;=PFYDate),IF(AQ32="FT",IF(AY32&lt;FT_First,0,IF(AY32&lt;FT_Y5,1+INT((AY32-FT_First)/FT_Int1),FT_PreY5+FT_PerYear*INT((AY32-FT_Y5)/12)+FT_AnnivDays+INT(MOD(AY32-FT_Y5,12)/FT_Int2))),IF(AQ32="PT",IF(AY32&lt;PT_First,0,1+INT((AY32-PT_First)/PT_Int)),0))-IF(AQ32="FT",IF(AX32&lt;FT_First,0,IF(AX32&lt;FT_Y5,1+INT((AX32-FT_First)/FT_Int1),FT_PreY5+FT_PerYear*INT((AX32-FT_Y5)/12)+FT_AnnivDays+INT(MOD(AX32-FT_Y5,12)/FT_Int2))),IF(AQ32="PT",IF(AX32&lt;PT_First,0,1+INT((AX32-PT_First)/PT_Int)),0)),0)+IF(AND(AI32&gt;=3,AL32&lt;=PFYDate),IF(AR32="FT",IF(AW32&lt;FT_First,0,IF(AW32&lt;FT_Y5,1+INT((AW32-FT_First)/FT_Int1),FT_PreY5+FT_PerYear*INT((AW32-FT_Y5)/12)+FT_AnnivDays+INT(MOD(AW32-FT_Y5,12)/FT_Int2))),IF(AR32="PT",IF(AW32&lt;PT_First,0,1+INT((AW32-PT_First)/PT_Int)),0))-IF(AR32="FT",IF(AY32&lt;FT_First,0,IF(AY32&lt;FT_Y5,1+INT((AY32-FT_First)/FT_Int1),FT_PreY5+FT_PerYear*INT((AY32-FT_Y5)/12)+FT_AnnivDays+INT(MOD(AY32-FT_Y5,12)/FT_Int2))),IF(AR32="PT",IF(AY32&lt;PT_First,0,1+INT((AY32-PT_First)/PT_Int)),0)),0))</f>
        <v>0</v>
      </c>
      <c r="BB32" s="19" t="str">
        <f aca="false">IF(AG32=0,"",IF(AS32="FT",IF(AT32&lt;FT_First,FT_First,IF(AT32&lt;FT_Y5,MIN(FT_Y5,FT_First+FT_Int1*(INT((AT32-FT_First)/FT_Int1)+1)),FT_Y5+12*INT((AT32-FT_Y5)/12)+FT_Int2*(INT(MOD(AT32-FT_Y5,12)/FT_Int2)+1))),IF(AS32="PT",IF(AT32&lt;PT_First,PT_First,PT_First+PT_Int*(INT((AT32-PT_First)/PT_Int)+1)),"")))</f>
        <v/>
      </c>
      <c r="BC32" s="19" t="n">
        <f aca="false">IF(AG32=0,"",IF(NOT(LH_Ready),0,COUNTIFS(INDEX(LH_Data,0,LH_ColFirst),$A32,INDEX(LH_Data,0,LH_ColSur),$B32,INDEX(LH_Data,0,LH_ColCat),BonusCat)))</f>
        <v>0</v>
      </c>
      <c r="BD32" s="19" t="n">
        <f aca="false">IF(AG32=0,"",IF(OR(NOT(LH_Ready),BC32=0),0,SUMPRODUCT(MAX((INDEX(LH_Data,0,LH_ColFirst)=$A32)*(INDEX(LH_Data,0,LH_ColSur)=$B32)*(INDEX(LH_Data,0,LH_ColCat)=BonusCat)*ROW(LH_Data)))))</f>
        <v>0</v>
      </c>
      <c r="BE32" s="19" t="n">
        <f aca="false">IF(AG32=0,"",IF(EOMONTH(AsOfDate,-1)&lt;AH32,-1,12*(YEAR(EOMONTH(AsOfDate,-1))-YEAR(AH32))+MONTH(EOMONTH(AsOfDate,-1))-MONTH(AH32)-IF(DAY(EOMONTH(AsOfDate,-1))&lt;MIN(DAY(AH32),DAY(EOMONTH(EOMONTH(AsOfDate,-1),0))),1,0)))</f>
        <v>1</v>
      </c>
      <c r="BF32" s="19" t="n">
        <f aca="false">IF(AG32=0,"",IF(OR(AI32&lt;2,AK32&gt;EOMONTH(AsOfDate,-1)),BE32,IF((AK32-1)&lt;AH32,-1,12*(YEAR((AK32-1))-YEAR(AH32))+MONTH((AK32-1))-MONTH(AH32)-IF(DAY((AK32-1))&lt;MIN(DAY(AH32),DAY(EOMONTH((AK32-1),0))),1,0))))</f>
        <v>1</v>
      </c>
      <c r="BG32" s="19" t="n">
        <f aca="false">IF(AG32=0,"",IF(OR(AI32&lt;3,AL32&gt;EOMONTH(AsOfDate,-1)),BE32,IF((AL32-1)&lt;AH32,-1,12*(YEAR((AL32-1))-YEAR(AH32))+MONTH((AL32-1))-MONTH(AH32)-IF(DAY((AL32-1))&lt;MIN(DAY(AH32),DAY(EOMONTH((AL32-1),0))),1,0))))</f>
        <v>1</v>
      </c>
      <c r="BH32" s="19" t="n">
        <f aca="false">IF(AG32=0,"",IF(AP32="FT",IF(BF32&lt;FT_First,0,IF(BF32&lt;FT_Y5,1+INT((BF32-FT_First)/FT_Int1),FT_PreY5+FT_PerYear*INT((BF32-FT_Y5)/12)+FT_AnnivDays+INT(MOD(BF32-FT_Y5,12)/FT_Int2))),IF(AP32="PT",IF(BF32&lt;PT_First,0,1+INT((BF32-PT_First)/PT_Int)),0))+IF(AND(AI32&gt;=2,AK32&lt;=EOMONTH(AsOfDate,-1)),IF(AQ32="FT",IF(BG32&lt;FT_First,0,IF(BG32&lt;FT_Y5,1+INT((BG32-FT_First)/FT_Int1),FT_PreY5+FT_PerYear*INT((BG32-FT_Y5)/12)+FT_AnnivDays+INT(MOD(BG32-FT_Y5,12)/FT_Int2))),IF(AQ32="PT",IF(BG32&lt;PT_First,0,1+INT((BG32-PT_First)/PT_Int)),0))-IF(AQ32="FT",IF(BF32&lt;FT_First,0,IF(BF32&lt;FT_Y5,1+INT((BF32-FT_First)/FT_Int1),FT_PreY5+FT_PerYear*INT((BF32-FT_Y5)/12)+FT_AnnivDays+INT(MOD(BF32-FT_Y5,12)/FT_Int2))),IF(AQ32="PT",IF(BF32&lt;PT_First,0,1+INT((BF32-PT_First)/PT_Int)),0)),0)+IF(AND(AI32&gt;=3,AL32&lt;=EOMONTH(AsOfDate,-1)),IF(AR32="FT",IF(BE32&lt;FT_First,0,IF(BE32&lt;FT_Y5,1+INT((BE32-FT_First)/FT_Int1),FT_PreY5+FT_PerYear*INT((BE32-FT_Y5)/12)+FT_AnnivDays+INT(MOD(BE32-FT_Y5,12)/FT_Int2))),IF(AR32="PT",IF(BE32&lt;PT_First,0,1+INT((BE32-PT_First)/PT_Int)),0))-IF(AR32="FT",IF(BG32&lt;FT_First,0,IF(BG32&lt;FT_Y5,1+INT((BG32-FT_First)/FT_Int1),FT_PreY5+FT_PerYear*INT((BG32-FT_Y5)/12)+FT_AnnivDays+INT(MOD(BG32-FT_Y5,12)/FT_Int2))),IF(AR32="PT",IF(BG32&lt;PT_First,0,1+INT((BG32-PT_First)/PT_Int)),0)),0))</f>
        <v>0</v>
      </c>
      <c r="BI32" s="19" t="str">
        <f aca="false">IF(AG32=0,"",IF(AS32="FT",IF(AT32&lt;FT_First,"",IF(AT32&lt;FT_Y5,FT_First+FT_Int1*INT((AT32-FT_First)/FT_Int1),FT_Y5+FT_Int2*INT((AT32-FT_Y5)/FT_Int2))),IF(AS32="PT",IF(AT32&lt;PT_First,"",PT_First+PT_Int*INT((AT32-PT_First)/PT_Int)),"")))</f>
        <v/>
      </c>
      <c r="BJ32" s="0" t="str">
        <f aca="false">IF(LEN($A32&amp;$B32)=0,"",$A32&amp;" "&amp;$B32)</f>
        <v>George Gildon-Davis</v>
      </c>
    </row>
    <row r="33" customFormat="false" ht="15" hidden="false" customHeight="false" outlineLevel="0" collapsed="false">
      <c r="A33" s="15" t="s">
        <v>195</v>
      </c>
      <c r="B33" s="15" t="s">
        <v>196</v>
      </c>
      <c r="C33" s="15" t="s">
        <v>153</v>
      </c>
      <c r="D33" s="16" t="n">
        <v>35547</v>
      </c>
      <c r="E33" s="17" t="n">
        <f aca="false">IF(OR(AG33=0,$D33=""),"",DATE(YEAR(AsOfDate)+IF(DATE(YEAR(AsOfDate),MONTH($D33),DAY($D33))&lt;=AsOfDate,1,0),MONTH($D33),DAY($D33)))</f>
        <v>46504</v>
      </c>
      <c r="F33" s="16" t="n">
        <v>45302</v>
      </c>
      <c r="G33" s="16"/>
      <c r="H33" s="16"/>
      <c r="I33" s="16" t="n">
        <v>45302</v>
      </c>
      <c r="J33" s="16"/>
      <c r="K33" s="17" t="n">
        <f aca="false">IF(AG33=0,"",DATE(YEAR(AsOfDate)+IF(DATE(YEAR(AsOfDate),MONTH(AH33),DAY(AH33))&lt;=AsOfDate,1,0),MONTH(AH33),DAY(AH33)))</f>
        <v>46398</v>
      </c>
      <c r="L33" s="18" t="n">
        <f aca="false">IF(AG33=0,"",ROUND((AsOfDate-AH33)/365.25,1))</f>
        <v>2.7</v>
      </c>
      <c r="M33" s="19" t="str">
        <f aca="false">IF(AG33=0,"",IF(AsOfDate&lt;AH33,"-",DATEDIF(AH33,AsOfDate,"y")&amp;"y "&amp;DATEDIF(AH33,AsOfDate,"ym")&amp;"m "&amp;DATEDIF(AH33,AsOfDate,"md")&amp;"d"))</f>
        <v>2y 8m 25d</v>
      </c>
      <c r="N33" s="20" t="n">
        <f aca="false">IF(AG33=0,"",O33*HoursPerDay)</f>
        <v>0</v>
      </c>
      <c r="O33" s="20" t="n">
        <f aca="false">IF(AG33=0,"",AZ33)</f>
        <v>0</v>
      </c>
      <c r="P33" s="21"/>
      <c r="Q33" s="19"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19"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17" t="n">
        <f aca="false">IF(AG33=0,"",IF(AS33="None","",EDATE(AH33,BB33)))</f>
        <v>46398</v>
      </c>
      <c r="T33" s="20" t="n">
        <f aca="false">IF(AG33=0,"",IF(NOT(LH_Ready),"",IF(AH33&gt;PFYDate,0,IF(LH_ColPeriod=0,W33-U33+V33,SUMIFS(INDEX(LH_Data,0,LH_ColAcc),INDEX(LH_Data,0,LH_ColFirst),$A33,INDEX(LH_Data,0,LH_ColSur),$B33,INDEX(LH_Data,0,LH_ColCat),BonusCat,INDEX(LH_Data,0,LH_ColPeriod),LH_OpenLabel)*UnitFactor))))</f>
        <v>0</v>
      </c>
      <c r="U33" s="20" t="n">
        <f aca="false">IF(AG33=0,"",IF(NOT(LH_Ready),"",SUMIFS(INDEX(LH_Data,0,LH_ColAcc),INDEX(LH_Data,0,LH_ColFirst),$A33,INDEX(LH_Data,0,LH_ColSur),$B33,INDEX(LH_Data,0,LH_ColCat),BonusCat,INDEX(LH_Data,0,LH_ColStart),"&gt;="&amp;AH33)*UnitFactor))</f>
        <v>0</v>
      </c>
      <c r="V33" s="20" t="n">
        <f aca="false">IF(AG33=0,"",IF(NOT(LH_Ready),"",SUMIFS(INDEX(LH_Data,0,LH_ColTaken),INDEX(LH_Data,0,LH_ColFirst),$A33,INDEX(LH_Data,0,LH_ColSur),$B33,INDEX(LH_Data,0,LH_ColCat),BonusCat,INDEX(LH_Data,0,LH_ColStart),"&gt;="&amp;AH33)*UnitFactor))</f>
        <v>0</v>
      </c>
      <c r="W33" s="20" t="n">
        <f aca="false">IF(AG33=0,"",IF(NOT(LH_Ready),"",IF(BD33=0,0,INDEX(INDEX(LH_Data,0,LH_ColClose),BD33-1)*UnitFactor)))</f>
        <v>0</v>
      </c>
      <c r="X33" s="20" t="n">
        <f aca="false">IF(AG33=0,"",(AZ33-BA33)*HoursPerDay)</f>
        <v>0</v>
      </c>
      <c r="Y33" s="20" t="n">
        <f aca="false">IF(AG33=0,"",IF(NOT(LH_Ready),"",IF(BC33=0,N33,IF(PFYDate&lt;$F33,N33-N(T33)-N(U33),X33-N(U33)))))</f>
        <v>0</v>
      </c>
      <c r="Z33" s="19" t="str">
        <f aca="false">IF(OR(AG33=0,Y33=""),"",IF(Y33&gt;0,"Yes","No"))</f>
        <v>No</v>
      </c>
      <c r="AA33" s="19"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Not yet - first day on 11/01/2027</v>
      </c>
      <c r="AB33" s="20" t="n">
        <f aca="false">IF(OR(AG33=0,T33=""),"",BA33*HoursPerDay-T33)</f>
        <v>0</v>
      </c>
      <c r="AC33" s="19" t="n">
        <f aca="false">IF(AG33=0,"",BC33)</f>
        <v>0</v>
      </c>
      <c r="AD33" s="19"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20" t="n">
        <f aca="false">IF(AG33=0,"",O33-BH33)</f>
        <v>0</v>
      </c>
      <c r="AF33" s="17" t="str">
        <f aca="false">IF(OR(AG33=0,AE33="",N(AE33)=0,BI33=""),"",EDATE(AH33,BI33))</f>
        <v/>
      </c>
      <c r="AG33" s="19" t="n">
        <f aca="false">IF(OR(LEN($A33&amp;$B33)=0,$F33=""),0,1)</f>
        <v>1</v>
      </c>
      <c r="AH33" s="17" t="n">
        <f aca="false">IF(AG33=0,"",IF($J33&lt;&gt;"",$J33,IF(OR(CasualCounts="Yes",COUNT($G33:$I33)=0,COUNT($H33:$I33)=0),$F33,MIN($H33:$I33))))</f>
        <v>45302</v>
      </c>
      <c r="AI33" s="19" t="n">
        <f aca="false">IF(AG33=0,"",COUNT($G33:$I33))</f>
        <v>1</v>
      </c>
      <c r="AJ33" s="17" t="n">
        <f aca="false">IF(AG33=0,"",IFERROR(SMALL($G33:$I33,1),""))</f>
        <v>45302</v>
      </c>
      <c r="AK33" s="17" t="str">
        <f aca="false">IF(AG33=0,"",IFERROR(SMALL($G33:$I33,2),""))</f>
        <v/>
      </c>
      <c r="AL33" s="17" t="str">
        <f aca="false">IF(AG33=0,"",IFERROR(SMALL($G33:$I33,3),""))</f>
        <v/>
      </c>
      <c r="AM33" s="19" t="str">
        <f aca="false">IF(AG33=0,"",IF(AJ33="","",IF(AJ33=$H33,"Part-Time",IF(AJ33=$I33,"Full-Time","Casual"))))</f>
        <v>Full-Time</v>
      </c>
      <c r="AN33" s="19" t="str">
        <f aca="false">IF(AG33=0,"",IF(AK33="","",IF(AK33=$H33,"Part-Time",IF(AK33=$I33,"Full-Time","Casual"))))</f>
        <v/>
      </c>
      <c r="AO33" s="19" t="str">
        <f aca="false">IF(AG33=0,"",IF(AL33="","",IF(AL33=$H33,"Part-Time",IF(AL33=$I33,"Full-Time","Casual"))))</f>
        <v/>
      </c>
      <c r="AP33" s="19"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FT</v>
      </c>
      <c r="AQ33" s="19" t="str">
        <f aca="false">IF(AG33=0,"",IF(AI33&lt;2,"",IF(OR(ISNUMBER(SEARCH("full",AN33)),UPPER(TRIM(AN33))="FT",UPPER(TRIM(AN33))="FTE"),"FT",IF(AND(OR(ISNUMBER(SEARCH("part",AN33)),UPPER(TRIM(AN33))="PT",UPPER(TRIM(AN33))="PTE"),OR($P33="",N($P33)&gt;=PT_MinHours)),"PT","None"))))</f>
        <v/>
      </c>
      <c r="AR33" s="19" t="str">
        <f aca="false">IF(AG33=0,"",IF(AI33&lt;3,"",IF(OR(ISNUMBER(SEARCH("full",AO33)),UPPER(TRIM(AO33))="FT",UPPER(TRIM(AO33))="FTE"),"FT",IF(AND(OR(ISNUMBER(SEARCH("part",AO33)),UPPER(TRIM(AO33))="PT",UPPER(TRIM(AO33))="PTE"),OR($P33="",N($P33)&gt;=PT_MinHours)),"PT","None"))))</f>
        <v/>
      </c>
      <c r="AS33" s="19" t="str">
        <f aca="false">IF(AG33=0,"",IF(AND(AI33&gt;=3,AL33&lt;=AsOfDate),AR33,IF(AND(AI33&gt;=2,AK33&lt;=AsOfDate),AQ33,AP33)))</f>
        <v>FT</v>
      </c>
      <c r="AT33" s="19" t="n">
        <f aca="false">IF(AG33=0,"",IF(AsOfDate&lt;AH33,-1,12*(YEAR(AsOfDate)-YEAR(AH33))+MONTH(AsOfDate)-MONTH(AH33)-IF(DAY(AsOfDate)&lt;MIN(DAY(AH33),DAY(EOMONTH(AsOfDate,0))),1,0)))</f>
        <v>32</v>
      </c>
      <c r="AU33" s="19" t="n">
        <f aca="false">IF(AG33=0,"",IF(OR(AI33&lt;2,AK33&gt;AsOfDate),AT33,IF((AK33-1)&lt;AH33,-1,12*(YEAR((AK33-1))-YEAR(AH33))+MONTH((AK33-1))-MONTH(AH33)-IF(DAY((AK33-1))&lt;MIN(DAY(AH33),DAY(EOMONTH((AK33-1),0))),1,0))))</f>
        <v>32</v>
      </c>
      <c r="AV33" s="19" t="n">
        <f aca="false">IF(AG33=0,"",IF(OR(AI33&lt;3,AL33&gt;AsOfDate),AT33,IF((AL33-1)&lt;AH33,-1,12*(YEAR((AL33-1))-YEAR(AH33))+MONTH((AL33-1))-MONTH(AH33)-IF(DAY((AL33-1))&lt;MIN(DAY(AH33),DAY(EOMONTH((AL33-1),0))),1,0))))</f>
        <v>32</v>
      </c>
      <c r="AW33" s="19" t="n">
        <f aca="false">IF(AG33=0,"",IF(PFYDate&lt;AH33,-1,12*(YEAR(PFYDate)-YEAR(AH33))+MONTH(PFYDate)-MONTH(AH33)-IF(DAY(PFYDate)&lt;MIN(DAY(AH33),DAY(EOMONTH(PFYDate,0))),1,0)))</f>
        <v>-1</v>
      </c>
      <c r="AX33" s="19" t="n">
        <f aca="false">IF(AG33=0,"",IF(OR(AI33&lt;2,AK33&gt;PFYDate),AW33,IF((AK33-1)&lt;AH33,-1,12*(YEAR((AK33-1))-YEAR(AH33))+MONTH((AK33-1))-MONTH(AH33)-IF(DAY((AK33-1))&lt;MIN(DAY(AH33),DAY(EOMONTH((AK33-1),0))),1,0))))</f>
        <v>-1</v>
      </c>
      <c r="AY33" s="19" t="n">
        <f aca="false">IF(AG33=0,"",IF(OR(AI33&lt;3,AL33&gt;PFYDate),AW33,IF((AL33-1)&lt;AH33,-1,12*(YEAR((AL33-1))-YEAR(AH33))+MONTH((AL33-1))-MONTH(AH33)-IF(DAY((AL33-1))&lt;MIN(DAY(AH33),DAY(EOMONTH((AL33-1),0))),1,0))))</f>
        <v>-1</v>
      </c>
      <c r="AZ33" s="19" t="n">
        <f aca="false">IF(AG33=0,"",IF(AP33="FT",IF(AU33&lt;FT_First,0,IF(AU33&lt;FT_Y5,1+INT((AU33-FT_First)/FT_Int1),FT_PreY5+FT_PerYear*INT((AU33-FT_Y5)/12)+FT_AnnivDays+INT(MOD(AU33-FT_Y5,12)/FT_Int2))),IF(AP33="PT",IF(AU33&lt;PT_First,0,1+INT((AU33-PT_First)/PT_Int)),0))+IF(AND(AI33&gt;=2,AK33&lt;=AsOfDate),IF(AQ33="FT",IF(AV33&lt;FT_First,0,IF(AV33&lt;FT_Y5,1+INT((AV33-FT_First)/FT_Int1),FT_PreY5+FT_PerYear*INT((AV33-FT_Y5)/12)+FT_AnnivDays+INT(MOD(AV33-FT_Y5,12)/FT_Int2))),IF(AQ33="PT",IF(AV33&lt;PT_First,0,1+INT((AV33-PT_First)/PT_Int)),0))-IF(AQ33="FT",IF(AU33&lt;FT_First,0,IF(AU33&lt;FT_Y5,1+INT((AU33-FT_First)/FT_Int1),FT_PreY5+FT_PerYear*INT((AU33-FT_Y5)/12)+FT_AnnivDays+INT(MOD(AU33-FT_Y5,12)/FT_Int2))),IF(AQ33="PT",IF(AU33&lt;PT_First,0,1+INT((AU33-PT_First)/PT_Int)),0)),0)+IF(AND(AI33&gt;=3,AL33&lt;=AsOfDate),IF(AR33="FT",IF(AT33&lt;FT_First,0,IF(AT33&lt;FT_Y5,1+INT((AT33-FT_First)/FT_Int1),FT_PreY5+FT_PerYear*INT((AT33-FT_Y5)/12)+FT_AnnivDays+INT(MOD(AT33-FT_Y5,12)/FT_Int2))),IF(AR33="PT",IF(AT33&lt;PT_First,0,1+INT((AT33-PT_First)/PT_Int)),0))-IF(AR33="FT",IF(AV33&lt;FT_First,0,IF(AV33&lt;FT_Y5,1+INT((AV33-FT_First)/FT_Int1),FT_PreY5+FT_PerYear*INT((AV33-FT_Y5)/12)+FT_AnnivDays+INT(MOD(AV33-FT_Y5,12)/FT_Int2))),IF(AR33="PT",IF(AV33&lt;PT_First,0,1+INT((AV33-PT_First)/PT_Int)),0)),0))</f>
        <v>0</v>
      </c>
      <c r="BA33" s="19" t="n">
        <f aca="false">IF(AG33=0,"",IF(AP33="FT",IF(AX33&lt;FT_First,0,IF(AX33&lt;FT_Y5,1+INT((AX33-FT_First)/FT_Int1),FT_PreY5+FT_PerYear*INT((AX33-FT_Y5)/12)+FT_AnnivDays+INT(MOD(AX33-FT_Y5,12)/FT_Int2))),IF(AP33="PT",IF(AX33&lt;PT_First,0,1+INT((AX33-PT_First)/PT_Int)),0))+IF(AND(AI33&gt;=2,AK33&lt;=PFYDate),IF(AQ33="FT",IF(AY33&lt;FT_First,0,IF(AY33&lt;FT_Y5,1+INT((AY33-FT_First)/FT_Int1),FT_PreY5+FT_PerYear*INT((AY33-FT_Y5)/12)+FT_AnnivDays+INT(MOD(AY33-FT_Y5,12)/FT_Int2))),IF(AQ33="PT",IF(AY33&lt;PT_First,0,1+INT((AY33-PT_First)/PT_Int)),0))-IF(AQ33="FT",IF(AX33&lt;FT_First,0,IF(AX33&lt;FT_Y5,1+INT((AX33-FT_First)/FT_Int1),FT_PreY5+FT_PerYear*INT((AX33-FT_Y5)/12)+FT_AnnivDays+INT(MOD(AX33-FT_Y5,12)/FT_Int2))),IF(AQ33="PT",IF(AX33&lt;PT_First,0,1+INT((AX33-PT_First)/PT_Int)),0)),0)+IF(AND(AI33&gt;=3,AL33&lt;=PFYDate),IF(AR33="FT",IF(AW33&lt;FT_First,0,IF(AW33&lt;FT_Y5,1+INT((AW33-FT_First)/FT_Int1),FT_PreY5+FT_PerYear*INT((AW33-FT_Y5)/12)+FT_AnnivDays+INT(MOD(AW33-FT_Y5,12)/FT_Int2))),IF(AR33="PT",IF(AW33&lt;PT_First,0,1+INT((AW33-PT_First)/PT_Int)),0))-IF(AR33="FT",IF(AY33&lt;FT_First,0,IF(AY33&lt;FT_Y5,1+INT((AY33-FT_First)/FT_Int1),FT_PreY5+FT_PerYear*INT((AY33-FT_Y5)/12)+FT_AnnivDays+INT(MOD(AY33-FT_Y5,12)/FT_Int2))),IF(AR33="PT",IF(AY33&lt;PT_First,0,1+INT((AY33-PT_First)/PT_Int)),0)),0))</f>
        <v>0</v>
      </c>
      <c r="BB33" s="19" t="n">
        <f aca="false">IF(AG33=0,"",IF(AS33="FT",IF(AT33&lt;FT_First,FT_First,IF(AT33&lt;FT_Y5,MIN(FT_Y5,FT_First+FT_Int1*(INT((AT33-FT_First)/FT_Int1)+1)),FT_Y5+12*INT((AT33-FT_Y5)/12)+FT_Int2*(INT(MOD(AT33-FT_Y5,12)/FT_Int2)+1))),IF(AS33="PT",IF(AT33&lt;PT_First,PT_First,PT_First+PT_Int*(INT((AT33-PT_First)/PT_Int)+1)),"")))</f>
        <v>36</v>
      </c>
      <c r="BC33" s="19" t="n">
        <f aca="false">IF(AG33=0,"",IF(NOT(LH_Ready),0,COUNTIFS(INDEX(LH_Data,0,LH_ColFirst),$A33,INDEX(LH_Data,0,LH_ColSur),$B33,INDEX(LH_Data,0,LH_ColCat),BonusCat)))</f>
        <v>0</v>
      </c>
      <c r="BD33" s="19" t="n">
        <f aca="false">IF(AG33=0,"",IF(OR(NOT(LH_Ready),BC33=0),0,SUMPRODUCT(MAX((INDEX(LH_Data,0,LH_ColFirst)=$A33)*(INDEX(LH_Data,0,LH_ColSur)=$B33)*(INDEX(LH_Data,0,LH_ColCat)=BonusCat)*ROW(LH_Data)))))</f>
        <v>0</v>
      </c>
      <c r="BE33" s="19" t="n">
        <f aca="false">IF(AG33=0,"",IF(EOMONTH(AsOfDate,-1)&lt;AH33,-1,12*(YEAR(EOMONTH(AsOfDate,-1))-YEAR(AH33))+MONTH(EOMONTH(AsOfDate,-1))-MONTH(AH33)-IF(DAY(EOMONTH(AsOfDate,-1))&lt;MIN(DAY(AH33),DAY(EOMONTH(EOMONTH(AsOfDate,-1),0))),1,0)))</f>
        <v>32</v>
      </c>
      <c r="BF33" s="19" t="n">
        <f aca="false">IF(AG33=0,"",IF(OR(AI33&lt;2,AK33&gt;EOMONTH(AsOfDate,-1)),BE33,IF((AK33-1)&lt;AH33,-1,12*(YEAR((AK33-1))-YEAR(AH33))+MONTH((AK33-1))-MONTH(AH33)-IF(DAY((AK33-1))&lt;MIN(DAY(AH33),DAY(EOMONTH((AK33-1),0))),1,0))))</f>
        <v>32</v>
      </c>
      <c r="BG33" s="19" t="n">
        <f aca="false">IF(AG33=0,"",IF(OR(AI33&lt;3,AL33&gt;EOMONTH(AsOfDate,-1)),BE33,IF((AL33-1)&lt;AH33,-1,12*(YEAR((AL33-1))-YEAR(AH33))+MONTH((AL33-1))-MONTH(AH33)-IF(DAY((AL33-1))&lt;MIN(DAY(AH33),DAY(EOMONTH((AL33-1),0))),1,0))))</f>
        <v>32</v>
      </c>
      <c r="BH33" s="19" t="n">
        <f aca="false">IF(AG33=0,"",IF(AP33="FT",IF(BF33&lt;FT_First,0,IF(BF33&lt;FT_Y5,1+INT((BF33-FT_First)/FT_Int1),FT_PreY5+FT_PerYear*INT((BF33-FT_Y5)/12)+FT_AnnivDays+INT(MOD(BF33-FT_Y5,12)/FT_Int2))),IF(AP33="PT",IF(BF33&lt;PT_First,0,1+INT((BF33-PT_First)/PT_Int)),0))+IF(AND(AI33&gt;=2,AK33&lt;=EOMONTH(AsOfDate,-1)),IF(AQ33="FT",IF(BG33&lt;FT_First,0,IF(BG33&lt;FT_Y5,1+INT((BG33-FT_First)/FT_Int1),FT_PreY5+FT_PerYear*INT((BG33-FT_Y5)/12)+FT_AnnivDays+INT(MOD(BG33-FT_Y5,12)/FT_Int2))),IF(AQ33="PT",IF(BG33&lt;PT_First,0,1+INT((BG33-PT_First)/PT_Int)),0))-IF(AQ33="FT",IF(BF33&lt;FT_First,0,IF(BF33&lt;FT_Y5,1+INT((BF33-FT_First)/FT_Int1),FT_PreY5+FT_PerYear*INT((BF33-FT_Y5)/12)+FT_AnnivDays+INT(MOD(BF33-FT_Y5,12)/FT_Int2))),IF(AQ33="PT",IF(BF33&lt;PT_First,0,1+INT((BF33-PT_First)/PT_Int)),0)),0)+IF(AND(AI33&gt;=3,AL33&lt;=EOMONTH(AsOfDate,-1)),IF(AR33="FT",IF(BE33&lt;FT_First,0,IF(BE33&lt;FT_Y5,1+INT((BE33-FT_First)/FT_Int1),FT_PreY5+FT_PerYear*INT((BE33-FT_Y5)/12)+FT_AnnivDays+INT(MOD(BE33-FT_Y5,12)/FT_Int2))),IF(AR33="PT",IF(BE33&lt;PT_First,0,1+INT((BE33-PT_First)/PT_Int)),0))-IF(AR33="FT",IF(BG33&lt;FT_First,0,IF(BG33&lt;FT_Y5,1+INT((BG33-FT_First)/FT_Int1),FT_PreY5+FT_PerYear*INT((BG33-FT_Y5)/12)+FT_AnnivDays+INT(MOD(BG33-FT_Y5,12)/FT_Int2))),IF(AR33="PT",IF(BG33&lt;PT_First,0,1+INT((BG33-PT_First)/PT_Int)),0)),0))</f>
        <v>0</v>
      </c>
      <c r="BI33" s="19" t="str">
        <f aca="false">IF(AG33=0,"",IF(AS33="FT",IF(AT33&lt;FT_First,"",IF(AT33&lt;FT_Y5,FT_First+FT_Int1*INT((AT33-FT_First)/FT_Int1),FT_Y5+FT_Int2*INT((AT33-FT_Y5)/FT_Int2))),IF(AS33="PT",IF(AT33&lt;PT_First,"",PT_First+PT_Int*INT((AT33-PT_First)/PT_Int)),"")))</f>
        <v/>
      </c>
      <c r="BJ33" s="0" t="str">
        <f aca="false">IF(LEN($A33&amp;$B33)=0,"",$A33&amp;" "&amp;$B33)</f>
        <v>Gianmaria Yao</v>
      </c>
    </row>
    <row r="34" customFormat="false" ht="15" hidden="false" customHeight="false" outlineLevel="0" collapsed="false">
      <c r="A34" s="15" t="s">
        <v>197</v>
      </c>
      <c r="B34" s="15" t="s">
        <v>198</v>
      </c>
      <c r="C34" s="15" t="s">
        <v>153</v>
      </c>
      <c r="D34" s="16" t="n">
        <v>22426</v>
      </c>
      <c r="E34" s="17" t="n">
        <f aca="false">IF(OR(AG34=0,$D34=""),"",DATE(YEAR(AsOfDate)+IF(DATE(YEAR(AsOfDate),MONTH($D34),DAY($D34))&lt;=AsOfDate,1,0),MONTH($D34),DAY($D34)))</f>
        <v>46532</v>
      </c>
      <c r="F34" s="16" t="n">
        <v>46041</v>
      </c>
      <c r="G34" s="16"/>
      <c r="H34" s="16"/>
      <c r="I34" s="16" t="n">
        <v>46041</v>
      </c>
      <c r="J34" s="16"/>
      <c r="K34" s="17" t="n">
        <f aca="false">IF(AG34=0,"",DATE(YEAR(AsOfDate)+IF(DATE(YEAR(AsOfDate),MONTH(AH34),DAY(AH34))&lt;=AsOfDate,1,0),MONTH(AH34),DAY(AH34)))</f>
        <v>46406</v>
      </c>
      <c r="L34" s="18" t="n">
        <f aca="false">IF(AG34=0,"",ROUND((AsOfDate-AH34)/365.25,1))</f>
        <v>0.7</v>
      </c>
      <c r="M34" s="19" t="str">
        <f aca="false">IF(AG34=0,"",IF(AsOfDate&lt;AH34,"-",DATEDIF(AH34,AsOfDate,"y")&amp;"y "&amp;DATEDIF(AH34,AsOfDate,"ym")&amp;"m "&amp;DATEDIF(AH34,AsOfDate,"md")&amp;"d"))</f>
        <v>0y 8m 17d</v>
      </c>
      <c r="N34" s="20" t="n">
        <f aca="false">IF(AG34=0,"",O34*HoursPerDay)</f>
        <v>0</v>
      </c>
      <c r="O34" s="20" t="n">
        <f aca="false">IF(AG34=0,"",AZ34)</f>
        <v>0</v>
      </c>
      <c r="P34" s="21"/>
      <c r="Q34" s="19"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19"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17" t="n">
        <f aca="false">IF(AG34=0,"",IF(AS34="None","",EDATE(AH34,BB34)))</f>
        <v>47137</v>
      </c>
      <c r="T34" s="20" t="n">
        <f aca="false">IF(AG34=0,"",IF(NOT(LH_Ready),"",IF(AH34&gt;PFYDate,0,IF(LH_ColPeriod=0,W34-U34+V34,SUMIFS(INDEX(LH_Data,0,LH_ColAcc),INDEX(LH_Data,0,LH_ColFirst),$A34,INDEX(LH_Data,0,LH_ColSur),$B34,INDEX(LH_Data,0,LH_ColCat),BonusCat,INDEX(LH_Data,0,LH_ColPeriod),LH_OpenLabel)*UnitFactor))))</f>
        <v>0</v>
      </c>
      <c r="U34" s="20" t="n">
        <f aca="false">IF(AG34=0,"",IF(NOT(LH_Ready),"",SUMIFS(INDEX(LH_Data,0,LH_ColAcc),INDEX(LH_Data,0,LH_ColFirst),$A34,INDEX(LH_Data,0,LH_ColSur),$B34,INDEX(LH_Data,0,LH_ColCat),BonusCat,INDEX(LH_Data,0,LH_ColStart),"&gt;="&amp;AH34)*UnitFactor))</f>
        <v>0</v>
      </c>
      <c r="V34" s="20" t="n">
        <f aca="false">IF(AG34=0,"",IF(NOT(LH_Ready),"",SUMIFS(INDEX(LH_Data,0,LH_ColTaken),INDEX(LH_Data,0,LH_ColFirst),$A34,INDEX(LH_Data,0,LH_ColSur),$B34,INDEX(LH_Data,0,LH_ColCat),BonusCat,INDEX(LH_Data,0,LH_ColStart),"&gt;="&amp;AH34)*UnitFactor))</f>
        <v>0</v>
      </c>
      <c r="W34" s="20" t="n">
        <f aca="false">IF(AG34=0,"",IF(NOT(LH_Ready),"",IF(BD34=0,0,INDEX(INDEX(LH_Data,0,LH_ColClose),BD34-1)*UnitFactor)))</f>
        <v>0</v>
      </c>
      <c r="X34" s="20" t="n">
        <f aca="false">IF(AG34=0,"",(AZ34-BA34)*HoursPerDay)</f>
        <v>0</v>
      </c>
      <c r="Y34" s="20" t="n">
        <f aca="false">IF(AG34=0,"",IF(NOT(LH_Ready),"",IF(BC34=0,N34,IF(PFYDate&lt;$F34,N34-N(T34)-N(U34),X34-N(U34)))))</f>
        <v>0</v>
      </c>
      <c r="Z34" s="19" t="str">
        <f aca="false">IF(OR(AG34=0,Y34=""),"",IF(Y34&gt;0,"Yes","No"))</f>
        <v>No</v>
      </c>
      <c r="AA34" s="19"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Not yet - first day on 19/01/2029</v>
      </c>
      <c r="AB34" s="20" t="n">
        <f aca="false">IF(OR(AG34=0,T34=""),"",BA34*HoursPerDay-T34)</f>
        <v>0</v>
      </c>
      <c r="AC34" s="19" t="n">
        <f aca="false">IF(AG34=0,"",BC34)</f>
        <v>0</v>
      </c>
      <c r="AD34" s="19"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20" t="n">
        <f aca="false">IF(AG34=0,"",O34-BH34)</f>
        <v>0</v>
      </c>
      <c r="AF34" s="17" t="str">
        <f aca="false">IF(OR(AG34=0,AE34="",N(AE34)=0,BI34=""),"",EDATE(AH34,BI34))</f>
        <v/>
      </c>
      <c r="AG34" s="19" t="n">
        <f aca="false">IF(OR(LEN($A34&amp;$B34)=0,$F34=""),0,1)</f>
        <v>1</v>
      </c>
      <c r="AH34" s="17" t="n">
        <f aca="false">IF(AG34=0,"",IF($J34&lt;&gt;"",$J34,IF(OR(CasualCounts="Yes",COUNT($G34:$I34)=0,COUNT($H34:$I34)=0),$F34,MIN($H34:$I34))))</f>
        <v>46041</v>
      </c>
      <c r="AI34" s="19" t="n">
        <f aca="false">IF(AG34=0,"",COUNT($G34:$I34))</f>
        <v>1</v>
      </c>
      <c r="AJ34" s="17" t="n">
        <f aca="false">IF(AG34=0,"",IFERROR(SMALL($G34:$I34,1),""))</f>
        <v>46041</v>
      </c>
      <c r="AK34" s="17" t="str">
        <f aca="false">IF(AG34=0,"",IFERROR(SMALL($G34:$I34,2),""))</f>
        <v/>
      </c>
      <c r="AL34" s="17" t="str">
        <f aca="false">IF(AG34=0,"",IFERROR(SMALL($G34:$I34,3),""))</f>
        <v/>
      </c>
      <c r="AM34" s="19" t="str">
        <f aca="false">IF(AG34=0,"",IF(AJ34="","",IF(AJ34=$H34,"Part-Time",IF(AJ34=$I34,"Full-Time","Casual"))))</f>
        <v>Full-Time</v>
      </c>
      <c r="AN34" s="19" t="str">
        <f aca="false">IF(AG34=0,"",IF(AK34="","",IF(AK34=$H34,"Part-Time",IF(AK34=$I34,"Full-Time","Casual"))))</f>
        <v/>
      </c>
      <c r="AO34" s="19" t="str">
        <f aca="false">IF(AG34=0,"",IF(AL34="","",IF(AL34=$H34,"Part-Time",IF(AL34=$I34,"Full-Time","Casual"))))</f>
        <v/>
      </c>
      <c r="AP34" s="19"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FT</v>
      </c>
      <c r="AQ34" s="19" t="str">
        <f aca="false">IF(AG34=0,"",IF(AI34&lt;2,"",IF(OR(ISNUMBER(SEARCH("full",AN34)),UPPER(TRIM(AN34))="FT",UPPER(TRIM(AN34))="FTE"),"FT",IF(AND(OR(ISNUMBER(SEARCH("part",AN34)),UPPER(TRIM(AN34))="PT",UPPER(TRIM(AN34))="PTE"),OR($P34="",N($P34)&gt;=PT_MinHours)),"PT","None"))))</f>
        <v/>
      </c>
      <c r="AR34" s="19" t="str">
        <f aca="false">IF(AG34=0,"",IF(AI34&lt;3,"",IF(OR(ISNUMBER(SEARCH("full",AO34)),UPPER(TRIM(AO34))="FT",UPPER(TRIM(AO34))="FTE"),"FT",IF(AND(OR(ISNUMBER(SEARCH("part",AO34)),UPPER(TRIM(AO34))="PT",UPPER(TRIM(AO34))="PTE"),OR($P34="",N($P34)&gt;=PT_MinHours)),"PT","None"))))</f>
        <v/>
      </c>
      <c r="AS34" s="19" t="str">
        <f aca="false">IF(AG34=0,"",IF(AND(AI34&gt;=3,AL34&lt;=AsOfDate),AR34,IF(AND(AI34&gt;=2,AK34&lt;=AsOfDate),AQ34,AP34)))</f>
        <v>FT</v>
      </c>
      <c r="AT34" s="19" t="n">
        <f aca="false">IF(AG34=0,"",IF(AsOfDate&lt;AH34,-1,12*(YEAR(AsOfDate)-YEAR(AH34))+MONTH(AsOfDate)-MONTH(AH34)-IF(DAY(AsOfDate)&lt;MIN(DAY(AH34),DAY(EOMONTH(AsOfDate,0))),1,0)))</f>
        <v>8</v>
      </c>
      <c r="AU34" s="19" t="n">
        <f aca="false">IF(AG34=0,"",IF(OR(AI34&lt;2,AK34&gt;AsOfDate),AT34,IF((AK34-1)&lt;AH34,-1,12*(YEAR((AK34-1))-YEAR(AH34))+MONTH((AK34-1))-MONTH(AH34)-IF(DAY((AK34-1))&lt;MIN(DAY(AH34),DAY(EOMONTH((AK34-1),0))),1,0))))</f>
        <v>8</v>
      </c>
      <c r="AV34" s="19" t="n">
        <f aca="false">IF(AG34=0,"",IF(OR(AI34&lt;3,AL34&gt;AsOfDate),AT34,IF((AL34-1)&lt;AH34,-1,12*(YEAR((AL34-1))-YEAR(AH34))+MONTH((AL34-1))-MONTH(AH34)-IF(DAY((AL34-1))&lt;MIN(DAY(AH34),DAY(EOMONTH((AL34-1),0))),1,0))))</f>
        <v>8</v>
      </c>
      <c r="AW34" s="19" t="n">
        <f aca="false">IF(AG34=0,"",IF(PFYDate&lt;AH34,-1,12*(YEAR(PFYDate)-YEAR(AH34))+MONTH(PFYDate)-MONTH(AH34)-IF(DAY(PFYDate)&lt;MIN(DAY(AH34),DAY(EOMONTH(PFYDate,0))),1,0)))</f>
        <v>-1</v>
      </c>
      <c r="AX34" s="19" t="n">
        <f aca="false">IF(AG34=0,"",IF(OR(AI34&lt;2,AK34&gt;PFYDate),AW34,IF((AK34-1)&lt;AH34,-1,12*(YEAR((AK34-1))-YEAR(AH34))+MONTH((AK34-1))-MONTH(AH34)-IF(DAY((AK34-1))&lt;MIN(DAY(AH34),DAY(EOMONTH((AK34-1),0))),1,0))))</f>
        <v>-1</v>
      </c>
      <c r="AY34" s="19" t="n">
        <f aca="false">IF(AG34=0,"",IF(OR(AI34&lt;3,AL34&gt;PFYDate),AW34,IF((AL34-1)&lt;AH34,-1,12*(YEAR((AL34-1))-YEAR(AH34))+MONTH((AL34-1))-MONTH(AH34)-IF(DAY((AL34-1))&lt;MIN(DAY(AH34),DAY(EOMONTH((AL34-1),0))),1,0))))</f>
        <v>-1</v>
      </c>
      <c r="AZ34" s="19" t="n">
        <f aca="false">IF(AG34=0,"",IF(AP34="FT",IF(AU34&lt;FT_First,0,IF(AU34&lt;FT_Y5,1+INT((AU34-FT_First)/FT_Int1),FT_PreY5+FT_PerYear*INT((AU34-FT_Y5)/12)+FT_AnnivDays+INT(MOD(AU34-FT_Y5,12)/FT_Int2))),IF(AP34="PT",IF(AU34&lt;PT_First,0,1+INT((AU34-PT_First)/PT_Int)),0))+IF(AND(AI34&gt;=2,AK34&lt;=AsOfDate),IF(AQ34="FT",IF(AV34&lt;FT_First,0,IF(AV34&lt;FT_Y5,1+INT((AV34-FT_First)/FT_Int1),FT_PreY5+FT_PerYear*INT((AV34-FT_Y5)/12)+FT_AnnivDays+INT(MOD(AV34-FT_Y5,12)/FT_Int2))),IF(AQ34="PT",IF(AV34&lt;PT_First,0,1+INT((AV34-PT_First)/PT_Int)),0))-IF(AQ34="FT",IF(AU34&lt;FT_First,0,IF(AU34&lt;FT_Y5,1+INT((AU34-FT_First)/FT_Int1),FT_PreY5+FT_PerYear*INT((AU34-FT_Y5)/12)+FT_AnnivDays+INT(MOD(AU34-FT_Y5,12)/FT_Int2))),IF(AQ34="PT",IF(AU34&lt;PT_First,0,1+INT((AU34-PT_First)/PT_Int)),0)),0)+IF(AND(AI34&gt;=3,AL34&lt;=AsOfDate),IF(AR34="FT",IF(AT34&lt;FT_First,0,IF(AT34&lt;FT_Y5,1+INT((AT34-FT_First)/FT_Int1),FT_PreY5+FT_PerYear*INT((AT34-FT_Y5)/12)+FT_AnnivDays+INT(MOD(AT34-FT_Y5,12)/FT_Int2))),IF(AR34="PT",IF(AT34&lt;PT_First,0,1+INT((AT34-PT_First)/PT_Int)),0))-IF(AR34="FT",IF(AV34&lt;FT_First,0,IF(AV34&lt;FT_Y5,1+INT((AV34-FT_First)/FT_Int1),FT_PreY5+FT_PerYear*INT((AV34-FT_Y5)/12)+FT_AnnivDays+INT(MOD(AV34-FT_Y5,12)/FT_Int2))),IF(AR34="PT",IF(AV34&lt;PT_First,0,1+INT((AV34-PT_First)/PT_Int)),0)),0))</f>
        <v>0</v>
      </c>
      <c r="BA34" s="19" t="n">
        <f aca="false">IF(AG34=0,"",IF(AP34="FT",IF(AX34&lt;FT_First,0,IF(AX34&lt;FT_Y5,1+INT((AX34-FT_First)/FT_Int1),FT_PreY5+FT_PerYear*INT((AX34-FT_Y5)/12)+FT_AnnivDays+INT(MOD(AX34-FT_Y5,12)/FT_Int2))),IF(AP34="PT",IF(AX34&lt;PT_First,0,1+INT((AX34-PT_First)/PT_Int)),0))+IF(AND(AI34&gt;=2,AK34&lt;=PFYDate),IF(AQ34="FT",IF(AY34&lt;FT_First,0,IF(AY34&lt;FT_Y5,1+INT((AY34-FT_First)/FT_Int1),FT_PreY5+FT_PerYear*INT((AY34-FT_Y5)/12)+FT_AnnivDays+INT(MOD(AY34-FT_Y5,12)/FT_Int2))),IF(AQ34="PT",IF(AY34&lt;PT_First,0,1+INT((AY34-PT_First)/PT_Int)),0))-IF(AQ34="FT",IF(AX34&lt;FT_First,0,IF(AX34&lt;FT_Y5,1+INT((AX34-FT_First)/FT_Int1),FT_PreY5+FT_PerYear*INT((AX34-FT_Y5)/12)+FT_AnnivDays+INT(MOD(AX34-FT_Y5,12)/FT_Int2))),IF(AQ34="PT",IF(AX34&lt;PT_First,0,1+INT((AX34-PT_First)/PT_Int)),0)),0)+IF(AND(AI34&gt;=3,AL34&lt;=PFYDate),IF(AR34="FT",IF(AW34&lt;FT_First,0,IF(AW34&lt;FT_Y5,1+INT((AW34-FT_First)/FT_Int1),FT_PreY5+FT_PerYear*INT((AW34-FT_Y5)/12)+FT_AnnivDays+INT(MOD(AW34-FT_Y5,12)/FT_Int2))),IF(AR34="PT",IF(AW34&lt;PT_First,0,1+INT((AW34-PT_First)/PT_Int)),0))-IF(AR34="FT",IF(AY34&lt;FT_First,0,IF(AY34&lt;FT_Y5,1+INT((AY34-FT_First)/FT_Int1),FT_PreY5+FT_PerYear*INT((AY34-FT_Y5)/12)+FT_AnnivDays+INT(MOD(AY34-FT_Y5,12)/FT_Int2))),IF(AR34="PT",IF(AY34&lt;PT_First,0,1+INT((AY34-PT_First)/PT_Int)),0)),0))</f>
        <v>0</v>
      </c>
      <c r="BB34" s="19" t="n">
        <f aca="false">IF(AG34=0,"",IF(AS34="FT",IF(AT34&lt;FT_First,FT_First,IF(AT34&lt;FT_Y5,MIN(FT_Y5,FT_First+FT_Int1*(INT((AT34-FT_First)/FT_Int1)+1)),FT_Y5+12*INT((AT34-FT_Y5)/12)+FT_Int2*(INT(MOD(AT34-FT_Y5,12)/FT_Int2)+1))),IF(AS34="PT",IF(AT34&lt;PT_First,PT_First,PT_First+PT_Int*(INT((AT34-PT_First)/PT_Int)+1)),"")))</f>
        <v>36</v>
      </c>
      <c r="BC34" s="19" t="n">
        <f aca="false">IF(AG34=0,"",IF(NOT(LH_Ready),0,COUNTIFS(INDEX(LH_Data,0,LH_ColFirst),$A34,INDEX(LH_Data,0,LH_ColSur),$B34,INDEX(LH_Data,0,LH_ColCat),BonusCat)))</f>
        <v>0</v>
      </c>
      <c r="BD34" s="19" t="n">
        <f aca="false">IF(AG34=0,"",IF(OR(NOT(LH_Ready),BC34=0),0,SUMPRODUCT(MAX((INDEX(LH_Data,0,LH_ColFirst)=$A34)*(INDEX(LH_Data,0,LH_ColSur)=$B34)*(INDEX(LH_Data,0,LH_ColCat)=BonusCat)*ROW(LH_Data)))))</f>
        <v>0</v>
      </c>
      <c r="BE34" s="19" t="n">
        <f aca="false">IF(AG34=0,"",IF(EOMONTH(AsOfDate,-1)&lt;AH34,-1,12*(YEAR(EOMONTH(AsOfDate,-1))-YEAR(AH34))+MONTH(EOMONTH(AsOfDate,-1))-MONTH(AH34)-IF(DAY(EOMONTH(AsOfDate,-1))&lt;MIN(DAY(AH34),DAY(EOMONTH(EOMONTH(AsOfDate,-1),0))),1,0)))</f>
        <v>8</v>
      </c>
      <c r="BF34" s="19" t="n">
        <f aca="false">IF(AG34=0,"",IF(OR(AI34&lt;2,AK34&gt;EOMONTH(AsOfDate,-1)),BE34,IF((AK34-1)&lt;AH34,-1,12*(YEAR((AK34-1))-YEAR(AH34))+MONTH((AK34-1))-MONTH(AH34)-IF(DAY((AK34-1))&lt;MIN(DAY(AH34),DAY(EOMONTH((AK34-1),0))),1,0))))</f>
        <v>8</v>
      </c>
      <c r="BG34" s="19" t="n">
        <f aca="false">IF(AG34=0,"",IF(OR(AI34&lt;3,AL34&gt;EOMONTH(AsOfDate,-1)),BE34,IF((AL34-1)&lt;AH34,-1,12*(YEAR((AL34-1))-YEAR(AH34))+MONTH((AL34-1))-MONTH(AH34)-IF(DAY((AL34-1))&lt;MIN(DAY(AH34),DAY(EOMONTH((AL34-1),0))),1,0))))</f>
        <v>8</v>
      </c>
      <c r="BH34" s="19" t="n">
        <f aca="false">IF(AG34=0,"",IF(AP34="FT",IF(BF34&lt;FT_First,0,IF(BF34&lt;FT_Y5,1+INT((BF34-FT_First)/FT_Int1),FT_PreY5+FT_PerYear*INT((BF34-FT_Y5)/12)+FT_AnnivDays+INT(MOD(BF34-FT_Y5,12)/FT_Int2))),IF(AP34="PT",IF(BF34&lt;PT_First,0,1+INT((BF34-PT_First)/PT_Int)),0))+IF(AND(AI34&gt;=2,AK34&lt;=EOMONTH(AsOfDate,-1)),IF(AQ34="FT",IF(BG34&lt;FT_First,0,IF(BG34&lt;FT_Y5,1+INT((BG34-FT_First)/FT_Int1),FT_PreY5+FT_PerYear*INT((BG34-FT_Y5)/12)+FT_AnnivDays+INT(MOD(BG34-FT_Y5,12)/FT_Int2))),IF(AQ34="PT",IF(BG34&lt;PT_First,0,1+INT((BG34-PT_First)/PT_Int)),0))-IF(AQ34="FT",IF(BF34&lt;FT_First,0,IF(BF34&lt;FT_Y5,1+INT((BF34-FT_First)/FT_Int1),FT_PreY5+FT_PerYear*INT((BF34-FT_Y5)/12)+FT_AnnivDays+INT(MOD(BF34-FT_Y5,12)/FT_Int2))),IF(AQ34="PT",IF(BF34&lt;PT_First,0,1+INT((BF34-PT_First)/PT_Int)),0)),0)+IF(AND(AI34&gt;=3,AL34&lt;=EOMONTH(AsOfDate,-1)),IF(AR34="FT",IF(BE34&lt;FT_First,0,IF(BE34&lt;FT_Y5,1+INT((BE34-FT_First)/FT_Int1),FT_PreY5+FT_PerYear*INT((BE34-FT_Y5)/12)+FT_AnnivDays+INT(MOD(BE34-FT_Y5,12)/FT_Int2))),IF(AR34="PT",IF(BE34&lt;PT_First,0,1+INT((BE34-PT_First)/PT_Int)),0))-IF(AR34="FT",IF(BG34&lt;FT_First,0,IF(BG34&lt;FT_Y5,1+INT((BG34-FT_First)/FT_Int1),FT_PreY5+FT_PerYear*INT((BG34-FT_Y5)/12)+FT_AnnivDays+INT(MOD(BG34-FT_Y5,12)/FT_Int2))),IF(AR34="PT",IF(BG34&lt;PT_First,0,1+INT((BG34-PT_First)/PT_Int)),0)),0))</f>
        <v>0</v>
      </c>
      <c r="BI34" s="19" t="str">
        <f aca="false">IF(AG34=0,"",IF(AS34="FT",IF(AT34&lt;FT_First,"",IF(AT34&lt;FT_Y5,FT_First+FT_Int1*INT((AT34-FT_First)/FT_Int1),FT_Y5+FT_Int2*INT((AT34-FT_Y5)/FT_Int2))),IF(AS34="PT",IF(AT34&lt;PT_First,"",PT_First+PT_Int*INT((AT34-PT_First)/PT_Int)),"")))</f>
        <v/>
      </c>
      <c r="BJ34" s="0" t="str">
        <f aca="false">IF(LEN($A34&amp;$B34)=0,"",$A34&amp;" "&amp;$B34)</f>
        <v>Graham Cherry</v>
      </c>
    </row>
    <row r="35" customFormat="false" ht="15" hidden="false" customHeight="false" outlineLevel="0" collapsed="false">
      <c r="A35" s="15" t="s">
        <v>199</v>
      </c>
      <c r="B35" s="15" t="s">
        <v>200</v>
      </c>
      <c r="C35" s="15" t="s">
        <v>153</v>
      </c>
      <c r="D35" s="16" t="n">
        <v>35300</v>
      </c>
      <c r="E35" s="17" t="n">
        <f aca="false">IF(OR(AG35=0,$D35=""),"",DATE(YEAR(AsOfDate)+IF(DATE(YEAR(AsOfDate),MONTH($D35),DAY($D35))&lt;=AsOfDate,1,0),MONTH($D35),DAY($D35)))</f>
        <v>46622</v>
      </c>
      <c r="F35" s="16" t="n">
        <v>43725</v>
      </c>
      <c r="G35" s="16"/>
      <c r="H35" s="16" t="n">
        <v>43725</v>
      </c>
      <c r="I35" s="16" t="n">
        <v>46041</v>
      </c>
      <c r="J35" s="16"/>
      <c r="K35" s="17" t="n">
        <f aca="false">IF(AG35=0,"",DATE(YEAR(AsOfDate)+IF(DATE(YEAR(AsOfDate),MONTH(AH35),DAY(AH35))&lt;=AsOfDate,1,0),MONTH(AH35),DAY(AH35)))</f>
        <v>46647</v>
      </c>
      <c r="L35" s="18" t="n">
        <f aca="false">IF(AG35=0,"",ROUND((AsOfDate-AH35)/365.25,1))</f>
        <v>7.1</v>
      </c>
      <c r="M35" s="19" t="str">
        <f aca="false">IF(AG35=0,"",IF(AsOfDate&lt;AH35,"-",DATEDIF(AH35,AsOfDate,"y")&amp;"y "&amp;DATEDIF(AH35,AsOfDate,"ym")&amp;"m "&amp;DATEDIF(AH35,AsOfDate,"md")&amp;"d"))</f>
        <v>7y 0m 19d</v>
      </c>
      <c r="N35" s="20" t="n">
        <f aca="false">IF(AG35=0,"",O35*HoursPerDay)</f>
        <v>72</v>
      </c>
      <c r="O35" s="20" t="n">
        <f aca="false">IF(AG35=0,"",AZ35)</f>
        <v>9</v>
      </c>
      <c r="P35" s="21" t="n">
        <v>38</v>
      </c>
      <c r="Q35" s="19"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Part-Time to Full-Time on 19/01/2026 - pathway changed</v>
      </c>
      <c r="R35" s="19"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17" t="n">
        <f aca="false">IF(AG35=0,"",IF(AS35="None","",EDATE(AH35,BB35)))</f>
        <v>46373</v>
      </c>
      <c r="T35" s="20" t="n">
        <f aca="false">IF(AG35=0,"",IF(NOT(LH_Ready),"",IF(AH35&gt;PFYDate,0,IF(LH_ColPeriod=0,W35-U35+V35,SUMIFS(INDEX(LH_Data,0,LH_ColAcc),INDEX(LH_Data,0,LH_ColFirst),$A35,INDEX(LH_Data,0,LH_ColSur),$B35,INDEX(LH_Data,0,LH_ColCat),BonusCat,INDEX(LH_Data,0,LH_ColPeriod),LH_OpenLabel)*UnitFactor))))</f>
        <v>0</v>
      </c>
      <c r="U35" s="20" t="n">
        <f aca="false">IF(AG35=0,"",IF(NOT(LH_Ready),"",SUMIFS(INDEX(LH_Data,0,LH_ColAcc),INDEX(LH_Data,0,LH_ColFirst),$A35,INDEX(LH_Data,0,LH_ColSur),$B35,INDEX(LH_Data,0,LH_ColCat),BonusCat,INDEX(LH_Data,0,LH_ColStart),"&gt;="&amp;AH35)*UnitFactor))</f>
        <v>0</v>
      </c>
      <c r="V35" s="20" t="n">
        <f aca="false">IF(AG35=0,"",IF(NOT(LH_Ready),"",SUMIFS(INDEX(LH_Data,0,LH_ColTaken),INDEX(LH_Data,0,LH_ColFirst),$A35,INDEX(LH_Data,0,LH_ColSur),$B35,INDEX(LH_Data,0,LH_ColCat),BonusCat,INDEX(LH_Data,0,LH_ColStart),"&gt;="&amp;AH35)*UnitFactor))</f>
        <v>0</v>
      </c>
      <c r="W35" s="20" t="n">
        <f aca="false">IF(AG35=0,"",IF(NOT(LH_Ready),"",IF(BD35=0,0,INDEX(INDEX(LH_Data,0,LH_ColClose),BD35-1)*UnitFactor)))</f>
        <v>0</v>
      </c>
      <c r="X35" s="20" t="n">
        <f aca="false">IF(AG35=0,"",(AZ35-BA35)*HoursPerDay)</f>
        <v>72</v>
      </c>
      <c r="Y35" s="20" t="n">
        <f aca="false">IF(AG35=0,"",IF(NOT(LH_Ready),"",IF(BC35=0,N35,IF(PFYDate&lt;$F35,N35-N(T35)-N(U35),X35-N(U35)))))</f>
        <v>72</v>
      </c>
      <c r="Z35" s="19" t="str">
        <f aca="false">IF(OR(AG35=0,Y35=""),"",IF(Y35&gt;0,"Yes","No"))</f>
        <v>Yes</v>
      </c>
      <c r="AA35" s="19"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ACCRUE 72 hrs (9 days): all catch-up from earlier months, nothing new this month; no Bonus Leave in EH yet</v>
      </c>
      <c r="AB35" s="20" t="n">
        <f aca="false">IF(OR(AG35=0,T35=""),"",BA35*HoursPerDay-T35)</f>
        <v>0</v>
      </c>
      <c r="AC35" s="19" t="n">
        <f aca="false">IF(AG35=0,"",BC35)</f>
        <v>0</v>
      </c>
      <c r="AD35" s="19"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20" t="n">
        <f aca="false">IF(AG35=0,"",O35-BH35)</f>
        <v>0</v>
      </c>
      <c r="AF35" s="17" t="str">
        <f aca="false">IF(OR(AG35=0,AE35="",N(AE35)=0,BI35=""),"",EDATE(AH35,BI35))</f>
        <v/>
      </c>
      <c r="AG35" s="19" t="n">
        <f aca="false">IF(OR(LEN($A35&amp;$B35)=0,$F35=""),0,1)</f>
        <v>1</v>
      </c>
      <c r="AH35" s="17" t="n">
        <f aca="false">IF(AG35=0,"",IF($J35&lt;&gt;"",$J35,IF(OR(CasualCounts="Yes",COUNT($G35:$I35)=0,COUNT($H35:$I35)=0),$F35,MIN($H35:$I35))))</f>
        <v>43725</v>
      </c>
      <c r="AI35" s="19" t="n">
        <f aca="false">IF(AG35=0,"",COUNT($G35:$I35))</f>
        <v>2</v>
      </c>
      <c r="AJ35" s="17" t="n">
        <f aca="false">IF(AG35=0,"",IFERROR(SMALL($G35:$I35,1),""))</f>
        <v>43725</v>
      </c>
      <c r="AK35" s="17" t="n">
        <f aca="false">IF(AG35=0,"",IFERROR(SMALL($G35:$I35,2),""))</f>
        <v>46041</v>
      </c>
      <c r="AL35" s="17" t="str">
        <f aca="false">IF(AG35=0,"",IFERROR(SMALL($G35:$I35,3),""))</f>
        <v/>
      </c>
      <c r="AM35" s="19" t="str">
        <f aca="false">IF(AG35=0,"",IF(AJ35="","",IF(AJ35=$H35,"Part-Time",IF(AJ35=$I35,"Full-Time","Casual"))))</f>
        <v>Part-Time</v>
      </c>
      <c r="AN35" s="19" t="str">
        <f aca="false">IF(AG35=0,"",IF(AK35="","",IF(AK35=$H35,"Part-Time",IF(AK35=$I35,"Full-Time","Casual"))))</f>
        <v>Full-Time</v>
      </c>
      <c r="AO35" s="19" t="str">
        <f aca="false">IF(AG35=0,"",IF(AL35="","",IF(AL35=$H35,"Part-Time",IF(AL35=$I35,"Full-Time","Casual"))))</f>
        <v/>
      </c>
      <c r="AP35" s="19"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PT</v>
      </c>
      <c r="AQ35" s="19" t="str">
        <f aca="false">IF(AG35=0,"",IF(AI35&lt;2,"",IF(OR(ISNUMBER(SEARCH("full",AN35)),UPPER(TRIM(AN35))="FT",UPPER(TRIM(AN35))="FTE"),"FT",IF(AND(OR(ISNUMBER(SEARCH("part",AN35)),UPPER(TRIM(AN35))="PT",UPPER(TRIM(AN35))="PTE"),OR($P35="",N($P35)&gt;=PT_MinHours)),"PT","None"))))</f>
        <v>FT</v>
      </c>
      <c r="AR35" s="19" t="str">
        <f aca="false">IF(AG35=0,"",IF(AI35&lt;3,"",IF(OR(ISNUMBER(SEARCH("full",AO35)),UPPER(TRIM(AO35))="FT",UPPER(TRIM(AO35))="FTE"),"FT",IF(AND(OR(ISNUMBER(SEARCH("part",AO35)),UPPER(TRIM(AO35))="PT",UPPER(TRIM(AO35))="PTE"),OR($P35="",N($P35)&gt;=PT_MinHours)),"PT","None"))))</f>
        <v/>
      </c>
      <c r="AS35" s="19" t="str">
        <f aca="false">IF(AG35=0,"",IF(AND(AI35&gt;=3,AL35&lt;=AsOfDate),AR35,IF(AND(AI35&gt;=2,AK35&lt;=AsOfDate),AQ35,AP35)))</f>
        <v>FT</v>
      </c>
      <c r="AT35" s="19" t="n">
        <f aca="false">IF(AG35=0,"",IF(AsOfDate&lt;AH35,-1,12*(YEAR(AsOfDate)-YEAR(AH35))+MONTH(AsOfDate)-MONTH(AH35)-IF(DAY(AsOfDate)&lt;MIN(DAY(AH35),DAY(EOMONTH(AsOfDate,0))),1,0)))</f>
        <v>84</v>
      </c>
      <c r="AU35" s="19" t="n">
        <f aca="false">IF(AG35=0,"",IF(OR(AI35&lt;2,AK35&gt;AsOfDate),AT35,IF((AK35-1)&lt;AH35,-1,12*(YEAR((AK35-1))-YEAR(AH35))+MONTH((AK35-1))-MONTH(AH35)-IF(DAY((AK35-1))&lt;MIN(DAY(AH35),DAY(EOMONTH((AK35-1),0))),1,0))))</f>
        <v>76</v>
      </c>
      <c r="AV35" s="19" t="n">
        <f aca="false">IF(AG35=0,"",IF(OR(AI35&lt;3,AL35&gt;AsOfDate),AT35,IF((AL35-1)&lt;AH35,-1,12*(YEAR((AL35-1))-YEAR(AH35))+MONTH((AL35-1))-MONTH(AH35)-IF(DAY((AL35-1))&lt;MIN(DAY(AH35),DAY(EOMONTH((AL35-1),0))),1,0))))</f>
        <v>84</v>
      </c>
      <c r="AW35" s="19" t="n">
        <f aca="false">IF(AG35=0,"",IF(PFYDate&lt;AH35,-1,12*(YEAR(PFYDate)-YEAR(AH35))+MONTH(PFYDate)-MONTH(AH35)-IF(DAY(PFYDate)&lt;MIN(DAY(AH35),DAY(EOMONTH(PFYDate,0))),1,0)))</f>
        <v>-1</v>
      </c>
      <c r="AX35" s="19" t="n">
        <f aca="false">IF(AG35=0,"",IF(OR(AI35&lt;2,AK35&gt;PFYDate),AW35,IF((AK35-1)&lt;AH35,-1,12*(YEAR((AK35-1))-YEAR(AH35))+MONTH((AK35-1))-MONTH(AH35)-IF(DAY((AK35-1))&lt;MIN(DAY(AH35),DAY(EOMONTH((AK35-1),0))),1,0))))</f>
        <v>-1</v>
      </c>
      <c r="AY35" s="19" t="n">
        <f aca="false">IF(AG35=0,"",IF(OR(AI35&lt;3,AL35&gt;PFYDate),AW35,IF((AL35-1)&lt;AH35,-1,12*(YEAR((AL35-1))-YEAR(AH35))+MONTH((AL35-1))-MONTH(AH35)-IF(DAY((AL35-1))&lt;MIN(DAY(AH35),DAY(EOMONTH((AL35-1),0))),1,0))))</f>
        <v>-1</v>
      </c>
      <c r="AZ35" s="19" t="n">
        <f aca="false">IF(AG35=0,"",IF(AP35="FT",IF(AU35&lt;FT_First,0,IF(AU35&lt;FT_Y5,1+INT((AU35-FT_First)/FT_Int1),FT_PreY5+FT_PerYear*INT((AU35-FT_Y5)/12)+FT_AnnivDays+INT(MOD(AU35-FT_Y5,12)/FT_Int2))),IF(AP35="PT",IF(AU35&lt;PT_First,0,1+INT((AU35-PT_First)/PT_Int)),0))+IF(AND(AI35&gt;=2,AK35&lt;=AsOfDate),IF(AQ35="FT",IF(AV35&lt;FT_First,0,IF(AV35&lt;FT_Y5,1+INT((AV35-FT_First)/FT_Int1),FT_PreY5+FT_PerYear*INT((AV35-FT_Y5)/12)+FT_AnnivDays+INT(MOD(AV35-FT_Y5,12)/FT_Int2))),IF(AQ35="PT",IF(AV35&lt;PT_First,0,1+INT((AV35-PT_First)/PT_Int)),0))-IF(AQ35="FT",IF(AU35&lt;FT_First,0,IF(AU35&lt;FT_Y5,1+INT((AU35-FT_First)/FT_Int1),FT_PreY5+FT_PerYear*INT((AU35-FT_Y5)/12)+FT_AnnivDays+INT(MOD(AU35-FT_Y5,12)/FT_Int2))),IF(AQ35="PT",IF(AU35&lt;PT_First,0,1+INT((AU35-PT_First)/PT_Int)),0)),0)+IF(AND(AI35&gt;=3,AL35&lt;=AsOfDate),IF(AR35="FT",IF(AT35&lt;FT_First,0,IF(AT35&lt;FT_Y5,1+INT((AT35-FT_First)/FT_Int1),FT_PreY5+FT_PerYear*INT((AT35-FT_Y5)/12)+FT_AnnivDays+INT(MOD(AT35-FT_Y5,12)/FT_Int2))),IF(AR35="PT",IF(AT35&lt;PT_First,0,1+INT((AT35-PT_First)/PT_Int)),0))-IF(AR35="FT",IF(AV35&lt;FT_First,0,IF(AV35&lt;FT_Y5,1+INT((AV35-FT_First)/FT_Int1),FT_PreY5+FT_PerYear*INT((AV35-FT_Y5)/12)+FT_AnnivDays+INT(MOD(AV35-FT_Y5,12)/FT_Int2))),IF(AR35="PT",IF(AV35&lt;PT_First,0,1+INT((AV35-PT_First)/PT_Int)),0)),0))</f>
        <v>9</v>
      </c>
      <c r="BA35" s="19" t="n">
        <f aca="false">IF(AG35=0,"",IF(AP35="FT",IF(AX35&lt;FT_First,0,IF(AX35&lt;FT_Y5,1+INT((AX35-FT_First)/FT_Int1),FT_PreY5+FT_PerYear*INT((AX35-FT_Y5)/12)+FT_AnnivDays+INT(MOD(AX35-FT_Y5,12)/FT_Int2))),IF(AP35="PT",IF(AX35&lt;PT_First,0,1+INT((AX35-PT_First)/PT_Int)),0))+IF(AND(AI35&gt;=2,AK35&lt;=PFYDate),IF(AQ35="FT",IF(AY35&lt;FT_First,0,IF(AY35&lt;FT_Y5,1+INT((AY35-FT_First)/FT_Int1),FT_PreY5+FT_PerYear*INT((AY35-FT_Y5)/12)+FT_AnnivDays+INT(MOD(AY35-FT_Y5,12)/FT_Int2))),IF(AQ35="PT",IF(AY35&lt;PT_First,0,1+INT((AY35-PT_First)/PT_Int)),0))-IF(AQ35="FT",IF(AX35&lt;FT_First,0,IF(AX35&lt;FT_Y5,1+INT((AX35-FT_First)/FT_Int1),FT_PreY5+FT_PerYear*INT((AX35-FT_Y5)/12)+FT_AnnivDays+INT(MOD(AX35-FT_Y5,12)/FT_Int2))),IF(AQ35="PT",IF(AX35&lt;PT_First,0,1+INT((AX35-PT_First)/PT_Int)),0)),0)+IF(AND(AI35&gt;=3,AL35&lt;=PFYDate),IF(AR35="FT",IF(AW35&lt;FT_First,0,IF(AW35&lt;FT_Y5,1+INT((AW35-FT_First)/FT_Int1),FT_PreY5+FT_PerYear*INT((AW35-FT_Y5)/12)+FT_AnnivDays+INT(MOD(AW35-FT_Y5,12)/FT_Int2))),IF(AR35="PT",IF(AW35&lt;PT_First,0,1+INT((AW35-PT_First)/PT_Int)),0))-IF(AR35="FT",IF(AY35&lt;FT_First,0,IF(AY35&lt;FT_Y5,1+INT((AY35-FT_First)/FT_Int1),FT_PreY5+FT_PerYear*INT((AY35-FT_Y5)/12)+FT_AnnivDays+INT(MOD(AY35-FT_Y5,12)/FT_Int2))),IF(AR35="PT",IF(AY35&lt;PT_First,0,1+INT((AY35-PT_First)/PT_Int)),0)),0))</f>
        <v>0</v>
      </c>
      <c r="BB35" s="19" t="n">
        <f aca="false">IF(AG35=0,"",IF(AS35="FT",IF(AT35&lt;FT_First,FT_First,IF(AT35&lt;FT_Y5,MIN(FT_Y5,FT_First+FT_Int1*(INT((AT35-FT_First)/FT_Int1)+1)),FT_Y5+12*INT((AT35-FT_Y5)/12)+FT_Int2*(INT(MOD(AT35-FT_Y5,12)/FT_Int2)+1))),IF(AS35="PT",IF(AT35&lt;PT_First,PT_First,PT_First+PT_Int*(INT((AT35-PT_First)/PT_Int)+1)),"")))</f>
        <v>87</v>
      </c>
      <c r="BC35" s="19" t="n">
        <f aca="false">IF(AG35=0,"",IF(NOT(LH_Ready),0,COUNTIFS(INDEX(LH_Data,0,LH_ColFirst),$A35,INDEX(LH_Data,0,LH_ColSur),$B35,INDEX(LH_Data,0,LH_ColCat),BonusCat)))</f>
        <v>0</v>
      </c>
      <c r="BD35" s="19" t="n">
        <f aca="false">IF(AG35=0,"",IF(OR(NOT(LH_Ready),BC35=0),0,SUMPRODUCT(MAX((INDEX(LH_Data,0,LH_ColFirst)=$A35)*(INDEX(LH_Data,0,LH_ColSur)=$B35)*(INDEX(LH_Data,0,LH_ColCat)=BonusCat)*ROW(LH_Data)))))</f>
        <v>0</v>
      </c>
      <c r="BE35" s="19" t="n">
        <f aca="false">IF(AG35=0,"",IF(EOMONTH(AsOfDate,-1)&lt;AH35,-1,12*(YEAR(EOMONTH(AsOfDate,-1))-YEAR(AH35))+MONTH(EOMONTH(AsOfDate,-1))-MONTH(AH35)-IF(DAY(EOMONTH(AsOfDate,-1))&lt;MIN(DAY(AH35),DAY(EOMONTH(EOMONTH(AsOfDate,-1),0))),1,0)))</f>
        <v>84</v>
      </c>
      <c r="BF35" s="19" t="n">
        <f aca="false">IF(AG35=0,"",IF(OR(AI35&lt;2,AK35&gt;EOMONTH(AsOfDate,-1)),BE35,IF((AK35-1)&lt;AH35,-1,12*(YEAR((AK35-1))-YEAR(AH35))+MONTH((AK35-1))-MONTH(AH35)-IF(DAY((AK35-1))&lt;MIN(DAY(AH35),DAY(EOMONTH((AK35-1),0))),1,0))))</f>
        <v>76</v>
      </c>
      <c r="BG35" s="19" t="n">
        <f aca="false">IF(AG35=0,"",IF(OR(AI35&lt;3,AL35&gt;EOMONTH(AsOfDate,-1)),BE35,IF((AL35-1)&lt;AH35,-1,12*(YEAR((AL35-1))-YEAR(AH35))+MONTH((AL35-1))-MONTH(AH35)-IF(DAY((AL35-1))&lt;MIN(DAY(AH35),DAY(EOMONTH((AL35-1),0))),1,0))))</f>
        <v>84</v>
      </c>
      <c r="BH35" s="19" t="n">
        <f aca="false">IF(AG35=0,"",IF(AP35="FT",IF(BF35&lt;FT_First,0,IF(BF35&lt;FT_Y5,1+INT((BF35-FT_First)/FT_Int1),FT_PreY5+FT_PerYear*INT((BF35-FT_Y5)/12)+FT_AnnivDays+INT(MOD(BF35-FT_Y5,12)/FT_Int2))),IF(AP35="PT",IF(BF35&lt;PT_First,0,1+INT((BF35-PT_First)/PT_Int)),0))+IF(AND(AI35&gt;=2,AK35&lt;=EOMONTH(AsOfDate,-1)),IF(AQ35="FT",IF(BG35&lt;FT_First,0,IF(BG35&lt;FT_Y5,1+INT((BG35-FT_First)/FT_Int1),FT_PreY5+FT_PerYear*INT((BG35-FT_Y5)/12)+FT_AnnivDays+INT(MOD(BG35-FT_Y5,12)/FT_Int2))),IF(AQ35="PT",IF(BG35&lt;PT_First,0,1+INT((BG35-PT_First)/PT_Int)),0))-IF(AQ35="FT",IF(BF35&lt;FT_First,0,IF(BF35&lt;FT_Y5,1+INT((BF35-FT_First)/FT_Int1),FT_PreY5+FT_PerYear*INT((BF35-FT_Y5)/12)+FT_AnnivDays+INT(MOD(BF35-FT_Y5,12)/FT_Int2))),IF(AQ35="PT",IF(BF35&lt;PT_First,0,1+INT((BF35-PT_First)/PT_Int)),0)),0)+IF(AND(AI35&gt;=3,AL35&lt;=EOMONTH(AsOfDate,-1)),IF(AR35="FT",IF(BE35&lt;FT_First,0,IF(BE35&lt;FT_Y5,1+INT((BE35-FT_First)/FT_Int1),FT_PreY5+FT_PerYear*INT((BE35-FT_Y5)/12)+FT_AnnivDays+INT(MOD(BE35-FT_Y5,12)/FT_Int2))),IF(AR35="PT",IF(BE35&lt;PT_First,0,1+INT((BE35-PT_First)/PT_Int)),0))-IF(AR35="FT",IF(BG35&lt;FT_First,0,IF(BG35&lt;FT_Y5,1+INT((BG35-FT_First)/FT_Int1),FT_PreY5+FT_PerYear*INT((BG35-FT_Y5)/12)+FT_AnnivDays+INT(MOD(BG35-FT_Y5,12)/FT_Int2))),IF(AR35="PT",IF(BG35&lt;PT_First,0,1+INT((BG35-PT_First)/PT_Int)),0)),0))</f>
        <v>9</v>
      </c>
      <c r="BI35" s="19" t="n">
        <f aca="false">IF(AG35=0,"",IF(AS35="FT",IF(AT35&lt;FT_First,"",IF(AT35&lt;FT_Y5,FT_First+FT_Int1*INT((AT35-FT_First)/FT_Int1),FT_Y5+FT_Int2*INT((AT35-FT_Y5)/FT_Int2))),IF(AS35="PT",IF(AT35&lt;PT_First,"",PT_First+PT_Int*INT((AT35-PT_First)/PT_Int)),"")))</f>
        <v>84</v>
      </c>
      <c r="BJ35" s="0" t="str">
        <f aca="false">IF(LEN($A35&amp;$B35)=0,"",$A35&amp;" "&amp;$B35)</f>
        <v>Isaac BUTTERWORTH</v>
      </c>
    </row>
    <row r="36" customFormat="false" ht="15" hidden="false" customHeight="false" outlineLevel="0" collapsed="false">
      <c r="A36" s="15" t="s">
        <v>201</v>
      </c>
      <c r="B36" s="15" t="s">
        <v>202</v>
      </c>
      <c r="C36" s="15" t="s">
        <v>138</v>
      </c>
      <c r="D36" s="16" t="n">
        <v>34981</v>
      </c>
      <c r="E36" s="17" t="n">
        <f aca="false">IF(OR(AG36=0,$D36=""),"",DATE(YEAR(AsOfDate)+IF(DATE(YEAR(AsOfDate),MONTH($D36),DAY($D36))&lt;=AsOfDate,1,0),MONTH($D36),DAY($D36)))</f>
        <v>46304</v>
      </c>
      <c r="F36" s="16" t="n">
        <v>43921</v>
      </c>
      <c r="G36" s="16"/>
      <c r="H36" s="16"/>
      <c r="I36" s="16"/>
      <c r="J36" s="16"/>
      <c r="K36" s="17" t="n">
        <f aca="false">IF(AG36=0,"",DATE(YEAR(AsOfDate)+IF(DATE(YEAR(AsOfDate),MONTH(AH36),DAY(AH36))&lt;=AsOfDate,1,0),MONTH(AH36),DAY(AH36)))</f>
        <v>46477</v>
      </c>
      <c r="L36" s="18" t="n">
        <f aca="false">IF(AG36=0,"",ROUND((AsOfDate-AH36)/365.25,1))</f>
        <v>6.5</v>
      </c>
      <c r="M36" s="19" t="str">
        <f aca="false">IF(AG36=0,"",IF(AsOfDate&lt;AH36,"-",DATEDIF(AH36,AsOfDate,"y")&amp;"y "&amp;DATEDIF(AH36,AsOfDate,"ym")&amp;"m "&amp;DATEDIF(AH36,AsOfDate,"md")&amp;"d"))</f>
        <v>6y 6m 5d</v>
      </c>
      <c r="N36" s="20" t="n">
        <f aca="false">IF(AG36=0,"",O36*HoursPerDay)</f>
        <v>0</v>
      </c>
      <c r="O36" s="20" t="n">
        <f aca="false">IF(AG36=0,"",AZ36)</f>
        <v>0</v>
      </c>
      <c r="P36" s="21"/>
      <c r="Q36" s="19"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19"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17" t="str">
        <f aca="false">IF(AG36=0,"",IF(AS36="None","",EDATE(AH36,BB36)))</f>
        <v/>
      </c>
      <c r="T36" s="20" t="n">
        <f aca="false">IF(AG36=0,"",IF(NOT(LH_Ready),"",IF(AH36&gt;PFYDate,0,IF(LH_ColPeriod=0,W36-U36+V36,SUMIFS(INDEX(LH_Data,0,LH_ColAcc),INDEX(LH_Data,0,LH_ColFirst),$A36,INDEX(LH_Data,0,LH_ColSur),$B36,INDEX(LH_Data,0,LH_ColCat),BonusCat,INDEX(LH_Data,0,LH_ColPeriod),LH_OpenLabel)*UnitFactor))))</f>
        <v>0</v>
      </c>
      <c r="U36" s="20" t="n">
        <f aca="false">IF(AG36=0,"",IF(NOT(LH_Ready),"",SUMIFS(INDEX(LH_Data,0,LH_ColAcc),INDEX(LH_Data,0,LH_ColFirst),$A36,INDEX(LH_Data,0,LH_ColSur),$B36,INDEX(LH_Data,0,LH_ColCat),BonusCat,INDEX(LH_Data,0,LH_ColStart),"&gt;="&amp;AH36)*UnitFactor))</f>
        <v>0</v>
      </c>
      <c r="V36" s="20" t="n">
        <f aca="false">IF(AG36=0,"",IF(NOT(LH_Ready),"",SUMIFS(INDEX(LH_Data,0,LH_ColTaken),INDEX(LH_Data,0,LH_ColFirst),$A36,INDEX(LH_Data,0,LH_ColSur),$B36,INDEX(LH_Data,0,LH_ColCat),BonusCat,INDEX(LH_Data,0,LH_ColStart),"&gt;="&amp;AH36)*UnitFactor))</f>
        <v>0</v>
      </c>
      <c r="W36" s="20" t="n">
        <f aca="false">IF(AG36=0,"",IF(NOT(LH_Ready),"",IF(BD36=0,0,INDEX(INDEX(LH_Data,0,LH_ColClose),BD36-1)*UnitFactor)))</f>
        <v>0</v>
      </c>
      <c r="X36" s="20" t="n">
        <f aca="false">IF(AG36=0,"",(AZ36-BA36)*HoursPerDay)</f>
        <v>0</v>
      </c>
      <c r="Y36" s="20" t="n">
        <f aca="false">IF(AG36=0,"",IF(NOT(LH_Ready),"",IF(BC36=0,N36,IF(PFYDate&lt;$F36,N36-N(T36)-N(U36),X36-N(U36)))))</f>
        <v>0</v>
      </c>
      <c r="Z36" s="19" t="str">
        <f aca="false">IF(OR(AG36=0,Y36=""),"",IF(Y36&gt;0,"Yes","No"))</f>
        <v>No</v>
      </c>
      <c r="AA36" s="19"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Not eligible - Casual</v>
      </c>
      <c r="AB36" s="20" t="n">
        <f aca="false">IF(OR(AG36=0,T36=""),"",BA36*HoursPerDay-T36)</f>
        <v>0</v>
      </c>
      <c r="AC36" s="19" t="n">
        <f aca="false">IF(AG36=0,"",BC36)</f>
        <v>0</v>
      </c>
      <c r="AD36" s="19"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20" t="n">
        <f aca="false">IF(AG36=0,"",O36-BH36)</f>
        <v>0</v>
      </c>
      <c r="AF36" s="17" t="str">
        <f aca="false">IF(OR(AG36=0,AE36="",N(AE36)=0,BI36=""),"",EDATE(AH36,BI36))</f>
        <v/>
      </c>
      <c r="AG36" s="19" t="n">
        <f aca="false">IF(OR(LEN($A36&amp;$B36)=0,$F36=""),0,1)</f>
        <v>1</v>
      </c>
      <c r="AH36" s="17" t="n">
        <f aca="false">IF(AG36=0,"",IF($J36&lt;&gt;"",$J36,IF(OR(CasualCounts="Yes",COUNT($G36:$I36)=0,COUNT($H36:$I36)=0),$F36,MIN($H36:$I36))))</f>
        <v>43921</v>
      </c>
      <c r="AI36" s="19" t="n">
        <f aca="false">IF(AG36=0,"",COUNT($G36:$I36))</f>
        <v>0</v>
      </c>
      <c r="AJ36" s="17" t="str">
        <f aca="false">IF(AG36=0,"",IFERROR(SMALL($G36:$I36,1),""))</f>
        <v/>
      </c>
      <c r="AK36" s="17" t="str">
        <f aca="false">IF(AG36=0,"",IFERROR(SMALL($G36:$I36,2),""))</f>
        <v/>
      </c>
      <c r="AL36" s="17" t="str">
        <f aca="false">IF(AG36=0,"",IFERROR(SMALL($G36:$I36,3),""))</f>
        <v/>
      </c>
      <c r="AM36" s="19" t="str">
        <f aca="false">IF(AG36=0,"",IF(AJ36="","",IF(AJ36=$H36,"Part-Time",IF(AJ36=$I36,"Full-Time","Casual"))))</f>
        <v/>
      </c>
      <c r="AN36" s="19" t="str">
        <f aca="false">IF(AG36=0,"",IF(AK36="","",IF(AK36=$H36,"Part-Time",IF(AK36=$I36,"Full-Time","Casual"))))</f>
        <v/>
      </c>
      <c r="AO36" s="19" t="str">
        <f aca="false">IF(AG36=0,"",IF(AL36="","",IF(AL36=$H36,"Part-Time",IF(AL36=$I36,"Full-Time","Casual"))))</f>
        <v/>
      </c>
      <c r="AP36" s="19"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None</v>
      </c>
      <c r="AQ36" s="19" t="str">
        <f aca="false">IF(AG36=0,"",IF(AI36&lt;2,"",IF(OR(ISNUMBER(SEARCH("full",AN36)),UPPER(TRIM(AN36))="FT",UPPER(TRIM(AN36))="FTE"),"FT",IF(AND(OR(ISNUMBER(SEARCH("part",AN36)),UPPER(TRIM(AN36))="PT",UPPER(TRIM(AN36))="PTE"),OR($P36="",N($P36)&gt;=PT_MinHours)),"PT","None"))))</f>
        <v/>
      </c>
      <c r="AR36" s="19" t="str">
        <f aca="false">IF(AG36=0,"",IF(AI36&lt;3,"",IF(OR(ISNUMBER(SEARCH("full",AO36)),UPPER(TRIM(AO36))="FT",UPPER(TRIM(AO36))="FTE"),"FT",IF(AND(OR(ISNUMBER(SEARCH("part",AO36)),UPPER(TRIM(AO36))="PT",UPPER(TRIM(AO36))="PTE"),OR($P36="",N($P36)&gt;=PT_MinHours)),"PT","None"))))</f>
        <v/>
      </c>
      <c r="AS36" s="19" t="str">
        <f aca="false">IF(AG36=0,"",IF(AND(AI36&gt;=3,AL36&lt;=AsOfDate),AR36,IF(AND(AI36&gt;=2,AK36&lt;=AsOfDate),AQ36,AP36)))</f>
        <v>None</v>
      </c>
      <c r="AT36" s="19" t="n">
        <f aca="false">IF(AG36=0,"",IF(AsOfDate&lt;AH36,-1,12*(YEAR(AsOfDate)-YEAR(AH36))+MONTH(AsOfDate)-MONTH(AH36)-IF(DAY(AsOfDate)&lt;MIN(DAY(AH36),DAY(EOMONTH(AsOfDate,0))),1,0)))</f>
        <v>78</v>
      </c>
      <c r="AU36" s="19" t="n">
        <f aca="false">IF(AG36=0,"",IF(OR(AI36&lt;2,AK36&gt;AsOfDate),AT36,IF((AK36-1)&lt;AH36,-1,12*(YEAR((AK36-1))-YEAR(AH36))+MONTH((AK36-1))-MONTH(AH36)-IF(DAY((AK36-1))&lt;MIN(DAY(AH36),DAY(EOMONTH((AK36-1),0))),1,0))))</f>
        <v>78</v>
      </c>
      <c r="AV36" s="19" t="n">
        <f aca="false">IF(AG36=0,"",IF(OR(AI36&lt;3,AL36&gt;AsOfDate),AT36,IF((AL36-1)&lt;AH36,-1,12*(YEAR((AL36-1))-YEAR(AH36))+MONTH((AL36-1))-MONTH(AH36)-IF(DAY((AL36-1))&lt;MIN(DAY(AH36),DAY(EOMONTH((AL36-1),0))),1,0))))</f>
        <v>78</v>
      </c>
      <c r="AW36" s="19" t="n">
        <f aca="false">IF(AG36=0,"",IF(PFYDate&lt;AH36,-1,12*(YEAR(PFYDate)-YEAR(AH36))+MONTH(PFYDate)-MONTH(AH36)-IF(DAY(PFYDate)&lt;MIN(DAY(AH36),DAY(EOMONTH(PFYDate,0))),1,0)))</f>
        <v>-1</v>
      </c>
      <c r="AX36" s="19" t="n">
        <f aca="false">IF(AG36=0,"",IF(OR(AI36&lt;2,AK36&gt;PFYDate),AW36,IF((AK36-1)&lt;AH36,-1,12*(YEAR((AK36-1))-YEAR(AH36))+MONTH((AK36-1))-MONTH(AH36)-IF(DAY((AK36-1))&lt;MIN(DAY(AH36),DAY(EOMONTH((AK36-1),0))),1,0))))</f>
        <v>-1</v>
      </c>
      <c r="AY36" s="19" t="n">
        <f aca="false">IF(AG36=0,"",IF(OR(AI36&lt;3,AL36&gt;PFYDate),AW36,IF((AL36-1)&lt;AH36,-1,12*(YEAR((AL36-1))-YEAR(AH36))+MONTH((AL36-1))-MONTH(AH36)-IF(DAY((AL36-1))&lt;MIN(DAY(AH36),DAY(EOMONTH((AL36-1),0))),1,0))))</f>
        <v>-1</v>
      </c>
      <c r="AZ36" s="19" t="n">
        <f aca="false">IF(AG36=0,"",IF(AP36="FT",IF(AU36&lt;FT_First,0,IF(AU36&lt;FT_Y5,1+INT((AU36-FT_First)/FT_Int1),FT_PreY5+FT_PerYear*INT((AU36-FT_Y5)/12)+FT_AnnivDays+INT(MOD(AU36-FT_Y5,12)/FT_Int2))),IF(AP36="PT",IF(AU36&lt;PT_First,0,1+INT((AU36-PT_First)/PT_Int)),0))+IF(AND(AI36&gt;=2,AK36&lt;=AsOfDate),IF(AQ36="FT",IF(AV36&lt;FT_First,0,IF(AV36&lt;FT_Y5,1+INT((AV36-FT_First)/FT_Int1),FT_PreY5+FT_PerYear*INT((AV36-FT_Y5)/12)+FT_AnnivDays+INT(MOD(AV36-FT_Y5,12)/FT_Int2))),IF(AQ36="PT",IF(AV36&lt;PT_First,0,1+INT((AV36-PT_First)/PT_Int)),0))-IF(AQ36="FT",IF(AU36&lt;FT_First,0,IF(AU36&lt;FT_Y5,1+INT((AU36-FT_First)/FT_Int1),FT_PreY5+FT_PerYear*INT((AU36-FT_Y5)/12)+FT_AnnivDays+INT(MOD(AU36-FT_Y5,12)/FT_Int2))),IF(AQ36="PT",IF(AU36&lt;PT_First,0,1+INT((AU36-PT_First)/PT_Int)),0)),0)+IF(AND(AI36&gt;=3,AL36&lt;=AsOfDate),IF(AR36="FT",IF(AT36&lt;FT_First,0,IF(AT36&lt;FT_Y5,1+INT((AT36-FT_First)/FT_Int1),FT_PreY5+FT_PerYear*INT((AT36-FT_Y5)/12)+FT_AnnivDays+INT(MOD(AT36-FT_Y5,12)/FT_Int2))),IF(AR36="PT",IF(AT36&lt;PT_First,0,1+INT((AT36-PT_First)/PT_Int)),0))-IF(AR36="FT",IF(AV36&lt;FT_First,0,IF(AV36&lt;FT_Y5,1+INT((AV36-FT_First)/FT_Int1),FT_PreY5+FT_PerYear*INT((AV36-FT_Y5)/12)+FT_AnnivDays+INT(MOD(AV36-FT_Y5,12)/FT_Int2))),IF(AR36="PT",IF(AV36&lt;PT_First,0,1+INT((AV36-PT_First)/PT_Int)),0)),0))</f>
        <v>0</v>
      </c>
      <c r="BA36" s="19" t="n">
        <f aca="false">IF(AG36=0,"",IF(AP36="FT",IF(AX36&lt;FT_First,0,IF(AX36&lt;FT_Y5,1+INT((AX36-FT_First)/FT_Int1),FT_PreY5+FT_PerYear*INT((AX36-FT_Y5)/12)+FT_AnnivDays+INT(MOD(AX36-FT_Y5,12)/FT_Int2))),IF(AP36="PT",IF(AX36&lt;PT_First,0,1+INT((AX36-PT_First)/PT_Int)),0))+IF(AND(AI36&gt;=2,AK36&lt;=PFYDate),IF(AQ36="FT",IF(AY36&lt;FT_First,0,IF(AY36&lt;FT_Y5,1+INT((AY36-FT_First)/FT_Int1),FT_PreY5+FT_PerYear*INT((AY36-FT_Y5)/12)+FT_AnnivDays+INT(MOD(AY36-FT_Y5,12)/FT_Int2))),IF(AQ36="PT",IF(AY36&lt;PT_First,0,1+INT((AY36-PT_First)/PT_Int)),0))-IF(AQ36="FT",IF(AX36&lt;FT_First,0,IF(AX36&lt;FT_Y5,1+INT((AX36-FT_First)/FT_Int1),FT_PreY5+FT_PerYear*INT((AX36-FT_Y5)/12)+FT_AnnivDays+INT(MOD(AX36-FT_Y5,12)/FT_Int2))),IF(AQ36="PT",IF(AX36&lt;PT_First,0,1+INT((AX36-PT_First)/PT_Int)),0)),0)+IF(AND(AI36&gt;=3,AL36&lt;=PFYDate),IF(AR36="FT",IF(AW36&lt;FT_First,0,IF(AW36&lt;FT_Y5,1+INT((AW36-FT_First)/FT_Int1),FT_PreY5+FT_PerYear*INT((AW36-FT_Y5)/12)+FT_AnnivDays+INT(MOD(AW36-FT_Y5,12)/FT_Int2))),IF(AR36="PT",IF(AW36&lt;PT_First,0,1+INT((AW36-PT_First)/PT_Int)),0))-IF(AR36="FT",IF(AY36&lt;FT_First,0,IF(AY36&lt;FT_Y5,1+INT((AY36-FT_First)/FT_Int1),FT_PreY5+FT_PerYear*INT((AY36-FT_Y5)/12)+FT_AnnivDays+INT(MOD(AY36-FT_Y5,12)/FT_Int2))),IF(AR36="PT",IF(AY36&lt;PT_First,0,1+INT((AY36-PT_First)/PT_Int)),0)),0))</f>
        <v>0</v>
      </c>
      <c r="BB36" s="19" t="str">
        <f aca="false">IF(AG36=0,"",IF(AS36="FT",IF(AT36&lt;FT_First,FT_First,IF(AT36&lt;FT_Y5,MIN(FT_Y5,FT_First+FT_Int1*(INT((AT36-FT_First)/FT_Int1)+1)),FT_Y5+12*INT((AT36-FT_Y5)/12)+FT_Int2*(INT(MOD(AT36-FT_Y5,12)/FT_Int2)+1))),IF(AS36="PT",IF(AT36&lt;PT_First,PT_First,PT_First+PT_Int*(INT((AT36-PT_First)/PT_Int)+1)),"")))</f>
        <v/>
      </c>
      <c r="BC36" s="19" t="n">
        <f aca="false">IF(AG36=0,"",IF(NOT(LH_Ready),0,COUNTIFS(INDEX(LH_Data,0,LH_ColFirst),$A36,INDEX(LH_Data,0,LH_ColSur),$B36,INDEX(LH_Data,0,LH_ColCat),BonusCat)))</f>
        <v>0</v>
      </c>
      <c r="BD36" s="19" t="n">
        <f aca="false">IF(AG36=0,"",IF(OR(NOT(LH_Ready),BC36=0),0,SUMPRODUCT(MAX((INDEX(LH_Data,0,LH_ColFirst)=$A36)*(INDEX(LH_Data,0,LH_ColSur)=$B36)*(INDEX(LH_Data,0,LH_ColCat)=BonusCat)*ROW(LH_Data)))))</f>
        <v>0</v>
      </c>
      <c r="BE36" s="19" t="n">
        <f aca="false">IF(AG36=0,"",IF(EOMONTH(AsOfDate,-1)&lt;AH36,-1,12*(YEAR(EOMONTH(AsOfDate,-1))-YEAR(AH36))+MONTH(EOMONTH(AsOfDate,-1))-MONTH(AH36)-IF(DAY(EOMONTH(AsOfDate,-1))&lt;MIN(DAY(AH36),DAY(EOMONTH(EOMONTH(AsOfDate,-1),0))),1,0)))</f>
        <v>78</v>
      </c>
      <c r="BF36" s="19" t="n">
        <f aca="false">IF(AG36=0,"",IF(OR(AI36&lt;2,AK36&gt;EOMONTH(AsOfDate,-1)),BE36,IF((AK36-1)&lt;AH36,-1,12*(YEAR((AK36-1))-YEAR(AH36))+MONTH((AK36-1))-MONTH(AH36)-IF(DAY((AK36-1))&lt;MIN(DAY(AH36),DAY(EOMONTH((AK36-1),0))),1,0))))</f>
        <v>78</v>
      </c>
      <c r="BG36" s="19" t="n">
        <f aca="false">IF(AG36=0,"",IF(OR(AI36&lt;3,AL36&gt;EOMONTH(AsOfDate,-1)),BE36,IF((AL36-1)&lt;AH36,-1,12*(YEAR((AL36-1))-YEAR(AH36))+MONTH((AL36-1))-MONTH(AH36)-IF(DAY((AL36-1))&lt;MIN(DAY(AH36),DAY(EOMONTH((AL36-1),0))),1,0))))</f>
        <v>78</v>
      </c>
      <c r="BH36" s="19" t="n">
        <f aca="false">IF(AG36=0,"",IF(AP36="FT",IF(BF36&lt;FT_First,0,IF(BF36&lt;FT_Y5,1+INT((BF36-FT_First)/FT_Int1),FT_PreY5+FT_PerYear*INT((BF36-FT_Y5)/12)+FT_AnnivDays+INT(MOD(BF36-FT_Y5,12)/FT_Int2))),IF(AP36="PT",IF(BF36&lt;PT_First,0,1+INT((BF36-PT_First)/PT_Int)),0))+IF(AND(AI36&gt;=2,AK36&lt;=EOMONTH(AsOfDate,-1)),IF(AQ36="FT",IF(BG36&lt;FT_First,0,IF(BG36&lt;FT_Y5,1+INT((BG36-FT_First)/FT_Int1),FT_PreY5+FT_PerYear*INT((BG36-FT_Y5)/12)+FT_AnnivDays+INT(MOD(BG36-FT_Y5,12)/FT_Int2))),IF(AQ36="PT",IF(BG36&lt;PT_First,0,1+INT((BG36-PT_First)/PT_Int)),0))-IF(AQ36="FT",IF(BF36&lt;FT_First,0,IF(BF36&lt;FT_Y5,1+INT((BF36-FT_First)/FT_Int1),FT_PreY5+FT_PerYear*INT((BF36-FT_Y5)/12)+FT_AnnivDays+INT(MOD(BF36-FT_Y5,12)/FT_Int2))),IF(AQ36="PT",IF(BF36&lt;PT_First,0,1+INT((BF36-PT_First)/PT_Int)),0)),0)+IF(AND(AI36&gt;=3,AL36&lt;=EOMONTH(AsOfDate,-1)),IF(AR36="FT",IF(BE36&lt;FT_First,0,IF(BE36&lt;FT_Y5,1+INT((BE36-FT_First)/FT_Int1),FT_PreY5+FT_PerYear*INT((BE36-FT_Y5)/12)+FT_AnnivDays+INT(MOD(BE36-FT_Y5,12)/FT_Int2))),IF(AR36="PT",IF(BE36&lt;PT_First,0,1+INT((BE36-PT_First)/PT_Int)),0))-IF(AR36="FT",IF(BG36&lt;FT_First,0,IF(BG36&lt;FT_Y5,1+INT((BG36-FT_First)/FT_Int1),FT_PreY5+FT_PerYear*INT((BG36-FT_Y5)/12)+FT_AnnivDays+INT(MOD(BG36-FT_Y5,12)/FT_Int2))),IF(AR36="PT",IF(BG36&lt;PT_First,0,1+INT((BG36-PT_First)/PT_Int)),0)),0))</f>
        <v>0</v>
      </c>
      <c r="BI36" s="19" t="str">
        <f aca="false">IF(AG36=0,"",IF(AS36="FT",IF(AT36&lt;FT_First,"",IF(AT36&lt;FT_Y5,FT_First+FT_Int1*INT((AT36-FT_First)/FT_Int1),FT_Y5+FT_Int2*INT((AT36-FT_Y5)/FT_Int2))),IF(AS36="PT",IF(AT36&lt;PT_First,"",PT_First+PT_Int*INT((AT36-PT_First)/PT_Int)),"")))</f>
        <v/>
      </c>
      <c r="BJ36" s="0" t="str">
        <f aca="false">IF(LEN($A36&amp;$B36)=0,"",$A36&amp;" "&amp;$B36)</f>
        <v>Isabella NIKODINOVSKI</v>
      </c>
    </row>
    <row r="37" customFormat="false" ht="15" hidden="false" customHeight="false" outlineLevel="0" collapsed="false">
      <c r="A37" s="15" t="s">
        <v>203</v>
      </c>
      <c r="B37" s="15" t="s">
        <v>204</v>
      </c>
      <c r="C37" s="15" t="s">
        <v>153</v>
      </c>
      <c r="D37" s="16" t="n">
        <v>32838</v>
      </c>
      <c r="E37" s="17" t="n">
        <f aca="false">IF(OR(AG37=0,$D37=""),"",DATE(YEAR(AsOfDate)+IF(DATE(YEAR(AsOfDate),MONTH($D37),DAY($D37))&lt;=AsOfDate,1,0),MONTH($D37),DAY($D37)))</f>
        <v>46352</v>
      </c>
      <c r="F37" s="16" t="n">
        <v>46062</v>
      </c>
      <c r="G37" s="16"/>
      <c r="H37" s="16"/>
      <c r="I37" s="16" t="n">
        <v>46062</v>
      </c>
      <c r="J37" s="16"/>
      <c r="K37" s="17" t="n">
        <f aca="false">IF(AG37=0,"",DATE(YEAR(AsOfDate)+IF(DATE(YEAR(AsOfDate),MONTH(AH37),DAY(AH37))&lt;=AsOfDate,1,0),MONTH(AH37),DAY(AH37)))</f>
        <v>46427</v>
      </c>
      <c r="L37" s="18" t="n">
        <f aca="false">IF(AG37=0,"",ROUND((AsOfDate-AH37)/365.25,1))</f>
        <v>0.7</v>
      </c>
      <c r="M37" s="19" t="str">
        <f aca="false">IF(AG37=0,"",IF(AsOfDate&lt;AH37,"-",DATEDIF(AH37,AsOfDate,"y")&amp;"y "&amp;DATEDIF(AH37,AsOfDate,"ym")&amp;"m "&amp;DATEDIF(AH37,AsOfDate,"md")&amp;"d"))</f>
        <v>0y 7m 27d</v>
      </c>
      <c r="N37" s="20" t="n">
        <f aca="false">IF(AG37=0,"",O37*HoursPerDay)</f>
        <v>0</v>
      </c>
      <c r="O37" s="20" t="n">
        <f aca="false">IF(AG37=0,"",AZ37)</f>
        <v>0</v>
      </c>
      <c r="P37" s="21"/>
      <c r="Q37" s="19"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19"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17" t="n">
        <f aca="false">IF(AG37=0,"",IF(AS37="None","",EDATE(AH37,BB37)))</f>
        <v>47158</v>
      </c>
      <c r="T37" s="20" t="n">
        <f aca="false">IF(AG37=0,"",IF(NOT(LH_Ready),"",IF(AH37&gt;PFYDate,0,IF(LH_ColPeriod=0,W37-U37+V37,SUMIFS(INDEX(LH_Data,0,LH_ColAcc),INDEX(LH_Data,0,LH_ColFirst),$A37,INDEX(LH_Data,0,LH_ColSur),$B37,INDEX(LH_Data,0,LH_ColCat),BonusCat,INDEX(LH_Data,0,LH_ColPeriod),LH_OpenLabel)*UnitFactor))))</f>
        <v>0</v>
      </c>
      <c r="U37" s="20" t="n">
        <f aca="false">IF(AG37=0,"",IF(NOT(LH_Ready),"",SUMIFS(INDEX(LH_Data,0,LH_ColAcc),INDEX(LH_Data,0,LH_ColFirst),$A37,INDEX(LH_Data,0,LH_ColSur),$B37,INDEX(LH_Data,0,LH_ColCat),BonusCat,INDEX(LH_Data,0,LH_ColStart),"&gt;="&amp;AH37)*UnitFactor))</f>
        <v>0</v>
      </c>
      <c r="V37" s="20" t="n">
        <f aca="false">IF(AG37=0,"",IF(NOT(LH_Ready),"",SUMIFS(INDEX(LH_Data,0,LH_ColTaken),INDEX(LH_Data,0,LH_ColFirst),$A37,INDEX(LH_Data,0,LH_ColSur),$B37,INDEX(LH_Data,0,LH_ColCat),BonusCat,INDEX(LH_Data,0,LH_ColStart),"&gt;="&amp;AH37)*UnitFactor))</f>
        <v>0</v>
      </c>
      <c r="W37" s="20" t="n">
        <f aca="false">IF(AG37=0,"",IF(NOT(LH_Ready),"",IF(BD37=0,0,INDEX(INDEX(LH_Data,0,LH_ColClose),BD37-1)*UnitFactor)))</f>
        <v>0</v>
      </c>
      <c r="X37" s="20" t="n">
        <f aca="false">IF(AG37=0,"",(AZ37-BA37)*HoursPerDay)</f>
        <v>0</v>
      </c>
      <c r="Y37" s="20" t="n">
        <f aca="false">IF(AG37=0,"",IF(NOT(LH_Ready),"",IF(BC37=0,N37,IF(PFYDate&lt;$F37,N37-N(T37)-N(U37),X37-N(U37)))))</f>
        <v>0</v>
      </c>
      <c r="Z37" s="19" t="str">
        <f aca="false">IF(OR(AG37=0,Y37=""),"",IF(Y37&gt;0,"Yes","No"))</f>
        <v>No</v>
      </c>
      <c r="AA37" s="19"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Not yet - first day on 09/02/2029</v>
      </c>
      <c r="AB37" s="20" t="n">
        <f aca="false">IF(OR(AG37=0,T37=""),"",BA37*HoursPerDay-T37)</f>
        <v>0</v>
      </c>
      <c r="AC37" s="19" t="n">
        <f aca="false">IF(AG37=0,"",BC37)</f>
        <v>9</v>
      </c>
      <c r="AD37" s="19"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20" t="n">
        <f aca="false">IF(AG37=0,"",O37-BH37)</f>
        <v>0</v>
      </c>
      <c r="AF37" s="17" t="str">
        <f aca="false">IF(OR(AG37=0,AE37="",N(AE37)=0,BI37=""),"",EDATE(AH37,BI37))</f>
        <v/>
      </c>
      <c r="AG37" s="19" t="n">
        <f aca="false">IF(OR(LEN($A37&amp;$B37)=0,$F37=""),0,1)</f>
        <v>1</v>
      </c>
      <c r="AH37" s="17" t="n">
        <f aca="false">IF(AG37=0,"",IF($J37&lt;&gt;"",$J37,IF(OR(CasualCounts="Yes",COUNT($G37:$I37)=0,COUNT($H37:$I37)=0),$F37,MIN($H37:$I37))))</f>
        <v>46062</v>
      </c>
      <c r="AI37" s="19" t="n">
        <f aca="false">IF(AG37=0,"",COUNT($G37:$I37))</f>
        <v>1</v>
      </c>
      <c r="AJ37" s="17" t="n">
        <f aca="false">IF(AG37=0,"",IFERROR(SMALL($G37:$I37,1),""))</f>
        <v>46062</v>
      </c>
      <c r="AK37" s="17" t="str">
        <f aca="false">IF(AG37=0,"",IFERROR(SMALL($G37:$I37,2),""))</f>
        <v/>
      </c>
      <c r="AL37" s="17" t="str">
        <f aca="false">IF(AG37=0,"",IFERROR(SMALL($G37:$I37,3),""))</f>
        <v/>
      </c>
      <c r="AM37" s="19" t="str">
        <f aca="false">IF(AG37=0,"",IF(AJ37="","",IF(AJ37=$H37,"Part-Time",IF(AJ37=$I37,"Full-Time","Casual"))))</f>
        <v>Full-Time</v>
      </c>
      <c r="AN37" s="19" t="str">
        <f aca="false">IF(AG37=0,"",IF(AK37="","",IF(AK37=$H37,"Part-Time",IF(AK37=$I37,"Full-Time","Casual"))))</f>
        <v/>
      </c>
      <c r="AO37" s="19" t="str">
        <f aca="false">IF(AG37=0,"",IF(AL37="","",IF(AL37=$H37,"Part-Time",IF(AL37=$I37,"Full-Time","Casual"))))</f>
        <v/>
      </c>
      <c r="AP37" s="19"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FT</v>
      </c>
      <c r="AQ37" s="19" t="str">
        <f aca="false">IF(AG37=0,"",IF(AI37&lt;2,"",IF(OR(ISNUMBER(SEARCH("full",AN37)),UPPER(TRIM(AN37))="FT",UPPER(TRIM(AN37))="FTE"),"FT",IF(AND(OR(ISNUMBER(SEARCH("part",AN37)),UPPER(TRIM(AN37))="PT",UPPER(TRIM(AN37))="PTE"),OR($P37="",N($P37)&gt;=PT_MinHours)),"PT","None"))))</f>
        <v/>
      </c>
      <c r="AR37" s="19" t="str">
        <f aca="false">IF(AG37=0,"",IF(AI37&lt;3,"",IF(OR(ISNUMBER(SEARCH("full",AO37)),UPPER(TRIM(AO37))="FT",UPPER(TRIM(AO37))="FTE"),"FT",IF(AND(OR(ISNUMBER(SEARCH("part",AO37)),UPPER(TRIM(AO37))="PT",UPPER(TRIM(AO37))="PTE"),OR($P37="",N($P37)&gt;=PT_MinHours)),"PT","None"))))</f>
        <v/>
      </c>
      <c r="AS37" s="19" t="str">
        <f aca="false">IF(AG37=0,"",IF(AND(AI37&gt;=3,AL37&lt;=AsOfDate),AR37,IF(AND(AI37&gt;=2,AK37&lt;=AsOfDate),AQ37,AP37)))</f>
        <v>FT</v>
      </c>
      <c r="AT37" s="19" t="n">
        <f aca="false">IF(AG37=0,"",IF(AsOfDate&lt;AH37,-1,12*(YEAR(AsOfDate)-YEAR(AH37))+MONTH(AsOfDate)-MONTH(AH37)-IF(DAY(AsOfDate)&lt;MIN(DAY(AH37),DAY(EOMONTH(AsOfDate,0))),1,0)))</f>
        <v>7</v>
      </c>
      <c r="AU37" s="19" t="n">
        <f aca="false">IF(AG37=0,"",IF(OR(AI37&lt;2,AK37&gt;AsOfDate),AT37,IF((AK37-1)&lt;AH37,-1,12*(YEAR((AK37-1))-YEAR(AH37))+MONTH((AK37-1))-MONTH(AH37)-IF(DAY((AK37-1))&lt;MIN(DAY(AH37),DAY(EOMONTH((AK37-1),0))),1,0))))</f>
        <v>7</v>
      </c>
      <c r="AV37" s="19" t="n">
        <f aca="false">IF(AG37=0,"",IF(OR(AI37&lt;3,AL37&gt;AsOfDate),AT37,IF((AL37-1)&lt;AH37,-1,12*(YEAR((AL37-1))-YEAR(AH37))+MONTH((AL37-1))-MONTH(AH37)-IF(DAY((AL37-1))&lt;MIN(DAY(AH37),DAY(EOMONTH((AL37-1),0))),1,0))))</f>
        <v>7</v>
      </c>
      <c r="AW37" s="19" t="n">
        <f aca="false">IF(AG37=0,"",IF(PFYDate&lt;AH37,-1,12*(YEAR(PFYDate)-YEAR(AH37))+MONTH(PFYDate)-MONTH(AH37)-IF(DAY(PFYDate)&lt;MIN(DAY(AH37),DAY(EOMONTH(PFYDate,0))),1,0)))</f>
        <v>-1</v>
      </c>
      <c r="AX37" s="19" t="n">
        <f aca="false">IF(AG37=0,"",IF(OR(AI37&lt;2,AK37&gt;PFYDate),AW37,IF((AK37-1)&lt;AH37,-1,12*(YEAR((AK37-1))-YEAR(AH37))+MONTH((AK37-1))-MONTH(AH37)-IF(DAY((AK37-1))&lt;MIN(DAY(AH37),DAY(EOMONTH((AK37-1),0))),1,0))))</f>
        <v>-1</v>
      </c>
      <c r="AY37" s="19" t="n">
        <f aca="false">IF(AG37=0,"",IF(OR(AI37&lt;3,AL37&gt;PFYDate),AW37,IF((AL37-1)&lt;AH37,-1,12*(YEAR((AL37-1))-YEAR(AH37))+MONTH((AL37-1))-MONTH(AH37)-IF(DAY((AL37-1))&lt;MIN(DAY(AH37),DAY(EOMONTH((AL37-1),0))),1,0))))</f>
        <v>-1</v>
      </c>
      <c r="AZ37" s="19" t="n">
        <f aca="false">IF(AG37=0,"",IF(AP37="FT",IF(AU37&lt;FT_First,0,IF(AU37&lt;FT_Y5,1+INT((AU37-FT_First)/FT_Int1),FT_PreY5+FT_PerYear*INT((AU37-FT_Y5)/12)+FT_AnnivDays+INT(MOD(AU37-FT_Y5,12)/FT_Int2))),IF(AP37="PT",IF(AU37&lt;PT_First,0,1+INT((AU37-PT_First)/PT_Int)),0))+IF(AND(AI37&gt;=2,AK37&lt;=AsOfDate),IF(AQ37="FT",IF(AV37&lt;FT_First,0,IF(AV37&lt;FT_Y5,1+INT((AV37-FT_First)/FT_Int1),FT_PreY5+FT_PerYear*INT((AV37-FT_Y5)/12)+FT_AnnivDays+INT(MOD(AV37-FT_Y5,12)/FT_Int2))),IF(AQ37="PT",IF(AV37&lt;PT_First,0,1+INT((AV37-PT_First)/PT_Int)),0))-IF(AQ37="FT",IF(AU37&lt;FT_First,0,IF(AU37&lt;FT_Y5,1+INT((AU37-FT_First)/FT_Int1),FT_PreY5+FT_PerYear*INT((AU37-FT_Y5)/12)+FT_AnnivDays+INT(MOD(AU37-FT_Y5,12)/FT_Int2))),IF(AQ37="PT",IF(AU37&lt;PT_First,0,1+INT((AU37-PT_First)/PT_Int)),0)),0)+IF(AND(AI37&gt;=3,AL37&lt;=AsOfDate),IF(AR37="FT",IF(AT37&lt;FT_First,0,IF(AT37&lt;FT_Y5,1+INT((AT37-FT_First)/FT_Int1),FT_PreY5+FT_PerYear*INT((AT37-FT_Y5)/12)+FT_AnnivDays+INT(MOD(AT37-FT_Y5,12)/FT_Int2))),IF(AR37="PT",IF(AT37&lt;PT_First,0,1+INT((AT37-PT_First)/PT_Int)),0))-IF(AR37="FT",IF(AV37&lt;FT_First,0,IF(AV37&lt;FT_Y5,1+INT((AV37-FT_First)/FT_Int1),FT_PreY5+FT_PerYear*INT((AV37-FT_Y5)/12)+FT_AnnivDays+INT(MOD(AV37-FT_Y5,12)/FT_Int2))),IF(AR37="PT",IF(AV37&lt;PT_First,0,1+INT((AV37-PT_First)/PT_Int)),0)),0))</f>
        <v>0</v>
      </c>
      <c r="BA37" s="19" t="n">
        <f aca="false">IF(AG37=0,"",IF(AP37="FT",IF(AX37&lt;FT_First,0,IF(AX37&lt;FT_Y5,1+INT((AX37-FT_First)/FT_Int1),FT_PreY5+FT_PerYear*INT((AX37-FT_Y5)/12)+FT_AnnivDays+INT(MOD(AX37-FT_Y5,12)/FT_Int2))),IF(AP37="PT",IF(AX37&lt;PT_First,0,1+INT((AX37-PT_First)/PT_Int)),0))+IF(AND(AI37&gt;=2,AK37&lt;=PFYDate),IF(AQ37="FT",IF(AY37&lt;FT_First,0,IF(AY37&lt;FT_Y5,1+INT((AY37-FT_First)/FT_Int1),FT_PreY5+FT_PerYear*INT((AY37-FT_Y5)/12)+FT_AnnivDays+INT(MOD(AY37-FT_Y5,12)/FT_Int2))),IF(AQ37="PT",IF(AY37&lt;PT_First,0,1+INT((AY37-PT_First)/PT_Int)),0))-IF(AQ37="FT",IF(AX37&lt;FT_First,0,IF(AX37&lt;FT_Y5,1+INT((AX37-FT_First)/FT_Int1),FT_PreY5+FT_PerYear*INT((AX37-FT_Y5)/12)+FT_AnnivDays+INT(MOD(AX37-FT_Y5,12)/FT_Int2))),IF(AQ37="PT",IF(AX37&lt;PT_First,0,1+INT((AX37-PT_First)/PT_Int)),0)),0)+IF(AND(AI37&gt;=3,AL37&lt;=PFYDate),IF(AR37="FT",IF(AW37&lt;FT_First,0,IF(AW37&lt;FT_Y5,1+INT((AW37-FT_First)/FT_Int1),FT_PreY5+FT_PerYear*INT((AW37-FT_Y5)/12)+FT_AnnivDays+INT(MOD(AW37-FT_Y5,12)/FT_Int2))),IF(AR37="PT",IF(AW37&lt;PT_First,0,1+INT((AW37-PT_First)/PT_Int)),0))-IF(AR37="FT",IF(AY37&lt;FT_First,0,IF(AY37&lt;FT_Y5,1+INT((AY37-FT_First)/FT_Int1),FT_PreY5+FT_PerYear*INT((AY37-FT_Y5)/12)+FT_AnnivDays+INT(MOD(AY37-FT_Y5,12)/FT_Int2))),IF(AR37="PT",IF(AY37&lt;PT_First,0,1+INT((AY37-PT_First)/PT_Int)),0)),0))</f>
        <v>0</v>
      </c>
      <c r="BB37" s="19" t="n">
        <f aca="false">IF(AG37=0,"",IF(AS37="FT",IF(AT37&lt;FT_First,FT_First,IF(AT37&lt;FT_Y5,MIN(FT_Y5,FT_First+FT_Int1*(INT((AT37-FT_First)/FT_Int1)+1)),FT_Y5+12*INT((AT37-FT_Y5)/12)+FT_Int2*(INT(MOD(AT37-FT_Y5,12)/FT_Int2)+1))),IF(AS37="PT",IF(AT37&lt;PT_First,PT_First,PT_First+PT_Int*(INT((AT37-PT_First)/PT_Int)+1)),"")))</f>
        <v>36</v>
      </c>
      <c r="BC37" s="19" t="n">
        <f aca="false">IF(AG37=0,"",IF(NOT(LH_Ready),0,COUNTIFS(INDEX(LH_Data,0,LH_ColFirst),$A37,INDEX(LH_Data,0,LH_ColSur),$B37,INDEX(LH_Data,0,LH_ColCat),BonusCat)))</f>
        <v>9</v>
      </c>
      <c r="BD37" s="19" t="n">
        <f aca="false">IF(AG37=0,"",IF(OR(NOT(LH_Ready),BC37=0),0,SUMPRODUCT(MAX((INDEX(LH_Data,0,LH_ColFirst)=$A37)*(INDEX(LH_Data,0,LH_ColSur)=$B37)*(INDEX(LH_Data,0,LH_ColCat)=BonusCat)*ROW(LH_Data)))))</f>
        <v>145</v>
      </c>
      <c r="BE37" s="19" t="n">
        <f aca="false">IF(AG37=0,"",IF(EOMONTH(AsOfDate,-1)&lt;AH37,-1,12*(YEAR(EOMONTH(AsOfDate,-1))-YEAR(AH37))+MONTH(EOMONTH(AsOfDate,-1))-MONTH(AH37)-IF(DAY(EOMONTH(AsOfDate,-1))&lt;MIN(DAY(AH37),DAY(EOMONTH(EOMONTH(AsOfDate,-1),0))),1,0)))</f>
        <v>7</v>
      </c>
      <c r="BF37" s="19" t="n">
        <f aca="false">IF(AG37=0,"",IF(OR(AI37&lt;2,AK37&gt;EOMONTH(AsOfDate,-1)),BE37,IF((AK37-1)&lt;AH37,-1,12*(YEAR((AK37-1))-YEAR(AH37))+MONTH((AK37-1))-MONTH(AH37)-IF(DAY((AK37-1))&lt;MIN(DAY(AH37),DAY(EOMONTH((AK37-1),0))),1,0))))</f>
        <v>7</v>
      </c>
      <c r="BG37" s="19" t="n">
        <f aca="false">IF(AG37=0,"",IF(OR(AI37&lt;3,AL37&gt;EOMONTH(AsOfDate,-1)),BE37,IF((AL37-1)&lt;AH37,-1,12*(YEAR((AL37-1))-YEAR(AH37))+MONTH((AL37-1))-MONTH(AH37)-IF(DAY((AL37-1))&lt;MIN(DAY(AH37),DAY(EOMONTH((AL37-1),0))),1,0))))</f>
        <v>7</v>
      </c>
      <c r="BH37" s="19" t="n">
        <f aca="false">IF(AG37=0,"",IF(AP37="FT",IF(BF37&lt;FT_First,0,IF(BF37&lt;FT_Y5,1+INT((BF37-FT_First)/FT_Int1),FT_PreY5+FT_PerYear*INT((BF37-FT_Y5)/12)+FT_AnnivDays+INT(MOD(BF37-FT_Y5,12)/FT_Int2))),IF(AP37="PT",IF(BF37&lt;PT_First,0,1+INT((BF37-PT_First)/PT_Int)),0))+IF(AND(AI37&gt;=2,AK37&lt;=EOMONTH(AsOfDate,-1)),IF(AQ37="FT",IF(BG37&lt;FT_First,0,IF(BG37&lt;FT_Y5,1+INT((BG37-FT_First)/FT_Int1),FT_PreY5+FT_PerYear*INT((BG37-FT_Y5)/12)+FT_AnnivDays+INT(MOD(BG37-FT_Y5,12)/FT_Int2))),IF(AQ37="PT",IF(BG37&lt;PT_First,0,1+INT((BG37-PT_First)/PT_Int)),0))-IF(AQ37="FT",IF(BF37&lt;FT_First,0,IF(BF37&lt;FT_Y5,1+INT((BF37-FT_First)/FT_Int1),FT_PreY5+FT_PerYear*INT((BF37-FT_Y5)/12)+FT_AnnivDays+INT(MOD(BF37-FT_Y5,12)/FT_Int2))),IF(AQ37="PT",IF(BF37&lt;PT_First,0,1+INT((BF37-PT_First)/PT_Int)),0)),0)+IF(AND(AI37&gt;=3,AL37&lt;=EOMONTH(AsOfDate,-1)),IF(AR37="FT",IF(BE37&lt;FT_First,0,IF(BE37&lt;FT_Y5,1+INT((BE37-FT_First)/FT_Int1),FT_PreY5+FT_PerYear*INT((BE37-FT_Y5)/12)+FT_AnnivDays+INT(MOD(BE37-FT_Y5,12)/FT_Int2))),IF(AR37="PT",IF(BE37&lt;PT_First,0,1+INT((BE37-PT_First)/PT_Int)),0))-IF(AR37="FT",IF(BG37&lt;FT_First,0,IF(BG37&lt;FT_Y5,1+INT((BG37-FT_First)/FT_Int1),FT_PreY5+FT_PerYear*INT((BG37-FT_Y5)/12)+FT_AnnivDays+INT(MOD(BG37-FT_Y5,12)/FT_Int2))),IF(AR37="PT",IF(BG37&lt;PT_First,0,1+INT((BG37-PT_First)/PT_Int)),0)),0))</f>
        <v>0</v>
      </c>
      <c r="BI37" s="19" t="str">
        <f aca="false">IF(AG37=0,"",IF(AS37="FT",IF(AT37&lt;FT_First,"",IF(AT37&lt;FT_Y5,FT_First+FT_Int1*INT((AT37-FT_First)/FT_Int1),FT_Y5+FT_Int2*INT((AT37-FT_Y5)/FT_Int2))),IF(AS37="PT",IF(AT37&lt;PT_First,"",PT_First+PT_Int*INT((AT37-PT_First)/PT_Int)),"")))</f>
        <v/>
      </c>
      <c r="BJ37" s="0" t="str">
        <f aca="false">IF(LEN($A37&amp;$B37)=0,"",$A37&amp;" "&amp;$B37)</f>
        <v>Jaazaniah SALANOA</v>
      </c>
    </row>
    <row r="38" customFormat="false" ht="15" hidden="false" customHeight="false" outlineLevel="0" collapsed="false">
      <c r="A38" s="15" t="s">
        <v>205</v>
      </c>
      <c r="B38" s="15" t="s">
        <v>206</v>
      </c>
      <c r="C38" s="15" t="s">
        <v>138</v>
      </c>
      <c r="D38" s="16" t="n">
        <v>35193</v>
      </c>
      <c r="E38" s="17" t="n">
        <f aca="false">IF(OR(AG38=0,$D38=""),"",DATE(YEAR(AsOfDate)+IF(DATE(YEAR(AsOfDate),MONTH($D38),DAY($D38))&lt;=AsOfDate,1,0),MONTH($D38),DAY($D38)))</f>
        <v>46515</v>
      </c>
      <c r="F38" s="16" t="n">
        <v>45222</v>
      </c>
      <c r="G38" s="16"/>
      <c r="H38" s="16"/>
      <c r="I38" s="16"/>
      <c r="J38" s="16"/>
      <c r="K38" s="17" t="n">
        <f aca="false">IF(AG38=0,"",DATE(YEAR(AsOfDate)+IF(DATE(YEAR(AsOfDate),MONTH(AH38),DAY(AH38))&lt;=AsOfDate,1,0),MONTH(AH38),DAY(AH38)))</f>
        <v>46318</v>
      </c>
      <c r="L38" s="18" t="n">
        <f aca="false">IF(AG38=0,"",ROUND((AsOfDate-AH38)/365.25,1))</f>
        <v>3</v>
      </c>
      <c r="M38" s="19" t="str">
        <f aca="false">IF(AG38=0,"",IF(AsOfDate&lt;AH38,"-",DATEDIF(AH38,AsOfDate,"y")&amp;"y "&amp;DATEDIF(AH38,AsOfDate,"ym")&amp;"m "&amp;DATEDIF(AH38,AsOfDate,"md")&amp;"d"))</f>
        <v>2y 11m 13d</v>
      </c>
      <c r="N38" s="20" t="n">
        <f aca="false">IF(AG38=0,"",O38*HoursPerDay)</f>
        <v>0</v>
      </c>
      <c r="O38" s="20" t="n">
        <f aca="false">IF(AG38=0,"",AZ38)</f>
        <v>0</v>
      </c>
      <c r="P38" s="21"/>
      <c r="Q38" s="19"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19"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17" t="str">
        <f aca="false">IF(AG38=0,"",IF(AS38="None","",EDATE(AH38,BB38)))</f>
        <v/>
      </c>
      <c r="T38" s="20" t="n">
        <f aca="false">IF(AG38=0,"",IF(NOT(LH_Ready),"",IF(AH38&gt;PFYDate,0,IF(LH_ColPeriod=0,W38-U38+V38,SUMIFS(INDEX(LH_Data,0,LH_ColAcc),INDEX(LH_Data,0,LH_ColFirst),$A38,INDEX(LH_Data,0,LH_ColSur),$B38,INDEX(LH_Data,0,LH_ColCat),BonusCat,INDEX(LH_Data,0,LH_ColPeriod),LH_OpenLabel)*UnitFactor))))</f>
        <v>0</v>
      </c>
      <c r="U38" s="20" t="n">
        <f aca="false">IF(AG38=0,"",IF(NOT(LH_Ready),"",SUMIFS(INDEX(LH_Data,0,LH_ColAcc),INDEX(LH_Data,0,LH_ColFirst),$A38,INDEX(LH_Data,0,LH_ColSur),$B38,INDEX(LH_Data,0,LH_ColCat),BonusCat,INDEX(LH_Data,0,LH_ColStart),"&gt;="&amp;AH38)*UnitFactor))</f>
        <v>0</v>
      </c>
      <c r="V38" s="20" t="n">
        <f aca="false">IF(AG38=0,"",IF(NOT(LH_Ready),"",SUMIFS(INDEX(LH_Data,0,LH_ColTaken),INDEX(LH_Data,0,LH_ColFirst),$A38,INDEX(LH_Data,0,LH_ColSur),$B38,INDEX(LH_Data,0,LH_ColCat),BonusCat,INDEX(LH_Data,0,LH_ColStart),"&gt;="&amp;AH38)*UnitFactor))</f>
        <v>0</v>
      </c>
      <c r="W38" s="20" t="n">
        <f aca="false">IF(AG38=0,"",IF(NOT(LH_Ready),"",IF(BD38=0,0,INDEX(INDEX(LH_Data,0,LH_ColClose),BD38-1)*UnitFactor)))</f>
        <v>0</v>
      </c>
      <c r="X38" s="20" t="n">
        <f aca="false">IF(AG38=0,"",(AZ38-BA38)*HoursPerDay)</f>
        <v>0</v>
      </c>
      <c r="Y38" s="20" t="n">
        <f aca="false">IF(AG38=0,"",IF(NOT(LH_Ready),"",IF(BC38=0,N38,IF(PFYDate&lt;$F38,N38-N(T38)-N(U38),X38-N(U38)))))</f>
        <v>0</v>
      </c>
      <c r="Z38" s="19" t="str">
        <f aca="false">IF(OR(AG38=0,Y38=""),"",IF(Y38&gt;0,"Yes","No"))</f>
        <v>No</v>
      </c>
      <c r="AA38" s="19"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Not eligible - Casual</v>
      </c>
      <c r="AB38" s="20" t="n">
        <f aca="false">IF(OR(AG38=0,T38=""),"",BA38*HoursPerDay-T38)</f>
        <v>0</v>
      </c>
      <c r="AC38" s="19" t="n">
        <f aca="false">IF(AG38=0,"",BC38)</f>
        <v>0</v>
      </c>
      <c r="AD38" s="19"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20" t="n">
        <f aca="false">IF(AG38=0,"",O38-BH38)</f>
        <v>0</v>
      </c>
      <c r="AF38" s="17" t="str">
        <f aca="false">IF(OR(AG38=0,AE38="",N(AE38)=0,BI38=""),"",EDATE(AH38,BI38))</f>
        <v/>
      </c>
      <c r="AG38" s="19" t="n">
        <f aca="false">IF(OR(LEN($A38&amp;$B38)=0,$F38=""),0,1)</f>
        <v>1</v>
      </c>
      <c r="AH38" s="17" t="n">
        <f aca="false">IF(AG38=0,"",IF($J38&lt;&gt;"",$J38,IF(OR(CasualCounts="Yes",COUNT($G38:$I38)=0,COUNT($H38:$I38)=0),$F38,MIN($H38:$I38))))</f>
        <v>45222</v>
      </c>
      <c r="AI38" s="19" t="n">
        <f aca="false">IF(AG38=0,"",COUNT($G38:$I38))</f>
        <v>0</v>
      </c>
      <c r="AJ38" s="17" t="str">
        <f aca="false">IF(AG38=0,"",IFERROR(SMALL($G38:$I38,1),""))</f>
        <v/>
      </c>
      <c r="AK38" s="17" t="str">
        <f aca="false">IF(AG38=0,"",IFERROR(SMALL($G38:$I38,2),""))</f>
        <v/>
      </c>
      <c r="AL38" s="17" t="str">
        <f aca="false">IF(AG38=0,"",IFERROR(SMALL($G38:$I38,3),""))</f>
        <v/>
      </c>
      <c r="AM38" s="19" t="str">
        <f aca="false">IF(AG38=0,"",IF(AJ38="","",IF(AJ38=$H38,"Part-Time",IF(AJ38=$I38,"Full-Time","Casual"))))</f>
        <v/>
      </c>
      <c r="AN38" s="19" t="str">
        <f aca="false">IF(AG38=0,"",IF(AK38="","",IF(AK38=$H38,"Part-Time",IF(AK38=$I38,"Full-Time","Casual"))))</f>
        <v/>
      </c>
      <c r="AO38" s="19" t="str">
        <f aca="false">IF(AG38=0,"",IF(AL38="","",IF(AL38=$H38,"Part-Time",IF(AL38=$I38,"Full-Time","Casual"))))</f>
        <v/>
      </c>
      <c r="AP38" s="19"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None</v>
      </c>
      <c r="AQ38" s="19" t="str">
        <f aca="false">IF(AG38=0,"",IF(AI38&lt;2,"",IF(OR(ISNUMBER(SEARCH("full",AN38)),UPPER(TRIM(AN38))="FT",UPPER(TRIM(AN38))="FTE"),"FT",IF(AND(OR(ISNUMBER(SEARCH("part",AN38)),UPPER(TRIM(AN38))="PT",UPPER(TRIM(AN38))="PTE"),OR($P38="",N($P38)&gt;=PT_MinHours)),"PT","None"))))</f>
        <v/>
      </c>
      <c r="AR38" s="19" t="str">
        <f aca="false">IF(AG38=0,"",IF(AI38&lt;3,"",IF(OR(ISNUMBER(SEARCH("full",AO38)),UPPER(TRIM(AO38))="FT",UPPER(TRIM(AO38))="FTE"),"FT",IF(AND(OR(ISNUMBER(SEARCH("part",AO38)),UPPER(TRIM(AO38))="PT",UPPER(TRIM(AO38))="PTE"),OR($P38="",N($P38)&gt;=PT_MinHours)),"PT","None"))))</f>
        <v/>
      </c>
      <c r="AS38" s="19" t="str">
        <f aca="false">IF(AG38=0,"",IF(AND(AI38&gt;=3,AL38&lt;=AsOfDate),AR38,IF(AND(AI38&gt;=2,AK38&lt;=AsOfDate),AQ38,AP38)))</f>
        <v>None</v>
      </c>
      <c r="AT38" s="19" t="n">
        <f aca="false">IF(AG38=0,"",IF(AsOfDate&lt;AH38,-1,12*(YEAR(AsOfDate)-YEAR(AH38))+MONTH(AsOfDate)-MONTH(AH38)-IF(DAY(AsOfDate)&lt;MIN(DAY(AH38),DAY(EOMONTH(AsOfDate,0))),1,0)))</f>
        <v>35</v>
      </c>
      <c r="AU38" s="19" t="n">
        <f aca="false">IF(AG38=0,"",IF(OR(AI38&lt;2,AK38&gt;AsOfDate),AT38,IF((AK38-1)&lt;AH38,-1,12*(YEAR((AK38-1))-YEAR(AH38))+MONTH((AK38-1))-MONTH(AH38)-IF(DAY((AK38-1))&lt;MIN(DAY(AH38),DAY(EOMONTH((AK38-1),0))),1,0))))</f>
        <v>35</v>
      </c>
      <c r="AV38" s="19" t="n">
        <f aca="false">IF(AG38=0,"",IF(OR(AI38&lt;3,AL38&gt;AsOfDate),AT38,IF((AL38-1)&lt;AH38,-1,12*(YEAR((AL38-1))-YEAR(AH38))+MONTH((AL38-1))-MONTH(AH38)-IF(DAY((AL38-1))&lt;MIN(DAY(AH38),DAY(EOMONTH((AL38-1),0))),1,0))))</f>
        <v>35</v>
      </c>
      <c r="AW38" s="19" t="n">
        <f aca="false">IF(AG38=0,"",IF(PFYDate&lt;AH38,-1,12*(YEAR(PFYDate)-YEAR(AH38))+MONTH(PFYDate)-MONTH(AH38)-IF(DAY(PFYDate)&lt;MIN(DAY(AH38),DAY(EOMONTH(PFYDate,0))),1,0)))</f>
        <v>-1</v>
      </c>
      <c r="AX38" s="19" t="n">
        <f aca="false">IF(AG38=0,"",IF(OR(AI38&lt;2,AK38&gt;PFYDate),AW38,IF((AK38-1)&lt;AH38,-1,12*(YEAR((AK38-1))-YEAR(AH38))+MONTH((AK38-1))-MONTH(AH38)-IF(DAY((AK38-1))&lt;MIN(DAY(AH38),DAY(EOMONTH((AK38-1),0))),1,0))))</f>
        <v>-1</v>
      </c>
      <c r="AY38" s="19" t="n">
        <f aca="false">IF(AG38=0,"",IF(OR(AI38&lt;3,AL38&gt;PFYDate),AW38,IF((AL38-1)&lt;AH38,-1,12*(YEAR((AL38-1))-YEAR(AH38))+MONTH((AL38-1))-MONTH(AH38)-IF(DAY((AL38-1))&lt;MIN(DAY(AH38),DAY(EOMONTH((AL38-1),0))),1,0))))</f>
        <v>-1</v>
      </c>
      <c r="AZ38" s="19" t="n">
        <f aca="false">IF(AG38=0,"",IF(AP38="FT",IF(AU38&lt;FT_First,0,IF(AU38&lt;FT_Y5,1+INT((AU38-FT_First)/FT_Int1),FT_PreY5+FT_PerYear*INT((AU38-FT_Y5)/12)+FT_AnnivDays+INT(MOD(AU38-FT_Y5,12)/FT_Int2))),IF(AP38="PT",IF(AU38&lt;PT_First,0,1+INT((AU38-PT_First)/PT_Int)),0))+IF(AND(AI38&gt;=2,AK38&lt;=AsOfDate),IF(AQ38="FT",IF(AV38&lt;FT_First,0,IF(AV38&lt;FT_Y5,1+INT((AV38-FT_First)/FT_Int1),FT_PreY5+FT_PerYear*INT((AV38-FT_Y5)/12)+FT_AnnivDays+INT(MOD(AV38-FT_Y5,12)/FT_Int2))),IF(AQ38="PT",IF(AV38&lt;PT_First,0,1+INT((AV38-PT_First)/PT_Int)),0))-IF(AQ38="FT",IF(AU38&lt;FT_First,0,IF(AU38&lt;FT_Y5,1+INT((AU38-FT_First)/FT_Int1),FT_PreY5+FT_PerYear*INT((AU38-FT_Y5)/12)+FT_AnnivDays+INT(MOD(AU38-FT_Y5,12)/FT_Int2))),IF(AQ38="PT",IF(AU38&lt;PT_First,0,1+INT((AU38-PT_First)/PT_Int)),0)),0)+IF(AND(AI38&gt;=3,AL38&lt;=AsOfDate),IF(AR38="FT",IF(AT38&lt;FT_First,0,IF(AT38&lt;FT_Y5,1+INT((AT38-FT_First)/FT_Int1),FT_PreY5+FT_PerYear*INT((AT38-FT_Y5)/12)+FT_AnnivDays+INT(MOD(AT38-FT_Y5,12)/FT_Int2))),IF(AR38="PT",IF(AT38&lt;PT_First,0,1+INT((AT38-PT_First)/PT_Int)),0))-IF(AR38="FT",IF(AV38&lt;FT_First,0,IF(AV38&lt;FT_Y5,1+INT((AV38-FT_First)/FT_Int1),FT_PreY5+FT_PerYear*INT((AV38-FT_Y5)/12)+FT_AnnivDays+INT(MOD(AV38-FT_Y5,12)/FT_Int2))),IF(AR38="PT",IF(AV38&lt;PT_First,0,1+INT((AV38-PT_First)/PT_Int)),0)),0))</f>
        <v>0</v>
      </c>
      <c r="BA38" s="19" t="n">
        <f aca="false">IF(AG38=0,"",IF(AP38="FT",IF(AX38&lt;FT_First,0,IF(AX38&lt;FT_Y5,1+INT((AX38-FT_First)/FT_Int1),FT_PreY5+FT_PerYear*INT((AX38-FT_Y5)/12)+FT_AnnivDays+INT(MOD(AX38-FT_Y5,12)/FT_Int2))),IF(AP38="PT",IF(AX38&lt;PT_First,0,1+INT((AX38-PT_First)/PT_Int)),0))+IF(AND(AI38&gt;=2,AK38&lt;=PFYDate),IF(AQ38="FT",IF(AY38&lt;FT_First,0,IF(AY38&lt;FT_Y5,1+INT((AY38-FT_First)/FT_Int1),FT_PreY5+FT_PerYear*INT((AY38-FT_Y5)/12)+FT_AnnivDays+INT(MOD(AY38-FT_Y5,12)/FT_Int2))),IF(AQ38="PT",IF(AY38&lt;PT_First,0,1+INT((AY38-PT_First)/PT_Int)),0))-IF(AQ38="FT",IF(AX38&lt;FT_First,0,IF(AX38&lt;FT_Y5,1+INT((AX38-FT_First)/FT_Int1),FT_PreY5+FT_PerYear*INT((AX38-FT_Y5)/12)+FT_AnnivDays+INT(MOD(AX38-FT_Y5,12)/FT_Int2))),IF(AQ38="PT",IF(AX38&lt;PT_First,0,1+INT((AX38-PT_First)/PT_Int)),0)),0)+IF(AND(AI38&gt;=3,AL38&lt;=PFYDate),IF(AR38="FT",IF(AW38&lt;FT_First,0,IF(AW38&lt;FT_Y5,1+INT((AW38-FT_First)/FT_Int1),FT_PreY5+FT_PerYear*INT((AW38-FT_Y5)/12)+FT_AnnivDays+INT(MOD(AW38-FT_Y5,12)/FT_Int2))),IF(AR38="PT",IF(AW38&lt;PT_First,0,1+INT((AW38-PT_First)/PT_Int)),0))-IF(AR38="FT",IF(AY38&lt;FT_First,0,IF(AY38&lt;FT_Y5,1+INT((AY38-FT_First)/FT_Int1),FT_PreY5+FT_PerYear*INT((AY38-FT_Y5)/12)+FT_AnnivDays+INT(MOD(AY38-FT_Y5,12)/FT_Int2))),IF(AR38="PT",IF(AY38&lt;PT_First,0,1+INT((AY38-PT_First)/PT_Int)),0)),0))</f>
        <v>0</v>
      </c>
      <c r="BB38" s="19" t="str">
        <f aca="false">IF(AG38=0,"",IF(AS38="FT",IF(AT38&lt;FT_First,FT_First,IF(AT38&lt;FT_Y5,MIN(FT_Y5,FT_First+FT_Int1*(INT((AT38-FT_First)/FT_Int1)+1)),FT_Y5+12*INT((AT38-FT_Y5)/12)+FT_Int2*(INT(MOD(AT38-FT_Y5,12)/FT_Int2)+1))),IF(AS38="PT",IF(AT38&lt;PT_First,PT_First,PT_First+PT_Int*(INT((AT38-PT_First)/PT_Int)+1)),"")))</f>
        <v/>
      </c>
      <c r="BC38" s="19" t="n">
        <f aca="false">IF(AG38=0,"",IF(NOT(LH_Ready),0,COUNTIFS(INDEX(LH_Data,0,LH_ColFirst),$A38,INDEX(LH_Data,0,LH_ColSur),$B38,INDEX(LH_Data,0,LH_ColCat),BonusCat)))</f>
        <v>0</v>
      </c>
      <c r="BD38" s="19" t="n">
        <f aca="false">IF(AG38=0,"",IF(OR(NOT(LH_Ready),BC38=0),0,SUMPRODUCT(MAX((INDEX(LH_Data,0,LH_ColFirst)=$A38)*(INDEX(LH_Data,0,LH_ColSur)=$B38)*(INDEX(LH_Data,0,LH_ColCat)=BonusCat)*ROW(LH_Data)))))</f>
        <v>0</v>
      </c>
      <c r="BE38" s="19" t="n">
        <f aca="false">IF(AG38=0,"",IF(EOMONTH(AsOfDate,-1)&lt;AH38,-1,12*(YEAR(EOMONTH(AsOfDate,-1))-YEAR(AH38))+MONTH(EOMONTH(AsOfDate,-1))-MONTH(AH38)-IF(DAY(EOMONTH(AsOfDate,-1))&lt;MIN(DAY(AH38),DAY(EOMONTH(EOMONTH(AsOfDate,-1),0))),1,0)))</f>
        <v>35</v>
      </c>
      <c r="BF38" s="19" t="n">
        <f aca="false">IF(AG38=0,"",IF(OR(AI38&lt;2,AK38&gt;EOMONTH(AsOfDate,-1)),BE38,IF((AK38-1)&lt;AH38,-1,12*(YEAR((AK38-1))-YEAR(AH38))+MONTH((AK38-1))-MONTH(AH38)-IF(DAY((AK38-1))&lt;MIN(DAY(AH38),DAY(EOMONTH((AK38-1),0))),1,0))))</f>
        <v>35</v>
      </c>
      <c r="BG38" s="19" t="n">
        <f aca="false">IF(AG38=0,"",IF(OR(AI38&lt;3,AL38&gt;EOMONTH(AsOfDate,-1)),BE38,IF((AL38-1)&lt;AH38,-1,12*(YEAR((AL38-1))-YEAR(AH38))+MONTH((AL38-1))-MONTH(AH38)-IF(DAY((AL38-1))&lt;MIN(DAY(AH38),DAY(EOMONTH((AL38-1),0))),1,0))))</f>
        <v>35</v>
      </c>
      <c r="BH38" s="19" t="n">
        <f aca="false">IF(AG38=0,"",IF(AP38="FT",IF(BF38&lt;FT_First,0,IF(BF38&lt;FT_Y5,1+INT((BF38-FT_First)/FT_Int1),FT_PreY5+FT_PerYear*INT((BF38-FT_Y5)/12)+FT_AnnivDays+INT(MOD(BF38-FT_Y5,12)/FT_Int2))),IF(AP38="PT",IF(BF38&lt;PT_First,0,1+INT((BF38-PT_First)/PT_Int)),0))+IF(AND(AI38&gt;=2,AK38&lt;=EOMONTH(AsOfDate,-1)),IF(AQ38="FT",IF(BG38&lt;FT_First,0,IF(BG38&lt;FT_Y5,1+INT((BG38-FT_First)/FT_Int1),FT_PreY5+FT_PerYear*INT((BG38-FT_Y5)/12)+FT_AnnivDays+INT(MOD(BG38-FT_Y5,12)/FT_Int2))),IF(AQ38="PT",IF(BG38&lt;PT_First,0,1+INT((BG38-PT_First)/PT_Int)),0))-IF(AQ38="FT",IF(BF38&lt;FT_First,0,IF(BF38&lt;FT_Y5,1+INT((BF38-FT_First)/FT_Int1),FT_PreY5+FT_PerYear*INT((BF38-FT_Y5)/12)+FT_AnnivDays+INT(MOD(BF38-FT_Y5,12)/FT_Int2))),IF(AQ38="PT",IF(BF38&lt;PT_First,0,1+INT((BF38-PT_First)/PT_Int)),0)),0)+IF(AND(AI38&gt;=3,AL38&lt;=EOMONTH(AsOfDate,-1)),IF(AR38="FT",IF(BE38&lt;FT_First,0,IF(BE38&lt;FT_Y5,1+INT((BE38-FT_First)/FT_Int1),FT_PreY5+FT_PerYear*INT((BE38-FT_Y5)/12)+FT_AnnivDays+INT(MOD(BE38-FT_Y5,12)/FT_Int2))),IF(AR38="PT",IF(BE38&lt;PT_First,0,1+INT((BE38-PT_First)/PT_Int)),0))-IF(AR38="FT",IF(BG38&lt;FT_First,0,IF(BG38&lt;FT_Y5,1+INT((BG38-FT_First)/FT_Int1),FT_PreY5+FT_PerYear*INT((BG38-FT_Y5)/12)+FT_AnnivDays+INT(MOD(BG38-FT_Y5,12)/FT_Int2))),IF(AR38="PT",IF(BG38&lt;PT_First,0,1+INT((BG38-PT_First)/PT_Int)),0)),0))</f>
        <v>0</v>
      </c>
      <c r="BI38" s="19" t="str">
        <f aca="false">IF(AG38=0,"",IF(AS38="FT",IF(AT38&lt;FT_First,"",IF(AT38&lt;FT_Y5,FT_First+FT_Int1*INT((AT38-FT_First)/FT_Int1),FT_Y5+FT_Int2*INT((AT38-FT_Y5)/FT_Int2))),IF(AS38="PT",IF(AT38&lt;PT_First,"",PT_First+PT_Int*INT((AT38-PT_First)/PT_Int)),"")))</f>
        <v/>
      </c>
      <c r="BJ38" s="0" t="str">
        <f aca="false">IF(LEN($A38&amp;$B38)=0,"",$A38&amp;" "&amp;$B38)</f>
        <v>Jack Sankey</v>
      </c>
    </row>
    <row r="39" customFormat="false" ht="15" hidden="false" customHeight="false" outlineLevel="0" collapsed="false">
      <c r="A39" s="15" t="s">
        <v>207</v>
      </c>
      <c r="B39" s="15" t="s">
        <v>208</v>
      </c>
      <c r="C39" s="15" t="s">
        <v>138</v>
      </c>
      <c r="D39" s="16" t="n">
        <v>33572</v>
      </c>
      <c r="E39" s="17" t="n">
        <f aca="false">IF(OR(AG39=0,$D39=""),"",DATE(YEAR(AsOfDate)+IF(DATE(YEAR(AsOfDate),MONTH($D39),DAY($D39))&lt;=AsOfDate,1,0),MONTH($D39),DAY($D39)))</f>
        <v>46356</v>
      </c>
      <c r="F39" s="16" t="n">
        <v>46146</v>
      </c>
      <c r="G39" s="16"/>
      <c r="H39" s="16"/>
      <c r="I39" s="16"/>
      <c r="J39" s="16"/>
      <c r="K39" s="17" t="n">
        <f aca="false">IF(AG39=0,"",DATE(YEAR(AsOfDate)+IF(DATE(YEAR(AsOfDate),MONTH(AH39),DAY(AH39))&lt;=AsOfDate,1,0),MONTH(AH39),DAY(AH39)))</f>
        <v>46511</v>
      </c>
      <c r="L39" s="18" t="n">
        <f aca="false">IF(AG39=0,"",ROUND((AsOfDate-AH39)/365.25,1))</f>
        <v>0.4</v>
      </c>
      <c r="M39" s="19" t="str">
        <f aca="false">IF(AG39=0,"",IF(AsOfDate&lt;AH39,"-",DATEDIF(AH39,AsOfDate,"y")&amp;"y "&amp;DATEDIF(AH39,AsOfDate,"ym")&amp;"m "&amp;DATEDIF(AH39,AsOfDate,"md")&amp;"d"))</f>
        <v>0y 5m 2d</v>
      </c>
      <c r="N39" s="20" t="n">
        <f aca="false">IF(AG39=0,"",O39*HoursPerDay)</f>
        <v>0</v>
      </c>
      <c r="O39" s="20" t="n">
        <f aca="false">IF(AG39=0,"",AZ39)</f>
        <v>0</v>
      </c>
      <c r="P39" s="21"/>
      <c r="Q39" s="19"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19"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17" t="str">
        <f aca="false">IF(AG39=0,"",IF(AS39="None","",EDATE(AH39,BB39)))</f>
        <v/>
      </c>
      <c r="T39" s="20" t="n">
        <f aca="false">IF(AG39=0,"",IF(NOT(LH_Ready),"",IF(AH39&gt;PFYDate,0,IF(LH_ColPeriod=0,W39-U39+V39,SUMIFS(INDEX(LH_Data,0,LH_ColAcc),INDEX(LH_Data,0,LH_ColFirst),$A39,INDEX(LH_Data,0,LH_ColSur),$B39,INDEX(LH_Data,0,LH_ColCat),BonusCat,INDEX(LH_Data,0,LH_ColPeriod),LH_OpenLabel)*UnitFactor))))</f>
        <v>0</v>
      </c>
      <c r="U39" s="20" t="n">
        <f aca="false">IF(AG39=0,"",IF(NOT(LH_Ready),"",SUMIFS(INDEX(LH_Data,0,LH_ColAcc),INDEX(LH_Data,0,LH_ColFirst),$A39,INDEX(LH_Data,0,LH_ColSur),$B39,INDEX(LH_Data,0,LH_ColCat),BonusCat,INDEX(LH_Data,0,LH_ColStart),"&gt;="&amp;AH39)*UnitFactor))</f>
        <v>0</v>
      </c>
      <c r="V39" s="20" t="n">
        <f aca="false">IF(AG39=0,"",IF(NOT(LH_Ready),"",SUMIFS(INDEX(LH_Data,0,LH_ColTaken),INDEX(LH_Data,0,LH_ColFirst),$A39,INDEX(LH_Data,0,LH_ColSur),$B39,INDEX(LH_Data,0,LH_ColCat),BonusCat,INDEX(LH_Data,0,LH_ColStart),"&gt;="&amp;AH39)*UnitFactor))</f>
        <v>0</v>
      </c>
      <c r="W39" s="20" t="n">
        <f aca="false">IF(AG39=0,"",IF(NOT(LH_Ready),"",IF(BD39=0,0,INDEX(INDEX(LH_Data,0,LH_ColClose),BD39-1)*UnitFactor)))</f>
        <v>0</v>
      </c>
      <c r="X39" s="20" t="n">
        <f aca="false">IF(AG39=0,"",(AZ39-BA39)*HoursPerDay)</f>
        <v>0</v>
      </c>
      <c r="Y39" s="20" t="n">
        <f aca="false">IF(AG39=0,"",IF(NOT(LH_Ready),"",IF(BC39=0,N39,IF(PFYDate&lt;$F39,N39-N(T39)-N(U39),X39-N(U39)))))</f>
        <v>0</v>
      </c>
      <c r="Z39" s="19" t="str">
        <f aca="false">IF(OR(AG39=0,Y39=""),"",IF(Y39&gt;0,"Yes","No"))</f>
        <v>No</v>
      </c>
      <c r="AA39" s="19"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Not eligible - Casual</v>
      </c>
      <c r="AB39" s="20" t="n">
        <f aca="false">IF(OR(AG39=0,T39=""),"",BA39*HoursPerDay-T39)</f>
        <v>0</v>
      </c>
      <c r="AC39" s="19" t="n">
        <f aca="false">IF(AG39=0,"",BC39)</f>
        <v>11</v>
      </c>
      <c r="AD39" s="19"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20" t="n">
        <f aca="false">IF(AG39=0,"",O39-BH39)</f>
        <v>0</v>
      </c>
      <c r="AF39" s="17" t="str">
        <f aca="false">IF(OR(AG39=0,AE39="",N(AE39)=0,BI39=""),"",EDATE(AH39,BI39))</f>
        <v/>
      </c>
      <c r="AG39" s="19" t="n">
        <f aca="false">IF(OR(LEN($A39&amp;$B39)=0,$F39=""),0,1)</f>
        <v>1</v>
      </c>
      <c r="AH39" s="17" t="n">
        <f aca="false">IF(AG39=0,"",IF($J39&lt;&gt;"",$J39,IF(OR(CasualCounts="Yes",COUNT($G39:$I39)=0,COUNT($H39:$I39)=0),$F39,MIN($H39:$I39))))</f>
        <v>46146</v>
      </c>
      <c r="AI39" s="19" t="n">
        <f aca="false">IF(AG39=0,"",COUNT($G39:$I39))</f>
        <v>0</v>
      </c>
      <c r="AJ39" s="17" t="str">
        <f aca="false">IF(AG39=0,"",IFERROR(SMALL($G39:$I39,1),""))</f>
        <v/>
      </c>
      <c r="AK39" s="17" t="str">
        <f aca="false">IF(AG39=0,"",IFERROR(SMALL($G39:$I39,2),""))</f>
        <v/>
      </c>
      <c r="AL39" s="17" t="str">
        <f aca="false">IF(AG39=0,"",IFERROR(SMALL($G39:$I39,3),""))</f>
        <v/>
      </c>
      <c r="AM39" s="19" t="str">
        <f aca="false">IF(AG39=0,"",IF(AJ39="","",IF(AJ39=$H39,"Part-Time",IF(AJ39=$I39,"Full-Time","Casual"))))</f>
        <v/>
      </c>
      <c r="AN39" s="19" t="str">
        <f aca="false">IF(AG39=0,"",IF(AK39="","",IF(AK39=$H39,"Part-Time",IF(AK39=$I39,"Full-Time","Casual"))))</f>
        <v/>
      </c>
      <c r="AO39" s="19" t="str">
        <f aca="false">IF(AG39=0,"",IF(AL39="","",IF(AL39=$H39,"Part-Time",IF(AL39=$I39,"Full-Time","Casual"))))</f>
        <v/>
      </c>
      <c r="AP39" s="19"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None</v>
      </c>
      <c r="AQ39" s="19" t="str">
        <f aca="false">IF(AG39=0,"",IF(AI39&lt;2,"",IF(OR(ISNUMBER(SEARCH("full",AN39)),UPPER(TRIM(AN39))="FT",UPPER(TRIM(AN39))="FTE"),"FT",IF(AND(OR(ISNUMBER(SEARCH("part",AN39)),UPPER(TRIM(AN39))="PT",UPPER(TRIM(AN39))="PTE"),OR($P39="",N($P39)&gt;=PT_MinHours)),"PT","None"))))</f>
        <v/>
      </c>
      <c r="AR39" s="19" t="str">
        <f aca="false">IF(AG39=0,"",IF(AI39&lt;3,"",IF(OR(ISNUMBER(SEARCH("full",AO39)),UPPER(TRIM(AO39))="FT",UPPER(TRIM(AO39))="FTE"),"FT",IF(AND(OR(ISNUMBER(SEARCH("part",AO39)),UPPER(TRIM(AO39))="PT",UPPER(TRIM(AO39))="PTE"),OR($P39="",N($P39)&gt;=PT_MinHours)),"PT","None"))))</f>
        <v/>
      </c>
      <c r="AS39" s="19" t="str">
        <f aca="false">IF(AG39=0,"",IF(AND(AI39&gt;=3,AL39&lt;=AsOfDate),AR39,IF(AND(AI39&gt;=2,AK39&lt;=AsOfDate),AQ39,AP39)))</f>
        <v>None</v>
      </c>
      <c r="AT39" s="19" t="n">
        <f aca="false">IF(AG39=0,"",IF(AsOfDate&lt;AH39,-1,12*(YEAR(AsOfDate)-YEAR(AH39))+MONTH(AsOfDate)-MONTH(AH39)-IF(DAY(AsOfDate)&lt;MIN(DAY(AH39),DAY(EOMONTH(AsOfDate,0))),1,0)))</f>
        <v>5</v>
      </c>
      <c r="AU39" s="19" t="n">
        <f aca="false">IF(AG39=0,"",IF(OR(AI39&lt;2,AK39&gt;AsOfDate),AT39,IF((AK39-1)&lt;AH39,-1,12*(YEAR((AK39-1))-YEAR(AH39))+MONTH((AK39-1))-MONTH(AH39)-IF(DAY((AK39-1))&lt;MIN(DAY(AH39),DAY(EOMONTH((AK39-1),0))),1,0))))</f>
        <v>5</v>
      </c>
      <c r="AV39" s="19" t="n">
        <f aca="false">IF(AG39=0,"",IF(OR(AI39&lt;3,AL39&gt;AsOfDate),AT39,IF((AL39-1)&lt;AH39,-1,12*(YEAR((AL39-1))-YEAR(AH39))+MONTH((AL39-1))-MONTH(AH39)-IF(DAY((AL39-1))&lt;MIN(DAY(AH39),DAY(EOMONTH((AL39-1),0))),1,0))))</f>
        <v>5</v>
      </c>
      <c r="AW39" s="19" t="n">
        <f aca="false">IF(AG39=0,"",IF(PFYDate&lt;AH39,-1,12*(YEAR(PFYDate)-YEAR(AH39))+MONTH(PFYDate)-MONTH(AH39)-IF(DAY(PFYDate)&lt;MIN(DAY(AH39),DAY(EOMONTH(PFYDate,0))),1,0)))</f>
        <v>-1</v>
      </c>
      <c r="AX39" s="19" t="n">
        <f aca="false">IF(AG39=0,"",IF(OR(AI39&lt;2,AK39&gt;PFYDate),AW39,IF((AK39-1)&lt;AH39,-1,12*(YEAR((AK39-1))-YEAR(AH39))+MONTH((AK39-1))-MONTH(AH39)-IF(DAY((AK39-1))&lt;MIN(DAY(AH39),DAY(EOMONTH((AK39-1),0))),1,0))))</f>
        <v>-1</v>
      </c>
      <c r="AY39" s="19" t="n">
        <f aca="false">IF(AG39=0,"",IF(OR(AI39&lt;3,AL39&gt;PFYDate),AW39,IF((AL39-1)&lt;AH39,-1,12*(YEAR((AL39-1))-YEAR(AH39))+MONTH((AL39-1))-MONTH(AH39)-IF(DAY((AL39-1))&lt;MIN(DAY(AH39),DAY(EOMONTH((AL39-1),0))),1,0))))</f>
        <v>-1</v>
      </c>
      <c r="AZ39" s="19" t="n">
        <f aca="false">IF(AG39=0,"",IF(AP39="FT",IF(AU39&lt;FT_First,0,IF(AU39&lt;FT_Y5,1+INT((AU39-FT_First)/FT_Int1),FT_PreY5+FT_PerYear*INT((AU39-FT_Y5)/12)+FT_AnnivDays+INT(MOD(AU39-FT_Y5,12)/FT_Int2))),IF(AP39="PT",IF(AU39&lt;PT_First,0,1+INT((AU39-PT_First)/PT_Int)),0))+IF(AND(AI39&gt;=2,AK39&lt;=AsOfDate),IF(AQ39="FT",IF(AV39&lt;FT_First,0,IF(AV39&lt;FT_Y5,1+INT((AV39-FT_First)/FT_Int1),FT_PreY5+FT_PerYear*INT((AV39-FT_Y5)/12)+FT_AnnivDays+INT(MOD(AV39-FT_Y5,12)/FT_Int2))),IF(AQ39="PT",IF(AV39&lt;PT_First,0,1+INT((AV39-PT_First)/PT_Int)),0))-IF(AQ39="FT",IF(AU39&lt;FT_First,0,IF(AU39&lt;FT_Y5,1+INT((AU39-FT_First)/FT_Int1),FT_PreY5+FT_PerYear*INT((AU39-FT_Y5)/12)+FT_AnnivDays+INT(MOD(AU39-FT_Y5,12)/FT_Int2))),IF(AQ39="PT",IF(AU39&lt;PT_First,0,1+INT((AU39-PT_First)/PT_Int)),0)),0)+IF(AND(AI39&gt;=3,AL39&lt;=AsOfDate),IF(AR39="FT",IF(AT39&lt;FT_First,0,IF(AT39&lt;FT_Y5,1+INT((AT39-FT_First)/FT_Int1),FT_PreY5+FT_PerYear*INT((AT39-FT_Y5)/12)+FT_AnnivDays+INT(MOD(AT39-FT_Y5,12)/FT_Int2))),IF(AR39="PT",IF(AT39&lt;PT_First,0,1+INT((AT39-PT_First)/PT_Int)),0))-IF(AR39="FT",IF(AV39&lt;FT_First,0,IF(AV39&lt;FT_Y5,1+INT((AV39-FT_First)/FT_Int1),FT_PreY5+FT_PerYear*INT((AV39-FT_Y5)/12)+FT_AnnivDays+INT(MOD(AV39-FT_Y5,12)/FT_Int2))),IF(AR39="PT",IF(AV39&lt;PT_First,0,1+INT((AV39-PT_First)/PT_Int)),0)),0))</f>
        <v>0</v>
      </c>
      <c r="BA39" s="19" t="n">
        <f aca="false">IF(AG39=0,"",IF(AP39="FT",IF(AX39&lt;FT_First,0,IF(AX39&lt;FT_Y5,1+INT((AX39-FT_First)/FT_Int1),FT_PreY5+FT_PerYear*INT((AX39-FT_Y5)/12)+FT_AnnivDays+INT(MOD(AX39-FT_Y5,12)/FT_Int2))),IF(AP39="PT",IF(AX39&lt;PT_First,0,1+INT((AX39-PT_First)/PT_Int)),0))+IF(AND(AI39&gt;=2,AK39&lt;=PFYDate),IF(AQ39="FT",IF(AY39&lt;FT_First,0,IF(AY39&lt;FT_Y5,1+INT((AY39-FT_First)/FT_Int1),FT_PreY5+FT_PerYear*INT((AY39-FT_Y5)/12)+FT_AnnivDays+INT(MOD(AY39-FT_Y5,12)/FT_Int2))),IF(AQ39="PT",IF(AY39&lt;PT_First,0,1+INT((AY39-PT_First)/PT_Int)),0))-IF(AQ39="FT",IF(AX39&lt;FT_First,0,IF(AX39&lt;FT_Y5,1+INT((AX39-FT_First)/FT_Int1),FT_PreY5+FT_PerYear*INT((AX39-FT_Y5)/12)+FT_AnnivDays+INT(MOD(AX39-FT_Y5,12)/FT_Int2))),IF(AQ39="PT",IF(AX39&lt;PT_First,0,1+INT((AX39-PT_First)/PT_Int)),0)),0)+IF(AND(AI39&gt;=3,AL39&lt;=PFYDate),IF(AR39="FT",IF(AW39&lt;FT_First,0,IF(AW39&lt;FT_Y5,1+INT((AW39-FT_First)/FT_Int1),FT_PreY5+FT_PerYear*INT((AW39-FT_Y5)/12)+FT_AnnivDays+INT(MOD(AW39-FT_Y5,12)/FT_Int2))),IF(AR39="PT",IF(AW39&lt;PT_First,0,1+INT((AW39-PT_First)/PT_Int)),0))-IF(AR39="FT",IF(AY39&lt;FT_First,0,IF(AY39&lt;FT_Y5,1+INT((AY39-FT_First)/FT_Int1),FT_PreY5+FT_PerYear*INT((AY39-FT_Y5)/12)+FT_AnnivDays+INT(MOD(AY39-FT_Y5,12)/FT_Int2))),IF(AR39="PT",IF(AY39&lt;PT_First,0,1+INT((AY39-PT_First)/PT_Int)),0)),0))</f>
        <v>0</v>
      </c>
      <c r="BB39" s="19" t="str">
        <f aca="false">IF(AG39=0,"",IF(AS39="FT",IF(AT39&lt;FT_First,FT_First,IF(AT39&lt;FT_Y5,MIN(FT_Y5,FT_First+FT_Int1*(INT((AT39-FT_First)/FT_Int1)+1)),FT_Y5+12*INT((AT39-FT_Y5)/12)+FT_Int2*(INT(MOD(AT39-FT_Y5,12)/FT_Int2)+1))),IF(AS39="PT",IF(AT39&lt;PT_First,PT_First,PT_First+PT_Int*(INT((AT39-PT_First)/PT_Int)+1)),"")))</f>
        <v/>
      </c>
      <c r="BC39" s="19" t="n">
        <f aca="false">IF(AG39=0,"",IF(NOT(LH_Ready),0,COUNTIFS(INDEX(LH_Data,0,LH_ColFirst),$A39,INDEX(LH_Data,0,LH_ColSur),$B39,INDEX(LH_Data,0,LH_ColCat),BonusCat)))</f>
        <v>11</v>
      </c>
      <c r="BD39" s="19" t="n">
        <f aca="false">IF(AG39=0,"",IF(OR(NOT(LH_Ready),BC39=0),0,SUMPRODUCT(MAX((INDEX(LH_Data,0,LH_ColFirst)=$A39)*(INDEX(LH_Data,0,LH_ColSur)=$B39)*(INDEX(LH_Data,0,LH_ColCat)=BonusCat)*ROW(LH_Data)))))</f>
        <v>156</v>
      </c>
      <c r="BE39" s="19" t="n">
        <f aca="false">IF(AG39=0,"",IF(EOMONTH(AsOfDate,-1)&lt;AH39,-1,12*(YEAR(EOMONTH(AsOfDate,-1))-YEAR(AH39))+MONTH(EOMONTH(AsOfDate,-1))-MONTH(AH39)-IF(DAY(EOMONTH(AsOfDate,-1))&lt;MIN(DAY(AH39),DAY(EOMONTH(EOMONTH(AsOfDate,-1),0))),1,0)))</f>
        <v>4</v>
      </c>
      <c r="BF39" s="19" t="n">
        <f aca="false">IF(AG39=0,"",IF(OR(AI39&lt;2,AK39&gt;EOMONTH(AsOfDate,-1)),BE39,IF((AK39-1)&lt;AH39,-1,12*(YEAR((AK39-1))-YEAR(AH39))+MONTH((AK39-1))-MONTH(AH39)-IF(DAY((AK39-1))&lt;MIN(DAY(AH39),DAY(EOMONTH((AK39-1),0))),1,0))))</f>
        <v>4</v>
      </c>
      <c r="BG39" s="19" t="n">
        <f aca="false">IF(AG39=0,"",IF(OR(AI39&lt;3,AL39&gt;EOMONTH(AsOfDate,-1)),BE39,IF((AL39-1)&lt;AH39,-1,12*(YEAR((AL39-1))-YEAR(AH39))+MONTH((AL39-1))-MONTH(AH39)-IF(DAY((AL39-1))&lt;MIN(DAY(AH39),DAY(EOMONTH((AL39-1),0))),1,0))))</f>
        <v>4</v>
      </c>
      <c r="BH39" s="19" t="n">
        <f aca="false">IF(AG39=0,"",IF(AP39="FT",IF(BF39&lt;FT_First,0,IF(BF39&lt;FT_Y5,1+INT((BF39-FT_First)/FT_Int1),FT_PreY5+FT_PerYear*INT((BF39-FT_Y5)/12)+FT_AnnivDays+INT(MOD(BF39-FT_Y5,12)/FT_Int2))),IF(AP39="PT",IF(BF39&lt;PT_First,0,1+INT((BF39-PT_First)/PT_Int)),0))+IF(AND(AI39&gt;=2,AK39&lt;=EOMONTH(AsOfDate,-1)),IF(AQ39="FT",IF(BG39&lt;FT_First,0,IF(BG39&lt;FT_Y5,1+INT((BG39-FT_First)/FT_Int1),FT_PreY5+FT_PerYear*INT((BG39-FT_Y5)/12)+FT_AnnivDays+INT(MOD(BG39-FT_Y5,12)/FT_Int2))),IF(AQ39="PT",IF(BG39&lt;PT_First,0,1+INT((BG39-PT_First)/PT_Int)),0))-IF(AQ39="FT",IF(BF39&lt;FT_First,0,IF(BF39&lt;FT_Y5,1+INT((BF39-FT_First)/FT_Int1),FT_PreY5+FT_PerYear*INT((BF39-FT_Y5)/12)+FT_AnnivDays+INT(MOD(BF39-FT_Y5,12)/FT_Int2))),IF(AQ39="PT",IF(BF39&lt;PT_First,0,1+INT((BF39-PT_First)/PT_Int)),0)),0)+IF(AND(AI39&gt;=3,AL39&lt;=EOMONTH(AsOfDate,-1)),IF(AR39="FT",IF(BE39&lt;FT_First,0,IF(BE39&lt;FT_Y5,1+INT((BE39-FT_First)/FT_Int1),FT_PreY5+FT_PerYear*INT((BE39-FT_Y5)/12)+FT_AnnivDays+INT(MOD(BE39-FT_Y5,12)/FT_Int2))),IF(AR39="PT",IF(BE39&lt;PT_First,0,1+INT((BE39-PT_First)/PT_Int)),0))-IF(AR39="FT",IF(BG39&lt;FT_First,0,IF(BG39&lt;FT_Y5,1+INT((BG39-FT_First)/FT_Int1),FT_PreY5+FT_PerYear*INT((BG39-FT_Y5)/12)+FT_AnnivDays+INT(MOD(BG39-FT_Y5,12)/FT_Int2))),IF(AR39="PT",IF(BG39&lt;PT_First,0,1+INT((BG39-PT_First)/PT_Int)),0)),0))</f>
        <v>0</v>
      </c>
      <c r="BI39" s="19" t="str">
        <f aca="false">IF(AG39=0,"",IF(AS39="FT",IF(AT39&lt;FT_First,"",IF(AT39&lt;FT_Y5,FT_First+FT_Int1*INT((AT39-FT_First)/FT_Int1),FT_Y5+FT_Int2*INT((AT39-FT_Y5)/FT_Int2))),IF(AS39="PT",IF(AT39&lt;PT_First,"",PT_First+PT_Int*INT((AT39-PT_First)/PT_Int)),"")))</f>
        <v/>
      </c>
      <c r="BJ39" s="0" t="str">
        <f aca="false">IF(LEN($A39&amp;$B39)=0,"",$A39&amp;" "&amp;$B39)</f>
        <v>James BUTLER</v>
      </c>
    </row>
    <row r="40" customFormat="false" ht="15" hidden="false" customHeight="false" outlineLevel="0" collapsed="false">
      <c r="A40" s="15" t="s">
        <v>209</v>
      </c>
      <c r="B40" s="15" t="s">
        <v>210</v>
      </c>
      <c r="C40" s="15" t="s">
        <v>153</v>
      </c>
      <c r="D40" s="16" t="n">
        <v>34019</v>
      </c>
      <c r="E40" s="17" t="n">
        <f aca="false">IF(OR(AG40=0,$D40=""),"",DATE(YEAR(AsOfDate)+IF(DATE(YEAR(AsOfDate),MONTH($D40),DAY($D40))&lt;=AsOfDate,1,0),MONTH($D40),DAY($D40)))</f>
        <v>46437</v>
      </c>
      <c r="F40" s="16" t="n">
        <v>45756</v>
      </c>
      <c r="G40" s="16" t="n">
        <v>45756</v>
      </c>
      <c r="H40" s="16"/>
      <c r="I40" s="16" t="n">
        <v>45810</v>
      </c>
      <c r="J40" s="16"/>
      <c r="K40" s="17" t="n">
        <f aca="false">IF(AG40=0,"",DATE(YEAR(AsOfDate)+IF(DATE(YEAR(AsOfDate),MONTH(AH40),DAY(AH40))&lt;=AsOfDate,1,0),MONTH(AH40),DAY(AH40)))</f>
        <v>46540</v>
      </c>
      <c r="L40" s="18" t="n">
        <f aca="false">IF(AG40=0,"",ROUND((AsOfDate-AH40)/365.25,1))</f>
        <v>1.3</v>
      </c>
      <c r="M40" s="19" t="str">
        <f aca="false">IF(AG40=0,"",IF(AsOfDate&lt;AH40,"-",DATEDIF(AH40,AsOfDate,"y")&amp;"y "&amp;DATEDIF(AH40,AsOfDate,"ym")&amp;"m "&amp;DATEDIF(AH40,AsOfDate,"md")&amp;"d"))</f>
        <v>1y 4m 4d</v>
      </c>
      <c r="N40" s="20" t="n">
        <f aca="false">IF(AG40=0,"",O40*HoursPerDay)</f>
        <v>0</v>
      </c>
      <c r="O40" s="20" t="n">
        <f aca="false">IF(AG40=0,"",AZ40)</f>
        <v>0</v>
      </c>
      <c r="P40" s="21"/>
      <c r="Q40" s="19"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Casual to Full-Time on 02/06/2025 - commencement for Bonus Leave</v>
      </c>
      <c r="R40" s="19"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17" t="n">
        <f aca="false">IF(AG40=0,"",IF(AS40="None","",EDATE(AH40,BB40)))</f>
        <v>46906</v>
      </c>
      <c r="T40" s="20" t="n">
        <f aca="false">IF(AG40=0,"",IF(NOT(LH_Ready),"",IF(AH40&gt;PFYDate,0,IF(LH_ColPeriod=0,W40-U40+V40,SUMIFS(INDEX(LH_Data,0,LH_ColAcc),INDEX(LH_Data,0,LH_ColFirst),$A40,INDEX(LH_Data,0,LH_ColSur),$B40,INDEX(LH_Data,0,LH_ColCat),BonusCat,INDEX(LH_Data,0,LH_ColPeriod),LH_OpenLabel)*UnitFactor))))</f>
        <v>0</v>
      </c>
      <c r="U40" s="20" t="n">
        <f aca="false">IF(AG40=0,"",IF(NOT(LH_Ready),"",SUMIFS(INDEX(LH_Data,0,LH_ColAcc),INDEX(LH_Data,0,LH_ColFirst),$A40,INDEX(LH_Data,0,LH_ColSur),$B40,INDEX(LH_Data,0,LH_ColCat),BonusCat,INDEX(LH_Data,0,LH_ColStart),"&gt;="&amp;AH40)*UnitFactor))</f>
        <v>0</v>
      </c>
      <c r="V40" s="20" t="n">
        <f aca="false">IF(AG40=0,"",IF(NOT(LH_Ready),"",SUMIFS(INDEX(LH_Data,0,LH_ColTaken),INDEX(LH_Data,0,LH_ColFirst),$A40,INDEX(LH_Data,0,LH_ColSur),$B40,INDEX(LH_Data,0,LH_ColCat),BonusCat,INDEX(LH_Data,0,LH_ColStart),"&gt;="&amp;AH40)*UnitFactor))</f>
        <v>0</v>
      </c>
      <c r="W40" s="20" t="n">
        <f aca="false">IF(AG40=0,"",IF(NOT(LH_Ready),"",IF(BD40=0,0,INDEX(INDEX(LH_Data,0,LH_ColClose),BD40-1)*UnitFactor)))</f>
        <v>0</v>
      </c>
      <c r="X40" s="20" t="n">
        <f aca="false">IF(AG40=0,"",(AZ40-BA40)*HoursPerDay)</f>
        <v>0</v>
      </c>
      <c r="Y40" s="20" t="n">
        <f aca="false">IF(AG40=0,"",IF(NOT(LH_Ready),"",IF(BC40=0,N40,IF(PFYDate&lt;$F40,N40-N(T40)-N(U40),X40-N(U40)))))</f>
        <v>0</v>
      </c>
      <c r="Z40" s="19" t="str">
        <f aca="false">IF(OR(AG40=0,Y40=""),"",IF(Y40&gt;0,"Yes","No"))</f>
        <v>No</v>
      </c>
      <c r="AA40" s="19"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Not yet - first day on 02/06/2028</v>
      </c>
      <c r="AB40" s="20" t="n">
        <f aca="false">IF(OR(AG40=0,T40=""),"",BA40*HoursPerDay-T40)</f>
        <v>0</v>
      </c>
      <c r="AC40" s="19" t="n">
        <f aca="false">IF(AG40=0,"",BC40)</f>
        <v>0</v>
      </c>
      <c r="AD40" s="19"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20" t="n">
        <f aca="false">IF(AG40=0,"",O40-BH40)</f>
        <v>0</v>
      </c>
      <c r="AF40" s="17" t="str">
        <f aca="false">IF(OR(AG40=0,AE40="",N(AE40)=0,BI40=""),"",EDATE(AH40,BI40))</f>
        <v/>
      </c>
      <c r="AG40" s="19" t="n">
        <f aca="false">IF(OR(LEN($A40&amp;$B40)=0,$F40=""),0,1)</f>
        <v>1</v>
      </c>
      <c r="AH40" s="17" t="n">
        <f aca="false">IF(AG40=0,"",IF($J40&lt;&gt;"",$J40,IF(OR(CasualCounts="Yes",COUNT($G40:$I40)=0,COUNT($H40:$I40)=0),$F40,MIN($H40:$I40))))</f>
        <v>45810</v>
      </c>
      <c r="AI40" s="19" t="n">
        <f aca="false">IF(AG40=0,"",COUNT($G40:$I40))</f>
        <v>2</v>
      </c>
      <c r="AJ40" s="17" t="n">
        <f aca="false">IF(AG40=0,"",IFERROR(SMALL($G40:$I40,1),""))</f>
        <v>45756</v>
      </c>
      <c r="AK40" s="17" t="n">
        <f aca="false">IF(AG40=0,"",IFERROR(SMALL($G40:$I40,2),""))</f>
        <v>45810</v>
      </c>
      <c r="AL40" s="17" t="str">
        <f aca="false">IF(AG40=0,"",IFERROR(SMALL($G40:$I40,3),""))</f>
        <v/>
      </c>
      <c r="AM40" s="19" t="str">
        <f aca="false">IF(AG40=0,"",IF(AJ40="","",IF(AJ40=$H40,"Part-Time",IF(AJ40=$I40,"Full-Time","Casual"))))</f>
        <v>Casual</v>
      </c>
      <c r="AN40" s="19" t="str">
        <f aca="false">IF(AG40=0,"",IF(AK40="","",IF(AK40=$H40,"Part-Time",IF(AK40=$I40,"Full-Time","Casual"))))</f>
        <v>Full-Time</v>
      </c>
      <c r="AO40" s="19" t="str">
        <f aca="false">IF(AG40=0,"",IF(AL40="","",IF(AL40=$H40,"Part-Time",IF(AL40=$I40,"Full-Time","Casual"))))</f>
        <v/>
      </c>
      <c r="AP40" s="19"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None</v>
      </c>
      <c r="AQ40" s="19" t="str">
        <f aca="false">IF(AG40=0,"",IF(AI40&lt;2,"",IF(OR(ISNUMBER(SEARCH("full",AN40)),UPPER(TRIM(AN40))="FT",UPPER(TRIM(AN40))="FTE"),"FT",IF(AND(OR(ISNUMBER(SEARCH("part",AN40)),UPPER(TRIM(AN40))="PT",UPPER(TRIM(AN40))="PTE"),OR($P40="",N($P40)&gt;=PT_MinHours)),"PT","None"))))</f>
        <v>FT</v>
      </c>
      <c r="AR40" s="19" t="str">
        <f aca="false">IF(AG40=0,"",IF(AI40&lt;3,"",IF(OR(ISNUMBER(SEARCH("full",AO40)),UPPER(TRIM(AO40))="FT",UPPER(TRIM(AO40))="FTE"),"FT",IF(AND(OR(ISNUMBER(SEARCH("part",AO40)),UPPER(TRIM(AO40))="PT",UPPER(TRIM(AO40))="PTE"),OR($P40="",N($P40)&gt;=PT_MinHours)),"PT","None"))))</f>
        <v/>
      </c>
      <c r="AS40" s="19" t="str">
        <f aca="false">IF(AG40=0,"",IF(AND(AI40&gt;=3,AL40&lt;=AsOfDate),AR40,IF(AND(AI40&gt;=2,AK40&lt;=AsOfDate),AQ40,AP40)))</f>
        <v>FT</v>
      </c>
      <c r="AT40" s="19" t="n">
        <f aca="false">IF(AG40=0,"",IF(AsOfDate&lt;AH40,-1,12*(YEAR(AsOfDate)-YEAR(AH40))+MONTH(AsOfDate)-MONTH(AH40)-IF(DAY(AsOfDate)&lt;MIN(DAY(AH40),DAY(EOMONTH(AsOfDate,0))),1,0)))</f>
        <v>16</v>
      </c>
      <c r="AU40" s="19" t="n">
        <f aca="false">IF(AG40=0,"",IF(OR(AI40&lt;2,AK40&gt;AsOfDate),AT40,IF((AK40-1)&lt;AH40,-1,12*(YEAR((AK40-1))-YEAR(AH40))+MONTH((AK40-1))-MONTH(AH40)-IF(DAY((AK40-1))&lt;MIN(DAY(AH40),DAY(EOMONTH((AK40-1),0))),1,0))))</f>
        <v>-1</v>
      </c>
      <c r="AV40" s="19" t="n">
        <f aca="false">IF(AG40=0,"",IF(OR(AI40&lt;3,AL40&gt;AsOfDate),AT40,IF((AL40-1)&lt;AH40,-1,12*(YEAR((AL40-1))-YEAR(AH40))+MONTH((AL40-1))-MONTH(AH40)-IF(DAY((AL40-1))&lt;MIN(DAY(AH40),DAY(EOMONTH((AL40-1),0))),1,0))))</f>
        <v>16</v>
      </c>
      <c r="AW40" s="19" t="n">
        <f aca="false">IF(AG40=0,"",IF(PFYDate&lt;AH40,-1,12*(YEAR(PFYDate)-YEAR(AH40))+MONTH(PFYDate)-MONTH(AH40)-IF(DAY(PFYDate)&lt;MIN(DAY(AH40),DAY(EOMONTH(PFYDate,0))),1,0)))</f>
        <v>-1</v>
      </c>
      <c r="AX40" s="19" t="n">
        <f aca="false">IF(AG40=0,"",IF(OR(AI40&lt;2,AK40&gt;PFYDate),AW40,IF((AK40-1)&lt;AH40,-1,12*(YEAR((AK40-1))-YEAR(AH40))+MONTH((AK40-1))-MONTH(AH40)-IF(DAY((AK40-1))&lt;MIN(DAY(AH40),DAY(EOMONTH((AK40-1),0))),1,0))))</f>
        <v>-1</v>
      </c>
      <c r="AY40" s="19" t="n">
        <f aca="false">IF(AG40=0,"",IF(OR(AI40&lt;3,AL40&gt;PFYDate),AW40,IF((AL40-1)&lt;AH40,-1,12*(YEAR((AL40-1))-YEAR(AH40))+MONTH((AL40-1))-MONTH(AH40)-IF(DAY((AL40-1))&lt;MIN(DAY(AH40),DAY(EOMONTH((AL40-1),0))),1,0))))</f>
        <v>-1</v>
      </c>
      <c r="AZ40" s="19" t="n">
        <f aca="false">IF(AG40=0,"",IF(AP40="FT",IF(AU40&lt;FT_First,0,IF(AU40&lt;FT_Y5,1+INT((AU40-FT_First)/FT_Int1),FT_PreY5+FT_PerYear*INT((AU40-FT_Y5)/12)+FT_AnnivDays+INT(MOD(AU40-FT_Y5,12)/FT_Int2))),IF(AP40="PT",IF(AU40&lt;PT_First,0,1+INT((AU40-PT_First)/PT_Int)),0))+IF(AND(AI40&gt;=2,AK40&lt;=AsOfDate),IF(AQ40="FT",IF(AV40&lt;FT_First,0,IF(AV40&lt;FT_Y5,1+INT((AV40-FT_First)/FT_Int1),FT_PreY5+FT_PerYear*INT((AV40-FT_Y5)/12)+FT_AnnivDays+INT(MOD(AV40-FT_Y5,12)/FT_Int2))),IF(AQ40="PT",IF(AV40&lt;PT_First,0,1+INT((AV40-PT_First)/PT_Int)),0))-IF(AQ40="FT",IF(AU40&lt;FT_First,0,IF(AU40&lt;FT_Y5,1+INT((AU40-FT_First)/FT_Int1),FT_PreY5+FT_PerYear*INT((AU40-FT_Y5)/12)+FT_AnnivDays+INT(MOD(AU40-FT_Y5,12)/FT_Int2))),IF(AQ40="PT",IF(AU40&lt;PT_First,0,1+INT((AU40-PT_First)/PT_Int)),0)),0)+IF(AND(AI40&gt;=3,AL40&lt;=AsOfDate),IF(AR40="FT",IF(AT40&lt;FT_First,0,IF(AT40&lt;FT_Y5,1+INT((AT40-FT_First)/FT_Int1),FT_PreY5+FT_PerYear*INT((AT40-FT_Y5)/12)+FT_AnnivDays+INT(MOD(AT40-FT_Y5,12)/FT_Int2))),IF(AR40="PT",IF(AT40&lt;PT_First,0,1+INT((AT40-PT_First)/PT_Int)),0))-IF(AR40="FT",IF(AV40&lt;FT_First,0,IF(AV40&lt;FT_Y5,1+INT((AV40-FT_First)/FT_Int1),FT_PreY5+FT_PerYear*INT((AV40-FT_Y5)/12)+FT_AnnivDays+INT(MOD(AV40-FT_Y5,12)/FT_Int2))),IF(AR40="PT",IF(AV40&lt;PT_First,0,1+INT((AV40-PT_First)/PT_Int)),0)),0))</f>
        <v>0</v>
      </c>
      <c r="BA40" s="19" t="n">
        <f aca="false">IF(AG40=0,"",IF(AP40="FT",IF(AX40&lt;FT_First,0,IF(AX40&lt;FT_Y5,1+INT((AX40-FT_First)/FT_Int1),FT_PreY5+FT_PerYear*INT((AX40-FT_Y5)/12)+FT_AnnivDays+INT(MOD(AX40-FT_Y5,12)/FT_Int2))),IF(AP40="PT",IF(AX40&lt;PT_First,0,1+INT((AX40-PT_First)/PT_Int)),0))+IF(AND(AI40&gt;=2,AK40&lt;=PFYDate),IF(AQ40="FT",IF(AY40&lt;FT_First,0,IF(AY40&lt;FT_Y5,1+INT((AY40-FT_First)/FT_Int1),FT_PreY5+FT_PerYear*INT((AY40-FT_Y5)/12)+FT_AnnivDays+INT(MOD(AY40-FT_Y5,12)/FT_Int2))),IF(AQ40="PT",IF(AY40&lt;PT_First,0,1+INT((AY40-PT_First)/PT_Int)),0))-IF(AQ40="FT",IF(AX40&lt;FT_First,0,IF(AX40&lt;FT_Y5,1+INT((AX40-FT_First)/FT_Int1),FT_PreY5+FT_PerYear*INT((AX40-FT_Y5)/12)+FT_AnnivDays+INT(MOD(AX40-FT_Y5,12)/FT_Int2))),IF(AQ40="PT",IF(AX40&lt;PT_First,0,1+INT((AX40-PT_First)/PT_Int)),0)),0)+IF(AND(AI40&gt;=3,AL40&lt;=PFYDate),IF(AR40="FT",IF(AW40&lt;FT_First,0,IF(AW40&lt;FT_Y5,1+INT((AW40-FT_First)/FT_Int1),FT_PreY5+FT_PerYear*INT((AW40-FT_Y5)/12)+FT_AnnivDays+INT(MOD(AW40-FT_Y5,12)/FT_Int2))),IF(AR40="PT",IF(AW40&lt;PT_First,0,1+INT((AW40-PT_First)/PT_Int)),0))-IF(AR40="FT",IF(AY40&lt;FT_First,0,IF(AY40&lt;FT_Y5,1+INT((AY40-FT_First)/FT_Int1),FT_PreY5+FT_PerYear*INT((AY40-FT_Y5)/12)+FT_AnnivDays+INT(MOD(AY40-FT_Y5,12)/FT_Int2))),IF(AR40="PT",IF(AY40&lt;PT_First,0,1+INT((AY40-PT_First)/PT_Int)),0)),0))</f>
        <v>0</v>
      </c>
      <c r="BB40" s="19" t="n">
        <f aca="false">IF(AG40=0,"",IF(AS40="FT",IF(AT40&lt;FT_First,FT_First,IF(AT40&lt;FT_Y5,MIN(FT_Y5,FT_First+FT_Int1*(INT((AT40-FT_First)/FT_Int1)+1)),FT_Y5+12*INT((AT40-FT_Y5)/12)+FT_Int2*(INT(MOD(AT40-FT_Y5,12)/FT_Int2)+1))),IF(AS40="PT",IF(AT40&lt;PT_First,PT_First,PT_First+PT_Int*(INT((AT40-PT_First)/PT_Int)+1)),"")))</f>
        <v>36</v>
      </c>
      <c r="BC40" s="19" t="n">
        <f aca="false">IF(AG40=0,"",IF(NOT(LH_Ready),0,COUNTIFS(INDEX(LH_Data,0,LH_ColFirst),$A40,INDEX(LH_Data,0,LH_ColSur),$B40,INDEX(LH_Data,0,LH_ColCat),BonusCat)))</f>
        <v>0</v>
      </c>
      <c r="BD40" s="19" t="n">
        <f aca="false">IF(AG40=0,"",IF(OR(NOT(LH_Ready),BC40=0),0,SUMPRODUCT(MAX((INDEX(LH_Data,0,LH_ColFirst)=$A40)*(INDEX(LH_Data,0,LH_ColSur)=$B40)*(INDEX(LH_Data,0,LH_ColCat)=BonusCat)*ROW(LH_Data)))))</f>
        <v>0</v>
      </c>
      <c r="BE40" s="19" t="n">
        <f aca="false">IF(AG40=0,"",IF(EOMONTH(AsOfDate,-1)&lt;AH40,-1,12*(YEAR(EOMONTH(AsOfDate,-1))-YEAR(AH40))+MONTH(EOMONTH(AsOfDate,-1))-MONTH(AH40)-IF(DAY(EOMONTH(AsOfDate,-1))&lt;MIN(DAY(AH40),DAY(EOMONTH(EOMONTH(AsOfDate,-1),0))),1,0)))</f>
        <v>15</v>
      </c>
      <c r="BF40" s="19" t="n">
        <f aca="false">IF(AG40=0,"",IF(OR(AI40&lt;2,AK40&gt;EOMONTH(AsOfDate,-1)),BE40,IF((AK40-1)&lt;AH40,-1,12*(YEAR((AK40-1))-YEAR(AH40))+MONTH((AK40-1))-MONTH(AH40)-IF(DAY((AK40-1))&lt;MIN(DAY(AH40),DAY(EOMONTH((AK40-1),0))),1,0))))</f>
        <v>-1</v>
      </c>
      <c r="BG40" s="19" t="n">
        <f aca="false">IF(AG40=0,"",IF(OR(AI40&lt;3,AL40&gt;EOMONTH(AsOfDate,-1)),BE40,IF((AL40-1)&lt;AH40,-1,12*(YEAR((AL40-1))-YEAR(AH40))+MONTH((AL40-1))-MONTH(AH40)-IF(DAY((AL40-1))&lt;MIN(DAY(AH40),DAY(EOMONTH((AL40-1),0))),1,0))))</f>
        <v>15</v>
      </c>
      <c r="BH40" s="19" t="n">
        <f aca="false">IF(AG40=0,"",IF(AP40="FT",IF(BF40&lt;FT_First,0,IF(BF40&lt;FT_Y5,1+INT((BF40-FT_First)/FT_Int1),FT_PreY5+FT_PerYear*INT((BF40-FT_Y5)/12)+FT_AnnivDays+INT(MOD(BF40-FT_Y5,12)/FT_Int2))),IF(AP40="PT",IF(BF40&lt;PT_First,0,1+INT((BF40-PT_First)/PT_Int)),0))+IF(AND(AI40&gt;=2,AK40&lt;=EOMONTH(AsOfDate,-1)),IF(AQ40="FT",IF(BG40&lt;FT_First,0,IF(BG40&lt;FT_Y5,1+INT((BG40-FT_First)/FT_Int1),FT_PreY5+FT_PerYear*INT((BG40-FT_Y5)/12)+FT_AnnivDays+INT(MOD(BG40-FT_Y5,12)/FT_Int2))),IF(AQ40="PT",IF(BG40&lt;PT_First,0,1+INT((BG40-PT_First)/PT_Int)),0))-IF(AQ40="FT",IF(BF40&lt;FT_First,0,IF(BF40&lt;FT_Y5,1+INT((BF40-FT_First)/FT_Int1),FT_PreY5+FT_PerYear*INT((BF40-FT_Y5)/12)+FT_AnnivDays+INT(MOD(BF40-FT_Y5,12)/FT_Int2))),IF(AQ40="PT",IF(BF40&lt;PT_First,0,1+INT((BF40-PT_First)/PT_Int)),0)),0)+IF(AND(AI40&gt;=3,AL40&lt;=EOMONTH(AsOfDate,-1)),IF(AR40="FT",IF(BE40&lt;FT_First,0,IF(BE40&lt;FT_Y5,1+INT((BE40-FT_First)/FT_Int1),FT_PreY5+FT_PerYear*INT((BE40-FT_Y5)/12)+FT_AnnivDays+INT(MOD(BE40-FT_Y5,12)/FT_Int2))),IF(AR40="PT",IF(BE40&lt;PT_First,0,1+INT((BE40-PT_First)/PT_Int)),0))-IF(AR40="FT",IF(BG40&lt;FT_First,0,IF(BG40&lt;FT_Y5,1+INT((BG40-FT_First)/FT_Int1),FT_PreY5+FT_PerYear*INT((BG40-FT_Y5)/12)+FT_AnnivDays+INT(MOD(BG40-FT_Y5,12)/FT_Int2))),IF(AR40="PT",IF(BG40&lt;PT_First,0,1+INT((BG40-PT_First)/PT_Int)),0)),0))</f>
        <v>0</v>
      </c>
      <c r="BI40" s="19" t="str">
        <f aca="false">IF(AG40=0,"",IF(AS40="FT",IF(AT40&lt;FT_First,"",IF(AT40&lt;FT_Y5,FT_First+FT_Int1*INT((AT40-FT_First)/FT_Int1),FT_Y5+FT_Int2*INT((AT40-FT_Y5)/FT_Int2))),IF(AS40="PT",IF(AT40&lt;PT_First,"",PT_First+PT_Int*INT((AT40-PT_First)/PT_Int)),"")))</f>
        <v/>
      </c>
      <c r="BJ40" s="0" t="str">
        <f aca="false">IF(LEN($A40&amp;$B40)=0,"",$A40&amp;" "&amp;$B40)</f>
        <v>Jason Ng</v>
      </c>
    </row>
    <row r="41" customFormat="false" ht="15" hidden="false" customHeight="false" outlineLevel="0" collapsed="false">
      <c r="A41" s="15" t="s">
        <v>211</v>
      </c>
      <c r="B41" s="15" t="s">
        <v>212</v>
      </c>
      <c r="C41" s="15" t="s">
        <v>138</v>
      </c>
      <c r="D41" s="16" t="n">
        <v>29734</v>
      </c>
      <c r="E41" s="17" t="n">
        <f aca="false">IF(OR(AG41=0,$D41=""),"",DATE(YEAR(AsOfDate)+IF(DATE(YEAR(AsOfDate),MONTH($D41),DAY($D41))&lt;=AsOfDate,1,0),MONTH($D41),DAY($D41)))</f>
        <v>46535</v>
      </c>
      <c r="F41" s="16" t="n">
        <v>45573</v>
      </c>
      <c r="G41" s="16"/>
      <c r="H41" s="16"/>
      <c r="I41" s="16"/>
      <c r="J41" s="16"/>
      <c r="K41" s="17" t="n">
        <f aca="false">IF(AG41=0,"",DATE(YEAR(AsOfDate)+IF(DATE(YEAR(AsOfDate),MONTH(AH41),DAY(AH41))&lt;=AsOfDate,1,0),MONTH(AH41),DAY(AH41)))</f>
        <v>46303</v>
      </c>
      <c r="L41" s="18" t="n">
        <f aca="false">IF(AG41=0,"",ROUND((AsOfDate-AH41)/365.25,1))</f>
        <v>2</v>
      </c>
      <c r="M41" s="19" t="str">
        <f aca="false">IF(AG41=0,"",IF(AsOfDate&lt;AH41,"-",DATEDIF(AH41,AsOfDate,"y")&amp;"y "&amp;DATEDIF(AH41,AsOfDate,"ym")&amp;"m "&amp;DATEDIF(AH41,AsOfDate,"md")&amp;"d"))</f>
        <v>1y 11m 28d</v>
      </c>
      <c r="N41" s="20" t="n">
        <f aca="false">IF(AG41=0,"",O41*HoursPerDay)</f>
        <v>0</v>
      </c>
      <c r="O41" s="20" t="n">
        <f aca="false">IF(AG41=0,"",AZ41)</f>
        <v>0</v>
      </c>
      <c r="P41" s="21"/>
      <c r="Q41" s="19"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19"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17" t="str">
        <f aca="false">IF(AG41=0,"",IF(AS41="None","",EDATE(AH41,BB41)))</f>
        <v/>
      </c>
      <c r="T41" s="20" t="n">
        <f aca="false">IF(AG41=0,"",IF(NOT(LH_Ready),"",IF(AH41&gt;PFYDate,0,IF(LH_ColPeriod=0,W41-U41+V41,SUMIFS(INDEX(LH_Data,0,LH_ColAcc),INDEX(LH_Data,0,LH_ColFirst),$A41,INDEX(LH_Data,0,LH_ColSur),$B41,INDEX(LH_Data,0,LH_ColCat),BonusCat,INDEX(LH_Data,0,LH_ColPeriod),LH_OpenLabel)*UnitFactor))))</f>
        <v>0</v>
      </c>
      <c r="U41" s="20" t="n">
        <f aca="false">IF(AG41=0,"",IF(NOT(LH_Ready),"",SUMIFS(INDEX(LH_Data,0,LH_ColAcc),INDEX(LH_Data,0,LH_ColFirst),$A41,INDEX(LH_Data,0,LH_ColSur),$B41,INDEX(LH_Data,0,LH_ColCat),BonusCat,INDEX(LH_Data,0,LH_ColStart),"&gt;="&amp;AH41)*UnitFactor))</f>
        <v>0</v>
      </c>
      <c r="V41" s="20" t="n">
        <f aca="false">IF(AG41=0,"",IF(NOT(LH_Ready),"",SUMIFS(INDEX(LH_Data,0,LH_ColTaken),INDEX(LH_Data,0,LH_ColFirst),$A41,INDEX(LH_Data,0,LH_ColSur),$B41,INDEX(LH_Data,0,LH_ColCat),BonusCat,INDEX(LH_Data,0,LH_ColStart),"&gt;="&amp;AH41)*UnitFactor))</f>
        <v>0</v>
      </c>
      <c r="W41" s="20" t="n">
        <f aca="false">IF(AG41=0,"",IF(NOT(LH_Ready),"",IF(BD41=0,0,INDEX(INDEX(LH_Data,0,LH_ColClose),BD41-1)*UnitFactor)))</f>
        <v>0</v>
      </c>
      <c r="X41" s="20" t="n">
        <f aca="false">IF(AG41=0,"",(AZ41-BA41)*HoursPerDay)</f>
        <v>0</v>
      </c>
      <c r="Y41" s="20" t="n">
        <f aca="false">IF(AG41=0,"",IF(NOT(LH_Ready),"",IF(BC41=0,N41,IF(PFYDate&lt;$F41,N41-N(T41)-N(U41),X41-N(U41)))))</f>
        <v>0</v>
      </c>
      <c r="Z41" s="19" t="str">
        <f aca="false">IF(OR(AG41=0,Y41=""),"",IF(Y41&gt;0,"Yes","No"))</f>
        <v>No</v>
      </c>
      <c r="AA41" s="19"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Not eligible - Casual</v>
      </c>
      <c r="AB41" s="20" t="n">
        <f aca="false">IF(OR(AG41=0,T41=""),"",BA41*HoursPerDay-T41)</f>
        <v>0</v>
      </c>
      <c r="AC41" s="19" t="n">
        <f aca="false">IF(AG41=0,"",BC41)</f>
        <v>0</v>
      </c>
      <c r="AD41" s="19"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20" t="n">
        <f aca="false">IF(AG41=0,"",O41-BH41)</f>
        <v>0</v>
      </c>
      <c r="AF41" s="17" t="str">
        <f aca="false">IF(OR(AG41=0,AE41="",N(AE41)=0,BI41=""),"",EDATE(AH41,BI41))</f>
        <v/>
      </c>
      <c r="AG41" s="19" t="n">
        <f aca="false">IF(OR(LEN($A41&amp;$B41)=0,$F41=""),0,1)</f>
        <v>1</v>
      </c>
      <c r="AH41" s="17" t="n">
        <f aca="false">IF(AG41=0,"",IF($J41&lt;&gt;"",$J41,IF(OR(CasualCounts="Yes",COUNT($G41:$I41)=0,COUNT($H41:$I41)=0),$F41,MIN($H41:$I41))))</f>
        <v>45573</v>
      </c>
      <c r="AI41" s="19" t="n">
        <f aca="false">IF(AG41=0,"",COUNT($G41:$I41))</f>
        <v>0</v>
      </c>
      <c r="AJ41" s="17" t="str">
        <f aca="false">IF(AG41=0,"",IFERROR(SMALL($G41:$I41,1),""))</f>
        <v/>
      </c>
      <c r="AK41" s="17" t="str">
        <f aca="false">IF(AG41=0,"",IFERROR(SMALL($G41:$I41,2),""))</f>
        <v/>
      </c>
      <c r="AL41" s="17" t="str">
        <f aca="false">IF(AG41=0,"",IFERROR(SMALL($G41:$I41,3),""))</f>
        <v/>
      </c>
      <c r="AM41" s="19" t="str">
        <f aca="false">IF(AG41=0,"",IF(AJ41="","",IF(AJ41=$H41,"Part-Time",IF(AJ41=$I41,"Full-Time","Casual"))))</f>
        <v/>
      </c>
      <c r="AN41" s="19" t="str">
        <f aca="false">IF(AG41=0,"",IF(AK41="","",IF(AK41=$H41,"Part-Time",IF(AK41=$I41,"Full-Time","Casual"))))</f>
        <v/>
      </c>
      <c r="AO41" s="19" t="str">
        <f aca="false">IF(AG41=0,"",IF(AL41="","",IF(AL41=$H41,"Part-Time",IF(AL41=$I41,"Full-Time","Casual"))))</f>
        <v/>
      </c>
      <c r="AP41" s="19"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None</v>
      </c>
      <c r="AQ41" s="19" t="str">
        <f aca="false">IF(AG41=0,"",IF(AI41&lt;2,"",IF(OR(ISNUMBER(SEARCH("full",AN41)),UPPER(TRIM(AN41))="FT",UPPER(TRIM(AN41))="FTE"),"FT",IF(AND(OR(ISNUMBER(SEARCH("part",AN41)),UPPER(TRIM(AN41))="PT",UPPER(TRIM(AN41))="PTE"),OR($P41="",N($P41)&gt;=PT_MinHours)),"PT","None"))))</f>
        <v/>
      </c>
      <c r="AR41" s="19" t="str">
        <f aca="false">IF(AG41=0,"",IF(AI41&lt;3,"",IF(OR(ISNUMBER(SEARCH("full",AO41)),UPPER(TRIM(AO41))="FT",UPPER(TRIM(AO41))="FTE"),"FT",IF(AND(OR(ISNUMBER(SEARCH("part",AO41)),UPPER(TRIM(AO41))="PT",UPPER(TRIM(AO41))="PTE"),OR($P41="",N($P41)&gt;=PT_MinHours)),"PT","None"))))</f>
        <v/>
      </c>
      <c r="AS41" s="19" t="str">
        <f aca="false">IF(AG41=0,"",IF(AND(AI41&gt;=3,AL41&lt;=AsOfDate),AR41,IF(AND(AI41&gt;=2,AK41&lt;=AsOfDate),AQ41,AP41)))</f>
        <v>None</v>
      </c>
      <c r="AT41" s="19" t="n">
        <f aca="false">IF(AG41=0,"",IF(AsOfDate&lt;AH41,-1,12*(YEAR(AsOfDate)-YEAR(AH41))+MONTH(AsOfDate)-MONTH(AH41)-IF(DAY(AsOfDate)&lt;MIN(DAY(AH41),DAY(EOMONTH(AsOfDate,0))),1,0)))</f>
        <v>23</v>
      </c>
      <c r="AU41" s="19" t="n">
        <f aca="false">IF(AG41=0,"",IF(OR(AI41&lt;2,AK41&gt;AsOfDate),AT41,IF((AK41-1)&lt;AH41,-1,12*(YEAR((AK41-1))-YEAR(AH41))+MONTH((AK41-1))-MONTH(AH41)-IF(DAY((AK41-1))&lt;MIN(DAY(AH41),DAY(EOMONTH((AK41-1),0))),1,0))))</f>
        <v>23</v>
      </c>
      <c r="AV41" s="19" t="n">
        <f aca="false">IF(AG41=0,"",IF(OR(AI41&lt;3,AL41&gt;AsOfDate),AT41,IF((AL41-1)&lt;AH41,-1,12*(YEAR((AL41-1))-YEAR(AH41))+MONTH((AL41-1))-MONTH(AH41)-IF(DAY((AL41-1))&lt;MIN(DAY(AH41),DAY(EOMONTH((AL41-1),0))),1,0))))</f>
        <v>23</v>
      </c>
      <c r="AW41" s="19" t="n">
        <f aca="false">IF(AG41=0,"",IF(PFYDate&lt;AH41,-1,12*(YEAR(PFYDate)-YEAR(AH41))+MONTH(PFYDate)-MONTH(AH41)-IF(DAY(PFYDate)&lt;MIN(DAY(AH41),DAY(EOMONTH(PFYDate,0))),1,0)))</f>
        <v>-1</v>
      </c>
      <c r="AX41" s="19" t="n">
        <f aca="false">IF(AG41=0,"",IF(OR(AI41&lt;2,AK41&gt;PFYDate),AW41,IF((AK41-1)&lt;AH41,-1,12*(YEAR((AK41-1))-YEAR(AH41))+MONTH((AK41-1))-MONTH(AH41)-IF(DAY((AK41-1))&lt;MIN(DAY(AH41),DAY(EOMONTH((AK41-1),0))),1,0))))</f>
        <v>-1</v>
      </c>
      <c r="AY41" s="19" t="n">
        <f aca="false">IF(AG41=0,"",IF(OR(AI41&lt;3,AL41&gt;PFYDate),AW41,IF((AL41-1)&lt;AH41,-1,12*(YEAR((AL41-1))-YEAR(AH41))+MONTH((AL41-1))-MONTH(AH41)-IF(DAY((AL41-1))&lt;MIN(DAY(AH41),DAY(EOMONTH((AL41-1),0))),1,0))))</f>
        <v>-1</v>
      </c>
      <c r="AZ41" s="19" t="n">
        <f aca="false">IF(AG41=0,"",IF(AP41="FT",IF(AU41&lt;FT_First,0,IF(AU41&lt;FT_Y5,1+INT((AU41-FT_First)/FT_Int1),FT_PreY5+FT_PerYear*INT((AU41-FT_Y5)/12)+FT_AnnivDays+INT(MOD(AU41-FT_Y5,12)/FT_Int2))),IF(AP41="PT",IF(AU41&lt;PT_First,0,1+INT((AU41-PT_First)/PT_Int)),0))+IF(AND(AI41&gt;=2,AK41&lt;=AsOfDate),IF(AQ41="FT",IF(AV41&lt;FT_First,0,IF(AV41&lt;FT_Y5,1+INT((AV41-FT_First)/FT_Int1),FT_PreY5+FT_PerYear*INT((AV41-FT_Y5)/12)+FT_AnnivDays+INT(MOD(AV41-FT_Y5,12)/FT_Int2))),IF(AQ41="PT",IF(AV41&lt;PT_First,0,1+INT((AV41-PT_First)/PT_Int)),0))-IF(AQ41="FT",IF(AU41&lt;FT_First,0,IF(AU41&lt;FT_Y5,1+INT((AU41-FT_First)/FT_Int1),FT_PreY5+FT_PerYear*INT((AU41-FT_Y5)/12)+FT_AnnivDays+INT(MOD(AU41-FT_Y5,12)/FT_Int2))),IF(AQ41="PT",IF(AU41&lt;PT_First,0,1+INT((AU41-PT_First)/PT_Int)),0)),0)+IF(AND(AI41&gt;=3,AL41&lt;=AsOfDate),IF(AR41="FT",IF(AT41&lt;FT_First,0,IF(AT41&lt;FT_Y5,1+INT((AT41-FT_First)/FT_Int1),FT_PreY5+FT_PerYear*INT((AT41-FT_Y5)/12)+FT_AnnivDays+INT(MOD(AT41-FT_Y5,12)/FT_Int2))),IF(AR41="PT",IF(AT41&lt;PT_First,0,1+INT((AT41-PT_First)/PT_Int)),0))-IF(AR41="FT",IF(AV41&lt;FT_First,0,IF(AV41&lt;FT_Y5,1+INT((AV41-FT_First)/FT_Int1),FT_PreY5+FT_PerYear*INT((AV41-FT_Y5)/12)+FT_AnnivDays+INT(MOD(AV41-FT_Y5,12)/FT_Int2))),IF(AR41="PT",IF(AV41&lt;PT_First,0,1+INT((AV41-PT_First)/PT_Int)),0)),0))</f>
        <v>0</v>
      </c>
      <c r="BA41" s="19" t="n">
        <f aca="false">IF(AG41=0,"",IF(AP41="FT",IF(AX41&lt;FT_First,0,IF(AX41&lt;FT_Y5,1+INT((AX41-FT_First)/FT_Int1),FT_PreY5+FT_PerYear*INT((AX41-FT_Y5)/12)+FT_AnnivDays+INT(MOD(AX41-FT_Y5,12)/FT_Int2))),IF(AP41="PT",IF(AX41&lt;PT_First,0,1+INT((AX41-PT_First)/PT_Int)),0))+IF(AND(AI41&gt;=2,AK41&lt;=PFYDate),IF(AQ41="FT",IF(AY41&lt;FT_First,0,IF(AY41&lt;FT_Y5,1+INT((AY41-FT_First)/FT_Int1),FT_PreY5+FT_PerYear*INT((AY41-FT_Y5)/12)+FT_AnnivDays+INT(MOD(AY41-FT_Y5,12)/FT_Int2))),IF(AQ41="PT",IF(AY41&lt;PT_First,0,1+INT((AY41-PT_First)/PT_Int)),0))-IF(AQ41="FT",IF(AX41&lt;FT_First,0,IF(AX41&lt;FT_Y5,1+INT((AX41-FT_First)/FT_Int1),FT_PreY5+FT_PerYear*INT((AX41-FT_Y5)/12)+FT_AnnivDays+INT(MOD(AX41-FT_Y5,12)/FT_Int2))),IF(AQ41="PT",IF(AX41&lt;PT_First,0,1+INT((AX41-PT_First)/PT_Int)),0)),0)+IF(AND(AI41&gt;=3,AL41&lt;=PFYDate),IF(AR41="FT",IF(AW41&lt;FT_First,0,IF(AW41&lt;FT_Y5,1+INT((AW41-FT_First)/FT_Int1),FT_PreY5+FT_PerYear*INT((AW41-FT_Y5)/12)+FT_AnnivDays+INT(MOD(AW41-FT_Y5,12)/FT_Int2))),IF(AR41="PT",IF(AW41&lt;PT_First,0,1+INT((AW41-PT_First)/PT_Int)),0))-IF(AR41="FT",IF(AY41&lt;FT_First,0,IF(AY41&lt;FT_Y5,1+INT((AY41-FT_First)/FT_Int1),FT_PreY5+FT_PerYear*INT((AY41-FT_Y5)/12)+FT_AnnivDays+INT(MOD(AY41-FT_Y5,12)/FT_Int2))),IF(AR41="PT",IF(AY41&lt;PT_First,0,1+INT((AY41-PT_First)/PT_Int)),0)),0))</f>
        <v>0</v>
      </c>
      <c r="BB41" s="19" t="str">
        <f aca="false">IF(AG41=0,"",IF(AS41="FT",IF(AT41&lt;FT_First,FT_First,IF(AT41&lt;FT_Y5,MIN(FT_Y5,FT_First+FT_Int1*(INT((AT41-FT_First)/FT_Int1)+1)),FT_Y5+12*INT((AT41-FT_Y5)/12)+FT_Int2*(INT(MOD(AT41-FT_Y5,12)/FT_Int2)+1))),IF(AS41="PT",IF(AT41&lt;PT_First,PT_First,PT_First+PT_Int*(INT((AT41-PT_First)/PT_Int)+1)),"")))</f>
        <v/>
      </c>
      <c r="BC41" s="19" t="n">
        <f aca="false">IF(AG41=0,"",IF(NOT(LH_Ready),0,COUNTIFS(INDEX(LH_Data,0,LH_ColFirst),$A41,INDEX(LH_Data,0,LH_ColSur),$B41,INDEX(LH_Data,0,LH_ColCat),BonusCat)))</f>
        <v>0</v>
      </c>
      <c r="BD41" s="19" t="n">
        <f aca="false">IF(AG41=0,"",IF(OR(NOT(LH_Ready),BC41=0),0,SUMPRODUCT(MAX((INDEX(LH_Data,0,LH_ColFirst)=$A41)*(INDEX(LH_Data,0,LH_ColSur)=$B41)*(INDEX(LH_Data,0,LH_ColCat)=BonusCat)*ROW(LH_Data)))))</f>
        <v>0</v>
      </c>
      <c r="BE41" s="19" t="n">
        <f aca="false">IF(AG41=0,"",IF(EOMONTH(AsOfDate,-1)&lt;AH41,-1,12*(YEAR(EOMONTH(AsOfDate,-1))-YEAR(AH41))+MONTH(EOMONTH(AsOfDate,-1))-MONTH(AH41)-IF(DAY(EOMONTH(AsOfDate,-1))&lt;MIN(DAY(AH41),DAY(EOMONTH(EOMONTH(AsOfDate,-1),0))),1,0)))</f>
        <v>23</v>
      </c>
      <c r="BF41" s="19" t="n">
        <f aca="false">IF(AG41=0,"",IF(OR(AI41&lt;2,AK41&gt;EOMONTH(AsOfDate,-1)),BE41,IF((AK41-1)&lt;AH41,-1,12*(YEAR((AK41-1))-YEAR(AH41))+MONTH((AK41-1))-MONTH(AH41)-IF(DAY((AK41-1))&lt;MIN(DAY(AH41),DAY(EOMONTH((AK41-1),0))),1,0))))</f>
        <v>23</v>
      </c>
      <c r="BG41" s="19" t="n">
        <f aca="false">IF(AG41=0,"",IF(OR(AI41&lt;3,AL41&gt;EOMONTH(AsOfDate,-1)),BE41,IF((AL41-1)&lt;AH41,-1,12*(YEAR((AL41-1))-YEAR(AH41))+MONTH((AL41-1))-MONTH(AH41)-IF(DAY((AL41-1))&lt;MIN(DAY(AH41),DAY(EOMONTH((AL41-1),0))),1,0))))</f>
        <v>23</v>
      </c>
      <c r="BH41" s="19" t="n">
        <f aca="false">IF(AG41=0,"",IF(AP41="FT",IF(BF41&lt;FT_First,0,IF(BF41&lt;FT_Y5,1+INT((BF41-FT_First)/FT_Int1),FT_PreY5+FT_PerYear*INT((BF41-FT_Y5)/12)+FT_AnnivDays+INT(MOD(BF41-FT_Y5,12)/FT_Int2))),IF(AP41="PT",IF(BF41&lt;PT_First,0,1+INT((BF41-PT_First)/PT_Int)),0))+IF(AND(AI41&gt;=2,AK41&lt;=EOMONTH(AsOfDate,-1)),IF(AQ41="FT",IF(BG41&lt;FT_First,0,IF(BG41&lt;FT_Y5,1+INT((BG41-FT_First)/FT_Int1),FT_PreY5+FT_PerYear*INT((BG41-FT_Y5)/12)+FT_AnnivDays+INT(MOD(BG41-FT_Y5,12)/FT_Int2))),IF(AQ41="PT",IF(BG41&lt;PT_First,0,1+INT((BG41-PT_First)/PT_Int)),0))-IF(AQ41="FT",IF(BF41&lt;FT_First,0,IF(BF41&lt;FT_Y5,1+INT((BF41-FT_First)/FT_Int1),FT_PreY5+FT_PerYear*INT((BF41-FT_Y5)/12)+FT_AnnivDays+INT(MOD(BF41-FT_Y5,12)/FT_Int2))),IF(AQ41="PT",IF(BF41&lt;PT_First,0,1+INT((BF41-PT_First)/PT_Int)),0)),0)+IF(AND(AI41&gt;=3,AL41&lt;=EOMONTH(AsOfDate,-1)),IF(AR41="FT",IF(BE41&lt;FT_First,0,IF(BE41&lt;FT_Y5,1+INT((BE41-FT_First)/FT_Int1),FT_PreY5+FT_PerYear*INT((BE41-FT_Y5)/12)+FT_AnnivDays+INT(MOD(BE41-FT_Y5,12)/FT_Int2))),IF(AR41="PT",IF(BE41&lt;PT_First,0,1+INT((BE41-PT_First)/PT_Int)),0))-IF(AR41="FT",IF(BG41&lt;FT_First,0,IF(BG41&lt;FT_Y5,1+INT((BG41-FT_First)/FT_Int1),FT_PreY5+FT_PerYear*INT((BG41-FT_Y5)/12)+FT_AnnivDays+INT(MOD(BG41-FT_Y5,12)/FT_Int2))),IF(AR41="PT",IF(BG41&lt;PT_First,0,1+INT((BG41-PT_First)/PT_Int)),0)),0))</f>
        <v>0</v>
      </c>
      <c r="BI41" s="19" t="str">
        <f aca="false">IF(AG41=0,"",IF(AS41="FT",IF(AT41&lt;FT_First,"",IF(AT41&lt;FT_Y5,FT_First+FT_Int1*INT((AT41-FT_First)/FT_Int1),FT_Y5+FT_Int2*INT((AT41-FT_Y5)/FT_Int2))),IF(AS41="PT",IF(AT41&lt;PT_First,"",PT_First+PT_Int*INT((AT41-PT_First)/PT_Int)),"")))</f>
        <v/>
      </c>
      <c r="BJ41" s="0" t="str">
        <f aca="false">IF(LEN($A41&amp;$B41)=0,"",$A41&amp;" "&amp;$B41)</f>
        <v>Jeffrey Kempin</v>
      </c>
    </row>
    <row r="42" customFormat="false" ht="15" hidden="false" customHeight="false" outlineLevel="0" collapsed="false">
      <c r="A42" s="15" t="s">
        <v>213</v>
      </c>
      <c r="B42" s="15" t="s">
        <v>214</v>
      </c>
      <c r="C42" s="15" t="s">
        <v>138</v>
      </c>
      <c r="D42" s="16" t="n">
        <v>37013</v>
      </c>
      <c r="E42" s="17" t="n">
        <f aca="false">IF(OR(AG42=0,$D42=""),"",DATE(YEAR(AsOfDate)+IF(DATE(YEAR(AsOfDate),MONTH($D42),DAY($D42))&lt;=AsOfDate,1,0),MONTH($D42),DAY($D42)))</f>
        <v>46509</v>
      </c>
      <c r="F42" s="16" t="n">
        <v>46062</v>
      </c>
      <c r="G42" s="16"/>
      <c r="H42" s="16"/>
      <c r="I42" s="16"/>
      <c r="J42" s="16"/>
      <c r="K42" s="17" t="n">
        <f aca="false">IF(AG42=0,"",DATE(YEAR(AsOfDate)+IF(DATE(YEAR(AsOfDate),MONTH(AH42),DAY(AH42))&lt;=AsOfDate,1,0),MONTH(AH42),DAY(AH42)))</f>
        <v>46427</v>
      </c>
      <c r="L42" s="18" t="n">
        <f aca="false">IF(AG42=0,"",ROUND((AsOfDate-AH42)/365.25,1))</f>
        <v>0.7</v>
      </c>
      <c r="M42" s="19" t="str">
        <f aca="false">IF(AG42=0,"",IF(AsOfDate&lt;AH42,"-",DATEDIF(AH42,AsOfDate,"y")&amp;"y "&amp;DATEDIF(AH42,AsOfDate,"ym")&amp;"m "&amp;DATEDIF(AH42,AsOfDate,"md")&amp;"d"))</f>
        <v>0y 7m 27d</v>
      </c>
      <c r="N42" s="20" t="n">
        <f aca="false">IF(AG42=0,"",O42*HoursPerDay)</f>
        <v>0</v>
      </c>
      <c r="O42" s="20" t="n">
        <f aca="false">IF(AG42=0,"",AZ42)</f>
        <v>0</v>
      </c>
      <c r="P42" s="21"/>
      <c r="Q42" s="19"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19"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17" t="str">
        <f aca="false">IF(AG42=0,"",IF(AS42="None","",EDATE(AH42,BB42)))</f>
        <v/>
      </c>
      <c r="T42" s="20" t="n">
        <f aca="false">IF(AG42=0,"",IF(NOT(LH_Ready),"",IF(AH42&gt;PFYDate,0,IF(LH_ColPeriod=0,W42-U42+V42,SUMIFS(INDEX(LH_Data,0,LH_ColAcc),INDEX(LH_Data,0,LH_ColFirst),$A42,INDEX(LH_Data,0,LH_ColSur),$B42,INDEX(LH_Data,0,LH_ColCat),BonusCat,INDEX(LH_Data,0,LH_ColPeriod),LH_OpenLabel)*UnitFactor))))</f>
        <v>0</v>
      </c>
      <c r="U42" s="20" t="n">
        <f aca="false">IF(AG42=0,"",IF(NOT(LH_Ready),"",SUMIFS(INDEX(LH_Data,0,LH_ColAcc),INDEX(LH_Data,0,LH_ColFirst),$A42,INDEX(LH_Data,0,LH_ColSur),$B42,INDEX(LH_Data,0,LH_ColCat),BonusCat,INDEX(LH_Data,0,LH_ColStart),"&gt;="&amp;AH42)*UnitFactor))</f>
        <v>0</v>
      </c>
      <c r="V42" s="20" t="n">
        <f aca="false">IF(AG42=0,"",IF(NOT(LH_Ready),"",SUMIFS(INDEX(LH_Data,0,LH_ColTaken),INDEX(LH_Data,0,LH_ColFirst),$A42,INDEX(LH_Data,0,LH_ColSur),$B42,INDEX(LH_Data,0,LH_ColCat),BonusCat,INDEX(LH_Data,0,LH_ColStart),"&gt;="&amp;AH42)*UnitFactor))</f>
        <v>0</v>
      </c>
      <c r="W42" s="20" t="n">
        <f aca="false">IF(AG42=0,"",IF(NOT(LH_Ready),"",IF(BD42=0,0,INDEX(INDEX(LH_Data,0,LH_ColClose),BD42-1)*UnitFactor)))</f>
        <v>0</v>
      </c>
      <c r="X42" s="20" t="n">
        <f aca="false">IF(AG42=0,"",(AZ42-BA42)*HoursPerDay)</f>
        <v>0</v>
      </c>
      <c r="Y42" s="20" t="n">
        <f aca="false">IF(AG42=0,"",IF(NOT(LH_Ready),"",IF(BC42=0,N42,IF(PFYDate&lt;$F42,N42-N(T42)-N(U42),X42-N(U42)))))</f>
        <v>0</v>
      </c>
      <c r="Z42" s="19" t="str">
        <f aca="false">IF(OR(AG42=0,Y42=""),"",IF(Y42&gt;0,"Yes","No"))</f>
        <v>No</v>
      </c>
      <c r="AA42" s="19"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Not eligible - Casual</v>
      </c>
      <c r="AB42" s="20" t="n">
        <f aca="false">IF(OR(AG42=0,T42=""),"",BA42*HoursPerDay-T42)</f>
        <v>0</v>
      </c>
      <c r="AC42" s="19" t="n">
        <f aca="false">IF(AG42=0,"",BC42)</f>
        <v>0</v>
      </c>
      <c r="AD42" s="19"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20" t="n">
        <f aca="false">IF(AG42=0,"",O42-BH42)</f>
        <v>0</v>
      </c>
      <c r="AF42" s="17" t="str">
        <f aca="false">IF(OR(AG42=0,AE42="",N(AE42)=0,BI42=""),"",EDATE(AH42,BI42))</f>
        <v/>
      </c>
      <c r="AG42" s="19" t="n">
        <f aca="false">IF(OR(LEN($A42&amp;$B42)=0,$F42=""),0,1)</f>
        <v>1</v>
      </c>
      <c r="AH42" s="17" t="n">
        <f aca="false">IF(AG42=0,"",IF($J42&lt;&gt;"",$J42,IF(OR(CasualCounts="Yes",COUNT($G42:$I42)=0,COUNT($H42:$I42)=0),$F42,MIN($H42:$I42))))</f>
        <v>46062</v>
      </c>
      <c r="AI42" s="19" t="n">
        <f aca="false">IF(AG42=0,"",COUNT($G42:$I42))</f>
        <v>0</v>
      </c>
      <c r="AJ42" s="17" t="str">
        <f aca="false">IF(AG42=0,"",IFERROR(SMALL($G42:$I42,1),""))</f>
        <v/>
      </c>
      <c r="AK42" s="17" t="str">
        <f aca="false">IF(AG42=0,"",IFERROR(SMALL($G42:$I42,2),""))</f>
        <v/>
      </c>
      <c r="AL42" s="17" t="str">
        <f aca="false">IF(AG42=0,"",IFERROR(SMALL($G42:$I42,3),""))</f>
        <v/>
      </c>
      <c r="AM42" s="19" t="str">
        <f aca="false">IF(AG42=0,"",IF(AJ42="","",IF(AJ42=$H42,"Part-Time",IF(AJ42=$I42,"Full-Time","Casual"))))</f>
        <v/>
      </c>
      <c r="AN42" s="19" t="str">
        <f aca="false">IF(AG42=0,"",IF(AK42="","",IF(AK42=$H42,"Part-Time",IF(AK42=$I42,"Full-Time","Casual"))))</f>
        <v/>
      </c>
      <c r="AO42" s="19" t="str">
        <f aca="false">IF(AG42=0,"",IF(AL42="","",IF(AL42=$H42,"Part-Time",IF(AL42=$I42,"Full-Time","Casual"))))</f>
        <v/>
      </c>
      <c r="AP42" s="19"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None</v>
      </c>
      <c r="AQ42" s="19" t="str">
        <f aca="false">IF(AG42=0,"",IF(AI42&lt;2,"",IF(OR(ISNUMBER(SEARCH("full",AN42)),UPPER(TRIM(AN42))="FT",UPPER(TRIM(AN42))="FTE"),"FT",IF(AND(OR(ISNUMBER(SEARCH("part",AN42)),UPPER(TRIM(AN42))="PT",UPPER(TRIM(AN42))="PTE"),OR($P42="",N($P42)&gt;=PT_MinHours)),"PT","None"))))</f>
        <v/>
      </c>
      <c r="AR42" s="19" t="str">
        <f aca="false">IF(AG42=0,"",IF(AI42&lt;3,"",IF(OR(ISNUMBER(SEARCH("full",AO42)),UPPER(TRIM(AO42))="FT",UPPER(TRIM(AO42))="FTE"),"FT",IF(AND(OR(ISNUMBER(SEARCH("part",AO42)),UPPER(TRIM(AO42))="PT",UPPER(TRIM(AO42))="PTE"),OR($P42="",N($P42)&gt;=PT_MinHours)),"PT","None"))))</f>
        <v/>
      </c>
      <c r="AS42" s="19" t="str">
        <f aca="false">IF(AG42=0,"",IF(AND(AI42&gt;=3,AL42&lt;=AsOfDate),AR42,IF(AND(AI42&gt;=2,AK42&lt;=AsOfDate),AQ42,AP42)))</f>
        <v>None</v>
      </c>
      <c r="AT42" s="19" t="n">
        <f aca="false">IF(AG42=0,"",IF(AsOfDate&lt;AH42,-1,12*(YEAR(AsOfDate)-YEAR(AH42))+MONTH(AsOfDate)-MONTH(AH42)-IF(DAY(AsOfDate)&lt;MIN(DAY(AH42),DAY(EOMONTH(AsOfDate,0))),1,0)))</f>
        <v>7</v>
      </c>
      <c r="AU42" s="19" t="n">
        <f aca="false">IF(AG42=0,"",IF(OR(AI42&lt;2,AK42&gt;AsOfDate),AT42,IF((AK42-1)&lt;AH42,-1,12*(YEAR((AK42-1))-YEAR(AH42))+MONTH((AK42-1))-MONTH(AH42)-IF(DAY((AK42-1))&lt;MIN(DAY(AH42),DAY(EOMONTH((AK42-1),0))),1,0))))</f>
        <v>7</v>
      </c>
      <c r="AV42" s="19" t="n">
        <f aca="false">IF(AG42=0,"",IF(OR(AI42&lt;3,AL42&gt;AsOfDate),AT42,IF((AL42-1)&lt;AH42,-1,12*(YEAR((AL42-1))-YEAR(AH42))+MONTH((AL42-1))-MONTH(AH42)-IF(DAY((AL42-1))&lt;MIN(DAY(AH42),DAY(EOMONTH((AL42-1),0))),1,0))))</f>
        <v>7</v>
      </c>
      <c r="AW42" s="19" t="n">
        <f aca="false">IF(AG42=0,"",IF(PFYDate&lt;AH42,-1,12*(YEAR(PFYDate)-YEAR(AH42))+MONTH(PFYDate)-MONTH(AH42)-IF(DAY(PFYDate)&lt;MIN(DAY(AH42),DAY(EOMONTH(PFYDate,0))),1,0)))</f>
        <v>-1</v>
      </c>
      <c r="AX42" s="19" t="n">
        <f aca="false">IF(AG42=0,"",IF(OR(AI42&lt;2,AK42&gt;PFYDate),AW42,IF((AK42-1)&lt;AH42,-1,12*(YEAR((AK42-1))-YEAR(AH42))+MONTH((AK42-1))-MONTH(AH42)-IF(DAY((AK42-1))&lt;MIN(DAY(AH42),DAY(EOMONTH((AK42-1),0))),1,0))))</f>
        <v>-1</v>
      </c>
      <c r="AY42" s="19" t="n">
        <f aca="false">IF(AG42=0,"",IF(OR(AI42&lt;3,AL42&gt;PFYDate),AW42,IF((AL42-1)&lt;AH42,-1,12*(YEAR((AL42-1))-YEAR(AH42))+MONTH((AL42-1))-MONTH(AH42)-IF(DAY((AL42-1))&lt;MIN(DAY(AH42),DAY(EOMONTH((AL42-1),0))),1,0))))</f>
        <v>-1</v>
      </c>
      <c r="AZ42" s="19" t="n">
        <f aca="false">IF(AG42=0,"",IF(AP42="FT",IF(AU42&lt;FT_First,0,IF(AU42&lt;FT_Y5,1+INT((AU42-FT_First)/FT_Int1),FT_PreY5+FT_PerYear*INT((AU42-FT_Y5)/12)+FT_AnnivDays+INT(MOD(AU42-FT_Y5,12)/FT_Int2))),IF(AP42="PT",IF(AU42&lt;PT_First,0,1+INT((AU42-PT_First)/PT_Int)),0))+IF(AND(AI42&gt;=2,AK42&lt;=AsOfDate),IF(AQ42="FT",IF(AV42&lt;FT_First,0,IF(AV42&lt;FT_Y5,1+INT((AV42-FT_First)/FT_Int1),FT_PreY5+FT_PerYear*INT((AV42-FT_Y5)/12)+FT_AnnivDays+INT(MOD(AV42-FT_Y5,12)/FT_Int2))),IF(AQ42="PT",IF(AV42&lt;PT_First,0,1+INT((AV42-PT_First)/PT_Int)),0))-IF(AQ42="FT",IF(AU42&lt;FT_First,0,IF(AU42&lt;FT_Y5,1+INT((AU42-FT_First)/FT_Int1),FT_PreY5+FT_PerYear*INT((AU42-FT_Y5)/12)+FT_AnnivDays+INT(MOD(AU42-FT_Y5,12)/FT_Int2))),IF(AQ42="PT",IF(AU42&lt;PT_First,0,1+INT((AU42-PT_First)/PT_Int)),0)),0)+IF(AND(AI42&gt;=3,AL42&lt;=AsOfDate),IF(AR42="FT",IF(AT42&lt;FT_First,0,IF(AT42&lt;FT_Y5,1+INT((AT42-FT_First)/FT_Int1),FT_PreY5+FT_PerYear*INT((AT42-FT_Y5)/12)+FT_AnnivDays+INT(MOD(AT42-FT_Y5,12)/FT_Int2))),IF(AR42="PT",IF(AT42&lt;PT_First,0,1+INT((AT42-PT_First)/PT_Int)),0))-IF(AR42="FT",IF(AV42&lt;FT_First,0,IF(AV42&lt;FT_Y5,1+INT((AV42-FT_First)/FT_Int1),FT_PreY5+FT_PerYear*INT((AV42-FT_Y5)/12)+FT_AnnivDays+INT(MOD(AV42-FT_Y5,12)/FT_Int2))),IF(AR42="PT",IF(AV42&lt;PT_First,0,1+INT((AV42-PT_First)/PT_Int)),0)),0))</f>
        <v>0</v>
      </c>
      <c r="BA42" s="19" t="n">
        <f aca="false">IF(AG42=0,"",IF(AP42="FT",IF(AX42&lt;FT_First,0,IF(AX42&lt;FT_Y5,1+INT((AX42-FT_First)/FT_Int1),FT_PreY5+FT_PerYear*INT((AX42-FT_Y5)/12)+FT_AnnivDays+INT(MOD(AX42-FT_Y5,12)/FT_Int2))),IF(AP42="PT",IF(AX42&lt;PT_First,0,1+INT((AX42-PT_First)/PT_Int)),0))+IF(AND(AI42&gt;=2,AK42&lt;=PFYDate),IF(AQ42="FT",IF(AY42&lt;FT_First,0,IF(AY42&lt;FT_Y5,1+INT((AY42-FT_First)/FT_Int1),FT_PreY5+FT_PerYear*INT((AY42-FT_Y5)/12)+FT_AnnivDays+INT(MOD(AY42-FT_Y5,12)/FT_Int2))),IF(AQ42="PT",IF(AY42&lt;PT_First,0,1+INT((AY42-PT_First)/PT_Int)),0))-IF(AQ42="FT",IF(AX42&lt;FT_First,0,IF(AX42&lt;FT_Y5,1+INT((AX42-FT_First)/FT_Int1),FT_PreY5+FT_PerYear*INT((AX42-FT_Y5)/12)+FT_AnnivDays+INT(MOD(AX42-FT_Y5,12)/FT_Int2))),IF(AQ42="PT",IF(AX42&lt;PT_First,0,1+INT((AX42-PT_First)/PT_Int)),0)),0)+IF(AND(AI42&gt;=3,AL42&lt;=PFYDate),IF(AR42="FT",IF(AW42&lt;FT_First,0,IF(AW42&lt;FT_Y5,1+INT((AW42-FT_First)/FT_Int1),FT_PreY5+FT_PerYear*INT((AW42-FT_Y5)/12)+FT_AnnivDays+INT(MOD(AW42-FT_Y5,12)/FT_Int2))),IF(AR42="PT",IF(AW42&lt;PT_First,0,1+INT((AW42-PT_First)/PT_Int)),0))-IF(AR42="FT",IF(AY42&lt;FT_First,0,IF(AY42&lt;FT_Y5,1+INT((AY42-FT_First)/FT_Int1),FT_PreY5+FT_PerYear*INT((AY42-FT_Y5)/12)+FT_AnnivDays+INT(MOD(AY42-FT_Y5,12)/FT_Int2))),IF(AR42="PT",IF(AY42&lt;PT_First,0,1+INT((AY42-PT_First)/PT_Int)),0)),0))</f>
        <v>0</v>
      </c>
      <c r="BB42" s="19" t="str">
        <f aca="false">IF(AG42=0,"",IF(AS42="FT",IF(AT42&lt;FT_First,FT_First,IF(AT42&lt;FT_Y5,MIN(FT_Y5,FT_First+FT_Int1*(INT((AT42-FT_First)/FT_Int1)+1)),FT_Y5+12*INT((AT42-FT_Y5)/12)+FT_Int2*(INT(MOD(AT42-FT_Y5,12)/FT_Int2)+1))),IF(AS42="PT",IF(AT42&lt;PT_First,PT_First,PT_First+PT_Int*(INT((AT42-PT_First)/PT_Int)+1)),"")))</f>
        <v/>
      </c>
      <c r="BC42" s="19" t="n">
        <f aca="false">IF(AG42=0,"",IF(NOT(LH_Ready),0,COUNTIFS(INDEX(LH_Data,0,LH_ColFirst),$A42,INDEX(LH_Data,0,LH_ColSur),$B42,INDEX(LH_Data,0,LH_ColCat),BonusCat)))</f>
        <v>0</v>
      </c>
      <c r="BD42" s="19" t="n">
        <f aca="false">IF(AG42=0,"",IF(OR(NOT(LH_Ready),BC42=0),0,SUMPRODUCT(MAX((INDEX(LH_Data,0,LH_ColFirst)=$A42)*(INDEX(LH_Data,0,LH_ColSur)=$B42)*(INDEX(LH_Data,0,LH_ColCat)=BonusCat)*ROW(LH_Data)))))</f>
        <v>0</v>
      </c>
      <c r="BE42" s="19" t="n">
        <f aca="false">IF(AG42=0,"",IF(EOMONTH(AsOfDate,-1)&lt;AH42,-1,12*(YEAR(EOMONTH(AsOfDate,-1))-YEAR(AH42))+MONTH(EOMONTH(AsOfDate,-1))-MONTH(AH42)-IF(DAY(EOMONTH(AsOfDate,-1))&lt;MIN(DAY(AH42),DAY(EOMONTH(EOMONTH(AsOfDate,-1),0))),1,0)))</f>
        <v>7</v>
      </c>
      <c r="BF42" s="19" t="n">
        <f aca="false">IF(AG42=0,"",IF(OR(AI42&lt;2,AK42&gt;EOMONTH(AsOfDate,-1)),BE42,IF((AK42-1)&lt;AH42,-1,12*(YEAR((AK42-1))-YEAR(AH42))+MONTH((AK42-1))-MONTH(AH42)-IF(DAY((AK42-1))&lt;MIN(DAY(AH42),DAY(EOMONTH((AK42-1),0))),1,0))))</f>
        <v>7</v>
      </c>
      <c r="BG42" s="19" t="n">
        <f aca="false">IF(AG42=0,"",IF(OR(AI42&lt;3,AL42&gt;EOMONTH(AsOfDate,-1)),BE42,IF((AL42-1)&lt;AH42,-1,12*(YEAR((AL42-1))-YEAR(AH42))+MONTH((AL42-1))-MONTH(AH42)-IF(DAY((AL42-1))&lt;MIN(DAY(AH42),DAY(EOMONTH((AL42-1),0))),1,0))))</f>
        <v>7</v>
      </c>
      <c r="BH42" s="19" t="n">
        <f aca="false">IF(AG42=0,"",IF(AP42="FT",IF(BF42&lt;FT_First,0,IF(BF42&lt;FT_Y5,1+INT((BF42-FT_First)/FT_Int1),FT_PreY5+FT_PerYear*INT((BF42-FT_Y5)/12)+FT_AnnivDays+INT(MOD(BF42-FT_Y5,12)/FT_Int2))),IF(AP42="PT",IF(BF42&lt;PT_First,0,1+INT((BF42-PT_First)/PT_Int)),0))+IF(AND(AI42&gt;=2,AK42&lt;=EOMONTH(AsOfDate,-1)),IF(AQ42="FT",IF(BG42&lt;FT_First,0,IF(BG42&lt;FT_Y5,1+INT((BG42-FT_First)/FT_Int1),FT_PreY5+FT_PerYear*INT((BG42-FT_Y5)/12)+FT_AnnivDays+INT(MOD(BG42-FT_Y5,12)/FT_Int2))),IF(AQ42="PT",IF(BG42&lt;PT_First,0,1+INT((BG42-PT_First)/PT_Int)),0))-IF(AQ42="FT",IF(BF42&lt;FT_First,0,IF(BF42&lt;FT_Y5,1+INT((BF42-FT_First)/FT_Int1),FT_PreY5+FT_PerYear*INT((BF42-FT_Y5)/12)+FT_AnnivDays+INT(MOD(BF42-FT_Y5,12)/FT_Int2))),IF(AQ42="PT",IF(BF42&lt;PT_First,0,1+INT((BF42-PT_First)/PT_Int)),0)),0)+IF(AND(AI42&gt;=3,AL42&lt;=EOMONTH(AsOfDate,-1)),IF(AR42="FT",IF(BE42&lt;FT_First,0,IF(BE42&lt;FT_Y5,1+INT((BE42-FT_First)/FT_Int1),FT_PreY5+FT_PerYear*INT((BE42-FT_Y5)/12)+FT_AnnivDays+INT(MOD(BE42-FT_Y5,12)/FT_Int2))),IF(AR42="PT",IF(BE42&lt;PT_First,0,1+INT((BE42-PT_First)/PT_Int)),0))-IF(AR42="FT",IF(BG42&lt;FT_First,0,IF(BG42&lt;FT_Y5,1+INT((BG42-FT_First)/FT_Int1),FT_PreY5+FT_PerYear*INT((BG42-FT_Y5)/12)+FT_AnnivDays+INT(MOD(BG42-FT_Y5,12)/FT_Int2))),IF(AR42="PT",IF(BG42&lt;PT_First,0,1+INT((BG42-PT_First)/PT_Int)),0)),0))</f>
        <v>0</v>
      </c>
      <c r="BI42" s="19" t="str">
        <f aca="false">IF(AG42=0,"",IF(AS42="FT",IF(AT42&lt;FT_First,"",IF(AT42&lt;FT_Y5,FT_First+FT_Int1*INT((AT42-FT_First)/FT_Int1),FT_Y5+FT_Int2*INT((AT42-FT_Y5)/FT_Int2))),IF(AS42="PT",IF(AT42&lt;PT_First,"",PT_First+PT_Int*INT((AT42-PT_First)/PT_Int)),"")))</f>
        <v/>
      </c>
      <c r="BJ42" s="0" t="str">
        <f aca="false">IF(LEN($A42&amp;$B42)=0,"",$A42&amp;" "&amp;$B42)</f>
        <v>Jeremy Alysandratos</v>
      </c>
    </row>
    <row r="43" customFormat="false" ht="15" hidden="false" customHeight="false" outlineLevel="0" collapsed="false">
      <c r="A43" s="15" t="s">
        <v>215</v>
      </c>
      <c r="B43" s="15" t="s">
        <v>216</v>
      </c>
      <c r="C43" s="15" t="s">
        <v>153</v>
      </c>
      <c r="D43" s="16" t="n">
        <v>33605</v>
      </c>
      <c r="E43" s="17" t="n">
        <f aca="false">IF(OR(AG43=0,$D43=""),"",DATE(YEAR(AsOfDate)+IF(DATE(YEAR(AsOfDate),MONTH($D43),DAY($D43))&lt;=AsOfDate,1,0),MONTH($D43),DAY($D43)))</f>
        <v>46389</v>
      </c>
      <c r="F43" s="16" t="n">
        <v>45187</v>
      </c>
      <c r="G43" s="16" t="n">
        <v>45187</v>
      </c>
      <c r="H43" s="16"/>
      <c r="I43" s="16" t="n">
        <v>46049</v>
      </c>
      <c r="J43" s="16"/>
      <c r="K43" s="17" t="n">
        <f aca="false">IF(AG43=0,"",DATE(YEAR(AsOfDate)+IF(DATE(YEAR(AsOfDate),MONTH(AH43),DAY(AH43))&lt;=AsOfDate,1,0),MONTH(AH43),DAY(AH43)))</f>
        <v>46414</v>
      </c>
      <c r="L43" s="18" t="n">
        <f aca="false">IF(AG43=0,"",ROUND((AsOfDate-AH43)/365.25,1))</f>
        <v>0.7</v>
      </c>
      <c r="M43" s="19" t="str">
        <f aca="false">IF(AG43=0,"",IF(AsOfDate&lt;AH43,"-",DATEDIF(AH43,AsOfDate,"y")&amp;"y "&amp;DATEDIF(AH43,AsOfDate,"ym")&amp;"m "&amp;DATEDIF(AH43,AsOfDate,"md")&amp;"d"))</f>
        <v>0y 8m 9d</v>
      </c>
      <c r="N43" s="20" t="n">
        <f aca="false">IF(AG43=0,"",O43*HoursPerDay)</f>
        <v>0</v>
      </c>
      <c r="O43" s="20" t="n">
        <f aca="false">IF(AG43=0,"",AZ43)</f>
        <v>0</v>
      </c>
      <c r="P43" s="21"/>
      <c r="Q43" s="19"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Casual to Full-Time on 27/01/2026 - commencement for Bonus Leave</v>
      </c>
      <c r="R43" s="19"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17" t="n">
        <f aca="false">IF(AG43=0,"",IF(AS43="None","",EDATE(AH43,BB43)))</f>
        <v>47145</v>
      </c>
      <c r="T43" s="20" t="n">
        <f aca="false">IF(AG43=0,"",IF(NOT(LH_Ready),"",IF(AH43&gt;PFYDate,0,IF(LH_ColPeriod=0,W43-U43+V43,SUMIFS(INDEX(LH_Data,0,LH_ColAcc),INDEX(LH_Data,0,LH_ColFirst),$A43,INDEX(LH_Data,0,LH_ColSur),$B43,INDEX(LH_Data,0,LH_ColCat),BonusCat,INDEX(LH_Data,0,LH_ColPeriod),LH_OpenLabel)*UnitFactor))))</f>
        <v>0</v>
      </c>
      <c r="U43" s="20" t="n">
        <f aca="false">IF(AG43=0,"",IF(NOT(LH_Ready),"",SUMIFS(INDEX(LH_Data,0,LH_ColAcc),INDEX(LH_Data,0,LH_ColFirst),$A43,INDEX(LH_Data,0,LH_ColSur),$B43,INDEX(LH_Data,0,LH_ColCat),BonusCat,INDEX(LH_Data,0,LH_ColStart),"&gt;="&amp;AH43)*UnitFactor))</f>
        <v>0</v>
      </c>
      <c r="V43" s="20" t="n">
        <f aca="false">IF(AG43=0,"",IF(NOT(LH_Ready),"",SUMIFS(INDEX(LH_Data,0,LH_ColTaken),INDEX(LH_Data,0,LH_ColFirst),$A43,INDEX(LH_Data,0,LH_ColSur),$B43,INDEX(LH_Data,0,LH_ColCat),BonusCat,INDEX(LH_Data,0,LH_ColStart),"&gt;="&amp;AH43)*UnitFactor))</f>
        <v>0</v>
      </c>
      <c r="W43" s="20" t="n">
        <f aca="false">IF(AG43=0,"",IF(NOT(LH_Ready),"",IF(BD43=0,0,INDEX(INDEX(LH_Data,0,LH_ColClose),BD43-1)*UnitFactor)))</f>
        <v>0</v>
      </c>
      <c r="X43" s="20" t="n">
        <f aca="false">IF(AG43=0,"",(AZ43-BA43)*HoursPerDay)</f>
        <v>0</v>
      </c>
      <c r="Y43" s="20" t="n">
        <f aca="false">IF(AG43=0,"",IF(NOT(LH_Ready),"",IF(BC43=0,N43,IF(PFYDate&lt;$F43,N43-N(T43)-N(U43),X43-N(U43)))))</f>
        <v>0</v>
      </c>
      <c r="Z43" s="19" t="str">
        <f aca="false">IF(OR(AG43=0,Y43=""),"",IF(Y43&gt;0,"Yes","No"))</f>
        <v>No</v>
      </c>
      <c r="AA43" s="19"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Not yet - first day on 27/01/2029</v>
      </c>
      <c r="AB43" s="20" t="n">
        <f aca="false">IF(OR(AG43=0,T43=""),"",BA43*HoursPerDay-T43)</f>
        <v>0</v>
      </c>
      <c r="AC43" s="19" t="n">
        <f aca="false">IF(AG43=0,"",BC43)</f>
        <v>0</v>
      </c>
      <c r="AD43" s="19"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20" t="n">
        <f aca="false">IF(AG43=0,"",O43-BH43)</f>
        <v>0</v>
      </c>
      <c r="AF43" s="17" t="str">
        <f aca="false">IF(OR(AG43=0,AE43="",N(AE43)=0,BI43=""),"",EDATE(AH43,BI43))</f>
        <v/>
      </c>
      <c r="AG43" s="19" t="n">
        <f aca="false">IF(OR(LEN($A43&amp;$B43)=0,$F43=""),0,1)</f>
        <v>1</v>
      </c>
      <c r="AH43" s="17" t="n">
        <f aca="false">IF(AG43=0,"",IF($J43&lt;&gt;"",$J43,IF(OR(CasualCounts="Yes",COUNT($G43:$I43)=0,COUNT($H43:$I43)=0),$F43,MIN($H43:$I43))))</f>
        <v>46049</v>
      </c>
      <c r="AI43" s="19" t="n">
        <f aca="false">IF(AG43=0,"",COUNT($G43:$I43))</f>
        <v>2</v>
      </c>
      <c r="AJ43" s="17" t="n">
        <f aca="false">IF(AG43=0,"",IFERROR(SMALL($G43:$I43,1),""))</f>
        <v>45187</v>
      </c>
      <c r="AK43" s="17" t="n">
        <f aca="false">IF(AG43=0,"",IFERROR(SMALL($G43:$I43,2),""))</f>
        <v>46049</v>
      </c>
      <c r="AL43" s="17" t="str">
        <f aca="false">IF(AG43=0,"",IFERROR(SMALL($G43:$I43,3),""))</f>
        <v/>
      </c>
      <c r="AM43" s="19" t="str">
        <f aca="false">IF(AG43=0,"",IF(AJ43="","",IF(AJ43=$H43,"Part-Time",IF(AJ43=$I43,"Full-Time","Casual"))))</f>
        <v>Casual</v>
      </c>
      <c r="AN43" s="19" t="str">
        <f aca="false">IF(AG43=0,"",IF(AK43="","",IF(AK43=$H43,"Part-Time",IF(AK43=$I43,"Full-Time","Casual"))))</f>
        <v>Full-Time</v>
      </c>
      <c r="AO43" s="19" t="str">
        <f aca="false">IF(AG43=0,"",IF(AL43="","",IF(AL43=$H43,"Part-Time",IF(AL43=$I43,"Full-Time","Casual"))))</f>
        <v/>
      </c>
      <c r="AP43" s="19"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None</v>
      </c>
      <c r="AQ43" s="19" t="str">
        <f aca="false">IF(AG43=0,"",IF(AI43&lt;2,"",IF(OR(ISNUMBER(SEARCH("full",AN43)),UPPER(TRIM(AN43))="FT",UPPER(TRIM(AN43))="FTE"),"FT",IF(AND(OR(ISNUMBER(SEARCH("part",AN43)),UPPER(TRIM(AN43))="PT",UPPER(TRIM(AN43))="PTE"),OR($P43="",N($P43)&gt;=PT_MinHours)),"PT","None"))))</f>
        <v>FT</v>
      </c>
      <c r="AR43" s="19" t="str">
        <f aca="false">IF(AG43=0,"",IF(AI43&lt;3,"",IF(OR(ISNUMBER(SEARCH("full",AO43)),UPPER(TRIM(AO43))="FT",UPPER(TRIM(AO43))="FTE"),"FT",IF(AND(OR(ISNUMBER(SEARCH("part",AO43)),UPPER(TRIM(AO43))="PT",UPPER(TRIM(AO43))="PTE"),OR($P43="",N($P43)&gt;=PT_MinHours)),"PT","None"))))</f>
        <v/>
      </c>
      <c r="AS43" s="19" t="str">
        <f aca="false">IF(AG43=0,"",IF(AND(AI43&gt;=3,AL43&lt;=AsOfDate),AR43,IF(AND(AI43&gt;=2,AK43&lt;=AsOfDate),AQ43,AP43)))</f>
        <v>FT</v>
      </c>
      <c r="AT43" s="19" t="n">
        <f aca="false">IF(AG43=0,"",IF(AsOfDate&lt;AH43,-1,12*(YEAR(AsOfDate)-YEAR(AH43))+MONTH(AsOfDate)-MONTH(AH43)-IF(DAY(AsOfDate)&lt;MIN(DAY(AH43),DAY(EOMONTH(AsOfDate,0))),1,0)))</f>
        <v>8</v>
      </c>
      <c r="AU43" s="19" t="n">
        <f aca="false">IF(AG43=0,"",IF(OR(AI43&lt;2,AK43&gt;AsOfDate),AT43,IF((AK43-1)&lt;AH43,-1,12*(YEAR((AK43-1))-YEAR(AH43))+MONTH((AK43-1))-MONTH(AH43)-IF(DAY((AK43-1))&lt;MIN(DAY(AH43),DAY(EOMONTH((AK43-1),0))),1,0))))</f>
        <v>-1</v>
      </c>
      <c r="AV43" s="19" t="n">
        <f aca="false">IF(AG43=0,"",IF(OR(AI43&lt;3,AL43&gt;AsOfDate),AT43,IF((AL43-1)&lt;AH43,-1,12*(YEAR((AL43-1))-YEAR(AH43))+MONTH((AL43-1))-MONTH(AH43)-IF(DAY((AL43-1))&lt;MIN(DAY(AH43),DAY(EOMONTH((AL43-1),0))),1,0))))</f>
        <v>8</v>
      </c>
      <c r="AW43" s="19" t="n">
        <f aca="false">IF(AG43=0,"",IF(PFYDate&lt;AH43,-1,12*(YEAR(PFYDate)-YEAR(AH43))+MONTH(PFYDate)-MONTH(AH43)-IF(DAY(PFYDate)&lt;MIN(DAY(AH43),DAY(EOMONTH(PFYDate,0))),1,0)))</f>
        <v>-1</v>
      </c>
      <c r="AX43" s="19" t="n">
        <f aca="false">IF(AG43=0,"",IF(OR(AI43&lt;2,AK43&gt;PFYDate),AW43,IF((AK43-1)&lt;AH43,-1,12*(YEAR((AK43-1))-YEAR(AH43))+MONTH((AK43-1))-MONTH(AH43)-IF(DAY((AK43-1))&lt;MIN(DAY(AH43),DAY(EOMONTH((AK43-1),0))),1,0))))</f>
        <v>-1</v>
      </c>
      <c r="AY43" s="19" t="n">
        <f aca="false">IF(AG43=0,"",IF(OR(AI43&lt;3,AL43&gt;PFYDate),AW43,IF((AL43-1)&lt;AH43,-1,12*(YEAR((AL43-1))-YEAR(AH43))+MONTH((AL43-1))-MONTH(AH43)-IF(DAY((AL43-1))&lt;MIN(DAY(AH43),DAY(EOMONTH((AL43-1),0))),1,0))))</f>
        <v>-1</v>
      </c>
      <c r="AZ43" s="19" t="n">
        <f aca="false">IF(AG43=0,"",IF(AP43="FT",IF(AU43&lt;FT_First,0,IF(AU43&lt;FT_Y5,1+INT((AU43-FT_First)/FT_Int1),FT_PreY5+FT_PerYear*INT((AU43-FT_Y5)/12)+FT_AnnivDays+INT(MOD(AU43-FT_Y5,12)/FT_Int2))),IF(AP43="PT",IF(AU43&lt;PT_First,0,1+INT((AU43-PT_First)/PT_Int)),0))+IF(AND(AI43&gt;=2,AK43&lt;=AsOfDate),IF(AQ43="FT",IF(AV43&lt;FT_First,0,IF(AV43&lt;FT_Y5,1+INT((AV43-FT_First)/FT_Int1),FT_PreY5+FT_PerYear*INT((AV43-FT_Y5)/12)+FT_AnnivDays+INT(MOD(AV43-FT_Y5,12)/FT_Int2))),IF(AQ43="PT",IF(AV43&lt;PT_First,0,1+INT((AV43-PT_First)/PT_Int)),0))-IF(AQ43="FT",IF(AU43&lt;FT_First,0,IF(AU43&lt;FT_Y5,1+INT((AU43-FT_First)/FT_Int1),FT_PreY5+FT_PerYear*INT((AU43-FT_Y5)/12)+FT_AnnivDays+INT(MOD(AU43-FT_Y5,12)/FT_Int2))),IF(AQ43="PT",IF(AU43&lt;PT_First,0,1+INT((AU43-PT_First)/PT_Int)),0)),0)+IF(AND(AI43&gt;=3,AL43&lt;=AsOfDate),IF(AR43="FT",IF(AT43&lt;FT_First,0,IF(AT43&lt;FT_Y5,1+INT((AT43-FT_First)/FT_Int1),FT_PreY5+FT_PerYear*INT((AT43-FT_Y5)/12)+FT_AnnivDays+INT(MOD(AT43-FT_Y5,12)/FT_Int2))),IF(AR43="PT",IF(AT43&lt;PT_First,0,1+INT((AT43-PT_First)/PT_Int)),0))-IF(AR43="FT",IF(AV43&lt;FT_First,0,IF(AV43&lt;FT_Y5,1+INT((AV43-FT_First)/FT_Int1),FT_PreY5+FT_PerYear*INT((AV43-FT_Y5)/12)+FT_AnnivDays+INT(MOD(AV43-FT_Y5,12)/FT_Int2))),IF(AR43="PT",IF(AV43&lt;PT_First,0,1+INT((AV43-PT_First)/PT_Int)),0)),0))</f>
        <v>0</v>
      </c>
      <c r="BA43" s="19" t="n">
        <f aca="false">IF(AG43=0,"",IF(AP43="FT",IF(AX43&lt;FT_First,0,IF(AX43&lt;FT_Y5,1+INT((AX43-FT_First)/FT_Int1),FT_PreY5+FT_PerYear*INT((AX43-FT_Y5)/12)+FT_AnnivDays+INT(MOD(AX43-FT_Y5,12)/FT_Int2))),IF(AP43="PT",IF(AX43&lt;PT_First,0,1+INT((AX43-PT_First)/PT_Int)),0))+IF(AND(AI43&gt;=2,AK43&lt;=PFYDate),IF(AQ43="FT",IF(AY43&lt;FT_First,0,IF(AY43&lt;FT_Y5,1+INT((AY43-FT_First)/FT_Int1),FT_PreY5+FT_PerYear*INT((AY43-FT_Y5)/12)+FT_AnnivDays+INT(MOD(AY43-FT_Y5,12)/FT_Int2))),IF(AQ43="PT",IF(AY43&lt;PT_First,0,1+INT((AY43-PT_First)/PT_Int)),0))-IF(AQ43="FT",IF(AX43&lt;FT_First,0,IF(AX43&lt;FT_Y5,1+INT((AX43-FT_First)/FT_Int1),FT_PreY5+FT_PerYear*INT((AX43-FT_Y5)/12)+FT_AnnivDays+INT(MOD(AX43-FT_Y5,12)/FT_Int2))),IF(AQ43="PT",IF(AX43&lt;PT_First,0,1+INT((AX43-PT_First)/PT_Int)),0)),0)+IF(AND(AI43&gt;=3,AL43&lt;=PFYDate),IF(AR43="FT",IF(AW43&lt;FT_First,0,IF(AW43&lt;FT_Y5,1+INT((AW43-FT_First)/FT_Int1),FT_PreY5+FT_PerYear*INT((AW43-FT_Y5)/12)+FT_AnnivDays+INT(MOD(AW43-FT_Y5,12)/FT_Int2))),IF(AR43="PT",IF(AW43&lt;PT_First,0,1+INT((AW43-PT_First)/PT_Int)),0))-IF(AR43="FT",IF(AY43&lt;FT_First,0,IF(AY43&lt;FT_Y5,1+INT((AY43-FT_First)/FT_Int1),FT_PreY5+FT_PerYear*INT((AY43-FT_Y5)/12)+FT_AnnivDays+INT(MOD(AY43-FT_Y5,12)/FT_Int2))),IF(AR43="PT",IF(AY43&lt;PT_First,0,1+INT((AY43-PT_First)/PT_Int)),0)),0))</f>
        <v>0</v>
      </c>
      <c r="BB43" s="19" t="n">
        <f aca="false">IF(AG43=0,"",IF(AS43="FT",IF(AT43&lt;FT_First,FT_First,IF(AT43&lt;FT_Y5,MIN(FT_Y5,FT_First+FT_Int1*(INT((AT43-FT_First)/FT_Int1)+1)),FT_Y5+12*INT((AT43-FT_Y5)/12)+FT_Int2*(INT(MOD(AT43-FT_Y5,12)/FT_Int2)+1))),IF(AS43="PT",IF(AT43&lt;PT_First,PT_First,PT_First+PT_Int*(INT((AT43-PT_First)/PT_Int)+1)),"")))</f>
        <v>36</v>
      </c>
      <c r="BC43" s="19" t="n">
        <f aca="false">IF(AG43=0,"",IF(NOT(LH_Ready),0,COUNTIFS(INDEX(LH_Data,0,LH_ColFirst),$A43,INDEX(LH_Data,0,LH_ColSur),$B43,INDEX(LH_Data,0,LH_ColCat),BonusCat)))</f>
        <v>0</v>
      </c>
      <c r="BD43" s="19" t="n">
        <f aca="false">IF(AG43=0,"",IF(OR(NOT(LH_Ready),BC43=0),0,SUMPRODUCT(MAX((INDEX(LH_Data,0,LH_ColFirst)=$A43)*(INDEX(LH_Data,0,LH_ColSur)=$B43)*(INDEX(LH_Data,0,LH_ColCat)=BonusCat)*ROW(LH_Data)))))</f>
        <v>0</v>
      </c>
      <c r="BE43" s="19" t="n">
        <f aca="false">IF(AG43=0,"",IF(EOMONTH(AsOfDate,-1)&lt;AH43,-1,12*(YEAR(EOMONTH(AsOfDate,-1))-YEAR(AH43))+MONTH(EOMONTH(AsOfDate,-1))-MONTH(AH43)-IF(DAY(EOMONTH(AsOfDate,-1))&lt;MIN(DAY(AH43),DAY(EOMONTH(EOMONTH(AsOfDate,-1),0))),1,0)))</f>
        <v>8</v>
      </c>
      <c r="BF43" s="19" t="n">
        <f aca="false">IF(AG43=0,"",IF(OR(AI43&lt;2,AK43&gt;EOMONTH(AsOfDate,-1)),BE43,IF((AK43-1)&lt;AH43,-1,12*(YEAR((AK43-1))-YEAR(AH43))+MONTH((AK43-1))-MONTH(AH43)-IF(DAY((AK43-1))&lt;MIN(DAY(AH43),DAY(EOMONTH((AK43-1),0))),1,0))))</f>
        <v>-1</v>
      </c>
      <c r="BG43" s="19" t="n">
        <f aca="false">IF(AG43=0,"",IF(OR(AI43&lt;3,AL43&gt;EOMONTH(AsOfDate,-1)),BE43,IF((AL43-1)&lt;AH43,-1,12*(YEAR((AL43-1))-YEAR(AH43))+MONTH((AL43-1))-MONTH(AH43)-IF(DAY((AL43-1))&lt;MIN(DAY(AH43),DAY(EOMONTH((AL43-1),0))),1,0))))</f>
        <v>8</v>
      </c>
      <c r="BH43" s="19" t="n">
        <f aca="false">IF(AG43=0,"",IF(AP43="FT",IF(BF43&lt;FT_First,0,IF(BF43&lt;FT_Y5,1+INT((BF43-FT_First)/FT_Int1),FT_PreY5+FT_PerYear*INT((BF43-FT_Y5)/12)+FT_AnnivDays+INT(MOD(BF43-FT_Y5,12)/FT_Int2))),IF(AP43="PT",IF(BF43&lt;PT_First,0,1+INT((BF43-PT_First)/PT_Int)),0))+IF(AND(AI43&gt;=2,AK43&lt;=EOMONTH(AsOfDate,-1)),IF(AQ43="FT",IF(BG43&lt;FT_First,0,IF(BG43&lt;FT_Y5,1+INT((BG43-FT_First)/FT_Int1),FT_PreY5+FT_PerYear*INT((BG43-FT_Y5)/12)+FT_AnnivDays+INT(MOD(BG43-FT_Y5,12)/FT_Int2))),IF(AQ43="PT",IF(BG43&lt;PT_First,0,1+INT((BG43-PT_First)/PT_Int)),0))-IF(AQ43="FT",IF(BF43&lt;FT_First,0,IF(BF43&lt;FT_Y5,1+INT((BF43-FT_First)/FT_Int1),FT_PreY5+FT_PerYear*INT((BF43-FT_Y5)/12)+FT_AnnivDays+INT(MOD(BF43-FT_Y5,12)/FT_Int2))),IF(AQ43="PT",IF(BF43&lt;PT_First,0,1+INT((BF43-PT_First)/PT_Int)),0)),0)+IF(AND(AI43&gt;=3,AL43&lt;=EOMONTH(AsOfDate,-1)),IF(AR43="FT",IF(BE43&lt;FT_First,0,IF(BE43&lt;FT_Y5,1+INT((BE43-FT_First)/FT_Int1),FT_PreY5+FT_PerYear*INT((BE43-FT_Y5)/12)+FT_AnnivDays+INT(MOD(BE43-FT_Y5,12)/FT_Int2))),IF(AR43="PT",IF(BE43&lt;PT_First,0,1+INT((BE43-PT_First)/PT_Int)),0))-IF(AR43="FT",IF(BG43&lt;FT_First,0,IF(BG43&lt;FT_Y5,1+INT((BG43-FT_First)/FT_Int1),FT_PreY5+FT_PerYear*INT((BG43-FT_Y5)/12)+FT_AnnivDays+INT(MOD(BG43-FT_Y5,12)/FT_Int2))),IF(AR43="PT",IF(BG43&lt;PT_First,0,1+INT((BG43-PT_First)/PT_Int)),0)),0))</f>
        <v>0</v>
      </c>
      <c r="BI43" s="19" t="str">
        <f aca="false">IF(AG43=0,"",IF(AS43="FT",IF(AT43&lt;FT_First,"",IF(AT43&lt;FT_Y5,FT_First+FT_Int1*INT((AT43-FT_First)/FT_Int1),FT_Y5+FT_Int2*INT((AT43-FT_Y5)/FT_Int2))),IF(AS43="PT",IF(AT43&lt;PT_First,"",PT_First+PT_Int*INT((AT43-PT_First)/PT_Int)),"")))</f>
        <v/>
      </c>
      <c r="BJ43" s="0" t="str">
        <f aca="false">IF(LEN($A43&amp;$B43)=0,"",$A43&amp;" "&amp;$B43)</f>
        <v>John Rizvi</v>
      </c>
    </row>
    <row r="44" customFormat="false" ht="15" hidden="false" customHeight="false" outlineLevel="0" collapsed="false">
      <c r="A44" s="15" t="s">
        <v>217</v>
      </c>
      <c r="B44" s="15" t="s">
        <v>218</v>
      </c>
      <c r="C44" s="15" t="s">
        <v>138</v>
      </c>
      <c r="D44" s="16" t="n">
        <v>38779</v>
      </c>
      <c r="E44" s="17" t="n">
        <f aca="false">IF(OR(AG44=0,$D44=""),"",DATE(YEAR(AsOfDate)+IF(DATE(YEAR(AsOfDate),MONTH($D44),DAY($D44))&lt;=AsOfDate,1,0),MONTH($D44),DAY($D44)))</f>
        <v>46449</v>
      </c>
      <c r="F44" s="16" t="n">
        <v>45992</v>
      </c>
      <c r="G44" s="16"/>
      <c r="H44" s="16"/>
      <c r="I44" s="16"/>
      <c r="J44" s="16"/>
      <c r="K44" s="17" t="n">
        <f aca="false">IF(AG44=0,"",DATE(YEAR(AsOfDate)+IF(DATE(YEAR(AsOfDate),MONTH(AH44),DAY(AH44))&lt;=AsOfDate,1,0),MONTH(AH44),DAY(AH44)))</f>
        <v>46357</v>
      </c>
      <c r="L44" s="18" t="n">
        <f aca="false">IF(AG44=0,"",ROUND((AsOfDate-AH44)/365.25,1))</f>
        <v>0.8</v>
      </c>
      <c r="M44" s="19" t="str">
        <f aca="false">IF(AG44=0,"",IF(AsOfDate&lt;AH44,"-",DATEDIF(AH44,AsOfDate,"y")&amp;"y "&amp;DATEDIF(AH44,AsOfDate,"ym")&amp;"m "&amp;DATEDIF(AH44,AsOfDate,"md")&amp;"d"))</f>
        <v>0y 10m 5d</v>
      </c>
      <c r="N44" s="20" t="n">
        <f aca="false">IF(AG44=0,"",O44*HoursPerDay)</f>
        <v>0</v>
      </c>
      <c r="O44" s="20" t="n">
        <f aca="false">IF(AG44=0,"",AZ44)</f>
        <v>0</v>
      </c>
      <c r="P44" s="21"/>
      <c r="Q44" s="19"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19"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17" t="str">
        <f aca="false">IF(AG44=0,"",IF(AS44="None","",EDATE(AH44,BB44)))</f>
        <v/>
      </c>
      <c r="T44" s="20" t="n">
        <f aca="false">IF(AG44=0,"",IF(NOT(LH_Ready),"",IF(AH44&gt;PFYDate,0,IF(LH_ColPeriod=0,W44-U44+V44,SUMIFS(INDEX(LH_Data,0,LH_ColAcc),INDEX(LH_Data,0,LH_ColFirst),$A44,INDEX(LH_Data,0,LH_ColSur),$B44,INDEX(LH_Data,0,LH_ColCat),BonusCat,INDEX(LH_Data,0,LH_ColPeriod),LH_OpenLabel)*UnitFactor))))</f>
        <v>0</v>
      </c>
      <c r="U44" s="20" t="n">
        <f aca="false">IF(AG44=0,"",IF(NOT(LH_Ready),"",SUMIFS(INDEX(LH_Data,0,LH_ColAcc),INDEX(LH_Data,0,LH_ColFirst),$A44,INDEX(LH_Data,0,LH_ColSur),$B44,INDEX(LH_Data,0,LH_ColCat),BonusCat,INDEX(LH_Data,0,LH_ColStart),"&gt;="&amp;AH44)*UnitFactor))</f>
        <v>0</v>
      </c>
      <c r="V44" s="20" t="n">
        <f aca="false">IF(AG44=0,"",IF(NOT(LH_Ready),"",SUMIFS(INDEX(LH_Data,0,LH_ColTaken),INDEX(LH_Data,0,LH_ColFirst),$A44,INDEX(LH_Data,0,LH_ColSur),$B44,INDEX(LH_Data,0,LH_ColCat),BonusCat,INDEX(LH_Data,0,LH_ColStart),"&gt;="&amp;AH44)*UnitFactor))</f>
        <v>0</v>
      </c>
      <c r="W44" s="20" t="n">
        <f aca="false">IF(AG44=0,"",IF(NOT(LH_Ready),"",IF(BD44=0,0,INDEX(INDEX(LH_Data,0,LH_ColClose),BD44-1)*UnitFactor)))</f>
        <v>0</v>
      </c>
      <c r="X44" s="20" t="n">
        <f aca="false">IF(AG44=0,"",(AZ44-BA44)*HoursPerDay)</f>
        <v>0</v>
      </c>
      <c r="Y44" s="20" t="n">
        <f aca="false">IF(AG44=0,"",IF(NOT(LH_Ready),"",IF(BC44=0,N44,IF(PFYDate&lt;$F44,N44-N(T44)-N(U44),X44-N(U44)))))</f>
        <v>0</v>
      </c>
      <c r="Z44" s="19" t="str">
        <f aca="false">IF(OR(AG44=0,Y44=""),"",IF(Y44&gt;0,"Yes","No"))</f>
        <v>No</v>
      </c>
      <c r="AA44" s="19"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Not eligible - Casual</v>
      </c>
      <c r="AB44" s="20" t="n">
        <f aca="false">IF(OR(AG44=0,T44=""),"",BA44*HoursPerDay-T44)</f>
        <v>0</v>
      </c>
      <c r="AC44" s="19" t="n">
        <f aca="false">IF(AG44=0,"",BC44)</f>
        <v>0</v>
      </c>
      <c r="AD44" s="19"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20" t="n">
        <f aca="false">IF(AG44=0,"",O44-BH44)</f>
        <v>0</v>
      </c>
      <c r="AF44" s="17" t="str">
        <f aca="false">IF(OR(AG44=0,AE44="",N(AE44)=0,BI44=""),"",EDATE(AH44,BI44))</f>
        <v/>
      </c>
      <c r="AG44" s="19" t="n">
        <f aca="false">IF(OR(LEN($A44&amp;$B44)=0,$F44=""),0,1)</f>
        <v>1</v>
      </c>
      <c r="AH44" s="17" t="n">
        <f aca="false">IF(AG44=0,"",IF($J44&lt;&gt;"",$J44,IF(OR(CasualCounts="Yes",COUNT($G44:$I44)=0,COUNT($H44:$I44)=0),$F44,MIN($H44:$I44))))</f>
        <v>45992</v>
      </c>
      <c r="AI44" s="19" t="n">
        <f aca="false">IF(AG44=0,"",COUNT($G44:$I44))</f>
        <v>0</v>
      </c>
      <c r="AJ44" s="17" t="str">
        <f aca="false">IF(AG44=0,"",IFERROR(SMALL($G44:$I44,1),""))</f>
        <v/>
      </c>
      <c r="AK44" s="17" t="str">
        <f aca="false">IF(AG44=0,"",IFERROR(SMALL($G44:$I44,2),""))</f>
        <v/>
      </c>
      <c r="AL44" s="17" t="str">
        <f aca="false">IF(AG44=0,"",IFERROR(SMALL($G44:$I44,3),""))</f>
        <v/>
      </c>
      <c r="AM44" s="19" t="str">
        <f aca="false">IF(AG44=0,"",IF(AJ44="","",IF(AJ44=$H44,"Part-Time",IF(AJ44=$I44,"Full-Time","Casual"))))</f>
        <v/>
      </c>
      <c r="AN44" s="19" t="str">
        <f aca="false">IF(AG44=0,"",IF(AK44="","",IF(AK44=$H44,"Part-Time",IF(AK44=$I44,"Full-Time","Casual"))))</f>
        <v/>
      </c>
      <c r="AO44" s="19" t="str">
        <f aca="false">IF(AG44=0,"",IF(AL44="","",IF(AL44=$H44,"Part-Time",IF(AL44=$I44,"Full-Time","Casual"))))</f>
        <v/>
      </c>
      <c r="AP44" s="19"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None</v>
      </c>
      <c r="AQ44" s="19" t="str">
        <f aca="false">IF(AG44=0,"",IF(AI44&lt;2,"",IF(OR(ISNUMBER(SEARCH("full",AN44)),UPPER(TRIM(AN44))="FT",UPPER(TRIM(AN44))="FTE"),"FT",IF(AND(OR(ISNUMBER(SEARCH("part",AN44)),UPPER(TRIM(AN44))="PT",UPPER(TRIM(AN44))="PTE"),OR($P44="",N($P44)&gt;=PT_MinHours)),"PT","None"))))</f>
        <v/>
      </c>
      <c r="AR44" s="19" t="str">
        <f aca="false">IF(AG44=0,"",IF(AI44&lt;3,"",IF(OR(ISNUMBER(SEARCH("full",AO44)),UPPER(TRIM(AO44))="FT",UPPER(TRIM(AO44))="FTE"),"FT",IF(AND(OR(ISNUMBER(SEARCH("part",AO44)),UPPER(TRIM(AO44))="PT",UPPER(TRIM(AO44))="PTE"),OR($P44="",N($P44)&gt;=PT_MinHours)),"PT","None"))))</f>
        <v/>
      </c>
      <c r="AS44" s="19" t="str">
        <f aca="false">IF(AG44=0,"",IF(AND(AI44&gt;=3,AL44&lt;=AsOfDate),AR44,IF(AND(AI44&gt;=2,AK44&lt;=AsOfDate),AQ44,AP44)))</f>
        <v>None</v>
      </c>
      <c r="AT44" s="19" t="n">
        <f aca="false">IF(AG44=0,"",IF(AsOfDate&lt;AH44,-1,12*(YEAR(AsOfDate)-YEAR(AH44))+MONTH(AsOfDate)-MONTH(AH44)-IF(DAY(AsOfDate)&lt;MIN(DAY(AH44),DAY(EOMONTH(AsOfDate,0))),1,0)))</f>
        <v>10</v>
      </c>
      <c r="AU44" s="19" t="n">
        <f aca="false">IF(AG44=0,"",IF(OR(AI44&lt;2,AK44&gt;AsOfDate),AT44,IF((AK44-1)&lt;AH44,-1,12*(YEAR((AK44-1))-YEAR(AH44))+MONTH((AK44-1))-MONTH(AH44)-IF(DAY((AK44-1))&lt;MIN(DAY(AH44),DAY(EOMONTH((AK44-1),0))),1,0))))</f>
        <v>10</v>
      </c>
      <c r="AV44" s="19" t="n">
        <f aca="false">IF(AG44=0,"",IF(OR(AI44&lt;3,AL44&gt;AsOfDate),AT44,IF((AL44-1)&lt;AH44,-1,12*(YEAR((AL44-1))-YEAR(AH44))+MONTH((AL44-1))-MONTH(AH44)-IF(DAY((AL44-1))&lt;MIN(DAY(AH44),DAY(EOMONTH((AL44-1),0))),1,0))))</f>
        <v>10</v>
      </c>
      <c r="AW44" s="19" t="n">
        <f aca="false">IF(AG44=0,"",IF(PFYDate&lt;AH44,-1,12*(YEAR(PFYDate)-YEAR(AH44))+MONTH(PFYDate)-MONTH(AH44)-IF(DAY(PFYDate)&lt;MIN(DAY(AH44),DAY(EOMONTH(PFYDate,0))),1,0)))</f>
        <v>-1</v>
      </c>
      <c r="AX44" s="19" t="n">
        <f aca="false">IF(AG44=0,"",IF(OR(AI44&lt;2,AK44&gt;PFYDate),AW44,IF((AK44-1)&lt;AH44,-1,12*(YEAR((AK44-1))-YEAR(AH44))+MONTH((AK44-1))-MONTH(AH44)-IF(DAY((AK44-1))&lt;MIN(DAY(AH44),DAY(EOMONTH((AK44-1),0))),1,0))))</f>
        <v>-1</v>
      </c>
      <c r="AY44" s="19" t="n">
        <f aca="false">IF(AG44=0,"",IF(OR(AI44&lt;3,AL44&gt;PFYDate),AW44,IF((AL44-1)&lt;AH44,-1,12*(YEAR((AL44-1))-YEAR(AH44))+MONTH((AL44-1))-MONTH(AH44)-IF(DAY((AL44-1))&lt;MIN(DAY(AH44),DAY(EOMONTH((AL44-1),0))),1,0))))</f>
        <v>-1</v>
      </c>
      <c r="AZ44" s="19" t="n">
        <f aca="false">IF(AG44=0,"",IF(AP44="FT",IF(AU44&lt;FT_First,0,IF(AU44&lt;FT_Y5,1+INT((AU44-FT_First)/FT_Int1),FT_PreY5+FT_PerYear*INT((AU44-FT_Y5)/12)+FT_AnnivDays+INT(MOD(AU44-FT_Y5,12)/FT_Int2))),IF(AP44="PT",IF(AU44&lt;PT_First,0,1+INT((AU44-PT_First)/PT_Int)),0))+IF(AND(AI44&gt;=2,AK44&lt;=AsOfDate),IF(AQ44="FT",IF(AV44&lt;FT_First,0,IF(AV44&lt;FT_Y5,1+INT((AV44-FT_First)/FT_Int1),FT_PreY5+FT_PerYear*INT((AV44-FT_Y5)/12)+FT_AnnivDays+INT(MOD(AV44-FT_Y5,12)/FT_Int2))),IF(AQ44="PT",IF(AV44&lt;PT_First,0,1+INT((AV44-PT_First)/PT_Int)),0))-IF(AQ44="FT",IF(AU44&lt;FT_First,0,IF(AU44&lt;FT_Y5,1+INT((AU44-FT_First)/FT_Int1),FT_PreY5+FT_PerYear*INT((AU44-FT_Y5)/12)+FT_AnnivDays+INT(MOD(AU44-FT_Y5,12)/FT_Int2))),IF(AQ44="PT",IF(AU44&lt;PT_First,0,1+INT((AU44-PT_First)/PT_Int)),0)),0)+IF(AND(AI44&gt;=3,AL44&lt;=AsOfDate),IF(AR44="FT",IF(AT44&lt;FT_First,0,IF(AT44&lt;FT_Y5,1+INT((AT44-FT_First)/FT_Int1),FT_PreY5+FT_PerYear*INT((AT44-FT_Y5)/12)+FT_AnnivDays+INT(MOD(AT44-FT_Y5,12)/FT_Int2))),IF(AR44="PT",IF(AT44&lt;PT_First,0,1+INT((AT44-PT_First)/PT_Int)),0))-IF(AR44="FT",IF(AV44&lt;FT_First,0,IF(AV44&lt;FT_Y5,1+INT((AV44-FT_First)/FT_Int1),FT_PreY5+FT_PerYear*INT((AV44-FT_Y5)/12)+FT_AnnivDays+INT(MOD(AV44-FT_Y5,12)/FT_Int2))),IF(AR44="PT",IF(AV44&lt;PT_First,0,1+INT((AV44-PT_First)/PT_Int)),0)),0))</f>
        <v>0</v>
      </c>
      <c r="BA44" s="19" t="n">
        <f aca="false">IF(AG44=0,"",IF(AP44="FT",IF(AX44&lt;FT_First,0,IF(AX44&lt;FT_Y5,1+INT((AX44-FT_First)/FT_Int1),FT_PreY5+FT_PerYear*INT((AX44-FT_Y5)/12)+FT_AnnivDays+INT(MOD(AX44-FT_Y5,12)/FT_Int2))),IF(AP44="PT",IF(AX44&lt;PT_First,0,1+INT((AX44-PT_First)/PT_Int)),0))+IF(AND(AI44&gt;=2,AK44&lt;=PFYDate),IF(AQ44="FT",IF(AY44&lt;FT_First,0,IF(AY44&lt;FT_Y5,1+INT((AY44-FT_First)/FT_Int1),FT_PreY5+FT_PerYear*INT((AY44-FT_Y5)/12)+FT_AnnivDays+INT(MOD(AY44-FT_Y5,12)/FT_Int2))),IF(AQ44="PT",IF(AY44&lt;PT_First,0,1+INT((AY44-PT_First)/PT_Int)),0))-IF(AQ44="FT",IF(AX44&lt;FT_First,0,IF(AX44&lt;FT_Y5,1+INT((AX44-FT_First)/FT_Int1),FT_PreY5+FT_PerYear*INT((AX44-FT_Y5)/12)+FT_AnnivDays+INT(MOD(AX44-FT_Y5,12)/FT_Int2))),IF(AQ44="PT",IF(AX44&lt;PT_First,0,1+INT((AX44-PT_First)/PT_Int)),0)),0)+IF(AND(AI44&gt;=3,AL44&lt;=PFYDate),IF(AR44="FT",IF(AW44&lt;FT_First,0,IF(AW44&lt;FT_Y5,1+INT((AW44-FT_First)/FT_Int1),FT_PreY5+FT_PerYear*INT((AW44-FT_Y5)/12)+FT_AnnivDays+INT(MOD(AW44-FT_Y5,12)/FT_Int2))),IF(AR44="PT",IF(AW44&lt;PT_First,0,1+INT((AW44-PT_First)/PT_Int)),0))-IF(AR44="FT",IF(AY44&lt;FT_First,0,IF(AY44&lt;FT_Y5,1+INT((AY44-FT_First)/FT_Int1),FT_PreY5+FT_PerYear*INT((AY44-FT_Y5)/12)+FT_AnnivDays+INT(MOD(AY44-FT_Y5,12)/FT_Int2))),IF(AR44="PT",IF(AY44&lt;PT_First,0,1+INT((AY44-PT_First)/PT_Int)),0)),0))</f>
        <v>0</v>
      </c>
      <c r="BB44" s="19" t="str">
        <f aca="false">IF(AG44=0,"",IF(AS44="FT",IF(AT44&lt;FT_First,FT_First,IF(AT44&lt;FT_Y5,MIN(FT_Y5,FT_First+FT_Int1*(INT((AT44-FT_First)/FT_Int1)+1)),FT_Y5+12*INT((AT44-FT_Y5)/12)+FT_Int2*(INT(MOD(AT44-FT_Y5,12)/FT_Int2)+1))),IF(AS44="PT",IF(AT44&lt;PT_First,PT_First,PT_First+PT_Int*(INT((AT44-PT_First)/PT_Int)+1)),"")))</f>
        <v/>
      </c>
      <c r="BC44" s="19" t="n">
        <f aca="false">IF(AG44=0,"",IF(NOT(LH_Ready),0,COUNTIFS(INDEX(LH_Data,0,LH_ColFirst),$A44,INDEX(LH_Data,0,LH_ColSur),$B44,INDEX(LH_Data,0,LH_ColCat),BonusCat)))</f>
        <v>0</v>
      </c>
      <c r="BD44" s="19" t="n">
        <f aca="false">IF(AG44=0,"",IF(OR(NOT(LH_Ready),BC44=0),0,SUMPRODUCT(MAX((INDEX(LH_Data,0,LH_ColFirst)=$A44)*(INDEX(LH_Data,0,LH_ColSur)=$B44)*(INDEX(LH_Data,0,LH_ColCat)=BonusCat)*ROW(LH_Data)))))</f>
        <v>0</v>
      </c>
      <c r="BE44" s="19" t="n">
        <f aca="false">IF(AG44=0,"",IF(EOMONTH(AsOfDate,-1)&lt;AH44,-1,12*(YEAR(EOMONTH(AsOfDate,-1))-YEAR(AH44))+MONTH(EOMONTH(AsOfDate,-1))-MONTH(AH44)-IF(DAY(EOMONTH(AsOfDate,-1))&lt;MIN(DAY(AH44),DAY(EOMONTH(EOMONTH(AsOfDate,-1),0))),1,0)))</f>
        <v>9</v>
      </c>
      <c r="BF44" s="19" t="n">
        <f aca="false">IF(AG44=0,"",IF(OR(AI44&lt;2,AK44&gt;EOMONTH(AsOfDate,-1)),BE44,IF((AK44-1)&lt;AH44,-1,12*(YEAR((AK44-1))-YEAR(AH44))+MONTH((AK44-1))-MONTH(AH44)-IF(DAY((AK44-1))&lt;MIN(DAY(AH44),DAY(EOMONTH((AK44-1),0))),1,0))))</f>
        <v>9</v>
      </c>
      <c r="BG44" s="19" t="n">
        <f aca="false">IF(AG44=0,"",IF(OR(AI44&lt;3,AL44&gt;EOMONTH(AsOfDate,-1)),BE44,IF((AL44-1)&lt;AH44,-1,12*(YEAR((AL44-1))-YEAR(AH44))+MONTH((AL44-1))-MONTH(AH44)-IF(DAY((AL44-1))&lt;MIN(DAY(AH44),DAY(EOMONTH((AL44-1),0))),1,0))))</f>
        <v>9</v>
      </c>
      <c r="BH44" s="19" t="n">
        <f aca="false">IF(AG44=0,"",IF(AP44="FT",IF(BF44&lt;FT_First,0,IF(BF44&lt;FT_Y5,1+INT((BF44-FT_First)/FT_Int1),FT_PreY5+FT_PerYear*INT((BF44-FT_Y5)/12)+FT_AnnivDays+INT(MOD(BF44-FT_Y5,12)/FT_Int2))),IF(AP44="PT",IF(BF44&lt;PT_First,0,1+INT((BF44-PT_First)/PT_Int)),0))+IF(AND(AI44&gt;=2,AK44&lt;=EOMONTH(AsOfDate,-1)),IF(AQ44="FT",IF(BG44&lt;FT_First,0,IF(BG44&lt;FT_Y5,1+INT((BG44-FT_First)/FT_Int1),FT_PreY5+FT_PerYear*INT((BG44-FT_Y5)/12)+FT_AnnivDays+INT(MOD(BG44-FT_Y5,12)/FT_Int2))),IF(AQ44="PT",IF(BG44&lt;PT_First,0,1+INT((BG44-PT_First)/PT_Int)),0))-IF(AQ44="FT",IF(BF44&lt;FT_First,0,IF(BF44&lt;FT_Y5,1+INT((BF44-FT_First)/FT_Int1),FT_PreY5+FT_PerYear*INT((BF44-FT_Y5)/12)+FT_AnnivDays+INT(MOD(BF44-FT_Y5,12)/FT_Int2))),IF(AQ44="PT",IF(BF44&lt;PT_First,0,1+INT((BF44-PT_First)/PT_Int)),0)),0)+IF(AND(AI44&gt;=3,AL44&lt;=EOMONTH(AsOfDate,-1)),IF(AR44="FT",IF(BE44&lt;FT_First,0,IF(BE44&lt;FT_Y5,1+INT((BE44-FT_First)/FT_Int1),FT_PreY5+FT_PerYear*INT((BE44-FT_Y5)/12)+FT_AnnivDays+INT(MOD(BE44-FT_Y5,12)/FT_Int2))),IF(AR44="PT",IF(BE44&lt;PT_First,0,1+INT((BE44-PT_First)/PT_Int)),0))-IF(AR44="FT",IF(BG44&lt;FT_First,0,IF(BG44&lt;FT_Y5,1+INT((BG44-FT_First)/FT_Int1),FT_PreY5+FT_PerYear*INT((BG44-FT_Y5)/12)+FT_AnnivDays+INT(MOD(BG44-FT_Y5,12)/FT_Int2))),IF(AR44="PT",IF(BG44&lt;PT_First,0,1+INT((BG44-PT_First)/PT_Int)),0)),0))</f>
        <v>0</v>
      </c>
      <c r="BI44" s="19" t="str">
        <f aca="false">IF(AG44=0,"",IF(AS44="FT",IF(AT44&lt;FT_First,"",IF(AT44&lt;FT_Y5,FT_First+FT_Int1*INT((AT44-FT_First)/FT_Int1),FT_Y5+FT_Int2*INT((AT44-FT_Y5)/FT_Int2))),IF(AS44="PT",IF(AT44&lt;PT_First,"",PT_First+PT_Int*INT((AT44-PT_First)/PT_Int)),"")))</f>
        <v/>
      </c>
      <c r="BJ44" s="0" t="str">
        <f aca="false">IF(LEN($A44&amp;$B44)=0,"",$A44&amp;" "&amp;$B44)</f>
        <v>Jonathan Hendratno</v>
      </c>
    </row>
    <row r="45" customFormat="false" ht="15" hidden="false" customHeight="false" outlineLevel="0" collapsed="false">
      <c r="A45" s="15" t="s">
        <v>219</v>
      </c>
      <c r="B45" s="15" t="s">
        <v>220</v>
      </c>
      <c r="C45" s="15" t="s">
        <v>153</v>
      </c>
      <c r="D45" s="16" t="n">
        <v>34463</v>
      </c>
      <c r="E45" s="17" t="n">
        <f aca="false">IF(OR(AG45=0,$D45=""),"",DATE(YEAR(AsOfDate)+IF(DATE(YEAR(AsOfDate),MONTH($D45),DAY($D45))&lt;=AsOfDate,1,0),MONTH($D45),DAY($D45)))</f>
        <v>46516</v>
      </c>
      <c r="F45" s="16" t="n">
        <v>42481</v>
      </c>
      <c r="G45" s="16"/>
      <c r="H45" s="16"/>
      <c r="I45" s="16" t="n">
        <v>42481</v>
      </c>
      <c r="J45" s="16"/>
      <c r="K45" s="17" t="n">
        <f aca="false">IF(AG45=0,"",DATE(YEAR(AsOfDate)+IF(DATE(YEAR(AsOfDate),MONTH(AH45),DAY(AH45))&lt;=AsOfDate,1,0),MONTH(AH45),DAY(AH45)))</f>
        <v>46498</v>
      </c>
      <c r="L45" s="18" t="n">
        <f aca="false">IF(AG45=0,"",ROUND((AsOfDate-AH45)/365.25,1))</f>
        <v>10.5</v>
      </c>
      <c r="M45" s="19" t="str">
        <f aca="false">IF(AG45=0,"",IF(AsOfDate&lt;AH45,"-",DATEDIF(AH45,AsOfDate,"y")&amp;"y "&amp;DATEDIF(AH45,AsOfDate,"ym")&amp;"m "&amp;DATEDIF(AH45,AsOfDate,"md")&amp;"d"))</f>
        <v>10y 5m 15d</v>
      </c>
      <c r="N45" s="20" t="n">
        <f aca="false">IF(AG45=0,"",O45*HoursPerDay)</f>
        <v>272</v>
      </c>
      <c r="O45" s="20" t="n">
        <f aca="false">IF(AG45=0,"",AZ45)</f>
        <v>34</v>
      </c>
      <c r="P45" s="21"/>
      <c r="Q45" s="19"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19"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17" t="n">
        <f aca="false">IF(AG45=0,"",IF(AS45="None","",EDATE(AH45,BB45)))</f>
        <v>46316</v>
      </c>
      <c r="T45" s="20" t="n">
        <f aca="false">IF(AG45=0,"",IF(NOT(LH_Ready),"",IF(AH45&gt;PFYDate,0,IF(LH_ColPeriod=0,W45-U45+V45,SUMIFS(INDEX(LH_Data,0,LH_ColAcc),INDEX(LH_Data,0,LH_ColFirst),$A45,INDEX(LH_Data,0,LH_ColSur),$B45,INDEX(LH_Data,0,LH_ColCat),BonusCat,INDEX(LH_Data,0,LH_ColPeriod),LH_OpenLabel)*UnitFactor))))</f>
        <v>88</v>
      </c>
      <c r="U45" s="20" t="n">
        <f aca="false">IF(AG45=0,"",IF(NOT(LH_Ready),"",SUMIFS(INDEX(LH_Data,0,LH_ColAcc),INDEX(LH_Data,0,LH_ColFirst),$A45,INDEX(LH_Data,0,LH_ColSur),$B45,INDEX(LH_Data,0,LH_ColCat),BonusCat,INDEX(LH_Data,0,LH_ColStart),"&gt;="&amp;AH45)*UnitFactor))</f>
        <v>176</v>
      </c>
      <c r="V45" s="20" t="n">
        <f aca="false">IF(AG45=0,"",IF(NOT(LH_Ready),"",SUMIFS(INDEX(LH_Data,0,LH_ColTaken),INDEX(LH_Data,0,LH_ColFirst),$A45,INDEX(LH_Data,0,LH_ColSur),$B45,INDEX(LH_Data,0,LH_ColCat),BonusCat,INDEX(LH_Data,0,LH_ColStart),"&gt;="&amp;AH45)*UnitFactor))</f>
        <v>80</v>
      </c>
      <c r="W45" s="20" t="n">
        <f aca="false">IF(AG45=0,"",IF(NOT(LH_Ready),"",IF(BD45=0,0,INDEX(INDEX(LH_Data,0,LH_ColClose),BD45-1)*UnitFactor)))</f>
        <v>184</v>
      </c>
      <c r="X45" s="20" t="n">
        <f aca="false">IF(AG45=0,"",(AZ45-BA45)*HoursPerDay)</f>
        <v>264</v>
      </c>
      <c r="Y45" s="20" t="n">
        <f aca="false">IF(AG45=0,"",IF(NOT(LH_Ready),"",IF(BC45=0,N45,IF(PFYDate&lt;$F45,N45-N(T45)-N(U45),X45-N(U45)))))</f>
        <v>88</v>
      </c>
      <c r="Z45" s="19" t="str">
        <f aca="false">IF(OR(AG45=0,Y45=""),"",IF(Y45&gt;0,"Yes","No"))</f>
        <v>Yes</v>
      </c>
      <c r="AA45" s="19"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ACCRUE 88 hrs (11 days): all catch-up from earlier months, nothing new this month</v>
      </c>
      <c r="AB45" s="20" t="n">
        <f aca="false">IF(OR(AG45=0,T45=""),"",BA45*HoursPerDay-T45)</f>
        <v>-80</v>
      </c>
      <c r="AC45" s="19" t="n">
        <f aca="false">IF(AG45=0,"",BC45)</f>
        <v>24</v>
      </c>
      <c r="AD45" s="19"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20" t="n">
        <f aca="false">IF(AG45=0,"",O45-BH45)</f>
        <v>0</v>
      </c>
      <c r="AF45" s="17" t="str">
        <f aca="false">IF(OR(AG45=0,AE45="",N(AE45)=0,BI45=""),"",EDATE(AH45,BI45))</f>
        <v/>
      </c>
      <c r="AG45" s="19" t="n">
        <f aca="false">IF(OR(LEN($A45&amp;$B45)=0,$F45=""),0,1)</f>
        <v>1</v>
      </c>
      <c r="AH45" s="17" t="n">
        <f aca="false">IF(AG45=0,"",IF($J45&lt;&gt;"",$J45,IF(OR(CasualCounts="Yes",COUNT($G45:$I45)=0,COUNT($H45:$I45)=0),$F45,MIN($H45:$I45))))</f>
        <v>42481</v>
      </c>
      <c r="AI45" s="19" t="n">
        <f aca="false">IF(AG45=0,"",COUNT($G45:$I45))</f>
        <v>1</v>
      </c>
      <c r="AJ45" s="17" t="n">
        <f aca="false">IF(AG45=0,"",IFERROR(SMALL($G45:$I45,1),""))</f>
        <v>42481</v>
      </c>
      <c r="AK45" s="17" t="str">
        <f aca="false">IF(AG45=0,"",IFERROR(SMALL($G45:$I45,2),""))</f>
        <v/>
      </c>
      <c r="AL45" s="17" t="str">
        <f aca="false">IF(AG45=0,"",IFERROR(SMALL($G45:$I45,3),""))</f>
        <v/>
      </c>
      <c r="AM45" s="19" t="str">
        <f aca="false">IF(AG45=0,"",IF(AJ45="","",IF(AJ45=$H45,"Part-Time",IF(AJ45=$I45,"Full-Time","Casual"))))</f>
        <v>Full-Time</v>
      </c>
      <c r="AN45" s="19" t="str">
        <f aca="false">IF(AG45=0,"",IF(AK45="","",IF(AK45=$H45,"Part-Time",IF(AK45=$I45,"Full-Time","Casual"))))</f>
        <v/>
      </c>
      <c r="AO45" s="19" t="str">
        <f aca="false">IF(AG45=0,"",IF(AL45="","",IF(AL45=$H45,"Part-Time",IF(AL45=$I45,"Full-Time","Casual"))))</f>
        <v/>
      </c>
      <c r="AP45" s="19"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FT</v>
      </c>
      <c r="AQ45" s="19" t="str">
        <f aca="false">IF(AG45=0,"",IF(AI45&lt;2,"",IF(OR(ISNUMBER(SEARCH("full",AN45)),UPPER(TRIM(AN45))="FT",UPPER(TRIM(AN45))="FTE"),"FT",IF(AND(OR(ISNUMBER(SEARCH("part",AN45)),UPPER(TRIM(AN45))="PT",UPPER(TRIM(AN45))="PTE"),OR($P45="",N($P45)&gt;=PT_MinHours)),"PT","None"))))</f>
        <v/>
      </c>
      <c r="AR45" s="19" t="str">
        <f aca="false">IF(AG45=0,"",IF(AI45&lt;3,"",IF(OR(ISNUMBER(SEARCH("full",AO45)),UPPER(TRIM(AO45))="FT",UPPER(TRIM(AO45))="FTE"),"FT",IF(AND(OR(ISNUMBER(SEARCH("part",AO45)),UPPER(TRIM(AO45))="PT",UPPER(TRIM(AO45))="PTE"),OR($P45="",N($P45)&gt;=PT_MinHours)),"PT","None"))))</f>
        <v/>
      </c>
      <c r="AS45" s="19" t="str">
        <f aca="false">IF(AG45=0,"",IF(AND(AI45&gt;=3,AL45&lt;=AsOfDate),AR45,IF(AND(AI45&gt;=2,AK45&lt;=AsOfDate),AQ45,AP45)))</f>
        <v>FT</v>
      </c>
      <c r="AT45" s="19" t="n">
        <f aca="false">IF(AG45=0,"",IF(AsOfDate&lt;AH45,-1,12*(YEAR(AsOfDate)-YEAR(AH45))+MONTH(AsOfDate)-MONTH(AH45)-IF(DAY(AsOfDate)&lt;MIN(DAY(AH45),DAY(EOMONTH(AsOfDate,0))),1,0)))</f>
        <v>125</v>
      </c>
      <c r="AU45" s="19" t="n">
        <f aca="false">IF(AG45=0,"",IF(OR(AI45&lt;2,AK45&gt;AsOfDate),AT45,IF((AK45-1)&lt;AH45,-1,12*(YEAR((AK45-1))-YEAR(AH45))+MONTH((AK45-1))-MONTH(AH45)-IF(DAY((AK45-1))&lt;MIN(DAY(AH45),DAY(EOMONTH((AK45-1),0))),1,0))))</f>
        <v>125</v>
      </c>
      <c r="AV45" s="19" t="n">
        <f aca="false">IF(AG45=0,"",IF(OR(AI45&lt;3,AL45&gt;AsOfDate),AT45,IF((AL45-1)&lt;AH45,-1,12*(YEAR((AL45-1))-YEAR(AH45))+MONTH((AL45-1))-MONTH(AH45)-IF(DAY((AL45-1))&lt;MIN(DAY(AH45),DAY(EOMONTH((AL45-1),0))),1,0))))</f>
        <v>125</v>
      </c>
      <c r="AW45" s="19" t="n">
        <f aca="false">IF(AG45=0,"",IF(PFYDate&lt;AH45,-1,12*(YEAR(PFYDate)-YEAR(AH45))+MONTH(PFYDate)-MONTH(AH45)-IF(DAY(PFYDate)&lt;MIN(DAY(AH45),DAY(EOMONTH(PFYDate,0))),1,0)))</f>
        <v>38</v>
      </c>
      <c r="AX45" s="19" t="n">
        <f aca="false">IF(AG45=0,"",IF(OR(AI45&lt;2,AK45&gt;PFYDate),AW45,IF((AK45-1)&lt;AH45,-1,12*(YEAR((AK45-1))-YEAR(AH45))+MONTH((AK45-1))-MONTH(AH45)-IF(DAY((AK45-1))&lt;MIN(DAY(AH45),DAY(EOMONTH((AK45-1),0))),1,0))))</f>
        <v>38</v>
      </c>
      <c r="AY45" s="19" t="n">
        <f aca="false">IF(AG45=0,"",IF(OR(AI45&lt;3,AL45&gt;PFYDate),AW45,IF((AL45-1)&lt;AH45,-1,12*(YEAR((AL45-1))-YEAR(AH45))+MONTH((AL45-1))-MONTH(AH45)-IF(DAY((AL45-1))&lt;MIN(DAY(AH45),DAY(EOMONTH((AL45-1),0))),1,0))))</f>
        <v>38</v>
      </c>
      <c r="AZ45" s="19" t="n">
        <f aca="false">IF(AG45=0,"",IF(AP45="FT",IF(AU45&lt;FT_First,0,IF(AU45&lt;FT_Y5,1+INT((AU45-FT_First)/FT_Int1),FT_PreY5+FT_PerYear*INT((AU45-FT_Y5)/12)+FT_AnnivDays+INT(MOD(AU45-FT_Y5,12)/FT_Int2))),IF(AP45="PT",IF(AU45&lt;PT_First,0,1+INT((AU45-PT_First)/PT_Int)),0))+IF(AND(AI45&gt;=2,AK45&lt;=AsOfDate),IF(AQ45="FT",IF(AV45&lt;FT_First,0,IF(AV45&lt;FT_Y5,1+INT((AV45-FT_First)/FT_Int1),FT_PreY5+FT_PerYear*INT((AV45-FT_Y5)/12)+FT_AnnivDays+INT(MOD(AV45-FT_Y5,12)/FT_Int2))),IF(AQ45="PT",IF(AV45&lt;PT_First,0,1+INT((AV45-PT_First)/PT_Int)),0))-IF(AQ45="FT",IF(AU45&lt;FT_First,0,IF(AU45&lt;FT_Y5,1+INT((AU45-FT_First)/FT_Int1),FT_PreY5+FT_PerYear*INT((AU45-FT_Y5)/12)+FT_AnnivDays+INT(MOD(AU45-FT_Y5,12)/FT_Int2))),IF(AQ45="PT",IF(AU45&lt;PT_First,0,1+INT((AU45-PT_First)/PT_Int)),0)),0)+IF(AND(AI45&gt;=3,AL45&lt;=AsOfDate),IF(AR45="FT",IF(AT45&lt;FT_First,0,IF(AT45&lt;FT_Y5,1+INT((AT45-FT_First)/FT_Int1),FT_PreY5+FT_PerYear*INT((AT45-FT_Y5)/12)+FT_AnnivDays+INT(MOD(AT45-FT_Y5,12)/FT_Int2))),IF(AR45="PT",IF(AT45&lt;PT_First,0,1+INT((AT45-PT_First)/PT_Int)),0))-IF(AR45="FT",IF(AV45&lt;FT_First,0,IF(AV45&lt;FT_Y5,1+INT((AV45-FT_First)/FT_Int1),FT_PreY5+FT_PerYear*INT((AV45-FT_Y5)/12)+FT_AnnivDays+INT(MOD(AV45-FT_Y5,12)/FT_Int2))),IF(AR45="PT",IF(AV45&lt;PT_First,0,1+INT((AV45-PT_First)/PT_Int)),0)),0))</f>
        <v>34</v>
      </c>
      <c r="BA45" s="19" t="n">
        <f aca="false">IF(AG45=0,"",IF(AP45="FT",IF(AX45&lt;FT_First,0,IF(AX45&lt;FT_Y5,1+INT((AX45-FT_First)/FT_Int1),FT_PreY5+FT_PerYear*INT((AX45-FT_Y5)/12)+FT_AnnivDays+INT(MOD(AX45-FT_Y5,12)/FT_Int2))),IF(AP45="PT",IF(AX45&lt;PT_First,0,1+INT((AX45-PT_First)/PT_Int)),0))+IF(AND(AI45&gt;=2,AK45&lt;=PFYDate),IF(AQ45="FT",IF(AY45&lt;FT_First,0,IF(AY45&lt;FT_Y5,1+INT((AY45-FT_First)/FT_Int1),FT_PreY5+FT_PerYear*INT((AY45-FT_Y5)/12)+FT_AnnivDays+INT(MOD(AY45-FT_Y5,12)/FT_Int2))),IF(AQ45="PT",IF(AY45&lt;PT_First,0,1+INT((AY45-PT_First)/PT_Int)),0))-IF(AQ45="FT",IF(AX45&lt;FT_First,0,IF(AX45&lt;FT_Y5,1+INT((AX45-FT_First)/FT_Int1),FT_PreY5+FT_PerYear*INT((AX45-FT_Y5)/12)+FT_AnnivDays+INT(MOD(AX45-FT_Y5,12)/FT_Int2))),IF(AQ45="PT",IF(AX45&lt;PT_First,0,1+INT((AX45-PT_First)/PT_Int)),0)),0)+IF(AND(AI45&gt;=3,AL45&lt;=PFYDate),IF(AR45="FT",IF(AW45&lt;FT_First,0,IF(AW45&lt;FT_Y5,1+INT((AW45-FT_First)/FT_Int1),FT_PreY5+FT_PerYear*INT((AW45-FT_Y5)/12)+FT_AnnivDays+INT(MOD(AW45-FT_Y5,12)/FT_Int2))),IF(AR45="PT",IF(AW45&lt;PT_First,0,1+INT((AW45-PT_First)/PT_Int)),0))-IF(AR45="FT",IF(AY45&lt;FT_First,0,IF(AY45&lt;FT_Y5,1+INT((AY45-FT_First)/FT_Int1),FT_PreY5+FT_PerYear*INT((AY45-FT_Y5)/12)+FT_AnnivDays+INT(MOD(AY45-FT_Y5,12)/FT_Int2))),IF(AR45="PT",IF(AY45&lt;PT_First,0,1+INT((AY45-PT_First)/PT_Int)),0)),0))</f>
        <v>1</v>
      </c>
      <c r="BB45" s="19" t="n">
        <f aca="false">IF(AG45=0,"",IF(AS45="FT",IF(AT45&lt;FT_First,FT_First,IF(AT45&lt;FT_Y5,MIN(FT_Y5,FT_First+FT_Int1*(INT((AT45-FT_First)/FT_Int1)+1)),FT_Y5+12*INT((AT45-FT_Y5)/12)+FT_Int2*(INT(MOD(AT45-FT_Y5,12)/FT_Int2)+1))),IF(AS45="PT",IF(AT45&lt;PT_First,PT_First,PT_First+PT_Int*(INT((AT45-PT_First)/PT_Int)+1)),"")))</f>
        <v>126</v>
      </c>
      <c r="BC45" s="19" t="n">
        <f aca="false">IF(AG45=0,"",IF(NOT(LH_Ready),0,COUNTIFS(INDEX(LH_Data,0,LH_ColFirst),$A45,INDEX(LH_Data,0,LH_ColSur),$B45,INDEX(LH_Data,0,LH_ColCat),BonusCat)))</f>
        <v>24</v>
      </c>
      <c r="BD45" s="19" t="n">
        <f aca="false">IF(AG45=0,"",IF(OR(NOT(LH_Ready),BC45=0),0,SUMPRODUCT(MAX((INDEX(LH_Data,0,LH_ColFirst)=$A45)*(INDEX(LH_Data,0,LH_ColSur)=$B45)*(INDEX(LH_Data,0,LH_ColCat)=BonusCat)*ROW(LH_Data)))))</f>
        <v>191</v>
      </c>
      <c r="BE45" s="19" t="n">
        <f aca="false">IF(AG45=0,"",IF(EOMONTH(AsOfDate,-1)&lt;AH45,-1,12*(YEAR(EOMONTH(AsOfDate,-1))-YEAR(AH45))+MONTH(EOMONTH(AsOfDate,-1))-MONTH(AH45)-IF(DAY(EOMONTH(AsOfDate,-1))&lt;MIN(DAY(AH45),DAY(EOMONTH(EOMONTH(AsOfDate,-1),0))),1,0)))</f>
        <v>125</v>
      </c>
      <c r="BF45" s="19" t="n">
        <f aca="false">IF(AG45=0,"",IF(OR(AI45&lt;2,AK45&gt;EOMONTH(AsOfDate,-1)),BE45,IF((AK45-1)&lt;AH45,-1,12*(YEAR((AK45-1))-YEAR(AH45))+MONTH((AK45-1))-MONTH(AH45)-IF(DAY((AK45-1))&lt;MIN(DAY(AH45),DAY(EOMONTH((AK45-1),0))),1,0))))</f>
        <v>125</v>
      </c>
      <c r="BG45" s="19" t="n">
        <f aca="false">IF(AG45=0,"",IF(OR(AI45&lt;3,AL45&gt;EOMONTH(AsOfDate,-1)),BE45,IF((AL45-1)&lt;AH45,-1,12*(YEAR((AL45-1))-YEAR(AH45))+MONTH((AL45-1))-MONTH(AH45)-IF(DAY((AL45-1))&lt;MIN(DAY(AH45),DAY(EOMONTH((AL45-1),0))),1,0))))</f>
        <v>125</v>
      </c>
      <c r="BH45" s="19" t="n">
        <f aca="false">IF(AG45=0,"",IF(AP45="FT",IF(BF45&lt;FT_First,0,IF(BF45&lt;FT_Y5,1+INT((BF45-FT_First)/FT_Int1),FT_PreY5+FT_PerYear*INT((BF45-FT_Y5)/12)+FT_AnnivDays+INT(MOD(BF45-FT_Y5,12)/FT_Int2))),IF(AP45="PT",IF(BF45&lt;PT_First,0,1+INT((BF45-PT_First)/PT_Int)),0))+IF(AND(AI45&gt;=2,AK45&lt;=EOMONTH(AsOfDate,-1)),IF(AQ45="FT",IF(BG45&lt;FT_First,0,IF(BG45&lt;FT_Y5,1+INT((BG45-FT_First)/FT_Int1),FT_PreY5+FT_PerYear*INT((BG45-FT_Y5)/12)+FT_AnnivDays+INT(MOD(BG45-FT_Y5,12)/FT_Int2))),IF(AQ45="PT",IF(BG45&lt;PT_First,0,1+INT((BG45-PT_First)/PT_Int)),0))-IF(AQ45="FT",IF(BF45&lt;FT_First,0,IF(BF45&lt;FT_Y5,1+INT((BF45-FT_First)/FT_Int1),FT_PreY5+FT_PerYear*INT((BF45-FT_Y5)/12)+FT_AnnivDays+INT(MOD(BF45-FT_Y5,12)/FT_Int2))),IF(AQ45="PT",IF(BF45&lt;PT_First,0,1+INT((BF45-PT_First)/PT_Int)),0)),0)+IF(AND(AI45&gt;=3,AL45&lt;=EOMONTH(AsOfDate,-1)),IF(AR45="FT",IF(BE45&lt;FT_First,0,IF(BE45&lt;FT_Y5,1+INT((BE45-FT_First)/FT_Int1),FT_PreY5+FT_PerYear*INT((BE45-FT_Y5)/12)+FT_AnnivDays+INT(MOD(BE45-FT_Y5,12)/FT_Int2))),IF(AR45="PT",IF(BE45&lt;PT_First,0,1+INT((BE45-PT_First)/PT_Int)),0))-IF(AR45="FT",IF(BG45&lt;FT_First,0,IF(BG45&lt;FT_Y5,1+INT((BG45-FT_First)/FT_Int1),FT_PreY5+FT_PerYear*INT((BG45-FT_Y5)/12)+FT_AnnivDays+INT(MOD(BG45-FT_Y5,12)/FT_Int2))),IF(AR45="PT",IF(BG45&lt;PT_First,0,1+INT((BG45-PT_First)/PT_Int)),0)),0))</f>
        <v>34</v>
      </c>
      <c r="BI45" s="19" t="n">
        <f aca="false">IF(AG45=0,"",IF(AS45="FT",IF(AT45&lt;FT_First,"",IF(AT45&lt;FT_Y5,FT_First+FT_Int1*INT((AT45-FT_First)/FT_Int1),FT_Y5+FT_Int2*INT((AT45-FT_Y5)/FT_Int2))),IF(AS45="PT",IF(AT45&lt;PT_First,"",PT_First+PT_Int*INT((AT45-PT_First)/PT_Int)),"")))</f>
        <v>123</v>
      </c>
      <c r="BJ45" s="0" t="str">
        <f aca="false">IF(LEN($A45&amp;$B45)=0,"",$A45&amp;" "&amp;$B45)</f>
        <v>Jordan SEXTY</v>
      </c>
    </row>
    <row r="46" customFormat="false" ht="15" hidden="false" customHeight="false" outlineLevel="0" collapsed="false">
      <c r="A46" s="15" t="s">
        <v>221</v>
      </c>
      <c r="B46" s="15" t="s">
        <v>222</v>
      </c>
      <c r="C46" s="15" t="s">
        <v>138</v>
      </c>
      <c r="D46" s="16" t="n">
        <v>33862</v>
      </c>
      <c r="E46" s="17" t="n">
        <f aca="false">IF(OR(AG46=0,$D46=""),"",DATE(YEAR(AsOfDate)+IF(DATE(YEAR(AsOfDate),MONTH($D46),DAY($D46))&lt;=AsOfDate,1,0),MONTH($D46),DAY($D46)))</f>
        <v>46645</v>
      </c>
      <c r="F46" s="16" t="n">
        <v>46083</v>
      </c>
      <c r="G46" s="16"/>
      <c r="H46" s="16"/>
      <c r="I46" s="16"/>
      <c r="J46" s="16"/>
      <c r="K46" s="17" t="n">
        <f aca="false">IF(AG46=0,"",DATE(YEAR(AsOfDate)+IF(DATE(YEAR(AsOfDate),MONTH(AH46),DAY(AH46))&lt;=AsOfDate,1,0),MONTH(AH46),DAY(AH46)))</f>
        <v>46448</v>
      </c>
      <c r="L46" s="18" t="n">
        <f aca="false">IF(AG46=0,"",ROUND((AsOfDate-AH46)/365.25,1))</f>
        <v>0.6</v>
      </c>
      <c r="M46" s="19" t="str">
        <f aca="false">IF(AG46=0,"",IF(AsOfDate&lt;AH46,"-",DATEDIF(AH46,AsOfDate,"y")&amp;"y "&amp;DATEDIF(AH46,AsOfDate,"ym")&amp;"m "&amp;DATEDIF(AH46,AsOfDate,"md")&amp;"d"))</f>
        <v>0y 7m 4d</v>
      </c>
      <c r="N46" s="20" t="n">
        <f aca="false">IF(AG46=0,"",O46*HoursPerDay)</f>
        <v>0</v>
      </c>
      <c r="O46" s="20" t="n">
        <f aca="false">IF(AG46=0,"",AZ46)</f>
        <v>0</v>
      </c>
      <c r="P46" s="21"/>
      <c r="Q46" s="19"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19"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17" t="str">
        <f aca="false">IF(AG46=0,"",IF(AS46="None","",EDATE(AH46,BB46)))</f>
        <v/>
      </c>
      <c r="T46" s="20" t="n">
        <f aca="false">IF(AG46=0,"",IF(NOT(LH_Ready),"",IF(AH46&gt;PFYDate,0,IF(LH_ColPeriod=0,W46-U46+V46,SUMIFS(INDEX(LH_Data,0,LH_ColAcc),INDEX(LH_Data,0,LH_ColFirst),$A46,INDEX(LH_Data,0,LH_ColSur),$B46,INDEX(LH_Data,0,LH_ColCat),BonusCat,INDEX(LH_Data,0,LH_ColPeriod),LH_OpenLabel)*UnitFactor))))</f>
        <v>0</v>
      </c>
      <c r="U46" s="20" t="n">
        <f aca="false">IF(AG46=0,"",IF(NOT(LH_Ready),"",SUMIFS(INDEX(LH_Data,0,LH_ColAcc),INDEX(LH_Data,0,LH_ColFirst),$A46,INDEX(LH_Data,0,LH_ColSur),$B46,INDEX(LH_Data,0,LH_ColCat),BonusCat,INDEX(LH_Data,0,LH_ColStart),"&gt;="&amp;AH46)*UnitFactor))</f>
        <v>0</v>
      </c>
      <c r="V46" s="20" t="n">
        <f aca="false">IF(AG46=0,"",IF(NOT(LH_Ready),"",SUMIFS(INDEX(LH_Data,0,LH_ColTaken),INDEX(LH_Data,0,LH_ColFirst),$A46,INDEX(LH_Data,0,LH_ColSur),$B46,INDEX(LH_Data,0,LH_ColCat),BonusCat,INDEX(LH_Data,0,LH_ColStart),"&gt;="&amp;AH46)*UnitFactor))</f>
        <v>0</v>
      </c>
      <c r="W46" s="20" t="n">
        <f aca="false">IF(AG46=0,"",IF(NOT(LH_Ready),"",IF(BD46=0,0,INDEX(INDEX(LH_Data,0,LH_ColClose),BD46-1)*UnitFactor)))</f>
        <v>0</v>
      </c>
      <c r="X46" s="20" t="n">
        <f aca="false">IF(AG46=0,"",(AZ46-BA46)*HoursPerDay)</f>
        <v>0</v>
      </c>
      <c r="Y46" s="20" t="n">
        <f aca="false">IF(AG46=0,"",IF(NOT(LH_Ready),"",IF(BC46=0,N46,IF(PFYDate&lt;$F46,N46-N(T46)-N(U46),X46-N(U46)))))</f>
        <v>0</v>
      </c>
      <c r="Z46" s="19" t="str">
        <f aca="false">IF(OR(AG46=0,Y46=""),"",IF(Y46&gt;0,"Yes","No"))</f>
        <v>No</v>
      </c>
      <c r="AA46" s="19"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Not eligible - Casual</v>
      </c>
      <c r="AB46" s="20" t="n">
        <f aca="false">IF(OR(AG46=0,T46=""),"",BA46*HoursPerDay-T46)</f>
        <v>0</v>
      </c>
      <c r="AC46" s="19" t="n">
        <f aca="false">IF(AG46=0,"",BC46)</f>
        <v>0</v>
      </c>
      <c r="AD46" s="19"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20" t="n">
        <f aca="false">IF(AG46=0,"",O46-BH46)</f>
        <v>0</v>
      </c>
      <c r="AF46" s="17" t="str">
        <f aca="false">IF(OR(AG46=0,AE46="",N(AE46)=0,BI46=""),"",EDATE(AH46,BI46))</f>
        <v/>
      </c>
      <c r="AG46" s="19" t="n">
        <f aca="false">IF(OR(LEN($A46&amp;$B46)=0,$F46=""),0,1)</f>
        <v>1</v>
      </c>
      <c r="AH46" s="17" t="n">
        <f aca="false">IF(AG46=0,"",IF($J46&lt;&gt;"",$J46,IF(OR(CasualCounts="Yes",COUNT($G46:$I46)=0,COUNT($H46:$I46)=0),$F46,MIN($H46:$I46))))</f>
        <v>46083</v>
      </c>
      <c r="AI46" s="19" t="n">
        <f aca="false">IF(AG46=0,"",COUNT($G46:$I46))</f>
        <v>0</v>
      </c>
      <c r="AJ46" s="17" t="str">
        <f aca="false">IF(AG46=0,"",IFERROR(SMALL($G46:$I46,1),""))</f>
        <v/>
      </c>
      <c r="AK46" s="17" t="str">
        <f aca="false">IF(AG46=0,"",IFERROR(SMALL($G46:$I46,2),""))</f>
        <v/>
      </c>
      <c r="AL46" s="17" t="str">
        <f aca="false">IF(AG46=0,"",IFERROR(SMALL($G46:$I46,3),""))</f>
        <v/>
      </c>
      <c r="AM46" s="19" t="str">
        <f aca="false">IF(AG46=0,"",IF(AJ46="","",IF(AJ46=$H46,"Part-Time",IF(AJ46=$I46,"Full-Time","Casual"))))</f>
        <v/>
      </c>
      <c r="AN46" s="19" t="str">
        <f aca="false">IF(AG46=0,"",IF(AK46="","",IF(AK46=$H46,"Part-Time",IF(AK46=$I46,"Full-Time","Casual"))))</f>
        <v/>
      </c>
      <c r="AO46" s="19" t="str">
        <f aca="false">IF(AG46=0,"",IF(AL46="","",IF(AL46=$H46,"Part-Time",IF(AL46=$I46,"Full-Time","Casual"))))</f>
        <v/>
      </c>
      <c r="AP46" s="19"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None</v>
      </c>
      <c r="AQ46" s="19" t="str">
        <f aca="false">IF(AG46=0,"",IF(AI46&lt;2,"",IF(OR(ISNUMBER(SEARCH("full",AN46)),UPPER(TRIM(AN46))="FT",UPPER(TRIM(AN46))="FTE"),"FT",IF(AND(OR(ISNUMBER(SEARCH("part",AN46)),UPPER(TRIM(AN46))="PT",UPPER(TRIM(AN46))="PTE"),OR($P46="",N($P46)&gt;=PT_MinHours)),"PT","None"))))</f>
        <v/>
      </c>
      <c r="AR46" s="19" t="str">
        <f aca="false">IF(AG46=0,"",IF(AI46&lt;3,"",IF(OR(ISNUMBER(SEARCH("full",AO46)),UPPER(TRIM(AO46))="FT",UPPER(TRIM(AO46))="FTE"),"FT",IF(AND(OR(ISNUMBER(SEARCH("part",AO46)),UPPER(TRIM(AO46))="PT",UPPER(TRIM(AO46))="PTE"),OR($P46="",N($P46)&gt;=PT_MinHours)),"PT","None"))))</f>
        <v/>
      </c>
      <c r="AS46" s="19" t="str">
        <f aca="false">IF(AG46=0,"",IF(AND(AI46&gt;=3,AL46&lt;=AsOfDate),AR46,IF(AND(AI46&gt;=2,AK46&lt;=AsOfDate),AQ46,AP46)))</f>
        <v>None</v>
      </c>
      <c r="AT46" s="19" t="n">
        <f aca="false">IF(AG46=0,"",IF(AsOfDate&lt;AH46,-1,12*(YEAR(AsOfDate)-YEAR(AH46))+MONTH(AsOfDate)-MONTH(AH46)-IF(DAY(AsOfDate)&lt;MIN(DAY(AH46),DAY(EOMONTH(AsOfDate,0))),1,0)))</f>
        <v>7</v>
      </c>
      <c r="AU46" s="19" t="n">
        <f aca="false">IF(AG46=0,"",IF(OR(AI46&lt;2,AK46&gt;AsOfDate),AT46,IF((AK46-1)&lt;AH46,-1,12*(YEAR((AK46-1))-YEAR(AH46))+MONTH((AK46-1))-MONTH(AH46)-IF(DAY((AK46-1))&lt;MIN(DAY(AH46),DAY(EOMONTH((AK46-1),0))),1,0))))</f>
        <v>7</v>
      </c>
      <c r="AV46" s="19" t="n">
        <f aca="false">IF(AG46=0,"",IF(OR(AI46&lt;3,AL46&gt;AsOfDate),AT46,IF((AL46-1)&lt;AH46,-1,12*(YEAR((AL46-1))-YEAR(AH46))+MONTH((AL46-1))-MONTH(AH46)-IF(DAY((AL46-1))&lt;MIN(DAY(AH46),DAY(EOMONTH((AL46-1),0))),1,0))))</f>
        <v>7</v>
      </c>
      <c r="AW46" s="19" t="n">
        <f aca="false">IF(AG46=0,"",IF(PFYDate&lt;AH46,-1,12*(YEAR(PFYDate)-YEAR(AH46))+MONTH(PFYDate)-MONTH(AH46)-IF(DAY(PFYDate)&lt;MIN(DAY(AH46),DAY(EOMONTH(PFYDate,0))),1,0)))</f>
        <v>-1</v>
      </c>
      <c r="AX46" s="19" t="n">
        <f aca="false">IF(AG46=0,"",IF(OR(AI46&lt;2,AK46&gt;PFYDate),AW46,IF((AK46-1)&lt;AH46,-1,12*(YEAR((AK46-1))-YEAR(AH46))+MONTH((AK46-1))-MONTH(AH46)-IF(DAY((AK46-1))&lt;MIN(DAY(AH46),DAY(EOMONTH((AK46-1),0))),1,0))))</f>
        <v>-1</v>
      </c>
      <c r="AY46" s="19" t="n">
        <f aca="false">IF(AG46=0,"",IF(OR(AI46&lt;3,AL46&gt;PFYDate),AW46,IF((AL46-1)&lt;AH46,-1,12*(YEAR((AL46-1))-YEAR(AH46))+MONTH((AL46-1))-MONTH(AH46)-IF(DAY((AL46-1))&lt;MIN(DAY(AH46),DAY(EOMONTH((AL46-1),0))),1,0))))</f>
        <v>-1</v>
      </c>
      <c r="AZ46" s="19" t="n">
        <f aca="false">IF(AG46=0,"",IF(AP46="FT",IF(AU46&lt;FT_First,0,IF(AU46&lt;FT_Y5,1+INT((AU46-FT_First)/FT_Int1),FT_PreY5+FT_PerYear*INT((AU46-FT_Y5)/12)+FT_AnnivDays+INT(MOD(AU46-FT_Y5,12)/FT_Int2))),IF(AP46="PT",IF(AU46&lt;PT_First,0,1+INT((AU46-PT_First)/PT_Int)),0))+IF(AND(AI46&gt;=2,AK46&lt;=AsOfDate),IF(AQ46="FT",IF(AV46&lt;FT_First,0,IF(AV46&lt;FT_Y5,1+INT((AV46-FT_First)/FT_Int1),FT_PreY5+FT_PerYear*INT((AV46-FT_Y5)/12)+FT_AnnivDays+INT(MOD(AV46-FT_Y5,12)/FT_Int2))),IF(AQ46="PT",IF(AV46&lt;PT_First,0,1+INT((AV46-PT_First)/PT_Int)),0))-IF(AQ46="FT",IF(AU46&lt;FT_First,0,IF(AU46&lt;FT_Y5,1+INT((AU46-FT_First)/FT_Int1),FT_PreY5+FT_PerYear*INT((AU46-FT_Y5)/12)+FT_AnnivDays+INT(MOD(AU46-FT_Y5,12)/FT_Int2))),IF(AQ46="PT",IF(AU46&lt;PT_First,0,1+INT((AU46-PT_First)/PT_Int)),0)),0)+IF(AND(AI46&gt;=3,AL46&lt;=AsOfDate),IF(AR46="FT",IF(AT46&lt;FT_First,0,IF(AT46&lt;FT_Y5,1+INT((AT46-FT_First)/FT_Int1),FT_PreY5+FT_PerYear*INT((AT46-FT_Y5)/12)+FT_AnnivDays+INT(MOD(AT46-FT_Y5,12)/FT_Int2))),IF(AR46="PT",IF(AT46&lt;PT_First,0,1+INT((AT46-PT_First)/PT_Int)),0))-IF(AR46="FT",IF(AV46&lt;FT_First,0,IF(AV46&lt;FT_Y5,1+INT((AV46-FT_First)/FT_Int1),FT_PreY5+FT_PerYear*INT((AV46-FT_Y5)/12)+FT_AnnivDays+INT(MOD(AV46-FT_Y5,12)/FT_Int2))),IF(AR46="PT",IF(AV46&lt;PT_First,0,1+INT((AV46-PT_First)/PT_Int)),0)),0))</f>
        <v>0</v>
      </c>
      <c r="BA46" s="19" t="n">
        <f aca="false">IF(AG46=0,"",IF(AP46="FT",IF(AX46&lt;FT_First,0,IF(AX46&lt;FT_Y5,1+INT((AX46-FT_First)/FT_Int1),FT_PreY5+FT_PerYear*INT((AX46-FT_Y5)/12)+FT_AnnivDays+INT(MOD(AX46-FT_Y5,12)/FT_Int2))),IF(AP46="PT",IF(AX46&lt;PT_First,0,1+INT((AX46-PT_First)/PT_Int)),0))+IF(AND(AI46&gt;=2,AK46&lt;=PFYDate),IF(AQ46="FT",IF(AY46&lt;FT_First,0,IF(AY46&lt;FT_Y5,1+INT((AY46-FT_First)/FT_Int1),FT_PreY5+FT_PerYear*INT((AY46-FT_Y5)/12)+FT_AnnivDays+INT(MOD(AY46-FT_Y5,12)/FT_Int2))),IF(AQ46="PT",IF(AY46&lt;PT_First,0,1+INT((AY46-PT_First)/PT_Int)),0))-IF(AQ46="FT",IF(AX46&lt;FT_First,0,IF(AX46&lt;FT_Y5,1+INT((AX46-FT_First)/FT_Int1),FT_PreY5+FT_PerYear*INT((AX46-FT_Y5)/12)+FT_AnnivDays+INT(MOD(AX46-FT_Y5,12)/FT_Int2))),IF(AQ46="PT",IF(AX46&lt;PT_First,0,1+INT((AX46-PT_First)/PT_Int)),0)),0)+IF(AND(AI46&gt;=3,AL46&lt;=PFYDate),IF(AR46="FT",IF(AW46&lt;FT_First,0,IF(AW46&lt;FT_Y5,1+INT((AW46-FT_First)/FT_Int1),FT_PreY5+FT_PerYear*INT((AW46-FT_Y5)/12)+FT_AnnivDays+INT(MOD(AW46-FT_Y5,12)/FT_Int2))),IF(AR46="PT",IF(AW46&lt;PT_First,0,1+INT((AW46-PT_First)/PT_Int)),0))-IF(AR46="FT",IF(AY46&lt;FT_First,0,IF(AY46&lt;FT_Y5,1+INT((AY46-FT_First)/FT_Int1),FT_PreY5+FT_PerYear*INT((AY46-FT_Y5)/12)+FT_AnnivDays+INT(MOD(AY46-FT_Y5,12)/FT_Int2))),IF(AR46="PT",IF(AY46&lt;PT_First,0,1+INT((AY46-PT_First)/PT_Int)),0)),0))</f>
        <v>0</v>
      </c>
      <c r="BB46" s="19" t="str">
        <f aca="false">IF(AG46=0,"",IF(AS46="FT",IF(AT46&lt;FT_First,FT_First,IF(AT46&lt;FT_Y5,MIN(FT_Y5,FT_First+FT_Int1*(INT((AT46-FT_First)/FT_Int1)+1)),FT_Y5+12*INT((AT46-FT_Y5)/12)+FT_Int2*(INT(MOD(AT46-FT_Y5,12)/FT_Int2)+1))),IF(AS46="PT",IF(AT46&lt;PT_First,PT_First,PT_First+PT_Int*(INT((AT46-PT_First)/PT_Int)+1)),"")))</f>
        <v/>
      </c>
      <c r="BC46" s="19" t="n">
        <f aca="false">IF(AG46=0,"",IF(NOT(LH_Ready),0,COUNTIFS(INDEX(LH_Data,0,LH_ColFirst),$A46,INDEX(LH_Data,0,LH_ColSur),$B46,INDEX(LH_Data,0,LH_ColCat),BonusCat)))</f>
        <v>0</v>
      </c>
      <c r="BD46" s="19" t="n">
        <f aca="false">IF(AG46=0,"",IF(OR(NOT(LH_Ready),BC46=0),0,SUMPRODUCT(MAX((INDEX(LH_Data,0,LH_ColFirst)=$A46)*(INDEX(LH_Data,0,LH_ColSur)=$B46)*(INDEX(LH_Data,0,LH_ColCat)=BonusCat)*ROW(LH_Data)))))</f>
        <v>0</v>
      </c>
      <c r="BE46" s="19" t="n">
        <f aca="false">IF(AG46=0,"",IF(EOMONTH(AsOfDate,-1)&lt;AH46,-1,12*(YEAR(EOMONTH(AsOfDate,-1))-YEAR(AH46))+MONTH(EOMONTH(AsOfDate,-1))-MONTH(AH46)-IF(DAY(EOMONTH(AsOfDate,-1))&lt;MIN(DAY(AH46),DAY(EOMONTH(EOMONTH(AsOfDate,-1),0))),1,0)))</f>
        <v>6</v>
      </c>
      <c r="BF46" s="19" t="n">
        <f aca="false">IF(AG46=0,"",IF(OR(AI46&lt;2,AK46&gt;EOMONTH(AsOfDate,-1)),BE46,IF((AK46-1)&lt;AH46,-1,12*(YEAR((AK46-1))-YEAR(AH46))+MONTH((AK46-1))-MONTH(AH46)-IF(DAY((AK46-1))&lt;MIN(DAY(AH46),DAY(EOMONTH((AK46-1),0))),1,0))))</f>
        <v>6</v>
      </c>
      <c r="BG46" s="19" t="n">
        <f aca="false">IF(AG46=0,"",IF(OR(AI46&lt;3,AL46&gt;EOMONTH(AsOfDate,-1)),BE46,IF((AL46-1)&lt;AH46,-1,12*(YEAR((AL46-1))-YEAR(AH46))+MONTH((AL46-1))-MONTH(AH46)-IF(DAY((AL46-1))&lt;MIN(DAY(AH46),DAY(EOMONTH((AL46-1),0))),1,0))))</f>
        <v>6</v>
      </c>
      <c r="BH46" s="19" t="n">
        <f aca="false">IF(AG46=0,"",IF(AP46="FT",IF(BF46&lt;FT_First,0,IF(BF46&lt;FT_Y5,1+INT((BF46-FT_First)/FT_Int1),FT_PreY5+FT_PerYear*INT((BF46-FT_Y5)/12)+FT_AnnivDays+INT(MOD(BF46-FT_Y5,12)/FT_Int2))),IF(AP46="PT",IF(BF46&lt;PT_First,0,1+INT((BF46-PT_First)/PT_Int)),0))+IF(AND(AI46&gt;=2,AK46&lt;=EOMONTH(AsOfDate,-1)),IF(AQ46="FT",IF(BG46&lt;FT_First,0,IF(BG46&lt;FT_Y5,1+INT((BG46-FT_First)/FT_Int1),FT_PreY5+FT_PerYear*INT((BG46-FT_Y5)/12)+FT_AnnivDays+INT(MOD(BG46-FT_Y5,12)/FT_Int2))),IF(AQ46="PT",IF(BG46&lt;PT_First,0,1+INT((BG46-PT_First)/PT_Int)),0))-IF(AQ46="FT",IF(BF46&lt;FT_First,0,IF(BF46&lt;FT_Y5,1+INT((BF46-FT_First)/FT_Int1),FT_PreY5+FT_PerYear*INT((BF46-FT_Y5)/12)+FT_AnnivDays+INT(MOD(BF46-FT_Y5,12)/FT_Int2))),IF(AQ46="PT",IF(BF46&lt;PT_First,0,1+INT((BF46-PT_First)/PT_Int)),0)),0)+IF(AND(AI46&gt;=3,AL46&lt;=EOMONTH(AsOfDate,-1)),IF(AR46="FT",IF(BE46&lt;FT_First,0,IF(BE46&lt;FT_Y5,1+INT((BE46-FT_First)/FT_Int1),FT_PreY5+FT_PerYear*INT((BE46-FT_Y5)/12)+FT_AnnivDays+INT(MOD(BE46-FT_Y5,12)/FT_Int2))),IF(AR46="PT",IF(BE46&lt;PT_First,0,1+INT((BE46-PT_First)/PT_Int)),0))-IF(AR46="FT",IF(BG46&lt;FT_First,0,IF(BG46&lt;FT_Y5,1+INT((BG46-FT_First)/FT_Int1),FT_PreY5+FT_PerYear*INT((BG46-FT_Y5)/12)+FT_AnnivDays+INT(MOD(BG46-FT_Y5,12)/FT_Int2))),IF(AR46="PT",IF(BG46&lt;PT_First,0,1+INT((BG46-PT_First)/PT_Int)),0)),0))</f>
        <v>0</v>
      </c>
      <c r="BI46" s="19" t="str">
        <f aca="false">IF(AG46=0,"",IF(AS46="FT",IF(AT46&lt;FT_First,"",IF(AT46&lt;FT_Y5,FT_First+FT_Int1*INT((AT46-FT_First)/FT_Int1),FT_Y5+FT_Int2*INT((AT46-FT_Y5)/FT_Int2))),IF(AS46="PT",IF(AT46&lt;PT_First,"",PT_First+PT_Int*INT((AT46-PT_First)/PT_Int)),"")))</f>
        <v/>
      </c>
      <c r="BJ46" s="0" t="str">
        <f aca="false">IF(LEN($A46&amp;$B46)=0,"",$A46&amp;" "&amp;$B46)</f>
        <v>Joshua Velarde</v>
      </c>
    </row>
    <row r="47" customFormat="false" ht="15" hidden="false" customHeight="false" outlineLevel="0" collapsed="false">
      <c r="A47" s="15" t="s">
        <v>223</v>
      </c>
      <c r="B47" s="15" t="s">
        <v>224</v>
      </c>
      <c r="C47" s="15" t="s">
        <v>138</v>
      </c>
      <c r="D47" s="16" t="n">
        <v>34061</v>
      </c>
      <c r="E47" s="17" t="n">
        <f aca="false">IF(OR(AG47=0,$D47=""),"",DATE(YEAR(AsOfDate)+IF(DATE(YEAR(AsOfDate),MONTH($D47),DAY($D47))&lt;=AsOfDate,1,0),MONTH($D47),DAY($D47)))</f>
        <v>46479</v>
      </c>
      <c r="F47" s="16" t="n">
        <v>45033</v>
      </c>
      <c r="G47" s="16"/>
      <c r="H47" s="16"/>
      <c r="I47" s="16"/>
      <c r="J47" s="16"/>
      <c r="K47" s="17" t="n">
        <f aca="false">IF(AG47=0,"",DATE(YEAR(AsOfDate)+IF(DATE(YEAR(AsOfDate),MONTH(AH47),DAY(AH47))&lt;=AsOfDate,1,0),MONTH(AH47),DAY(AH47)))</f>
        <v>46494</v>
      </c>
      <c r="L47" s="18" t="n">
        <f aca="false">IF(AG47=0,"",ROUND((AsOfDate-AH47)/365.25,1))</f>
        <v>3.5</v>
      </c>
      <c r="M47" s="19" t="str">
        <f aca="false">IF(AG47=0,"",IF(AsOfDate&lt;AH47,"-",DATEDIF(AH47,AsOfDate,"y")&amp;"y "&amp;DATEDIF(AH47,AsOfDate,"ym")&amp;"m "&amp;DATEDIF(AH47,AsOfDate,"md")&amp;"d"))</f>
        <v>3y 5m 19d</v>
      </c>
      <c r="N47" s="20" t="n">
        <f aca="false">IF(AG47=0,"",O47*HoursPerDay)</f>
        <v>0</v>
      </c>
      <c r="O47" s="20" t="n">
        <f aca="false">IF(AG47=0,"",AZ47)</f>
        <v>0</v>
      </c>
      <c r="P47" s="21"/>
      <c r="Q47" s="19"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19"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17" t="str">
        <f aca="false">IF(AG47=0,"",IF(AS47="None","",EDATE(AH47,BB47)))</f>
        <v/>
      </c>
      <c r="T47" s="20" t="n">
        <f aca="false">IF(AG47=0,"",IF(NOT(LH_Ready),"",IF(AH47&gt;PFYDate,0,IF(LH_ColPeriod=0,W47-U47+V47,SUMIFS(INDEX(LH_Data,0,LH_ColAcc),INDEX(LH_Data,0,LH_ColFirst),$A47,INDEX(LH_Data,0,LH_ColSur),$B47,INDEX(LH_Data,0,LH_ColCat),BonusCat,INDEX(LH_Data,0,LH_ColPeriod),LH_OpenLabel)*UnitFactor))))</f>
        <v>0</v>
      </c>
      <c r="U47" s="20" t="n">
        <f aca="false">IF(AG47=0,"",IF(NOT(LH_Ready),"",SUMIFS(INDEX(LH_Data,0,LH_ColAcc),INDEX(LH_Data,0,LH_ColFirst),$A47,INDEX(LH_Data,0,LH_ColSur),$B47,INDEX(LH_Data,0,LH_ColCat),BonusCat,INDEX(LH_Data,0,LH_ColStart),"&gt;="&amp;AH47)*UnitFactor))</f>
        <v>0</v>
      </c>
      <c r="V47" s="20" t="n">
        <f aca="false">IF(AG47=0,"",IF(NOT(LH_Ready),"",SUMIFS(INDEX(LH_Data,0,LH_ColTaken),INDEX(LH_Data,0,LH_ColFirst),$A47,INDEX(LH_Data,0,LH_ColSur),$B47,INDEX(LH_Data,0,LH_ColCat),BonusCat,INDEX(LH_Data,0,LH_ColStart),"&gt;="&amp;AH47)*UnitFactor))</f>
        <v>0</v>
      </c>
      <c r="W47" s="20" t="n">
        <f aca="false">IF(AG47=0,"",IF(NOT(LH_Ready),"",IF(BD47=0,0,INDEX(INDEX(LH_Data,0,LH_ColClose),BD47-1)*UnitFactor)))</f>
        <v>0</v>
      </c>
      <c r="X47" s="20" t="n">
        <f aca="false">IF(AG47=0,"",(AZ47-BA47)*HoursPerDay)</f>
        <v>0</v>
      </c>
      <c r="Y47" s="20" t="n">
        <f aca="false">IF(AG47=0,"",IF(NOT(LH_Ready),"",IF(BC47=0,N47,IF(PFYDate&lt;$F47,N47-N(T47)-N(U47),X47-N(U47)))))</f>
        <v>0</v>
      </c>
      <c r="Z47" s="19" t="str">
        <f aca="false">IF(OR(AG47=0,Y47=""),"",IF(Y47&gt;0,"Yes","No"))</f>
        <v>No</v>
      </c>
      <c r="AA47" s="19"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Not eligible - Casual</v>
      </c>
      <c r="AB47" s="20" t="n">
        <f aca="false">IF(OR(AG47=0,T47=""),"",BA47*HoursPerDay-T47)</f>
        <v>0</v>
      </c>
      <c r="AC47" s="19" t="n">
        <f aca="false">IF(AG47=0,"",BC47)</f>
        <v>0</v>
      </c>
      <c r="AD47" s="19"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20" t="n">
        <f aca="false">IF(AG47=0,"",O47-BH47)</f>
        <v>0</v>
      </c>
      <c r="AF47" s="17" t="str">
        <f aca="false">IF(OR(AG47=0,AE47="",N(AE47)=0,BI47=""),"",EDATE(AH47,BI47))</f>
        <v/>
      </c>
      <c r="AG47" s="19" t="n">
        <f aca="false">IF(OR(LEN($A47&amp;$B47)=0,$F47=""),0,1)</f>
        <v>1</v>
      </c>
      <c r="AH47" s="17" t="n">
        <f aca="false">IF(AG47=0,"",IF($J47&lt;&gt;"",$J47,IF(OR(CasualCounts="Yes",COUNT($G47:$I47)=0,COUNT($H47:$I47)=0),$F47,MIN($H47:$I47))))</f>
        <v>45033</v>
      </c>
      <c r="AI47" s="19" t="n">
        <f aca="false">IF(AG47=0,"",COUNT($G47:$I47))</f>
        <v>0</v>
      </c>
      <c r="AJ47" s="17" t="str">
        <f aca="false">IF(AG47=0,"",IFERROR(SMALL($G47:$I47,1),""))</f>
        <v/>
      </c>
      <c r="AK47" s="17" t="str">
        <f aca="false">IF(AG47=0,"",IFERROR(SMALL($G47:$I47,2),""))</f>
        <v/>
      </c>
      <c r="AL47" s="17" t="str">
        <f aca="false">IF(AG47=0,"",IFERROR(SMALL($G47:$I47,3),""))</f>
        <v/>
      </c>
      <c r="AM47" s="19" t="str">
        <f aca="false">IF(AG47=0,"",IF(AJ47="","",IF(AJ47=$H47,"Part-Time",IF(AJ47=$I47,"Full-Time","Casual"))))</f>
        <v/>
      </c>
      <c r="AN47" s="19" t="str">
        <f aca="false">IF(AG47=0,"",IF(AK47="","",IF(AK47=$H47,"Part-Time",IF(AK47=$I47,"Full-Time","Casual"))))</f>
        <v/>
      </c>
      <c r="AO47" s="19" t="str">
        <f aca="false">IF(AG47=0,"",IF(AL47="","",IF(AL47=$H47,"Part-Time",IF(AL47=$I47,"Full-Time","Casual"))))</f>
        <v/>
      </c>
      <c r="AP47" s="19"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None</v>
      </c>
      <c r="AQ47" s="19" t="str">
        <f aca="false">IF(AG47=0,"",IF(AI47&lt;2,"",IF(OR(ISNUMBER(SEARCH("full",AN47)),UPPER(TRIM(AN47))="FT",UPPER(TRIM(AN47))="FTE"),"FT",IF(AND(OR(ISNUMBER(SEARCH("part",AN47)),UPPER(TRIM(AN47))="PT",UPPER(TRIM(AN47))="PTE"),OR($P47="",N($P47)&gt;=PT_MinHours)),"PT","None"))))</f>
        <v/>
      </c>
      <c r="AR47" s="19" t="str">
        <f aca="false">IF(AG47=0,"",IF(AI47&lt;3,"",IF(OR(ISNUMBER(SEARCH("full",AO47)),UPPER(TRIM(AO47))="FT",UPPER(TRIM(AO47))="FTE"),"FT",IF(AND(OR(ISNUMBER(SEARCH("part",AO47)),UPPER(TRIM(AO47))="PT",UPPER(TRIM(AO47))="PTE"),OR($P47="",N($P47)&gt;=PT_MinHours)),"PT","None"))))</f>
        <v/>
      </c>
      <c r="AS47" s="19" t="str">
        <f aca="false">IF(AG47=0,"",IF(AND(AI47&gt;=3,AL47&lt;=AsOfDate),AR47,IF(AND(AI47&gt;=2,AK47&lt;=AsOfDate),AQ47,AP47)))</f>
        <v>None</v>
      </c>
      <c r="AT47" s="19" t="n">
        <f aca="false">IF(AG47=0,"",IF(AsOfDate&lt;AH47,-1,12*(YEAR(AsOfDate)-YEAR(AH47))+MONTH(AsOfDate)-MONTH(AH47)-IF(DAY(AsOfDate)&lt;MIN(DAY(AH47),DAY(EOMONTH(AsOfDate,0))),1,0)))</f>
        <v>41</v>
      </c>
      <c r="AU47" s="19" t="n">
        <f aca="false">IF(AG47=0,"",IF(OR(AI47&lt;2,AK47&gt;AsOfDate),AT47,IF((AK47-1)&lt;AH47,-1,12*(YEAR((AK47-1))-YEAR(AH47))+MONTH((AK47-1))-MONTH(AH47)-IF(DAY((AK47-1))&lt;MIN(DAY(AH47),DAY(EOMONTH((AK47-1),0))),1,0))))</f>
        <v>41</v>
      </c>
      <c r="AV47" s="19" t="n">
        <f aca="false">IF(AG47=0,"",IF(OR(AI47&lt;3,AL47&gt;AsOfDate),AT47,IF((AL47-1)&lt;AH47,-1,12*(YEAR((AL47-1))-YEAR(AH47))+MONTH((AL47-1))-MONTH(AH47)-IF(DAY((AL47-1))&lt;MIN(DAY(AH47),DAY(EOMONTH((AL47-1),0))),1,0))))</f>
        <v>41</v>
      </c>
      <c r="AW47" s="19" t="n">
        <f aca="false">IF(AG47=0,"",IF(PFYDate&lt;AH47,-1,12*(YEAR(PFYDate)-YEAR(AH47))+MONTH(PFYDate)-MONTH(AH47)-IF(DAY(PFYDate)&lt;MIN(DAY(AH47),DAY(EOMONTH(PFYDate,0))),1,0)))</f>
        <v>-1</v>
      </c>
      <c r="AX47" s="19" t="n">
        <f aca="false">IF(AG47=0,"",IF(OR(AI47&lt;2,AK47&gt;PFYDate),AW47,IF((AK47-1)&lt;AH47,-1,12*(YEAR((AK47-1))-YEAR(AH47))+MONTH((AK47-1))-MONTH(AH47)-IF(DAY((AK47-1))&lt;MIN(DAY(AH47),DAY(EOMONTH((AK47-1),0))),1,0))))</f>
        <v>-1</v>
      </c>
      <c r="AY47" s="19" t="n">
        <f aca="false">IF(AG47=0,"",IF(OR(AI47&lt;3,AL47&gt;PFYDate),AW47,IF((AL47-1)&lt;AH47,-1,12*(YEAR((AL47-1))-YEAR(AH47))+MONTH((AL47-1))-MONTH(AH47)-IF(DAY((AL47-1))&lt;MIN(DAY(AH47),DAY(EOMONTH((AL47-1),0))),1,0))))</f>
        <v>-1</v>
      </c>
      <c r="AZ47" s="19" t="n">
        <f aca="false">IF(AG47=0,"",IF(AP47="FT",IF(AU47&lt;FT_First,0,IF(AU47&lt;FT_Y5,1+INT((AU47-FT_First)/FT_Int1),FT_PreY5+FT_PerYear*INT((AU47-FT_Y5)/12)+FT_AnnivDays+INT(MOD(AU47-FT_Y5,12)/FT_Int2))),IF(AP47="PT",IF(AU47&lt;PT_First,0,1+INT((AU47-PT_First)/PT_Int)),0))+IF(AND(AI47&gt;=2,AK47&lt;=AsOfDate),IF(AQ47="FT",IF(AV47&lt;FT_First,0,IF(AV47&lt;FT_Y5,1+INT((AV47-FT_First)/FT_Int1),FT_PreY5+FT_PerYear*INT((AV47-FT_Y5)/12)+FT_AnnivDays+INT(MOD(AV47-FT_Y5,12)/FT_Int2))),IF(AQ47="PT",IF(AV47&lt;PT_First,0,1+INT((AV47-PT_First)/PT_Int)),0))-IF(AQ47="FT",IF(AU47&lt;FT_First,0,IF(AU47&lt;FT_Y5,1+INT((AU47-FT_First)/FT_Int1),FT_PreY5+FT_PerYear*INT((AU47-FT_Y5)/12)+FT_AnnivDays+INT(MOD(AU47-FT_Y5,12)/FT_Int2))),IF(AQ47="PT",IF(AU47&lt;PT_First,0,1+INT((AU47-PT_First)/PT_Int)),0)),0)+IF(AND(AI47&gt;=3,AL47&lt;=AsOfDate),IF(AR47="FT",IF(AT47&lt;FT_First,0,IF(AT47&lt;FT_Y5,1+INT((AT47-FT_First)/FT_Int1),FT_PreY5+FT_PerYear*INT((AT47-FT_Y5)/12)+FT_AnnivDays+INT(MOD(AT47-FT_Y5,12)/FT_Int2))),IF(AR47="PT",IF(AT47&lt;PT_First,0,1+INT((AT47-PT_First)/PT_Int)),0))-IF(AR47="FT",IF(AV47&lt;FT_First,0,IF(AV47&lt;FT_Y5,1+INT((AV47-FT_First)/FT_Int1),FT_PreY5+FT_PerYear*INT((AV47-FT_Y5)/12)+FT_AnnivDays+INT(MOD(AV47-FT_Y5,12)/FT_Int2))),IF(AR47="PT",IF(AV47&lt;PT_First,0,1+INT((AV47-PT_First)/PT_Int)),0)),0))</f>
        <v>0</v>
      </c>
      <c r="BA47" s="19" t="n">
        <f aca="false">IF(AG47=0,"",IF(AP47="FT",IF(AX47&lt;FT_First,0,IF(AX47&lt;FT_Y5,1+INT((AX47-FT_First)/FT_Int1),FT_PreY5+FT_PerYear*INT((AX47-FT_Y5)/12)+FT_AnnivDays+INT(MOD(AX47-FT_Y5,12)/FT_Int2))),IF(AP47="PT",IF(AX47&lt;PT_First,0,1+INT((AX47-PT_First)/PT_Int)),0))+IF(AND(AI47&gt;=2,AK47&lt;=PFYDate),IF(AQ47="FT",IF(AY47&lt;FT_First,0,IF(AY47&lt;FT_Y5,1+INT((AY47-FT_First)/FT_Int1),FT_PreY5+FT_PerYear*INT((AY47-FT_Y5)/12)+FT_AnnivDays+INT(MOD(AY47-FT_Y5,12)/FT_Int2))),IF(AQ47="PT",IF(AY47&lt;PT_First,0,1+INT((AY47-PT_First)/PT_Int)),0))-IF(AQ47="FT",IF(AX47&lt;FT_First,0,IF(AX47&lt;FT_Y5,1+INT((AX47-FT_First)/FT_Int1),FT_PreY5+FT_PerYear*INT((AX47-FT_Y5)/12)+FT_AnnivDays+INT(MOD(AX47-FT_Y5,12)/FT_Int2))),IF(AQ47="PT",IF(AX47&lt;PT_First,0,1+INT((AX47-PT_First)/PT_Int)),0)),0)+IF(AND(AI47&gt;=3,AL47&lt;=PFYDate),IF(AR47="FT",IF(AW47&lt;FT_First,0,IF(AW47&lt;FT_Y5,1+INT((AW47-FT_First)/FT_Int1),FT_PreY5+FT_PerYear*INT((AW47-FT_Y5)/12)+FT_AnnivDays+INT(MOD(AW47-FT_Y5,12)/FT_Int2))),IF(AR47="PT",IF(AW47&lt;PT_First,0,1+INT((AW47-PT_First)/PT_Int)),0))-IF(AR47="FT",IF(AY47&lt;FT_First,0,IF(AY47&lt;FT_Y5,1+INT((AY47-FT_First)/FT_Int1),FT_PreY5+FT_PerYear*INT((AY47-FT_Y5)/12)+FT_AnnivDays+INT(MOD(AY47-FT_Y5,12)/FT_Int2))),IF(AR47="PT",IF(AY47&lt;PT_First,0,1+INT((AY47-PT_First)/PT_Int)),0)),0))</f>
        <v>0</v>
      </c>
      <c r="BB47" s="19" t="str">
        <f aca="false">IF(AG47=0,"",IF(AS47="FT",IF(AT47&lt;FT_First,FT_First,IF(AT47&lt;FT_Y5,MIN(FT_Y5,FT_First+FT_Int1*(INT((AT47-FT_First)/FT_Int1)+1)),FT_Y5+12*INT((AT47-FT_Y5)/12)+FT_Int2*(INT(MOD(AT47-FT_Y5,12)/FT_Int2)+1))),IF(AS47="PT",IF(AT47&lt;PT_First,PT_First,PT_First+PT_Int*(INT((AT47-PT_First)/PT_Int)+1)),"")))</f>
        <v/>
      </c>
      <c r="BC47" s="19" t="n">
        <f aca="false">IF(AG47=0,"",IF(NOT(LH_Ready),0,COUNTIFS(INDEX(LH_Data,0,LH_ColFirst),$A47,INDEX(LH_Data,0,LH_ColSur),$B47,INDEX(LH_Data,0,LH_ColCat),BonusCat)))</f>
        <v>0</v>
      </c>
      <c r="BD47" s="19" t="n">
        <f aca="false">IF(AG47=0,"",IF(OR(NOT(LH_Ready),BC47=0),0,SUMPRODUCT(MAX((INDEX(LH_Data,0,LH_ColFirst)=$A47)*(INDEX(LH_Data,0,LH_ColSur)=$B47)*(INDEX(LH_Data,0,LH_ColCat)=BonusCat)*ROW(LH_Data)))))</f>
        <v>0</v>
      </c>
      <c r="BE47" s="19" t="n">
        <f aca="false">IF(AG47=0,"",IF(EOMONTH(AsOfDate,-1)&lt;AH47,-1,12*(YEAR(EOMONTH(AsOfDate,-1))-YEAR(AH47))+MONTH(EOMONTH(AsOfDate,-1))-MONTH(AH47)-IF(DAY(EOMONTH(AsOfDate,-1))&lt;MIN(DAY(AH47),DAY(EOMONTH(EOMONTH(AsOfDate,-1),0))),1,0)))</f>
        <v>41</v>
      </c>
      <c r="BF47" s="19" t="n">
        <f aca="false">IF(AG47=0,"",IF(OR(AI47&lt;2,AK47&gt;EOMONTH(AsOfDate,-1)),BE47,IF((AK47-1)&lt;AH47,-1,12*(YEAR((AK47-1))-YEAR(AH47))+MONTH((AK47-1))-MONTH(AH47)-IF(DAY((AK47-1))&lt;MIN(DAY(AH47),DAY(EOMONTH((AK47-1),0))),1,0))))</f>
        <v>41</v>
      </c>
      <c r="BG47" s="19" t="n">
        <f aca="false">IF(AG47=0,"",IF(OR(AI47&lt;3,AL47&gt;EOMONTH(AsOfDate,-1)),BE47,IF((AL47-1)&lt;AH47,-1,12*(YEAR((AL47-1))-YEAR(AH47))+MONTH((AL47-1))-MONTH(AH47)-IF(DAY((AL47-1))&lt;MIN(DAY(AH47),DAY(EOMONTH((AL47-1),0))),1,0))))</f>
        <v>41</v>
      </c>
      <c r="BH47" s="19" t="n">
        <f aca="false">IF(AG47=0,"",IF(AP47="FT",IF(BF47&lt;FT_First,0,IF(BF47&lt;FT_Y5,1+INT((BF47-FT_First)/FT_Int1),FT_PreY5+FT_PerYear*INT((BF47-FT_Y5)/12)+FT_AnnivDays+INT(MOD(BF47-FT_Y5,12)/FT_Int2))),IF(AP47="PT",IF(BF47&lt;PT_First,0,1+INT((BF47-PT_First)/PT_Int)),0))+IF(AND(AI47&gt;=2,AK47&lt;=EOMONTH(AsOfDate,-1)),IF(AQ47="FT",IF(BG47&lt;FT_First,0,IF(BG47&lt;FT_Y5,1+INT((BG47-FT_First)/FT_Int1),FT_PreY5+FT_PerYear*INT((BG47-FT_Y5)/12)+FT_AnnivDays+INT(MOD(BG47-FT_Y5,12)/FT_Int2))),IF(AQ47="PT",IF(BG47&lt;PT_First,0,1+INT((BG47-PT_First)/PT_Int)),0))-IF(AQ47="FT",IF(BF47&lt;FT_First,0,IF(BF47&lt;FT_Y5,1+INT((BF47-FT_First)/FT_Int1),FT_PreY5+FT_PerYear*INT((BF47-FT_Y5)/12)+FT_AnnivDays+INT(MOD(BF47-FT_Y5,12)/FT_Int2))),IF(AQ47="PT",IF(BF47&lt;PT_First,0,1+INT((BF47-PT_First)/PT_Int)),0)),0)+IF(AND(AI47&gt;=3,AL47&lt;=EOMONTH(AsOfDate,-1)),IF(AR47="FT",IF(BE47&lt;FT_First,0,IF(BE47&lt;FT_Y5,1+INT((BE47-FT_First)/FT_Int1),FT_PreY5+FT_PerYear*INT((BE47-FT_Y5)/12)+FT_AnnivDays+INT(MOD(BE47-FT_Y5,12)/FT_Int2))),IF(AR47="PT",IF(BE47&lt;PT_First,0,1+INT((BE47-PT_First)/PT_Int)),0))-IF(AR47="FT",IF(BG47&lt;FT_First,0,IF(BG47&lt;FT_Y5,1+INT((BG47-FT_First)/FT_Int1),FT_PreY5+FT_PerYear*INT((BG47-FT_Y5)/12)+FT_AnnivDays+INT(MOD(BG47-FT_Y5,12)/FT_Int2))),IF(AR47="PT",IF(BG47&lt;PT_First,0,1+INT((BG47-PT_First)/PT_Int)),0)),0))</f>
        <v>0</v>
      </c>
      <c r="BI47" s="19" t="str">
        <f aca="false">IF(AG47=0,"",IF(AS47="FT",IF(AT47&lt;FT_First,"",IF(AT47&lt;FT_Y5,FT_First+FT_Int1*INT((AT47-FT_First)/FT_Int1),FT_Y5+FT_Int2*INT((AT47-FT_Y5)/FT_Int2))),IF(AS47="PT",IF(AT47&lt;PT_First,"",PT_First+PT_Int*INT((AT47-PT_First)/PT_Int)),"")))</f>
        <v/>
      </c>
      <c r="BJ47" s="0" t="str">
        <f aca="false">IF(LEN($A47&amp;$B47)=0,"",$A47&amp;" "&amp;$B47)</f>
        <v>Juan Lopez</v>
      </c>
    </row>
    <row r="48" customFormat="false" ht="15" hidden="false" customHeight="false" outlineLevel="0" collapsed="false">
      <c r="A48" s="15" t="s">
        <v>225</v>
      </c>
      <c r="B48" s="15" t="s">
        <v>226</v>
      </c>
      <c r="C48" s="15" t="s">
        <v>138</v>
      </c>
      <c r="D48" s="16" t="n">
        <v>24286</v>
      </c>
      <c r="E48" s="17" t="n">
        <f aca="false">IF(OR(AG48=0,$D48=""),"",DATE(YEAR(AsOfDate)+IF(DATE(YEAR(AsOfDate),MONTH($D48),DAY($D48))&lt;=AsOfDate,1,0),MONTH($D48),DAY($D48)))</f>
        <v>46566</v>
      </c>
      <c r="F48" s="16" t="n">
        <v>44812</v>
      </c>
      <c r="G48" s="16"/>
      <c r="H48" s="16"/>
      <c r="I48" s="16"/>
      <c r="J48" s="16"/>
      <c r="K48" s="17" t="n">
        <f aca="false">IF(AG48=0,"",DATE(YEAR(AsOfDate)+IF(DATE(YEAR(AsOfDate),MONTH(AH48),DAY(AH48))&lt;=AsOfDate,1,0),MONTH(AH48),DAY(AH48)))</f>
        <v>46638</v>
      </c>
      <c r="L48" s="18" t="n">
        <f aca="false">IF(AG48=0,"",ROUND((AsOfDate-AH48)/365.25,1))</f>
        <v>4.1</v>
      </c>
      <c r="M48" s="19" t="str">
        <f aca="false">IF(AG48=0,"",IF(AsOfDate&lt;AH48,"-",DATEDIF(AH48,AsOfDate,"y")&amp;"y "&amp;DATEDIF(AH48,AsOfDate,"ym")&amp;"m "&amp;DATEDIF(AH48,AsOfDate,"md")&amp;"d"))</f>
        <v>4y 0m 28d</v>
      </c>
      <c r="N48" s="20" t="n">
        <f aca="false">IF(AG48=0,"",O48*HoursPerDay)</f>
        <v>0</v>
      </c>
      <c r="O48" s="20" t="n">
        <f aca="false">IF(AG48=0,"",AZ48)</f>
        <v>0</v>
      </c>
      <c r="P48" s="21"/>
      <c r="Q48" s="19"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19"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17" t="str">
        <f aca="false">IF(AG48=0,"",IF(AS48="None","",EDATE(AH48,BB48)))</f>
        <v/>
      </c>
      <c r="T48" s="20" t="n">
        <f aca="false">IF(AG48=0,"",IF(NOT(LH_Ready),"",IF(AH48&gt;PFYDate,0,IF(LH_ColPeriod=0,W48-U48+V48,SUMIFS(INDEX(LH_Data,0,LH_ColAcc),INDEX(LH_Data,0,LH_ColFirst),$A48,INDEX(LH_Data,0,LH_ColSur),$B48,INDEX(LH_Data,0,LH_ColCat),BonusCat,INDEX(LH_Data,0,LH_ColPeriod),LH_OpenLabel)*UnitFactor))))</f>
        <v>0</v>
      </c>
      <c r="U48" s="20" t="n">
        <f aca="false">IF(AG48=0,"",IF(NOT(LH_Ready),"",SUMIFS(INDEX(LH_Data,0,LH_ColAcc),INDEX(LH_Data,0,LH_ColFirst),$A48,INDEX(LH_Data,0,LH_ColSur),$B48,INDEX(LH_Data,0,LH_ColCat),BonusCat,INDEX(LH_Data,0,LH_ColStart),"&gt;="&amp;AH48)*UnitFactor))</f>
        <v>0</v>
      </c>
      <c r="V48" s="20" t="n">
        <f aca="false">IF(AG48=0,"",IF(NOT(LH_Ready),"",SUMIFS(INDEX(LH_Data,0,LH_ColTaken),INDEX(LH_Data,0,LH_ColFirst),$A48,INDEX(LH_Data,0,LH_ColSur),$B48,INDEX(LH_Data,0,LH_ColCat),BonusCat,INDEX(LH_Data,0,LH_ColStart),"&gt;="&amp;AH48)*UnitFactor))</f>
        <v>0</v>
      </c>
      <c r="W48" s="20" t="n">
        <f aca="false">IF(AG48=0,"",IF(NOT(LH_Ready),"",IF(BD48=0,0,INDEX(INDEX(LH_Data,0,LH_ColClose),BD48-1)*UnitFactor)))</f>
        <v>0</v>
      </c>
      <c r="X48" s="20" t="n">
        <f aca="false">IF(AG48=0,"",(AZ48-BA48)*HoursPerDay)</f>
        <v>0</v>
      </c>
      <c r="Y48" s="20" t="n">
        <f aca="false">IF(AG48=0,"",IF(NOT(LH_Ready),"",IF(BC48=0,N48,IF(PFYDate&lt;$F48,N48-N(T48)-N(U48),X48-N(U48)))))</f>
        <v>0</v>
      </c>
      <c r="Z48" s="19" t="str">
        <f aca="false">IF(OR(AG48=0,Y48=""),"",IF(Y48&gt;0,"Yes","No"))</f>
        <v>No</v>
      </c>
      <c r="AA48" s="19"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Not eligible - Casual</v>
      </c>
      <c r="AB48" s="20" t="n">
        <f aca="false">IF(OR(AG48=0,T48=""),"",BA48*HoursPerDay-T48)</f>
        <v>0</v>
      </c>
      <c r="AC48" s="19" t="n">
        <f aca="false">IF(AG48=0,"",BC48)</f>
        <v>0</v>
      </c>
      <c r="AD48" s="19"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20" t="n">
        <f aca="false">IF(AG48=0,"",O48-BH48)</f>
        <v>0</v>
      </c>
      <c r="AF48" s="17" t="str">
        <f aca="false">IF(OR(AG48=0,AE48="",N(AE48)=0,BI48=""),"",EDATE(AH48,BI48))</f>
        <v/>
      </c>
      <c r="AG48" s="19" t="n">
        <f aca="false">IF(OR(LEN($A48&amp;$B48)=0,$F48=""),0,1)</f>
        <v>1</v>
      </c>
      <c r="AH48" s="17" t="n">
        <f aca="false">IF(AG48=0,"",IF($J48&lt;&gt;"",$J48,IF(OR(CasualCounts="Yes",COUNT($G48:$I48)=0,COUNT($H48:$I48)=0),$F48,MIN($H48:$I48))))</f>
        <v>44812</v>
      </c>
      <c r="AI48" s="19" t="n">
        <f aca="false">IF(AG48=0,"",COUNT($G48:$I48))</f>
        <v>0</v>
      </c>
      <c r="AJ48" s="17" t="str">
        <f aca="false">IF(AG48=0,"",IFERROR(SMALL($G48:$I48,1),""))</f>
        <v/>
      </c>
      <c r="AK48" s="17" t="str">
        <f aca="false">IF(AG48=0,"",IFERROR(SMALL($G48:$I48,2),""))</f>
        <v/>
      </c>
      <c r="AL48" s="17" t="str">
        <f aca="false">IF(AG48=0,"",IFERROR(SMALL($G48:$I48,3),""))</f>
        <v/>
      </c>
      <c r="AM48" s="19" t="str">
        <f aca="false">IF(AG48=0,"",IF(AJ48="","",IF(AJ48=$H48,"Part-Time",IF(AJ48=$I48,"Full-Time","Casual"))))</f>
        <v/>
      </c>
      <c r="AN48" s="19" t="str">
        <f aca="false">IF(AG48=0,"",IF(AK48="","",IF(AK48=$H48,"Part-Time",IF(AK48=$I48,"Full-Time","Casual"))))</f>
        <v/>
      </c>
      <c r="AO48" s="19" t="str">
        <f aca="false">IF(AG48=0,"",IF(AL48="","",IF(AL48=$H48,"Part-Time",IF(AL48=$I48,"Full-Time","Casual"))))</f>
        <v/>
      </c>
      <c r="AP48" s="19"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None</v>
      </c>
      <c r="AQ48" s="19" t="str">
        <f aca="false">IF(AG48=0,"",IF(AI48&lt;2,"",IF(OR(ISNUMBER(SEARCH("full",AN48)),UPPER(TRIM(AN48))="FT",UPPER(TRIM(AN48))="FTE"),"FT",IF(AND(OR(ISNUMBER(SEARCH("part",AN48)),UPPER(TRIM(AN48))="PT",UPPER(TRIM(AN48))="PTE"),OR($P48="",N($P48)&gt;=PT_MinHours)),"PT","None"))))</f>
        <v/>
      </c>
      <c r="AR48" s="19" t="str">
        <f aca="false">IF(AG48=0,"",IF(AI48&lt;3,"",IF(OR(ISNUMBER(SEARCH("full",AO48)),UPPER(TRIM(AO48))="FT",UPPER(TRIM(AO48))="FTE"),"FT",IF(AND(OR(ISNUMBER(SEARCH("part",AO48)),UPPER(TRIM(AO48))="PT",UPPER(TRIM(AO48))="PTE"),OR($P48="",N($P48)&gt;=PT_MinHours)),"PT","None"))))</f>
        <v/>
      </c>
      <c r="AS48" s="19" t="str">
        <f aca="false">IF(AG48=0,"",IF(AND(AI48&gt;=3,AL48&lt;=AsOfDate),AR48,IF(AND(AI48&gt;=2,AK48&lt;=AsOfDate),AQ48,AP48)))</f>
        <v>None</v>
      </c>
      <c r="AT48" s="19" t="n">
        <f aca="false">IF(AG48=0,"",IF(AsOfDate&lt;AH48,-1,12*(YEAR(AsOfDate)-YEAR(AH48))+MONTH(AsOfDate)-MONTH(AH48)-IF(DAY(AsOfDate)&lt;MIN(DAY(AH48),DAY(EOMONTH(AsOfDate,0))),1,0)))</f>
        <v>48</v>
      </c>
      <c r="AU48" s="19" t="n">
        <f aca="false">IF(AG48=0,"",IF(OR(AI48&lt;2,AK48&gt;AsOfDate),AT48,IF((AK48-1)&lt;AH48,-1,12*(YEAR((AK48-1))-YEAR(AH48))+MONTH((AK48-1))-MONTH(AH48)-IF(DAY((AK48-1))&lt;MIN(DAY(AH48),DAY(EOMONTH((AK48-1),0))),1,0))))</f>
        <v>48</v>
      </c>
      <c r="AV48" s="19" t="n">
        <f aca="false">IF(AG48=0,"",IF(OR(AI48&lt;3,AL48&gt;AsOfDate),AT48,IF((AL48-1)&lt;AH48,-1,12*(YEAR((AL48-1))-YEAR(AH48))+MONTH((AL48-1))-MONTH(AH48)-IF(DAY((AL48-1))&lt;MIN(DAY(AH48),DAY(EOMONTH((AL48-1),0))),1,0))))</f>
        <v>48</v>
      </c>
      <c r="AW48" s="19" t="n">
        <f aca="false">IF(AG48=0,"",IF(PFYDate&lt;AH48,-1,12*(YEAR(PFYDate)-YEAR(AH48))+MONTH(PFYDate)-MONTH(AH48)-IF(DAY(PFYDate)&lt;MIN(DAY(AH48),DAY(EOMONTH(PFYDate,0))),1,0)))</f>
        <v>-1</v>
      </c>
      <c r="AX48" s="19" t="n">
        <f aca="false">IF(AG48=0,"",IF(OR(AI48&lt;2,AK48&gt;PFYDate),AW48,IF((AK48-1)&lt;AH48,-1,12*(YEAR((AK48-1))-YEAR(AH48))+MONTH((AK48-1))-MONTH(AH48)-IF(DAY((AK48-1))&lt;MIN(DAY(AH48),DAY(EOMONTH((AK48-1),0))),1,0))))</f>
        <v>-1</v>
      </c>
      <c r="AY48" s="19" t="n">
        <f aca="false">IF(AG48=0,"",IF(OR(AI48&lt;3,AL48&gt;PFYDate),AW48,IF((AL48-1)&lt;AH48,-1,12*(YEAR((AL48-1))-YEAR(AH48))+MONTH((AL48-1))-MONTH(AH48)-IF(DAY((AL48-1))&lt;MIN(DAY(AH48),DAY(EOMONTH((AL48-1),0))),1,0))))</f>
        <v>-1</v>
      </c>
      <c r="AZ48" s="19" t="n">
        <f aca="false">IF(AG48=0,"",IF(AP48="FT",IF(AU48&lt;FT_First,0,IF(AU48&lt;FT_Y5,1+INT((AU48-FT_First)/FT_Int1),FT_PreY5+FT_PerYear*INT((AU48-FT_Y5)/12)+FT_AnnivDays+INT(MOD(AU48-FT_Y5,12)/FT_Int2))),IF(AP48="PT",IF(AU48&lt;PT_First,0,1+INT((AU48-PT_First)/PT_Int)),0))+IF(AND(AI48&gt;=2,AK48&lt;=AsOfDate),IF(AQ48="FT",IF(AV48&lt;FT_First,0,IF(AV48&lt;FT_Y5,1+INT((AV48-FT_First)/FT_Int1),FT_PreY5+FT_PerYear*INT((AV48-FT_Y5)/12)+FT_AnnivDays+INT(MOD(AV48-FT_Y5,12)/FT_Int2))),IF(AQ48="PT",IF(AV48&lt;PT_First,0,1+INT((AV48-PT_First)/PT_Int)),0))-IF(AQ48="FT",IF(AU48&lt;FT_First,0,IF(AU48&lt;FT_Y5,1+INT((AU48-FT_First)/FT_Int1),FT_PreY5+FT_PerYear*INT((AU48-FT_Y5)/12)+FT_AnnivDays+INT(MOD(AU48-FT_Y5,12)/FT_Int2))),IF(AQ48="PT",IF(AU48&lt;PT_First,0,1+INT((AU48-PT_First)/PT_Int)),0)),0)+IF(AND(AI48&gt;=3,AL48&lt;=AsOfDate),IF(AR48="FT",IF(AT48&lt;FT_First,0,IF(AT48&lt;FT_Y5,1+INT((AT48-FT_First)/FT_Int1),FT_PreY5+FT_PerYear*INT((AT48-FT_Y5)/12)+FT_AnnivDays+INT(MOD(AT48-FT_Y5,12)/FT_Int2))),IF(AR48="PT",IF(AT48&lt;PT_First,0,1+INT((AT48-PT_First)/PT_Int)),0))-IF(AR48="FT",IF(AV48&lt;FT_First,0,IF(AV48&lt;FT_Y5,1+INT((AV48-FT_First)/FT_Int1),FT_PreY5+FT_PerYear*INT((AV48-FT_Y5)/12)+FT_AnnivDays+INT(MOD(AV48-FT_Y5,12)/FT_Int2))),IF(AR48="PT",IF(AV48&lt;PT_First,0,1+INT((AV48-PT_First)/PT_Int)),0)),0))</f>
        <v>0</v>
      </c>
      <c r="BA48" s="19" t="n">
        <f aca="false">IF(AG48=0,"",IF(AP48="FT",IF(AX48&lt;FT_First,0,IF(AX48&lt;FT_Y5,1+INT((AX48-FT_First)/FT_Int1),FT_PreY5+FT_PerYear*INT((AX48-FT_Y5)/12)+FT_AnnivDays+INT(MOD(AX48-FT_Y5,12)/FT_Int2))),IF(AP48="PT",IF(AX48&lt;PT_First,0,1+INT((AX48-PT_First)/PT_Int)),0))+IF(AND(AI48&gt;=2,AK48&lt;=PFYDate),IF(AQ48="FT",IF(AY48&lt;FT_First,0,IF(AY48&lt;FT_Y5,1+INT((AY48-FT_First)/FT_Int1),FT_PreY5+FT_PerYear*INT((AY48-FT_Y5)/12)+FT_AnnivDays+INT(MOD(AY48-FT_Y5,12)/FT_Int2))),IF(AQ48="PT",IF(AY48&lt;PT_First,0,1+INT((AY48-PT_First)/PT_Int)),0))-IF(AQ48="FT",IF(AX48&lt;FT_First,0,IF(AX48&lt;FT_Y5,1+INT((AX48-FT_First)/FT_Int1),FT_PreY5+FT_PerYear*INT((AX48-FT_Y5)/12)+FT_AnnivDays+INT(MOD(AX48-FT_Y5,12)/FT_Int2))),IF(AQ48="PT",IF(AX48&lt;PT_First,0,1+INT((AX48-PT_First)/PT_Int)),0)),0)+IF(AND(AI48&gt;=3,AL48&lt;=PFYDate),IF(AR48="FT",IF(AW48&lt;FT_First,0,IF(AW48&lt;FT_Y5,1+INT((AW48-FT_First)/FT_Int1),FT_PreY5+FT_PerYear*INT((AW48-FT_Y5)/12)+FT_AnnivDays+INT(MOD(AW48-FT_Y5,12)/FT_Int2))),IF(AR48="PT",IF(AW48&lt;PT_First,0,1+INT((AW48-PT_First)/PT_Int)),0))-IF(AR48="FT",IF(AY48&lt;FT_First,0,IF(AY48&lt;FT_Y5,1+INT((AY48-FT_First)/FT_Int1),FT_PreY5+FT_PerYear*INT((AY48-FT_Y5)/12)+FT_AnnivDays+INT(MOD(AY48-FT_Y5,12)/FT_Int2))),IF(AR48="PT",IF(AY48&lt;PT_First,0,1+INT((AY48-PT_First)/PT_Int)),0)),0))</f>
        <v>0</v>
      </c>
      <c r="BB48" s="19" t="str">
        <f aca="false">IF(AG48=0,"",IF(AS48="FT",IF(AT48&lt;FT_First,FT_First,IF(AT48&lt;FT_Y5,MIN(FT_Y5,FT_First+FT_Int1*(INT((AT48-FT_First)/FT_Int1)+1)),FT_Y5+12*INT((AT48-FT_Y5)/12)+FT_Int2*(INT(MOD(AT48-FT_Y5,12)/FT_Int2)+1))),IF(AS48="PT",IF(AT48&lt;PT_First,PT_First,PT_First+PT_Int*(INT((AT48-PT_First)/PT_Int)+1)),"")))</f>
        <v/>
      </c>
      <c r="BC48" s="19" t="n">
        <f aca="false">IF(AG48=0,"",IF(NOT(LH_Ready),0,COUNTIFS(INDEX(LH_Data,0,LH_ColFirst),$A48,INDEX(LH_Data,0,LH_ColSur),$B48,INDEX(LH_Data,0,LH_ColCat),BonusCat)))</f>
        <v>0</v>
      </c>
      <c r="BD48" s="19" t="n">
        <f aca="false">IF(AG48=0,"",IF(OR(NOT(LH_Ready),BC48=0),0,SUMPRODUCT(MAX((INDEX(LH_Data,0,LH_ColFirst)=$A48)*(INDEX(LH_Data,0,LH_ColSur)=$B48)*(INDEX(LH_Data,0,LH_ColCat)=BonusCat)*ROW(LH_Data)))))</f>
        <v>0</v>
      </c>
      <c r="BE48" s="19" t="n">
        <f aca="false">IF(AG48=0,"",IF(EOMONTH(AsOfDate,-1)&lt;AH48,-1,12*(YEAR(EOMONTH(AsOfDate,-1))-YEAR(AH48))+MONTH(EOMONTH(AsOfDate,-1))-MONTH(AH48)-IF(DAY(EOMONTH(AsOfDate,-1))&lt;MIN(DAY(AH48),DAY(EOMONTH(EOMONTH(AsOfDate,-1),0))),1,0)))</f>
        <v>48</v>
      </c>
      <c r="BF48" s="19" t="n">
        <f aca="false">IF(AG48=0,"",IF(OR(AI48&lt;2,AK48&gt;EOMONTH(AsOfDate,-1)),BE48,IF((AK48-1)&lt;AH48,-1,12*(YEAR((AK48-1))-YEAR(AH48))+MONTH((AK48-1))-MONTH(AH48)-IF(DAY((AK48-1))&lt;MIN(DAY(AH48),DAY(EOMONTH((AK48-1),0))),1,0))))</f>
        <v>48</v>
      </c>
      <c r="BG48" s="19" t="n">
        <f aca="false">IF(AG48=0,"",IF(OR(AI48&lt;3,AL48&gt;EOMONTH(AsOfDate,-1)),BE48,IF((AL48-1)&lt;AH48,-1,12*(YEAR((AL48-1))-YEAR(AH48))+MONTH((AL48-1))-MONTH(AH48)-IF(DAY((AL48-1))&lt;MIN(DAY(AH48),DAY(EOMONTH((AL48-1),0))),1,0))))</f>
        <v>48</v>
      </c>
      <c r="BH48" s="19" t="n">
        <f aca="false">IF(AG48=0,"",IF(AP48="FT",IF(BF48&lt;FT_First,0,IF(BF48&lt;FT_Y5,1+INT((BF48-FT_First)/FT_Int1),FT_PreY5+FT_PerYear*INT((BF48-FT_Y5)/12)+FT_AnnivDays+INT(MOD(BF48-FT_Y5,12)/FT_Int2))),IF(AP48="PT",IF(BF48&lt;PT_First,0,1+INT((BF48-PT_First)/PT_Int)),0))+IF(AND(AI48&gt;=2,AK48&lt;=EOMONTH(AsOfDate,-1)),IF(AQ48="FT",IF(BG48&lt;FT_First,0,IF(BG48&lt;FT_Y5,1+INT((BG48-FT_First)/FT_Int1),FT_PreY5+FT_PerYear*INT((BG48-FT_Y5)/12)+FT_AnnivDays+INT(MOD(BG48-FT_Y5,12)/FT_Int2))),IF(AQ48="PT",IF(BG48&lt;PT_First,0,1+INT((BG48-PT_First)/PT_Int)),0))-IF(AQ48="FT",IF(BF48&lt;FT_First,0,IF(BF48&lt;FT_Y5,1+INT((BF48-FT_First)/FT_Int1),FT_PreY5+FT_PerYear*INT((BF48-FT_Y5)/12)+FT_AnnivDays+INT(MOD(BF48-FT_Y5,12)/FT_Int2))),IF(AQ48="PT",IF(BF48&lt;PT_First,0,1+INT((BF48-PT_First)/PT_Int)),0)),0)+IF(AND(AI48&gt;=3,AL48&lt;=EOMONTH(AsOfDate,-1)),IF(AR48="FT",IF(BE48&lt;FT_First,0,IF(BE48&lt;FT_Y5,1+INT((BE48-FT_First)/FT_Int1),FT_PreY5+FT_PerYear*INT((BE48-FT_Y5)/12)+FT_AnnivDays+INT(MOD(BE48-FT_Y5,12)/FT_Int2))),IF(AR48="PT",IF(BE48&lt;PT_First,0,1+INT((BE48-PT_First)/PT_Int)),0))-IF(AR48="FT",IF(BG48&lt;FT_First,0,IF(BG48&lt;FT_Y5,1+INT((BG48-FT_First)/FT_Int1),FT_PreY5+FT_PerYear*INT((BG48-FT_Y5)/12)+FT_AnnivDays+INT(MOD(BG48-FT_Y5,12)/FT_Int2))),IF(AR48="PT",IF(BG48&lt;PT_First,0,1+INT((BG48-PT_First)/PT_Int)),0)),0))</f>
        <v>0</v>
      </c>
      <c r="BI48" s="19" t="str">
        <f aca="false">IF(AG48=0,"",IF(AS48="FT",IF(AT48&lt;FT_First,"",IF(AT48&lt;FT_Y5,FT_First+FT_Int1*INT((AT48-FT_First)/FT_Int1),FT_Y5+FT_Int2*INT((AT48-FT_Y5)/FT_Int2))),IF(AS48="PT",IF(AT48&lt;PT_First,"",PT_First+PT_Int*INT((AT48-PT_First)/PT_Int)),"")))</f>
        <v/>
      </c>
      <c r="BJ48" s="0" t="str">
        <f aca="false">IF(LEN($A48&amp;$B48)=0,"",$A48&amp;" "&amp;$B48)</f>
        <v>Karl Jenner</v>
      </c>
    </row>
    <row r="49" customFormat="false" ht="15" hidden="false" customHeight="false" outlineLevel="0" collapsed="false">
      <c r="A49" s="15" t="s">
        <v>227</v>
      </c>
      <c r="B49" s="15" t="s">
        <v>228</v>
      </c>
      <c r="C49" s="15" t="s">
        <v>184</v>
      </c>
      <c r="D49" s="16" t="n">
        <v>35681</v>
      </c>
      <c r="E49" s="17" t="n">
        <f aca="false">IF(OR(AG49=0,$D49=""),"",DATE(YEAR(AsOfDate)+IF(DATE(YEAR(AsOfDate),MONTH($D49),DAY($D49))&lt;=AsOfDate,1,0),MONTH($D49),DAY($D49)))</f>
        <v>46638</v>
      </c>
      <c r="F49" s="16" t="n">
        <v>45482</v>
      </c>
      <c r="G49" s="16"/>
      <c r="H49" s="16" t="n">
        <v>45482</v>
      </c>
      <c r="I49" s="16"/>
      <c r="J49" s="16"/>
      <c r="K49" s="17" t="n">
        <f aca="false">IF(AG49=0,"",DATE(YEAR(AsOfDate)+IF(DATE(YEAR(AsOfDate),MONTH(AH49),DAY(AH49))&lt;=AsOfDate,1,0),MONTH(AH49),DAY(AH49)))</f>
        <v>46577</v>
      </c>
      <c r="L49" s="18" t="n">
        <f aca="false">IF(AG49=0,"",ROUND((AsOfDate-AH49)/365.25,1))</f>
        <v>2.2</v>
      </c>
      <c r="M49" s="19" t="str">
        <f aca="false">IF(AG49=0,"",IF(AsOfDate&lt;AH49,"-",DATEDIF(AH49,AsOfDate,"y")&amp;"y "&amp;DATEDIF(AH49,AsOfDate,"ym")&amp;"m "&amp;DATEDIF(AH49,AsOfDate,"md")&amp;"d"))</f>
        <v>2y 2m 27d</v>
      </c>
      <c r="N49" s="20" t="n">
        <f aca="false">IF(AG49=0,"",O49*HoursPerDay)</f>
        <v>0</v>
      </c>
      <c r="O49" s="20" t="n">
        <f aca="false">IF(AG49=0,"",AZ49)</f>
        <v>0</v>
      </c>
      <c r="P49" s="21" t="n">
        <v>20</v>
      </c>
      <c r="Q49" s="19"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19"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17" t="str">
        <f aca="false">IF(AG49=0,"",IF(AS49="None","",EDATE(AH49,BB49)))</f>
        <v/>
      </c>
      <c r="T49" s="20" t="n">
        <f aca="false">IF(AG49=0,"",IF(NOT(LH_Ready),"",IF(AH49&gt;PFYDate,0,IF(LH_ColPeriod=0,W49-U49+V49,SUMIFS(INDEX(LH_Data,0,LH_ColAcc),INDEX(LH_Data,0,LH_ColFirst),$A49,INDEX(LH_Data,0,LH_ColSur),$B49,INDEX(LH_Data,0,LH_ColCat),BonusCat,INDEX(LH_Data,0,LH_ColPeriod),LH_OpenLabel)*UnitFactor))))</f>
        <v>0</v>
      </c>
      <c r="U49" s="20" t="n">
        <f aca="false">IF(AG49=0,"",IF(NOT(LH_Ready),"",SUMIFS(INDEX(LH_Data,0,LH_ColAcc),INDEX(LH_Data,0,LH_ColFirst),$A49,INDEX(LH_Data,0,LH_ColSur),$B49,INDEX(LH_Data,0,LH_ColCat),BonusCat,INDEX(LH_Data,0,LH_ColStart),"&gt;="&amp;AH49)*UnitFactor))</f>
        <v>0</v>
      </c>
      <c r="V49" s="20" t="n">
        <f aca="false">IF(AG49=0,"",IF(NOT(LH_Ready),"",SUMIFS(INDEX(LH_Data,0,LH_ColTaken),INDEX(LH_Data,0,LH_ColFirst),$A49,INDEX(LH_Data,0,LH_ColSur),$B49,INDEX(LH_Data,0,LH_ColCat),BonusCat,INDEX(LH_Data,0,LH_ColStart),"&gt;="&amp;AH49)*UnitFactor))</f>
        <v>0</v>
      </c>
      <c r="W49" s="20" t="n">
        <f aca="false">IF(AG49=0,"",IF(NOT(LH_Ready),"",IF(BD49=0,0,INDEX(INDEX(LH_Data,0,LH_ColClose),BD49-1)*UnitFactor)))</f>
        <v>0</v>
      </c>
      <c r="X49" s="20" t="n">
        <f aca="false">IF(AG49=0,"",(AZ49-BA49)*HoursPerDay)</f>
        <v>0</v>
      </c>
      <c r="Y49" s="20" t="n">
        <f aca="false">IF(AG49=0,"",IF(NOT(LH_Ready),"",IF(BC49=0,N49,IF(PFYDate&lt;$F49,N49-N(T49)-N(U49),X49-N(U49)))))</f>
        <v>0</v>
      </c>
      <c r="Z49" s="19" t="str">
        <f aca="false">IF(OR(AG49=0,Y49=""),"",IF(Y49&gt;0,"Yes","No"))</f>
        <v>No</v>
      </c>
      <c r="AA49" s="19"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Not eligible - under 24 hrs</v>
      </c>
      <c r="AB49" s="20" t="n">
        <f aca="false">IF(OR(AG49=0,T49=""),"",BA49*HoursPerDay-T49)</f>
        <v>0</v>
      </c>
      <c r="AC49" s="19" t="n">
        <f aca="false">IF(AG49=0,"",BC49)</f>
        <v>0</v>
      </c>
      <c r="AD49" s="19"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20" t="n">
        <f aca="false">IF(AG49=0,"",O49-BH49)</f>
        <v>0</v>
      </c>
      <c r="AF49" s="17" t="str">
        <f aca="false">IF(OR(AG49=0,AE49="",N(AE49)=0,BI49=""),"",EDATE(AH49,BI49))</f>
        <v/>
      </c>
      <c r="AG49" s="19" t="n">
        <f aca="false">IF(OR(LEN($A49&amp;$B49)=0,$F49=""),0,1)</f>
        <v>1</v>
      </c>
      <c r="AH49" s="17" t="n">
        <f aca="false">IF(AG49=0,"",IF($J49&lt;&gt;"",$J49,IF(OR(CasualCounts="Yes",COUNT($G49:$I49)=0,COUNT($H49:$I49)=0),$F49,MIN($H49:$I49))))</f>
        <v>45482</v>
      </c>
      <c r="AI49" s="19" t="n">
        <f aca="false">IF(AG49=0,"",COUNT($G49:$I49))</f>
        <v>1</v>
      </c>
      <c r="AJ49" s="17" t="n">
        <f aca="false">IF(AG49=0,"",IFERROR(SMALL($G49:$I49,1),""))</f>
        <v>45482</v>
      </c>
      <c r="AK49" s="17" t="str">
        <f aca="false">IF(AG49=0,"",IFERROR(SMALL($G49:$I49,2),""))</f>
        <v/>
      </c>
      <c r="AL49" s="17" t="str">
        <f aca="false">IF(AG49=0,"",IFERROR(SMALL($G49:$I49,3),""))</f>
        <v/>
      </c>
      <c r="AM49" s="19" t="str">
        <f aca="false">IF(AG49=0,"",IF(AJ49="","",IF(AJ49=$H49,"Part-Time",IF(AJ49=$I49,"Full-Time","Casual"))))</f>
        <v>Part-Time</v>
      </c>
      <c r="AN49" s="19" t="str">
        <f aca="false">IF(AG49=0,"",IF(AK49="","",IF(AK49=$H49,"Part-Time",IF(AK49=$I49,"Full-Time","Casual"))))</f>
        <v/>
      </c>
      <c r="AO49" s="19" t="str">
        <f aca="false">IF(AG49=0,"",IF(AL49="","",IF(AL49=$H49,"Part-Time",IF(AL49=$I49,"Full-Time","Casual"))))</f>
        <v/>
      </c>
      <c r="AP49" s="19"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None</v>
      </c>
      <c r="AQ49" s="19" t="str">
        <f aca="false">IF(AG49=0,"",IF(AI49&lt;2,"",IF(OR(ISNUMBER(SEARCH("full",AN49)),UPPER(TRIM(AN49))="FT",UPPER(TRIM(AN49))="FTE"),"FT",IF(AND(OR(ISNUMBER(SEARCH("part",AN49)),UPPER(TRIM(AN49))="PT",UPPER(TRIM(AN49))="PTE"),OR($P49="",N($P49)&gt;=PT_MinHours)),"PT","None"))))</f>
        <v/>
      </c>
      <c r="AR49" s="19" t="str">
        <f aca="false">IF(AG49=0,"",IF(AI49&lt;3,"",IF(OR(ISNUMBER(SEARCH("full",AO49)),UPPER(TRIM(AO49))="FT",UPPER(TRIM(AO49))="FTE"),"FT",IF(AND(OR(ISNUMBER(SEARCH("part",AO49)),UPPER(TRIM(AO49))="PT",UPPER(TRIM(AO49))="PTE"),OR($P49="",N($P49)&gt;=PT_MinHours)),"PT","None"))))</f>
        <v/>
      </c>
      <c r="AS49" s="19" t="str">
        <f aca="false">IF(AG49=0,"",IF(AND(AI49&gt;=3,AL49&lt;=AsOfDate),AR49,IF(AND(AI49&gt;=2,AK49&lt;=AsOfDate),AQ49,AP49)))</f>
        <v>None</v>
      </c>
      <c r="AT49" s="19" t="n">
        <f aca="false">IF(AG49=0,"",IF(AsOfDate&lt;AH49,-1,12*(YEAR(AsOfDate)-YEAR(AH49))+MONTH(AsOfDate)-MONTH(AH49)-IF(DAY(AsOfDate)&lt;MIN(DAY(AH49),DAY(EOMONTH(AsOfDate,0))),1,0)))</f>
        <v>26</v>
      </c>
      <c r="AU49" s="19" t="n">
        <f aca="false">IF(AG49=0,"",IF(OR(AI49&lt;2,AK49&gt;AsOfDate),AT49,IF((AK49-1)&lt;AH49,-1,12*(YEAR((AK49-1))-YEAR(AH49))+MONTH((AK49-1))-MONTH(AH49)-IF(DAY((AK49-1))&lt;MIN(DAY(AH49),DAY(EOMONTH((AK49-1),0))),1,0))))</f>
        <v>26</v>
      </c>
      <c r="AV49" s="19" t="n">
        <f aca="false">IF(AG49=0,"",IF(OR(AI49&lt;3,AL49&gt;AsOfDate),AT49,IF((AL49-1)&lt;AH49,-1,12*(YEAR((AL49-1))-YEAR(AH49))+MONTH((AL49-1))-MONTH(AH49)-IF(DAY((AL49-1))&lt;MIN(DAY(AH49),DAY(EOMONTH((AL49-1),0))),1,0))))</f>
        <v>26</v>
      </c>
      <c r="AW49" s="19" t="n">
        <f aca="false">IF(AG49=0,"",IF(PFYDate&lt;AH49,-1,12*(YEAR(PFYDate)-YEAR(AH49))+MONTH(PFYDate)-MONTH(AH49)-IF(DAY(PFYDate)&lt;MIN(DAY(AH49),DAY(EOMONTH(PFYDate,0))),1,0)))</f>
        <v>-1</v>
      </c>
      <c r="AX49" s="19" t="n">
        <f aca="false">IF(AG49=0,"",IF(OR(AI49&lt;2,AK49&gt;PFYDate),AW49,IF((AK49-1)&lt;AH49,-1,12*(YEAR((AK49-1))-YEAR(AH49))+MONTH((AK49-1))-MONTH(AH49)-IF(DAY((AK49-1))&lt;MIN(DAY(AH49),DAY(EOMONTH((AK49-1),0))),1,0))))</f>
        <v>-1</v>
      </c>
      <c r="AY49" s="19" t="n">
        <f aca="false">IF(AG49=0,"",IF(OR(AI49&lt;3,AL49&gt;PFYDate),AW49,IF((AL49-1)&lt;AH49,-1,12*(YEAR((AL49-1))-YEAR(AH49))+MONTH((AL49-1))-MONTH(AH49)-IF(DAY((AL49-1))&lt;MIN(DAY(AH49),DAY(EOMONTH((AL49-1),0))),1,0))))</f>
        <v>-1</v>
      </c>
      <c r="AZ49" s="19" t="n">
        <f aca="false">IF(AG49=0,"",IF(AP49="FT",IF(AU49&lt;FT_First,0,IF(AU49&lt;FT_Y5,1+INT((AU49-FT_First)/FT_Int1),FT_PreY5+FT_PerYear*INT((AU49-FT_Y5)/12)+FT_AnnivDays+INT(MOD(AU49-FT_Y5,12)/FT_Int2))),IF(AP49="PT",IF(AU49&lt;PT_First,0,1+INT((AU49-PT_First)/PT_Int)),0))+IF(AND(AI49&gt;=2,AK49&lt;=AsOfDate),IF(AQ49="FT",IF(AV49&lt;FT_First,0,IF(AV49&lt;FT_Y5,1+INT((AV49-FT_First)/FT_Int1),FT_PreY5+FT_PerYear*INT((AV49-FT_Y5)/12)+FT_AnnivDays+INT(MOD(AV49-FT_Y5,12)/FT_Int2))),IF(AQ49="PT",IF(AV49&lt;PT_First,0,1+INT((AV49-PT_First)/PT_Int)),0))-IF(AQ49="FT",IF(AU49&lt;FT_First,0,IF(AU49&lt;FT_Y5,1+INT((AU49-FT_First)/FT_Int1),FT_PreY5+FT_PerYear*INT((AU49-FT_Y5)/12)+FT_AnnivDays+INT(MOD(AU49-FT_Y5,12)/FT_Int2))),IF(AQ49="PT",IF(AU49&lt;PT_First,0,1+INT((AU49-PT_First)/PT_Int)),0)),0)+IF(AND(AI49&gt;=3,AL49&lt;=AsOfDate),IF(AR49="FT",IF(AT49&lt;FT_First,0,IF(AT49&lt;FT_Y5,1+INT((AT49-FT_First)/FT_Int1),FT_PreY5+FT_PerYear*INT((AT49-FT_Y5)/12)+FT_AnnivDays+INT(MOD(AT49-FT_Y5,12)/FT_Int2))),IF(AR49="PT",IF(AT49&lt;PT_First,0,1+INT((AT49-PT_First)/PT_Int)),0))-IF(AR49="FT",IF(AV49&lt;FT_First,0,IF(AV49&lt;FT_Y5,1+INT((AV49-FT_First)/FT_Int1),FT_PreY5+FT_PerYear*INT((AV49-FT_Y5)/12)+FT_AnnivDays+INT(MOD(AV49-FT_Y5,12)/FT_Int2))),IF(AR49="PT",IF(AV49&lt;PT_First,0,1+INT((AV49-PT_First)/PT_Int)),0)),0))</f>
        <v>0</v>
      </c>
      <c r="BA49" s="19" t="n">
        <f aca="false">IF(AG49=0,"",IF(AP49="FT",IF(AX49&lt;FT_First,0,IF(AX49&lt;FT_Y5,1+INT((AX49-FT_First)/FT_Int1),FT_PreY5+FT_PerYear*INT((AX49-FT_Y5)/12)+FT_AnnivDays+INT(MOD(AX49-FT_Y5,12)/FT_Int2))),IF(AP49="PT",IF(AX49&lt;PT_First,0,1+INT((AX49-PT_First)/PT_Int)),0))+IF(AND(AI49&gt;=2,AK49&lt;=PFYDate),IF(AQ49="FT",IF(AY49&lt;FT_First,0,IF(AY49&lt;FT_Y5,1+INT((AY49-FT_First)/FT_Int1),FT_PreY5+FT_PerYear*INT((AY49-FT_Y5)/12)+FT_AnnivDays+INT(MOD(AY49-FT_Y5,12)/FT_Int2))),IF(AQ49="PT",IF(AY49&lt;PT_First,0,1+INT((AY49-PT_First)/PT_Int)),0))-IF(AQ49="FT",IF(AX49&lt;FT_First,0,IF(AX49&lt;FT_Y5,1+INT((AX49-FT_First)/FT_Int1),FT_PreY5+FT_PerYear*INT((AX49-FT_Y5)/12)+FT_AnnivDays+INT(MOD(AX49-FT_Y5,12)/FT_Int2))),IF(AQ49="PT",IF(AX49&lt;PT_First,0,1+INT((AX49-PT_First)/PT_Int)),0)),0)+IF(AND(AI49&gt;=3,AL49&lt;=PFYDate),IF(AR49="FT",IF(AW49&lt;FT_First,0,IF(AW49&lt;FT_Y5,1+INT((AW49-FT_First)/FT_Int1),FT_PreY5+FT_PerYear*INT((AW49-FT_Y5)/12)+FT_AnnivDays+INT(MOD(AW49-FT_Y5,12)/FT_Int2))),IF(AR49="PT",IF(AW49&lt;PT_First,0,1+INT((AW49-PT_First)/PT_Int)),0))-IF(AR49="FT",IF(AY49&lt;FT_First,0,IF(AY49&lt;FT_Y5,1+INT((AY49-FT_First)/FT_Int1),FT_PreY5+FT_PerYear*INT((AY49-FT_Y5)/12)+FT_AnnivDays+INT(MOD(AY49-FT_Y5,12)/FT_Int2))),IF(AR49="PT",IF(AY49&lt;PT_First,0,1+INT((AY49-PT_First)/PT_Int)),0)),0))</f>
        <v>0</v>
      </c>
      <c r="BB49" s="19" t="str">
        <f aca="false">IF(AG49=0,"",IF(AS49="FT",IF(AT49&lt;FT_First,FT_First,IF(AT49&lt;FT_Y5,MIN(FT_Y5,FT_First+FT_Int1*(INT((AT49-FT_First)/FT_Int1)+1)),FT_Y5+12*INT((AT49-FT_Y5)/12)+FT_Int2*(INT(MOD(AT49-FT_Y5,12)/FT_Int2)+1))),IF(AS49="PT",IF(AT49&lt;PT_First,PT_First,PT_First+PT_Int*(INT((AT49-PT_First)/PT_Int)+1)),"")))</f>
        <v/>
      </c>
      <c r="BC49" s="19" t="n">
        <f aca="false">IF(AG49=0,"",IF(NOT(LH_Ready),0,COUNTIFS(INDEX(LH_Data,0,LH_ColFirst),$A49,INDEX(LH_Data,0,LH_ColSur),$B49,INDEX(LH_Data,0,LH_ColCat),BonusCat)))</f>
        <v>0</v>
      </c>
      <c r="BD49" s="19" t="n">
        <f aca="false">IF(AG49=0,"",IF(OR(NOT(LH_Ready),BC49=0),0,SUMPRODUCT(MAX((INDEX(LH_Data,0,LH_ColFirst)=$A49)*(INDEX(LH_Data,0,LH_ColSur)=$B49)*(INDEX(LH_Data,0,LH_ColCat)=BonusCat)*ROW(LH_Data)))))</f>
        <v>0</v>
      </c>
      <c r="BE49" s="19" t="n">
        <f aca="false">IF(AG49=0,"",IF(EOMONTH(AsOfDate,-1)&lt;AH49,-1,12*(YEAR(EOMONTH(AsOfDate,-1))-YEAR(AH49))+MONTH(EOMONTH(AsOfDate,-1))-MONTH(AH49)-IF(DAY(EOMONTH(AsOfDate,-1))&lt;MIN(DAY(AH49),DAY(EOMONTH(EOMONTH(AsOfDate,-1),0))),1,0)))</f>
        <v>26</v>
      </c>
      <c r="BF49" s="19" t="n">
        <f aca="false">IF(AG49=0,"",IF(OR(AI49&lt;2,AK49&gt;EOMONTH(AsOfDate,-1)),BE49,IF((AK49-1)&lt;AH49,-1,12*(YEAR((AK49-1))-YEAR(AH49))+MONTH((AK49-1))-MONTH(AH49)-IF(DAY((AK49-1))&lt;MIN(DAY(AH49),DAY(EOMONTH((AK49-1),0))),1,0))))</f>
        <v>26</v>
      </c>
      <c r="BG49" s="19" t="n">
        <f aca="false">IF(AG49=0,"",IF(OR(AI49&lt;3,AL49&gt;EOMONTH(AsOfDate,-1)),BE49,IF((AL49-1)&lt;AH49,-1,12*(YEAR((AL49-1))-YEAR(AH49))+MONTH((AL49-1))-MONTH(AH49)-IF(DAY((AL49-1))&lt;MIN(DAY(AH49),DAY(EOMONTH((AL49-1),0))),1,0))))</f>
        <v>26</v>
      </c>
      <c r="BH49" s="19" t="n">
        <f aca="false">IF(AG49=0,"",IF(AP49="FT",IF(BF49&lt;FT_First,0,IF(BF49&lt;FT_Y5,1+INT((BF49-FT_First)/FT_Int1),FT_PreY5+FT_PerYear*INT((BF49-FT_Y5)/12)+FT_AnnivDays+INT(MOD(BF49-FT_Y5,12)/FT_Int2))),IF(AP49="PT",IF(BF49&lt;PT_First,0,1+INT((BF49-PT_First)/PT_Int)),0))+IF(AND(AI49&gt;=2,AK49&lt;=EOMONTH(AsOfDate,-1)),IF(AQ49="FT",IF(BG49&lt;FT_First,0,IF(BG49&lt;FT_Y5,1+INT((BG49-FT_First)/FT_Int1),FT_PreY5+FT_PerYear*INT((BG49-FT_Y5)/12)+FT_AnnivDays+INT(MOD(BG49-FT_Y5,12)/FT_Int2))),IF(AQ49="PT",IF(BG49&lt;PT_First,0,1+INT((BG49-PT_First)/PT_Int)),0))-IF(AQ49="FT",IF(BF49&lt;FT_First,0,IF(BF49&lt;FT_Y5,1+INT((BF49-FT_First)/FT_Int1),FT_PreY5+FT_PerYear*INT((BF49-FT_Y5)/12)+FT_AnnivDays+INT(MOD(BF49-FT_Y5,12)/FT_Int2))),IF(AQ49="PT",IF(BF49&lt;PT_First,0,1+INT((BF49-PT_First)/PT_Int)),0)),0)+IF(AND(AI49&gt;=3,AL49&lt;=EOMONTH(AsOfDate,-1)),IF(AR49="FT",IF(BE49&lt;FT_First,0,IF(BE49&lt;FT_Y5,1+INT((BE49-FT_First)/FT_Int1),FT_PreY5+FT_PerYear*INT((BE49-FT_Y5)/12)+FT_AnnivDays+INT(MOD(BE49-FT_Y5,12)/FT_Int2))),IF(AR49="PT",IF(BE49&lt;PT_First,0,1+INT((BE49-PT_First)/PT_Int)),0))-IF(AR49="FT",IF(BG49&lt;FT_First,0,IF(BG49&lt;FT_Y5,1+INT((BG49-FT_First)/FT_Int1),FT_PreY5+FT_PerYear*INT((BG49-FT_Y5)/12)+FT_AnnivDays+INT(MOD(BG49-FT_Y5,12)/FT_Int2))),IF(AR49="PT",IF(BG49&lt;PT_First,0,1+INT((BG49-PT_First)/PT_Int)),0)),0))</f>
        <v>0</v>
      </c>
      <c r="BI49" s="19" t="str">
        <f aca="false">IF(AG49=0,"",IF(AS49="FT",IF(AT49&lt;FT_First,"",IF(AT49&lt;FT_Y5,FT_First+FT_Int1*INT((AT49-FT_First)/FT_Int1),FT_Y5+FT_Int2*INT((AT49-FT_Y5)/FT_Int2))),IF(AS49="PT",IF(AT49&lt;PT_First,"",PT_First+PT_Int*INT((AT49-PT_First)/PT_Int)),"")))</f>
        <v/>
      </c>
      <c r="BJ49" s="0" t="str">
        <f aca="false">IF(LEN($A49&amp;$B49)=0,"",$A49&amp;" "&amp;$B49)</f>
        <v>Kent Dejos</v>
      </c>
    </row>
    <row r="50" customFormat="false" ht="15" hidden="false" customHeight="false" outlineLevel="0" collapsed="false">
      <c r="A50" s="15" t="s">
        <v>229</v>
      </c>
      <c r="B50" s="15" t="s">
        <v>230</v>
      </c>
      <c r="C50" s="15" t="s">
        <v>153</v>
      </c>
      <c r="D50" s="16" t="n">
        <v>33494</v>
      </c>
      <c r="E50" s="17" t="n">
        <f aca="false">IF(OR(AG50=0,$D50=""),"",DATE(YEAR(AsOfDate)+IF(DATE(YEAR(AsOfDate),MONTH($D50),DAY($D50))&lt;=AsOfDate,1,0),MONTH($D50),DAY($D50)))</f>
        <v>46643</v>
      </c>
      <c r="F50" s="16" t="n">
        <v>44670</v>
      </c>
      <c r="G50" s="16"/>
      <c r="H50" s="16" t="n">
        <v>44670</v>
      </c>
      <c r="I50" s="16" t="n">
        <v>44809</v>
      </c>
      <c r="J50" s="16"/>
      <c r="K50" s="17" t="n">
        <f aca="false">IF(AG50=0,"",DATE(YEAR(AsOfDate)+IF(DATE(YEAR(AsOfDate),MONTH(AH50),DAY(AH50))&lt;=AsOfDate,1,0),MONTH(AH50),DAY(AH50)))</f>
        <v>46496</v>
      </c>
      <c r="L50" s="18" t="n">
        <f aca="false">IF(AG50=0,"",ROUND((AsOfDate-AH50)/365.25,1))</f>
        <v>4.5</v>
      </c>
      <c r="M50" s="19" t="str">
        <f aca="false">IF(AG50=0,"",IF(AsOfDate&lt;AH50,"-",DATEDIF(AH50,AsOfDate,"y")&amp;"y "&amp;DATEDIF(AH50,AsOfDate,"ym")&amp;"m "&amp;DATEDIF(AH50,AsOfDate,"md")&amp;"d"))</f>
        <v>4y 5m 17d</v>
      </c>
      <c r="N50" s="20" t="n">
        <f aca="false">IF(AG50=0,"",O50*HoursPerDay)</f>
        <v>40</v>
      </c>
      <c r="O50" s="20" t="n">
        <f aca="false">IF(AG50=0,"",AZ50)</f>
        <v>5</v>
      </c>
      <c r="P50" s="21"/>
      <c r="Q50" s="19"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Part-Time to Full-Time on 05/09/2022 - pathway changed</v>
      </c>
      <c r="R50" s="19"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17" t="n">
        <f aca="false">IF(AG50=0,"",IF(AS50="None","",EDATE(AH50,BB50)))</f>
        <v>46375</v>
      </c>
      <c r="T50" s="20" t="n">
        <f aca="false">IF(AG50=0,"",IF(NOT(LH_Ready),"",IF(AH50&gt;PFYDate,0,IF(LH_ColPeriod=0,W50-U50+V50,SUMIFS(INDEX(LH_Data,0,LH_ColAcc),INDEX(LH_Data,0,LH_ColFirst),$A50,INDEX(LH_Data,0,LH_ColSur),$B50,INDEX(LH_Data,0,LH_ColCat),BonusCat,INDEX(LH_Data,0,LH_ColPeriod),LH_OpenLabel)*UnitFactor))))</f>
        <v>0</v>
      </c>
      <c r="U50" s="20" t="n">
        <f aca="false">IF(AG50=0,"",IF(NOT(LH_Ready),"",SUMIFS(INDEX(LH_Data,0,LH_ColAcc),INDEX(LH_Data,0,LH_ColFirst),$A50,INDEX(LH_Data,0,LH_ColSur),$B50,INDEX(LH_Data,0,LH_ColCat),BonusCat,INDEX(LH_Data,0,LH_ColStart),"&gt;="&amp;AH50)*UnitFactor))</f>
        <v>32</v>
      </c>
      <c r="V50" s="20" t="n">
        <f aca="false">IF(AG50=0,"",IF(NOT(LH_Ready),"",SUMIFS(INDEX(LH_Data,0,LH_ColTaken),INDEX(LH_Data,0,LH_ColFirst),$A50,INDEX(LH_Data,0,LH_ColSur),$B50,INDEX(LH_Data,0,LH_ColCat),BonusCat,INDEX(LH_Data,0,LH_ColStart),"&gt;="&amp;AH50)*UnitFactor))</f>
        <v>0</v>
      </c>
      <c r="W50" s="20" t="n">
        <f aca="false">IF(AG50=0,"",IF(NOT(LH_Ready),"",IF(BD50=0,0,INDEX(INDEX(LH_Data,0,LH_ColClose),BD50-1)*UnitFactor)))</f>
        <v>32</v>
      </c>
      <c r="X50" s="20" t="n">
        <f aca="false">IF(AG50=0,"",(AZ50-BA50)*HoursPerDay)</f>
        <v>40</v>
      </c>
      <c r="Y50" s="20" t="n">
        <f aca="false">IF(AG50=0,"",IF(NOT(LH_Ready),"",IF(BC50=0,N50,IF(PFYDate&lt;$F50,N50-N(T50)-N(U50),X50-N(U50)))))</f>
        <v>8</v>
      </c>
      <c r="Z50" s="19" t="str">
        <f aca="false">IF(OR(AG50=0,Y50=""),"",IF(Y50&gt;0,"Yes","No"))</f>
        <v>Yes</v>
      </c>
      <c r="AA50" s="19"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ACCRUE 8 hrs (1 days): all catch-up from earlier months, nothing new this month</v>
      </c>
      <c r="AB50" s="20" t="n">
        <f aca="false">IF(OR(AG50=0,T50=""),"",BA50*HoursPerDay-T50)</f>
        <v>0</v>
      </c>
      <c r="AC50" s="19" t="n">
        <f aca="false">IF(AG50=0,"",BC50)</f>
        <v>4</v>
      </c>
      <c r="AD50" s="19"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20" t="n">
        <f aca="false">IF(AG50=0,"",O50-BH50)</f>
        <v>0</v>
      </c>
      <c r="AF50" s="17" t="str">
        <f aca="false">IF(OR(AG50=0,AE50="",N(AE50)=0,BI50=""),"",EDATE(AH50,BI50))</f>
        <v/>
      </c>
      <c r="AG50" s="19" t="n">
        <f aca="false">IF(OR(LEN($A50&amp;$B50)=0,$F50=""),0,1)</f>
        <v>1</v>
      </c>
      <c r="AH50" s="17" t="n">
        <f aca="false">IF(AG50=0,"",IF($J50&lt;&gt;"",$J50,IF(OR(CasualCounts="Yes",COUNT($G50:$I50)=0,COUNT($H50:$I50)=0),$F50,MIN($H50:$I50))))</f>
        <v>44670</v>
      </c>
      <c r="AI50" s="19" t="n">
        <f aca="false">IF(AG50=0,"",COUNT($G50:$I50))</f>
        <v>2</v>
      </c>
      <c r="AJ50" s="17" t="n">
        <f aca="false">IF(AG50=0,"",IFERROR(SMALL($G50:$I50,1),""))</f>
        <v>44670</v>
      </c>
      <c r="AK50" s="17" t="n">
        <f aca="false">IF(AG50=0,"",IFERROR(SMALL($G50:$I50,2),""))</f>
        <v>44809</v>
      </c>
      <c r="AL50" s="17" t="str">
        <f aca="false">IF(AG50=0,"",IFERROR(SMALL($G50:$I50,3),""))</f>
        <v/>
      </c>
      <c r="AM50" s="19" t="str">
        <f aca="false">IF(AG50=0,"",IF(AJ50="","",IF(AJ50=$H50,"Part-Time",IF(AJ50=$I50,"Full-Time","Casual"))))</f>
        <v>Part-Time</v>
      </c>
      <c r="AN50" s="19" t="str">
        <f aca="false">IF(AG50=0,"",IF(AK50="","",IF(AK50=$H50,"Part-Time",IF(AK50=$I50,"Full-Time","Casual"))))</f>
        <v>Full-Time</v>
      </c>
      <c r="AO50" s="19" t="str">
        <f aca="false">IF(AG50=0,"",IF(AL50="","",IF(AL50=$H50,"Part-Time",IF(AL50=$I50,"Full-Time","Casual"))))</f>
        <v/>
      </c>
      <c r="AP50" s="19"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PT</v>
      </c>
      <c r="AQ50" s="19" t="str">
        <f aca="false">IF(AG50=0,"",IF(AI50&lt;2,"",IF(OR(ISNUMBER(SEARCH("full",AN50)),UPPER(TRIM(AN50))="FT",UPPER(TRIM(AN50))="FTE"),"FT",IF(AND(OR(ISNUMBER(SEARCH("part",AN50)),UPPER(TRIM(AN50))="PT",UPPER(TRIM(AN50))="PTE"),OR($P50="",N($P50)&gt;=PT_MinHours)),"PT","None"))))</f>
        <v>FT</v>
      </c>
      <c r="AR50" s="19" t="str">
        <f aca="false">IF(AG50=0,"",IF(AI50&lt;3,"",IF(OR(ISNUMBER(SEARCH("full",AO50)),UPPER(TRIM(AO50))="FT",UPPER(TRIM(AO50))="FTE"),"FT",IF(AND(OR(ISNUMBER(SEARCH("part",AO50)),UPPER(TRIM(AO50))="PT",UPPER(TRIM(AO50))="PTE"),OR($P50="",N($P50)&gt;=PT_MinHours)),"PT","None"))))</f>
        <v/>
      </c>
      <c r="AS50" s="19" t="str">
        <f aca="false">IF(AG50=0,"",IF(AND(AI50&gt;=3,AL50&lt;=AsOfDate),AR50,IF(AND(AI50&gt;=2,AK50&lt;=AsOfDate),AQ50,AP50)))</f>
        <v>FT</v>
      </c>
      <c r="AT50" s="19" t="n">
        <f aca="false">IF(AG50=0,"",IF(AsOfDate&lt;AH50,-1,12*(YEAR(AsOfDate)-YEAR(AH50))+MONTH(AsOfDate)-MONTH(AH50)-IF(DAY(AsOfDate)&lt;MIN(DAY(AH50),DAY(EOMONTH(AsOfDate,0))),1,0)))</f>
        <v>53</v>
      </c>
      <c r="AU50" s="19" t="n">
        <f aca="false">IF(AG50=0,"",IF(OR(AI50&lt;2,AK50&gt;AsOfDate),AT50,IF((AK50-1)&lt;AH50,-1,12*(YEAR((AK50-1))-YEAR(AH50))+MONTH((AK50-1))-MONTH(AH50)-IF(DAY((AK50-1))&lt;MIN(DAY(AH50),DAY(EOMONTH((AK50-1),0))),1,0))))</f>
        <v>4</v>
      </c>
      <c r="AV50" s="19" t="n">
        <f aca="false">IF(AG50=0,"",IF(OR(AI50&lt;3,AL50&gt;AsOfDate),AT50,IF((AL50-1)&lt;AH50,-1,12*(YEAR((AL50-1))-YEAR(AH50))+MONTH((AL50-1))-MONTH(AH50)-IF(DAY((AL50-1))&lt;MIN(DAY(AH50),DAY(EOMONTH((AL50-1),0))),1,0))))</f>
        <v>53</v>
      </c>
      <c r="AW50" s="19" t="n">
        <f aca="false">IF(AG50=0,"",IF(PFYDate&lt;AH50,-1,12*(YEAR(PFYDate)-YEAR(AH50))+MONTH(PFYDate)-MONTH(AH50)-IF(DAY(PFYDate)&lt;MIN(DAY(AH50),DAY(EOMONTH(PFYDate,0))),1,0)))</f>
        <v>-1</v>
      </c>
      <c r="AX50" s="19" t="n">
        <f aca="false">IF(AG50=0,"",IF(OR(AI50&lt;2,AK50&gt;PFYDate),AW50,IF((AK50-1)&lt;AH50,-1,12*(YEAR((AK50-1))-YEAR(AH50))+MONTH((AK50-1))-MONTH(AH50)-IF(DAY((AK50-1))&lt;MIN(DAY(AH50),DAY(EOMONTH((AK50-1),0))),1,0))))</f>
        <v>-1</v>
      </c>
      <c r="AY50" s="19" t="n">
        <f aca="false">IF(AG50=0,"",IF(OR(AI50&lt;3,AL50&gt;PFYDate),AW50,IF((AL50-1)&lt;AH50,-1,12*(YEAR((AL50-1))-YEAR(AH50))+MONTH((AL50-1))-MONTH(AH50)-IF(DAY((AL50-1))&lt;MIN(DAY(AH50),DAY(EOMONTH((AL50-1),0))),1,0))))</f>
        <v>-1</v>
      </c>
      <c r="AZ50" s="19" t="n">
        <f aca="false">IF(AG50=0,"",IF(AP50="FT",IF(AU50&lt;FT_First,0,IF(AU50&lt;FT_Y5,1+INT((AU50-FT_First)/FT_Int1),FT_PreY5+FT_PerYear*INT((AU50-FT_Y5)/12)+FT_AnnivDays+INT(MOD(AU50-FT_Y5,12)/FT_Int2))),IF(AP50="PT",IF(AU50&lt;PT_First,0,1+INT((AU50-PT_First)/PT_Int)),0))+IF(AND(AI50&gt;=2,AK50&lt;=AsOfDate),IF(AQ50="FT",IF(AV50&lt;FT_First,0,IF(AV50&lt;FT_Y5,1+INT((AV50-FT_First)/FT_Int1),FT_PreY5+FT_PerYear*INT((AV50-FT_Y5)/12)+FT_AnnivDays+INT(MOD(AV50-FT_Y5,12)/FT_Int2))),IF(AQ50="PT",IF(AV50&lt;PT_First,0,1+INT((AV50-PT_First)/PT_Int)),0))-IF(AQ50="FT",IF(AU50&lt;FT_First,0,IF(AU50&lt;FT_Y5,1+INT((AU50-FT_First)/FT_Int1),FT_PreY5+FT_PerYear*INT((AU50-FT_Y5)/12)+FT_AnnivDays+INT(MOD(AU50-FT_Y5,12)/FT_Int2))),IF(AQ50="PT",IF(AU50&lt;PT_First,0,1+INT((AU50-PT_First)/PT_Int)),0)),0)+IF(AND(AI50&gt;=3,AL50&lt;=AsOfDate),IF(AR50="FT",IF(AT50&lt;FT_First,0,IF(AT50&lt;FT_Y5,1+INT((AT50-FT_First)/FT_Int1),FT_PreY5+FT_PerYear*INT((AT50-FT_Y5)/12)+FT_AnnivDays+INT(MOD(AT50-FT_Y5,12)/FT_Int2))),IF(AR50="PT",IF(AT50&lt;PT_First,0,1+INT((AT50-PT_First)/PT_Int)),0))-IF(AR50="FT",IF(AV50&lt;FT_First,0,IF(AV50&lt;FT_Y5,1+INT((AV50-FT_First)/FT_Int1),FT_PreY5+FT_PerYear*INT((AV50-FT_Y5)/12)+FT_AnnivDays+INT(MOD(AV50-FT_Y5,12)/FT_Int2))),IF(AR50="PT",IF(AV50&lt;PT_First,0,1+INT((AV50-PT_First)/PT_Int)),0)),0))</f>
        <v>5</v>
      </c>
      <c r="BA50" s="19" t="n">
        <f aca="false">IF(AG50=0,"",IF(AP50="FT",IF(AX50&lt;FT_First,0,IF(AX50&lt;FT_Y5,1+INT((AX50-FT_First)/FT_Int1),FT_PreY5+FT_PerYear*INT((AX50-FT_Y5)/12)+FT_AnnivDays+INT(MOD(AX50-FT_Y5,12)/FT_Int2))),IF(AP50="PT",IF(AX50&lt;PT_First,0,1+INT((AX50-PT_First)/PT_Int)),0))+IF(AND(AI50&gt;=2,AK50&lt;=PFYDate),IF(AQ50="FT",IF(AY50&lt;FT_First,0,IF(AY50&lt;FT_Y5,1+INT((AY50-FT_First)/FT_Int1),FT_PreY5+FT_PerYear*INT((AY50-FT_Y5)/12)+FT_AnnivDays+INT(MOD(AY50-FT_Y5,12)/FT_Int2))),IF(AQ50="PT",IF(AY50&lt;PT_First,0,1+INT((AY50-PT_First)/PT_Int)),0))-IF(AQ50="FT",IF(AX50&lt;FT_First,0,IF(AX50&lt;FT_Y5,1+INT((AX50-FT_First)/FT_Int1),FT_PreY5+FT_PerYear*INT((AX50-FT_Y5)/12)+FT_AnnivDays+INT(MOD(AX50-FT_Y5,12)/FT_Int2))),IF(AQ50="PT",IF(AX50&lt;PT_First,0,1+INT((AX50-PT_First)/PT_Int)),0)),0)+IF(AND(AI50&gt;=3,AL50&lt;=PFYDate),IF(AR50="FT",IF(AW50&lt;FT_First,0,IF(AW50&lt;FT_Y5,1+INT((AW50-FT_First)/FT_Int1),FT_PreY5+FT_PerYear*INT((AW50-FT_Y5)/12)+FT_AnnivDays+INT(MOD(AW50-FT_Y5,12)/FT_Int2))),IF(AR50="PT",IF(AW50&lt;PT_First,0,1+INT((AW50-PT_First)/PT_Int)),0))-IF(AR50="FT",IF(AY50&lt;FT_First,0,IF(AY50&lt;FT_Y5,1+INT((AY50-FT_First)/FT_Int1),FT_PreY5+FT_PerYear*INT((AY50-FT_Y5)/12)+FT_AnnivDays+INT(MOD(AY50-FT_Y5,12)/FT_Int2))),IF(AR50="PT",IF(AY50&lt;PT_First,0,1+INT((AY50-PT_First)/PT_Int)),0)),0))</f>
        <v>0</v>
      </c>
      <c r="BB50" s="19" t="n">
        <f aca="false">IF(AG50=0,"",IF(AS50="FT",IF(AT50&lt;FT_First,FT_First,IF(AT50&lt;FT_Y5,MIN(FT_Y5,FT_First+FT_Int1*(INT((AT50-FT_First)/FT_Int1)+1)),FT_Y5+12*INT((AT50-FT_Y5)/12)+FT_Int2*(INT(MOD(AT50-FT_Y5,12)/FT_Int2)+1))),IF(AS50="PT",IF(AT50&lt;PT_First,PT_First,PT_First+PT_Int*(INT((AT50-PT_First)/PT_Int)+1)),"")))</f>
        <v>56</v>
      </c>
      <c r="BC50" s="19" t="n">
        <f aca="false">IF(AG50=0,"",IF(NOT(LH_Ready),0,COUNTIFS(INDEX(LH_Data,0,LH_ColFirst),$A50,INDEX(LH_Data,0,LH_ColSur),$B50,INDEX(LH_Data,0,LH_ColCat),BonusCat)))</f>
        <v>4</v>
      </c>
      <c r="BD50" s="19" t="n">
        <f aca="false">IF(AG50=0,"",IF(OR(NOT(LH_Ready),BC50=0),0,SUMPRODUCT(MAX((INDEX(LH_Data,0,LH_ColFirst)=$A50)*(INDEX(LH_Data,0,LH_ColSur)=$B50)*(INDEX(LH_Data,0,LH_ColCat)=BonusCat)*ROW(LH_Data)))))</f>
        <v>198</v>
      </c>
      <c r="BE50" s="19" t="n">
        <f aca="false">IF(AG50=0,"",IF(EOMONTH(AsOfDate,-1)&lt;AH50,-1,12*(YEAR(EOMONTH(AsOfDate,-1))-YEAR(AH50))+MONTH(EOMONTH(AsOfDate,-1))-MONTH(AH50)-IF(DAY(EOMONTH(AsOfDate,-1))&lt;MIN(DAY(AH50),DAY(EOMONTH(EOMONTH(AsOfDate,-1),0))),1,0)))</f>
        <v>53</v>
      </c>
      <c r="BF50" s="19" t="n">
        <f aca="false">IF(AG50=0,"",IF(OR(AI50&lt;2,AK50&gt;EOMONTH(AsOfDate,-1)),BE50,IF((AK50-1)&lt;AH50,-1,12*(YEAR((AK50-1))-YEAR(AH50))+MONTH((AK50-1))-MONTH(AH50)-IF(DAY((AK50-1))&lt;MIN(DAY(AH50),DAY(EOMONTH((AK50-1),0))),1,0))))</f>
        <v>4</v>
      </c>
      <c r="BG50" s="19" t="n">
        <f aca="false">IF(AG50=0,"",IF(OR(AI50&lt;3,AL50&gt;EOMONTH(AsOfDate,-1)),BE50,IF((AL50-1)&lt;AH50,-1,12*(YEAR((AL50-1))-YEAR(AH50))+MONTH((AL50-1))-MONTH(AH50)-IF(DAY((AL50-1))&lt;MIN(DAY(AH50),DAY(EOMONTH((AL50-1),0))),1,0))))</f>
        <v>53</v>
      </c>
      <c r="BH50" s="19" t="n">
        <f aca="false">IF(AG50=0,"",IF(AP50="FT",IF(BF50&lt;FT_First,0,IF(BF50&lt;FT_Y5,1+INT((BF50-FT_First)/FT_Int1),FT_PreY5+FT_PerYear*INT((BF50-FT_Y5)/12)+FT_AnnivDays+INT(MOD(BF50-FT_Y5,12)/FT_Int2))),IF(AP50="PT",IF(BF50&lt;PT_First,0,1+INT((BF50-PT_First)/PT_Int)),0))+IF(AND(AI50&gt;=2,AK50&lt;=EOMONTH(AsOfDate,-1)),IF(AQ50="FT",IF(BG50&lt;FT_First,0,IF(BG50&lt;FT_Y5,1+INT((BG50-FT_First)/FT_Int1),FT_PreY5+FT_PerYear*INT((BG50-FT_Y5)/12)+FT_AnnivDays+INT(MOD(BG50-FT_Y5,12)/FT_Int2))),IF(AQ50="PT",IF(BG50&lt;PT_First,0,1+INT((BG50-PT_First)/PT_Int)),0))-IF(AQ50="FT",IF(BF50&lt;FT_First,0,IF(BF50&lt;FT_Y5,1+INT((BF50-FT_First)/FT_Int1),FT_PreY5+FT_PerYear*INT((BF50-FT_Y5)/12)+FT_AnnivDays+INT(MOD(BF50-FT_Y5,12)/FT_Int2))),IF(AQ50="PT",IF(BF50&lt;PT_First,0,1+INT((BF50-PT_First)/PT_Int)),0)),0)+IF(AND(AI50&gt;=3,AL50&lt;=EOMONTH(AsOfDate,-1)),IF(AR50="FT",IF(BE50&lt;FT_First,0,IF(BE50&lt;FT_Y5,1+INT((BE50-FT_First)/FT_Int1),FT_PreY5+FT_PerYear*INT((BE50-FT_Y5)/12)+FT_AnnivDays+INT(MOD(BE50-FT_Y5,12)/FT_Int2))),IF(AR50="PT",IF(BE50&lt;PT_First,0,1+INT((BE50-PT_First)/PT_Int)),0))-IF(AR50="FT",IF(BG50&lt;FT_First,0,IF(BG50&lt;FT_Y5,1+INT((BG50-FT_First)/FT_Int1),FT_PreY5+FT_PerYear*INT((BG50-FT_Y5)/12)+FT_AnnivDays+INT(MOD(BG50-FT_Y5,12)/FT_Int2))),IF(AR50="PT",IF(BG50&lt;PT_First,0,1+INT((BG50-PT_First)/PT_Int)),0)),0))</f>
        <v>5</v>
      </c>
      <c r="BI50" s="19" t="n">
        <f aca="false">IF(AG50=0,"",IF(AS50="FT",IF(AT50&lt;FT_First,"",IF(AT50&lt;FT_Y5,FT_First+FT_Int1*INT((AT50-FT_First)/FT_Int1),FT_Y5+FT_Int2*INT((AT50-FT_Y5)/FT_Int2))),IF(AS50="PT",IF(AT50&lt;PT_First,"",PT_First+PT_Int*INT((AT50-PT_First)/PT_Int)),"")))</f>
        <v>52</v>
      </c>
      <c r="BJ50" s="0" t="str">
        <f aca="false">IF(LEN($A50&amp;$B50)=0,"",$A50&amp;" "&amp;$B50)</f>
        <v>Kyle Krishnappa</v>
      </c>
    </row>
    <row r="51" customFormat="false" ht="15" hidden="false" customHeight="false" outlineLevel="0" collapsed="false">
      <c r="A51" s="15" t="s">
        <v>231</v>
      </c>
      <c r="B51" s="15" t="s">
        <v>232</v>
      </c>
      <c r="C51" s="15" t="s">
        <v>153</v>
      </c>
      <c r="D51" s="16" t="n">
        <v>36502</v>
      </c>
      <c r="E51" s="17" t="n">
        <f aca="false">IF(OR(AG51=0,$D51=""),"",DATE(YEAR(AsOfDate)+IF(DATE(YEAR(AsOfDate),MONTH($D51),DAY($D51))&lt;=AsOfDate,1,0),MONTH($D51),DAY($D51)))</f>
        <v>46364</v>
      </c>
      <c r="F51" s="16" t="n">
        <v>45950</v>
      </c>
      <c r="G51" s="16" t="n">
        <v>45950</v>
      </c>
      <c r="H51" s="16"/>
      <c r="I51" s="16" t="n">
        <v>46160</v>
      </c>
      <c r="J51" s="16"/>
      <c r="K51" s="17" t="n">
        <f aca="false">IF(AG51=0,"",DATE(YEAR(AsOfDate)+IF(DATE(YEAR(AsOfDate),MONTH(AH51),DAY(AH51))&lt;=AsOfDate,1,0),MONTH(AH51),DAY(AH51)))</f>
        <v>46525</v>
      </c>
      <c r="L51" s="18" t="n">
        <f aca="false">IF(AG51=0,"",ROUND((AsOfDate-AH51)/365.25,1))</f>
        <v>0.4</v>
      </c>
      <c r="M51" s="19" t="str">
        <f aca="false">IF(AG51=0,"",IF(AsOfDate&lt;AH51,"-",DATEDIF(AH51,AsOfDate,"y")&amp;"y "&amp;DATEDIF(AH51,AsOfDate,"ym")&amp;"m "&amp;DATEDIF(AH51,AsOfDate,"md")&amp;"d"))</f>
        <v>0y 4m 18d</v>
      </c>
      <c r="N51" s="20" t="n">
        <f aca="false">IF(AG51=0,"",O51*HoursPerDay)</f>
        <v>0</v>
      </c>
      <c r="O51" s="20" t="n">
        <f aca="false">IF(AG51=0,"",AZ51)</f>
        <v>0</v>
      </c>
      <c r="P51" s="21"/>
      <c r="Q51" s="19"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Casual to Full-Time on 18/05/2026 - commencement for Bonus Leave</v>
      </c>
      <c r="R51" s="19"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17" t="n">
        <f aca="false">IF(AG51=0,"",IF(AS51="None","",EDATE(AH51,BB51)))</f>
        <v>47256</v>
      </c>
      <c r="T51" s="20" t="n">
        <f aca="false">IF(AG51=0,"",IF(NOT(LH_Ready),"",IF(AH51&gt;PFYDate,0,IF(LH_ColPeriod=0,W51-U51+V51,SUMIFS(INDEX(LH_Data,0,LH_ColAcc),INDEX(LH_Data,0,LH_ColFirst),$A51,INDEX(LH_Data,0,LH_ColSur),$B51,INDEX(LH_Data,0,LH_ColCat),BonusCat,INDEX(LH_Data,0,LH_ColPeriod),LH_OpenLabel)*UnitFactor))))</f>
        <v>0</v>
      </c>
      <c r="U51" s="20" t="n">
        <f aca="false">IF(AG51=0,"",IF(NOT(LH_Ready),"",SUMIFS(INDEX(LH_Data,0,LH_ColAcc),INDEX(LH_Data,0,LH_ColFirst),$A51,INDEX(LH_Data,0,LH_ColSur),$B51,INDEX(LH_Data,0,LH_ColCat),BonusCat,INDEX(LH_Data,0,LH_ColStart),"&gt;="&amp;AH51)*UnitFactor))</f>
        <v>0</v>
      </c>
      <c r="V51" s="20" t="n">
        <f aca="false">IF(AG51=0,"",IF(NOT(LH_Ready),"",SUMIFS(INDEX(LH_Data,0,LH_ColTaken),INDEX(LH_Data,0,LH_ColFirst),$A51,INDEX(LH_Data,0,LH_ColSur),$B51,INDEX(LH_Data,0,LH_ColCat),BonusCat,INDEX(LH_Data,0,LH_ColStart),"&gt;="&amp;AH51)*UnitFactor))</f>
        <v>0</v>
      </c>
      <c r="W51" s="20" t="n">
        <f aca="false">IF(AG51=0,"",IF(NOT(LH_Ready),"",IF(BD51=0,0,INDEX(INDEX(LH_Data,0,LH_ColClose),BD51-1)*UnitFactor)))</f>
        <v>0</v>
      </c>
      <c r="X51" s="20" t="n">
        <f aca="false">IF(AG51=0,"",(AZ51-BA51)*HoursPerDay)</f>
        <v>0</v>
      </c>
      <c r="Y51" s="20" t="n">
        <f aca="false">IF(AG51=0,"",IF(NOT(LH_Ready),"",IF(BC51=0,N51,IF(PFYDate&lt;$F51,N51-N(T51)-N(U51),X51-N(U51)))))</f>
        <v>0</v>
      </c>
      <c r="Z51" s="19" t="str">
        <f aca="false">IF(OR(AG51=0,Y51=""),"",IF(Y51&gt;0,"Yes","No"))</f>
        <v>No</v>
      </c>
      <c r="AA51" s="19"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Not yet - first day on 18/05/2029</v>
      </c>
      <c r="AB51" s="20" t="n">
        <f aca="false">IF(OR(AG51=0,T51=""),"",BA51*HoursPerDay-T51)</f>
        <v>0</v>
      </c>
      <c r="AC51" s="19" t="n">
        <f aca="false">IF(AG51=0,"",BC51)</f>
        <v>0</v>
      </c>
      <c r="AD51" s="19"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20" t="n">
        <f aca="false">IF(AG51=0,"",O51-BH51)</f>
        <v>0</v>
      </c>
      <c r="AF51" s="17" t="str">
        <f aca="false">IF(OR(AG51=0,AE51="",N(AE51)=0,BI51=""),"",EDATE(AH51,BI51))</f>
        <v/>
      </c>
      <c r="AG51" s="19" t="n">
        <f aca="false">IF(OR(LEN($A51&amp;$B51)=0,$F51=""),0,1)</f>
        <v>1</v>
      </c>
      <c r="AH51" s="17" t="n">
        <f aca="false">IF(AG51=0,"",IF($J51&lt;&gt;"",$J51,IF(OR(CasualCounts="Yes",COUNT($G51:$I51)=0,COUNT($H51:$I51)=0),$F51,MIN($H51:$I51))))</f>
        <v>46160</v>
      </c>
      <c r="AI51" s="19" t="n">
        <f aca="false">IF(AG51=0,"",COUNT($G51:$I51))</f>
        <v>2</v>
      </c>
      <c r="AJ51" s="17" t="n">
        <f aca="false">IF(AG51=0,"",IFERROR(SMALL($G51:$I51,1),""))</f>
        <v>45950</v>
      </c>
      <c r="AK51" s="17" t="n">
        <f aca="false">IF(AG51=0,"",IFERROR(SMALL($G51:$I51,2),""))</f>
        <v>46160</v>
      </c>
      <c r="AL51" s="17" t="str">
        <f aca="false">IF(AG51=0,"",IFERROR(SMALL($G51:$I51,3),""))</f>
        <v/>
      </c>
      <c r="AM51" s="19" t="str">
        <f aca="false">IF(AG51=0,"",IF(AJ51="","",IF(AJ51=$H51,"Part-Time",IF(AJ51=$I51,"Full-Time","Casual"))))</f>
        <v>Casual</v>
      </c>
      <c r="AN51" s="19" t="str">
        <f aca="false">IF(AG51=0,"",IF(AK51="","",IF(AK51=$H51,"Part-Time",IF(AK51=$I51,"Full-Time","Casual"))))</f>
        <v>Full-Time</v>
      </c>
      <c r="AO51" s="19" t="str">
        <f aca="false">IF(AG51=0,"",IF(AL51="","",IF(AL51=$H51,"Part-Time",IF(AL51=$I51,"Full-Time","Casual"))))</f>
        <v/>
      </c>
      <c r="AP51" s="19"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None</v>
      </c>
      <c r="AQ51" s="19" t="str">
        <f aca="false">IF(AG51=0,"",IF(AI51&lt;2,"",IF(OR(ISNUMBER(SEARCH("full",AN51)),UPPER(TRIM(AN51))="FT",UPPER(TRIM(AN51))="FTE"),"FT",IF(AND(OR(ISNUMBER(SEARCH("part",AN51)),UPPER(TRIM(AN51))="PT",UPPER(TRIM(AN51))="PTE"),OR($P51="",N($P51)&gt;=PT_MinHours)),"PT","None"))))</f>
        <v>FT</v>
      </c>
      <c r="AR51" s="19" t="str">
        <f aca="false">IF(AG51=0,"",IF(AI51&lt;3,"",IF(OR(ISNUMBER(SEARCH("full",AO51)),UPPER(TRIM(AO51))="FT",UPPER(TRIM(AO51))="FTE"),"FT",IF(AND(OR(ISNUMBER(SEARCH("part",AO51)),UPPER(TRIM(AO51))="PT",UPPER(TRIM(AO51))="PTE"),OR($P51="",N($P51)&gt;=PT_MinHours)),"PT","None"))))</f>
        <v/>
      </c>
      <c r="AS51" s="19" t="str">
        <f aca="false">IF(AG51=0,"",IF(AND(AI51&gt;=3,AL51&lt;=AsOfDate),AR51,IF(AND(AI51&gt;=2,AK51&lt;=AsOfDate),AQ51,AP51)))</f>
        <v>FT</v>
      </c>
      <c r="AT51" s="19" t="n">
        <f aca="false">IF(AG51=0,"",IF(AsOfDate&lt;AH51,-1,12*(YEAR(AsOfDate)-YEAR(AH51))+MONTH(AsOfDate)-MONTH(AH51)-IF(DAY(AsOfDate)&lt;MIN(DAY(AH51),DAY(EOMONTH(AsOfDate,0))),1,0)))</f>
        <v>4</v>
      </c>
      <c r="AU51" s="19" t="n">
        <f aca="false">IF(AG51=0,"",IF(OR(AI51&lt;2,AK51&gt;AsOfDate),AT51,IF((AK51-1)&lt;AH51,-1,12*(YEAR((AK51-1))-YEAR(AH51))+MONTH((AK51-1))-MONTH(AH51)-IF(DAY((AK51-1))&lt;MIN(DAY(AH51),DAY(EOMONTH((AK51-1),0))),1,0))))</f>
        <v>-1</v>
      </c>
      <c r="AV51" s="19" t="n">
        <f aca="false">IF(AG51=0,"",IF(OR(AI51&lt;3,AL51&gt;AsOfDate),AT51,IF((AL51-1)&lt;AH51,-1,12*(YEAR((AL51-1))-YEAR(AH51))+MONTH((AL51-1))-MONTH(AH51)-IF(DAY((AL51-1))&lt;MIN(DAY(AH51),DAY(EOMONTH((AL51-1),0))),1,0))))</f>
        <v>4</v>
      </c>
      <c r="AW51" s="19" t="n">
        <f aca="false">IF(AG51=0,"",IF(PFYDate&lt;AH51,-1,12*(YEAR(PFYDate)-YEAR(AH51))+MONTH(PFYDate)-MONTH(AH51)-IF(DAY(PFYDate)&lt;MIN(DAY(AH51),DAY(EOMONTH(PFYDate,0))),1,0)))</f>
        <v>-1</v>
      </c>
      <c r="AX51" s="19" t="n">
        <f aca="false">IF(AG51=0,"",IF(OR(AI51&lt;2,AK51&gt;PFYDate),AW51,IF((AK51-1)&lt;AH51,-1,12*(YEAR((AK51-1))-YEAR(AH51))+MONTH((AK51-1))-MONTH(AH51)-IF(DAY((AK51-1))&lt;MIN(DAY(AH51),DAY(EOMONTH((AK51-1),0))),1,0))))</f>
        <v>-1</v>
      </c>
      <c r="AY51" s="19" t="n">
        <f aca="false">IF(AG51=0,"",IF(OR(AI51&lt;3,AL51&gt;PFYDate),AW51,IF((AL51-1)&lt;AH51,-1,12*(YEAR((AL51-1))-YEAR(AH51))+MONTH((AL51-1))-MONTH(AH51)-IF(DAY((AL51-1))&lt;MIN(DAY(AH51),DAY(EOMONTH((AL51-1),0))),1,0))))</f>
        <v>-1</v>
      </c>
      <c r="AZ51" s="19" t="n">
        <f aca="false">IF(AG51=0,"",IF(AP51="FT",IF(AU51&lt;FT_First,0,IF(AU51&lt;FT_Y5,1+INT((AU51-FT_First)/FT_Int1),FT_PreY5+FT_PerYear*INT((AU51-FT_Y5)/12)+FT_AnnivDays+INT(MOD(AU51-FT_Y5,12)/FT_Int2))),IF(AP51="PT",IF(AU51&lt;PT_First,0,1+INT((AU51-PT_First)/PT_Int)),0))+IF(AND(AI51&gt;=2,AK51&lt;=AsOfDate),IF(AQ51="FT",IF(AV51&lt;FT_First,0,IF(AV51&lt;FT_Y5,1+INT((AV51-FT_First)/FT_Int1),FT_PreY5+FT_PerYear*INT((AV51-FT_Y5)/12)+FT_AnnivDays+INT(MOD(AV51-FT_Y5,12)/FT_Int2))),IF(AQ51="PT",IF(AV51&lt;PT_First,0,1+INT((AV51-PT_First)/PT_Int)),0))-IF(AQ51="FT",IF(AU51&lt;FT_First,0,IF(AU51&lt;FT_Y5,1+INT((AU51-FT_First)/FT_Int1),FT_PreY5+FT_PerYear*INT((AU51-FT_Y5)/12)+FT_AnnivDays+INT(MOD(AU51-FT_Y5,12)/FT_Int2))),IF(AQ51="PT",IF(AU51&lt;PT_First,0,1+INT((AU51-PT_First)/PT_Int)),0)),0)+IF(AND(AI51&gt;=3,AL51&lt;=AsOfDate),IF(AR51="FT",IF(AT51&lt;FT_First,0,IF(AT51&lt;FT_Y5,1+INT((AT51-FT_First)/FT_Int1),FT_PreY5+FT_PerYear*INT((AT51-FT_Y5)/12)+FT_AnnivDays+INT(MOD(AT51-FT_Y5,12)/FT_Int2))),IF(AR51="PT",IF(AT51&lt;PT_First,0,1+INT((AT51-PT_First)/PT_Int)),0))-IF(AR51="FT",IF(AV51&lt;FT_First,0,IF(AV51&lt;FT_Y5,1+INT((AV51-FT_First)/FT_Int1),FT_PreY5+FT_PerYear*INT((AV51-FT_Y5)/12)+FT_AnnivDays+INT(MOD(AV51-FT_Y5,12)/FT_Int2))),IF(AR51="PT",IF(AV51&lt;PT_First,0,1+INT((AV51-PT_First)/PT_Int)),0)),0))</f>
        <v>0</v>
      </c>
      <c r="BA51" s="19" t="n">
        <f aca="false">IF(AG51=0,"",IF(AP51="FT",IF(AX51&lt;FT_First,0,IF(AX51&lt;FT_Y5,1+INT((AX51-FT_First)/FT_Int1),FT_PreY5+FT_PerYear*INT((AX51-FT_Y5)/12)+FT_AnnivDays+INT(MOD(AX51-FT_Y5,12)/FT_Int2))),IF(AP51="PT",IF(AX51&lt;PT_First,0,1+INT((AX51-PT_First)/PT_Int)),0))+IF(AND(AI51&gt;=2,AK51&lt;=PFYDate),IF(AQ51="FT",IF(AY51&lt;FT_First,0,IF(AY51&lt;FT_Y5,1+INT((AY51-FT_First)/FT_Int1),FT_PreY5+FT_PerYear*INT((AY51-FT_Y5)/12)+FT_AnnivDays+INT(MOD(AY51-FT_Y5,12)/FT_Int2))),IF(AQ51="PT",IF(AY51&lt;PT_First,0,1+INT((AY51-PT_First)/PT_Int)),0))-IF(AQ51="FT",IF(AX51&lt;FT_First,0,IF(AX51&lt;FT_Y5,1+INT((AX51-FT_First)/FT_Int1),FT_PreY5+FT_PerYear*INT((AX51-FT_Y5)/12)+FT_AnnivDays+INT(MOD(AX51-FT_Y5,12)/FT_Int2))),IF(AQ51="PT",IF(AX51&lt;PT_First,0,1+INT((AX51-PT_First)/PT_Int)),0)),0)+IF(AND(AI51&gt;=3,AL51&lt;=PFYDate),IF(AR51="FT",IF(AW51&lt;FT_First,0,IF(AW51&lt;FT_Y5,1+INT((AW51-FT_First)/FT_Int1),FT_PreY5+FT_PerYear*INT((AW51-FT_Y5)/12)+FT_AnnivDays+INT(MOD(AW51-FT_Y5,12)/FT_Int2))),IF(AR51="PT",IF(AW51&lt;PT_First,0,1+INT((AW51-PT_First)/PT_Int)),0))-IF(AR51="FT",IF(AY51&lt;FT_First,0,IF(AY51&lt;FT_Y5,1+INT((AY51-FT_First)/FT_Int1),FT_PreY5+FT_PerYear*INT((AY51-FT_Y5)/12)+FT_AnnivDays+INT(MOD(AY51-FT_Y5,12)/FT_Int2))),IF(AR51="PT",IF(AY51&lt;PT_First,0,1+INT((AY51-PT_First)/PT_Int)),0)),0))</f>
        <v>0</v>
      </c>
      <c r="BB51" s="19" t="n">
        <f aca="false">IF(AG51=0,"",IF(AS51="FT",IF(AT51&lt;FT_First,FT_First,IF(AT51&lt;FT_Y5,MIN(FT_Y5,FT_First+FT_Int1*(INT((AT51-FT_First)/FT_Int1)+1)),FT_Y5+12*INT((AT51-FT_Y5)/12)+FT_Int2*(INT(MOD(AT51-FT_Y5,12)/FT_Int2)+1))),IF(AS51="PT",IF(AT51&lt;PT_First,PT_First,PT_First+PT_Int*(INT((AT51-PT_First)/PT_Int)+1)),"")))</f>
        <v>36</v>
      </c>
      <c r="BC51" s="19" t="n">
        <f aca="false">IF(AG51=0,"",IF(NOT(LH_Ready),0,COUNTIFS(INDEX(LH_Data,0,LH_ColFirst),$A51,INDEX(LH_Data,0,LH_ColSur),$B51,INDEX(LH_Data,0,LH_ColCat),BonusCat)))</f>
        <v>0</v>
      </c>
      <c r="BD51" s="19" t="n">
        <f aca="false">IF(AG51=0,"",IF(OR(NOT(LH_Ready),BC51=0),0,SUMPRODUCT(MAX((INDEX(LH_Data,0,LH_ColFirst)=$A51)*(INDEX(LH_Data,0,LH_ColSur)=$B51)*(INDEX(LH_Data,0,LH_ColCat)=BonusCat)*ROW(LH_Data)))))</f>
        <v>0</v>
      </c>
      <c r="BE51" s="19" t="n">
        <f aca="false">IF(AG51=0,"",IF(EOMONTH(AsOfDate,-1)&lt;AH51,-1,12*(YEAR(EOMONTH(AsOfDate,-1))-YEAR(AH51))+MONTH(EOMONTH(AsOfDate,-1))-MONTH(AH51)-IF(DAY(EOMONTH(AsOfDate,-1))&lt;MIN(DAY(AH51),DAY(EOMONTH(EOMONTH(AsOfDate,-1),0))),1,0)))</f>
        <v>4</v>
      </c>
      <c r="BF51" s="19" t="n">
        <f aca="false">IF(AG51=0,"",IF(OR(AI51&lt;2,AK51&gt;EOMONTH(AsOfDate,-1)),BE51,IF((AK51-1)&lt;AH51,-1,12*(YEAR((AK51-1))-YEAR(AH51))+MONTH((AK51-1))-MONTH(AH51)-IF(DAY((AK51-1))&lt;MIN(DAY(AH51),DAY(EOMONTH((AK51-1),0))),1,0))))</f>
        <v>-1</v>
      </c>
      <c r="BG51" s="19" t="n">
        <f aca="false">IF(AG51=0,"",IF(OR(AI51&lt;3,AL51&gt;EOMONTH(AsOfDate,-1)),BE51,IF((AL51-1)&lt;AH51,-1,12*(YEAR((AL51-1))-YEAR(AH51))+MONTH((AL51-1))-MONTH(AH51)-IF(DAY((AL51-1))&lt;MIN(DAY(AH51),DAY(EOMONTH((AL51-1),0))),1,0))))</f>
        <v>4</v>
      </c>
      <c r="BH51" s="19" t="n">
        <f aca="false">IF(AG51=0,"",IF(AP51="FT",IF(BF51&lt;FT_First,0,IF(BF51&lt;FT_Y5,1+INT((BF51-FT_First)/FT_Int1),FT_PreY5+FT_PerYear*INT((BF51-FT_Y5)/12)+FT_AnnivDays+INT(MOD(BF51-FT_Y5,12)/FT_Int2))),IF(AP51="PT",IF(BF51&lt;PT_First,0,1+INT((BF51-PT_First)/PT_Int)),0))+IF(AND(AI51&gt;=2,AK51&lt;=EOMONTH(AsOfDate,-1)),IF(AQ51="FT",IF(BG51&lt;FT_First,0,IF(BG51&lt;FT_Y5,1+INT((BG51-FT_First)/FT_Int1),FT_PreY5+FT_PerYear*INT((BG51-FT_Y5)/12)+FT_AnnivDays+INT(MOD(BG51-FT_Y5,12)/FT_Int2))),IF(AQ51="PT",IF(BG51&lt;PT_First,0,1+INT((BG51-PT_First)/PT_Int)),0))-IF(AQ51="FT",IF(BF51&lt;FT_First,0,IF(BF51&lt;FT_Y5,1+INT((BF51-FT_First)/FT_Int1),FT_PreY5+FT_PerYear*INT((BF51-FT_Y5)/12)+FT_AnnivDays+INT(MOD(BF51-FT_Y5,12)/FT_Int2))),IF(AQ51="PT",IF(BF51&lt;PT_First,0,1+INT((BF51-PT_First)/PT_Int)),0)),0)+IF(AND(AI51&gt;=3,AL51&lt;=EOMONTH(AsOfDate,-1)),IF(AR51="FT",IF(BE51&lt;FT_First,0,IF(BE51&lt;FT_Y5,1+INT((BE51-FT_First)/FT_Int1),FT_PreY5+FT_PerYear*INT((BE51-FT_Y5)/12)+FT_AnnivDays+INT(MOD(BE51-FT_Y5,12)/FT_Int2))),IF(AR51="PT",IF(BE51&lt;PT_First,0,1+INT((BE51-PT_First)/PT_Int)),0))-IF(AR51="FT",IF(BG51&lt;FT_First,0,IF(BG51&lt;FT_Y5,1+INT((BG51-FT_First)/FT_Int1),FT_PreY5+FT_PerYear*INT((BG51-FT_Y5)/12)+FT_AnnivDays+INT(MOD(BG51-FT_Y5,12)/FT_Int2))),IF(AR51="PT",IF(BG51&lt;PT_First,0,1+INT((BG51-PT_First)/PT_Int)),0)),0))</f>
        <v>0</v>
      </c>
      <c r="BI51" s="19" t="str">
        <f aca="false">IF(AG51=0,"",IF(AS51="FT",IF(AT51&lt;FT_First,"",IF(AT51&lt;FT_Y5,FT_First+FT_Int1*INT((AT51-FT_First)/FT_Int1),FT_Y5+FT_Int2*INT((AT51-FT_Y5)/FT_Int2))),IF(AS51="PT",IF(AT51&lt;PT_First,"",PT_First+PT_Int*INT((AT51-PT_First)/PT_Int)),"")))</f>
        <v/>
      </c>
      <c r="BJ51" s="0" t="str">
        <f aca="false">IF(LEN($A51&amp;$B51)=0,"",$A51&amp;" "&amp;$B51)</f>
        <v>Layla Phillips</v>
      </c>
    </row>
    <row r="52" customFormat="false" ht="15" hidden="false" customHeight="false" outlineLevel="0" collapsed="false">
      <c r="A52" s="15" t="s">
        <v>233</v>
      </c>
      <c r="B52" s="15" t="s">
        <v>234</v>
      </c>
      <c r="C52" s="15" t="s">
        <v>138</v>
      </c>
      <c r="D52" s="16" t="n">
        <v>33838</v>
      </c>
      <c r="E52" s="17" t="n">
        <f aca="false">IF(OR(AG52=0,$D52=""),"",DATE(YEAR(AsOfDate)+IF(DATE(YEAR(AsOfDate),MONTH($D52),DAY($D52))&lt;=AsOfDate,1,0),MONTH($D52),DAY($D52)))</f>
        <v>46621</v>
      </c>
      <c r="F52" s="16" t="n">
        <v>45516</v>
      </c>
      <c r="G52" s="16"/>
      <c r="H52" s="16"/>
      <c r="I52" s="16"/>
      <c r="J52" s="16"/>
      <c r="K52" s="17" t="n">
        <f aca="false">IF(AG52=0,"",DATE(YEAR(AsOfDate)+IF(DATE(YEAR(AsOfDate),MONTH(AH52),DAY(AH52))&lt;=AsOfDate,1,0),MONTH(AH52),DAY(AH52)))</f>
        <v>46611</v>
      </c>
      <c r="L52" s="18" t="n">
        <f aca="false">IF(AG52=0,"",ROUND((AsOfDate-AH52)/365.25,1))</f>
        <v>2.1</v>
      </c>
      <c r="M52" s="19" t="str">
        <f aca="false">IF(AG52=0,"",IF(AsOfDate&lt;AH52,"-",DATEDIF(AH52,AsOfDate,"y")&amp;"y "&amp;DATEDIF(AH52,AsOfDate,"ym")&amp;"m "&amp;DATEDIF(AH52,AsOfDate,"md")&amp;"d"))</f>
        <v>2y 1m 24d</v>
      </c>
      <c r="N52" s="20" t="n">
        <f aca="false">IF(AG52=0,"",O52*HoursPerDay)</f>
        <v>0</v>
      </c>
      <c r="O52" s="20" t="n">
        <f aca="false">IF(AG52=0,"",AZ52)</f>
        <v>0</v>
      </c>
      <c r="P52" s="21"/>
      <c r="Q52" s="19"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19"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17" t="str">
        <f aca="false">IF(AG52=0,"",IF(AS52="None","",EDATE(AH52,BB52)))</f>
        <v/>
      </c>
      <c r="T52" s="20" t="n">
        <f aca="false">IF(AG52=0,"",IF(NOT(LH_Ready),"",IF(AH52&gt;PFYDate,0,IF(LH_ColPeriod=0,W52-U52+V52,SUMIFS(INDEX(LH_Data,0,LH_ColAcc),INDEX(LH_Data,0,LH_ColFirst),$A52,INDEX(LH_Data,0,LH_ColSur),$B52,INDEX(LH_Data,0,LH_ColCat),BonusCat,INDEX(LH_Data,0,LH_ColPeriod),LH_OpenLabel)*UnitFactor))))</f>
        <v>0</v>
      </c>
      <c r="U52" s="20" t="n">
        <f aca="false">IF(AG52=0,"",IF(NOT(LH_Ready),"",SUMIFS(INDEX(LH_Data,0,LH_ColAcc),INDEX(LH_Data,0,LH_ColFirst),$A52,INDEX(LH_Data,0,LH_ColSur),$B52,INDEX(LH_Data,0,LH_ColCat),BonusCat,INDEX(LH_Data,0,LH_ColStart),"&gt;="&amp;AH52)*UnitFactor))</f>
        <v>0</v>
      </c>
      <c r="V52" s="20" t="n">
        <f aca="false">IF(AG52=0,"",IF(NOT(LH_Ready),"",SUMIFS(INDEX(LH_Data,0,LH_ColTaken),INDEX(LH_Data,0,LH_ColFirst),$A52,INDEX(LH_Data,0,LH_ColSur),$B52,INDEX(LH_Data,0,LH_ColCat),BonusCat,INDEX(LH_Data,0,LH_ColStart),"&gt;="&amp;AH52)*UnitFactor))</f>
        <v>0</v>
      </c>
      <c r="W52" s="20" t="n">
        <f aca="false">IF(AG52=0,"",IF(NOT(LH_Ready),"",IF(BD52=0,0,INDEX(INDEX(LH_Data,0,LH_ColClose),BD52-1)*UnitFactor)))</f>
        <v>0</v>
      </c>
      <c r="X52" s="20" t="n">
        <f aca="false">IF(AG52=0,"",(AZ52-BA52)*HoursPerDay)</f>
        <v>0</v>
      </c>
      <c r="Y52" s="20" t="n">
        <f aca="false">IF(AG52=0,"",IF(NOT(LH_Ready),"",IF(BC52=0,N52,IF(PFYDate&lt;$F52,N52-N(T52)-N(U52),X52-N(U52)))))</f>
        <v>0</v>
      </c>
      <c r="Z52" s="19" t="str">
        <f aca="false">IF(OR(AG52=0,Y52=""),"",IF(Y52&gt;0,"Yes","No"))</f>
        <v>No</v>
      </c>
      <c r="AA52" s="19"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Not eligible - Casual</v>
      </c>
      <c r="AB52" s="20" t="n">
        <f aca="false">IF(OR(AG52=0,T52=""),"",BA52*HoursPerDay-T52)</f>
        <v>0</v>
      </c>
      <c r="AC52" s="19" t="n">
        <f aca="false">IF(AG52=0,"",BC52)</f>
        <v>0</v>
      </c>
      <c r="AD52" s="19"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20" t="n">
        <f aca="false">IF(AG52=0,"",O52-BH52)</f>
        <v>0</v>
      </c>
      <c r="AF52" s="17" t="str">
        <f aca="false">IF(OR(AG52=0,AE52="",N(AE52)=0,BI52=""),"",EDATE(AH52,BI52))</f>
        <v/>
      </c>
      <c r="AG52" s="19" t="n">
        <f aca="false">IF(OR(LEN($A52&amp;$B52)=0,$F52=""),0,1)</f>
        <v>1</v>
      </c>
      <c r="AH52" s="17" t="n">
        <f aca="false">IF(AG52=0,"",IF($J52&lt;&gt;"",$J52,IF(OR(CasualCounts="Yes",COUNT($G52:$I52)=0,COUNT($H52:$I52)=0),$F52,MIN($H52:$I52))))</f>
        <v>45516</v>
      </c>
      <c r="AI52" s="19" t="n">
        <f aca="false">IF(AG52=0,"",COUNT($G52:$I52))</f>
        <v>0</v>
      </c>
      <c r="AJ52" s="17" t="str">
        <f aca="false">IF(AG52=0,"",IFERROR(SMALL($G52:$I52,1),""))</f>
        <v/>
      </c>
      <c r="AK52" s="17" t="str">
        <f aca="false">IF(AG52=0,"",IFERROR(SMALL($G52:$I52,2),""))</f>
        <v/>
      </c>
      <c r="AL52" s="17" t="str">
        <f aca="false">IF(AG52=0,"",IFERROR(SMALL($G52:$I52,3),""))</f>
        <v/>
      </c>
      <c r="AM52" s="19" t="str">
        <f aca="false">IF(AG52=0,"",IF(AJ52="","",IF(AJ52=$H52,"Part-Time",IF(AJ52=$I52,"Full-Time","Casual"))))</f>
        <v/>
      </c>
      <c r="AN52" s="19" t="str">
        <f aca="false">IF(AG52=0,"",IF(AK52="","",IF(AK52=$H52,"Part-Time",IF(AK52=$I52,"Full-Time","Casual"))))</f>
        <v/>
      </c>
      <c r="AO52" s="19" t="str">
        <f aca="false">IF(AG52=0,"",IF(AL52="","",IF(AL52=$H52,"Part-Time",IF(AL52=$I52,"Full-Time","Casual"))))</f>
        <v/>
      </c>
      <c r="AP52" s="19"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None</v>
      </c>
      <c r="AQ52" s="19" t="str">
        <f aca="false">IF(AG52=0,"",IF(AI52&lt;2,"",IF(OR(ISNUMBER(SEARCH("full",AN52)),UPPER(TRIM(AN52))="FT",UPPER(TRIM(AN52))="FTE"),"FT",IF(AND(OR(ISNUMBER(SEARCH("part",AN52)),UPPER(TRIM(AN52))="PT",UPPER(TRIM(AN52))="PTE"),OR($P52="",N($P52)&gt;=PT_MinHours)),"PT","None"))))</f>
        <v/>
      </c>
      <c r="AR52" s="19" t="str">
        <f aca="false">IF(AG52=0,"",IF(AI52&lt;3,"",IF(OR(ISNUMBER(SEARCH("full",AO52)),UPPER(TRIM(AO52))="FT",UPPER(TRIM(AO52))="FTE"),"FT",IF(AND(OR(ISNUMBER(SEARCH("part",AO52)),UPPER(TRIM(AO52))="PT",UPPER(TRIM(AO52))="PTE"),OR($P52="",N($P52)&gt;=PT_MinHours)),"PT","None"))))</f>
        <v/>
      </c>
      <c r="AS52" s="19" t="str">
        <f aca="false">IF(AG52=0,"",IF(AND(AI52&gt;=3,AL52&lt;=AsOfDate),AR52,IF(AND(AI52&gt;=2,AK52&lt;=AsOfDate),AQ52,AP52)))</f>
        <v>None</v>
      </c>
      <c r="AT52" s="19" t="n">
        <f aca="false">IF(AG52=0,"",IF(AsOfDate&lt;AH52,-1,12*(YEAR(AsOfDate)-YEAR(AH52))+MONTH(AsOfDate)-MONTH(AH52)-IF(DAY(AsOfDate)&lt;MIN(DAY(AH52),DAY(EOMONTH(AsOfDate,0))),1,0)))</f>
        <v>25</v>
      </c>
      <c r="AU52" s="19" t="n">
        <f aca="false">IF(AG52=0,"",IF(OR(AI52&lt;2,AK52&gt;AsOfDate),AT52,IF((AK52-1)&lt;AH52,-1,12*(YEAR((AK52-1))-YEAR(AH52))+MONTH((AK52-1))-MONTH(AH52)-IF(DAY((AK52-1))&lt;MIN(DAY(AH52),DAY(EOMONTH((AK52-1),0))),1,0))))</f>
        <v>25</v>
      </c>
      <c r="AV52" s="19" t="n">
        <f aca="false">IF(AG52=0,"",IF(OR(AI52&lt;3,AL52&gt;AsOfDate),AT52,IF((AL52-1)&lt;AH52,-1,12*(YEAR((AL52-1))-YEAR(AH52))+MONTH((AL52-1))-MONTH(AH52)-IF(DAY((AL52-1))&lt;MIN(DAY(AH52),DAY(EOMONTH((AL52-1),0))),1,0))))</f>
        <v>25</v>
      </c>
      <c r="AW52" s="19" t="n">
        <f aca="false">IF(AG52=0,"",IF(PFYDate&lt;AH52,-1,12*(YEAR(PFYDate)-YEAR(AH52))+MONTH(PFYDate)-MONTH(AH52)-IF(DAY(PFYDate)&lt;MIN(DAY(AH52),DAY(EOMONTH(PFYDate,0))),1,0)))</f>
        <v>-1</v>
      </c>
      <c r="AX52" s="19" t="n">
        <f aca="false">IF(AG52=0,"",IF(OR(AI52&lt;2,AK52&gt;PFYDate),AW52,IF((AK52-1)&lt;AH52,-1,12*(YEAR((AK52-1))-YEAR(AH52))+MONTH((AK52-1))-MONTH(AH52)-IF(DAY((AK52-1))&lt;MIN(DAY(AH52),DAY(EOMONTH((AK52-1),0))),1,0))))</f>
        <v>-1</v>
      </c>
      <c r="AY52" s="19" t="n">
        <f aca="false">IF(AG52=0,"",IF(OR(AI52&lt;3,AL52&gt;PFYDate),AW52,IF((AL52-1)&lt;AH52,-1,12*(YEAR((AL52-1))-YEAR(AH52))+MONTH((AL52-1))-MONTH(AH52)-IF(DAY((AL52-1))&lt;MIN(DAY(AH52),DAY(EOMONTH((AL52-1),0))),1,0))))</f>
        <v>-1</v>
      </c>
      <c r="AZ52" s="19" t="n">
        <f aca="false">IF(AG52=0,"",IF(AP52="FT",IF(AU52&lt;FT_First,0,IF(AU52&lt;FT_Y5,1+INT((AU52-FT_First)/FT_Int1),FT_PreY5+FT_PerYear*INT((AU52-FT_Y5)/12)+FT_AnnivDays+INT(MOD(AU52-FT_Y5,12)/FT_Int2))),IF(AP52="PT",IF(AU52&lt;PT_First,0,1+INT((AU52-PT_First)/PT_Int)),0))+IF(AND(AI52&gt;=2,AK52&lt;=AsOfDate),IF(AQ52="FT",IF(AV52&lt;FT_First,0,IF(AV52&lt;FT_Y5,1+INT((AV52-FT_First)/FT_Int1),FT_PreY5+FT_PerYear*INT((AV52-FT_Y5)/12)+FT_AnnivDays+INT(MOD(AV52-FT_Y5,12)/FT_Int2))),IF(AQ52="PT",IF(AV52&lt;PT_First,0,1+INT((AV52-PT_First)/PT_Int)),0))-IF(AQ52="FT",IF(AU52&lt;FT_First,0,IF(AU52&lt;FT_Y5,1+INT((AU52-FT_First)/FT_Int1),FT_PreY5+FT_PerYear*INT((AU52-FT_Y5)/12)+FT_AnnivDays+INT(MOD(AU52-FT_Y5,12)/FT_Int2))),IF(AQ52="PT",IF(AU52&lt;PT_First,0,1+INT((AU52-PT_First)/PT_Int)),0)),0)+IF(AND(AI52&gt;=3,AL52&lt;=AsOfDate),IF(AR52="FT",IF(AT52&lt;FT_First,0,IF(AT52&lt;FT_Y5,1+INT((AT52-FT_First)/FT_Int1),FT_PreY5+FT_PerYear*INT((AT52-FT_Y5)/12)+FT_AnnivDays+INT(MOD(AT52-FT_Y5,12)/FT_Int2))),IF(AR52="PT",IF(AT52&lt;PT_First,0,1+INT((AT52-PT_First)/PT_Int)),0))-IF(AR52="FT",IF(AV52&lt;FT_First,0,IF(AV52&lt;FT_Y5,1+INT((AV52-FT_First)/FT_Int1),FT_PreY5+FT_PerYear*INT((AV52-FT_Y5)/12)+FT_AnnivDays+INT(MOD(AV52-FT_Y5,12)/FT_Int2))),IF(AR52="PT",IF(AV52&lt;PT_First,0,1+INT((AV52-PT_First)/PT_Int)),0)),0))</f>
        <v>0</v>
      </c>
      <c r="BA52" s="19" t="n">
        <f aca="false">IF(AG52=0,"",IF(AP52="FT",IF(AX52&lt;FT_First,0,IF(AX52&lt;FT_Y5,1+INT((AX52-FT_First)/FT_Int1),FT_PreY5+FT_PerYear*INT((AX52-FT_Y5)/12)+FT_AnnivDays+INT(MOD(AX52-FT_Y5,12)/FT_Int2))),IF(AP52="PT",IF(AX52&lt;PT_First,0,1+INT((AX52-PT_First)/PT_Int)),0))+IF(AND(AI52&gt;=2,AK52&lt;=PFYDate),IF(AQ52="FT",IF(AY52&lt;FT_First,0,IF(AY52&lt;FT_Y5,1+INT((AY52-FT_First)/FT_Int1),FT_PreY5+FT_PerYear*INT((AY52-FT_Y5)/12)+FT_AnnivDays+INT(MOD(AY52-FT_Y5,12)/FT_Int2))),IF(AQ52="PT",IF(AY52&lt;PT_First,0,1+INT((AY52-PT_First)/PT_Int)),0))-IF(AQ52="FT",IF(AX52&lt;FT_First,0,IF(AX52&lt;FT_Y5,1+INT((AX52-FT_First)/FT_Int1),FT_PreY5+FT_PerYear*INT((AX52-FT_Y5)/12)+FT_AnnivDays+INT(MOD(AX52-FT_Y5,12)/FT_Int2))),IF(AQ52="PT",IF(AX52&lt;PT_First,0,1+INT((AX52-PT_First)/PT_Int)),0)),0)+IF(AND(AI52&gt;=3,AL52&lt;=PFYDate),IF(AR52="FT",IF(AW52&lt;FT_First,0,IF(AW52&lt;FT_Y5,1+INT((AW52-FT_First)/FT_Int1),FT_PreY5+FT_PerYear*INT((AW52-FT_Y5)/12)+FT_AnnivDays+INT(MOD(AW52-FT_Y5,12)/FT_Int2))),IF(AR52="PT",IF(AW52&lt;PT_First,0,1+INT((AW52-PT_First)/PT_Int)),0))-IF(AR52="FT",IF(AY52&lt;FT_First,0,IF(AY52&lt;FT_Y5,1+INT((AY52-FT_First)/FT_Int1),FT_PreY5+FT_PerYear*INT((AY52-FT_Y5)/12)+FT_AnnivDays+INT(MOD(AY52-FT_Y5,12)/FT_Int2))),IF(AR52="PT",IF(AY52&lt;PT_First,0,1+INT((AY52-PT_First)/PT_Int)),0)),0))</f>
        <v>0</v>
      </c>
      <c r="BB52" s="19" t="str">
        <f aca="false">IF(AG52=0,"",IF(AS52="FT",IF(AT52&lt;FT_First,FT_First,IF(AT52&lt;FT_Y5,MIN(FT_Y5,FT_First+FT_Int1*(INT((AT52-FT_First)/FT_Int1)+1)),FT_Y5+12*INT((AT52-FT_Y5)/12)+FT_Int2*(INT(MOD(AT52-FT_Y5,12)/FT_Int2)+1))),IF(AS52="PT",IF(AT52&lt;PT_First,PT_First,PT_First+PT_Int*(INT((AT52-PT_First)/PT_Int)+1)),"")))</f>
        <v/>
      </c>
      <c r="BC52" s="19" t="n">
        <f aca="false">IF(AG52=0,"",IF(NOT(LH_Ready),0,COUNTIFS(INDEX(LH_Data,0,LH_ColFirst),$A52,INDEX(LH_Data,0,LH_ColSur),$B52,INDEX(LH_Data,0,LH_ColCat),BonusCat)))</f>
        <v>0</v>
      </c>
      <c r="BD52" s="19" t="n">
        <f aca="false">IF(AG52=0,"",IF(OR(NOT(LH_Ready),BC52=0),0,SUMPRODUCT(MAX((INDEX(LH_Data,0,LH_ColFirst)=$A52)*(INDEX(LH_Data,0,LH_ColSur)=$B52)*(INDEX(LH_Data,0,LH_ColCat)=BonusCat)*ROW(LH_Data)))))</f>
        <v>0</v>
      </c>
      <c r="BE52" s="19" t="n">
        <f aca="false">IF(AG52=0,"",IF(EOMONTH(AsOfDate,-1)&lt;AH52,-1,12*(YEAR(EOMONTH(AsOfDate,-1))-YEAR(AH52))+MONTH(EOMONTH(AsOfDate,-1))-MONTH(AH52)-IF(DAY(EOMONTH(AsOfDate,-1))&lt;MIN(DAY(AH52),DAY(EOMONTH(EOMONTH(AsOfDate,-1),0))),1,0)))</f>
        <v>25</v>
      </c>
      <c r="BF52" s="19" t="n">
        <f aca="false">IF(AG52=0,"",IF(OR(AI52&lt;2,AK52&gt;EOMONTH(AsOfDate,-1)),BE52,IF((AK52-1)&lt;AH52,-1,12*(YEAR((AK52-1))-YEAR(AH52))+MONTH((AK52-1))-MONTH(AH52)-IF(DAY((AK52-1))&lt;MIN(DAY(AH52),DAY(EOMONTH((AK52-1),0))),1,0))))</f>
        <v>25</v>
      </c>
      <c r="BG52" s="19" t="n">
        <f aca="false">IF(AG52=0,"",IF(OR(AI52&lt;3,AL52&gt;EOMONTH(AsOfDate,-1)),BE52,IF((AL52-1)&lt;AH52,-1,12*(YEAR((AL52-1))-YEAR(AH52))+MONTH((AL52-1))-MONTH(AH52)-IF(DAY((AL52-1))&lt;MIN(DAY(AH52),DAY(EOMONTH((AL52-1),0))),1,0))))</f>
        <v>25</v>
      </c>
      <c r="BH52" s="19" t="n">
        <f aca="false">IF(AG52=0,"",IF(AP52="FT",IF(BF52&lt;FT_First,0,IF(BF52&lt;FT_Y5,1+INT((BF52-FT_First)/FT_Int1),FT_PreY5+FT_PerYear*INT((BF52-FT_Y5)/12)+FT_AnnivDays+INT(MOD(BF52-FT_Y5,12)/FT_Int2))),IF(AP52="PT",IF(BF52&lt;PT_First,0,1+INT((BF52-PT_First)/PT_Int)),0))+IF(AND(AI52&gt;=2,AK52&lt;=EOMONTH(AsOfDate,-1)),IF(AQ52="FT",IF(BG52&lt;FT_First,0,IF(BG52&lt;FT_Y5,1+INT((BG52-FT_First)/FT_Int1),FT_PreY5+FT_PerYear*INT((BG52-FT_Y5)/12)+FT_AnnivDays+INT(MOD(BG52-FT_Y5,12)/FT_Int2))),IF(AQ52="PT",IF(BG52&lt;PT_First,0,1+INT((BG52-PT_First)/PT_Int)),0))-IF(AQ52="FT",IF(BF52&lt;FT_First,0,IF(BF52&lt;FT_Y5,1+INT((BF52-FT_First)/FT_Int1),FT_PreY5+FT_PerYear*INT((BF52-FT_Y5)/12)+FT_AnnivDays+INT(MOD(BF52-FT_Y5,12)/FT_Int2))),IF(AQ52="PT",IF(BF52&lt;PT_First,0,1+INT((BF52-PT_First)/PT_Int)),0)),0)+IF(AND(AI52&gt;=3,AL52&lt;=EOMONTH(AsOfDate,-1)),IF(AR52="FT",IF(BE52&lt;FT_First,0,IF(BE52&lt;FT_Y5,1+INT((BE52-FT_First)/FT_Int1),FT_PreY5+FT_PerYear*INT((BE52-FT_Y5)/12)+FT_AnnivDays+INT(MOD(BE52-FT_Y5,12)/FT_Int2))),IF(AR52="PT",IF(BE52&lt;PT_First,0,1+INT((BE52-PT_First)/PT_Int)),0))-IF(AR52="FT",IF(BG52&lt;FT_First,0,IF(BG52&lt;FT_Y5,1+INT((BG52-FT_First)/FT_Int1),FT_PreY5+FT_PerYear*INT((BG52-FT_Y5)/12)+FT_AnnivDays+INT(MOD(BG52-FT_Y5,12)/FT_Int2))),IF(AR52="PT",IF(BG52&lt;PT_First,0,1+INT((BG52-PT_First)/PT_Int)),0)),0))</f>
        <v>0</v>
      </c>
      <c r="BI52" s="19" t="str">
        <f aca="false">IF(AG52=0,"",IF(AS52="FT",IF(AT52&lt;FT_First,"",IF(AT52&lt;FT_Y5,FT_First+FT_Int1*INT((AT52-FT_First)/FT_Int1),FT_Y5+FT_Int2*INT((AT52-FT_Y5)/FT_Int2))),IF(AS52="PT",IF(AT52&lt;PT_First,"",PT_First+PT_Int*INT((AT52-PT_First)/PT_Int)),"")))</f>
        <v/>
      </c>
      <c r="BJ52" s="0" t="str">
        <f aca="false">IF(LEN($A52&amp;$B52)=0,"",$A52&amp;" "&amp;$B52)</f>
        <v>Mark Brooks</v>
      </c>
    </row>
    <row r="53" customFormat="false" ht="15" hidden="false" customHeight="false" outlineLevel="0" collapsed="false">
      <c r="A53" s="15" t="s">
        <v>235</v>
      </c>
      <c r="B53" s="15" t="s">
        <v>236</v>
      </c>
      <c r="C53" s="15" t="s">
        <v>138</v>
      </c>
      <c r="D53" s="16" t="n">
        <v>37792</v>
      </c>
      <c r="E53" s="17" t="n">
        <f aca="false">IF(OR(AG53=0,$D53=""),"",DATE(YEAR(AsOfDate)+IF(DATE(YEAR(AsOfDate),MONTH($D53),DAY($D53))&lt;=AsOfDate,1,0),MONTH($D53),DAY($D53)))</f>
        <v>46558</v>
      </c>
      <c r="F53" s="16" t="n">
        <v>45763</v>
      </c>
      <c r="G53" s="16"/>
      <c r="H53" s="16"/>
      <c r="I53" s="16"/>
      <c r="J53" s="16"/>
      <c r="K53" s="17" t="n">
        <f aca="false">IF(AG53=0,"",DATE(YEAR(AsOfDate)+IF(DATE(YEAR(AsOfDate),MONTH(AH53),DAY(AH53))&lt;=AsOfDate,1,0),MONTH(AH53),DAY(AH53)))</f>
        <v>46493</v>
      </c>
      <c r="L53" s="18" t="n">
        <f aca="false">IF(AG53=0,"",ROUND((AsOfDate-AH53)/365.25,1))</f>
        <v>1.5</v>
      </c>
      <c r="M53" s="19" t="str">
        <f aca="false">IF(AG53=0,"",IF(AsOfDate&lt;AH53,"-",DATEDIF(AH53,AsOfDate,"y")&amp;"y "&amp;DATEDIF(AH53,AsOfDate,"ym")&amp;"m "&amp;DATEDIF(AH53,AsOfDate,"md")&amp;"d"))</f>
        <v>1y 5m 20d</v>
      </c>
      <c r="N53" s="20" t="n">
        <f aca="false">IF(AG53=0,"",O53*HoursPerDay)</f>
        <v>0</v>
      </c>
      <c r="O53" s="20" t="n">
        <f aca="false">IF(AG53=0,"",AZ53)</f>
        <v>0</v>
      </c>
      <c r="P53" s="21"/>
      <c r="Q53" s="19"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19"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17" t="str">
        <f aca="false">IF(AG53=0,"",IF(AS53="None","",EDATE(AH53,BB53)))</f>
        <v/>
      </c>
      <c r="T53" s="20" t="n">
        <f aca="false">IF(AG53=0,"",IF(NOT(LH_Ready),"",IF(AH53&gt;PFYDate,0,IF(LH_ColPeriod=0,W53-U53+V53,SUMIFS(INDEX(LH_Data,0,LH_ColAcc),INDEX(LH_Data,0,LH_ColFirst),$A53,INDEX(LH_Data,0,LH_ColSur),$B53,INDEX(LH_Data,0,LH_ColCat),BonusCat,INDEX(LH_Data,0,LH_ColPeriod),LH_OpenLabel)*UnitFactor))))</f>
        <v>0</v>
      </c>
      <c r="U53" s="20" t="n">
        <f aca="false">IF(AG53=0,"",IF(NOT(LH_Ready),"",SUMIFS(INDEX(LH_Data,0,LH_ColAcc),INDEX(LH_Data,0,LH_ColFirst),$A53,INDEX(LH_Data,0,LH_ColSur),$B53,INDEX(LH_Data,0,LH_ColCat),BonusCat,INDEX(LH_Data,0,LH_ColStart),"&gt;="&amp;AH53)*UnitFactor))</f>
        <v>0</v>
      </c>
      <c r="V53" s="20" t="n">
        <f aca="false">IF(AG53=0,"",IF(NOT(LH_Ready),"",SUMIFS(INDEX(LH_Data,0,LH_ColTaken),INDEX(LH_Data,0,LH_ColFirst),$A53,INDEX(LH_Data,0,LH_ColSur),$B53,INDEX(LH_Data,0,LH_ColCat),BonusCat,INDEX(LH_Data,0,LH_ColStart),"&gt;="&amp;AH53)*UnitFactor))</f>
        <v>0</v>
      </c>
      <c r="W53" s="20" t="n">
        <f aca="false">IF(AG53=0,"",IF(NOT(LH_Ready),"",IF(BD53=0,0,INDEX(INDEX(LH_Data,0,LH_ColClose),BD53-1)*UnitFactor)))</f>
        <v>0</v>
      </c>
      <c r="X53" s="20" t="n">
        <f aca="false">IF(AG53=0,"",(AZ53-BA53)*HoursPerDay)</f>
        <v>0</v>
      </c>
      <c r="Y53" s="20" t="n">
        <f aca="false">IF(AG53=0,"",IF(NOT(LH_Ready),"",IF(BC53=0,N53,IF(PFYDate&lt;$F53,N53-N(T53)-N(U53),X53-N(U53)))))</f>
        <v>0</v>
      </c>
      <c r="Z53" s="19" t="str">
        <f aca="false">IF(OR(AG53=0,Y53=""),"",IF(Y53&gt;0,"Yes","No"))</f>
        <v>No</v>
      </c>
      <c r="AA53" s="19"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Not eligible - Casual</v>
      </c>
      <c r="AB53" s="20" t="n">
        <f aca="false">IF(OR(AG53=0,T53=""),"",BA53*HoursPerDay-T53)</f>
        <v>0</v>
      </c>
      <c r="AC53" s="19" t="n">
        <f aca="false">IF(AG53=0,"",BC53)</f>
        <v>0</v>
      </c>
      <c r="AD53" s="19"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20" t="n">
        <f aca="false">IF(AG53=0,"",O53-BH53)</f>
        <v>0</v>
      </c>
      <c r="AF53" s="17" t="str">
        <f aca="false">IF(OR(AG53=0,AE53="",N(AE53)=0,BI53=""),"",EDATE(AH53,BI53))</f>
        <v/>
      </c>
      <c r="AG53" s="19" t="n">
        <f aca="false">IF(OR(LEN($A53&amp;$B53)=0,$F53=""),0,1)</f>
        <v>1</v>
      </c>
      <c r="AH53" s="17" t="n">
        <f aca="false">IF(AG53=0,"",IF($J53&lt;&gt;"",$J53,IF(OR(CasualCounts="Yes",COUNT($G53:$I53)=0,COUNT($H53:$I53)=0),$F53,MIN($H53:$I53))))</f>
        <v>45763</v>
      </c>
      <c r="AI53" s="19" t="n">
        <f aca="false">IF(AG53=0,"",COUNT($G53:$I53))</f>
        <v>0</v>
      </c>
      <c r="AJ53" s="17" t="str">
        <f aca="false">IF(AG53=0,"",IFERROR(SMALL($G53:$I53,1),""))</f>
        <v/>
      </c>
      <c r="AK53" s="17" t="str">
        <f aca="false">IF(AG53=0,"",IFERROR(SMALL($G53:$I53,2),""))</f>
        <v/>
      </c>
      <c r="AL53" s="17" t="str">
        <f aca="false">IF(AG53=0,"",IFERROR(SMALL($G53:$I53,3),""))</f>
        <v/>
      </c>
      <c r="AM53" s="19" t="str">
        <f aca="false">IF(AG53=0,"",IF(AJ53="","",IF(AJ53=$H53,"Part-Time",IF(AJ53=$I53,"Full-Time","Casual"))))</f>
        <v/>
      </c>
      <c r="AN53" s="19" t="str">
        <f aca="false">IF(AG53=0,"",IF(AK53="","",IF(AK53=$H53,"Part-Time",IF(AK53=$I53,"Full-Time","Casual"))))</f>
        <v/>
      </c>
      <c r="AO53" s="19" t="str">
        <f aca="false">IF(AG53=0,"",IF(AL53="","",IF(AL53=$H53,"Part-Time",IF(AL53=$I53,"Full-Time","Casual"))))</f>
        <v/>
      </c>
      <c r="AP53" s="19"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None</v>
      </c>
      <c r="AQ53" s="19" t="str">
        <f aca="false">IF(AG53=0,"",IF(AI53&lt;2,"",IF(OR(ISNUMBER(SEARCH("full",AN53)),UPPER(TRIM(AN53))="FT",UPPER(TRIM(AN53))="FTE"),"FT",IF(AND(OR(ISNUMBER(SEARCH("part",AN53)),UPPER(TRIM(AN53))="PT",UPPER(TRIM(AN53))="PTE"),OR($P53="",N($P53)&gt;=PT_MinHours)),"PT","None"))))</f>
        <v/>
      </c>
      <c r="AR53" s="19" t="str">
        <f aca="false">IF(AG53=0,"",IF(AI53&lt;3,"",IF(OR(ISNUMBER(SEARCH("full",AO53)),UPPER(TRIM(AO53))="FT",UPPER(TRIM(AO53))="FTE"),"FT",IF(AND(OR(ISNUMBER(SEARCH("part",AO53)),UPPER(TRIM(AO53))="PT",UPPER(TRIM(AO53))="PTE"),OR($P53="",N($P53)&gt;=PT_MinHours)),"PT","None"))))</f>
        <v/>
      </c>
      <c r="AS53" s="19" t="str">
        <f aca="false">IF(AG53=0,"",IF(AND(AI53&gt;=3,AL53&lt;=AsOfDate),AR53,IF(AND(AI53&gt;=2,AK53&lt;=AsOfDate),AQ53,AP53)))</f>
        <v>None</v>
      </c>
      <c r="AT53" s="19" t="n">
        <f aca="false">IF(AG53=0,"",IF(AsOfDate&lt;AH53,-1,12*(YEAR(AsOfDate)-YEAR(AH53))+MONTH(AsOfDate)-MONTH(AH53)-IF(DAY(AsOfDate)&lt;MIN(DAY(AH53),DAY(EOMONTH(AsOfDate,0))),1,0)))</f>
        <v>17</v>
      </c>
      <c r="AU53" s="19" t="n">
        <f aca="false">IF(AG53=0,"",IF(OR(AI53&lt;2,AK53&gt;AsOfDate),AT53,IF((AK53-1)&lt;AH53,-1,12*(YEAR((AK53-1))-YEAR(AH53))+MONTH((AK53-1))-MONTH(AH53)-IF(DAY((AK53-1))&lt;MIN(DAY(AH53),DAY(EOMONTH((AK53-1),0))),1,0))))</f>
        <v>17</v>
      </c>
      <c r="AV53" s="19" t="n">
        <f aca="false">IF(AG53=0,"",IF(OR(AI53&lt;3,AL53&gt;AsOfDate),AT53,IF((AL53-1)&lt;AH53,-1,12*(YEAR((AL53-1))-YEAR(AH53))+MONTH((AL53-1))-MONTH(AH53)-IF(DAY((AL53-1))&lt;MIN(DAY(AH53),DAY(EOMONTH((AL53-1),0))),1,0))))</f>
        <v>17</v>
      </c>
      <c r="AW53" s="19" t="n">
        <f aca="false">IF(AG53=0,"",IF(PFYDate&lt;AH53,-1,12*(YEAR(PFYDate)-YEAR(AH53))+MONTH(PFYDate)-MONTH(AH53)-IF(DAY(PFYDate)&lt;MIN(DAY(AH53),DAY(EOMONTH(PFYDate,0))),1,0)))</f>
        <v>-1</v>
      </c>
      <c r="AX53" s="19" t="n">
        <f aca="false">IF(AG53=0,"",IF(OR(AI53&lt;2,AK53&gt;PFYDate),AW53,IF((AK53-1)&lt;AH53,-1,12*(YEAR((AK53-1))-YEAR(AH53))+MONTH((AK53-1))-MONTH(AH53)-IF(DAY((AK53-1))&lt;MIN(DAY(AH53),DAY(EOMONTH((AK53-1),0))),1,0))))</f>
        <v>-1</v>
      </c>
      <c r="AY53" s="19" t="n">
        <f aca="false">IF(AG53=0,"",IF(OR(AI53&lt;3,AL53&gt;PFYDate),AW53,IF((AL53-1)&lt;AH53,-1,12*(YEAR((AL53-1))-YEAR(AH53))+MONTH((AL53-1))-MONTH(AH53)-IF(DAY((AL53-1))&lt;MIN(DAY(AH53),DAY(EOMONTH((AL53-1),0))),1,0))))</f>
        <v>-1</v>
      </c>
      <c r="AZ53" s="19" t="n">
        <f aca="false">IF(AG53=0,"",IF(AP53="FT",IF(AU53&lt;FT_First,0,IF(AU53&lt;FT_Y5,1+INT((AU53-FT_First)/FT_Int1),FT_PreY5+FT_PerYear*INT((AU53-FT_Y5)/12)+FT_AnnivDays+INT(MOD(AU53-FT_Y5,12)/FT_Int2))),IF(AP53="PT",IF(AU53&lt;PT_First,0,1+INT((AU53-PT_First)/PT_Int)),0))+IF(AND(AI53&gt;=2,AK53&lt;=AsOfDate),IF(AQ53="FT",IF(AV53&lt;FT_First,0,IF(AV53&lt;FT_Y5,1+INT((AV53-FT_First)/FT_Int1),FT_PreY5+FT_PerYear*INT((AV53-FT_Y5)/12)+FT_AnnivDays+INT(MOD(AV53-FT_Y5,12)/FT_Int2))),IF(AQ53="PT",IF(AV53&lt;PT_First,0,1+INT((AV53-PT_First)/PT_Int)),0))-IF(AQ53="FT",IF(AU53&lt;FT_First,0,IF(AU53&lt;FT_Y5,1+INT((AU53-FT_First)/FT_Int1),FT_PreY5+FT_PerYear*INT((AU53-FT_Y5)/12)+FT_AnnivDays+INT(MOD(AU53-FT_Y5,12)/FT_Int2))),IF(AQ53="PT",IF(AU53&lt;PT_First,0,1+INT((AU53-PT_First)/PT_Int)),0)),0)+IF(AND(AI53&gt;=3,AL53&lt;=AsOfDate),IF(AR53="FT",IF(AT53&lt;FT_First,0,IF(AT53&lt;FT_Y5,1+INT((AT53-FT_First)/FT_Int1),FT_PreY5+FT_PerYear*INT((AT53-FT_Y5)/12)+FT_AnnivDays+INT(MOD(AT53-FT_Y5,12)/FT_Int2))),IF(AR53="PT",IF(AT53&lt;PT_First,0,1+INT((AT53-PT_First)/PT_Int)),0))-IF(AR53="FT",IF(AV53&lt;FT_First,0,IF(AV53&lt;FT_Y5,1+INT((AV53-FT_First)/FT_Int1),FT_PreY5+FT_PerYear*INT((AV53-FT_Y5)/12)+FT_AnnivDays+INT(MOD(AV53-FT_Y5,12)/FT_Int2))),IF(AR53="PT",IF(AV53&lt;PT_First,0,1+INT((AV53-PT_First)/PT_Int)),0)),0))</f>
        <v>0</v>
      </c>
      <c r="BA53" s="19" t="n">
        <f aca="false">IF(AG53=0,"",IF(AP53="FT",IF(AX53&lt;FT_First,0,IF(AX53&lt;FT_Y5,1+INT((AX53-FT_First)/FT_Int1),FT_PreY5+FT_PerYear*INT((AX53-FT_Y5)/12)+FT_AnnivDays+INT(MOD(AX53-FT_Y5,12)/FT_Int2))),IF(AP53="PT",IF(AX53&lt;PT_First,0,1+INT((AX53-PT_First)/PT_Int)),0))+IF(AND(AI53&gt;=2,AK53&lt;=PFYDate),IF(AQ53="FT",IF(AY53&lt;FT_First,0,IF(AY53&lt;FT_Y5,1+INT((AY53-FT_First)/FT_Int1),FT_PreY5+FT_PerYear*INT((AY53-FT_Y5)/12)+FT_AnnivDays+INT(MOD(AY53-FT_Y5,12)/FT_Int2))),IF(AQ53="PT",IF(AY53&lt;PT_First,0,1+INT((AY53-PT_First)/PT_Int)),0))-IF(AQ53="FT",IF(AX53&lt;FT_First,0,IF(AX53&lt;FT_Y5,1+INT((AX53-FT_First)/FT_Int1),FT_PreY5+FT_PerYear*INT((AX53-FT_Y5)/12)+FT_AnnivDays+INT(MOD(AX53-FT_Y5,12)/FT_Int2))),IF(AQ53="PT",IF(AX53&lt;PT_First,0,1+INT((AX53-PT_First)/PT_Int)),0)),0)+IF(AND(AI53&gt;=3,AL53&lt;=PFYDate),IF(AR53="FT",IF(AW53&lt;FT_First,0,IF(AW53&lt;FT_Y5,1+INT((AW53-FT_First)/FT_Int1),FT_PreY5+FT_PerYear*INT((AW53-FT_Y5)/12)+FT_AnnivDays+INT(MOD(AW53-FT_Y5,12)/FT_Int2))),IF(AR53="PT",IF(AW53&lt;PT_First,0,1+INT((AW53-PT_First)/PT_Int)),0))-IF(AR53="FT",IF(AY53&lt;FT_First,0,IF(AY53&lt;FT_Y5,1+INT((AY53-FT_First)/FT_Int1),FT_PreY5+FT_PerYear*INT((AY53-FT_Y5)/12)+FT_AnnivDays+INT(MOD(AY53-FT_Y5,12)/FT_Int2))),IF(AR53="PT",IF(AY53&lt;PT_First,0,1+INT((AY53-PT_First)/PT_Int)),0)),0))</f>
        <v>0</v>
      </c>
      <c r="BB53" s="19" t="str">
        <f aca="false">IF(AG53=0,"",IF(AS53="FT",IF(AT53&lt;FT_First,FT_First,IF(AT53&lt;FT_Y5,MIN(FT_Y5,FT_First+FT_Int1*(INT((AT53-FT_First)/FT_Int1)+1)),FT_Y5+12*INT((AT53-FT_Y5)/12)+FT_Int2*(INT(MOD(AT53-FT_Y5,12)/FT_Int2)+1))),IF(AS53="PT",IF(AT53&lt;PT_First,PT_First,PT_First+PT_Int*(INT((AT53-PT_First)/PT_Int)+1)),"")))</f>
        <v/>
      </c>
      <c r="BC53" s="19" t="n">
        <f aca="false">IF(AG53=0,"",IF(NOT(LH_Ready),0,COUNTIFS(INDEX(LH_Data,0,LH_ColFirst),$A53,INDEX(LH_Data,0,LH_ColSur),$B53,INDEX(LH_Data,0,LH_ColCat),BonusCat)))</f>
        <v>0</v>
      </c>
      <c r="BD53" s="19" t="n">
        <f aca="false">IF(AG53=0,"",IF(OR(NOT(LH_Ready),BC53=0),0,SUMPRODUCT(MAX((INDEX(LH_Data,0,LH_ColFirst)=$A53)*(INDEX(LH_Data,0,LH_ColSur)=$B53)*(INDEX(LH_Data,0,LH_ColCat)=BonusCat)*ROW(LH_Data)))))</f>
        <v>0</v>
      </c>
      <c r="BE53" s="19" t="n">
        <f aca="false">IF(AG53=0,"",IF(EOMONTH(AsOfDate,-1)&lt;AH53,-1,12*(YEAR(EOMONTH(AsOfDate,-1))-YEAR(AH53))+MONTH(EOMONTH(AsOfDate,-1))-MONTH(AH53)-IF(DAY(EOMONTH(AsOfDate,-1))&lt;MIN(DAY(AH53),DAY(EOMONTH(EOMONTH(AsOfDate,-1),0))),1,0)))</f>
        <v>17</v>
      </c>
      <c r="BF53" s="19" t="n">
        <f aca="false">IF(AG53=0,"",IF(OR(AI53&lt;2,AK53&gt;EOMONTH(AsOfDate,-1)),BE53,IF((AK53-1)&lt;AH53,-1,12*(YEAR((AK53-1))-YEAR(AH53))+MONTH((AK53-1))-MONTH(AH53)-IF(DAY((AK53-1))&lt;MIN(DAY(AH53),DAY(EOMONTH((AK53-1),0))),1,0))))</f>
        <v>17</v>
      </c>
      <c r="BG53" s="19" t="n">
        <f aca="false">IF(AG53=0,"",IF(OR(AI53&lt;3,AL53&gt;EOMONTH(AsOfDate,-1)),BE53,IF((AL53-1)&lt;AH53,-1,12*(YEAR((AL53-1))-YEAR(AH53))+MONTH((AL53-1))-MONTH(AH53)-IF(DAY((AL53-1))&lt;MIN(DAY(AH53),DAY(EOMONTH((AL53-1),0))),1,0))))</f>
        <v>17</v>
      </c>
      <c r="BH53" s="19" t="n">
        <f aca="false">IF(AG53=0,"",IF(AP53="FT",IF(BF53&lt;FT_First,0,IF(BF53&lt;FT_Y5,1+INT((BF53-FT_First)/FT_Int1),FT_PreY5+FT_PerYear*INT((BF53-FT_Y5)/12)+FT_AnnivDays+INT(MOD(BF53-FT_Y5,12)/FT_Int2))),IF(AP53="PT",IF(BF53&lt;PT_First,0,1+INT((BF53-PT_First)/PT_Int)),0))+IF(AND(AI53&gt;=2,AK53&lt;=EOMONTH(AsOfDate,-1)),IF(AQ53="FT",IF(BG53&lt;FT_First,0,IF(BG53&lt;FT_Y5,1+INT((BG53-FT_First)/FT_Int1),FT_PreY5+FT_PerYear*INT((BG53-FT_Y5)/12)+FT_AnnivDays+INT(MOD(BG53-FT_Y5,12)/FT_Int2))),IF(AQ53="PT",IF(BG53&lt;PT_First,0,1+INT((BG53-PT_First)/PT_Int)),0))-IF(AQ53="FT",IF(BF53&lt;FT_First,0,IF(BF53&lt;FT_Y5,1+INT((BF53-FT_First)/FT_Int1),FT_PreY5+FT_PerYear*INT((BF53-FT_Y5)/12)+FT_AnnivDays+INT(MOD(BF53-FT_Y5,12)/FT_Int2))),IF(AQ53="PT",IF(BF53&lt;PT_First,0,1+INT((BF53-PT_First)/PT_Int)),0)),0)+IF(AND(AI53&gt;=3,AL53&lt;=EOMONTH(AsOfDate,-1)),IF(AR53="FT",IF(BE53&lt;FT_First,0,IF(BE53&lt;FT_Y5,1+INT((BE53-FT_First)/FT_Int1),FT_PreY5+FT_PerYear*INT((BE53-FT_Y5)/12)+FT_AnnivDays+INT(MOD(BE53-FT_Y5,12)/FT_Int2))),IF(AR53="PT",IF(BE53&lt;PT_First,0,1+INT((BE53-PT_First)/PT_Int)),0))-IF(AR53="FT",IF(BG53&lt;FT_First,0,IF(BG53&lt;FT_Y5,1+INT((BG53-FT_First)/FT_Int1),FT_PreY5+FT_PerYear*INT((BG53-FT_Y5)/12)+FT_AnnivDays+INT(MOD(BG53-FT_Y5,12)/FT_Int2))),IF(AR53="PT",IF(BG53&lt;PT_First,0,1+INT((BG53-PT_First)/PT_Int)),0)),0))</f>
        <v>0</v>
      </c>
      <c r="BI53" s="19" t="str">
        <f aca="false">IF(AG53=0,"",IF(AS53="FT",IF(AT53&lt;FT_First,"",IF(AT53&lt;FT_Y5,FT_First+FT_Int1*INT((AT53-FT_First)/FT_Int1),FT_Y5+FT_Int2*INT((AT53-FT_Y5)/FT_Int2))),IF(AS53="PT",IF(AT53&lt;PT_First,"",PT_First+PT_Int*INT((AT53-PT_First)/PT_Int)),"")))</f>
        <v/>
      </c>
      <c r="BJ53" s="0" t="str">
        <f aca="false">IF(LEN($A53&amp;$B53)=0,"",$A53&amp;" "&amp;$B53)</f>
        <v>Maximus Juckes</v>
      </c>
    </row>
    <row r="54" customFormat="false" ht="15" hidden="false" customHeight="false" outlineLevel="0" collapsed="false">
      <c r="A54" s="15" t="s">
        <v>237</v>
      </c>
      <c r="B54" s="15" t="s">
        <v>238</v>
      </c>
      <c r="C54" s="15" t="s">
        <v>153</v>
      </c>
      <c r="D54" s="16" t="n">
        <v>35273</v>
      </c>
      <c r="E54" s="17" t="n">
        <f aca="false">IF(OR(AG54=0,$D54=""),"",DATE(YEAR(AsOfDate)+IF(DATE(YEAR(AsOfDate),MONTH($D54),DAY($D54))&lt;=AsOfDate,1,0),MONTH($D54),DAY($D54)))</f>
        <v>46595</v>
      </c>
      <c r="F54" s="16" t="n">
        <v>43682</v>
      </c>
      <c r="G54" s="16"/>
      <c r="H54" s="16"/>
      <c r="I54" s="16" t="n">
        <v>43682</v>
      </c>
      <c r="J54" s="16"/>
      <c r="K54" s="17" t="n">
        <f aca="false">IF(AG54=0,"",DATE(YEAR(AsOfDate)+IF(DATE(YEAR(AsOfDate),MONTH(AH54),DAY(AH54))&lt;=AsOfDate,1,0),MONTH(AH54),DAY(AH54)))</f>
        <v>46604</v>
      </c>
      <c r="L54" s="18" t="n">
        <f aca="false">IF(AG54=0,"",ROUND((AsOfDate-AH54)/365.25,1))</f>
        <v>7.2</v>
      </c>
      <c r="M54" s="19" t="str">
        <f aca="false">IF(AG54=0,"",IF(AsOfDate&lt;AH54,"-",DATEDIF(AH54,AsOfDate,"y")&amp;"y "&amp;DATEDIF(AH54,AsOfDate,"ym")&amp;"m "&amp;DATEDIF(AH54,AsOfDate,"md")&amp;"d"))</f>
        <v>7y 2m 1d</v>
      </c>
      <c r="N54" s="20" t="n">
        <f aca="false">IF(AG54=0,"",O54*HoursPerDay)</f>
        <v>144</v>
      </c>
      <c r="O54" s="20" t="n">
        <f aca="false">IF(AG54=0,"",AZ54)</f>
        <v>18</v>
      </c>
      <c r="P54" s="21"/>
      <c r="Q54" s="19"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19"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17" t="n">
        <f aca="false">IF(AG54=0,"",IF(AS54="None","",EDATE(AH54,BB54)))</f>
        <v>46331</v>
      </c>
      <c r="T54" s="20" t="n">
        <f aca="false">IF(AG54=0,"",IF(NOT(LH_Ready),"",IF(AH54&gt;PFYDate,0,IF(LH_ColPeriod=0,W54-U54+V54,SUMIFS(INDEX(LH_Data,0,LH_ColAcc),INDEX(LH_Data,0,LH_ColFirst),$A54,INDEX(LH_Data,0,LH_ColSur),$B54,INDEX(LH_Data,0,LH_ColCat),BonusCat,INDEX(LH_Data,0,LH_ColPeriod),LH_OpenLabel)*UnitFactor))))</f>
        <v>0</v>
      </c>
      <c r="U54" s="20" t="n">
        <f aca="false">IF(AG54=0,"",IF(NOT(LH_Ready),"",SUMIFS(INDEX(LH_Data,0,LH_ColAcc),INDEX(LH_Data,0,LH_ColFirst),$A54,INDEX(LH_Data,0,LH_ColSur),$B54,INDEX(LH_Data,0,LH_ColCat),BonusCat,INDEX(LH_Data,0,LH_ColStart),"&gt;="&amp;AH54)*UnitFactor))</f>
        <v>112</v>
      </c>
      <c r="V54" s="20" t="n">
        <f aca="false">IF(AG54=0,"",IF(NOT(LH_Ready),"",SUMIFS(INDEX(LH_Data,0,LH_ColTaken),INDEX(LH_Data,0,LH_ColFirst),$A54,INDEX(LH_Data,0,LH_ColSur),$B54,INDEX(LH_Data,0,LH_ColCat),BonusCat,INDEX(LH_Data,0,LH_ColStart),"&gt;="&amp;AH54)*UnitFactor))</f>
        <v>0</v>
      </c>
      <c r="W54" s="20" t="n">
        <f aca="false">IF(AG54=0,"",IF(NOT(LH_Ready),"",IF(BD54=0,0,INDEX(INDEX(LH_Data,0,LH_ColClose),BD54-1)*UnitFactor)))</f>
        <v>112</v>
      </c>
      <c r="X54" s="20" t="n">
        <f aca="false">IF(AG54=0,"",(AZ54-BA54)*HoursPerDay)</f>
        <v>144</v>
      </c>
      <c r="Y54" s="20" t="n">
        <f aca="false">IF(AG54=0,"",IF(NOT(LH_Ready),"",IF(BC54=0,N54,IF(PFYDate&lt;$F54,N54-N(T54)-N(U54),X54-N(U54)))))</f>
        <v>32</v>
      </c>
      <c r="Z54" s="19" t="str">
        <f aca="false">IF(OR(AG54=0,Y54=""),"",IF(Y54&gt;0,"Yes","No"))</f>
        <v>Yes</v>
      </c>
      <c r="AA54" s="19"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ACCRUE 32 hrs (4 days): all catch-up from earlier months, nothing new this month</v>
      </c>
      <c r="AB54" s="20" t="n">
        <f aca="false">IF(OR(AG54=0,T54=""),"",BA54*HoursPerDay-T54)</f>
        <v>0</v>
      </c>
      <c r="AC54" s="19" t="n">
        <f aca="false">IF(AG54=0,"",BC54)</f>
        <v>11</v>
      </c>
      <c r="AD54" s="19"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20" t="n">
        <f aca="false">IF(AG54=0,"",O54-BH54)</f>
        <v>0</v>
      </c>
      <c r="AF54" s="17" t="str">
        <f aca="false">IF(OR(AG54=0,AE54="",N(AE54)=0,BI54=""),"",EDATE(AH54,BI54))</f>
        <v/>
      </c>
      <c r="AG54" s="19" t="n">
        <f aca="false">IF(OR(LEN($A54&amp;$B54)=0,$F54=""),0,1)</f>
        <v>1</v>
      </c>
      <c r="AH54" s="17" t="n">
        <f aca="false">IF(AG54=0,"",IF($J54&lt;&gt;"",$J54,IF(OR(CasualCounts="Yes",COUNT($G54:$I54)=0,COUNT($H54:$I54)=0),$F54,MIN($H54:$I54))))</f>
        <v>43682</v>
      </c>
      <c r="AI54" s="19" t="n">
        <f aca="false">IF(AG54=0,"",COUNT($G54:$I54))</f>
        <v>1</v>
      </c>
      <c r="AJ54" s="17" t="n">
        <f aca="false">IF(AG54=0,"",IFERROR(SMALL($G54:$I54,1),""))</f>
        <v>43682</v>
      </c>
      <c r="AK54" s="17" t="str">
        <f aca="false">IF(AG54=0,"",IFERROR(SMALL($G54:$I54,2),""))</f>
        <v/>
      </c>
      <c r="AL54" s="17" t="str">
        <f aca="false">IF(AG54=0,"",IFERROR(SMALL($G54:$I54,3),""))</f>
        <v/>
      </c>
      <c r="AM54" s="19" t="str">
        <f aca="false">IF(AG54=0,"",IF(AJ54="","",IF(AJ54=$H54,"Part-Time",IF(AJ54=$I54,"Full-Time","Casual"))))</f>
        <v>Full-Time</v>
      </c>
      <c r="AN54" s="19" t="str">
        <f aca="false">IF(AG54=0,"",IF(AK54="","",IF(AK54=$H54,"Part-Time",IF(AK54=$I54,"Full-Time","Casual"))))</f>
        <v/>
      </c>
      <c r="AO54" s="19" t="str">
        <f aca="false">IF(AG54=0,"",IF(AL54="","",IF(AL54=$H54,"Part-Time",IF(AL54=$I54,"Full-Time","Casual"))))</f>
        <v/>
      </c>
      <c r="AP54" s="19"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FT</v>
      </c>
      <c r="AQ54" s="19" t="str">
        <f aca="false">IF(AG54=0,"",IF(AI54&lt;2,"",IF(OR(ISNUMBER(SEARCH("full",AN54)),UPPER(TRIM(AN54))="FT",UPPER(TRIM(AN54))="FTE"),"FT",IF(AND(OR(ISNUMBER(SEARCH("part",AN54)),UPPER(TRIM(AN54))="PT",UPPER(TRIM(AN54))="PTE"),OR($P54="",N($P54)&gt;=PT_MinHours)),"PT","None"))))</f>
        <v/>
      </c>
      <c r="AR54" s="19" t="str">
        <f aca="false">IF(AG54=0,"",IF(AI54&lt;3,"",IF(OR(ISNUMBER(SEARCH("full",AO54)),UPPER(TRIM(AO54))="FT",UPPER(TRIM(AO54))="FTE"),"FT",IF(AND(OR(ISNUMBER(SEARCH("part",AO54)),UPPER(TRIM(AO54))="PT",UPPER(TRIM(AO54))="PTE"),OR($P54="",N($P54)&gt;=PT_MinHours)),"PT","None"))))</f>
        <v/>
      </c>
      <c r="AS54" s="19" t="str">
        <f aca="false">IF(AG54=0,"",IF(AND(AI54&gt;=3,AL54&lt;=AsOfDate),AR54,IF(AND(AI54&gt;=2,AK54&lt;=AsOfDate),AQ54,AP54)))</f>
        <v>FT</v>
      </c>
      <c r="AT54" s="19" t="n">
        <f aca="false">IF(AG54=0,"",IF(AsOfDate&lt;AH54,-1,12*(YEAR(AsOfDate)-YEAR(AH54))+MONTH(AsOfDate)-MONTH(AH54)-IF(DAY(AsOfDate)&lt;MIN(DAY(AH54),DAY(EOMONTH(AsOfDate,0))),1,0)))</f>
        <v>86</v>
      </c>
      <c r="AU54" s="19" t="n">
        <f aca="false">IF(AG54=0,"",IF(OR(AI54&lt;2,AK54&gt;AsOfDate),AT54,IF((AK54-1)&lt;AH54,-1,12*(YEAR((AK54-1))-YEAR(AH54))+MONTH((AK54-1))-MONTH(AH54)-IF(DAY((AK54-1))&lt;MIN(DAY(AH54),DAY(EOMONTH((AK54-1),0))),1,0))))</f>
        <v>86</v>
      </c>
      <c r="AV54" s="19" t="n">
        <f aca="false">IF(AG54=0,"",IF(OR(AI54&lt;3,AL54&gt;AsOfDate),AT54,IF((AL54-1)&lt;AH54,-1,12*(YEAR((AL54-1))-YEAR(AH54))+MONTH((AL54-1))-MONTH(AH54)-IF(DAY((AL54-1))&lt;MIN(DAY(AH54),DAY(EOMONTH((AL54-1),0))),1,0))))</f>
        <v>86</v>
      </c>
      <c r="AW54" s="19" t="n">
        <f aca="false">IF(AG54=0,"",IF(PFYDate&lt;AH54,-1,12*(YEAR(PFYDate)-YEAR(AH54))+MONTH(PFYDate)-MONTH(AH54)-IF(DAY(PFYDate)&lt;MIN(DAY(AH54),DAY(EOMONTH(PFYDate,0))),1,0)))</f>
        <v>-1</v>
      </c>
      <c r="AX54" s="19" t="n">
        <f aca="false">IF(AG54=0,"",IF(OR(AI54&lt;2,AK54&gt;PFYDate),AW54,IF((AK54-1)&lt;AH54,-1,12*(YEAR((AK54-1))-YEAR(AH54))+MONTH((AK54-1))-MONTH(AH54)-IF(DAY((AK54-1))&lt;MIN(DAY(AH54),DAY(EOMONTH((AK54-1),0))),1,0))))</f>
        <v>-1</v>
      </c>
      <c r="AY54" s="19" t="n">
        <f aca="false">IF(AG54=0,"",IF(OR(AI54&lt;3,AL54&gt;PFYDate),AW54,IF((AL54-1)&lt;AH54,-1,12*(YEAR((AL54-1))-YEAR(AH54))+MONTH((AL54-1))-MONTH(AH54)-IF(DAY((AL54-1))&lt;MIN(DAY(AH54),DAY(EOMONTH((AL54-1),0))),1,0))))</f>
        <v>-1</v>
      </c>
      <c r="AZ54" s="19" t="n">
        <f aca="false">IF(AG54=0,"",IF(AP54="FT",IF(AU54&lt;FT_First,0,IF(AU54&lt;FT_Y5,1+INT((AU54-FT_First)/FT_Int1),FT_PreY5+FT_PerYear*INT((AU54-FT_Y5)/12)+FT_AnnivDays+INT(MOD(AU54-FT_Y5,12)/FT_Int2))),IF(AP54="PT",IF(AU54&lt;PT_First,0,1+INT((AU54-PT_First)/PT_Int)),0))+IF(AND(AI54&gt;=2,AK54&lt;=AsOfDate),IF(AQ54="FT",IF(AV54&lt;FT_First,0,IF(AV54&lt;FT_Y5,1+INT((AV54-FT_First)/FT_Int1),FT_PreY5+FT_PerYear*INT((AV54-FT_Y5)/12)+FT_AnnivDays+INT(MOD(AV54-FT_Y5,12)/FT_Int2))),IF(AQ54="PT",IF(AV54&lt;PT_First,0,1+INT((AV54-PT_First)/PT_Int)),0))-IF(AQ54="FT",IF(AU54&lt;FT_First,0,IF(AU54&lt;FT_Y5,1+INT((AU54-FT_First)/FT_Int1),FT_PreY5+FT_PerYear*INT((AU54-FT_Y5)/12)+FT_AnnivDays+INT(MOD(AU54-FT_Y5,12)/FT_Int2))),IF(AQ54="PT",IF(AU54&lt;PT_First,0,1+INT((AU54-PT_First)/PT_Int)),0)),0)+IF(AND(AI54&gt;=3,AL54&lt;=AsOfDate),IF(AR54="FT",IF(AT54&lt;FT_First,0,IF(AT54&lt;FT_Y5,1+INT((AT54-FT_First)/FT_Int1),FT_PreY5+FT_PerYear*INT((AT54-FT_Y5)/12)+FT_AnnivDays+INT(MOD(AT54-FT_Y5,12)/FT_Int2))),IF(AR54="PT",IF(AT54&lt;PT_First,0,1+INT((AT54-PT_First)/PT_Int)),0))-IF(AR54="FT",IF(AV54&lt;FT_First,0,IF(AV54&lt;FT_Y5,1+INT((AV54-FT_First)/FT_Int1),FT_PreY5+FT_PerYear*INT((AV54-FT_Y5)/12)+FT_AnnivDays+INT(MOD(AV54-FT_Y5,12)/FT_Int2))),IF(AR54="PT",IF(AV54&lt;PT_First,0,1+INT((AV54-PT_First)/PT_Int)),0)),0))</f>
        <v>18</v>
      </c>
      <c r="BA54" s="19" t="n">
        <f aca="false">IF(AG54=0,"",IF(AP54="FT",IF(AX54&lt;FT_First,0,IF(AX54&lt;FT_Y5,1+INT((AX54-FT_First)/FT_Int1),FT_PreY5+FT_PerYear*INT((AX54-FT_Y5)/12)+FT_AnnivDays+INT(MOD(AX54-FT_Y5,12)/FT_Int2))),IF(AP54="PT",IF(AX54&lt;PT_First,0,1+INT((AX54-PT_First)/PT_Int)),0))+IF(AND(AI54&gt;=2,AK54&lt;=PFYDate),IF(AQ54="FT",IF(AY54&lt;FT_First,0,IF(AY54&lt;FT_Y5,1+INT((AY54-FT_First)/FT_Int1),FT_PreY5+FT_PerYear*INT((AY54-FT_Y5)/12)+FT_AnnivDays+INT(MOD(AY54-FT_Y5,12)/FT_Int2))),IF(AQ54="PT",IF(AY54&lt;PT_First,0,1+INT((AY54-PT_First)/PT_Int)),0))-IF(AQ54="FT",IF(AX54&lt;FT_First,0,IF(AX54&lt;FT_Y5,1+INT((AX54-FT_First)/FT_Int1),FT_PreY5+FT_PerYear*INT((AX54-FT_Y5)/12)+FT_AnnivDays+INT(MOD(AX54-FT_Y5,12)/FT_Int2))),IF(AQ54="PT",IF(AX54&lt;PT_First,0,1+INT((AX54-PT_First)/PT_Int)),0)),0)+IF(AND(AI54&gt;=3,AL54&lt;=PFYDate),IF(AR54="FT",IF(AW54&lt;FT_First,0,IF(AW54&lt;FT_Y5,1+INT((AW54-FT_First)/FT_Int1),FT_PreY5+FT_PerYear*INT((AW54-FT_Y5)/12)+FT_AnnivDays+INT(MOD(AW54-FT_Y5,12)/FT_Int2))),IF(AR54="PT",IF(AW54&lt;PT_First,0,1+INT((AW54-PT_First)/PT_Int)),0))-IF(AR54="FT",IF(AY54&lt;FT_First,0,IF(AY54&lt;FT_Y5,1+INT((AY54-FT_First)/FT_Int1),FT_PreY5+FT_PerYear*INT((AY54-FT_Y5)/12)+FT_AnnivDays+INT(MOD(AY54-FT_Y5,12)/FT_Int2))),IF(AR54="PT",IF(AY54&lt;PT_First,0,1+INT((AY54-PT_First)/PT_Int)),0)),0))</f>
        <v>0</v>
      </c>
      <c r="BB54" s="19" t="n">
        <f aca="false">IF(AG54=0,"",IF(AS54="FT",IF(AT54&lt;FT_First,FT_First,IF(AT54&lt;FT_Y5,MIN(FT_Y5,FT_First+FT_Int1*(INT((AT54-FT_First)/FT_Int1)+1)),FT_Y5+12*INT((AT54-FT_Y5)/12)+FT_Int2*(INT(MOD(AT54-FT_Y5,12)/FT_Int2)+1))),IF(AS54="PT",IF(AT54&lt;PT_First,PT_First,PT_First+PT_Int*(INT((AT54-PT_First)/PT_Int)+1)),"")))</f>
        <v>87</v>
      </c>
      <c r="BC54" s="19" t="n">
        <f aca="false">IF(AG54=0,"",IF(NOT(LH_Ready),0,COUNTIFS(INDEX(LH_Data,0,LH_ColFirst),$A54,INDEX(LH_Data,0,LH_ColSur),$B54,INDEX(LH_Data,0,LH_ColCat),BonusCat)))</f>
        <v>11</v>
      </c>
      <c r="BD54" s="19" t="n">
        <f aca="false">IF(AG54=0,"",IF(OR(NOT(LH_Ready),BC54=0),0,SUMPRODUCT(MAX((INDEX(LH_Data,0,LH_ColFirst)=$A54)*(INDEX(LH_Data,0,LH_ColSur)=$B54)*(INDEX(LH_Data,0,LH_ColCat)=BonusCat)*ROW(LH_Data)))))</f>
        <v>211</v>
      </c>
      <c r="BE54" s="19" t="n">
        <f aca="false">IF(AG54=0,"",IF(EOMONTH(AsOfDate,-1)&lt;AH54,-1,12*(YEAR(EOMONTH(AsOfDate,-1))-YEAR(AH54))+MONTH(EOMONTH(AsOfDate,-1))-MONTH(AH54)-IF(DAY(EOMONTH(AsOfDate,-1))&lt;MIN(DAY(AH54),DAY(EOMONTH(EOMONTH(AsOfDate,-1),0))),1,0)))</f>
        <v>85</v>
      </c>
      <c r="BF54" s="19" t="n">
        <f aca="false">IF(AG54=0,"",IF(OR(AI54&lt;2,AK54&gt;EOMONTH(AsOfDate,-1)),BE54,IF((AK54-1)&lt;AH54,-1,12*(YEAR((AK54-1))-YEAR(AH54))+MONTH((AK54-1))-MONTH(AH54)-IF(DAY((AK54-1))&lt;MIN(DAY(AH54),DAY(EOMONTH((AK54-1),0))),1,0))))</f>
        <v>85</v>
      </c>
      <c r="BG54" s="19" t="n">
        <f aca="false">IF(AG54=0,"",IF(OR(AI54&lt;3,AL54&gt;EOMONTH(AsOfDate,-1)),BE54,IF((AL54-1)&lt;AH54,-1,12*(YEAR((AL54-1))-YEAR(AH54))+MONTH((AL54-1))-MONTH(AH54)-IF(DAY((AL54-1))&lt;MIN(DAY(AH54),DAY(EOMONTH((AL54-1),0))),1,0))))</f>
        <v>85</v>
      </c>
      <c r="BH54" s="19" t="n">
        <f aca="false">IF(AG54=0,"",IF(AP54="FT",IF(BF54&lt;FT_First,0,IF(BF54&lt;FT_Y5,1+INT((BF54-FT_First)/FT_Int1),FT_PreY5+FT_PerYear*INT((BF54-FT_Y5)/12)+FT_AnnivDays+INT(MOD(BF54-FT_Y5,12)/FT_Int2))),IF(AP54="PT",IF(BF54&lt;PT_First,0,1+INT((BF54-PT_First)/PT_Int)),0))+IF(AND(AI54&gt;=2,AK54&lt;=EOMONTH(AsOfDate,-1)),IF(AQ54="FT",IF(BG54&lt;FT_First,0,IF(BG54&lt;FT_Y5,1+INT((BG54-FT_First)/FT_Int1),FT_PreY5+FT_PerYear*INT((BG54-FT_Y5)/12)+FT_AnnivDays+INT(MOD(BG54-FT_Y5,12)/FT_Int2))),IF(AQ54="PT",IF(BG54&lt;PT_First,0,1+INT((BG54-PT_First)/PT_Int)),0))-IF(AQ54="FT",IF(BF54&lt;FT_First,0,IF(BF54&lt;FT_Y5,1+INT((BF54-FT_First)/FT_Int1),FT_PreY5+FT_PerYear*INT((BF54-FT_Y5)/12)+FT_AnnivDays+INT(MOD(BF54-FT_Y5,12)/FT_Int2))),IF(AQ54="PT",IF(BF54&lt;PT_First,0,1+INT((BF54-PT_First)/PT_Int)),0)),0)+IF(AND(AI54&gt;=3,AL54&lt;=EOMONTH(AsOfDate,-1)),IF(AR54="FT",IF(BE54&lt;FT_First,0,IF(BE54&lt;FT_Y5,1+INT((BE54-FT_First)/FT_Int1),FT_PreY5+FT_PerYear*INT((BE54-FT_Y5)/12)+FT_AnnivDays+INT(MOD(BE54-FT_Y5,12)/FT_Int2))),IF(AR54="PT",IF(BE54&lt;PT_First,0,1+INT((BE54-PT_First)/PT_Int)),0))-IF(AR54="FT",IF(BG54&lt;FT_First,0,IF(BG54&lt;FT_Y5,1+INT((BG54-FT_First)/FT_Int1),FT_PreY5+FT_PerYear*INT((BG54-FT_Y5)/12)+FT_AnnivDays+INT(MOD(BG54-FT_Y5,12)/FT_Int2))),IF(AR54="PT",IF(BG54&lt;PT_First,0,1+INT((BG54-PT_First)/PT_Int)),0)),0))</f>
        <v>18</v>
      </c>
      <c r="BI54" s="19" t="n">
        <f aca="false">IF(AG54=0,"",IF(AS54="FT",IF(AT54&lt;FT_First,"",IF(AT54&lt;FT_Y5,FT_First+FT_Int1*INT((AT54-FT_First)/FT_Int1),FT_Y5+FT_Int2*INT((AT54-FT_Y5)/FT_Int2))),IF(AS54="PT",IF(AT54&lt;PT_First,"",PT_First+PT_Int*INT((AT54-PT_First)/PT_Int)),"")))</f>
        <v>84</v>
      </c>
      <c r="BJ54" s="0" t="str">
        <f aca="false">IF(LEN($A54&amp;$B54)=0,"",$A54&amp;" "&amp;$B54)</f>
        <v>Milo RANKIN</v>
      </c>
    </row>
    <row r="55" customFormat="false" ht="15" hidden="false" customHeight="false" outlineLevel="0" collapsed="false">
      <c r="A55" s="15" t="s">
        <v>239</v>
      </c>
      <c r="B55" s="15" t="s">
        <v>240</v>
      </c>
      <c r="C55" s="15" t="s">
        <v>153</v>
      </c>
      <c r="D55" s="16" t="n">
        <v>34310</v>
      </c>
      <c r="E55" s="17" t="n">
        <f aca="false">IF(OR(AG55=0,$D55=""),"",DATE(YEAR(AsOfDate)+IF(DATE(YEAR(AsOfDate),MONTH($D55),DAY($D55))&lt;=AsOfDate,1,0),MONTH($D55),DAY($D55)))</f>
        <v>46363</v>
      </c>
      <c r="F55" s="16" t="n">
        <v>46031</v>
      </c>
      <c r="G55" s="16"/>
      <c r="H55" s="16"/>
      <c r="I55" s="16" t="n">
        <v>46031</v>
      </c>
      <c r="J55" s="16"/>
      <c r="K55" s="17" t="n">
        <f aca="false">IF(AG55=0,"",DATE(YEAR(AsOfDate)+IF(DATE(YEAR(AsOfDate),MONTH(AH55),DAY(AH55))&lt;=AsOfDate,1,0),MONTH(AH55),DAY(AH55)))</f>
        <v>46396</v>
      </c>
      <c r="L55" s="18" t="n">
        <f aca="false">IF(AG55=0,"",ROUND((AsOfDate-AH55)/365.25,1))</f>
        <v>0.7</v>
      </c>
      <c r="M55" s="19" t="str">
        <f aca="false">IF(AG55=0,"",IF(AsOfDate&lt;AH55,"-",DATEDIF(AH55,AsOfDate,"y")&amp;"y "&amp;DATEDIF(AH55,AsOfDate,"ym")&amp;"m "&amp;DATEDIF(AH55,AsOfDate,"md")&amp;"d"))</f>
        <v>0y 8m 27d</v>
      </c>
      <c r="N55" s="20" t="n">
        <f aca="false">IF(AG55=0,"",O55*HoursPerDay)</f>
        <v>0</v>
      </c>
      <c r="O55" s="20" t="n">
        <f aca="false">IF(AG55=0,"",AZ55)</f>
        <v>0</v>
      </c>
      <c r="P55" s="21"/>
      <c r="Q55" s="19"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19"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17" t="n">
        <f aca="false">IF(AG55=0,"",IF(AS55="None","",EDATE(AH55,BB55)))</f>
        <v>47127</v>
      </c>
      <c r="T55" s="20" t="n">
        <f aca="false">IF(AG55=0,"",IF(NOT(LH_Ready),"",IF(AH55&gt;PFYDate,0,IF(LH_ColPeriod=0,W55-U55+V55,SUMIFS(INDEX(LH_Data,0,LH_ColAcc),INDEX(LH_Data,0,LH_ColFirst),$A55,INDEX(LH_Data,0,LH_ColSur),$B55,INDEX(LH_Data,0,LH_ColCat),BonusCat,INDEX(LH_Data,0,LH_ColPeriod),LH_OpenLabel)*UnitFactor))))</f>
        <v>0</v>
      </c>
      <c r="U55" s="20" t="n">
        <f aca="false">IF(AG55=0,"",IF(NOT(LH_Ready),"",SUMIFS(INDEX(LH_Data,0,LH_ColAcc),INDEX(LH_Data,0,LH_ColFirst),$A55,INDEX(LH_Data,0,LH_ColSur),$B55,INDEX(LH_Data,0,LH_ColCat),BonusCat,INDEX(LH_Data,0,LH_ColStart),"&gt;="&amp;AH55)*UnitFactor))</f>
        <v>0</v>
      </c>
      <c r="V55" s="20" t="n">
        <f aca="false">IF(AG55=0,"",IF(NOT(LH_Ready),"",SUMIFS(INDEX(LH_Data,0,LH_ColTaken),INDEX(LH_Data,0,LH_ColFirst),$A55,INDEX(LH_Data,0,LH_ColSur),$B55,INDEX(LH_Data,0,LH_ColCat),BonusCat,INDEX(LH_Data,0,LH_ColStart),"&gt;="&amp;AH55)*UnitFactor))</f>
        <v>0</v>
      </c>
      <c r="W55" s="20" t="n">
        <f aca="false">IF(AG55=0,"",IF(NOT(LH_Ready),"",IF(BD55=0,0,INDEX(INDEX(LH_Data,0,LH_ColClose),BD55-1)*UnitFactor)))</f>
        <v>0</v>
      </c>
      <c r="X55" s="20" t="n">
        <f aca="false">IF(AG55=0,"",(AZ55-BA55)*HoursPerDay)</f>
        <v>0</v>
      </c>
      <c r="Y55" s="20" t="n">
        <f aca="false">IF(AG55=0,"",IF(NOT(LH_Ready),"",IF(BC55=0,N55,IF(PFYDate&lt;$F55,N55-N(T55)-N(U55),X55-N(U55)))))</f>
        <v>0</v>
      </c>
      <c r="Z55" s="19" t="str">
        <f aca="false">IF(OR(AG55=0,Y55=""),"",IF(Y55&gt;0,"Yes","No"))</f>
        <v>No</v>
      </c>
      <c r="AA55" s="19"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Not yet - first day on 09/01/2029</v>
      </c>
      <c r="AB55" s="20" t="n">
        <f aca="false">IF(OR(AG55=0,T55=""),"",BA55*HoursPerDay-T55)</f>
        <v>0</v>
      </c>
      <c r="AC55" s="19" t="n">
        <f aca="false">IF(AG55=0,"",BC55)</f>
        <v>0</v>
      </c>
      <c r="AD55" s="19"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20" t="n">
        <f aca="false">IF(AG55=0,"",O55-BH55)</f>
        <v>0</v>
      </c>
      <c r="AF55" s="17" t="str">
        <f aca="false">IF(OR(AG55=0,AE55="",N(AE55)=0,BI55=""),"",EDATE(AH55,BI55))</f>
        <v/>
      </c>
      <c r="AG55" s="19" t="n">
        <f aca="false">IF(OR(LEN($A55&amp;$B55)=0,$F55=""),0,1)</f>
        <v>1</v>
      </c>
      <c r="AH55" s="17" t="n">
        <f aca="false">IF(AG55=0,"",IF($J55&lt;&gt;"",$J55,IF(OR(CasualCounts="Yes",COUNT($G55:$I55)=0,COUNT($H55:$I55)=0),$F55,MIN($H55:$I55))))</f>
        <v>46031</v>
      </c>
      <c r="AI55" s="19" t="n">
        <f aca="false">IF(AG55=0,"",COUNT($G55:$I55))</f>
        <v>1</v>
      </c>
      <c r="AJ55" s="17" t="n">
        <f aca="false">IF(AG55=0,"",IFERROR(SMALL($G55:$I55,1),""))</f>
        <v>46031</v>
      </c>
      <c r="AK55" s="17" t="str">
        <f aca="false">IF(AG55=0,"",IFERROR(SMALL($G55:$I55,2),""))</f>
        <v/>
      </c>
      <c r="AL55" s="17" t="str">
        <f aca="false">IF(AG55=0,"",IFERROR(SMALL($G55:$I55,3),""))</f>
        <v/>
      </c>
      <c r="AM55" s="19" t="str">
        <f aca="false">IF(AG55=0,"",IF(AJ55="","",IF(AJ55=$H55,"Part-Time",IF(AJ55=$I55,"Full-Time","Casual"))))</f>
        <v>Full-Time</v>
      </c>
      <c r="AN55" s="19" t="str">
        <f aca="false">IF(AG55=0,"",IF(AK55="","",IF(AK55=$H55,"Part-Time",IF(AK55=$I55,"Full-Time","Casual"))))</f>
        <v/>
      </c>
      <c r="AO55" s="19" t="str">
        <f aca="false">IF(AG55=0,"",IF(AL55="","",IF(AL55=$H55,"Part-Time",IF(AL55=$I55,"Full-Time","Casual"))))</f>
        <v/>
      </c>
      <c r="AP55" s="19"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FT</v>
      </c>
      <c r="AQ55" s="19" t="str">
        <f aca="false">IF(AG55=0,"",IF(AI55&lt;2,"",IF(OR(ISNUMBER(SEARCH("full",AN55)),UPPER(TRIM(AN55))="FT",UPPER(TRIM(AN55))="FTE"),"FT",IF(AND(OR(ISNUMBER(SEARCH("part",AN55)),UPPER(TRIM(AN55))="PT",UPPER(TRIM(AN55))="PTE"),OR($P55="",N($P55)&gt;=PT_MinHours)),"PT","None"))))</f>
        <v/>
      </c>
      <c r="AR55" s="19" t="str">
        <f aca="false">IF(AG55=0,"",IF(AI55&lt;3,"",IF(OR(ISNUMBER(SEARCH("full",AO55)),UPPER(TRIM(AO55))="FT",UPPER(TRIM(AO55))="FTE"),"FT",IF(AND(OR(ISNUMBER(SEARCH("part",AO55)),UPPER(TRIM(AO55))="PT",UPPER(TRIM(AO55))="PTE"),OR($P55="",N($P55)&gt;=PT_MinHours)),"PT","None"))))</f>
        <v/>
      </c>
      <c r="AS55" s="19" t="str">
        <f aca="false">IF(AG55=0,"",IF(AND(AI55&gt;=3,AL55&lt;=AsOfDate),AR55,IF(AND(AI55&gt;=2,AK55&lt;=AsOfDate),AQ55,AP55)))</f>
        <v>FT</v>
      </c>
      <c r="AT55" s="19" t="n">
        <f aca="false">IF(AG55=0,"",IF(AsOfDate&lt;AH55,-1,12*(YEAR(AsOfDate)-YEAR(AH55))+MONTH(AsOfDate)-MONTH(AH55)-IF(DAY(AsOfDate)&lt;MIN(DAY(AH55),DAY(EOMONTH(AsOfDate,0))),1,0)))</f>
        <v>8</v>
      </c>
      <c r="AU55" s="19" t="n">
        <f aca="false">IF(AG55=0,"",IF(OR(AI55&lt;2,AK55&gt;AsOfDate),AT55,IF((AK55-1)&lt;AH55,-1,12*(YEAR((AK55-1))-YEAR(AH55))+MONTH((AK55-1))-MONTH(AH55)-IF(DAY((AK55-1))&lt;MIN(DAY(AH55),DAY(EOMONTH((AK55-1),0))),1,0))))</f>
        <v>8</v>
      </c>
      <c r="AV55" s="19" t="n">
        <f aca="false">IF(AG55=0,"",IF(OR(AI55&lt;3,AL55&gt;AsOfDate),AT55,IF((AL55-1)&lt;AH55,-1,12*(YEAR((AL55-1))-YEAR(AH55))+MONTH((AL55-1))-MONTH(AH55)-IF(DAY((AL55-1))&lt;MIN(DAY(AH55),DAY(EOMONTH((AL55-1),0))),1,0))))</f>
        <v>8</v>
      </c>
      <c r="AW55" s="19" t="n">
        <f aca="false">IF(AG55=0,"",IF(PFYDate&lt;AH55,-1,12*(YEAR(PFYDate)-YEAR(AH55))+MONTH(PFYDate)-MONTH(AH55)-IF(DAY(PFYDate)&lt;MIN(DAY(AH55),DAY(EOMONTH(PFYDate,0))),1,0)))</f>
        <v>-1</v>
      </c>
      <c r="AX55" s="19" t="n">
        <f aca="false">IF(AG55=0,"",IF(OR(AI55&lt;2,AK55&gt;PFYDate),AW55,IF((AK55-1)&lt;AH55,-1,12*(YEAR((AK55-1))-YEAR(AH55))+MONTH((AK55-1))-MONTH(AH55)-IF(DAY((AK55-1))&lt;MIN(DAY(AH55),DAY(EOMONTH((AK55-1),0))),1,0))))</f>
        <v>-1</v>
      </c>
      <c r="AY55" s="19" t="n">
        <f aca="false">IF(AG55=0,"",IF(OR(AI55&lt;3,AL55&gt;PFYDate),AW55,IF((AL55-1)&lt;AH55,-1,12*(YEAR((AL55-1))-YEAR(AH55))+MONTH((AL55-1))-MONTH(AH55)-IF(DAY((AL55-1))&lt;MIN(DAY(AH55),DAY(EOMONTH((AL55-1),0))),1,0))))</f>
        <v>-1</v>
      </c>
      <c r="AZ55" s="19" t="n">
        <f aca="false">IF(AG55=0,"",IF(AP55="FT",IF(AU55&lt;FT_First,0,IF(AU55&lt;FT_Y5,1+INT((AU55-FT_First)/FT_Int1),FT_PreY5+FT_PerYear*INT((AU55-FT_Y5)/12)+FT_AnnivDays+INT(MOD(AU55-FT_Y5,12)/FT_Int2))),IF(AP55="PT",IF(AU55&lt;PT_First,0,1+INT((AU55-PT_First)/PT_Int)),0))+IF(AND(AI55&gt;=2,AK55&lt;=AsOfDate),IF(AQ55="FT",IF(AV55&lt;FT_First,0,IF(AV55&lt;FT_Y5,1+INT((AV55-FT_First)/FT_Int1),FT_PreY5+FT_PerYear*INT((AV55-FT_Y5)/12)+FT_AnnivDays+INT(MOD(AV55-FT_Y5,12)/FT_Int2))),IF(AQ55="PT",IF(AV55&lt;PT_First,0,1+INT((AV55-PT_First)/PT_Int)),0))-IF(AQ55="FT",IF(AU55&lt;FT_First,0,IF(AU55&lt;FT_Y5,1+INT((AU55-FT_First)/FT_Int1),FT_PreY5+FT_PerYear*INT((AU55-FT_Y5)/12)+FT_AnnivDays+INT(MOD(AU55-FT_Y5,12)/FT_Int2))),IF(AQ55="PT",IF(AU55&lt;PT_First,0,1+INT((AU55-PT_First)/PT_Int)),0)),0)+IF(AND(AI55&gt;=3,AL55&lt;=AsOfDate),IF(AR55="FT",IF(AT55&lt;FT_First,0,IF(AT55&lt;FT_Y5,1+INT((AT55-FT_First)/FT_Int1),FT_PreY5+FT_PerYear*INT((AT55-FT_Y5)/12)+FT_AnnivDays+INT(MOD(AT55-FT_Y5,12)/FT_Int2))),IF(AR55="PT",IF(AT55&lt;PT_First,0,1+INT((AT55-PT_First)/PT_Int)),0))-IF(AR55="FT",IF(AV55&lt;FT_First,0,IF(AV55&lt;FT_Y5,1+INT((AV55-FT_First)/FT_Int1),FT_PreY5+FT_PerYear*INT((AV55-FT_Y5)/12)+FT_AnnivDays+INT(MOD(AV55-FT_Y5,12)/FT_Int2))),IF(AR55="PT",IF(AV55&lt;PT_First,0,1+INT((AV55-PT_First)/PT_Int)),0)),0))</f>
        <v>0</v>
      </c>
      <c r="BA55" s="19" t="n">
        <f aca="false">IF(AG55=0,"",IF(AP55="FT",IF(AX55&lt;FT_First,0,IF(AX55&lt;FT_Y5,1+INT((AX55-FT_First)/FT_Int1),FT_PreY5+FT_PerYear*INT((AX55-FT_Y5)/12)+FT_AnnivDays+INT(MOD(AX55-FT_Y5,12)/FT_Int2))),IF(AP55="PT",IF(AX55&lt;PT_First,0,1+INT((AX55-PT_First)/PT_Int)),0))+IF(AND(AI55&gt;=2,AK55&lt;=PFYDate),IF(AQ55="FT",IF(AY55&lt;FT_First,0,IF(AY55&lt;FT_Y5,1+INT((AY55-FT_First)/FT_Int1),FT_PreY5+FT_PerYear*INT((AY55-FT_Y5)/12)+FT_AnnivDays+INT(MOD(AY55-FT_Y5,12)/FT_Int2))),IF(AQ55="PT",IF(AY55&lt;PT_First,0,1+INT((AY55-PT_First)/PT_Int)),0))-IF(AQ55="FT",IF(AX55&lt;FT_First,0,IF(AX55&lt;FT_Y5,1+INT((AX55-FT_First)/FT_Int1),FT_PreY5+FT_PerYear*INT((AX55-FT_Y5)/12)+FT_AnnivDays+INT(MOD(AX55-FT_Y5,12)/FT_Int2))),IF(AQ55="PT",IF(AX55&lt;PT_First,0,1+INT((AX55-PT_First)/PT_Int)),0)),0)+IF(AND(AI55&gt;=3,AL55&lt;=PFYDate),IF(AR55="FT",IF(AW55&lt;FT_First,0,IF(AW55&lt;FT_Y5,1+INT((AW55-FT_First)/FT_Int1),FT_PreY5+FT_PerYear*INT((AW55-FT_Y5)/12)+FT_AnnivDays+INT(MOD(AW55-FT_Y5,12)/FT_Int2))),IF(AR55="PT",IF(AW55&lt;PT_First,0,1+INT((AW55-PT_First)/PT_Int)),0))-IF(AR55="FT",IF(AY55&lt;FT_First,0,IF(AY55&lt;FT_Y5,1+INT((AY55-FT_First)/FT_Int1),FT_PreY5+FT_PerYear*INT((AY55-FT_Y5)/12)+FT_AnnivDays+INT(MOD(AY55-FT_Y5,12)/FT_Int2))),IF(AR55="PT",IF(AY55&lt;PT_First,0,1+INT((AY55-PT_First)/PT_Int)),0)),0))</f>
        <v>0</v>
      </c>
      <c r="BB55" s="19" t="n">
        <f aca="false">IF(AG55=0,"",IF(AS55="FT",IF(AT55&lt;FT_First,FT_First,IF(AT55&lt;FT_Y5,MIN(FT_Y5,FT_First+FT_Int1*(INT((AT55-FT_First)/FT_Int1)+1)),FT_Y5+12*INT((AT55-FT_Y5)/12)+FT_Int2*(INT(MOD(AT55-FT_Y5,12)/FT_Int2)+1))),IF(AS55="PT",IF(AT55&lt;PT_First,PT_First,PT_First+PT_Int*(INT((AT55-PT_First)/PT_Int)+1)),"")))</f>
        <v>36</v>
      </c>
      <c r="BC55" s="19" t="n">
        <f aca="false">IF(AG55=0,"",IF(NOT(LH_Ready),0,COUNTIFS(INDEX(LH_Data,0,LH_ColFirst),$A55,INDEX(LH_Data,0,LH_ColSur),$B55,INDEX(LH_Data,0,LH_ColCat),BonusCat)))</f>
        <v>0</v>
      </c>
      <c r="BD55" s="19" t="n">
        <f aca="false">IF(AG55=0,"",IF(OR(NOT(LH_Ready),BC55=0),0,SUMPRODUCT(MAX((INDEX(LH_Data,0,LH_ColFirst)=$A55)*(INDEX(LH_Data,0,LH_ColSur)=$B55)*(INDEX(LH_Data,0,LH_ColCat)=BonusCat)*ROW(LH_Data)))))</f>
        <v>0</v>
      </c>
      <c r="BE55" s="19" t="n">
        <f aca="false">IF(AG55=0,"",IF(EOMONTH(AsOfDate,-1)&lt;AH55,-1,12*(YEAR(EOMONTH(AsOfDate,-1))-YEAR(AH55))+MONTH(EOMONTH(AsOfDate,-1))-MONTH(AH55)-IF(DAY(EOMONTH(AsOfDate,-1))&lt;MIN(DAY(AH55),DAY(EOMONTH(EOMONTH(AsOfDate,-1),0))),1,0)))</f>
        <v>8</v>
      </c>
      <c r="BF55" s="19" t="n">
        <f aca="false">IF(AG55=0,"",IF(OR(AI55&lt;2,AK55&gt;EOMONTH(AsOfDate,-1)),BE55,IF((AK55-1)&lt;AH55,-1,12*(YEAR((AK55-1))-YEAR(AH55))+MONTH((AK55-1))-MONTH(AH55)-IF(DAY((AK55-1))&lt;MIN(DAY(AH55),DAY(EOMONTH((AK55-1),0))),1,0))))</f>
        <v>8</v>
      </c>
      <c r="BG55" s="19" t="n">
        <f aca="false">IF(AG55=0,"",IF(OR(AI55&lt;3,AL55&gt;EOMONTH(AsOfDate,-1)),BE55,IF((AL55-1)&lt;AH55,-1,12*(YEAR((AL55-1))-YEAR(AH55))+MONTH((AL55-1))-MONTH(AH55)-IF(DAY((AL55-1))&lt;MIN(DAY(AH55),DAY(EOMONTH((AL55-1),0))),1,0))))</f>
        <v>8</v>
      </c>
      <c r="BH55" s="19" t="n">
        <f aca="false">IF(AG55=0,"",IF(AP55="FT",IF(BF55&lt;FT_First,0,IF(BF55&lt;FT_Y5,1+INT((BF55-FT_First)/FT_Int1),FT_PreY5+FT_PerYear*INT((BF55-FT_Y5)/12)+FT_AnnivDays+INT(MOD(BF55-FT_Y5,12)/FT_Int2))),IF(AP55="PT",IF(BF55&lt;PT_First,0,1+INT((BF55-PT_First)/PT_Int)),0))+IF(AND(AI55&gt;=2,AK55&lt;=EOMONTH(AsOfDate,-1)),IF(AQ55="FT",IF(BG55&lt;FT_First,0,IF(BG55&lt;FT_Y5,1+INT((BG55-FT_First)/FT_Int1),FT_PreY5+FT_PerYear*INT((BG55-FT_Y5)/12)+FT_AnnivDays+INT(MOD(BG55-FT_Y5,12)/FT_Int2))),IF(AQ55="PT",IF(BG55&lt;PT_First,0,1+INT((BG55-PT_First)/PT_Int)),0))-IF(AQ55="FT",IF(BF55&lt;FT_First,0,IF(BF55&lt;FT_Y5,1+INT((BF55-FT_First)/FT_Int1),FT_PreY5+FT_PerYear*INT((BF55-FT_Y5)/12)+FT_AnnivDays+INT(MOD(BF55-FT_Y5,12)/FT_Int2))),IF(AQ55="PT",IF(BF55&lt;PT_First,0,1+INT((BF55-PT_First)/PT_Int)),0)),0)+IF(AND(AI55&gt;=3,AL55&lt;=EOMONTH(AsOfDate,-1)),IF(AR55="FT",IF(BE55&lt;FT_First,0,IF(BE55&lt;FT_Y5,1+INT((BE55-FT_First)/FT_Int1),FT_PreY5+FT_PerYear*INT((BE55-FT_Y5)/12)+FT_AnnivDays+INT(MOD(BE55-FT_Y5,12)/FT_Int2))),IF(AR55="PT",IF(BE55&lt;PT_First,0,1+INT((BE55-PT_First)/PT_Int)),0))-IF(AR55="FT",IF(BG55&lt;FT_First,0,IF(BG55&lt;FT_Y5,1+INT((BG55-FT_First)/FT_Int1),FT_PreY5+FT_PerYear*INT((BG55-FT_Y5)/12)+FT_AnnivDays+INT(MOD(BG55-FT_Y5,12)/FT_Int2))),IF(AR55="PT",IF(BG55&lt;PT_First,0,1+INT((BG55-PT_First)/PT_Int)),0)),0))</f>
        <v>0</v>
      </c>
      <c r="BI55" s="19" t="str">
        <f aca="false">IF(AG55=0,"",IF(AS55="FT",IF(AT55&lt;FT_First,"",IF(AT55&lt;FT_Y5,FT_First+FT_Int1*INT((AT55-FT_First)/FT_Int1),FT_Y5+FT_Int2*INT((AT55-FT_Y5)/FT_Int2))),IF(AS55="PT",IF(AT55&lt;PT_First,"",PT_First+PT_Int*INT((AT55-PT_First)/PT_Int)),"")))</f>
        <v/>
      </c>
      <c r="BJ55" s="0" t="str">
        <f aca="false">IF(LEN($A55&amp;$B55)=0,"",$A55&amp;" "&amp;$B55)</f>
        <v>Mitchell Healey</v>
      </c>
    </row>
    <row r="56" customFormat="false" ht="15" hidden="false" customHeight="false" outlineLevel="0" collapsed="false">
      <c r="A56" s="15" t="s">
        <v>241</v>
      </c>
      <c r="B56" s="15" t="s">
        <v>242</v>
      </c>
      <c r="C56" s="15" t="s">
        <v>138</v>
      </c>
      <c r="D56" s="16" t="n">
        <v>34940</v>
      </c>
      <c r="E56" s="17" t="n">
        <f aca="false">IF(OR(AG56=0,$D56=""),"",DATE(YEAR(AsOfDate)+IF(DATE(YEAR(AsOfDate),MONTH($D56),DAY($D56))&lt;=AsOfDate,1,0),MONTH($D56),DAY($D56)))</f>
        <v>46628</v>
      </c>
      <c r="F56" s="16" t="n">
        <v>45579</v>
      </c>
      <c r="G56" s="16"/>
      <c r="H56" s="16"/>
      <c r="I56" s="16"/>
      <c r="J56" s="16"/>
      <c r="K56" s="17" t="n">
        <f aca="false">IF(AG56=0,"",DATE(YEAR(AsOfDate)+IF(DATE(YEAR(AsOfDate),MONTH(AH56),DAY(AH56))&lt;=AsOfDate,1,0),MONTH(AH56),DAY(AH56)))</f>
        <v>46309</v>
      </c>
      <c r="L56" s="18" t="n">
        <f aca="false">IF(AG56=0,"",ROUND((AsOfDate-AH56)/365.25,1))</f>
        <v>2</v>
      </c>
      <c r="M56" s="19" t="str">
        <f aca="false">IF(AG56=0,"",IF(AsOfDate&lt;AH56,"-",DATEDIF(AH56,AsOfDate,"y")&amp;"y "&amp;DATEDIF(AH56,AsOfDate,"ym")&amp;"m "&amp;DATEDIF(AH56,AsOfDate,"md")&amp;"d"))</f>
        <v>1y 11m 22d</v>
      </c>
      <c r="N56" s="20" t="n">
        <f aca="false">IF(AG56=0,"",O56*HoursPerDay)</f>
        <v>0</v>
      </c>
      <c r="O56" s="20" t="n">
        <f aca="false">IF(AG56=0,"",AZ56)</f>
        <v>0</v>
      </c>
      <c r="P56" s="21"/>
      <c r="Q56" s="19"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19"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17" t="str">
        <f aca="false">IF(AG56=0,"",IF(AS56="None","",EDATE(AH56,BB56)))</f>
        <v/>
      </c>
      <c r="T56" s="20" t="n">
        <f aca="false">IF(AG56=0,"",IF(NOT(LH_Ready),"",IF(AH56&gt;PFYDate,0,IF(LH_ColPeriod=0,W56-U56+V56,SUMIFS(INDEX(LH_Data,0,LH_ColAcc),INDEX(LH_Data,0,LH_ColFirst),$A56,INDEX(LH_Data,0,LH_ColSur),$B56,INDEX(LH_Data,0,LH_ColCat),BonusCat,INDEX(LH_Data,0,LH_ColPeriod),LH_OpenLabel)*UnitFactor))))</f>
        <v>0</v>
      </c>
      <c r="U56" s="20" t="n">
        <f aca="false">IF(AG56=0,"",IF(NOT(LH_Ready),"",SUMIFS(INDEX(LH_Data,0,LH_ColAcc),INDEX(LH_Data,0,LH_ColFirst),$A56,INDEX(LH_Data,0,LH_ColSur),$B56,INDEX(LH_Data,0,LH_ColCat),BonusCat,INDEX(LH_Data,0,LH_ColStart),"&gt;="&amp;AH56)*UnitFactor))</f>
        <v>0</v>
      </c>
      <c r="V56" s="20" t="n">
        <f aca="false">IF(AG56=0,"",IF(NOT(LH_Ready),"",SUMIFS(INDEX(LH_Data,0,LH_ColTaken),INDEX(LH_Data,0,LH_ColFirst),$A56,INDEX(LH_Data,0,LH_ColSur),$B56,INDEX(LH_Data,0,LH_ColCat),BonusCat,INDEX(LH_Data,0,LH_ColStart),"&gt;="&amp;AH56)*UnitFactor))</f>
        <v>0</v>
      </c>
      <c r="W56" s="20" t="n">
        <f aca="false">IF(AG56=0,"",IF(NOT(LH_Ready),"",IF(BD56=0,0,INDEX(INDEX(LH_Data,0,LH_ColClose),BD56-1)*UnitFactor)))</f>
        <v>0</v>
      </c>
      <c r="X56" s="20" t="n">
        <f aca="false">IF(AG56=0,"",(AZ56-BA56)*HoursPerDay)</f>
        <v>0</v>
      </c>
      <c r="Y56" s="20" t="n">
        <f aca="false">IF(AG56=0,"",IF(NOT(LH_Ready),"",IF(BC56=0,N56,IF(PFYDate&lt;$F56,N56-N(T56)-N(U56),X56-N(U56)))))</f>
        <v>0</v>
      </c>
      <c r="Z56" s="19" t="str">
        <f aca="false">IF(OR(AG56=0,Y56=""),"",IF(Y56&gt;0,"Yes","No"))</f>
        <v>No</v>
      </c>
      <c r="AA56" s="19"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Not eligible - Casual</v>
      </c>
      <c r="AB56" s="20" t="n">
        <f aca="false">IF(OR(AG56=0,T56=""),"",BA56*HoursPerDay-T56)</f>
        <v>0</v>
      </c>
      <c r="AC56" s="19" t="n">
        <f aca="false">IF(AG56=0,"",BC56)</f>
        <v>0</v>
      </c>
      <c r="AD56" s="19"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20" t="n">
        <f aca="false">IF(AG56=0,"",O56-BH56)</f>
        <v>0</v>
      </c>
      <c r="AF56" s="17" t="str">
        <f aca="false">IF(OR(AG56=0,AE56="",N(AE56)=0,BI56=""),"",EDATE(AH56,BI56))</f>
        <v/>
      </c>
      <c r="AG56" s="19" t="n">
        <f aca="false">IF(OR(LEN($A56&amp;$B56)=0,$F56=""),0,1)</f>
        <v>1</v>
      </c>
      <c r="AH56" s="17" t="n">
        <f aca="false">IF(AG56=0,"",IF($J56&lt;&gt;"",$J56,IF(OR(CasualCounts="Yes",COUNT($G56:$I56)=0,COUNT($H56:$I56)=0),$F56,MIN($H56:$I56))))</f>
        <v>45579</v>
      </c>
      <c r="AI56" s="19" t="n">
        <f aca="false">IF(AG56=0,"",COUNT($G56:$I56))</f>
        <v>0</v>
      </c>
      <c r="AJ56" s="17" t="str">
        <f aca="false">IF(AG56=0,"",IFERROR(SMALL($G56:$I56,1),""))</f>
        <v/>
      </c>
      <c r="AK56" s="17" t="str">
        <f aca="false">IF(AG56=0,"",IFERROR(SMALL($G56:$I56,2),""))</f>
        <v/>
      </c>
      <c r="AL56" s="17" t="str">
        <f aca="false">IF(AG56=0,"",IFERROR(SMALL($G56:$I56,3),""))</f>
        <v/>
      </c>
      <c r="AM56" s="19" t="str">
        <f aca="false">IF(AG56=0,"",IF(AJ56="","",IF(AJ56=$H56,"Part-Time",IF(AJ56=$I56,"Full-Time","Casual"))))</f>
        <v/>
      </c>
      <c r="AN56" s="19" t="str">
        <f aca="false">IF(AG56=0,"",IF(AK56="","",IF(AK56=$H56,"Part-Time",IF(AK56=$I56,"Full-Time","Casual"))))</f>
        <v/>
      </c>
      <c r="AO56" s="19" t="str">
        <f aca="false">IF(AG56=0,"",IF(AL56="","",IF(AL56=$H56,"Part-Time",IF(AL56=$I56,"Full-Time","Casual"))))</f>
        <v/>
      </c>
      <c r="AP56" s="19"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None</v>
      </c>
      <c r="AQ56" s="19" t="str">
        <f aca="false">IF(AG56=0,"",IF(AI56&lt;2,"",IF(OR(ISNUMBER(SEARCH("full",AN56)),UPPER(TRIM(AN56))="FT",UPPER(TRIM(AN56))="FTE"),"FT",IF(AND(OR(ISNUMBER(SEARCH("part",AN56)),UPPER(TRIM(AN56))="PT",UPPER(TRIM(AN56))="PTE"),OR($P56="",N($P56)&gt;=PT_MinHours)),"PT","None"))))</f>
        <v/>
      </c>
      <c r="AR56" s="19" t="str">
        <f aca="false">IF(AG56=0,"",IF(AI56&lt;3,"",IF(OR(ISNUMBER(SEARCH("full",AO56)),UPPER(TRIM(AO56))="FT",UPPER(TRIM(AO56))="FTE"),"FT",IF(AND(OR(ISNUMBER(SEARCH("part",AO56)),UPPER(TRIM(AO56))="PT",UPPER(TRIM(AO56))="PTE"),OR($P56="",N($P56)&gt;=PT_MinHours)),"PT","None"))))</f>
        <v/>
      </c>
      <c r="AS56" s="19" t="str">
        <f aca="false">IF(AG56=0,"",IF(AND(AI56&gt;=3,AL56&lt;=AsOfDate),AR56,IF(AND(AI56&gt;=2,AK56&lt;=AsOfDate),AQ56,AP56)))</f>
        <v>None</v>
      </c>
      <c r="AT56" s="19" t="n">
        <f aca="false">IF(AG56=0,"",IF(AsOfDate&lt;AH56,-1,12*(YEAR(AsOfDate)-YEAR(AH56))+MONTH(AsOfDate)-MONTH(AH56)-IF(DAY(AsOfDate)&lt;MIN(DAY(AH56),DAY(EOMONTH(AsOfDate,0))),1,0)))</f>
        <v>23</v>
      </c>
      <c r="AU56" s="19" t="n">
        <f aca="false">IF(AG56=0,"",IF(OR(AI56&lt;2,AK56&gt;AsOfDate),AT56,IF((AK56-1)&lt;AH56,-1,12*(YEAR((AK56-1))-YEAR(AH56))+MONTH((AK56-1))-MONTH(AH56)-IF(DAY((AK56-1))&lt;MIN(DAY(AH56),DAY(EOMONTH((AK56-1),0))),1,0))))</f>
        <v>23</v>
      </c>
      <c r="AV56" s="19" t="n">
        <f aca="false">IF(AG56=0,"",IF(OR(AI56&lt;3,AL56&gt;AsOfDate),AT56,IF((AL56-1)&lt;AH56,-1,12*(YEAR((AL56-1))-YEAR(AH56))+MONTH((AL56-1))-MONTH(AH56)-IF(DAY((AL56-1))&lt;MIN(DAY(AH56),DAY(EOMONTH((AL56-1),0))),1,0))))</f>
        <v>23</v>
      </c>
      <c r="AW56" s="19" t="n">
        <f aca="false">IF(AG56=0,"",IF(PFYDate&lt;AH56,-1,12*(YEAR(PFYDate)-YEAR(AH56))+MONTH(PFYDate)-MONTH(AH56)-IF(DAY(PFYDate)&lt;MIN(DAY(AH56),DAY(EOMONTH(PFYDate,0))),1,0)))</f>
        <v>-1</v>
      </c>
      <c r="AX56" s="19" t="n">
        <f aca="false">IF(AG56=0,"",IF(OR(AI56&lt;2,AK56&gt;PFYDate),AW56,IF((AK56-1)&lt;AH56,-1,12*(YEAR((AK56-1))-YEAR(AH56))+MONTH((AK56-1))-MONTH(AH56)-IF(DAY((AK56-1))&lt;MIN(DAY(AH56),DAY(EOMONTH((AK56-1),0))),1,0))))</f>
        <v>-1</v>
      </c>
      <c r="AY56" s="19" t="n">
        <f aca="false">IF(AG56=0,"",IF(OR(AI56&lt;3,AL56&gt;PFYDate),AW56,IF((AL56-1)&lt;AH56,-1,12*(YEAR((AL56-1))-YEAR(AH56))+MONTH((AL56-1))-MONTH(AH56)-IF(DAY((AL56-1))&lt;MIN(DAY(AH56),DAY(EOMONTH((AL56-1),0))),1,0))))</f>
        <v>-1</v>
      </c>
      <c r="AZ56" s="19" t="n">
        <f aca="false">IF(AG56=0,"",IF(AP56="FT",IF(AU56&lt;FT_First,0,IF(AU56&lt;FT_Y5,1+INT((AU56-FT_First)/FT_Int1),FT_PreY5+FT_PerYear*INT((AU56-FT_Y5)/12)+FT_AnnivDays+INT(MOD(AU56-FT_Y5,12)/FT_Int2))),IF(AP56="PT",IF(AU56&lt;PT_First,0,1+INT((AU56-PT_First)/PT_Int)),0))+IF(AND(AI56&gt;=2,AK56&lt;=AsOfDate),IF(AQ56="FT",IF(AV56&lt;FT_First,0,IF(AV56&lt;FT_Y5,1+INT((AV56-FT_First)/FT_Int1),FT_PreY5+FT_PerYear*INT((AV56-FT_Y5)/12)+FT_AnnivDays+INT(MOD(AV56-FT_Y5,12)/FT_Int2))),IF(AQ56="PT",IF(AV56&lt;PT_First,0,1+INT((AV56-PT_First)/PT_Int)),0))-IF(AQ56="FT",IF(AU56&lt;FT_First,0,IF(AU56&lt;FT_Y5,1+INT((AU56-FT_First)/FT_Int1),FT_PreY5+FT_PerYear*INT((AU56-FT_Y5)/12)+FT_AnnivDays+INT(MOD(AU56-FT_Y5,12)/FT_Int2))),IF(AQ56="PT",IF(AU56&lt;PT_First,0,1+INT((AU56-PT_First)/PT_Int)),0)),0)+IF(AND(AI56&gt;=3,AL56&lt;=AsOfDate),IF(AR56="FT",IF(AT56&lt;FT_First,0,IF(AT56&lt;FT_Y5,1+INT((AT56-FT_First)/FT_Int1),FT_PreY5+FT_PerYear*INT((AT56-FT_Y5)/12)+FT_AnnivDays+INT(MOD(AT56-FT_Y5,12)/FT_Int2))),IF(AR56="PT",IF(AT56&lt;PT_First,0,1+INT((AT56-PT_First)/PT_Int)),0))-IF(AR56="FT",IF(AV56&lt;FT_First,0,IF(AV56&lt;FT_Y5,1+INT((AV56-FT_First)/FT_Int1),FT_PreY5+FT_PerYear*INT((AV56-FT_Y5)/12)+FT_AnnivDays+INT(MOD(AV56-FT_Y5,12)/FT_Int2))),IF(AR56="PT",IF(AV56&lt;PT_First,0,1+INT((AV56-PT_First)/PT_Int)),0)),0))</f>
        <v>0</v>
      </c>
      <c r="BA56" s="19" t="n">
        <f aca="false">IF(AG56=0,"",IF(AP56="FT",IF(AX56&lt;FT_First,0,IF(AX56&lt;FT_Y5,1+INT((AX56-FT_First)/FT_Int1),FT_PreY5+FT_PerYear*INT((AX56-FT_Y5)/12)+FT_AnnivDays+INT(MOD(AX56-FT_Y5,12)/FT_Int2))),IF(AP56="PT",IF(AX56&lt;PT_First,0,1+INT((AX56-PT_First)/PT_Int)),0))+IF(AND(AI56&gt;=2,AK56&lt;=PFYDate),IF(AQ56="FT",IF(AY56&lt;FT_First,0,IF(AY56&lt;FT_Y5,1+INT((AY56-FT_First)/FT_Int1),FT_PreY5+FT_PerYear*INT((AY56-FT_Y5)/12)+FT_AnnivDays+INT(MOD(AY56-FT_Y5,12)/FT_Int2))),IF(AQ56="PT",IF(AY56&lt;PT_First,0,1+INT((AY56-PT_First)/PT_Int)),0))-IF(AQ56="FT",IF(AX56&lt;FT_First,0,IF(AX56&lt;FT_Y5,1+INT((AX56-FT_First)/FT_Int1),FT_PreY5+FT_PerYear*INT((AX56-FT_Y5)/12)+FT_AnnivDays+INT(MOD(AX56-FT_Y5,12)/FT_Int2))),IF(AQ56="PT",IF(AX56&lt;PT_First,0,1+INT((AX56-PT_First)/PT_Int)),0)),0)+IF(AND(AI56&gt;=3,AL56&lt;=PFYDate),IF(AR56="FT",IF(AW56&lt;FT_First,0,IF(AW56&lt;FT_Y5,1+INT((AW56-FT_First)/FT_Int1),FT_PreY5+FT_PerYear*INT((AW56-FT_Y5)/12)+FT_AnnivDays+INT(MOD(AW56-FT_Y5,12)/FT_Int2))),IF(AR56="PT",IF(AW56&lt;PT_First,0,1+INT((AW56-PT_First)/PT_Int)),0))-IF(AR56="FT",IF(AY56&lt;FT_First,0,IF(AY56&lt;FT_Y5,1+INT((AY56-FT_First)/FT_Int1),FT_PreY5+FT_PerYear*INT((AY56-FT_Y5)/12)+FT_AnnivDays+INT(MOD(AY56-FT_Y5,12)/FT_Int2))),IF(AR56="PT",IF(AY56&lt;PT_First,0,1+INT((AY56-PT_First)/PT_Int)),0)),0))</f>
        <v>0</v>
      </c>
      <c r="BB56" s="19" t="str">
        <f aca="false">IF(AG56=0,"",IF(AS56="FT",IF(AT56&lt;FT_First,FT_First,IF(AT56&lt;FT_Y5,MIN(FT_Y5,FT_First+FT_Int1*(INT((AT56-FT_First)/FT_Int1)+1)),FT_Y5+12*INT((AT56-FT_Y5)/12)+FT_Int2*(INT(MOD(AT56-FT_Y5,12)/FT_Int2)+1))),IF(AS56="PT",IF(AT56&lt;PT_First,PT_First,PT_First+PT_Int*(INT((AT56-PT_First)/PT_Int)+1)),"")))</f>
        <v/>
      </c>
      <c r="BC56" s="19" t="n">
        <f aca="false">IF(AG56=0,"",IF(NOT(LH_Ready),0,COUNTIFS(INDEX(LH_Data,0,LH_ColFirst),$A56,INDEX(LH_Data,0,LH_ColSur),$B56,INDEX(LH_Data,0,LH_ColCat),BonusCat)))</f>
        <v>0</v>
      </c>
      <c r="BD56" s="19" t="n">
        <f aca="false">IF(AG56=0,"",IF(OR(NOT(LH_Ready),BC56=0),0,SUMPRODUCT(MAX((INDEX(LH_Data,0,LH_ColFirst)=$A56)*(INDEX(LH_Data,0,LH_ColSur)=$B56)*(INDEX(LH_Data,0,LH_ColCat)=BonusCat)*ROW(LH_Data)))))</f>
        <v>0</v>
      </c>
      <c r="BE56" s="19" t="n">
        <f aca="false">IF(AG56=0,"",IF(EOMONTH(AsOfDate,-1)&lt;AH56,-1,12*(YEAR(EOMONTH(AsOfDate,-1))-YEAR(AH56))+MONTH(EOMONTH(AsOfDate,-1))-MONTH(AH56)-IF(DAY(EOMONTH(AsOfDate,-1))&lt;MIN(DAY(AH56),DAY(EOMONTH(EOMONTH(AsOfDate,-1),0))),1,0)))</f>
        <v>23</v>
      </c>
      <c r="BF56" s="19" t="n">
        <f aca="false">IF(AG56=0,"",IF(OR(AI56&lt;2,AK56&gt;EOMONTH(AsOfDate,-1)),BE56,IF((AK56-1)&lt;AH56,-1,12*(YEAR((AK56-1))-YEAR(AH56))+MONTH((AK56-1))-MONTH(AH56)-IF(DAY((AK56-1))&lt;MIN(DAY(AH56),DAY(EOMONTH((AK56-1),0))),1,0))))</f>
        <v>23</v>
      </c>
      <c r="BG56" s="19" t="n">
        <f aca="false">IF(AG56=0,"",IF(OR(AI56&lt;3,AL56&gt;EOMONTH(AsOfDate,-1)),BE56,IF((AL56-1)&lt;AH56,-1,12*(YEAR((AL56-1))-YEAR(AH56))+MONTH((AL56-1))-MONTH(AH56)-IF(DAY((AL56-1))&lt;MIN(DAY(AH56),DAY(EOMONTH((AL56-1),0))),1,0))))</f>
        <v>23</v>
      </c>
      <c r="BH56" s="19" t="n">
        <f aca="false">IF(AG56=0,"",IF(AP56="FT",IF(BF56&lt;FT_First,0,IF(BF56&lt;FT_Y5,1+INT((BF56-FT_First)/FT_Int1),FT_PreY5+FT_PerYear*INT((BF56-FT_Y5)/12)+FT_AnnivDays+INT(MOD(BF56-FT_Y5,12)/FT_Int2))),IF(AP56="PT",IF(BF56&lt;PT_First,0,1+INT((BF56-PT_First)/PT_Int)),0))+IF(AND(AI56&gt;=2,AK56&lt;=EOMONTH(AsOfDate,-1)),IF(AQ56="FT",IF(BG56&lt;FT_First,0,IF(BG56&lt;FT_Y5,1+INT((BG56-FT_First)/FT_Int1),FT_PreY5+FT_PerYear*INT((BG56-FT_Y5)/12)+FT_AnnivDays+INT(MOD(BG56-FT_Y5,12)/FT_Int2))),IF(AQ56="PT",IF(BG56&lt;PT_First,0,1+INT((BG56-PT_First)/PT_Int)),0))-IF(AQ56="FT",IF(BF56&lt;FT_First,0,IF(BF56&lt;FT_Y5,1+INT((BF56-FT_First)/FT_Int1),FT_PreY5+FT_PerYear*INT((BF56-FT_Y5)/12)+FT_AnnivDays+INT(MOD(BF56-FT_Y5,12)/FT_Int2))),IF(AQ56="PT",IF(BF56&lt;PT_First,0,1+INT((BF56-PT_First)/PT_Int)),0)),0)+IF(AND(AI56&gt;=3,AL56&lt;=EOMONTH(AsOfDate,-1)),IF(AR56="FT",IF(BE56&lt;FT_First,0,IF(BE56&lt;FT_Y5,1+INT((BE56-FT_First)/FT_Int1),FT_PreY5+FT_PerYear*INT((BE56-FT_Y5)/12)+FT_AnnivDays+INT(MOD(BE56-FT_Y5,12)/FT_Int2))),IF(AR56="PT",IF(BE56&lt;PT_First,0,1+INT((BE56-PT_First)/PT_Int)),0))-IF(AR56="FT",IF(BG56&lt;FT_First,0,IF(BG56&lt;FT_Y5,1+INT((BG56-FT_First)/FT_Int1),FT_PreY5+FT_PerYear*INT((BG56-FT_Y5)/12)+FT_AnnivDays+INT(MOD(BG56-FT_Y5,12)/FT_Int2))),IF(AR56="PT",IF(BG56&lt;PT_First,0,1+INT((BG56-PT_First)/PT_Int)),0)),0))</f>
        <v>0</v>
      </c>
      <c r="BI56" s="19" t="str">
        <f aca="false">IF(AG56=0,"",IF(AS56="FT",IF(AT56&lt;FT_First,"",IF(AT56&lt;FT_Y5,FT_First+FT_Int1*INT((AT56-FT_First)/FT_Int1),FT_Y5+FT_Int2*INT((AT56-FT_Y5)/FT_Int2))),IF(AS56="PT",IF(AT56&lt;PT_First,"",PT_First+PT_Int*INT((AT56-PT_First)/PT_Int)),"")))</f>
        <v/>
      </c>
      <c r="BJ56" s="0" t="str">
        <f aca="false">IF(LEN($A56&amp;$B56)=0,"",$A56&amp;" "&amp;$B56)</f>
        <v>Morgan Palmer</v>
      </c>
    </row>
    <row r="57" customFormat="false" ht="15" hidden="false" customHeight="false" outlineLevel="0" collapsed="false">
      <c r="A57" s="15" t="s">
        <v>243</v>
      </c>
      <c r="B57" s="15" t="s">
        <v>244</v>
      </c>
      <c r="C57" s="15" t="s">
        <v>153</v>
      </c>
      <c r="D57" s="16" t="n">
        <v>27482</v>
      </c>
      <c r="E57" s="17" t="n">
        <f aca="false">IF(OR(AG57=0,$D57=""),"",DATE(YEAR(AsOfDate)+IF(DATE(YEAR(AsOfDate),MONTH($D57),DAY($D57))&lt;=AsOfDate,1,0),MONTH($D57),DAY($D57)))</f>
        <v>46475</v>
      </c>
      <c r="F57" s="16" t="n">
        <v>45355</v>
      </c>
      <c r="G57" s="16"/>
      <c r="H57" s="16"/>
      <c r="I57" s="16" t="n">
        <v>45355</v>
      </c>
      <c r="J57" s="16"/>
      <c r="K57" s="17" t="n">
        <f aca="false">IF(AG57=0,"",DATE(YEAR(AsOfDate)+IF(DATE(YEAR(AsOfDate),MONTH(AH57),DAY(AH57))&lt;=AsOfDate,1,0),MONTH(AH57),DAY(AH57)))</f>
        <v>46450</v>
      </c>
      <c r="L57" s="18" t="n">
        <f aca="false">IF(AG57=0,"",ROUND((AsOfDate-AH57)/365.25,1))</f>
        <v>2.6</v>
      </c>
      <c r="M57" s="19" t="str">
        <f aca="false">IF(AG57=0,"",IF(AsOfDate&lt;AH57,"-",DATEDIF(AH57,AsOfDate,"y")&amp;"y "&amp;DATEDIF(AH57,AsOfDate,"ym")&amp;"m "&amp;DATEDIF(AH57,AsOfDate,"md")&amp;"d"))</f>
        <v>2y 7m 2d</v>
      </c>
      <c r="N57" s="20" t="n">
        <f aca="false">IF(AG57=0,"",O57*HoursPerDay)</f>
        <v>0</v>
      </c>
      <c r="O57" s="20" t="n">
        <f aca="false">IF(AG57=0,"",AZ57)</f>
        <v>0</v>
      </c>
      <c r="P57" s="21"/>
      <c r="Q57" s="19"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19"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17" t="n">
        <f aca="false">IF(AG57=0,"",IF(AS57="None","",EDATE(AH57,BB57)))</f>
        <v>46450</v>
      </c>
      <c r="T57" s="20" t="n">
        <f aca="false">IF(AG57=0,"",IF(NOT(LH_Ready),"",IF(AH57&gt;PFYDate,0,IF(LH_ColPeriod=0,W57-U57+V57,SUMIFS(INDEX(LH_Data,0,LH_ColAcc),INDEX(LH_Data,0,LH_ColFirst),$A57,INDEX(LH_Data,0,LH_ColSur),$B57,INDEX(LH_Data,0,LH_ColCat),BonusCat,INDEX(LH_Data,0,LH_ColPeriod),LH_OpenLabel)*UnitFactor))))</f>
        <v>0</v>
      </c>
      <c r="U57" s="20" t="n">
        <f aca="false">IF(AG57=0,"",IF(NOT(LH_Ready),"",SUMIFS(INDEX(LH_Data,0,LH_ColAcc),INDEX(LH_Data,0,LH_ColFirst),$A57,INDEX(LH_Data,0,LH_ColSur),$B57,INDEX(LH_Data,0,LH_ColCat),BonusCat,INDEX(LH_Data,0,LH_ColStart),"&gt;="&amp;AH57)*UnitFactor))</f>
        <v>0</v>
      </c>
      <c r="V57" s="20" t="n">
        <f aca="false">IF(AG57=0,"",IF(NOT(LH_Ready),"",SUMIFS(INDEX(LH_Data,0,LH_ColTaken),INDEX(LH_Data,0,LH_ColFirst),$A57,INDEX(LH_Data,0,LH_ColSur),$B57,INDEX(LH_Data,0,LH_ColCat),BonusCat,INDEX(LH_Data,0,LH_ColStart),"&gt;="&amp;AH57)*UnitFactor))</f>
        <v>0</v>
      </c>
      <c r="W57" s="20" t="n">
        <f aca="false">IF(AG57=0,"",IF(NOT(LH_Ready),"",IF(BD57=0,0,INDEX(INDEX(LH_Data,0,LH_ColClose),BD57-1)*UnitFactor)))</f>
        <v>0</v>
      </c>
      <c r="X57" s="20" t="n">
        <f aca="false">IF(AG57=0,"",(AZ57-BA57)*HoursPerDay)</f>
        <v>0</v>
      </c>
      <c r="Y57" s="20" t="n">
        <f aca="false">IF(AG57=0,"",IF(NOT(LH_Ready),"",IF(BC57=0,N57,IF(PFYDate&lt;$F57,N57-N(T57)-N(U57),X57-N(U57)))))</f>
        <v>0</v>
      </c>
      <c r="Z57" s="19" t="str">
        <f aca="false">IF(OR(AG57=0,Y57=""),"",IF(Y57&gt;0,"Yes","No"))</f>
        <v>No</v>
      </c>
      <c r="AA57" s="19"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Not yet - first day on 04/03/2027</v>
      </c>
      <c r="AB57" s="20" t="n">
        <f aca="false">IF(OR(AG57=0,T57=""),"",BA57*HoursPerDay-T57)</f>
        <v>0</v>
      </c>
      <c r="AC57" s="19" t="n">
        <f aca="false">IF(AG57=0,"",BC57)</f>
        <v>0</v>
      </c>
      <c r="AD57" s="19"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20" t="n">
        <f aca="false">IF(AG57=0,"",O57-BH57)</f>
        <v>0</v>
      </c>
      <c r="AF57" s="17" t="str">
        <f aca="false">IF(OR(AG57=0,AE57="",N(AE57)=0,BI57=""),"",EDATE(AH57,BI57))</f>
        <v/>
      </c>
      <c r="AG57" s="19" t="n">
        <f aca="false">IF(OR(LEN($A57&amp;$B57)=0,$F57=""),0,1)</f>
        <v>1</v>
      </c>
      <c r="AH57" s="17" t="n">
        <f aca="false">IF(AG57=0,"",IF($J57&lt;&gt;"",$J57,IF(OR(CasualCounts="Yes",COUNT($G57:$I57)=0,COUNT($H57:$I57)=0),$F57,MIN($H57:$I57))))</f>
        <v>45355</v>
      </c>
      <c r="AI57" s="19" t="n">
        <f aca="false">IF(AG57=0,"",COUNT($G57:$I57))</f>
        <v>1</v>
      </c>
      <c r="AJ57" s="17" t="n">
        <f aca="false">IF(AG57=0,"",IFERROR(SMALL($G57:$I57,1),""))</f>
        <v>45355</v>
      </c>
      <c r="AK57" s="17" t="str">
        <f aca="false">IF(AG57=0,"",IFERROR(SMALL($G57:$I57,2),""))</f>
        <v/>
      </c>
      <c r="AL57" s="17" t="str">
        <f aca="false">IF(AG57=0,"",IFERROR(SMALL($G57:$I57,3),""))</f>
        <v/>
      </c>
      <c r="AM57" s="19" t="str">
        <f aca="false">IF(AG57=0,"",IF(AJ57="","",IF(AJ57=$H57,"Part-Time",IF(AJ57=$I57,"Full-Time","Casual"))))</f>
        <v>Full-Time</v>
      </c>
      <c r="AN57" s="19" t="str">
        <f aca="false">IF(AG57=0,"",IF(AK57="","",IF(AK57=$H57,"Part-Time",IF(AK57=$I57,"Full-Time","Casual"))))</f>
        <v/>
      </c>
      <c r="AO57" s="19" t="str">
        <f aca="false">IF(AG57=0,"",IF(AL57="","",IF(AL57=$H57,"Part-Time",IF(AL57=$I57,"Full-Time","Casual"))))</f>
        <v/>
      </c>
      <c r="AP57" s="19"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FT</v>
      </c>
      <c r="AQ57" s="19" t="str">
        <f aca="false">IF(AG57=0,"",IF(AI57&lt;2,"",IF(OR(ISNUMBER(SEARCH("full",AN57)),UPPER(TRIM(AN57))="FT",UPPER(TRIM(AN57))="FTE"),"FT",IF(AND(OR(ISNUMBER(SEARCH("part",AN57)),UPPER(TRIM(AN57))="PT",UPPER(TRIM(AN57))="PTE"),OR($P57="",N($P57)&gt;=PT_MinHours)),"PT","None"))))</f>
        <v/>
      </c>
      <c r="AR57" s="19" t="str">
        <f aca="false">IF(AG57=0,"",IF(AI57&lt;3,"",IF(OR(ISNUMBER(SEARCH("full",AO57)),UPPER(TRIM(AO57))="FT",UPPER(TRIM(AO57))="FTE"),"FT",IF(AND(OR(ISNUMBER(SEARCH("part",AO57)),UPPER(TRIM(AO57))="PT",UPPER(TRIM(AO57))="PTE"),OR($P57="",N($P57)&gt;=PT_MinHours)),"PT","None"))))</f>
        <v/>
      </c>
      <c r="AS57" s="19" t="str">
        <f aca="false">IF(AG57=0,"",IF(AND(AI57&gt;=3,AL57&lt;=AsOfDate),AR57,IF(AND(AI57&gt;=2,AK57&lt;=AsOfDate),AQ57,AP57)))</f>
        <v>FT</v>
      </c>
      <c r="AT57" s="19" t="n">
        <f aca="false">IF(AG57=0,"",IF(AsOfDate&lt;AH57,-1,12*(YEAR(AsOfDate)-YEAR(AH57))+MONTH(AsOfDate)-MONTH(AH57)-IF(DAY(AsOfDate)&lt;MIN(DAY(AH57),DAY(EOMONTH(AsOfDate,0))),1,0)))</f>
        <v>31</v>
      </c>
      <c r="AU57" s="19" t="n">
        <f aca="false">IF(AG57=0,"",IF(OR(AI57&lt;2,AK57&gt;AsOfDate),AT57,IF((AK57-1)&lt;AH57,-1,12*(YEAR((AK57-1))-YEAR(AH57))+MONTH((AK57-1))-MONTH(AH57)-IF(DAY((AK57-1))&lt;MIN(DAY(AH57),DAY(EOMONTH((AK57-1),0))),1,0))))</f>
        <v>31</v>
      </c>
      <c r="AV57" s="19" t="n">
        <f aca="false">IF(AG57=0,"",IF(OR(AI57&lt;3,AL57&gt;AsOfDate),AT57,IF((AL57-1)&lt;AH57,-1,12*(YEAR((AL57-1))-YEAR(AH57))+MONTH((AL57-1))-MONTH(AH57)-IF(DAY((AL57-1))&lt;MIN(DAY(AH57),DAY(EOMONTH((AL57-1),0))),1,0))))</f>
        <v>31</v>
      </c>
      <c r="AW57" s="19" t="n">
        <f aca="false">IF(AG57=0,"",IF(PFYDate&lt;AH57,-1,12*(YEAR(PFYDate)-YEAR(AH57))+MONTH(PFYDate)-MONTH(AH57)-IF(DAY(PFYDate)&lt;MIN(DAY(AH57),DAY(EOMONTH(PFYDate,0))),1,0)))</f>
        <v>-1</v>
      </c>
      <c r="AX57" s="19" t="n">
        <f aca="false">IF(AG57=0,"",IF(OR(AI57&lt;2,AK57&gt;PFYDate),AW57,IF((AK57-1)&lt;AH57,-1,12*(YEAR((AK57-1))-YEAR(AH57))+MONTH((AK57-1))-MONTH(AH57)-IF(DAY((AK57-1))&lt;MIN(DAY(AH57),DAY(EOMONTH((AK57-1),0))),1,0))))</f>
        <v>-1</v>
      </c>
      <c r="AY57" s="19" t="n">
        <f aca="false">IF(AG57=0,"",IF(OR(AI57&lt;3,AL57&gt;PFYDate),AW57,IF((AL57-1)&lt;AH57,-1,12*(YEAR((AL57-1))-YEAR(AH57))+MONTH((AL57-1))-MONTH(AH57)-IF(DAY((AL57-1))&lt;MIN(DAY(AH57),DAY(EOMONTH((AL57-1),0))),1,0))))</f>
        <v>-1</v>
      </c>
      <c r="AZ57" s="19" t="n">
        <f aca="false">IF(AG57=0,"",IF(AP57="FT",IF(AU57&lt;FT_First,0,IF(AU57&lt;FT_Y5,1+INT((AU57-FT_First)/FT_Int1),FT_PreY5+FT_PerYear*INT((AU57-FT_Y5)/12)+FT_AnnivDays+INT(MOD(AU57-FT_Y5,12)/FT_Int2))),IF(AP57="PT",IF(AU57&lt;PT_First,0,1+INT((AU57-PT_First)/PT_Int)),0))+IF(AND(AI57&gt;=2,AK57&lt;=AsOfDate),IF(AQ57="FT",IF(AV57&lt;FT_First,0,IF(AV57&lt;FT_Y5,1+INT((AV57-FT_First)/FT_Int1),FT_PreY5+FT_PerYear*INT((AV57-FT_Y5)/12)+FT_AnnivDays+INT(MOD(AV57-FT_Y5,12)/FT_Int2))),IF(AQ57="PT",IF(AV57&lt;PT_First,0,1+INT((AV57-PT_First)/PT_Int)),0))-IF(AQ57="FT",IF(AU57&lt;FT_First,0,IF(AU57&lt;FT_Y5,1+INT((AU57-FT_First)/FT_Int1),FT_PreY5+FT_PerYear*INT((AU57-FT_Y5)/12)+FT_AnnivDays+INT(MOD(AU57-FT_Y5,12)/FT_Int2))),IF(AQ57="PT",IF(AU57&lt;PT_First,0,1+INT((AU57-PT_First)/PT_Int)),0)),0)+IF(AND(AI57&gt;=3,AL57&lt;=AsOfDate),IF(AR57="FT",IF(AT57&lt;FT_First,0,IF(AT57&lt;FT_Y5,1+INT((AT57-FT_First)/FT_Int1),FT_PreY5+FT_PerYear*INT((AT57-FT_Y5)/12)+FT_AnnivDays+INT(MOD(AT57-FT_Y5,12)/FT_Int2))),IF(AR57="PT",IF(AT57&lt;PT_First,0,1+INT((AT57-PT_First)/PT_Int)),0))-IF(AR57="FT",IF(AV57&lt;FT_First,0,IF(AV57&lt;FT_Y5,1+INT((AV57-FT_First)/FT_Int1),FT_PreY5+FT_PerYear*INT((AV57-FT_Y5)/12)+FT_AnnivDays+INT(MOD(AV57-FT_Y5,12)/FT_Int2))),IF(AR57="PT",IF(AV57&lt;PT_First,0,1+INT((AV57-PT_First)/PT_Int)),0)),0))</f>
        <v>0</v>
      </c>
      <c r="BA57" s="19" t="n">
        <f aca="false">IF(AG57=0,"",IF(AP57="FT",IF(AX57&lt;FT_First,0,IF(AX57&lt;FT_Y5,1+INT((AX57-FT_First)/FT_Int1),FT_PreY5+FT_PerYear*INT((AX57-FT_Y5)/12)+FT_AnnivDays+INT(MOD(AX57-FT_Y5,12)/FT_Int2))),IF(AP57="PT",IF(AX57&lt;PT_First,0,1+INT((AX57-PT_First)/PT_Int)),0))+IF(AND(AI57&gt;=2,AK57&lt;=PFYDate),IF(AQ57="FT",IF(AY57&lt;FT_First,0,IF(AY57&lt;FT_Y5,1+INT((AY57-FT_First)/FT_Int1),FT_PreY5+FT_PerYear*INT((AY57-FT_Y5)/12)+FT_AnnivDays+INT(MOD(AY57-FT_Y5,12)/FT_Int2))),IF(AQ57="PT",IF(AY57&lt;PT_First,0,1+INT((AY57-PT_First)/PT_Int)),0))-IF(AQ57="FT",IF(AX57&lt;FT_First,0,IF(AX57&lt;FT_Y5,1+INT((AX57-FT_First)/FT_Int1),FT_PreY5+FT_PerYear*INT((AX57-FT_Y5)/12)+FT_AnnivDays+INT(MOD(AX57-FT_Y5,12)/FT_Int2))),IF(AQ57="PT",IF(AX57&lt;PT_First,0,1+INT((AX57-PT_First)/PT_Int)),0)),0)+IF(AND(AI57&gt;=3,AL57&lt;=PFYDate),IF(AR57="FT",IF(AW57&lt;FT_First,0,IF(AW57&lt;FT_Y5,1+INT((AW57-FT_First)/FT_Int1),FT_PreY5+FT_PerYear*INT((AW57-FT_Y5)/12)+FT_AnnivDays+INT(MOD(AW57-FT_Y5,12)/FT_Int2))),IF(AR57="PT",IF(AW57&lt;PT_First,0,1+INT((AW57-PT_First)/PT_Int)),0))-IF(AR57="FT",IF(AY57&lt;FT_First,0,IF(AY57&lt;FT_Y5,1+INT((AY57-FT_First)/FT_Int1),FT_PreY5+FT_PerYear*INT((AY57-FT_Y5)/12)+FT_AnnivDays+INT(MOD(AY57-FT_Y5,12)/FT_Int2))),IF(AR57="PT",IF(AY57&lt;PT_First,0,1+INT((AY57-PT_First)/PT_Int)),0)),0))</f>
        <v>0</v>
      </c>
      <c r="BB57" s="19" t="n">
        <f aca="false">IF(AG57=0,"",IF(AS57="FT",IF(AT57&lt;FT_First,FT_First,IF(AT57&lt;FT_Y5,MIN(FT_Y5,FT_First+FT_Int1*(INT((AT57-FT_First)/FT_Int1)+1)),FT_Y5+12*INT((AT57-FT_Y5)/12)+FT_Int2*(INT(MOD(AT57-FT_Y5,12)/FT_Int2)+1))),IF(AS57="PT",IF(AT57&lt;PT_First,PT_First,PT_First+PT_Int*(INT((AT57-PT_First)/PT_Int)+1)),"")))</f>
        <v>36</v>
      </c>
      <c r="BC57" s="19" t="n">
        <f aca="false">IF(AG57=0,"",IF(NOT(LH_Ready),0,COUNTIFS(INDEX(LH_Data,0,LH_ColFirst),$A57,INDEX(LH_Data,0,LH_ColSur),$B57,INDEX(LH_Data,0,LH_ColCat),BonusCat)))</f>
        <v>0</v>
      </c>
      <c r="BD57" s="19" t="n">
        <f aca="false">IF(AG57=0,"",IF(OR(NOT(LH_Ready),BC57=0),0,SUMPRODUCT(MAX((INDEX(LH_Data,0,LH_ColFirst)=$A57)*(INDEX(LH_Data,0,LH_ColSur)=$B57)*(INDEX(LH_Data,0,LH_ColCat)=BonusCat)*ROW(LH_Data)))))</f>
        <v>0</v>
      </c>
      <c r="BE57" s="19" t="n">
        <f aca="false">IF(AG57=0,"",IF(EOMONTH(AsOfDate,-1)&lt;AH57,-1,12*(YEAR(EOMONTH(AsOfDate,-1))-YEAR(AH57))+MONTH(EOMONTH(AsOfDate,-1))-MONTH(AH57)-IF(DAY(EOMONTH(AsOfDate,-1))&lt;MIN(DAY(AH57),DAY(EOMONTH(EOMONTH(AsOfDate,-1),0))),1,0)))</f>
        <v>30</v>
      </c>
      <c r="BF57" s="19" t="n">
        <f aca="false">IF(AG57=0,"",IF(OR(AI57&lt;2,AK57&gt;EOMONTH(AsOfDate,-1)),BE57,IF((AK57-1)&lt;AH57,-1,12*(YEAR((AK57-1))-YEAR(AH57))+MONTH((AK57-1))-MONTH(AH57)-IF(DAY((AK57-1))&lt;MIN(DAY(AH57),DAY(EOMONTH((AK57-1),0))),1,0))))</f>
        <v>30</v>
      </c>
      <c r="BG57" s="19" t="n">
        <f aca="false">IF(AG57=0,"",IF(OR(AI57&lt;3,AL57&gt;EOMONTH(AsOfDate,-1)),BE57,IF((AL57-1)&lt;AH57,-1,12*(YEAR((AL57-1))-YEAR(AH57))+MONTH((AL57-1))-MONTH(AH57)-IF(DAY((AL57-1))&lt;MIN(DAY(AH57),DAY(EOMONTH((AL57-1),0))),1,0))))</f>
        <v>30</v>
      </c>
      <c r="BH57" s="19" t="n">
        <f aca="false">IF(AG57=0,"",IF(AP57="FT",IF(BF57&lt;FT_First,0,IF(BF57&lt;FT_Y5,1+INT((BF57-FT_First)/FT_Int1),FT_PreY5+FT_PerYear*INT((BF57-FT_Y5)/12)+FT_AnnivDays+INT(MOD(BF57-FT_Y5,12)/FT_Int2))),IF(AP57="PT",IF(BF57&lt;PT_First,0,1+INT((BF57-PT_First)/PT_Int)),0))+IF(AND(AI57&gt;=2,AK57&lt;=EOMONTH(AsOfDate,-1)),IF(AQ57="FT",IF(BG57&lt;FT_First,0,IF(BG57&lt;FT_Y5,1+INT((BG57-FT_First)/FT_Int1),FT_PreY5+FT_PerYear*INT((BG57-FT_Y5)/12)+FT_AnnivDays+INT(MOD(BG57-FT_Y5,12)/FT_Int2))),IF(AQ57="PT",IF(BG57&lt;PT_First,0,1+INT((BG57-PT_First)/PT_Int)),0))-IF(AQ57="FT",IF(BF57&lt;FT_First,0,IF(BF57&lt;FT_Y5,1+INT((BF57-FT_First)/FT_Int1),FT_PreY5+FT_PerYear*INT((BF57-FT_Y5)/12)+FT_AnnivDays+INT(MOD(BF57-FT_Y5,12)/FT_Int2))),IF(AQ57="PT",IF(BF57&lt;PT_First,0,1+INT((BF57-PT_First)/PT_Int)),0)),0)+IF(AND(AI57&gt;=3,AL57&lt;=EOMONTH(AsOfDate,-1)),IF(AR57="FT",IF(BE57&lt;FT_First,0,IF(BE57&lt;FT_Y5,1+INT((BE57-FT_First)/FT_Int1),FT_PreY5+FT_PerYear*INT((BE57-FT_Y5)/12)+FT_AnnivDays+INT(MOD(BE57-FT_Y5,12)/FT_Int2))),IF(AR57="PT",IF(BE57&lt;PT_First,0,1+INT((BE57-PT_First)/PT_Int)),0))-IF(AR57="FT",IF(BG57&lt;FT_First,0,IF(BG57&lt;FT_Y5,1+INT((BG57-FT_First)/FT_Int1),FT_PreY5+FT_PerYear*INT((BG57-FT_Y5)/12)+FT_AnnivDays+INT(MOD(BG57-FT_Y5,12)/FT_Int2))),IF(AR57="PT",IF(BG57&lt;PT_First,0,1+INT((BG57-PT_First)/PT_Int)),0)),0))</f>
        <v>0</v>
      </c>
      <c r="BI57" s="19" t="str">
        <f aca="false">IF(AG57=0,"",IF(AS57="FT",IF(AT57&lt;FT_First,"",IF(AT57&lt;FT_Y5,FT_First+FT_Int1*INT((AT57-FT_First)/FT_Int1),FT_Y5+FT_Int2*INT((AT57-FT_Y5)/FT_Int2))),IF(AS57="PT",IF(AT57&lt;PT_First,"",PT_First+PT_Int*INT((AT57-PT_First)/PT_Int)),"")))</f>
        <v/>
      </c>
      <c r="BJ57" s="0" t="str">
        <f aca="false">IF(LEN($A57&amp;$B57)=0,"",$A57&amp;" "&amp;$B57)</f>
        <v>Nicholas Pinnington</v>
      </c>
    </row>
    <row r="58" customFormat="false" ht="15" hidden="false" customHeight="false" outlineLevel="0" collapsed="false">
      <c r="A58" s="15" t="s">
        <v>245</v>
      </c>
      <c r="B58" s="15" t="s">
        <v>246</v>
      </c>
      <c r="C58" s="15" t="s">
        <v>138</v>
      </c>
      <c r="D58" s="16" t="n">
        <v>34569</v>
      </c>
      <c r="E58" s="17" t="n">
        <f aca="false">IF(OR(AG58=0,$D58=""),"",DATE(YEAR(AsOfDate)+IF(DATE(YEAR(AsOfDate),MONTH($D58),DAY($D58))&lt;=AsOfDate,1,0),MONTH($D58),DAY($D58)))</f>
        <v>46622</v>
      </c>
      <c r="F58" s="16" t="n">
        <v>46062</v>
      </c>
      <c r="G58" s="16"/>
      <c r="H58" s="16"/>
      <c r="I58" s="16"/>
      <c r="J58" s="16"/>
      <c r="K58" s="17" t="n">
        <f aca="false">IF(AG58=0,"",DATE(YEAR(AsOfDate)+IF(DATE(YEAR(AsOfDate),MONTH(AH58),DAY(AH58))&lt;=AsOfDate,1,0),MONTH(AH58),DAY(AH58)))</f>
        <v>46427</v>
      </c>
      <c r="L58" s="18" t="n">
        <f aca="false">IF(AG58=0,"",ROUND((AsOfDate-AH58)/365.25,1))</f>
        <v>0.7</v>
      </c>
      <c r="M58" s="19" t="str">
        <f aca="false">IF(AG58=0,"",IF(AsOfDate&lt;AH58,"-",DATEDIF(AH58,AsOfDate,"y")&amp;"y "&amp;DATEDIF(AH58,AsOfDate,"ym")&amp;"m "&amp;DATEDIF(AH58,AsOfDate,"md")&amp;"d"))</f>
        <v>0y 7m 27d</v>
      </c>
      <c r="N58" s="20" t="n">
        <f aca="false">IF(AG58=0,"",O58*HoursPerDay)</f>
        <v>0</v>
      </c>
      <c r="O58" s="20" t="n">
        <f aca="false">IF(AG58=0,"",AZ58)</f>
        <v>0</v>
      </c>
      <c r="P58" s="21"/>
      <c r="Q58" s="19"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19"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17" t="str">
        <f aca="false">IF(AG58=0,"",IF(AS58="None","",EDATE(AH58,BB58)))</f>
        <v/>
      </c>
      <c r="T58" s="20" t="n">
        <f aca="false">IF(AG58=0,"",IF(NOT(LH_Ready),"",IF(AH58&gt;PFYDate,0,IF(LH_ColPeriod=0,W58-U58+V58,SUMIFS(INDEX(LH_Data,0,LH_ColAcc),INDEX(LH_Data,0,LH_ColFirst),$A58,INDEX(LH_Data,0,LH_ColSur),$B58,INDEX(LH_Data,0,LH_ColCat),BonusCat,INDEX(LH_Data,0,LH_ColPeriod),LH_OpenLabel)*UnitFactor))))</f>
        <v>0</v>
      </c>
      <c r="U58" s="20" t="n">
        <f aca="false">IF(AG58=0,"",IF(NOT(LH_Ready),"",SUMIFS(INDEX(LH_Data,0,LH_ColAcc),INDEX(LH_Data,0,LH_ColFirst),$A58,INDEX(LH_Data,0,LH_ColSur),$B58,INDEX(LH_Data,0,LH_ColCat),BonusCat,INDEX(LH_Data,0,LH_ColStart),"&gt;="&amp;AH58)*UnitFactor))</f>
        <v>0</v>
      </c>
      <c r="V58" s="20" t="n">
        <f aca="false">IF(AG58=0,"",IF(NOT(LH_Ready),"",SUMIFS(INDEX(LH_Data,0,LH_ColTaken),INDEX(LH_Data,0,LH_ColFirst),$A58,INDEX(LH_Data,0,LH_ColSur),$B58,INDEX(LH_Data,0,LH_ColCat),BonusCat,INDEX(LH_Data,0,LH_ColStart),"&gt;="&amp;AH58)*UnitFactor))</f>
        <v>0</v>
      </c>
      <c r="W58" s="20" t="n">
        <f aca="false">IF(AG58=0,"",IF(NOT(LH_Ready),"",IF(BD58=0,0,INDEX(INDEX(LH_Data,0,LH_ColClose),BD58-1)*UnitFactor)))</f>
        <v>0</v>
      </c>
      <c r="X58" s="20" t="n">
        <f aca="false">IF(AG58=0,"",(AZ58-BA58)*HoursPerDay)</f>
        <v>0</v>
      </c>
      <c r="Y58" s="20" t="n">
        <f aca="false">IF(AG58=0,"",IF(NOT(LH_Ready),"",IF(BC58=0,N58,IF(PFYDate&lt;$F58,N58-N(T58)-N(U58),X58-N(U58)))))</f>
        <v>0</v>
      </c>
      <c r="Z58" s="19" t="str">
        <f aca="false">IF(OR(AG58=0,Y58=""),"",IF(Y58&gt;0,"Yes","No"))</f>
        <v>No</v>
      </c>
      <c r="AA58" s="19"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Not eligible - Casual</v>
      </c>
      <c r="AB58" s="20" t="n">
        <f aca="false">IF(OR(AG58=0,T58=""),"",BA58*HoursPerDay-T58)</f>
        <v>0</v>
      </c>
      <c r="AC58" s="19" t="n">
        <f aca="false">IF(AG58=0,"",BC58)</f>
        <v>0</v>
      </c>
      <c r="AD58" s="19"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20" t="n">
        <f aca="false">IF(AG58=0,"",O58-BH58)</f>
        <v>0</v>
      </c>
      <c r="AF58" s="17" t="str">
        <f aca="false">IF(OR(AG58=0,AE58="",N(AE58)=0,BI58=""),"",EDATE(AH58,BI58))</f>
        <v/>
      </c>
      <c r="AG58" s="19" t="n">
        <f aca="false">IF(OR(LEN($A58&amp;$B58)=0,$F58=""),0,1)</f>
        <v>1</v>
      </c>
      <c r="AH58" s="17" t="n">
        <f aca="false">IF(AG58=0,"",IF($J58&lt;&gt;"",$J58,IF(OR(CasualCounts="Yes",COUNT($G58:$I58)=0,COUNT($H58:$I58)=0),$F58,MIN($H58:$I58))))</f>
        <v>46062</v>
      </c>
      <c r="AI58" s="19" t="n">
        <f aca="false">IF(AG58=0,"",COUNT($G58:$I58))</f>
        <v>0</v>
      </c>
      <c r="AJ58" s="17" t="str">
        <f aca="false">IF(AG58=0,"",IFERROR(SMALL($G58:$I58,1),""))</f>
        <v/>
      </c>
      <c r="AK58" s="17" t="str">
        <f aca="false">IF(AG58=0,"",IFERROR(SMALL($G58:$I58,2),""))</f>
        <v/>
      </c>
      <c r="AL58" s="17" t="str">
        <f aca="false">IF(AG58=0,"",IFERROR(SMALL($G58:$I58,3),""))</f>
        <v/>
      </c>
      <c r="AM58" s="19" t="str">
        <f aca="false">IF(AG58=0,"",IF(AJ58="","",IF(AJ58=$H58,"Part-Time",IF(AJ58=$I58,"Full-Time","Casual"))))</f>
        <v/>
      </c>
      <c r="AN58" s="19" t="str">
        <f aca="false">IF(AG58=0,"",IF(AK58="","",IF(AK58=$H58,"Part-Time",IF(AK58=$I58,"Full-Time","Casual"))))</f>
        <v/>
      </c>
      <c r="AO58" s="19" t="str">
        <f aca="false">IF(AG58=0,"",IF(AL58="","",IF(AL58=$H58,"Part-Time",IF(AL58=$I58,"Full-Time","Casual"))))</f>
        <v/>
      </c>
      <c r="AP58" s="19"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None</v>
      </c>
      <c r="AQ58" s="19" t="str">
        <f aca="false">IF(AG58=0,"",IF(AI58&lt;2,"",IF(OR(ISNUMBER(SEARCH("full",AN58)),UPPER(TRIM(AN58))="FT",UPPER(TRIM(AN58))="FTE"),"FT",IF(AND(OR(ISNUMBER(SEARCH("part",AN58)),UPPER(TRIM(AN58))="PT",UPPER(TRIM(AN58))="PTE"),OR($P58="",N($P58)&gt;=PT_MinHours)),"PT","None"))))</f>
        <v/>
      </c>
      <c r="AR58" s="19" t="str">
        <f aca="false">IF(AG58=0,"",IF(AI58&lt;3,"",IF(OR(ISNUMBER(SEARCH("full",AO58)),UPPER(TRIM(AO58))="FT",UPPER(TRIM(AO58))="FTE"),"FT",IF(AND(OR(ISNUMBER(SEARCH("part",AO58)),UPPER(TRIM(AO58))="PT",UPPER(TRIM(AO58))="PTE"),OR($P58="",N($P58)&gt;=PT_MinHours)),"PT","None"))))</f>
        <v/>
      </c>
      <c r="AS58" s="19" t="str">
        <f aca="false">IF(AG58=0,"",IF(AND(AI58&gt;=3,AL58&lt;=AsOfDate),AR58,IF(AND(AI58&gt;=2,AK58&lt;=AsOfDate),AQ58,AP58)))</f>
        <v>None</v>
      </c>
      <c r="AT58" s="19" t="n">
        <f aca="false">IF(AG58=0,"",IF(AsOfDate&lt;AH58,-1,12*(YEAR(AsOfDate)-YEAR(AH58))+MONTH(AsOfDate)-MONTH(AH58)-IF(DAY(AsOfDate)&lt;MIN(DAY(AH58),DAY(EOMONTH(AsOfDate,0))),1,0)))</f>
        <v>7</v>
      </c>
      <c r="AU58" s="19" t="n">
        <f aca="false">IF(AG58=0,"",IF(OR(AI58&lt;2,AK58&gt;AsOfDate),AT58,IF((AK58-1)&lt;AH58,-1,12*(YEAR((AK58-1))-YEAR(AH58))+MONTH((AK58-1))-MONTH(AH58)-IF(DAY((AK58-1))&lt;MIN(DAY(AH58),DAY(EOMONTH((AK58-1),0))),1,0))))</f>
        <v>7</v>
      </c>
      <c r="AV58" s="19" t="n">
        <f aca="false">IF(AG58=0,"",IF(OR(AI58&lt;3,AL58&gt;AsOfDate),AT58,IF((AL58-1)&lt;AH58,-1,12*(YEAR((AL58-1))-YEAR(AH58))+MONTH((AL58-1))-MONTH(AH58)-IF(DAY((AL58-1))&lt;MIN(DAY(AH58),DAY(EOMONTH((AL58-1),0))),1,0))))</f>
        <v>7</v>
      </c>
      <c r="AW58" s="19" t="n">
        <f aca="false">IF(AG58=0,"",IF(PFYDate&lt;AH58,-1,12*(YEAR(PFYDate)-YEAR(AH58))+MONTH(PFYDate)-MONTH(AH58)-IF(DAY(PFYDate)&lt;MIN(DAY(AH58),DAY(EOMONTH(PFYDate,0))),1,0)))</f>
        <v>-1</v>
      </c>
      <c r="AX58" s="19" t="n">
        <f aca="false">IF(AG58=0,"",IF(OR(AI58&lt;2,AK58&gt;PFYDate),AW58,IF((AK58-1)&lt;AH58,-1,12*(YEAR((AK58-1))-YEAR(AH58))+MONTH((AK58-1))-MONTH(AH58)-IF(DAY((AK58-1))&lt;MIN(DAY(AH58),DAY(EOMONTH((AK58-1),0))),1,0))))</f>
        <v>-1</v>
      </c>
      <c r="AY58" s="19" t="n">
        <f aca="false">IF(AG58=0,"",IF(OR(AI58&lt;3,AL58&gt;PFYDate),AW58,IF((AL58-1)&lt;AH58,-1,12*(YEAR((AL58-1))-YEAR(AH58))+MONTH((AL58-1))-MONTH(AH58)-IF(DAY((AL58-1))&lt;MIN(DAY(AH58),DAY(EOMONTH((AL58-1),0))),1,0))))</f>
        <v>-1</v>
      </c>
      <c r="AZ58" s="19" t="n">
        <f aca="false">IF(AG58=0,"",IF(AP58="FT",IF(AU58&lt;FT_First,0,IF(AU58&lt;FT_Y5,1+INT((AU58-FT_First)/FT_Int1),FT_PreY5+FT_PerYear*INT((AU58-FT_Y5)/12)+FT_AnnivDays+INT(MOD(AU58-FT_Y5,12)/FT_Int2))),IF(AP58="PT",IF(AU58&lt;PT_First,0,1+INT((AU58-PT_First)/PT_Int)),0))+IF(AND(AI58&gt;=2,AK58&lt;=AsOfDate),IF(AQ58="FT",IF(AV58&lt;FT_First,0,IF(AV58&lt;FT_Y5,1+INT((AV58-FT_First)/FT_Int1),FT_PreY5+FT_PerYear*INT((AV58-FT_Y5)/12)+FT_AnnivDays+INT(MOD(AV58-FT_Y5,12)/FT_Int2))),IF(AQ58="PT",IF(AV58&lt;PT_First,0,1+INT((AV58-PT_First)/PT_Int)),0))-IF(AQ58="FT",IF(AU58&lt;FT_First,0,IF(AU58&lt;FT_Y5,1+INT((AU58-FT_First)/FT_Int1),FT_PreY5+FT_PerYear*INT((AU58-FT_Y5)/12)+FT_AnnivDays+INT(MOD(AU58-FT_Y5,12)/FT_Int2))),IF(AQ58="PT",IF(AU58&lt;PT_First,0,1+INT((AU58-PT_First)/PT_Int)),0)),0)+IF(AND(AI58&gt;=3,AL58&lt;=AsOfDate),IF(AR58="FT",IF(AT58&lt;FT_First,0,IF(AT58&lt;FT_Y5,1+INT((AT58-FT_First)/FT_Int1),FT_PreY5+FT_PerYear*INT((AT58-FT_Y5)/12)+FT_AnnivDays+INT(MOD(AT58-FT_Y5,12)/FT_Int2))),IF(AR58="PT",IF(AT58&lt;PT_First,0,1+INT((AT58-PT_First)/PT_Int)),0))-IF(AR58="FT",IF(AV58&lt;FT_First,0,IF(AV58&lt;FT_Y5,1+INT((AV58-FT_First)/FT_Int1),FT_PreY5+FT_PerYear*INT((AV58-FT_Y5)/12)+FT_AnnivDays+INT(MOD(AV58-FT_Y5,12)/FT_Int2))),IF(AR58="PT",IF(AV58&lt;PT_First,0,1+INT((AV58-PT_First)/PT_Int)),0)),0))</f>
        <v>0</v>
      </c>
      <c r="BA58" s="19" t="n">
        <f aca="false">IF(AG58=0,"",IF(AP58="FT",IF(AX58&lt;FT_First,0,IF(AX58&lt;FT_Y5,1+INT((AX58-FT_First)/FT_Int1),FT_PreY5+FT_PerYear*INT((AX58-FT_Y5)/12)+FT_AnnivDays+INT(MOD(AX58-FT_Y5,12)/FT_Int2))),IF(AP58="PT",IF(AX58&lt;PT_First,0,1+INT((AX58-PT_First)/PT_Int)),0))+IF(AND(AI58&gt;=2,AK58&lt;=PFYDate),IF(AQ58="FT",IF(AY58&lt;FT_First,0,IF(AY58&lt;FT_Y5,1+INT((AY58-FT_First)/FT_Int1),FT_PreY5+FT_PerYear*INT((AY58-FT_Y5)/12)+FT_AnnivDays+INT(MOD(AY58-FT_Y5,12)/FT_Int2))),IF(AQ58="PT",IF(AY58&lt;PT_First,0,1+INT((AY58-PT_First)/PT_Int)),0))-IF(AQ58="FT",IF(AX58&lt;FT_First,0,IF(AX58&lt;FT_Y5,1+INT((AX58-FT_First)/FT_Int1),FT_PreY5+FT_PerYear*INT((AX58-FT_Y5)/12)+FT_AnnivDays+INT(MOD(AX58-FT_Y5,12)/FT_Int2))),IF(AQ58="PT",IF(AX58&lt;PT_First,0,1+INT((AX58-PT_First)/PT_Int)),0)),0)+IF(AND(AI58&gt;=3,AL58&lt;=PFYDate),IF(AR58="FT",IF(AW58&lt;FT_First,0,IF(AW58&lt;FT_Y5,1+INT((AW58-FT_First)/FT_Int1),FT_PreY5+FT_PerYear*INT((AW58-FT_Y5)/12)+FT_AnnivDays+INT(MOD(AW58-FT_Y5,12)/FT_Int2))),IF(AR58="PT",IF(AW58&lt;PT_First,0,1+INT((AW58-PT_First)/PT_Int)),0))-IF(AR58="FT",IF(AY58&lt;FT_First,0,IF(AY58&lt;FT_Y5,1+INT((AY58-FT_First)/FT_Int1),FT_PreY5+FT_PerYear*INT((AY58-FT_Y5)/12)+FT_AnnivDays+INT(MOD(AY58-FT_Y5,12)/FT_Int2))),IF(AR58="PT",IF(AY58&lt;PT_First,0,1+INT((AY58-PT_First)/PT_Int)),0)),0))</f>
        <v>0</v>
      </c>
      <c r="BB58" s="19" t="str">
        <f aca="false">IF(AG58=0,"",IF(AS58="FT",IF(AT58&lt;FT_First,FT_First,IF(AT58&lt;FT_Y5,MIN(FT_Y5,FT_First+FT_Int1*(INT((AT58-FT_First)/FT_Int1)+1)),FT_Y5+12*INT((AT58-FT_Y5)/12)+FT_Int2*(INT(MOD(AT58-FT_Y5,12)/FT_Int2)+1))),IF(AS58="PT",IF(AT58&lt;PT_First,PT_First,PT_First+PT_Int*(INT((AT58-PT_First)/PT_Int)+1)),"")))</f>
        <v/>
      </c>
      <c r="BC58" s="19" t="n">
        <f aca="false">IF(AG58=0,"",IF(NOT(LH_Ready),0,COUNTIFS(INDEX(LH_Data,0,LH_ColFirst),$A58,INDEX(LH_Data,0,LH_ColSur),$B58,INDEX(LH_Data,0,LH_ColCat),BonusCat)))</f>
        <v>0</v>
      </c>
      <c r="BD58" s="19" t="n">
        <f aca="false">IF(AG58=0,"",IF(OR(NOT(LH_Ready),BC58=0),0,SUMPRODUCT(MAX((INDEX(LH_Data,0,LH_ColFirst)=$A58)*(INDEX(LH_Data,0,LH_ColSur)=$B58)*(INDEX(LH_Data,0,LH_ColCat)=BonusCat)*ROW(LH_Data)))))</f>
        <v>0</v>
      </c>
      <c r="BE58" s="19" t="n">
        <f aca="false">IF(AG58=0,"",IF(EOMONTH(AsOfDate,-1)&lt;AH58,-1,12*(YEAR(EOMONTH(AsOfDate,-1))-YEAR(AH58))+MONTH(EOMONTH(AsOfDate,-1))-MONTH(AH58)-IF(DAY(EOMONTH(AsOfDate,-1))&lt;MIN(DAY(AH58),DAY(EOMONTH(EOMONTH(AsOfDate,-1),0))),1,0)))</f>
        <v>7</v>
      </c>
      <c r="BF58" s="19" t="n">
        <f aca="false">IF(AG58=0,"",IF(OR(AI58&lt;2,AK58&gt;EOMONTH(AsOfDate,-1)),BE58,IF((AK58-1)&lt;AH58,-1,12*(YEAR((AK58-1))-YEAR(AH58))+MONTH((AK58-1))-MONTH(AH58)-IF(DAY((AK58-1))&lt;MIN(DAY(AH58),DAY(EOMONTH((AK58-1),0))),1,0))))</f>
        <v>7</v>
      </c>
      <c r="BG58" s="19" t="n">
        <f aca="false">IF(AG58=0,"",IF(OR(AI58&lt;3,AL58&gt;EOMONTH(AsOfDate,-1)),BE58,IF((AL58-1)&lt;AH58,-1,12*(YEAR((AL58-1))-YEAR(AH58))+MONTH((AL58-1))-MONTH(AH58)-IF(DAY((AL58-1))&lt;MIN(DAY(AH58),DAY(EOMONTH((AL58-1),0))),1,0))))</f>
        <v>7</v>
      </c>
      <c r="BH58" s="19" t="n">
        <f aca="false">IF(AG58=0,"",IF(AP58="FT",IF(BF58&lt;FT_First,0,IF(BF58&lt;FT_Y5,1+INT((BF58-FT_First)/FT_Int1),FT_PreY5+FT_PerYear*INT((BF58-FT_Y5)/12)+FT_AnnivDays+INT(MOD(BF58-FT_Y5,12)/FT_Int2))),IF(AP58="PT",IF(BF58&lt;PT_First,0,1+INT((BF58-PT_First)/PT_Int)),0))+IF(AND(AI58&gt;=2,AK58&lt;=EOMONTH(AsOfDate,-1)),IF(AQ58="FT",IF(BG58&lt;FT_First,0,IF(BG58&lt;FT_Y5,1+INT((BG58-FT_First)/FT_Int1),FT_PreY5+FT_PerYear*INT((BG58-FT_Y5)/12)+FT_AnnivDays+INT(MOD(BG58-FT_Y5,12)/FT_Int2))),IF(AQ58="PT",IF(BG58&lt;PT_First,0,1+INT((BG58-PT_First)/PT_Int)),0))-IF(AQ58="FT",IF(BF58&lt;FT_First,0,IF(BF58&lt;FT_Y5,1+INT((BF58-FT_First)/FT_Int1),FT_PreY5+FT_PerYear*INT((BF58-FT_Y5)/12)+FT_AnnivDays+INT(MOD(BF58-FT_Y5,12)/FT_Int2))),IF(AQ58="PT",IF(BF58&lt;PT_First,0,1+INT((BF58-PT_First)/PT_Int)),0)),0)+IF(AND(AI58&gt;=3,AL58&lt;=EOMONTH(AsOfDate,-1)),IF(AR58="FT",IF(BE58&lt;FT_First,0,IF(BE58&lt;FT_Y5,1+INT((BE58-FT_First)/FT_Int1),FT_PreY5+FT_PerYear*INT((BE58-FT_Y5)/12)+FT_AnnivDays+INT(MOD(BE58-FT_Y5,12)/FT_Int2))),IF(AR58="PT",IF(BE58&lt;PT_First,0,1+INT((BE58-PT_First)/PT_Int)),0))-IF(AR58="FT",IF(BG58&lt;FT_First,0,IF(BG58&lt;FT_Y5,1+INT((BG58-FT_First)/FT_Int1),FT_PreY5+FT_PerYear*INT((BG58-FT_Y5)/12)+FT_AnnivDays+INT(MOD(BG58-FT_Y5,12)/FT_Int2))),IF(AR58="PT",IF(BG58&lt;PT_First,0,1+INT((BG58-PT_First)/PT_Int)),0)),0))</f>
        <v>0</v>
      </c>
      <c r="BI58" s="19" t="str">
        <f aca="false">IF(AG58=0,"",IF(AS58="FT",IF(AT58&lt;FT_First,"",IF(AT58&lt;FT_Y5,FT_First+FT_Int1*INT((AT58-FT_First)/FT_Int1),FT_Y5+FT_Int2*INT((AT58-FT_Y5)/FT_Int2))),IF(AS58="PT",IF(AT58&lt;PT_First,"",PT_First+PT_Int*INT((AT58-PT_First)/PT_Int)),"")))</f>
        <v/>
      </c>
      <c r="BJ58" s="0" t="str">
        <f aca="false">IF(LEN($A58&amp;$B58)=0,"",$A58&amp;" "&amp;$B58)</f>
        <v>Peter Kiernan</v>
      </c>
    </row>
    <row r="59" customFormat="false" ht="15" hidden="false" customHeight="false" outlineLevel="0" collapsed="false">
      <c r="A59" s="15" t="s">
        <v>247</v>
      </c>
      <c r="B59" s="15" t="s">
        <v>177</v>
      </c>
      <c r="C59" s="15" t="s">
        <v>184</v>
      </c>
      <c r="D59" s="16" t="n">
        <v>25440</v>
      </c>
      <c r="E59" s="17" t="n">
        <f aca="false">IF(OR(AG59=0,$D59=""),"",DATE(YEAR(AsOfDate)+IF(DATE(YEAR(AsOfDate),MONTH($D59),DAY($D59))&lt;=AsOfDate,1,0),MONTH($D59),DAY($D59)))</f>
        <v>46624</v>
      </c>
      <c r="F59" s="16" t="n">
        <v>40665</v>
      </c>
      <c r="G59" s="16"/>
      <c r="H59" s="16" t="n">
        <v>45010</v>
      </c>
      <c r="I59" s="16" t="n">
        <v>40665</v>
      </c>
      <c r="J59" s="16"/>
      <c r="K59" s="17" t="n">
        <f aca="false">IF(AG59=0,"",DATE(YEAR(AsOfDate)+IF(DATE(YEAR(AsOfDate),MONTH(AH59),DAY(AH59))&lt;=AsOfDate,1,0),MONTH(AH59),DAY(AH59)))</f>
        <v>46509</v>
      </c>
      <c r="L59" s="18" t="n">
        <f aca="false">IF(AG59=0,"",ROUND((AsOfDate-AH59)/365.25,1))</f>
        <v>15.4</v>
      </c>
      <c r="M59" s="19" t="str">
        <f aca="false">IF(AG59=0,"",IF(AsOfDate&lt;AH59,"-",DATEDIF(AH59,AsOfDate,"y")&amp;"y "&amp;DATEDIF(AH59,AsOfDate,"ym")&amp;"m "&amp;DATEDIF(AH59,AsOfDate,"md")&amp;"d"))</f>
        <v>15y 5m 4d</v>
      </c>
      <c r="N59" s="20" t="n">
        <f aca="false">IF(AG59=0,"",O59*HoursPerDay)</f>
        <v>328</v>
      </c>
      <c r="O59" s="20" t="n">
        <f aca="false">IF(AG59=0,"",AZ59)</f>
        <v>41</v>
      </c>
      <c r="P59" s="21" t="n">
        <v>20</v>
      </c>
      <c r="Q59" s="19"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Full-Time to Part-Time on 25/03/2023 - STOPPED accruing</v>
      </c>
      <c r="R59" s="19"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17" t="str">
        <f aca="false">IF(AG59=0,"",IF(AS59="None","",EDATE(AH59,BB59)))</f>
        <v/>
      </c>
      <c r="T59" s="20" t="n">
        <f aca="false">IF(AG59=0,"",IF(NOT(LH_Ready),"",IF(AH59&gt;PFYDate,0,IF(LH_ColPeriod=0,W59-U59+V59,SUMIFS(INDEX(LH_Data,0,LH_ColAcc),INDEX(LH_Data,0,LH_ColFirst),$A59,INDEX(LH_Data,0,LH_ColSur),$B59,INDEX(LH_Data,0,LH_ColCat),BonusCat,INDEX(LH_Data,0,LH_ColPeriod),LH_OpenLabel)*UnitFactor))))</f>
        <v>0</v>
      </c>
      <c r="U59" s="20" t="n">
        <f aca="false">IF(AG59=0,"",IF(NOT(LH_Ready),"",SUMIFS(INDEX(LH_Data,0,LH_ColAcc),INDEX(LH_Data,0,LH_ColFirst),$A59,INDEX(LH_Data,0,LH_ColSur),$B59,INDEX(LH_Data,0,LH_ColCat),BonusCat,INDEX(LH_Data,0,LH_ColStart),"&gt;="&amp;AH59)*UnitFactor))</f>
        <v>0</v>
      </c>
      <c r="V59" s="20" t="n">
        <f aca="false">IF(AG59=0,"",IF(NOT(LH_Ready),"",SUMIFS(INDEX(LH_Data,0,LH_ColTaken),INDEX(LH_Data,0,LH_ColFirst),$A59,INDEX(LH_Data,0,LH_ColSur),$B59,INDEX(LH_Data,0,LH_ColCat),BonusCat,INDEX(LH_Data,0,LH_ColStart),"&gt;="&amp;AH59)*UnitFactor))</f>
        <v>0</v>
      </c>
      <c r="W59" s="20" t="n">
        <f aca="false">IF(AG59=0,"",IF(NOT(LH_Ready),"",IF(BD59=0,0,INDEX(INDEX(LH_Data,0,LH_ColClose),BD59-1)*UnitFactor)))</f>
        <v>0</v>
      </c>
      <c r="X59" s="20" t="n">
        <f aca="false">IF(AG59=0,"",(AZ59-BA59)*HoursPerDay)</f>
        <v>144</v>
      </c>
      <c r="Y59" s="20" t="n">
        <f aca="false">IF(AG59=0,"",IF(NOT(LH_Ready),"",IF(BC59=0,N59,IF(PFYDate&lt;$F59,N59-N(T59)-N(U59),X59-N(U59)))))</f>
        <v>328</v>
      </c>
      <c r="Z59" s="19" t="str">
        <f aca="false">IF(OR(AG59=0,Y59=""),"",IF(Y59&gt;0,"Yes","No"))</f>
        <v>Yes</v>
      </c>
      <c r="AA59" s="19"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ACCRUE 328 hrs (41 days): all catch-up from earlier months, nothing new this month; no Bonus Leave in EH yet</v>
      </c>
      <c r="AB59" s="20" t="n">
        <f aca="false">IF(OR(AG59=0,T59=""),"",BA59*HoursPerDay-T59)</f>
        <v>184</v>
      </c>
      <c r="AC59" s="19" t="n">
        <f aca="false">IF(AG59=0,"",BC59)</f>
        <v>0</v>
      </c>
      <c r="AD59" s="19"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20" t="n">
        <f aca="false">IF(AG59=0,"",O59-BH59)</f>
        <v>0</v>
      </c>
      <c r="AF59" s="17" t="str">
        <f aca="false">IF(OR(AG59=0,AE59="",N(AE59)=0,BI59=""),"",EDATE(AH59,BI59))</f>
        <v/>
      </c>
      <c r="AG59" s="19" t="n">
        <f aca="false">IF(OR(LEN($A59&amp;$B59)=0,$F59=""),0,1)</f>
        <v>1</v>
      </c>
      <c r="AH59" s="17" t="n">
        <f aca="false">IF(AG59=0,"",IF($J59&lt;&gt;"",$J59,IF(OR(CasualCounts="Yes",COUNT($G59:$I59)=0,COUNT($H59:$I59)=0),$F59,MIN($H59:$I59))))</f>
        <v>40665</v>
      </c>
      <c r="AI59" s="19" t="n">
        <f aca="false">IF(AG59=0,"",COUNT($G59:$I59))</f>
        <v>2</v>
      </c>
      <c r="AJ59" s="17" t="n">
        <f aca="false">IF(AG59=0,"",IFERROR(SMALL($G59:$I59,1),""))</f>
        <v>40665</v>
      </c>
      <c r="AK59" s="17" t="n">
        <f aca="false">IF(AG59=0,"",IFERROR(SMALL($G59:$I59,2),""))</f>
        <v>45010</v>
      </c>
      <c r="AL59" s="17" t="str">
        <f aca="false">IF(AG59=0,"",IFERROR(SMALL($G59:$I59,3),""))</f>
        <v/>
      </c>
      <c r="AM59" s="19" t="str">
        <f aca="false">IF(AG59=0,"",IF(AJ59="","",IF(AJ59=$H59,"Part-Time",IF(AJ59=$I59,"Full-Time","Casual"))))</f>
        <v>Full-Time</v>
      </c>
      <c r="AN59" s="19" t="str">
        <f aca="false">IF(AG59=0,"",IF(AK59="","",IF(AK59=$H59,"Part-Time",IF(AK59=$I59,"Full-Time","Casual"))))</f>
        <v>Part-Time</v>
      </c>
      <c r="AO59" s="19" t="str">
        <f aca="false">IF(AG59=0,"",IF(AL59="","",IF(AL59=$H59,"Part-Time",IF(AL59=$I59,"Full-Time","Casual"))))</f>
        <v/>
      </c>
      <c r="AP59" s="19"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FT</v>
      </c>
      <c r="AQ59" s="19" t="str">
        <f aca="false">IF(AG59=0,"",IF(AI59&lt;2,"",IF(OR(ISNUMBER(SEARCH("full",AN59)),UPPER(TRIM(AN59))="FT",UPPER(TRIM(AN59))="FTE"),"FT",IF(AND(OR(ISNUMBER(SEARCH("part",AN59)),UPPER(TRIM(AN59))="PT",UPPER(TRIM(AN59))="PTE"),OR($P59="",N($P59)&gt;=PT_MinHours)),"PT","None"))))</f>
        <v>None</v>
      </c>
      <c r="AR59" s="19" t="str">
        <f aca="false">IF(AG59=0,"",IF(AI59&lt;3,"",IF(OR(ISNUMBER(SEARCH("full",AO59)),UPPER(TRIM(AO59))="FT",UPPER(TRIM(AO59))="FTE"),"FT",IF(AND(OR(ISNUMBER(SEARCH("part",AO59)),UPPER(TRIM(AO59))="PT",UPPER(TRIM(AO59))="PTE"),OR($P59="",N($P59)&gt;=PT_MinHours)),"PT","None"))))</f>
        <v/>
      </c>
      <c r="AS59" s="19" t="str">
        <f aca="false">IF(AG59=0,"",IF(AND(AI59&gt;=3,AL59&lt;=AsOfDate),AR59,IF(AND(AI59&gt;=2,AK59&lt;=AsOfDate),AQ59,AP59)))</f>
        <v>None</v>
      </c>
      <c r="AT59" s="19" t="n">
        <f aca="false">IF(AG59=0,"",IF(AsOfDate&lt;AH59,-1,12*(YEAR(AsOfDate)-YEAR(AH59))+MONTH(AsOfDate)-MONTH(AH59)-IF(DAY(AsOfDate)&lt;MIN(DAY(AH59),DAY(EOMONTH(AsOfDate,0))),1,0)))</f>
        <v>185</v>
      </c>
      <c r="AU59" s="19" t="n">
        <f aca="false">IF(AG59=0,"",IF(OR(AI59&lt;2,AK59&gt;AsOfDate),AT59,IF((AK59-1)&lt;AH59,-1,12*(YEAR((AK59-1))-YEAR(AH59))+MONTH((AK59-1))-MONTH(AH59)-IF(DAY((AK59-1))&lt;MIN(DAY(AH59),DAY(EOMONTH((AK59-1),0))),1,0))))</f>
        <v>142</v>
      </c>
      <c r="AV59" s="19" t="n">
        <f aca="false">IF(AG59=0,"",IF(OR(AI59&lt;3,AL59&gt;AsOfDate),AT59,IF((AL59-1)&lt;AH59,-1,12*(YEAR((AL59-1))-YEAR(AH59))+MONTH((AL59-1))-MONTH(AH59)-IF(DAY((AL59-1))&lt;MIN(DAY(AH59),DAY(EOMONTH((AL59-1),0))),1,0))))</f>
        <v>185</v>
      </c>
      <c r="AW59" s="19" t="n">
        <f aca="false">IF(AG59=0,"",IF(PFYDate&lt;AH59,-1,12*(YEAR(PFYDate)-YEAR(AH59))+MONTH(PFYDate)-MONTH(AH59)-IF(DAY(PFYDate)&lt;MIN(DAY(AH59),DAY(EOMONTH(PFYDate,0))),1,0)))</f>
        <v>97</v>
      </c>
      <c r="AX59" s="19" t="n">
        <f aca="false">IF(AG59=0,"",IF(OR(AI59&lt;2,AK59&gt;PFYDate),AW59,IF((AK59-1)&lt;AH59,-1,12*(YEAR((AK59-1))-YEAR(AH59))+MONTH((AK59-1))-MONTH(AH59)-IF(DAY((AK59-1))&lt;MIN(DAY(AH59),DAY(EOMONTH((AK59-1),0))),1,0))))</f>
        <v>97</v>
      </c>
      <c r="AY59" s="19" t="n">
        <f aca="false">IF(AG59=0,"",IF(OR(AI59&lt;3,AL59&gt;PFYDate),AW59,IF((AL59-1)&lt;AH59,-1,12*(YEAR((AL59-1))-YEAR(AH59))+MONTH((AL59-1))-MONTH(AH59)-IF(DAY((AL59-1))&lt;MIN(DAY(AH59),DAY(EOMONTH((AL59-1),0))),1,0))))</f>
        <v>97</v>
      </c>
      <c r="AZ59" s="19" t="n">
        <f aca="false">IF(AG59=0,"",IF(AP59="FT",IF(AU59&lt;FT_First,0,IF(AU59&lt;FT_Y5,1+INT((AU59-FT_First)/FT_Int1),FT_PreY5+FT_PerYear*INT((AU59-FT_Y5)/12)+FT_AnnivDays+INT(MOD(AU59-FT_Y5,12)/FT_Int2))),IF(AP59="PT",IF(AU59&lt;PT_First,0,1+INT((AU59-PT_First)/PT_Int)),0))+IF(AND(AI59&gt;=2,AK59&lt;=AsOfDate),IF(AQ59="FT",IF(AV59&lt;FT_First,0,IF(AV59&lt;FT_Y5,1+INT((AV59-FT_First)/FT_Int1),FT_PreY5+FT_PerYear*INT((AV59-FT_Y5)/12)+FT_AnnivDays+INT(MOD(AV59-FT_Y5,12)/FT_Int2))),IF(AQ59="PT",IF(AV59&lt;PT_First,0,1+INT((AV59-PT_First)/PT_Int)),0))-IF(AQ59="FT",IF(AU59&lt;FT_First,0,IF(AU59&lt;FT_Y5,1+INT((AU59-FT_First)/FT_Int1),FT_PreY5+FT_PerYear*INT((AU59-FT_Y5)/12)+FT_AnnivDays+INT(MOD(AU59-FT_Y5,12)/FT_Int2))),IF(AQ59="PT",IF(AU59&lt;PT_First,0,1+INT((AU59-PT_First)/PT_Int)),0)),0)+IF(AND(AI59&gt;=3,AL59&lt;=AsOfDate),IF(AR59="FT",IF(AT59&lt;FT_First,0,IF(AT59&lt;FT_Y5,1+INT((AT59-FT_First)/FT_Int1),FT_PreY5+FT_PerYear*INT((AT59-FT_Y5)/12)+FT_AnnivDays+INT(MOD(AT59-FT_Y5,12)/FT_Int2))),IF(AR59="PT",IF(AT59&lt;PT_First,0,1+INT((AT59-PT_First)/PT_Int)),0))-IF(AR59="FT",IF(AV59&lt;FT_First,0,IF(AV59&lt;FT_Y5,1+INT((AV59-FT_First)/FT_Int1),FT_PreY5+FT_PerYear*INT((AV59-FT_Y5)/12)+FT_AnnivDays+INT(MOD(AV59-FT_Y5,12)/FT_Int2))),IF(AR59="PT",IF(AV59&lt;PT_First,0,1+INT((AV59-PT_First)/PT_Int)),0)),0))</f>
        <v>41</v>
      </c>
      <c r="BA59" s="19" t="n">
        <f aca="false">IF(AG59=0,"",IF(AP59="FT",IF(AX59&lt;FT_First,0,IF(AX59&lt;FT_Y5,1+INT((AX59-FT_First)/FT_Int1),FT_PreY5+FT_PerYear*INT((AX59-FT_Y5)/12)+FT_AnnivDays+INT(MOD(AX59-FT_Y5,12)/FT_Int2))),IF(AP59="PT",IF(AX59&lt;PT_First,0,1+INT((AX59-PT_First)/PT_Int)),0))+IF(AND(AI59&gt;=2,AK59&lt;=PFYDate),IF(AQ59="FT",IF(AY59&lt;FT_First,0,IF(AY59&lt;FT_Y5,1+INT((AY59-FT_First)/FT_Int1),FT_PreY5+FT_PerYear*INT((AY59-FT_Y5)/12)+FT_AnnivDays+INT(MOD(AY59-FT_Y5,12)/FT_Int2))),IF(AQ59="PT",IF(AY59&lt;PT_First,0,1+INT((AY59-PT_First)/PT_Int)),0))-IF(AQ59="FT",IF(AX59&lt;FT_First,0,IF(AX59&lt;FT_Y5,1+INT((AX59-FT_First)/FT_Int1),FT_PreY5+FT_PerYear*INT((AX59-FT_Y5)/12)+FT_AnnivDays+INT(MOD(AX59-FT_Y5,12)/FT_Int2))),IF(AQ59="PT",IF(AX59&lt;PT_First,0,1+INT((AX59-PT_First)/PT_Int)),0)),0)+IF(AND(AI59&gt;=3,AL59&lt;=PFYDate),IF(AR59="FT",IF(AW59&lt;FT_First,0,IF(AW59&lt;FT_Y5,1+INT((AW59-FT_First)/FT_Int1),FT_PreY5+FT_PerYear*INT((AW59-FT_Y5)/12)+FT_AnnivDays+INT(MOD(AW59-FT_Y5,12)/FT_Int2))),IF(AR59="PT",IF(AW59&lt;PT_First,0,1+INT((AW59-PT_First)/PT_Int)),0))-IF(AR59="FT",IF(AY59&lt;FT_First,0,IF(AY59&lt;FT_Y5,1+INT((AY59-FT_First)/FT_Int1),FT_PreY5+FT_PerYear*INT((AY59-FT_Y5)/12)+FT_AnnivDays+INT(MOD(AY59-FT_Y5,12)/FT_Int2))),IF(AR59="PT",IF(AY59&lt;PT_First,0,1+INT((AY59-PT_First)/PT_Int)),0)),0))</f>
        <v>23</v>
      </c>
      <c r="BB59" s="19" t="str">
        <f aca="false">IF(AG59=0,"",IF(AS59="FT",IF(AT59&lt;FT_First,FT_First,IF(AT59&lt;FT_Y5,MIN(FT_Y5,FT_First+FT_Int1*(INT((AT59-FT_First)/FT_Int1)+1)),FT_Y5+12*INT((AT59-FT_Y5)/12)+FT_Int2*(INT(MOD(AT59-FT_Y5,12)/FT_Int2)+1))),IF(AS59="PT",IF(AT59&lt;PT_First,PT_First,PT_First+PT_Int*(INT((AT59-PT_First)/PT_Int)+1)),"")))</f>
        <v/>
      </c>
      <c r="BC59" s="19" t="n">
        <f aca="false">IF(AG59=0,"",IF(NOT(LH_Ready),0,COUNTIFS(INDEX(LH_Data,0,LH_ColFirst),$A59,INDEX(LH_Data,0,LH_ColSur),$B59,INDEX(LH_Data,0,LH_ColCat),BonusCat)))</f>
        <v>0</v>
      </c>
      <c r="BD59" s="19" t="n">
        <f aca="false">IF(AG59=0,"",IF(OR(NOT(LH_Ready),BC59=0),0,SUMPRODUCT(MAX((INDEX(LH_Data,0,LH_ColFirst)=$A59)*(INDEX(LH_Data,0,LH_ColSur)=$B59)*(INDEX(LH_Data,0,LH_ColCat)=BonusCat)*ROW(LH_Data)))))</f>
        <v>0</v>
      </c>
      <c r="BE59" s="19" t="n">
        <f aca="false">IF(AG59=0,"",IF(EOMONTH(AsOfDate,-1)&lt;AH59,-1,12*(YEAR(EOMONTH(AsOfDate,-1))-YEAR(AH59))+MONTH(EOMONTH(AsOfDate,-1))-MONTH(AH59)-IF(DAY(EOMONTH(AsOfDate,-1))&lt;MIN(DAY(AH59),DAY(EOMONTH(EOMONTH(AsOfDate,-1),0))),1,0)))</f>
        <v>184</v>
      </c>
      <c r="BF59" s="19" t="n">
        <f aca="false">IF(AG59=0,"",IF(OR(AI59&lt;2,AK59&gt;EOMONTH(AsOfDate,-1)),BE59,IF((AK59-1)&lt;AH59,-1,12*(YEAR((AK59-1))-YEAR(AH59))+MONTH((AK59-1))-MONTH(AH59)-IF(DAY((AK59-1))&lt;MIN(DAY(AH59),DAY(EOMONTH((AK59-1),0))),1,0))))</f>
        <v>142</v>
      </c>
      <c r="BG59" s="19" t="n">
        <f aca="false">IF(AG59=0,"",IF(OR(AI59&lt;3,AL59&gt;EOMONTH(AsOfDate,-1)),BE59,IF((AL59-1)&lt;AH59,-1,12*(YEAR((AL59-1))-YEAR(AH59))+MONTH((AL59-1))-MONTH(AH59)-IF(DAY((AL59-1))&lt;MIN(DAY(AH59),DAY(EOMONTH((AL59-1),0))),1,0))))</f>
        <v>184</v>
      </c>
      <c r="BH59" s="19" t="n">
        <f aca="false">IF(AG59=0,"",IF(AP59="FT",IF(BF59&lt;FT_First,0,IF(BF59&lt;FT_Y5,1+INT((BF59-FT_First)/FT_Int1),FT_PreY5+FT_PerYear*INT((BF59-FT_Y5)/12)+FT_AnnivDays+INT(MOD(BF59-FT_Y5,12)/FT_Int2))),IF(AP59="PT",IF(BF59&lt;PT_First,0,1+INT((BF59-PT_First)/PT_Int)),0))+IF(AND(AI59&gt;=2,AK59&lt;=EOMONTH(AsOfDate,-1)),IF(AQ59="FT",IF(BG59&lt;FT_First,0,IF(BG59&lt;FT_Y5,1+INT((BG59-FT_First)/FT_Int1),FT_PreY5+FT_PerYear*INT((BG59-FT_Y5)/12)+FT_AnnivDays+INT(MOD(BG59-FT_Y5,12)/FT_Int2))),IF(AQ59="PT",IF(BG59&lt;PT_First,0,1+INT((BG59-PT_First)/PT_Int)),0))-IF(AQ59="FT",IF(BF59&lt;FT_First,0,IF(BF59&lt;FT_Y5,1+INT((BF59-FT_First)/FT_Int1),FT_PreY5+FT_PerYear*INT((BF59-FT_Y5)/12)+FT_AnnivDays+INT(MOD(BF59-FT_Y5,12)/FT_Int2))),IF(AQ59="PT",IF(BF59&lt;PT_First,0,1+INT((BF59-PT_First)/PT_Int)),0)),0)+IF(AND(AI59&gt;=3,AL59&lt;=EOMONTH(AsOfDate,-1)),IF(AR59="FT",IF(BE59&lt;FT_First,0,IF(BE59&lt;FT_Y5,1+INT((BE59-FT_First)/FT_Int1),FT_PreY5+FT_PerYear*INT((BE59-FT_Y5)/12)+FT_AnnivDays+INT(MOD(BE59-FT_Y5,12)/FT_Int2))),IF(AR59="PT",IF(BE59&lt;PT_First,0,1+INT((BE59-PT_First)/PT_Int)),0))-IF(AR59="FT",IF(BG59&lt;FT_First,0,IF(BG59&lt;FT_Y5,1+INT((BG59-FT_First)/FT_Int1),FT_PreY5+FT_PerYear*INT((BG59-FT_Y5)/12)+FT_AnnivDays+INT(MOD(BG59-FT_Y5,12)/FT_Int2))),IF(AR59="PT",IF(BG59&lt;PT_First,0,1+INT((BG59-PT_First)/PT_Int)),0)),0))</f>
        <v>41</v>
      </c>
      <c r="BI59" s="19" t="str">
        <f aca="false">IF(AG59=0,"",IF(AS59="FT",IF(AT59&lt;FT_First,"",IF(AT59&lt;FT_Y5,FT_First+FT_Int1*INT((AT59-FT_First)/FT_Int1),FT_Y5+FT_Int2*INT((AT59-FT_Y5)/FT_Int2))),IF(AS59="PT",IF(AT59&lt;PT_First,"",PT_First+PT_Int*INT((AT59-PT_First)/PT_Int)),"")))</f>
        <v/>
      </c>
      <c r="BJ59" s="0" t="str">
        <f aca="false">IF(LEN($A59&amp;$B59)=0,"",$A59&amp;" "&amp;$B59)</f>
        <v>Premila LUGSTEIN</v>
      </c>
    </row>
    <row r="60" customFormat="false" ht="15" hidden="false" customHeight="false" outlineLevel="0" collapsed="false">
      <c r="A60" s="15" t="s">
        <v>248</v>
      </c>
      <c r="B60" s="15" t="s">
        <v>249</v>
      </c>
      <c r="C60" s="15" t="s">
        <v>138</v>
      </c>
      <c r="D60" s="16" t="n">
        <v>36301</v>
      </c>
      <c r="E60" s="17" t="n">
        <f aca="false">IF(OR(AG60=0,$D60=""),"",DATE(YEAR(AsOfDate)+IF(DATE(YEAR(AsOfDate),MONTH($D60),DAY($D60))&lt;=AsOfDate,1,0),MONTH($D60),DAY($D60)))</f>
        <v>46528</v>
      </c>
      <c r="F60" s="16" t="n">
        <v>45775</v>
      </c>
      <c r="G60" s="16"/>
      <c r="H60" s="16"/>
      <c r="I60" s="16"/>
      <c r="J60" s="16"/>
      <c r="K60" s="17" t="n">
        <f aca="false">IF(AG60=0,"",DATE(YEAR(AsOfDate)+IF(DATE(YEAR(AsOfDate),MONTH(AH60),DAY(AH60))&lt;=AsOfDate,1,0),MONTH(AH60),DAY(AH60)))</f>
        <v>46505</v>
      </c>
      <c r="L60" s="18" t="n">
        <f aca="false">IF(AG60=0,"",ROUND((AsOfDate-AH60)/365.25,1))</f>
        <v>1.4</v>
      </c>
      <c r="M60" s="19" t="str">
        <f aca="false">IF(AG60=0,"",IF(AsOfDate&lt;AH60,"-",DATEDIF(AH60,AsOfDate,"y")&amp;"y "&amp;DATEDIF(AH60,AsOfDate,"ym")&amp;"m "&amp;DATEDIF(AH60,AsOfDate,"md")&amp;"d"))</f>
        <v>1y 5m 8d</v>
      </c>
      <c r="N60" s="20" t="n">
        <f aca="false">IF(AG60=0,"",O60*HoursPerDay)</f>
        <v>0</v>
      </c>
      <c r="O60" s="20" t="n">
        <f aca="false">IF(AG60=0,"",AZ60)</f>
        <v>0</v>
      </c>
      <c r="P60" s="21"/>
      <c r="Q60" s="19"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19"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17" t="str">
        <f aca="false">IF(AG60=0,"",IF(AS60="None","",EDATE(AH60,BB60)))</f>
        <v/>
      </c>
      <c r="T60" s="20" t="n">
        <f aca="false">IF(AG60=0,"",IF(NOT(LH_Ready),"",IF(AH60&gt;PFYDate,0,IF(LH_ColPeriod=0,W60-U60+V60,SUMIFS(INDEX(LH_Data,0,LH_ColAcc),INDEX(LH_Data,0,LH_ColFirst),$A60,INDEX(LH_Data,0,LH_ColSur),$B60,INDEX(LH_Data,0,LH_ColCat),BonusCat,INDEX(LH_Data,0,LH_ColPeriod),LH_OpenLabel)*UnitFactor))))</f>
        <v>0</v>
      </c>
      <c r="U60" s="20" t="n">
        <f aca="false">IF(AG60=0,"",IF(NOT(LH_Ready),"",SUMIFS(INDEX(LH_Data,0,LH_ColAcc),INDEX(LH_Data,0,LH_ColFirst),$A60,INDEX(LH_Data,0,LH_ColSur),$B60,INDEX(LH_Data,0,LH_ColCat),BonusCat,INDEX(LH_Data,0,LH_ColStart),"&gt;="&amp;AH60)*UnitFactor))</f>
        <v>0</v>
      </c>
      <c r="V60" s="20" t="n">
        <f aca="false">IF(AG60=0,"",IF(NOT(LH_Ready),"",SUMIFS(INDEX(LH_Data,0,LH_ColTaken),INDEX(LH_Data,0,LH_ColFirst),$A60,INDEX(LH_Data,0,LH_ColSur),$B60,INDEX(LH_Data,0,LH_ColCat),BonusCat,INDEX(LH_Data,0,LH_ColStart),"&gt;="&amp;AH60)*UnitFactor))</f>
        <v>0</v>
      </c>
      <c r="W60" s="20" t="n">
        <f aca="false">IF(AG60=0,"",IF(NOT(LH_Ready),"",IF(BD60=0,0,INDEX(INDEX(LH_Data,0,LH_ColClose),BD60-1)*UnitFactor)))</f>
        <v>0</v>
      </c>
      <c r="X60" s="20" t="n">
        <f aca="false">IF(AG60=0,"",(AZ60-BA60)*HoursPerDay)</f>
        <v>0</v>
      </c>
      <c r="Y60" s="20" t="n">
        <f aca="false">IF(AG60=0,"",IF(NOT(LH_Ready),"",IF(BC60=0,N60,IF(PFYDate&lt;$F60,N60-N(T60)-N(U60),X60-N(U60)))))</f>
        <v>0</v>
      </c>
      <c r="Z60" s="19" t="str">
        <f aca="false">IF(OR(AG60=0,Y60=""),"",IF(Y60&gt;0,"Yes","No"))</f>
        <v>No</v>
      </c>
      <c r="AA60" s="19"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Not eligible - Casual</v>
      </c>
      <c r="AB60" s="20" t="n">
        <f aca="false">IF(OR(AG60=0,T60=""),"",BA60*HoursPerDay-T60)</f>
        <v>0</v>
      </c>
      <c r="AC60" s="19" t="n">
        <f aca="false">IF(AG60=0,"",BC60)</f>
        <v>0</v>
      </c>
      <c r="AD60" s="19"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20" t="n">
        <f aca="false">IF(AG60=0,"",O60-BH60)</f>
        <v>0</v>
      </c>
      <c r="AF60" s="17" t="str">
        <f aca="false">IF(OR(AG60=0,AE60="",N(AE60)=0,BI60=""),"",EDATE(AH60,BI60))</f>
        <v/>
      </c>
      <c r="AG60" s="19" t="n">
        <f aca="false">IF(OR(LEN($A60&amp;$B60)=0,$F60=""),0,1)</f>
        <v>1</v>
      </c>
      <c r="AH60" s="17" t="n">
        <f aca="false">IF(AG60=0,"",IF($J60&lt;&gt;"",$J60,IF(OR(CasualCounts="Yes",COUNT($G60:$I60)=0,COUNT($H60:$I60)=0),$F60,MIN($H60:$I60))))</f>
        <v>45775</v>
      </c>
      <c r="AI60" s="19" t="n">
        <f aca="false">IF(AG60=0,"",COUNT($G60:$I60))</f>
        <v>0</v>
      </c>
      <c r="AJ60" s="17" t="str">
        <f aca="false">IF(AG60=0,"",IFERROR(SMALL($G60:$I60,1),""))</f>
        <v/>
      </c>
      <c r="AK60" s="17" t="str">
        <f aca="false">IF(AG60=0,"",IFERROR(SMALL($G60:$I60,2),""))</f>
        <v/>
      </c>
      <c r="AL60" s="17" t="str">
        <f aca="false">IF(AG60=0,"",IFERROR(SMALL($G60:$I60,3),""))</f>
        <v/>
      </c>
      <c r="AM60" s="19" t="str">
        <f aca="false">IF(AG60=0,"",IF(AJ60="","",IF(AJ60=$H60,"Part-Time",IF(AJ60=$I60,"Full-Time","Casual"))))</f>
        <v/>
      </c>
      <c r="AN60" s="19" t="str">
        <f aca="false">IF(AG60=0,"",IF(AK60="","",IF(AK60=$H60,"Part-Time",IF(AK60=$I60,"Full-Time","Casual"))))</f>
        <v/>
      </c>
      <c r="AO60" s="19" t="str">
        <f aca="false">IF(AG60=0,"",IF(AL60="","",IF(AL60=$H60,"Part-Time",IF(AL60=$I60,"Full-Time","Casual"))))</f>
        <v/>
      </c>
      <c r="AP60" s="19"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None</v>
      </c>
      <c r="AQ60" s="19" t="str">
        <f aca="false">IF(AG60=0,"",IF(AI60&lt;2,"",IF(OR(ISNUMBER(SEARCH("full",AN60)),UPPER(TRIM(AN60))="FT",UPPER(TRIM(AN60))="FTE"),"FT",IF(AND(OR(ISNUMBER(SEARCH("part",AN60)),UPPER(TRIM(AN60))="PT",UPPER(TRIM(AN60))="PTE"),OR($P60="",N($P60)&gt;=PT_MinHours)),"PT","None"))))</f>
        <v/>
      </c>
      <c r="AR60" s="19" t="str">
        <f aca="false">IF(AG60=0,"",IF(AI60&lt;3,"",IF(OR(ISNUMBER(SEARCH("full",AO60)),UPPER(TRIM(AO60))="FT",UPPER(TRIM(AO60))="FTE"),"FT",IF(AND(OR(ISNUMBER(SEARCH("part",AO60)),UPPER(TRIM(AO60))="PT",UPPER(TRIM(AO60))="PTE"),OR($P60="",N($P60)&gt;=PT_MinHours)),"PT","None"))))</f>
        <v/>
      </c>
      <c r="AS60" s="19" t="str">
        <f aca="false">IF(AG60=0,"",IF(AND(AI60&gt;=3,AL60&lt;=AsOfDate),AR60,IF(AND(AI60&gt;=2,AK60&lt;=AsOfDate),AQ60,AP60)))</f>
        <v>None</v>
      </c>
      <c r="AT60" s="19" t="n">
        <f aca="false">IF(AG60=0,"",IF(AsOfDate&lt;AH60,-1,12*(YEAR(AsOfDate)-YEAR(AH60))+MONTH(AsOfDate)-MONTH(AH60)-IF(DAY(AsOfDate)&lt;MIN(DAY(AH60),DAY(EOMONTH(AsOfDate,0))),1,0)))</f>
        <v>17</v>
      </c>
      <c r="AU60" s="19" t="n">
        <f aca="false">IF(AG60=0,"",IF(OR(AI60&lt;2,AK60&gt;AsOfDate),AT60,IF((AK60-1)&lt;AH60,-1,12*(YEAR((AK60-1))-YEAR(AH60))+MONTH((AK60-1))-MONTH(AH60)-IF(DAY((AK60-1))&lt;MIN(DAY(AH60),DAY(EOMONTH((AK60-1),0))),1,0))))</f>
        <v>17</v>
      </c>
      <c r="AV60" s="19" t="n">
        <f aca="false">IF(AG60=0,"",IF(OR(AI60&lt;3,AL60&gt;AsOfDate),AT60,IF((AL60-1)&lt;AH60,-1,12*(YEAR((AL60-1))-YEAR(AH60))+MONTH((AL60-1))-MONTH(AH60)-IF(DAY((AL60-1))&lt;MIN(DAY(AH60),DAY(EOMONTH((AL60-1),0))),1,0))))</f>
        <v>17</v>
      </c>
      <c r="AW60" s="19" t="n">
        <f aca="false">IF(AG60=0,"",IF(PFYDate&lt;AH60,-1,12*(YEAR(PFYDate)-YEAR(AH60))+MONTH(PFYDate)-MONTH(AH60)-IF(DAY(PFYDate)&lt;MIN(DAY(AH60),DAY(EOMONTH(PFYDate,0))),1,0)))</f>
        <v>-1</v>
      </c>
      <c r="AX60" s="19" t="n">
        <f aca="false">IF(AG60=0,"",IF(OR(AI60&lt;2,AK60&gt;PFYDate),AW60,IF((AK60-1)&lt;AH60,-1,12*(YEAR((AK60-1))-YEAR(AH60))+MONTH((AK60-1))-MONTH(AH60)-IF(DAY((AK60-1))&lt;MIN(DAY(AH60),DAY(EOMONTH((AK60-1),0))),1,0))))</f>
        <v>-1</v>
      </c>
      <c r="AY60" s="19" t="n">
        <f aca="false">IF(AG60=0,"",IF(OR(AI60&lt;3,AL60&gt;PFYDate),AW60,IF((AL60-1)&lt;AH60,-1,12*(YEAR((AL60-1))-YEAR(AH60))+MONTH((AL60-1))-MONTH(AH60)-IF(DAY((AL60-1))&lt;MIN(DAY(AH60),DAY(EOMONTH((AL60-1),0))),1,0))))</f>
        <v>-1</v>
      </c>
      <c r="AZ60" s="19" t="n">
        <f aca="false">IF(AG60=0,"",IF(AP60="FT",IF(AU60&lt;FT_First,0,IF(AU60&lt;FT_Y5,1+INT((AU60-FT_First)/FT_Int1),FT_PreY5+FT_PerYear*INT((AU60-FT_Y5)/12)+FT_AnnivDays+INT(MOD(AU60-FT_Y5,12)/FT_Int2))),IF(AP60="PT",IF(AU60&lt;PT_First,0,1+INT((AU60-PT_First)/PT_Int)),0))+IF(AND(AI60&gt;=2,AK60&lt;=AsOfDate),IF(AQ60="FT",IF(AV60&lt;FT_First,0,IF(AV60&lt;FT_Y5,1+INT((AV60-FT_First)/FT_Int1),FT_PreY5+FT_PerYear*INT((AV60-FT_Y5)/12)+FT_AnnivDays+INT(MOD(AV60-FT_Y5,12)/FT_Int2))),IF(AQ60="PT",IF(AV60&lt;PT_First,0,1+INT((AV60-PT_First)/PT_Int)),0))-IF(AQ60="FT",IF(AU60&lt;FT_First,0,IF(AU60&lt;FT_Y5,1+INT((AU60-FT_First)/FT_Int1),FT_PreY5+FT_PerYear*INT((AU60-FT_Y5)/12)+FT_AnnivDays+INT(MOD(AU60-FT_Y5,12)/FT_Int2))),IF(AQ60="PT",IF(AU60&lt;PT_First,0,1+INT((AU60-PT_First)/PT_Int)),0)),0)+IF(AND(AI60&gt;=3,AL60&lt;=AsOfDate),IF(AR60="FT",IF(AT60&lt;FT_First,0,IF(AT60&lt;FT_Y5,1+INT((AT60-FT_First)/FT_Int1),FT_PreY5+FT_PerYear*INT((AT60-FT_Y5)/12)+FT_AnnivDays+INT(MOD(AT60-FT_Y5,12)/FT_Int2))),IF(AR60="PT",IF(AT60&lt;PT_First,0,1+INT((AT60-PT_First)/PT_Int)),0))-IF(AR60="FT",IF(AV60&lt;FT_First,0,IF(AV60&lt;FT_Y5,1+INT((AV60-FT_First)/FT_Int1),FT_PreY5+FT_PerYear*INT((AV60-FT_Y5)/12)+FT_AnnivDays+INT(MOD(AV60-FT_Y5,12)/FT_Int2))),IF(AR60="PT",IF(AV60&lt;PT_First,0,1+INT((AV60-PT_First)/PT_Int)),0)),0))</f>
        <v>0</v>
      </c>
      <c r="BA60" s="19" t="n">
        <f aca="false">IF(AG60=0,"",IF(AP60="FT",IF(AX60&lt;FT_First,0,IF(AX60&lt;FT_Y5,1+INT((AX60-FT_First)/FT_Int1),FT_PreY5+FT_PerYear*INT((AX60-FT_Y5)/12)+FT_AnnivDays+INT(MOD(AX60-FT_Y5,12)/FT_Int2))),IF(AP60="PT",IF(AX60&lt;PT_First,0,1+INT((AX60-PT_First)/PT_Int)),0))+IF(AND(AI60&gt;=2,AK60&lt;=PFYDate),IF(AQ60="FT",IF(AY60&lt;FT_First,0,IF(AY60&lt;FT_Y5,1+INT((AY60-FT_First)/FT_Int1),FT_PreY5+FT_PerYear*INT((AY60-FT_Y5)/12)+FT_AnnivDays+INT(MOD(AY60-FT_Y5,12)/FT_Int2))),IF(AQ60="PT",IF(AY60&lt;PT_First,0,1+INT((AY60-PT_First)/PT_Int)),0))-IF(AQ60="FT",IF(AX60&lt;FT_First,0,IF(AX60&lt;FT_Y5,1+INT((AX60-FT_First)/FT_Int1),FT_PreY5+FT_PerYear*INT((AX60-FT_Y5)/12)+FT_AnnivDays+INT(MOD(AX60-FT_Y5,12)/FT_Int2))),IF(AQ60="PT",IF(AX60&lt;PT_First,0,1+INT((AX60-PT_First)/PT_Int)),0)),0)+IF(AND(AI60&gt;=3,AL60&lt;=PFYDate),IF(AR60="FT",IF(AW60&lt;FT_First,0,IF(AW60&lt;FT_Y5,1+INT((AW60-FT_First)/FT_Int1),FT_PreY5+FT_PerYear*INT((AW60-FT_Y5)/12)+FT_AnnivDays+INT(MOD(AW60-FT_Y5,12)/FT_Int2))),IF(AR60="PT",IF(AW60&lt;PT_First,0,1+INT((AW60-PT_First)/PT_Int)),0))-IF(AR60="FT",IF(AY60&lt;FT_First,0,IF(AY60&lt;FT_Y5,1+INT((AY60-FT_First)/FT_Int1),FT_PreY5+FT_PerYear*INT((AY60-FT_Y5)/12)+FT_AnnivDays+INT(MOD(AY60-FT_Y5,12)/FT_Int2))),IF(AR60="PT",IF(AY60&lt;PT_First,0,1+INT((AY60-PT_First)/PT_Int)),0)),0))</f>
        <v>0</v>
      </c>
      <c r="BB60" s="19" t="str">
        <f aca="false">IF(AG60=0,"",IF(AS60="FT",IF(AT60&lt;FT_First,FT_First,IF(AT60&lt;FT_Y5,MIN(FT_Y5,FT_First+FT_Int1*(INT((AT60-FT_First)/FT_Int1)+1)),FT_Y5+12*INT((AT60-FT_Y5)/12)+FT_Int2*(INT(MOD(AT60-FT_Y5,12)/FT_Int2)+1))),IF(AS60="PT",IF(AT60&lt;PT_First,PT_First,PT_First+PT_Int*(INT((AT60-PT_First)/PT_Int)+1)),"")))</f>
        <v/>
      </c>
      <c r="BC60" s="19" t="n">
        <f aca="false">IF(AG60=0,"",IF(NOT(LH_Ready),0,COUNTIFS(INDEX(LH_Data,0,LH_ColFirst),$A60,INDEX(LH_Data,0,LH_ColSur),$B60,INDEX(LH_Data,0,LH_ColCat),BonusCat)))</f>
        <v>0</v>
      </c>
      <c r="BD60" s="19" t="n">
        <f aca="false">IF(AG60=0,"",IF(OR(NOT(LH_Ready),BC60=0),0,SUMPRODUCT(MAX((INDEX(LH_Data,0,LH_ColFirst)=$A60)*(INDEX(LH_Data,0,LH_ColSur)=$B60)*(INDEX(LH_Data,0,LH_ColCat)=BonusCat)*ROW(LH_Data)))))</f>
        <v>0</v>
      </c>
      <c r="BE60" s="19" t="n">
        <f aca="false">IF(AG60=0,"",IF(EOMONTH(AsOfDate,-1)&lt;AH60,-1,12*(YEAR(EOMONTH(AsOfDate,-1))-YEAR(AH60))+MONTH(EOMONTH(AsOfDate,-1))-MONTH(AH60)-IF(DAY(EOMONTH(AsOfDate,-1))&lt;MIN(DAY(AH60),DAY(EOMONTH(EOMONTH(AsOfDate,-1),0))),1,0)))</f>
        <v>17</v>
      </c>
      <c r="BF60" s="19" t="n">
        <f aca="false">IF(AG60=0,"",IF(OR(AI60&lt;2,AK60&gt;EOMONTH(AsOfDate,-1)),BE60,IF((AK60-1)&lt;AH60,-1,12*(YEAR((AK60-1))-YEAR(AH60))+MONTH((AK60-1))-MONTH(AH60)-IF(DAY((AK60-1))&lt;MIN(DAY(AH60),DAY(EOMONTH((AK60-1),0))),1,0))))</f>
        <v>17</v>
      </c>
      <c r="BG60" s="19" t="n">
        <f aca="false">IF(AG60=0,"",IF(OR(AI60&lt;3,AL60&gt;EOMONTH(AsOfDate,-1)),BE60,IF((AL60-1)&lt;AH60,-1,12*(YEAR((AL60-1))-YEAR(AH60))+MONTH((AL60-1))-MONTH(AH60)-IF(DAY((AL60-1))&lt;MIN(DAY(AH60),DAY(EOMONTH((AL60-1),0))),1,0))))</f>
        <v>17</v>
      </c>
      <c r="BH60" s="19" t="n">
        <f aca="false">IF(AG60=0,"",IF(AP60="FT",IF(BF60&lt;FT_First,0,IF(BF60&lt;FT_Y5,1+INT((BF60-FT_First)/FT_Int1),FT_PreY5+FT_PerYear*INT((BF60-FT_Y5)/12)+FT_AnnivDays+INT(MOD(BF60-FT_Y5,12)/FT_Int2))),IF(AP60="PT",IF(BF60&lt;PT_First,0,1+INT((BF60-PT_First)/PT_Int)),0))+IF(AND(AI60&gt;=2,AK60&lt;=EOMONTH(AsOfDate,-1)),IF(AQ60="FT",IF(BG60&lt;FT_First,0,IF(BG60&lt;FT_Y5,1+INT((BG60-FT_First)/FT_Int1),FT_PreY5+FT_PerYear*INT((BG60-FT_Y5)/12)+FT_AnnivDays+INT(MOD(BG60-FT_Y5,12)/FT_Int2))),IF(AQ60="PT",IF(BG60&lt;PT_First,0,1+INT((BG60-PT_First)/PT_Int)),0))-IF(AQ60="FT",IF(BF60&lt;FT_First,0,IF(BF60&lt;FT_Y5,1+INT((BF60-FT_First)/FT_Int1),FT_PreY5+FT_PerYear*INT((BF60-FT_Y5)/12)+FT_AnnivDays+INT(MOD(BF60-FT_Y5,12)/FT_Int2))),IF(AQ60="PT",IF(BF60&lt;PT_First,0,1+INT((BF60-PT_First)/PT_Int)),0)),0)+IF(AND(AI60&gt;=3,AL60&lt;=EOMONTH(AsOfDate,-1)),IF(AR60="FT",IF(BE60&lt;FT_First,0,IF(BE60&lt;FT_Y5,1+INT((BE60-FT_First)/FT_Int1),FT_PreY5+FT_PerYear*INT((BE60-FT_Y5)/12)+FT_AnnivDays+INT(MOD(BE60-FT_Y5,12)/FT_Int2))),IF(AR60="PT",IF(BE60&lt;PT_First,0,1+INT((BE60-PT_First)/PT_Int)),0))-IF(AR60="FT",IF(BG60&lt;FT_First,0,IF(BG60&lt;FT_Y5,1+INT((BG60-FT_First)/FT_Int1),FT_PreY5+FT_PerYear*INT((BG60-FT_Y5)/12)+FT_AnnivDays+INT(MOD(BG60-FT_Y5,12)/FT_Int2))),IF(AR60="PT",IF(BG60&lt;PT_First,0,1+INT((BG60-PT_First)/PT_Int)),0)),0))</f>
        <v>0</v>
      </c>
      <c r="BI60" s="19" t="str">
        <f aca="false">IF(AG60=0,"",IF(AS60="FT",IF(AT60&lt;FT_First,"",IF(AT60&lt;FT_Y5,FT_First+FT_Int1*INT((AT60-FT_First)/FT_Int1),FT_Y5+FT_Int2*INT((AT60-FT_Y5)/FT_Int2))),IF(AS60="PT",IF(AT60&lt;PT_First,"",PT_First+PT_Int*INT((AT60-PT_First)/PT_Int)),"")))</f>
        <v/>
      </c>
      <c r="BJ60" s="0" t="str">
        <f aca="false">IF(LEN($A60&amp;$B60)=0,"",$A60&amp;" "&amp;$B60)</f>
        <v>Raigardas Breskys</v>
      </c>
    </row>
    <row r="61" customFormat="false" ht="15" hidden="false" customHeight="false" outlineLevel="0" collapsed="false">
      <c r="A61" s="15" t="s">
        <v>250</v>
      </c>
      <c r="B61" s="15" t="s">
        <v>251</v>
      </c>
      <c r="C61" s="15" t="s">
        <v>138</v>
      </c>
      <c r="D61" s="16" t="n">
        <v>32847</v>
      </c>
      <c r="E61" s="17" t="n">
        <f aca="false">IF(OR(AG61=0,$D61=""),"",DATE(YEAR(AsOfDate)+IF(DATE(YEAR(AsOfDate),MONTH($D61),DAY($D61))&lt;=AsOfDate,1,0),MONTH($D61),DAY($D61)))</f>
        <v>46361</v>
      </c>
      <c r="F61" s="16" t="n">
        <v>44677</v>
      </c>
      <c r="G61" s="16"/>
      <c r="H61" s="16"/>
      <c r="I61" s="16"/>
      <c r="J61" s="16"/>
      <c r="K61" s="17" t="n">
        <f aca="false">IF(AG61=0,"",DATE(YEAR(AsOfDate)+IF(DATE(YEAR(AsOfDate),MONTH(AH61),DAY(AH61))&lt;=AsOfDate,1,0),MONTH(AH61),DAY(AH61)))</f>
        <v>46503</v>
      </c>
      <c r="L61" s="18" t="n">
        <f aca="false">IF(AG61=0,"",ROUND((AsOfDate-AH61)/365.25,1))</f>
        <v>4.4</v>
      </c>
      <c r="M61" s="19" t="str">
        <f aca="false">IF(AG61=0,"",IF(AsOfDate&lt;AH61,"-",DATEDIF(AH61,AsOfDate,"y")&amp;"y "&amp;DATEDIF(AH61,AsOfDate,"ym")&amp;"m "&amp;DATEDIF(AH61,AsOfDate,"md")&amp;"d"))</f>
        <v>4y 5m 10d</v>
      </c>
      <c r="N61" s="20" t="n">
        <f aca="false">IF(AG61=0,"",O61*HoursPerDay)</f>
        <v>0</v>
      </c>
      <c r="O61" s="20" t="n">
        <f aca="false">IF(AG61=0,"",AZ61)</f>
        <v>0</v>
      </c>
      <c r="P61" s="21"/>
      <c r="Q61" s="19"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19"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17" t="str">
        <f aca="false">IF(AG61=0,"",IF(AS61="None","",EDATE(AH61,BB61)))</f>
        <v/>
      </c>
      <c r="T61" s="20" t="n">
        <f aca="false">IF(AG61=0,"",IF(NOT(LH_Ready),"",IF(AH61&gt;PFYDate,0,IF(LH_ColPeriod=0,W61-U61+V61,SUMIFS(INDEX(LH_Data,0,LH_ColAcc),INDEX(LH_Data,0,LH_ColFirst),$A61,INDEX(LH_Data,0,LH_ColSur),$B61,INDEX(LH_Data,0,LH_ColCat),BonusCat,INDEX(LH_Data,0,LH_ColPeriod),LH_OpenLabel)*UnitFactor))))</f>
        <v>0</v>
      </c>
      <c r="U61" s="20" t="n">
        <f aca="false">IF(AG61=0,"",IF(NOT(LH_Ready),"",SUMIFS(INDEX(LH_Data,0,LH_ColAcc),INDEX(LH_Data,0,LH_ColFirst),$A61,INDEX(LH_Data,0,LH_ColSur),$B61,INDEX(LH_Data,0,LH_ColCat),BonusCat,INDEX(LH_Data,0,LH_ColStart),"&gt;="&amp;AH61)*UnitFactor))</f>
        <v>0</v>
      </c>
      <c r="V61" s="20" t="n">
        <f aca="false">IF(AG61=0,"",IF(NOT(LH_Ready),"",SUMIFS(INDEX(LH_Data,0,LH_ColTaken),INDEX(LH_Data,0,LH_ColFirst),$A61,INDEX(LH_Data,0,LH_ColSur),$B61,INDEX(LH_Data,0,LH_ColCat),BonusCat,INDEX(LH_Data,0,LH_ColStart),"&gt;="&amp;AH61)*UnitFactor))</f>
        <v>0</v>
      </c>
      <c r="W61" s="20" t="n">
        <f aca="false">IF(AG61=0,"",IF(NOT(LH_Ready),"",IF(BD61=0,0,INDEX(INDEX(LH_Data,0,LH_ColClose),BD61-1)*UnitFactor)))</f>
        <v>0</v>
      </c>
      <c r="X61" s="20" t="n">
        <f aca="false">IF(AG61=0,"",(AZ61-BA61)*HoursPerDay)</f>
        <v>0</v>
      </c>
      <c r="Y61" s="20" t="n">
        <f aca="false">IF(AG61=0,"",IF(NOT(LH_Ready),"",IF(BC61=0,N61,IF(PFYDate&lt;$F61,N61-N(T61)-N(U61),X61-N(U61)))))</f>
        <v>0</v>
      </c>
      <c r="Z61" s="19" t="str">
        <f aca="false">IF(OR(AG61=0,Y61=""),"",IF(Y61&gt;0,"Yes","No"))</f>
        <v>No</v>
      </c>
      <c r="AA61" s="19"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Not eligible - Casual</v>
      </c>
      <c r="AB61" s="20" t="n">
        <f aca="false">IF(OR(AG61=0,T61=""),"",BA61*HoursPerDay-T61)</f>
        <v>0</v>
      </c>
      <c r="AC61" s="19" t="n">
        <f aca="false">IF(AG61=0,"",BC61)</f>
        <v>0</v>
      </c>
      <c r="AD61" s="19"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20" t="n">
        <f aca="false">IF(AG61=0,"",O61-BH61)</f>
        <v>0</v>
      </c>
      <c r="AF61" s="17" t="str">
        <f aca="false">IF(OR(AG61=0,AE61="",N(AE61)=0,BI61=""),"",EDATE(AH61,BI61))</f>
        <v/>
      </c>
      <c r="AG61" s="19" t="n">
        <f aca="false">IF(OR(LEN($A61&amp;$B61)=0,$F61=""),0,1)</f>
        <v>1</v>
      </c>
      <c r="AH61" s="17" t="n">
        <f aca="false">IF(AG61=0,"",IF($J61&lt;&gt;"",$J61,IF(OR(CasualCounts="Yes",COUNT($G61:$I61)=0,COUNT($H61:$I61)=0),$F61,MIN($H61:$I61))))</f>
        <v>44677</v>
      </c>
      <c r="AI61" s="19" t="n">
        <f aca="false">IF(AG61=0,"",COUNT($G61:$I61))</f>
        <v>0</v>
      </c>
      <c r="AJ61" s="17" t="str">
        <f aca="false">IF(AG61=0,"",IFERROR(SMALL($G61:$I61,1),""))</f>
        <v/>
      </c>
      <c r="AK61" s="17" t="str">
        <f aca="false">IF(AG61=0,"",IFERROR(SMALL($G61:$I61,2),""))</f>
        <v/>
      </c>
      <c r="AL61" s="17" t="str">
        <f aca="false">IF(AG61=0,"",IFERROR(SMALL($G61:$I61,3),""))</f>
        <v/>
      </c>
      <c r="AM61" s="19" t="str">
        <f aca="false">IF(AG61=0,"",IF(AJ61="","",IF(AJ61=$H61,"Part-Time",IF(AJ61=$I61,"Full-Time","Casual"))))</f>
        <v/>
      </c>
      <c r="AN61" s="19" t="str">
        <f aca="false">IF(AG61=0,"",IF(AK61="","",IF(AK61=$H61,"Part-Time",IF(AK61=$I61,"Full-Time","Casual"))))</f>
        <v/>
      </c>
      <c r="AO61" s="19" t="str">
        <f aca="false">IF(AG61=0,"",IF(AL61="","",IF(AL61=$H61,"Part-Time",IF(AL61=$I61,"Full-Time","Casual"))))</f>
        <v/>
      </c>
      <c r="AP61" s="19"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None</v>
      </c>
      <c r="AQ61" s="19" t="str">
        <f aca="false">IF(AG61=0,"",IF(AI61&lt;2,"",IF(OR(ISNUMBER(SEARCH("full",AN61)),UPPER(TRIM(AN61))="FT",UPPER(TRIM(AN61))="FTE"),"FT",IF(AND(OR(ISNUMBER(SEARCH("part",AN61)),UPPER(TRIM(AN61))="PT",UPPER(TRIM(AN61))="PTE"),OR($P61="",N($P61)&gt;=PT_MinHours)),"PT","None"))))</f>
        <v/>
      </c>
      <c r="AR61" s="19" t="str">
        <f aca="false">IF(AG61=0,"",IF(AI61&lt;3,"",IF(OR(ISNUMBER(SEARCH("full",AO61)),UPPER(TRIM(AO61))="FT",UPPER(TRIM(AO61))="FTE"),"FT",IF(AND(OR(ISNUMBER(SEARCH("part",AO61)),UPPER(TRIM(AO61))="PT",UPPER(TRIM(AO61))="PTE"),OR($P61="",N($P61)&gt;=PT_MinHours)),"PT","None"))))</f>
        <v/>
      </c>
      <c r="AS61" s="19" t="str">
        <f aca="false">IF(AG61=0,"",IF(AND(AI61&gt;=3,AL61&lt;=AsOfDate),AR61,IF(AND(AI61&gt;=2,AK61&lt;=AsOfDate),AQ61,AP61)))</f>
        <v>None</v>
      </c>
      <c r="AT61" s="19" t="n">
        <f aca="false">IF(AG61=0,"",IF(AsOfDate&lt;AH61,-1,12*(YEAR(AsOfDate)-YEAR(AH61))+MONTH(AsOfDate)-MONTH(AH61)-IF(DAY(AsOfDate)&lt;MIN(DAY(AH61),DAY(EOMONTH(AsOfDate,0))),1,0)))</f>
        <v>53</v>
      </c>
      <c r="AU61" s="19" t="n">
        <f aca="false">IF(AG61=0,"",IF(OR(AI61&lt;2,AK61&gt;AsOfDate),AT61,IF((AK61-1)&lt;AH61,-1,12*(YEAR((AK61-1))-YEAR(AH61))+MONTH((AK61-1))-MONTH(AH61)-IF(DAY((AK61-1))&lt;MIN(DAY(AH61),DAY(EOMONTH((AK61-1),0))),1,0))))</f>
        <v>53</v>
      </c>
      <c r="AV61" s="19" t="n">
        <f aca="false">IF(AG61=0,"",IF(OR(AI61&lt;3,AL61&gt;AsOfDate),AT61,IF((AL61-1)&lt;AH61,-1,12*(YEAR((AL61-1))-YEAR(AH61))+MONTH((AL61-1))-MONTH(AH61)-IF(DAY((AL61-1))&lt;MIN(DAY(AH61),DAY(EOMONTH((AL61-1),0))),1,0))))</f>
        <v>53</v>
      </c>
      <c r="AW61" s="19" t="n">
        <f aca="false">IF(AG61=0,"",IF(PFYDate&lt;AH61,-1,12*(YEAR(PFYDate)-YEAR(AH61))+MONTH(PFYDate)-MONTH(AH61)-IF(DAY(PFYDate)&lt;MIN(DAY(AH61),DAY(EOMONTH(PFYDate,0))),1,0)))</f>
        <v>-1</v>
      </c>
      <c r="AX61" s="19" t="n">
        <f aca="false">IF(AG61=0,"",IF(OR(AI61&lt;2,AK61&gt;PFYDate),AW61,IF((AK61-1)&lt;AH61,-1,12*(YEAR((AK61-1))-YEAR(AH61))+MONTH((AK61-1))-MONTH(AH61)-IF(DAY((AK61-1))&lt;MIN(DAY(AH61),DAY(EOMONTH((AK61-1),0))),1,0))))</f>
        <v>-1</v>
      </c>
      <c r="AY61" s="19" t="n">
        <f aca="false">IF(AG61=0,"",IF(OR(AI61&lt;3,AL61&gt;PFYDate),AW61,IF((AL61-1)&lt;AH61,-1,12*(YEAR((AL61-1))-YEAR(AH61))+MONTH((AL61-1))-MONTH(AH61)-IF(DAY((AL61-1))&lt;MIN(DAY(AH61),DAY(EOMONTH((AL61-1),0))),1,0))))</f>
        <v>-1</v>
      </c>
      <c r="AZ61" s="19" t="n">
        <f aca="false">IF(AG61=0,"",IF(AP61="FT",IF(AU61&lt;FT_First,0,IF(AU61&lt;FT_Y5,1+INT((AU61-FT_First)/FT_Int1),FT_PreY5+FT_PerYear*INT((AU61-FT_Y5)/12)+FT_AnnivDays+INT(MOD(AU61-FT_Y5,12)/FT_Int2))),IF(AP61="PT",IF(AU61&lt;PT_First,0,1+INT((AU61-PT_First)/PT_Int)),0))+IF(AND(AI61&gt;=2,AK61&lt;=AsOfDate),IF(AQ61="FT",IF(AV61&lt;FT_First,0,IF(AV61&lt;FT_Y5,1+INT((AV61-FT_First)/FT_Int1),FT_PreY5+FT_PerYear*INT((AV61-FT_Y5)/12)+FT_AnnivDays+INT(MOD(AV61-FT_Y5,12)/FT_Int2))),IF(AQ61="PT",IF(AV61&lt;PT_First,0,1+INT((AV61-PT_First)/PT_Int)),0))-IF(AQ61="FT",IF(AU61&lt;FT_First,0,IF(AU61&lt;FT_Y5,1+INT((AU61-FT_First)/FT_Int1),FT_PreY5+FT_PerYear*INT((AU61-FT_Y5)/12)+FT_AnnivDays+INT(MOD(AU61-FT_Y5,12)/FT_Int2))),IF(AQ61="PT",IF(AU61&lt;PT_First,0,1+INT((AU61-PT_First)/PT_Int)),0)),0)+IF(AND(AI61&gt;=3,AL61&lt;=AsOfDate),IF(AR61="FT",IF(AT61&lt;FT_First,0,IF(AT61&lt;FT_Y5,1+INT((AT61-FT_First)/FT_Int1),FT_PreY5+FT_PerYear*INT((AT61-FT_Y5)/12)+FT_AnnivDays+INT(MOD(AT61-FT_Y5,12)/FT_Int2))),IF(AR61="PT",IF(AT61&lt;PT_First,0,1+INT((AT61-PT_First)/PT_Int)),0))-IF(AR61="FT",IF(AV61&lt;FT_First,0,IF(AV61&lt;FT_Y5,1+INT((AV61-FT_First)/FT_Int1),FT_PreY5+FT_PerYear*INT((AV61-FT_Y5)/12)+FT_AnnivDays+INT(MOD(AV61-FT_Y5,12)/FT_Int2))),IF(AR61="PT",IF(AV61&lt;PT_First,0,1+INT((AV61-PT_First)/PT_Int)),0)),0))</f>
        <v>0</v>
      </c>
      <c r="BA61" s="19" t="n">
        <f aca="false">IF(AG61=0,"",IF(AP61="FT",IF(AX61&lt;FT_First,0,IF(AX61&lt;FT_Y5,1+INT((AX61-FT_First)/FT_Int1),FT_PreY5+FT_PerYear*INT((AX61-FT_Y5)/12)+FT_AnnivDays+INT(MOD(AX61-FT_Y5,12)/FT_Int2))),IF(AP61="PT",IF(AX61&lt;PT_First,0,1+INT((AX61-PT_First)/PT_Int)),0))+IF(AND(AI61&gt;=2,AK61&lt;=PFYDate),IF(AQ61="FT",IF(AY61&lt;FT_First,0,IF(AY61&lt;FT_Y5,1+INT((AY61-FT_First)/FT_Int1),FT_PreY5+FT_PerYear*INT((AY61-FT_Y5)/12)+FT_AnnivDays+INT(MOD(AY61-FT_Y5,12)/FT_Int2))),IF(AQ61="PT",IF(AY61&lt;PT_First,0,1+INT((AY61-PT_First)/PT_Int)),0))-IF(AQ61="FT",IF(AX61&lt;FT_First,0,IF(AX61&lt;FT_Y5,1+INT((AX61-FT_First)/FT_Int1),FT_PreY5+FT_PerYear*INT((AX61-FT_Y5)/12)+FT_AnnivDays+INT(MOD(AX61-FT_Y5,12)/FT_Int2))),IF(AQ61="PT",IF(AX61&lt;PT_First,0,1+INT((AX61-PT_First)/PT_Int)),0)),0)+IF(AND(AI61&gt;=3,AL61&lt;=PFYDate),IF(AR61="FT",IF(AW61&lt;FT_First,0,IF(AW61&lt;FT_Y5,1+INT((AW61-FT_First)/FT_Int1),FT_PreY5+FT_PerYear*INT((AW61-FT_Y5)/12)+FT_AnnivDays+INT(MOD(AW61-FT_Y5,12)/FT_Int2))),IF(AR61="PT",IF(AW61&lt;PT_First,0,1+INT((AW61-PT_First)/PT_Int)),0))-IF(AR61="FT",IF(AY61&lt;FT_First,0,IF(AY61&lt;FT_Y5,1+INT((AY61-FT_First)/FT_Int1),FT_PreY5+FT_PerYear*INT((AY61-FT_Y5)/12)+FT_AnnivDays+INT(MOD(AY61-FT_Y5,12)/FT_Int2))),IF(AR61="PT",IF(AY61&lt;PT_First,0,1+INT((AY61-PT_First)/PT_Int)),0)),0))</f>
        <v>0</v>
      </c>
      <c r="BB61" s="19" t="str">
        <f aca="false">IF(AG61=0,"",IF(AS61="FT",IF(AT61&lt;FT_First,FT_First,IF(AT61&lt;FT_Y5,MIN(FT_Y5,FT_First+FT_Int1*(INT((AT61-FT_First)/FT_Int1)+1)),FT_Y5+12*INT((AT61-FT_Y5)/12)+FT_Int2*(INT(MOD(AT61-FT_Y5,12)/FT_Int2)+1))),IF(AS61="PT",IF(AT61&lt;PT_First,PT_First,PT_First+PT_Int*(INT((AT61-PT_First)/PT_Int)+1)),"")))</f>
        <v/>
      </c>
      <c r="BC61" s="19" t="n">
        <f aca="false">IF(AG61=0,"",IF(NOT(LH_Ready),0,COUNTIFS(INDEX(LH_Data,0,LH_ColFirst),$A61,INDEX(LH_Data,0,LH_ColSur),$B61,INDEX(LH_Data,0,LH_ColCat),BonusCat)))</f>
        <v>0</v>
      </c>
      <c r="BD61" s="19" t="n">
        <f aca="false">IF(AG61=0,"",IF(OR(NOT(LH_Ready),BC61=0),0,SUMPRODUCT(MAX((INDEX(LH_Data,0,LH_ColFirst)=$A61)*(INDEX(LH_Data,0,LH_ColSur)=$B61)*(INDEX(LH_Data,0,LH_ColCat)=BonusCat)*ROW(LH_Data)))))</f>
        <v>0</v>
      </c>
      <c r="BE61" s="19" t="n">
        <f aca="false">IF(AG61=0,"",IF(EOMONTH(AsOfDate,-1)&lt;AH61,-1,12*(YEAR(EOMONTH(AsOfDate,-1))-YEAR(AH61))+MONTH(EOMONTH(AsOfDate,-1))-MONTH(AH61)-IF(DAY(EOMONTH(AsOfDate,-1))&lt;MIN(DAY(AH61),DAY(EOMONTH(EOMONTH(AsOfDate,-1),0))),1,0)))</f>
        <v>53</v>
      </c>
      <c r="BF61" s="19" t="n">
        <f aca="false">IF(AG61=0,"",IF(OR(AI61&lt;2,AK61&gt;EOMONTH(AsOfDate,-1)),BE61,IF((AK61-1)&lt;AH61,-1,12*(YEAR((AK61-1))-YEAR(AH61))+MONTH((AK61-1))-MONTH(AH61)-IF(DAY((AK61-1))&lt;MIN(DAY(AH61),DAY(EOMONTH((AK61-1),0))),1,0))))</f>
        <v>53</v>
      </c>
      <c r="BG61" s="19" t="n">
        <f aca="false">IF(AG61=0,"",IF(OR(AI61&lt;3,AL61&gt;EOMONTH(AsOfDate,-1)),BE61,IF((AL61-1)&lt;AH61,-1,12*(YEAR((AL61-1))-YEAR(AH61))+MONTH((AL61-1))-MONTH(AH61)-IF(DAY((AL61-1))&lt;MIN(DAY(AH61),DAY(EOMONTH((AL61-1),0))),1,0))))</f>
        <v>53</v>
      </c>
      <c r="BH61" s="19" t="n">
        <f aca="false">IF(AG61=0,"",IF(AP61="FT",IF(BF61&lt;FT_First,0,IF(BF61&lt;FT_Y5,1+INT((BF61-FT_First)/FT_Int1),FT_PreY5+FT_PerYear*INT((BF61-FT_Y5)/12)+FT_AnnivDays+INT(MOD(BF61-FT_Y5,12)/FT_Int2))),IF(AP61="PT",IF(BF61&lt;PT_First,0,1+INT((BF61-PT_First)/PT_Int)),0))+IF(AND(AI61&gt;=2,AK61&lt;=EOMONTH(AsOfDate,-1)),IF(AQ61="FT",IF(BG61&lt;FT_First,0,IF(BG61&lt;FT_Y5,1+INT((BG61-FT_First)/FT_Int1),FT_PreY5+FT_PerYear*INT((BG61-FT_Y5)/12)+FT_AnnivDays+INT(MOD(BG61-FT_Y5,12)/FT_Int2))),IF(AQ61="PT",IF(BG61&lt;PT_First,0,1+INT((BG61-PT_First)/PT_Int)),0))-IF(AQ61="FT",IF(BF61&lt;FT_First,0,IF(BF61&lt;FT_Y5,1+INT((BF61-FT_First)/FT_Int1),FT_PreY5+FT_PerYear*INT((BF61-FT_Y5)/12)+FT_AnnivDays+INT(MOD(BF61-FT_Y5,12)/FT_Int2))),IF(AQ61="PT",IF(BF61&lt;PT_First,0,1+INT((BF61-PT_First)/PT_Int)),0)),0)+IF(AND(AI61&gt;=3,AL61&lt;=EOMONTH(AsOfDate,-1)),IF(AR61="FT",IF(BE61&lt;FT_First,0,IF(BE61&lt;FT_Y5,1+INT((BE61-FT_First)/FT_Int1),FT_PreY5+FT_PerYear*INT((BE61-FT_Y5)/12)+FT_AnnivDays+INT(MOD(BE61-FT_Y5,12)/FT_Int2))),IF(AR61="PT",IF(BE61&lt;PT_First,0,1+INT((BE61-PT_First)/PT_Int)),0))-IF(AR61="FT",IF(BG61&lt;FT_First,0,IF(BG61&lt;FT_Y5,1+INT((BG61-FT_First)/FT_Int1),FT_PreY5+FT_PerYear*INT((BG61-FT_Y5)/12)+FT_AnnivDays+INT(MOD(BG61-FT_Y5,12)/FT_Int2))),IF(AR61="PT",IF(BG61&lt;PT_First,0,1+INT((BG61-PT_First)/PT_Int)),0)),0))</f>
        <v>0</v>
      </c>
      <c r="BI61" s="19" t="str">
        <f aca="false">IF(AG61=0,"",IF(AS61="FT",IF(AT61&lt;FT_First,"",IF(AT61&lt;FT_Y5,FT_First+FT_Int1*INT((AT61-FT_First)/FT_Int1),FT_Y5+FT_Int2*INT((AT61-FT_Y5)/FT_Int2))),IF(AS61="PT",IF(AT61&lt;PT_First,"",PT_First+PT_Int*INT((AT61-PT_First)/PT_Int)),"")))</f>
        <v/>
      </c>
      <c r="BJ61" s="0" t="str">
        <f aca="false">IF(LEN($A61&amp;$B61)=0,"",$A61&amp;" "&amp;$B61)</f>
        <v>Roger Wehbe</v>
      </c>
    </row>
    <row r="62" customFormat="false" ht="15" hidden="false" customHeight="false" outlineLevel="0" collapsed="false">
      <c r="A62" s="15" t="s">
        <v>252</v>
      </c>
      <c r="B62" s="15" t="s">
        <v>253</v>
      </c>
      <c r="C62" s="15" t="s">
        <v>138</v>
      </c>
      <c r="D62" s="16" t="n">
        <v>36944</v>
      </c>
      <c r="E62" s="17" t="n">
        <f aca="false">IF(OR(AG62=0,$D62=""),"",DATE(YEAR(AsOfDate)+IF(DATE(YEAR(AsOfDate),MONTH($D62),DAY($D62))&lt;=AsOfDate,1,0),MONTH($D62),DAY($D62)))</f>
        <v>46440</v>
      </c>
      <c r="F62" s="16" t="n">
        <v>45187</v>
      </c>
      <c r="G62" s="16"/>
      <c r="H62" s="16"/>
      <c r="I62" s="16"/>
      <c r="J62" s="16"/>
      <c r="K62" s="17" t="n">
        <f aca="false">IF(AG62=0,"",DATE(YEAR(AsOfDate)+IF(DATE(YEAR(AsOfDate),MONTH(AH62),DAY(AH62))&lt;=AsOfDate,1,0),MONTH(AH62),DAY(AH62)))</f>
        <v>46648</v>
      </c>
      <c r="L62" s="18" t="n">
        <f aca="false">IF(AG62=0,"",ROUND((AsOfDate-AH62)/365.25,1))</f>
        <v>3</v>
      </c>
      <c r="M62" s="19" t="str">
        <f aca="false">IF(AG62=0,"",IF(AsOfDate&lt;AH62,"-",DATEDIF(AH62,AsOfDate,"y")&amp;"y "&amp;DATEDIF(AH62,AsOfDate,"ym")&amp;"m "&amp;DATEDIF(AH62,AsOfDate,"md")&amp;"d"))</f>
        <v>3y 0m 18d</v>
      </c>
      <c r="N62" s="20" t="n">
        <f aca="false">IF(AG62=0,"",O62*HoursPerDay)</f>
        <v>0</v>
      </c>
      <c r="O62" s="20" t="n">
        <f aca="false">IF(AG62=0,"",AZ62)</f>
        <v>0</v>
      </c>
      <c r="P62" s="21"/>
      <c r="Q62" s="19"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19"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17" t="str">
        <f aca="false">IF(AG62=0,"",IF(AS62="None","",EDATE(AH62,BB62)))</f>
        <v/>
      </c>
      <c r="T62" s="20" t="n">
        <f aca="false">IF(AG62=0,"",IF(NOT(LH_Ready),"",IF(AH62&gt;PFYDate,0,IF(LH_ColPeriod=0,W62-U62+V62,SUMIFS(INDEX(LH_Data,0,LH_ColAcc),INDEX(LH_Data,0,LH_ColFirst),$A62,INDEX(LH_Data,0,LH_ColSur),$B62,INDEX(LH_Data,0,LH_ColCat),BonusCat,INDEX(LH_Data,0,LH_ColPeriod),LH_OpenLabel)*UnitFactor))))</f>
        <v>0</v>
      </c>
      <c r="U62" s="20" t="n">
        <f aca="false">IF(AG62=0,"",IF(NOT(LH_Ready),"",SUMIFS(INDEX(LH_Data,0,LH_ColAcc),INDEX(LH_Data,0,LH_ColFirst),$A62,INDEX(LH_Data,0,LH_ColSur),$B62,INDEX(LH_Data,0,LH_ColCat),BonusCat,INDEX(LH_Data,0,LH_ColStart),"&gt;="&amp;AH62)*UnitFactor))</f>
        <v>0</v>
      </c>
      <c r="V62" s="20" t="n">
        <f aca="false">IF(AG62=0,"",IF(NOT(LH_Ready),"",SUMIFS(INDEX(LH_Data,0,LH_ColTaken),INDEX(LH_Data,0,LH_ColFirst),$A62,INDEX(LH_Data,0,LH_ColSur),$B62,INDEX(LH_Data,0,LH_ColCat),BonusCat,INDEX(LH_Data,0,LH_ColStart),"&gt;="&amp;AH62)*UnitFactor))</f>
        <v>0</v>
      </c>
      <c r="W62" s="20" t="n">
        <f aca="false">IF(AG62=0,"",IF(NOT(LH_Ready),"",IF(BD62=0,0,INDEX(INDEX(LH_Data,0,LH_ColClose),BD62-1)*UnitFactor)))</f>
        <v>0</v>
      </c>
      <c r="X62" s="20" t="n">
        <f aca="false">IF(AG62=0,"",(AZ62-BA62)*HoursPerDay)</f>
        <v>0</v>
      </c>
      <c r="Y62" s="20" t="n">
        <f aca="false">IF(AG62=0,"",IF(NOT(LH_Ready),"",IF(BC62=0,N62,IF(PFYDate&lt;$F62,N62-N(T62)-N(U62),X62-N(U62)))))</f>
        <v>0</v>
      </c>
      <c r="Z62" s="19" t="str">
        <f aca="false">IF(OR(AG62=0,Y62=""),"",IF(Y62&gt;0,"Yes","No"))</f>
        <v>No</v>
      </c>
      <c r="AA62" s="19"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Not eligible - Casual</v>
      </c>
      <c r="AB62" s="20" t="n">
        <f aca="false">IF(OR(AG62=0,T62=""),"",BA62*HoursPerDay-T62)</f>
        <v>0</v>
      </c>
      <c r="AC62" s="19" t="n">
        <f aca="false">IF(AG62=0,"",BC62)</f>
        <v>0</v>
      </c>
      <c r="AD62" s="19"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20" t="n">
        <f aca="false">IF(AG62=0,"",O62-BH62)</f>
        <v>0</v>
      </c>
      <c r="AF62" s="17" t="str">
        <f aca="false">IF(OR(AG62=0,AE62="",N(AE62)=0,BI62=""),"",EDATE(AH62,BI62))</f>
        <v/>
      </c>
      <c r="AG62" s="19" t="n">
        <f aca="false">IF(OR(LEN($A62&amp;$B62)=0,$F62=""),0,1)</f>
        <v>1</v>
      </c>
      <c r="AH62" s="17" t="n">
        <f aca="false">IF(AG62=0,"",IF($J62&lt;&gt;"",$J62,IF(OR(CasualCounts="Yes",COUNT($G62:$I62)=0,COUNT($H62:$I62)=0),$F62,MIN($H62:$I62))))</f>
        <v>45187</v>
      </c>
      <c r="AI62" s="19" t="n">
        <f aca="false">IF(AG62=0,"",COUNT($G62:$I62))</f>
        <v>0</v>
      </c>
      <c r="AJ62" s="17" t="str">
        <f aca="false">IF(AG62=0,"",IFERROR(SMALL($G62:$I62,1),""))</f>
        <v/>
      </c>
      <c r="AK62" s="17" t="str">
        <f aca="false">IF(AG62=0,"",IFERROR(SMALL($G62:$I62,2),""))</f>
        <v/>
      </c>
      <c r="AL62" s="17" t="str">
        <f aca="false">IF(AG62=0,"",IFERROR(SMALL($G62:$I62,3),""))</f>
        <v/>
      </c>
      <c r="AM62" s="19" t="str">
        <f aca="false">IF(AG62=0,"",IF(AJ62="","",IF(AJ62=$H62,"Part-Time",IF(AJ62=$I62,"Full-Time","Casual"))))</f>
        <v/>
      </c>
      <c r="AN62" s="19" t="str">
        <f aca="false">IF(AG62=0,"",IF(AK62="","",IF(AK62=$H62,"Part-Time",IF(AK62=$I62,"Full-Time","Casual"))))</f>
        <v/>
      </c>
      <c r="AO62" s="19" t="str">
        <f aca="false">IF(AG62=0,"",IF(AL62="","",IF(AL62=$H62,"Part-Time",IF(AL62=$I62,"Full-Time","Casual"))))</f>
        <v/>
      </c>
      <c r="AP62" s="19"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None</v>
      </c>
      <c r="AQ62" s="19" t="str">
        <f aca="false">IF(AG62=0,"",IF(AI62&lt;2,"",IF(OR(ISNUMBER(SEARCH("full",AN62)),UPPER(TRIM(AN62))="FT",UPPER(TRIM(AN62))="FTE"),"FT",IF(AND(OR(ISNUMBER(SEARCH("part",AN62)),UPPER(TRIM(AN62))="PT",UPPER(TRIM(AN62))="PTE"),OR($P62="",N($P62)&gt;=PT_MinHours)),"PT","None"))))</f>
        <v/>
      </c>
      <c r="AR62" s="19" t="str">
        <f aca="false">IF(AG62=0,"",IF(AI62&lt;3,"",IF(OR(ISNUMBER(SEARCH("full",AO62)),UPPER(TRIM(AO62))="FT",UPPER(TRIM(AO62))="FTE"),"FT",IF(AND(OR(ISNUMBER(SEARCH("part",AO62)),UPPER(TRIM(AO62))="PT",UPPER(TRIM(AO62))="PTE"),OR($P62="",N($P62)&gt;=PT_MinHours)),"PT","None"))))</f>
        <v/>
      </c>
      <c r="AS62" s="19" t="str">
        <f aca="false">IF(AG62=0,"",IF(AND(AI62&gt;=3,AL62&lt;=AsOfDate),AR62,IF(AND(AI62&gt;=2,AK62&lt;=AsOfDate),AQ62,AP62)))</f>
        <v>None</v>
      </c>
      <c r="AT62" s="19" t="n">
        <f aca="false">IF(AG62=0,"",IF(AsOfDate&lt;AH62,-1,12*(YEAR(AsOfDate)-YEAR(AH62))+MONTH(AsOfDate)-MONTH(AH62)-IF(DAY(AsOfDate)&lt;MIN(DAY(AH62),DAY(EOMONTH(AsOfDate,0))),1,0)))</f>
        <v>36</v>
      </c>
      <c r="AU62" s="19" t="n">
        <f aca="false">IF(AG62=0,"",IF(OR(AI62&lt;2,AK62&gt;AsOfDate),AT62,IF((AK62-1)&lt;AH62,-1,12*(YEAR((AK62-1))-YEAR(AH62))+MONTH((AK62-1))-MONTH(AH62)-IF(DAY((AK62-1))&lt;MIN(DAY(AH62),DAY(EOMONTH((AK62-1),0))),1,0))))</f>
        <v>36</v>
      </c>
      <c r="AV62" s="19" t="n">
        <f aca="false">IF(AG62=0,"",IF(OR(AI62&lt;3,AL62&gt;AsOfDate),AT62,IF((AL62-1)&lt;AH62,-1,12*(YEAR((AL62-1))-YEAR(AH62))+MONTH((AL62-1))-MONTH(AH62)-IF(DAY((AL62-1))&lt;MIN(DAY(AH62),DAY(EOMONTH((AL62-1),0))),1,0))))</f>
        <v>36</v>
      </c>
      <c r="AW62" s="19" t="n">
        <f aca="false">IF(AG62=0,"",IF(PFYDate&lt;AH62,-1,12*(YEAR(PFYDate)-YEAR(AH62))+MONTH(PFYDate)-MONTH(AH62)-IF(DAY(PFYDate)&lt;MIN(DAY(AH62),DAY(EOMONTH(PFYDate,0))),1,0)))</f>
        <v>-1</v>
      </c>
      <c r="AX62" s="19" t="n">
        <f aca="false">IF(AG62=0,"",IF(OR(AI62&lt;2,AK62&gt;PFYDate),AW62,IF((AK62-1)&lt;AH62,-1,12*(YEAR((AK62-1))-YEAR(AH62))+MONTH((AK62-1))-MONTH(AH62)-IF(DAY((AK62-1))&lt;MIN(DAY(AH62),DAY(EOMONTH((AK62-1),0))),1,0))))</f>
        <v>-1</v>
      </c>
      <c r="AY62" s="19" t="n">
        <f aca="false">IF(AG62=0,"",IF(OR(AI62&lt;3,AL62&gt;PFYDate),AW62,IF((AL62-1)&lt;AH62,-1,12*(YEAR((AL62-1))-YEAR(AH62))+MONTH((AL62-1))-MONTH(AH62)-IF(DAY((AL62-1))&lt;MIN(DAY(AH62),DAY(EOMONTH((AL62-1),0))),1,0))))</f>
        <v>-1</v>
      </c>
      <c r="AZ62" s="19" t="n">
        <f aca="false">IF(AG62=0,"",IF(AP62="FT",IF(AU62&lt;FT_First,0,IF(AU62&lt;FT_Y5,1+INT((AU62-FT_First)/FT_Int1),FT_PreY5+FT_PerYear*INT((AU62-FT_Y5)/12)+FT_AnnivDays+INT(MOD(AU62-FT_Y5,12)/FT_Int2))),IF(AP62="PT",IF(AU62&lt;PT_First,0,1+INT((AU62-PT_First)/PT_Int)),0))+IF(AND(AI62&gt;=2,AK62&lt;=AsOfDate),IF(AQ62="FT",IF(AV62&lt;FT_First,0,IF(AV62&lt;FT_Y5,1+INT((AV62-FT_First)/FT_Int1),FT_PreY5+FT_PerYear*INT((AV62-FT_Y5)/12)+FT_AnnivDays+INT(MOD(AV62-FT_Y5,12)/FT_Int2))),IF(AQ62="PT",IF(AV62&lt;PT_First,0,1+INT((AV62-PT_First)/PT_Int)),0))-IF(AQ62="FT",IF(AU62&lt;FT_First,0,IF(AU62&lt;FT_Y5,1+INT((AU62-FT_First)/FT_Int1),FT_PreY5+FT_PerYear*INT((AU62-FT_Y5)/12)+FT_AnnivDays+INT(MOD(AU62-FT_Y5,12)/FT_Int2))),IF(AQ62="PT",IF(AU62&lt;PT_First,0,1+INT((AU62-PT_First)/PT_Int)),0)),0)+IF(AND(AI62&gt;=3,AL62&lt;=AsOfDate),IF(AR62="FT",IF(AT62&lt;FT_First,0,IF(AT62&lt;FT_Y5,1+INT((AT62-FT_First)/FT_Int1),FT_PreY5+FT_PerYear*INT((AT62-FT_Y5)/12)+FT_AnnivDays+INT(MOD(AT62-FT_Y5,12)/FT_Int2))),IF(AR62="PT",IF(AT62&lt;PT_First,0,1+INT((AT62-PT_First)/PT_Int)),0))-IF(AR62="FT",IF(AV62&lt;FT_First,0,IF(AV62&lt;FT_Y5,1+INT((AV62-FT_First)/FT_Int1),FT_PreY5+FT_PerYear*INT((AV62-FT_Y5)/12)+FT_AnnivDays+INT(MOD(AV62-FT_Y5,12)/FT_Int2))),IF(AR62="PT",IF(AV62&lt;PT_First,0,1+INT((AV62-PT_First)/PT_Int)),0)),0))</f>
        <v>0</v>
      </c>
      <c r="BA62" s="19" t="n">
        <f aca="false">IF(AG62=0,"",IF(AP62="FT",IF(AX62&lt;FT_First,0,IF(AX62&lt;FT_Y5,1+INT((AX62-FT_First)/FT_Int1),FT_PreY5+FT_PerYear*INT((AX62-FT_Y5)/12)+FT_AnnivDays+INT(MOD(AX62-FT_Y5,12)/FT_Int2))),IF(AP62="PT",IF(AX62&lt;PT_First,0,1+INT((AX62-PT_First)/PT_Int)),0))+IF(AND(AI62&gt;=2,AK62&lt;=PFYDate),IF(AQ62="FT",IF(AY62&lt;FT_First,0,IF(AY62&lt;FT_Y5,1+INT((AY62-FT_First)/FT_Int1),FT_PreY5+FT_PerYear*INT((AY62-FT_Y5)/12)+FT_AnnivDays+INT(MOD(AY62-FT_Y5,12)/FT_Int2))),IF(AQ62="PT",IF(AY62&lt;PT_First,0,1+INT((AY62-PT_First)/PT_Int)),0))-IF(AQ62="FT",IF(AX62&lt;FT_First,0,IF(AX62&lt;FT_Y5,1+INT((AX62-FT_First)/FT_Int1),FT_PreY5+FT_PerYear*INT((AX62-FT_Y5)/12)+FT_AnnivDays+INT(MOD(AX62-FT_Y5,12)/FT_Int2))),IF(AQ62="PT",IF(AX62&lt;PT_First,0,1+INT((AX62-PT_First)/PT_Int)),0)),0)+IF(AND(AI62&gt;=3,AL62&lt;=PFYDate),IF(AR62="FT",IF(AW62&lt;FT_First,0,IF(AW62&lt;FT_Y5,1+INT((AW62-FT_First)/FT_Int1),FT_PreY5+FT_PerYear*INT((AW62-FT_Y5)/12)+FT_AnnivDays+INT(MOD(AW62-FT_Y5,12)/FT_Int2))),IF(AR62="PT",IF(AW62&lt;PT_First,0,1+INT((AW62-PT_First)/PT_Int)),0))-IF(AR62="FT",IF(AY62&lt;FT_First,0,IF(AY62&lt;FT_Y5,1+INT((AY62-FT_First)/FT_Int1),FT_PreY5+FT_PerYear*INT((AY62-FT_Y5)/12)+FT_AnnivDays+INT(MOD(AY62-FT_Y5,12)/FT_Int2))),IF(AR62="PT",IF(AY62&lt;PT_First,0,1+INT((AY62-PT_First)/PT_Int)),0)),0))</f>
        <v>0</v>
      </c>
      <c r="BB62" s="19" t="str">
        <f aca="false">IF(AG62=0,"",IF(AS62="FT",IF(AT62&lt;FT_First,FT_First,IF(AT62&lt;FT_Y5,MIN(FT_Y5,FT_First+FT_Int1*(INT((AT62-FT_First)/FT_Int1)+1)),FT_Y5+12*INT((AT62-FT_Y5)/12)+FT_Int2*(INT(MOD(AT62-FT_Y5,12)/FT_Int2)+1))),IF(AS62="PT",IF(AT62&lt;PT_First,PT_First,PT_First+PT_Int*(INT((AT62-PT_First)/PT_Int)+1)),"")))</f>
        <v/>
      </c>
      <c r="BC62" s="19" t="n">
        <f aca="false">IF(AG62=0,"",IF(NOT(LH_Ready),0,COUNTIFS(INDEX(LH_Data,0,LH_ColFirst),$A62,INDEX(LH_Data,0,LH_ColSur),$B62,INDEX(LH_Data,0,LH_ColCat),BonusCat)))</f>
        <v>0</v>
      </c>
      <c r="BD62" s="19" t="n">
        <f aca="false">IF(AG62=0,"",IF(OR(NOT(LH_Ready),BC62=0),0,SUMPRODUCT(MAX((INDEX(LH_Data,0,LH_ColFirst)=$A62)*(INDEX(LH_Data,0,LH_ColSur)=$B62)*(INDEX(LH_Data,0,LH_ColCat)=BonusCat)*ROW(LH_Data)))))</f>
        <v>0</v>
      </c>
      <c r="BE62" s="19" t="n">
        <f aca="false">IF(AG62=0,"",IF(EOMONTH(AsOfDate,-1)&lt;AH62,-1,12*(YEAR(EOMONTH(AsOfDate,-1))-YEAR(AH62))+MONTH(EOMONTH(AsOfDate,-1))-MONTH(AH62)-IF(DAY(EOMONTH(AsOfDate,-1))&lt;MIN(DAY(AH62),DAY(EOMONTH(EOMONTH(AsOfDate,-1),0))),1,0)))</f>
        <v>36</v>
      </c>
      <c r="BF62" s="19" t="n">
        <f aca="false">IF(AG62=0,"",IF(OR(AI62&lt;2,AK62&gt;EOMONTH(AsOfDate,-1)),BE62,IF((AK62-1)&lt;AH62,-1,12*(YEAR((AK62-1))-YEAR(AH62))+MONTH((AK62-1))-MONTH(AH62)-IF(DAY((AK62-1))&lt;MIN(DAY(AH62),DAY(EOMONTH((AK62-1),0))),1,0))))</f>
        <v>36</v>
      </c>
      <c r="BG62" s="19" t="n">
        <f aca="false">IF(AG62=0,"",IF(OR(AI62&lt;3,AL62&gt;EOMONTH(AsOfDate,-1)),BE62,IF((AL62-1)&lt;AH62,-1,12*(YEAR((AL62-1))-YEAR(AH62))+MONTH((AL62-1))-MONTH(AH62)-IF(DAY((AL62-1))&lt;MIN(DAY(AH62),DAY(EOMONTH((AL62-1),0))),1,0))))</f>
        <v>36</v>
      </c>
      <c r="BH62" s="19" t="n">
        <f aca="false">IF(AG62=0,"",IF(AP62="FT",IF(BF62&lt;FT_First,0,IF(BF62&lt;FT_Y5,1+INT((BF62-FT_First)/FT_Int1),FT_PreY5+FT_PerYear*INT((BF62-FT_Y5)/12)+FT_AnnivDays+INT(MOD(BF62-FT_Y5,12)/FT_Int2))),IF(AP62="PT",IF(BF62&lt;PT_First,0,1+INT((BF62-PT_First)/PT_Int)),0))+IF(AND(AI62&gt;=2,AK62&lt;=EOMONTH(AsOfDate,-1)),IF(AQ62="FT",IF(BG62&lt;FT_First,0,IF(BG62&lt;FT_Y5,1+INT((BG62-FT_First)/FT_Int1),FT_PreY5+FT_PerYear*INT((BG62-FT_Y5)/12)+FT_AnnivDays+INT(MOD(BG62-FT_Y5,12)/FT_Int2))),IF(AQ62="PT",IF(BG62&lt;PT_First,0,1+INT((BG62-PT_First)/PT_Int)),0))-IF(AQ62="FT",IF(BF62&lt;FT_First,0,IF(BF62&lt;FT_Y5,1+INT((BF62-FT_First)/FT_Int1),FT_PreY5+FT_PerYear*INT((BF62-FT_Y5)/12)+FT_AnnivDays+INT(MOD(BF62-FT_Y5,12)/FT_Int2))),IF(AQ62="PT",IF(BF62&lt;PT_First,0,1+INT((BF62-PT_First)/PT_Int)),0)),0)+IF(AND(AI62&gt;=3,AL62&lt;=EOMONTH(AsOfDate,-1)),IF(AR62="FT",IF(BE62&lt;FT_First,0,IF(BE62&lt;FT_Y5,1+INT((BE62-FT_First)/FT_Int1),FT_PreY5+FT_PerYear*INT((BE62-FT_Y5)/12)+FT_AnnivDays+INT(MOD(BE62-FT_Y5,12)/FT_Int2))),IF(AR62="PT",IF(BE62&lt;PT_First,0,1+INT((BE62-PT_First)/PT_Int)),0))-IF(AR62="FT",IF(BG62&lt;FT_First,0,IF(BG62&lt;FT_Y5,1+INT((BG62-FT_First)/FT_Int1),FT_PreY5+FT_PerYear*INT((BG62-FT_Y5)/12)+FT_AnnivDays+INT(MOD(BG62-FT_Y5,12)/FT_Int2))),IF(AR62="PT",IF(BG62&lt;PT_First,0,1+INT((BG62-PT_First)/PT_Int)),0)),0))</f>
        <v>0</v>
      </c>
      <c r="BI62" s="19" t="str">
        <f aca="false">IF(AG62=0,"",IF(AS62="FT",IF(AT62&lt;FT_First,"",IF(AT62&lt;FT_Y5,FT_First+FT_Int1*INT((AT62-FT_First)/FT_Int1),FT_Y5+FT_Int2*INT((AT62-FT_Y5)/FT_Int2))),IF(AS62="PT",IF(AT62&lt;PT_First,"",PT_First+PT_Int*INT((AT62-PT_First)/PT_Int)),"")))</f>
        <v/>
      </c>
      <c r="BJ62" s="0" t="str">
        <f aca="false">IF(LEN($A62&amp;$B62)=0,"",$A62&amp;" "&amp;$B62)</f>
        <v>Ruairidh Howard</v>
      </c>
    </row>
    <row r="63" customFormat="false" ht="15" hidden="false" customHeight="false" outlineLevel="0" collapsed="false">
      <c r="A63" s="15" t="s">
        <v>254</v>
      </c>
      <c r="B63" s="15" t="s">
        <v>255</v>
      </c>
      <c r="C63" s="15" t="s">
        <v>153</v>
      </c>
      <c r="D63" s="16" t="n">
        <v>33326</v>
      </c>
      <c r="E63" s="17" t="n">
        <f aca="false">IF(OR(AG63=0,$D63=""),"",DATE(YEAR(AsOfDate)+IF(DATE(YEAR(AsOfDate),MONTH($D63),DAY($D63))&lt;=AsOfDate,1,0),MONTH($D63),DAY($D63)))</f>
        <v>46475</v>
      </c>
      <c r="F63" s="16" t="n">
        <v>45202</v>
      </c>
      <c r="G63" s="16" t="n">
        <v>45202</v>
      </c>
      <c r="H63" s="16"/>
      <c r="I63" s="16" t="n">
        <v>46167</v>
      </c>
      <c r="J63" s="16"/>
      <c r="K63" s="17" t="n">
        <f aca="false">IF(AG63=0,"",DATE(YEAR(AsOfDate)+IF(DATE(YEAR(AsOfDate),MONTH(AH63),DAY(AH63))&lt;=AsOfDate,1,0),MONTH(AH63),DAY(AH63)))</f>
        <v>46532</v>
      </c>
      <c r="L63" s="18" t="n">
        <f aca="false">IF(AG63=0,"",ROUND((AsOfDate-AH63)/365.25,1))</f>
        <v>0.4</v>
      </c>
      <c r="M63" s="19" t="str">
        <f aca="false">IF(AG63=0,"",IF(AsOfDate&lt;AH63,"-",DATEDIF(AH63,AsOfDate,"y")&amp;"y "&amp;DATEDIF(AH63,AsOfDate,"ym")&amp;"m "&amp;DATEDIF(AH63,AsOfDate,"md")&amp;"d"))</f>
        <v>0y 4m 11d</v>
      </c>
      <c r="N63" s="20" t="n">
        <f aca="false">IF(AG63=0,"",O63*HoursPerDay)</f>
        <v>0</v>
      </c>
      <c r="O63" s="20" t="n">
        <f aca="false">IF(AG63=0,"",AZ63)</f>
        <v>0</v>
      </c>
      <c r="P63" s="21"/>
      <c r="Q63" s="19"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Casual to Full-Time on 25/05/2026 - commencement for Bonus Leave</v>
      </c>
      <c r="R63" s="19"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17" t="n">
        <f aca="false">IF(AG63=0,"",IF(AS63="None","",EDATE(AH63,BB63)))</f>
        <v>47263</v>
      </c>
      <c r="T63" s="20" t="n">
        <f aca="false">IF(AG63=0,"",IF(NOT(LH_Ready),"",IF(AH63&gt;PFYDate,0,IF(LH_ColPeriod=0,W63-U63+V63,SUMIFS(INDEX(LH_Data,0,LH_ColAcc),INDEX(LH_Data,0,LH_ColFirst),$A63,INDEX(LH_Data,0,LH_ColSur),$B63,INDEX(LH_Data,0,LH_ColCat),BonusCat,INDEX(LH_Data,0,LH_ColPeriod),LH_OpenLabel)*UnitFactor))))</f>
        <v>0</v>
      </c>
      <c r="U63" s="20" t="n">
        <f aca="false">IF(AG63=0,"",IF(NOT(LH_Ready),"",SUMIFS(INDEX(LH_Data,0,LH_ColAcc),INDEX(LH_Data,0,LH_ColFirst),$A63,INDEX(LH_Data,0,LH_ColSur),$B63,INDEX(LH_Data,0,LH_ColCat),BonusCat,INDEX(LH_Data,0,LH_ColStart),"&gt;="&amp;AH63)*UnitFactor))</f>
        <v>0</v>
      </c>
      <c r="V63" s="20" t="n">
        <f aca="false">IF(AG63=0,"",IF(NOT(LH_Ready),"",SUMIFS(INDEX(LH_Data,0,LH_ColTaken),INDEX(LH_Data,0,LH_ColFirst),$A63,INDEX(LH_Data,0,LH_ColSur),$B63,INDEX(LH_Data,0,LH_ColCat),BonusCat,INDEX(LH_Data,0,LH_ColStart),"&gt;="&amp;AH63)*UnitFactor))</f>
        <v>0</v>
      </c>
      <c r="W63" s="20" t="n">
        <f aca="false">IF(AG63=0,"",IF(NOT(LH_Ready),"",IF(BD63=0,0,INDEX(INDEX(LH_Data,0,LH_ColClose),BD63-1)*UnitFactor)))</f>
        <v>0</v>
      </c>
      <c r="X63" s="20" t="n">
        <f aca="false">IF(AG63=0,"",(AZ63-BA63)*HoursPerDay)</f>
        <v>0</v>
      </c>
      <c r="Y63" s="20" t="n">
        <f aca="false">IF(AG63=0,"",IF(NOT(LH_Ready),"",IF(BC63=0,N63,IF(PFYDate&lt;$F63,N63-N(T63)-N(U63),X63-N(U63)))))</f>
        <v>0</v>
      </c>
      <c r="Z63" s="19" t="str">
        <f aca="false">IF(OR(AG63=0,Y63=""),"",IF(Y63&gt;0,"Yes","No"))</f>
        <v>No</v>
      </c>
      <c r="AA63" s="19"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Not yet - first day on 25/05/2029</v>
      </c>
      <c r="AB63" s="20" t="n">
        <f aca="false">IF(OR(AG63=0,T63=""),"",BA63*HoursPerDay-T63)</f>
        <v>0</v>
      </c>
      <c r="AC63" s="19" t="n">
        <f aca="false">IF(AG63=0,"",BC63)</f>
        <v>0</v>
      </c>
      <c r="AD63" s="19"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20" t="n">
        <f aca="false">IF(AG63=0,"",O63-BH63)</f>
        <v>0</v>
      </c>
      <c r="AF63" s="17" t="str">
        <f aca="false">IF(OR(AG63=0,AE63="",N(AE63)=0,BI63=""),"",EDATE(AH63,BI63))</f>
        <v/>
      </c>
      <c r="AG63" s="19" t="n">
        <f aca="false">IF(OR(LEN($A63&amp;$B63)=0,$F63=""),0,1)</f>
        <v>1</v>
      </c>
      <c r="AH63" s="17" t="n">
        <f aca="false">IF(AG63=0,"",IF($J63&lt;&gt;"",$J63,IF(OR(CasualCounts="Yes",COUNT($G63:$I63)=0,COUNT($H63:$I63)=0),$F63,MIN($H63:$I63))))</f>
        <v>46167</v>
      </c>
      <c r="AI63" s="19" t="n">
        <f aca="false">IF(AG63=0,"",COUNT($G63:$I63))</f>
        <v>2</v>
      </c>
      <c r="AJ63" s="17" t="n">
        <f aca="false">IF(AG63=0,"",IFERROR(SMALL($G63:$I63,1),""))</f>
        <v>45202</v>
      </c>
      <c r="AK63" s="17" t="n">
        <f aca="false">IF(AG63=0,"",IFERROR(SMALL($G63:$I63,2),""))</f>
        <v>46167</v>
      </c>
      <c r="AL63" s="17" t="str">
        <f aca="false">IF(AG63=0,"",IFERROR(SMALL($G63:$I63,3),""))</f>
        <v/>
      </c>
      <c r="AM63" s="19" t="str">
        <f aca="false">IF(AG63=0,"",IF(AJ63="","",IF(AJ63=$H63,"Part-Time",IF(AJ63=$I63,"Full-Time","Casual"))))</f>
        <v>Casual</v>
      </c>
      <c r="AN63" s="19" t="str">
        <f aca="false">IF(AG63=0,"",IF(AK63="","",IF(AK63=$H63,"Part-Time",IF(AK63=$I63,"Full-Time","Casual"))))</f>
        <v>Full-Time</v>
      </c>
      <c r="AO63" s="19" t="str">
        <f aca="false">IF(AG63=0,"",IF(AL63="","",IF(AL63=$H63,"Part-Time",IF(AL63=$I63,"Full-Time","Casual"))))</f>
        <v/>
      </c>
      <c r="AP63" s="19"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None</v>
      </c>
      <c r="AQ63" s="19" t="str">
        <f aca="false">IF(AG63=0,"",IF(AI63&lt;2,"",IF(OR(ISNUMBER(SEARCH("full",AN63)),UPPER(TRIM(AN63))="FT",UPPER(TRIM(AN63))="FTE"),"FT",IF(AND(OR(ISNUMBER(SEARCH("part",AN63)),UPPER(TRIM(AN63))="PT",UPPER(TRIM(AN63))="PTE"),OR($P63="",N($P63)&gt;=PT_MinHours)),"PT","None"))))</f>
        <v>FT</v>
      </c>
      <c r="AR63" s="19" t="str">
        <f aca="false">IF(AG63=0,"",IF(AI63&lt;3,"",IF(OR(ISNUMBER(SEARCH("full",AO63)),UPPER(TRIM(AO63))="FT",UPPER(TRIM(AO63))="FTE"),"FT",IF(AND(OR(ISNUMBER(SEARCH("part",AO63)),UPPER(TRIM(AO63))="PT",UPPER(TRIM(AO63))="PTE"),OR($P63="",N($P63)&gt;=PT_MinHours)),"PT","None"))))</f>
        <v/>
      </c>
      <c r="AS63" s="19" t="str">
        <f aca="false">IF(AG63=0,"",IF(AND(AI63&gt;=3,AL63&lt;=AsOfDate),AR63,IF(AND(AI63&gt;=2,AK63&lt;=AsOfDate),AQ63,AP63)))</f>
        <v>FT</v>
      </c>
      <c r="AT63" s="19" t="n">
        <f aca="false">IF(AG63=0,"",IF(AsOfDate&lt;AH63,-1,12*(YEAR(AsOfDate)-YEAR(AH63))+MONTH(AsOfDate)-MONTH(AH63)-IF(DAY(AsOfDate)&lt;MIN(DAY(AH63),DAY(EOMONTH(AsOfDate,0))),1,0)))</f>
        <v>4</v>
      </c>
      <c r="AU63" s="19" t="n">
        <f aca="false">IF(AG63=0,"",IF(OR(AI63&lt;2,AK63&gt;AsOfDate),AT63,IF((AK63-1)&lt;AH63,-1,12*(YEAR((AK63-1))-YEAR(AH63))+MONTH((AK63-1))-MONTH(AH63)-IF(DAY((AK63-1))&lt;MIN(DAY(AH63),DAY(EOMONTH((AK63-1),0))),1,0))))</f>
        <v>-1</v>
      </c>
      <c r="AV63" s="19" t="n">
        <f aca="false">IF(AG63=0,"",IF(OR(AI63&lt;3,AL63&gt;AsOfDate),AT63,IF((AL63-1)&lt;AH63,-1,12*(YEAR((AL63-1))-YEAR(AH63))+MONTH((AL63-1))-MONTH(AH63)-IF(DAY((AL63-1))&lt;MIN(DAY(AH63),DAY(EOMONTH((AL63-1),0))),1,0))))</f>
        <v>4</v>
      </c>
      <c r="AW63" s="19" t="n">
        <f aca="false">IF(AG63=0,"",IF(PFYDate&lt;AH63,-1,12*(YEAR(PFYDate)-YEAR(AH63))+MONTH(PFYDate)-MONTH(AH63)-IF(DAY(PFYDate)&lt;MIN(DAY(AH63),DAY(EOMONTH(PFYDate,0))),1,0)))</f>
        <v>-1</v>
      </c>
      <c r="AX63" s="19" t="n">
        <f aca="false">IF(AG63=0,"",IF(OR(AI63&lt;2,AK63&gt;PFYDate),AW63,IF((AK63-1)&lt;AH63,-1,12*(YEAR((AK63-1))-YEAR(AH63))+MONTH((AK63-1))-MONTH(AH63)-IF(DAY((AK63-1))&lt;MIN(DAY(AH63),DAY(EOMONTH((AK63-1),0))),1,0))))</f>
        <v>-1</v>
      </c>
      <c r="AY63" s="19" t="n">
        <f aca="false">IF(AG63=0,"",IF(OR(AI63&lt;3,AL63&gt;PFYDate),AW63,IF((AL63-1)&lt;AH63,-1,12*(YEAR((AL63-1))-YEAR(AH63))+MONTH((AL63-1))-MONTH(AH63)-IF(DAY((AL63-1))&lt;MIN(DAY(AH63),DAY(EOMONTH((AL63-1),0))),1,0))))</f>
        <v>-1</v>
      </c>
      <c r="AZ63" s="19" t="n">
        <f aca="false">IF(AG63=0,"",IF(AP63="FT",IF(AU63&lt;FT_First,0,IF(AU63&lt;FT_Y5,1+INT((AU63-FT_First)/FT_Int1),FT_PreY5+FT_PerYear*INT((AU63-FT_Y5)/12)+FT_AnnivDays+INT(MOD(AU63-FT_Y5,12)/FT_Int2))),IF(AP63="PT",IF(AU63&lt;PT_First,0,1+INT((AU63-PT_First)/PT_Int)),0))+IF(AND(AI63&gt;=2,AK63&lt;=AsOfDate),IF(AQ63="FT",IF(AV63&lt;FT_First,0,IF(AV63&lt;FT_Y5,1+INT((AV63-FT_First)/FT_Int1),FT_PreY5+FT_PerYear*INT((AV63-FT_Y5)/12)+FT_AnnivDays+INT(MOD(AV63-FT_Y5,12)/FT_Int2))),IF(AQ63="PT",IF(AV63&lt;PT_First,0,1+INT((AV63-PT_First)/PT_Int)),0))-IF(AQ63="FT",IF(AU63&lt;FT_First,0,IF(AU63&lt;FT_Y5,1+INT((AU63-FT_First)/FT_Int1),FT_PreY5+FT_PerYear*INT((AU63-FT_Y5)/12)+FT_AnnivDays+INT(MOD(AU63-FT_Y5,12)/FT_Int2))),IF(AQ63="PT",IF(AU63&lt;PT_First,0,1+INT((AU63-PT_First)/PT_Int)),0)),0)+IF(AND(AI63&gt;=3,AL63&lt;=AsOfDate),IF(AR63="FT",IF(AT63&lt;FT_First,0,IF(AT63&lt;FT_Y5,1+INT((AT63-FT_First)/FT_Int1),FT_PreY5+FT_PerYear*INT((AT63-FT_Y5)/12)+FT_AnnivDays+INT(MOD(AT63-FT_Y5,12)/FT_Int2))),IF(AR63="PT",IF(AT63&lt;PT_First,0,1+INT((AT63-PT_First)/PT_Int)),0))-IF(AR63="FT",IF(AV63&lt;FT_First,0,IF(AV63&lt;FT_Y5,1+INT((AV63-FT_First)/FT_Int1),FT_PreY5+FT_PerYear*INT((AV63-FT_Y5)/12)+FT_AnnivDays+INT(MOD(AV63-FT_Y5,12)/FT_Int2))),IF(AR63="PT",IF(AV63&lt;PT_First,0,1+INT((AV63-PT_First)/PT_Int)),0)),0))</f>
        <v>0</v>
      </c>
      <c r="BA63" s="19" t="n">
        <f aca="false">IF(AG63=0,"",IF(AP63="FT",IF(AX63&lt;FT_First,0,IF(AX63&lt;FT_Y5,1+INT((AX63-FT_First)/FT_Int1),FT_PreY5+FT_PerYear*INT((AX63-FT_Y5)/12)+FT_AnnivDays+INT(MOD(AX63-FT_Y5,12)/FT_Int2))),IF(AP63="PT",IF(AX63&lt;PT_First,0,1+INT((AX63-PT_First)/PT_Int)),0))+IF(AND(AI63&gt;=2,AK63&lt;=PFYDate),IF(AQ63="FT",IF(AY63&lt;FT_First,0,IF(AY63&lt;FT_Y5,1+INT((AY63-FT_First)/FT_Int1),FT_PreY5+FT_PerYear*INT((AY63-FT_Y5)/12)+FT_AnnivDays+INT(MOD(AY63-FT_Y5,12)/FT_Int2))),IF(AQ63="PT",IF(AY63&lt;PT_First,0,1+INT((AY63-PT_First)/PT_Int)),0))-IF(AQ63="FT",IF(AX63&lt;FT_First,0,IF(AX63&lt;FT_Y5,1+INT((AX63-FT_First)/FT_Int1),FT_PreY5+FT_PerYear*INT((AX63-FT_Y5)/12)+FT_AnnivDays+INT(MOD(AX63-FT_Y5,12)/FT_Int2))),IF(AQ63="PT",IF(AX63&lt;PT_First,0,1+INT((AX63-PT_First)/PT_Int)),0)),0)+IF(AND(AI63&gt;=3,AL63&lt;=PFYDate),IF(AR63="FT",IF(AW63&lt;FT_First,0,IF(AW63&lt;FT_Y5,1+INT((AW63-FT_First)/FT_Int1),FT_PreY5+FT_PerYear*INT((AW63-FT_Y5)/12)+FT_AnnivDays+INT(MOD(AW63-FT_Y5,12)/FT_Int2))),IF(AR63="PT",IF(AW63&lt;PT_First,0,1+INT((AW63-PT_First)/PT_Int)),0))-IF(AR63="FT",IF(AY63&lt;FT_First,0,IF(AY63&lt;FT_Y5,1+INT((AY63-FT_First)/FT_Int1),FT_PreY5+FT_PerYear*INT((AY63-FT_Y5)/12)+FT_AnnivDays+INT(MOD(AY63-FT_Y5,12)/FT_Int2))),IF(AR63="PT",IF(AY63&lt;PT_First,0,1+INT((AY63-PT_First)/PT_Int)),0)),0))</f>
        <v>0</v>
      </c>
      <c r="BB63" s="19" t="n">
        <f aca="false">IF(AG63=0,"",IF(AS63="FT",IF(AT63&lt;FT_First,FT_First,IF(AT63&lt;FT_Y5,MIN(FT_Y5,FT_First+FT_Int1*(INT((AT63-FT_First)/FT_Int1)+1)),FT_Y5+12*INT((AT63-FT_Y5)/12)+FT_Int2*(INT(MOD(AT63-FT_Y5,12)/FT_Int2)+1))),IF(AS63="PT",IF(AT63&lt;PT_First,PT_First,PT_First+PT_Int*(INT((AT63-PT_First)/PT_Int)+1)),"")))</f>
        <v>36</v>
      </c>
      <c r="BC63" s="19" t="n">
        <f aca="false">IF(AG63=0,"",IF(NOT(LH_Ready),0,COUNTIFS(INDEX(LH_Data,0,LH_ColFirst),$A63,INDEX(LH_Data,0,LH_ColSur),$B63,INDEX(LH_Data,0,LH_ColCat),BonusCat)))</f>
        <v>0</v>
      </c>
      <c r="BD63" s="19" t="n">
        <f aca="false">IF(AG63=0,"",IF(OR(NOT(LH_Ready),BC63=0),0,SUMPRODUCT(MAX((INDEX(LH_Data,0,LH_ColFirst)=$A63)*(INDEX(LH_Data,0,LH_ColSur)=$B63)*(INDEX(LH_Data,0,LH_ColCat)=BonusCat)*ROW(LH_Data)))))</f>
        <v>0</v>
      </c>
      <c r="BE63" s="19" t="n">
        <f aca="false">IF(AG63=0,"",IF(EOMONTH(AsOfDate,-1)&lt;AH63,-1,12*(YEAR(EOMONTH(AsOfDate,-1))-YEAR(AH63))+MONTH(EOMONTH(AsOfDate,-1))-MONTH(AH63)-IF(DAY(EOMONTH(AsOfDate,-1))&lt;MIN(DAY(AH63),DAY(EOMONTH(EOMONTH(AsOfDate,-1),0))),1,0)))</f>
        <v>4</v>
      </c>
      <c r="BF63" s="19" t="n">
        <f aca="false">IF(AG63=0,"",IF(OR(AI63&lt;2,AK63&gt;EOMONTH(AsOfDate,-1)),BE63,IF((AK63-1)&lt;AH63,-1,12*(YEAR((AK63-1))-YEAR(AH63))+MONTH((AK63-1))-MONTH(AH63)-IF(DAY((AK63-1))&lt;MIN(DAY(AH63),DAY(EOMONTH((AK63-1),0))),1,0))))</f>
        <v>-1</v>
      </c>
      <c r="BG63" s="19" t="n">
        <f aca="false">IF(AG63=0,"",IF(OR(AI63&lt;3,AL63&gt;EOMONTH(AsOfDate,-1)),BE63,IF((AL63-1)&lt;AH63,-1,12*(YEAR((AL63-1))-YEAR(AH63))+MONTH((AL63-1))-MONTH(AH63)-IF(DAY((AL63-1))&lt;MIN(DAY(AH63),DAY(EOMONTH((AL63-1),0))),1,0))))</f>
        <v>4</v>
      </c>
      <c r="BH63" s="19" t="n">
        <f aca="false">IF(AG63=0,"",IF(AP63="FT",IF(BF63&lt;FT_First,0,IF(BF63&lt;FT_Y5,1+INT((BF63-FT_First)/FT_Int1),FT_PreY5+FT_PerYear*INT((BF63-FT_Y5)/12)+FT_AnnivDays+INT(MOD(BF63-FT_Y5,12)/FT_Int2))),IF(AP63="PT",IF(BF63&lt;PT_First,0,1+INT((BF63-PT_First)/PT_Int)),0))+IF(AND(AI63&gt;=2,AK63&lt;=EOMONTH(AsOfDate,-1)),IF(AQ63="FT",IF(BG63&lt;FT_First,0,IF(BG63&lt;FT_Y5,1+INT((BG63-FT_First)/FT_Int1),FT_PreY5+FT_PerYear*INT((BG63-FT_Y5)/12)+FT_AnnivDays+INT(MOD(BG63-FT_Y5,12)/FT_Int2))),IF(AQ63="PT",IF(BG63&lt;PT_First,0,1+INT((BG63-PT_First)/PT_Int)),0))-IF(AQ63="FT",IF(BF63&lt;FT_First,0,IF(BF63&lt;FT_Y5,1+INT((BF63-FT_First)/FT_Int1),FT_PreY5+FT_PerYear*INT((BF63-FT_Y5)/12)+FT_AnnivDays+INT(MOD(BF63-FT_Y5,12)/FT_Int2))),IF(AQ63="PT",IF(BF63&lt;PT_First,0,1+INT((BF63-PT_First)/PT_Int)),0)),0)+IF(AND(AI63&gt;=3,AL63&lt;=EOMONTH(AsOfDate,-1)),IF(AR63="FT",IF(BE63&lt;FT_First,0,IF(BE63&lt;FT_Y5,1+INT((BE63-FT_First)/FT_Int1),FT_PreY5+FT_PerYear*INT((BE63-FT_Y5)/12)+FT_AnnivDays+INT(MOD(BE63-FT_Y5,12)/FT_Int2))),IF(AR63="PT",IF(BE63&lt;PT_First,0,1+INT((BE63-PT_First)/PT_Int)),0))-IF(AR63="FT",IF(BG63&lt;FT_First,0,IF(BG63&lt;FT_Y5,1+INT((BG63-FT_First)/FT_Int1),FT_PreY5+FT_PerYear*INT((BG63-FT_Y5)/12)+FT_AnnivDays+INT(MOD(BG63-FT_Y5,12)/FT_Int2))),IF(AR63="PT",IF(BG63&lt;PT_First,0,1+INT((BG63-PT_First)/PT_Int)),0)),0))</f>
        <v>0</v>
      </c>
      <c r="BI63" s="19" t="str">
        <f aca="false">IF(AG63=0,"",IF(AS63="FT",IF(AT63&lt;FT_First,"",IF(AT63&lt;FT_Y5,FT_First+FT_Int1*INT((AT63-FT_First)/FT_Int1),FT_Y5+FT_Int2*INT((AT63-FT_Y5)/FT_Int2))),IF(AS63="PT",IF(AT63&lt;PT_First,"",PT_First+PT_Int*INT((AT63-PT_First)/PT_Int)),"")))</f>
        <v/>
      </c>
      <c r="BJ63" s="0" t="str">
        <f aca="false">IF(LEN($A63&amp;$B63)=0,"",$A63&amp;" "&amp;$B63)</f>
        <v>Sangeeta Lachmaiya</v>
      </c>
    </row>
    <row r="64" customFormat="false" ht="15" hidden="false" customHeight="false" outlineLevel="0" collapsed="false">
      <c r="A64" s="15" t="s">
        <v>256</v>
      </c>
      <c r="B64" s="15" t="s">
        <v>257</v>
      </c>
      <c r="C64" s="15" t="s">
        <v>153</v>
      </c>
      <c r="D64" s="16" t="n">
        <v>33824</v>
      </c>
      <c r="E64" s="17" t="n">
        <f aca="false">IF(OR(AG64=0,$D64=""),"",DATE(YEAR(AsOfDate)+IF(DATE(YEAR(AsOfDate),MONTH($D64),DAY($D64))&lt;=AsOfDate,1,0),MONTH($D64),DAY($D64)))</f>
        <v>46607</v>
      </c>
      <c r="F64" s="16" t="n">
        <v>45628</v>
      </c>
      <c r="G64" s="16"/>
      <c r="H64" s="16"/>
      <c r="I64" s="16" t="n">
        <v>45628</v>
      </c>
      <c r="J64" s="16"/>
      <c r="K64" s="17" t="n">
        <f aca="false">IF(AG64=0,"",DATE(YEAR(AsOfDate)+IF(DATE(YEAR(AsOfDate),MONTH(AH64),DAY(AH64))&lt;=AsOfDate,1,0),MONTH(AH64),DAY(AH64)))</f>
        <v>46358</v>
      </c>
      <c r="L64" s="18" t="n">
        <f aca="false">IF(AG64=0,"",ROUND((AsOfDate-AH64)/365.25,1))</f>
        <v>1.8</v>
      </c>
      <c r="M64" s="19" t="str">
        <f aca="false">IF(AG64=0,"",IF(AsOfDate&lt;AH64,"-",DATEDIF(AH64,AsOfDate,"y")&amp;"y "&amp;DATEDIF(AH64,AsOfDate,"ym")&amp;"m "&amp;DATEDIF(AH64,AsOfDate,"md")&amp;"d"))</f>
        <v>1y 10m 4d</v>
      </c>
      <c r="N64" s="20" t="n">
        <f aca="false">IF(AG64=0,"",O64*HoursPerDay)</f>
        <v>0</v>
      </c>
      <c r="O64" s="20" t="n">
        <f aca="false">IF(AG64=0,"",AZ64)</f>
        <v>0</v>
      </c>
      <c r="P64" s="21"/>
      <c r="Q64" s="19"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19"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17" t="n">
        <f aca="false">IF(AG64=0,"",IF(AS64="None","",EDATE(AH64,BB64)))</f>
        <v>46723</v>
      </c>
      <c r="T64" s="20" t="n">
        <f aca="false">IF(AG64=0,"",IF(NOT(LH_Ready),"",IF(AH64&gt;PFYDate,0,IF(LH_ColPeriod=0,W64-U64+V64,SUMIFS(INDEX(LH_Data,0,LH_ColAcc),INDEX(LH_Data,0,LH_ColFirst),$A64,INDEX(LH_Data,0,LH_ColSur),$B64,INDEX(LH_Data,0,LH_ColCat),BonusCat,INDEX(LH_Data,0,LH_ColPeriod),LH_OpenLabel)*UnitFactor))))</f>
        <v>0</v>
      </c>
      <c r="U64" s="20" t="n">
        <f aca="false">IF(AG64=0,"",IF(NOT(LH_Ready),"",SUMIFS(INDEX(LH_Data,0,LH_ColAcc),INDEX(LH_Data,0,LH_ColFirst),$A64,INDEX(LH_Data,0,LH_ColSur),$B64,INDEX(LH_Data,0,LH_ColCat),BonusCat,INDEX(LH_Data,0,LH_ColStart),"&gt;="&amp;AH64)*UnitFactor))</f>
        <v>0</v>
      </c>
      <c r="V64" s="20" t="n">
        <f aca="false">IF(AG64=0,"",IF(NOT(LH_Ready),"",SUMIFS(INDEX(LH_Data,0,LH_ColTaken),INDEX(LH_Data,0,LH_ColFirst),$A64,INDEX(LH_Data,0,LH_ColSur),$B64,INDEX(LH_Data,0,LH_ColCat),BonusCat,INDEX(LH_Data,0,LH_ColStart),"&gt;="&amp;AH64)*UnitFactor))</f>
        <v>0</v>
      </c>
      <c r="W64" s="20" t="n">
        <f aca="false">IF(AG64=0,"",IF(NOT(LH_Ready),"",IF(BD64=0,0,INDEX(INDEX(LH_Data,0,LH_ColClose),BD64-1)*UnitFactor)))</f>
        <v>0</v>
      </c>
      <c r="X64" s="20" t="n">
        <f aca="false">IF(AG64=0,"",(AZ64-BA64)*HoursPerDay)</f>
        <v>0</v>
      </c>
      <c r="Y64" s="20" t="n">
        <f aca="false">IF(AG64=0,"",IF(NOT(LH_Ready),"",IF(BC64=0,N64,IF(PFYDate&lt;$F64,N64-N(T64)-N(U64),X64-N(U64)))))</f>
        <v>0</v>
      </c>
      <c r="Z64" s="19" t="str">
        <f aca="false">IF(OR(AG64=0,Y64=""),"",IF(Y64&gt;0,"Yes","No"))</f>
        <v>No</v>
      </c>
      <c r="AA64" s="19"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Not yet - first day on 02/12/2027</v>
      </c>
      <c r="AB64" s="20" t="n">
        <f aca="false">IF(OR(AG64=0,T64=""),"",BA64*HoursPerDay-T64)</f>
        <v>0</v>
      </c>
      <c r="AC64" s="19" t="n">
        <f aca="false">IF(AG64=0,"",BC64)</f>
        <v>0</v>
      </c>
      <c r="AD64" s="19"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20" t="n">
        <f aca="false">IF(AG64=0,"",O64-BH64)</f>
        <v>0</v>
      </c>
      <c r="AF64" s="17" t="str">
        <f aca="false">IF(OR(AG64=0,AE64="",N(AE64)=0,BI64=""),"",EDATE(AH64,BI64))</f>
        <v/>
      </c>
      <c r="AG64" s="19" t="n">
        <f aca="false">IF(OR(LEN($A64&amp;$B64)=0,$F64=""),0,1)</f>
        <v>1</v>
      </c>
      <c r="AH64" s="17" t="n">
        <f aca="false">IF(AG64=0,"",IF($J64&lt;&gt;"",$J64,IF(OR(CasualCounts="Yes",COUNT($G64:$I64)=0,COUNT($H64:$I64)=0),$F64,MIN($H64:$I64))))</f>
        <v>45628</v>
      </c>
      <c r="AI64" s="19" t="n">
        <f aca="false">IF(AG64=0,"",COUNT($G64:$I64))</f>
        <v>1</v>
      </c>
      <c r="AJ64" s="17" t="n">
        <f aca="false">IF(AG64=0,"",IFERROR(SMALL($G64:$I64,1),""))</f>
        <v>45628</v>
      </c>
      <c r="AK64" s="17" t="str">
        <f aca="false">IF(AG64=0,"",IFERROR(SMALL($G64:$I64,2),""))</f>
        <v/>
      </c>
      <c r="AL64" s="17" t="str">
        <f aca="false">IF(AG64=0,"",IFERROR(SMALL($G64:$I64,3),""))</f>
        <v/>
      </c>
      <c r="AM64" s="19" t="str">
        <f aca="false">IF(AG64=0,"",IF(AJ64="","",IF(AJ64=$H64,"Part-Time",IF(AJ64=$I64,"Full-Time","Casual"))))</f>
        <v>Full-Time</v>
      </c>
      <c r="AN64" s="19" t="str">
        <f aca="false">IF(AG64=0,"",IF(AK64="","",IF(AK64=$H64,"Part-Time",IF(AK64=$I64,"Full-Time","Casual"))))</f>
        <v/>
      </c>
      <c r="AO64" s="19" t="str">
        <f aca="false">IF(AG64=0,"",IF(AL64="","",IF(AL64=$H64,"Part-Time",IF(AL64=$I64,"Full-Time","Casual"))))</f>
        <v/>
      </c>
      <c r="AP64" s="19"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FT</v>
      </c>
      <c r="AQ64" s="19" t="str">
        <f aca="false">IF(AG64=0,"",IF(AI64&lt;2,"",IF(OR(ISNUMBER(SEARCH("full",AN64)),UPPER(TRIM(AN64))="FT",UPPER(TRIM(AN64))="FTE"),"FT",IF(AND(OR(ISNUMBER(SEARCH("part",AN64)),UPPER(TRIM(AN64))="PT",UPPER(TRIM(AN64))="PTE"),OR($P64="",N($P64)&gt;=PT_MinHours)),"PT","None"))))</f>
        <v/>
      </c>
      <c r="AR64" s="19" t="str">
        <f aca="false">IF(AG64=0,"",IF(AI64&lt;3,"",IF(OR(ISNUMBER(SEARCH("full",AO64)),UPPER(TRIM(AO64))="FT",UPPER(TRIM(AO64))="FTE"),"FT",IF(AND(OR(ISNUMBER(SEARCH("part",AO64)),UPPER(TRIM(AO64))="PT",UPPER(TRIM(AO64))="PTE"),OR($P64="",N($P64)&gt;=PT_MinHours)),"PT","None"))))</f>
        <v/>
      </c>
      <c r="AS64" s="19" t="str">
        <f aca="false">IF(AG64=0,"",IF(AND(AI64&gt;=3,AL64&lt;=AsOfDate),AR64,IF(AND(AI64&gt;=2,AK64&lt;=AsOfDate),AQ64,AP64)))</f>
        <v>FT</v>
      </c>
      <c r="AT64" s="19" t="n">
        <f aca="false">IF(AG64=0,"",IF(AsOfDate&lt;AH64,-1,12*(YEAR(AsOfDate)-YEAR(AH64))+MONTH(AsOfDate)-MONTH(AH64)-IF(DAY(AsOfDate)&lt;MIN(DAY(AH64),DAY(EOMONTH(AsOfDate,0))),1,0)))</f>
        <v>22</v>
      </c>
      <c r="AU64" s="19" t="n">
        <f aca="false">IF(AG64=0,"",IF(OR(AI64&lt;2,AK64&gt;AsOfDate),AT64,IF((AK64-1)&lt;AH64,-1,12*(YEAR((AK64-1))-YEAR(AH64))+MONTH((AK64-1))-MONTH(AH64)-IF(DAY((AK64-1))&lt;MIN(DAY(AH64),DAY(EOMONTH((AK64-1),0))),1,0))))</f>
        <v>22</v>
      </c>
      <c r="AV64" s="19" t="n">
        <f aca="false">IF(AG64=0,"",IF(OR(AI64&lt;3,AL64&gt;AsOfDate),AT64,IF((AL64-1)&lt;AH64,-1,12*(YEAR((AL64-1))-YEAR(AH64))+MONTH((AL64-1))-MONTH(AH64)-IF(DAY((AL64-1))&lt;MIN(DAY(AH64),DAY(EOMONTH((AL64-1),0))),1,0))))</f>
        <v>22</v>
      </c>
      <c r="AW64" s="19" t="n">
        <f aca="false">IF(AG64=0,"",IF(PFYDate&lt;AH64,-1,12*(YEAR(PFYDate)-YEAR(AH64))+MONTH(PFYDate)-MONTH(AH64)-IF(DAY(PFYDate)&lt;MIN(DAY(AH64),DAY(EOMONTH(PFYDate,0))),1,0)))</f>
        <v>-1</v>
      </c>
      <c r="AX64" s="19" t="n">
        <f aca="false">IF(AG64=0,"",IF(OR(AI64&lt;2,AK64&gt;PFYDate),AW64,IF((AK64-1)&lt;AH64,-1,12*(YEAR((AK64-1))-YEAR(AH64))+MONTH((AK64-1))-MONTH(AH64)-IF(DAY((AK64-1))&lt;MIN(DAY(AH64),DAY(EOMONTH((AK64-1),0))),1,0))))</f>
        <v>-1</v>
      </c>
      <c r="AY64" s="19" t="n">
        <f aca="false">IF(AG64=0,"",IF(OR(AI64&lt;3,AL64&gt;PFYDate),AW64,IF((AL64-1)&lt;AH64,-1,12*(YEAR((AL64-1))-YEAR(AH64))+MONTH((AL64-1))-MONTH(AH64)-IF(DAY((AL64-1))&lt;MIN(DAY(AH64),DAY(EOMONTH((AL64-1),0))),1,0))))</f>
        <v>-1</v>
      </c>
      <c r="AZ64" s="19" t="n">
        <f aca="false">IF(AG64=0,"",IF(AP64="FT",IF(AU64&lt;FT_First,0,IF(AU64&lt;FT_Y5,1+INT((AU64-FT_First)/FT_Int1),FT_PreY5+FT_PerYear*INT((AU64-FT_Y5)/12)+FT_AnnivDays+INT(MOD(AU64-FT_Y5,12)/FT_Int2))),IF(AP64="PT",IF(AU64&lt;PT_First,0,1+INT((AU64-PT_First)/PT_Int)),0))+IF(AND(AI64&gt;=2,AK64&lt;=AsOfDate),IF(AQ64="FT",IF(AV64&lt;FT_First,0,IF(AV64&lt;FT_Y5,1+INT((AV64-FT_First)/FT_Int1),FT_PreY5+FT_PerYear*INT((AV64-FT_Y5)/12)+FT_AnnivDays+INT(MOD(AV64-FT_Y5,12)/FT_Int2))),IF(AQ64="PT",IF(AV64&lt;PT_First,0,1+INT((AV64-PT_First)/PT_Int)),0))-IF(AQ64="FT",IF(AU64&lt;FT_First,0,IF(AU64&lt;FT_Y5,1+INT((AU64-FT_First)/FT_Int1),FT_PreY5+FT_PerYear*INT((AU64-FT_Y5)/12)+FT_AnnivDays+INT(MOD(AU64-FT_Y5,12)/FT_Int2))),IF(AQ64="PT",IF(AU64&lt;PT_First,0,1+INT((AU64-PT_First)/PT_Int)),0)),0)+IF(AND(AI64&gt;=3,AL64&lt;=AsOfDate),IF(AR64="FT",IF(AT64&lt;FT_First,0,IF(AT64&lt;FT_Y5,1+INT((AT64-FT_First)/FT_Int1),FT_PreY5+FT_PerYear*INT((AT64-FT_Y5)/12)+FT_AnnivDays+INT(MOD(AT64-FT_Y5,12)/FT_Int2))),IF(AR64="PT",IF(AT64&lt;PT_First,0,1+INT((AT64-PT_First)/PT_Int)),0))-IF(AR64="FT",IF(AV64&lt;FT_First,0,IF(AV64&lt;FT_Y5,1+INT((AV64-FT_First)/FT_Int1),FT_PreY5+FT_PerYear*INT((AV64-FT_Y5)/12)+FT_AnnivDays+INT(MOD(AV64-FT_Y5,12)/FT_Int2))),IF(AR64="PT",IF(AV64&lt;PT_First,0,1+INT((AV64-PT_First)/PT_Int)),0)),0))</f>
        <v>0</v>
      </c>
      <c r="BA64" s="19" t="n">
        <f aca="false">IF(AG64=0,"",IF(AP64="FT",IF(AX64&lt;FT_First,0,IF(AX64&lt;FT_Y5,1+INT((AX64-FT_First)/FT_Int1),FT_PreY5+FT_PerYear*INT((AX64-FT_Y5)/12)+FT_AnnivDays+INT(MOD(AX64-FT_Y5,12)/FT_Int2))),IF(AP64="PT",IF(AX64&lt;PT_First,0,1+INT((AX64-PT_First)/PT_Int)),0))+IF(AND(AI64&gt;=2,AK64&lt;=PFYDate),IF(AQ64="FT",IF(AY64&lt;FT_First,0,IF(AY64&lt;FT_Y5,1+INT((AY64-FT_First)/FT_Int1),FT_PreY5+FT_PerYear*INT((AY64-FT_Y5)/12)+FT_AnnivDays+INT(MOD(AY64-FT_Y5,12)/FT_Int2))),IF(AQ64="PT",IF(AY64&lt;PT_First,0,1+INT((AY64-PT_First)/PT_Int)),0))-IF(AQ64="FT",IF(AX64&lt;FT_First,0,IF(AX64&lt;FT_Y5,1+INT((AX64-FT_First)/FT_Int1),FT_PreY5+FT_PerYear*INT((AX64-FT_Y5)/12)+FT_AnnivDays+INT(MOD(AX64-FT_Y5,12)/FT_Int2))),IF(AQ64="PT",IF(AX64&lt;PT_First,0,1+INT((AX64-PT_First)/PT_Int)),0)),0)+IF(AND(AI64&gt;=3,AL64&lt;=PFYDate),IF(AR64="FT",IF(AW64&lt;FT_First,0,IF(AW64&lt;FT_Y5,1+INT((AW64-FT_First)/FT_Int1),FT_PreY5+FT_PerYear*INT((AW64-FT_Y5)/12)+FT_AnnivDays+INT(MOD(AW64-FT_Y5,12)/FT_Int2))),IF(AR64="PT",IF(AW64&lt;PT_First,0,1+INT((AW64-PT_First)/PT_Int)),0))-IF(AR64="FT",IF(AY64&lt;FT_First,0,IF(AY64&lt;FT_Y5,1+INT((AY64-FT_First)/FT_Int1),FT_PreY5+FT_PerYear*INT((AY64-FT_Y5)/12)+FT_AnnivDays+INT(MOD(AY64-FT_Y5,12)/FT_Int2))),IF(AR64="PT",IF(AY64&lt;PT_First,0,1+INT((AY64-PT_First)/PT_Int)),0)),0))</f>
        <v>0</v>
      </c>
      <c r="BB64" s="19" t="n">
        <f aca="false">IF(AG64=0,"",IF(AS64="FT",IF(AT64&lt;FT_First,FT_First,IF(AT64&lt;FT_Y5,MIN(FT_Y5,FT_First+FT_Int1*(INT((AT64-FT_First)/FT_Int1)+1)),FT_Y5+12*INT((AT64-FT_Y5)/12)+FT_Int2*(INT(MOD(AT64-FT_Y5,12)/FT_Int2)+1))),IF(AS64="PT",IF(AT64&lt;PT_First,PT_First,PT_First+PT_Int*(INT((AT64-PT_First)/PT_Int)+1)),"")))</f>
        <v>36</v>
      </c>
      <c r="BC64" s="19" t="n">
        <f aca="false">IF(AG64=0,"",IF(NOT(LH_Ready),0,COUNTIFS(INDEX(LH_Data,0,LH_ColFirst),$A64,INDEX(LH_Data,0,LH_ColSur),$B64,INDEX(LH_Data,0,LH_ColCat),BonusCat)))</f>
        <v>0</v>
      </c>
      <c r="BD64" s="19" t="n">
        <f aca="false">IF(AG64=0,"",IF(OR(NOT(LH_Ready),BC64=0),0,SUMPRODUCT(MAX((INDEX(LH_Data,0,LH_ColFirst)=$A64)*(INDEX(LH_Data,0,LH_ColSur)=$B64)*(INDEX(LH_Data,0,LH_ColCat)=BonusCat)*ROW(LH_Data)))))</f>
        <v>0</v>
      </c>
      <c r="BE64" s="19" t="n">
        <f aca="false">IF(AG64=0,"",IF(EOMONTH(AsOfDate,-1)&lt;AH64,-1,12*(YEAR(EOMONTH(AsOfDate,-1))-YEAR(AH64))+MONTH(EOMONTH(AsOfDate,-1))-MONTH(AH64)-IF(DAY(EOMONTH(AsOfDate,-1))&lt;MIN(DAY(AH64),DAY(EOMONTH(EOMONTH(AsOfDate,-1),0))),1,0)))</f>
        <v>21</v>
      </c>
      <c r="BF64" s="19" t="n">
        <f aca="false">IF(AG64=0,"",IF(OR(AI64&lt;2,AK64&gt;EOMONTH(AsOfDate,-1)),BE64,IF((AK64-1)&lt;AH64,-1,12*(YEAR((AK64-1))-YEAR(AH64))+MONTH((AK64-1))-MONTH(AH64)-IF(DAY((AK64-1))&lt;MIN(DAY(AH64),DAY(EOMONTH((AK64-1),0))),1,0))))</f>
        <v>21</v>
      </c>
      <c r="BG64" s="19" t="n">
        <f aca="false">IF(AG64=0,"",IF(OR(AI64&lt;3,AL64&gt;EOMONTH(AsOfDate,-1)),BE64,IF((AL64-1)&lt;AH64,-1,12*(YEAR((AL64-1))-YEAR(AH64))+MONTH((AL64-1))-MONTH(AH64)-IF(DAY((AL64-1))&lt;MIN(DAY(AH64),DAY(EOMONTH((AL64-1),0))),1,0))))</f>
        <v>21</v>
      </c>
      <c r="BH64" s="19" t="n">
        <f aca="false">IF(AG64=0,"",IF(AP64="FT",IF(BF64&lt;FT_First,0,IF(BF64&lt;FT_Y5,1+INT((BF64-FT_First)/FT_Int1),FT_PreY5+FT_PerYear*INT((BF64-FT_Y5)/12)+FT_AnnivDays+INT(MOD(BF64-FT_Y5,12)/FT_Int2))),IF(AP64="PT",IF(BF64&lt;PT_First,0,1+INT((BF64-PT_First)/PT_Int)),0))+IF(AND(AI64&gt;=2,AK64&lt;=EOMONTH(AsOfDate,-1)),IF(AQ64="FT",IF(BG64&lt;FT_First,0,IF(BG64&lt;FT_Y5,1+INT((BG64-FT_First)/FT_Int1),FT_PreY5+FT_PerYear*INT((BG64-FT_Y5)/12)+FT_AnnivDays+INT(MOD(BG64-FT_Y5,12)/FT_Int2))),IF(AQ64="PT",IF(BG64&lt;PT_First,0,1+INT((BG64-PT_First)/PT_Int)),0))-IF(AQ64="FT",IF(BF64&lt;FT_First,0,IF(BF64&lt;FT_Y5,1+INT((BF64-FT_First)/FT_Int1),FT_PreY5+FT_PerYear*INT((BF64-FT_Y5)/12)+FT_AnnivDays+INT(MOD(BF64-FT_Y5,12)/FT_Int2))),IF(AQ64="PT",IF(BF64&lt;PT_First,0,1+INT((BF64-PT_First)/PT_Int)),0)),0)+IF(AND(AI64&gt;=3,AL64&lt;=EOMONTH(AsOfDate,-1)),IF(AR64="FT",IF(BE64&lt;FT_First,0,IF(BE64&lt;FT_Y5,1+INT((BE64-FT_First)/FT_Int1),FT_PreY5+FT_PerYear*INT((BE64-FT_Y5)/12)+FT_AnnivDays+INT(MOD(BE64-FT_Y5,12)/FT_Int2))),IF(AR64="PT",IF(BE64&lt;PT_First,0,1+INT((BE64-PT_First)/PT_Int)),0))-IF(AR64="FT",IF(BG64&lt;FT_First,0,IF(BG64&lt;FT_Y5,1+INT((BG64-FT_First)/FT_Int1),FT_PreY5+FT_PerYear*INT((BG64-FT_Y5)/12)+FT_AnnivDays+INT(MOD(BG64-FT_Y5,12)/FT_Int2))),IF(AR64="PT",IF(BG64&lt;PT_First,0,1+INT((BG64-PT_First)/PT_Int)),0)),0))</f>
        <v>0</v>
      </c>
      <c r="BI64" s="19" t="str">
        <f aca="false">IF(AG64=0,"",IF(AS64="FT",IF(AT64&lt;FT_First,"",IF(AT64&lt;FT_Y5,FT_First+FT_Int1*INT((AT64-FT_First)/FT_Int1),FT_Y5+FT_Int2*INT((AT64-FT_Y5)/FT_Int2))),IF(AS64="PT",IF(AT64&lt;PT_First,"",PT_First+PT_Int*INT((AT64-PT_First)/PT_Int)),"")))</f>
        <v/>
      </c>
      <c r="BJ64" s="0" t="str">
        <f aca="false">IF(LEN($A64&amp;$B64)=0,"",$A64&amp;" "&amp;$B64)</f>
        <v>Sebastien Hathaway</v>
      </c>
    </row>
    <row r="65" customFormat="false" ht="15" hidden="false" customHeight="false" outlineLevel="0" collapsed="false">
      <c r="A65" s="15" t="s">
        <v>258</v>
      </c>
      <c r="B65" s="15" t="s">
        <v>259</v>
      </c>
      <c r="C65" s="15" t="s">
        <v>138</v>
      </c>
      <c r="D65" s="16" t="n">
        <v>33495</v>
      </c>
      <c r="E65" s="17" t="n">
        <f aca="false">IF(OR(AG65=0,$D65=""),"",DATE(YEAR(AsOfDate)+IF(DATE(YEAR(AsOfDate),MONTH($D65),DAY($D65))&lt;=AsOfDate,1,0),MONTH($D65),DAY($D65)))</f>
        <v>46644</v>
      </c>
      <c r="F65" s="16" t="n">
        <v>45947</v>
      </c>
      <c r="G65" s="16"/>
      <c r="H65" s="16"/>
      <c r="I65" s="16"/>
      <c r="J65" s="16"/>
      <c r="K65" s="17" t="n">
        <f aca="false">IF(AG65=0,"",DATE(YEAR(AsOfDate)+IF(DATE(YEAR(AsOfDate),MONTH(AH65),DAY(AH65))&lt;=AsOfDate,1,0),MONTH(AH65),DAY(AH65)))</f>
        <v>46312</v>
      </c>
      <c r="L65" s="18" t="n">
        <f aca="false">IF(AG65=0,"",ROUND((AsOfDate-AH65)/365.25,1))</f>
        <v>1</v>
      </c>
      <c r="M65" s="19" t="str">
        <f aca="false">IF(AG65=0,"",IF(AsOfDate&lt;AH65,"-",DATEDIF(AH65,AsOfDate,"y")&amp;"y "&amp;DATEDIF(AH65,AsOfDate,"ym")&amp;"m "&amp;DATEDIF(AH65,AsOfDate,"md")&amp;"d"))</f>
        <v>0y 11m 19d</v>
      </c>
      <c r="N65" s="20" t="n">
        <f aca="false">IF(AG65=0,"",O65*HoursPerDay)</f>
        <v>0</v>
      </c>
      <c r="O65" s="20" t="n">
        <f aca="false">IF(AG65=0,"",AZ65)</f>
        <v>0</v>
      </c>
      <c r="P65" s="21"/>
      <c r="Q65" s="19"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19"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17" t="str">
        <f aca="false">IF(AG65=0,"",IF(AS65="None","",EDATE(AH65,BB65)))</f>
        <v/>
      </c>
      <c r="T65" s="20" t="n">
        <f aca="false">IF(AG65=0,"",IF(NOT(LH_Ready),"",IF(AH65&gt;PFYDate,0,IF(LH_ColPeriod=0,W65-U65+V65,SUMIFS(INDEX(LH_Data,0,LH_ColAcc),INDEX(LH_Data,0,LH_ColFirst),$A65,INDEX(LH_Data,0,LH_ColSur),$B65,INDEX(LH_Data,0,LH_ColCat),BonusCat,INDEX(LH_Data,0,LH_ColPeriod),LH_OpenLabel)*UnitFactor))))</f>
        <v>0</v>
      </c>
      <c r="U65" s="20" t="n">
        <f aca="false">IF(AG65=0,"",IF(NOT(LH_Ready),"",SUMIFS(INDEX(LH_Data,0,LH_ColAcc),INDEX(LH_Data,0,LH_ColFirst),$A65,INDEX(LH_Data,0,LH_ColSur),$B65,INDEX(LH_Data,0,LH_ColCat),BonusCat,INDEX(LH_Data,0,LH_ColStart),"&gt;="&amp;AH65)*UnitFactor))</f>
        <v>0</v>
      </c>
      <c r="V65" s="20" t="n">
        <f aca="false">IF(AG65=0,"",IF(NOT(LH_Ready),"",SUMIFS(INDEX(LH_Data,0,LH_ColTaken),INDEX(LH_Data,0,LH_ColFirst),$A65,INDEX(LH_Data,0,LH_ColSur),$B65,INDEX(LH_Data,0,LH_ColCat),BonusCat,INDEX(LH_Data,0,LH_ColStart),"&gt;="&amp;AH65)*UnitFactor))</f>
        <v>0</v>
      </c>
      <c r="W65" s="20" t="n">
        <f aca="false">IF(AG65=0,"",IF(NOT(LH_Ready),"",IF(BD65=0,0,INDEX(INDEX(LH_Data,0,LH_ColClose),BD65-1)*UnitFactor)))</f>
        <v>0</v>
      </c>
      <c r="X65" s="20" t="n">
        <f aca="false">IF(AG65=0,"",(AZ65-BA65)*HoursPerDay)</f>
        <v>0</v>
      </c>
      <c r="Y65" s="20" t="n">
        <f aca="false">IF(AG65=0,"",IF(NOT(LH_Ready),"",IF(BC65=0,N65,IF(PFYDate&lt;$F65,N65-N(T65)-N(U65),X65-N(U65)))))</f>
        <v>0</v>
      </c>
      <c r="Z65" s="19" t="str">
        <f aca="false">IF(OR(AG65=0,Y65=""),"",IF(Y65&gt;0,"Yes","No"))</f>
        <v>No</v>
      </c>
      <c r="AA65" s="19"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Not eligible - Casual</v>
      </c>
      <c r="AB65" s="20" t="n">
        <f aca="false">IF(OR(AG65=0,T65=""),"",BA65*HoursPerDay-T65)</f>
        <v>0</v>
      </c>
      <c r="AC65" s="19" t="n">
        <f aca="false">IF(AG65=0,"",BC65)</f>
        <v>0</v>
      </c>
      <c r="AD65" s="19"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20" t="n">
        <f aca="false">IF(AG65=0,"",O65-BH65)</f>
        <v>0</v>
      </c>
      <c r="AF65" s="17" t="str">
        <f aca="false">IF(OR(AG65=0,AE65="",N(AE65)=0,BI65=""),"",EDATE(AH65,BI65))</f>
        <v/>
      </c>
      <c r="AG65" s="19" t="n">
        <f aca="false">IF(OR(LEN($A65&amp;$B65)=0,$F65=""),0,1)</f>
        <v>1</v>
      </c>
      <c r="AH65" s="17" t="n">
        <f aca="false">IF(AG65=0,"",IF($J65&lt;&gt;"",$J65,IF(OR(CasualCounts="Yes",COUNT($G65:$I65)=0,COUNT($H65:$I65)=0),$F65,MIN($H65:$I65))))</f>
        <v>45947</v>
      </c>
      <c r="AI65" s="19" t="n">
        <f aca="false">IF(AG65=0,"",COUNT($G65:$I65))</f>
        <v>0</v>
      </c>
      <c r="AJ65" s="17" t="str">
        <f aca="false">IF(AG65=0,"",IFERROR(SMALL($G65:$I65,1),""))</f>
        <v/>
      </c>
      <c r="AK65" s="17" t="str">
        <f aca="false">IF(AG65=0,"",IFERROR(SMALL($G65:$I65,2),""))</f>
        <v/>
      </c>
      <c r="AL65" s="17" t="str">
        <f aca="false">IF(AG65=0,"",IFERROR(SMALL($G65:$I65,3),""))</f>
        <v/>
      </c>
      <c r="AM65" s="19" t="str">
        <f aca="false">IF(AG65=0,"",IF(AJ65="","",IF(AJ65=$H65,"Part-Time",IF(AJ65=$I65,"Full-Time","Casual"))))</f>
        <v/>
      </c>
      <c r="AN65" s="19" t="str">
        <f aca="false">IF(AG65=0,"",IF(AK65="","",IF(AK65=$H65,"Part-Time",IF(AK65=$I65,"Full-Time","Casual"))))</f>
        <v/>
      </c>
      <c r="AO65" s="19" t="str">
        <f aca="false">IF(AG65=0,"",IF(AL65="","",IF(AL65=$H65,"Part-Time",IF(AL65=$I65,"Full-Time","Casual"))))</f>
        <v/>
      </c>
      <c r="AP65" s="19"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None</v>
      </c>
      <c r="AQ65" s="19" t="str">
        <f aca="false">IF(AG65=0,"",IF(AI65&lt;2,"",IF(OR(ISNUMBER(SEARCH("full",AN65)),UPPER(TRIM(AN65))="FT",UPPER(TRIM(AN65))="FTE"),"FT",IF(AND(OR(ISNUMBER(SEARCH("part",AN65)),UPPER(TRIM(AN65))="PT",UPPER(TRIM(AN65))="PTE"),OR($P65="",N($P65)&gt;=PT_MinHours)),"PT","None"))))</f>
        <v/>
      </c>
      <c r="AR65" s="19" t="str">
        <f aca="false">IF(AG65=0,"",IF(AI65&lt;3,"",IF(OR(ISNUMBER(SEARCH("full",AO65)),UPPER(TRIM(AO65))="FT",UPPER(TRIM(AO65))="FTE"),"FT",IF(AND(OR(ISNUMBER(SEARCH("part",AO65)),UPPER(TRIM(AO65))="PT",UPPER(TRIM(AO65))="PTE"),OR($P65="",N($P65)&gt;=PT_MinHours)),"PT","None"))))</f>
        <v/>
      </c>
      <c r="AS65" s="19" t="str">
        <f aca="false">IF(AG65=0,"",IF(AND(AI65&gt;=3,AL65&lt;=AsOfDate),AR65,IF(AND(AI65&gt;=2,AK65&lt;=AsOfDate),AQ65,AP65)))</f>
        <v>None</v>
      </c>
      <c r="AT65" s="19" t="n">
        <f aca="false">IF(AG65=0,"",IF(AsOfDate&lt;AH65,-1,12*(YEAR(AsOfDate)-YEAR(AH65))+MONTH(AsOfDate)-MONTH(AH65)-IF(DAY(AsOfDate)&lt;MIN(DAY(AH65),DAY(EOMONTH(AsOfDate,0))),1,0)))</f>
        <v>11</v>
      </c>
      <c r="AU65" s="19" t="n">
        <f aca="false">IF(AG65=0,"",IF(OR(AI65&lt;2,AK65&gt;AsOfDate),AT65,IF((AK65-1)&lt;AH65,-1,12*(YEAR((AK65-1))-YEAR(AH65))+MONTH((AK65-1))-MONTH(AH65)-IF(DAY((AK65-1))&lt;MIN(DAY(AH65),DAY(EOMONTH((AK65-1),0))),1,0))))</f>
        <v>11</v>
      </c>
      <c r="AV65" s="19" t="n">
        <f aca="false">IF(AG65=0,"",IF(OR(AI65&lt;3,AL65&gt;AsOfDate),AT65,IF((AL65-1)&lt;AH65,-1,12*(YEAR((AL65-1))-YEAR(AH65))+MONTH((AL65-1))-MONTH(AH65)-IF(DAY((AL65-1))&lt;MIN(DAY(AH65),DAY(EOMONTH((AL65-1),0))),1,0))))</f>
        <v>11</v>
      </c>
      <c r="AW65" s="19" t="n">
        <f aca="false">IF(AG65=0,"",IF(PFYDate&lt;AH65,-1,12*(YEAR(PFYDate)-YEAR(AH65))+MONTH(PFYDate)-MONTH(AH65)-IF(DAY(PFYDate)&lt;MIN(DAY(AH65),DAY(EOMONTH(PFYDate,0))),1,0)))</f>
        <v>-1</v>
      </c>
      <c r="AX65" s="19" t="n">
        <f aca="false">IF(AG65=0,"",IF(OR(AI65&lt;2,AK65&gt;PFYDate),AW65,IF((AK65-1)&lt;AH65,-1,12*(YEAR((AK65-1))-YEAR(AH65))+MONTH((AK65-1))-MONTH(AH65)-IF(DAY((AK65-1))&lt;MIN(DAY(AH65),DAY(EOMONTH((AK65-1),0))),1,0))))</f>
        <v>-1</v>
      </c>
      <c r="AY65" s="19" t="n">
        <f aca="false">IF(AG65=0,"",IF(OR(AI65&lt;3,AL65&gt;PFYDate),AW65,IF((AL65-1)&lt;AH65,-1,12*(YEAR((AL65-1))-YEAR(AH65))+MONTH((AL65-1))-MONTH(AH65)-IF(DAY((AL65-1))&lt;MIN(DAY(AH65),DAY(EOMONTH((AL65-1),0))),1,0))))</f>
        <v>-1</v>
      </c>
      <c r="AZ65" s="19" t="n">
        <f aca="false">IF(AG65=0,"",IF(AP65="FT",IF(AU65&lt;FT_First,0,IF(AU65&lt;FT_Y5,1+INT((AU65-FT_First)/FT_Int1),FT_PreY5+FT_PerYear*INT((AU65-FT_Y5)/12)+FT_AnnivDays+INT(MOD(AU65-FT_Y5,12)/FT_Int2))),IF(AP65="PT",IF(AU65&lt;PT_First,0,1+INT((AU65-PT_First)/PT_Int)),0))+IF(AND(AI65&gt;=2,AK65&lt;=AsOfDate),IF(AQ65="FT",IF(AV65&lt;FT_First,0,IF(AV65&lt;FT_Y5,1+INT((AV65-FT_First)/FT_Int1),FT_PreY5+FT_PerYear*INT((AV65-FT_Y5)/12)+FT_AnnivDays+INT(MOD(AV65-FT_Y5,12)/FT_Int2))),IF(AQ65="PT",IF(AV65&lt;PT_First,0,1+INT((AV65-PT_First)/PT_Int)),0))-IF(AQ65="FT",IF(AU65&lt;FT_First,0,IF(AU65&lt;FT_Y5,1+INT((AU65-FT_First)/FT_Int1),FT_PreY5+FT_PerYear*INT((AU65-FT_Y5)/12)+FT_AnnivDays+INT(MOD(AU65-FT_Y5,12)/FT_Int2))),IF(AQ65="PT",IF(AU65&lt;PT_First,0,1+INT((AU65-PT_First)/PT_Int)),0)),0)+IF(AND(AI65&gt;=3,AL65&lt;=AsOfDate),IF(AR65="FT",IF(AT65&lt;FT_First,0,IF(AT65&lt;FT_Y5,1+INT((AT65-FT_First)/FT_Int1),FT_PreY5+FT_PerYear*INT((AT65-FT_Y5)/12)+FT_AnnivDays+INT(MOD(AT65-FT_Y5,12)/FT_Int2))),IF(AR65="PT",IF(AT65&lt;PT_First,0,1+INT((AT65-PT_First)/PT_Int)),0))-IF(AR65="FT",IF(AV65&lt;FT_First,0,IF(AV65&lt;FT_Y5,1+INT((AV65-FT_First)/FT_Int1),FT_PreY5+FT_PerYear*INT((AV65-FT_Y5)/12)+FT_AnnivDays+INT(MOD(AV65-FT_Y5,12)/FT_Int2))),IF(AR65="PT",IF(AV65&lt;PT_First,0,1+INT((AV65-PT_First)/PT_Int)),0)),0))</f>
        <v>0</v>
      </c>
      <c r="BA65" s="19" t="n">
        <f aca="false">IF(AG65=0,"",IF(AP65="FT",IF(AX65&lt;FT_First,0,IF(AX65&lt;FT_Y5,1+INT((AX65-FT_First)/FT_Int1),FT_PreY5+FT_PerYear*INT((AX65-FT_Y5)/12)+FT_AnnivDays+INT(MOD(AX65-FT_Y5,12)/FT_Int2))),IF(AP65="PT",IF(AX65&lt;PT_First,0,1+INT((AX65-PT_First)/PT_Int)),0))+IF(AND(AI65&gt;=2,AK65&lt;=PFYDate),IF(AQ65="FT",IF(AY65&lt;FT_First,0,IF(AY65&lt;FT_Y5,1+INT((AY65-FT_First)/FT_Int1),FT_PreY5+FT_PerYear*INT((AY65-FT_Y5)/12)+FT_AnnivDays+INT(MOD(AY65-FT_Y5,12)/FT_Int2))),IF(AQ65="PT",IF(AY65&lt;PT_First,0,1+INT((AY65-PT_First)/PT_Int)),0))-IF(AQ65="FT",IF(AX65&lt;FT_First,0,IF(AX65&lt;FT_Y5,1+INT((AX65-FT_First)/FT_Int1),FT_PreY5+FT_PerYear*INT((AX65-FT_Y5)/12)+FT_AnnivDays+INT(MOD(AX65-FT_Y5,12)/FT_Int2))),IF(AQ65="PT",IF(AX65&lt;PT_First,0,1+INT((AX65-PT_First)/PT_Int)),0)),0)+IF(AND(AI65&gt;=3,AL65&lt;=PFYDate),IF(AR65="FT",IF(AW65&lt;FT_First,0,IF(AW65&lt;FT_Y5,1+INT((AW65-FT_First)/FT_Int1),FT_PreY5+FT_PerYear*INT((AW65-FT_Y5)/12)+FT_AnnivDays+INT(MOD(AW65-FT_Y5,12)/FT_Int2))),IF(AR65="PT",IF(AW65&lt;PT_First,0,1+INT((AW65-PT_First)/PT_Int)),0))-IF(AR65="FT",IF(AY65&lt;FT_First,0,IF(AY65&lt;FT_Y5,1+INT((AY65-FT_First)/FT_Int1),FT_PreY5+FT_PerYear*INT((AY65-FT_Y5)/12)+FT_AnnivDays+INT(MOD(AY65-FT_Y5,12)/FT_Int2))),IF(AR65="PT",IF(AY65&lt;PT_First,0,1+INT((AY65-PT_First)/PT_Int)),0)),0))</f>
        <v>0</v>
      </c>
      <c r="BB65" s="19" t="str">
        <f aca="false">IF(AG65=0,"",IF(AS65="FT",IF(AT65&lt;FT_First,FT_First,IF(AT65&lt;FT_Y5,MIN(FT_Y5,FT_First+FT_Int1*(INT((AT65-FT_First)/FT_Int1)+1)),FT_Y5+12*INT((AT65-FT_Y5)/12)+FT_Int2*(INT(MOD(AT65-FT_Y5,12)/FT_Int2)+1))),IF(AS65="PT",IF(AT65&lt;PT_First,PT_First,PT_First+PT_Int*(INT((AT65-PT_First)/PT_Int)+1)),"")))</f>
        <v/>
      </c>
      <c r="BC65" s="19" t="n">
        <f aca="false">IF(AG65=0,"",IF(NOT(LH_Ready),0,COUNTIFS(INDEX(LH_Data,0,LH_ColFirst),$A65,INDEX(LH_Data,0,LH_ColSur),$B65,INDEX(LH_Data,0,LH_ColCat),BonusCat)))</f>
        <v>0</v>
      </c>
      <c r="BD65" s="19" t="n">
        <f aca="false">IF(AG65=0,"",IF(OR(NOT(LH_Ready),BC65=0),0,SUMPRODUCT(MAX((INDEX(LH_Data,0,LH_ColFirst)=$A65)*(INDEX(LH_Data,0,LH_ColSur)=$B65)*(INDEX(LH_Data,0,LH_ColCat)=BonusCat)*ROW(LH_Data)))))</f>
        <v>0</v>
      </c>
      <c r="BE65" s="19" t="n">
        <f aca="false">IF(AG65=0,"",IF(EOMONTH(AsOfDate,-1)&lt;AH65,-1,12*(YEAR(EOMONTH(AsOfDate,-1))-YEAR(AH65))+MONTH(EOMONTH(AsOfDate,-1))-MONTH(AH65)-IF(DAY(EOMONTH(AsOfDate,-1))&lt;MIN(DAY(AH65),DAY(EOMONTH(EOMONTH(AsOfDate,-1),0))),1,0)))</f>
        <v>11</v>
      </c>
      <c r="BF65" s="19" t="n">
        <f aca="false">IF(AG65=0,"",IF(OR(AI65&lt;2,AK65&gt;EOMONTH(AsOfDate,-1)),BE65,IF((AK65-1)&lt;AH65,-1,12*(YEAR((AK65-1))-YEAR(AH65))+MONTH((AK65-1))-MONTH(AH65)-IF(DAY((AK65-1))&lt;MIN(DAY(AH65),DAY(EOMONTH((AK65-1),0))),1,0))))</f>
        <v>11</v>
      </c>
      <c r="BG65" s="19" t="n">
        <f aca="false">IF(AG65=0,"",IF(OR(AI65&lt;3,AL65&gt;EOMONTH(AsOfDate,-1)),BE65,IF((AL65-1)&lt;AH65,-1,12*(YEAR((AL65-1))-YEAR(AH65))+MONTH((AL65-1))-MONTH(AH65)-IF(DAY((AL65-1))&lt;MIN(DAY(AH65),DAY(EOMONTH((AL65-1),0))),1,0))))</f>
        <v>11</v>
      </c>
      <c r="BH65" s="19" t="n">
        <f aca="false">IF(AG65=0,"",IF(AP65="FT",IF(BF65&lt;FT_First,0,IF(BF65&lt;FT_Y5,1+INT((BF65-FT_First)/FT_Int1),FT_PreY5+FT_PerYear*INT((BF65-FT_Y5)/12)+FT_AnnivDays+INT(MOD(BF65-FT_Y5,12)/FT_Int2))),IF(AP65="PT",IF(BF65&lt;PT_First,0,1+INT((BF65-PT_First)/PT_Int)),0))+IF(AND(AI65&gt;=2,AK65&lt;=EOMONTH(AsOfDate,-1)),IF(AQ65="FT",IF(BG65&lt;FT_First,0,IF(BG65&lt;FT_Y5,1+INT((BG65-FT_First)/FT_Int1),FT_PreY5+FT_PerYear*INT((BG65-FT_Y5)/12)+FT_AnnivDays+INT(MOD(BG65-FT_Y5,12)/FT_Int2))),IF(AQ65="PT",IF(BG65&lt;PT_First,0,1+INT((BG65-PT_First)/PT_Int)),0))-IF(AQ65="FT",IF(BF65&lt;FT_First,0,IF(BF65&lt;FT_Y5,1+INT((BF65-FT_First)/FT_Int1),FT_PreY5+FT_PerYear*INT((BF65-FT_Y5)/12)+FT_AnnivDays+INT(MOD(BF65-FT_Y5,12)/FT_Int2))),IF(AQ65="PT",IF(BF65&lt;PT_First,0,1+INT((BF65-PT_First)/PT_Int)),0)),0)+IF(AND(AI65&gt;=3,AL65&lt;=EOMONTH(AsOfDate,-1)),IF(AR65="FT",IF(BE65&lt;FT_First,0,IF(BE65&lt;FT_Y5,1+INT((BE65-FT_First)/FT_Int1),FT_PreY5+FT_PerYear*INT((BE65-FT_Y5)/12)+FT_AnnivDays+INT(MOD(BE65-FT_Y5,12)/FT_Int2))),IF(AR65="PT",IF(BE65&lt;PT_First,0,1+INT((BE65-PT_First)/PT_Int)),0))-IF(AR65="FT",IF(BG65&lt;FT_First,0,IF(BG65&lt;FT_Y5,1+INT((BG65-FT_First)/FT_Int1),FT_PreY5+FT_PerYear*INT((BG65-FT_Y5)/12)+FT_AnnivDays+INT(MOD(BG65-FT_Y5,12)/FT_Int2))),IF(AR65="PT",IF(BG65&lt;PT_First,0,1+INT((BG65-PT_First)/PT_Int)),0)),0))</f>
        <v>0</v>
      </c>
      <c r="BI65" s="19" t="str">
        <f aca="false">IF(AG65=0,"",IF(AS65="FT",IF(AT65&lt;FT_First,"",IF(AT65&lt;FT_Y5,FT_First+FT_Int1*INT((AT65-FT_First)/FT_Int1),FT_Y5+FT_Int2*INT((AT65-FT_Y5)/FT_Int2))),IF(AS65="PT",IF(AT65&lt;PT_First,"",PT_First+PT_Int*INT((AT65-PT_First)/PT_Int)),"")))</f>
        <v/>
      </c>
      <c r="BJ65" s="0" t="str">
        <f aca="false">IF(LEN($A65&amp;$B65)=0,"",$A65&amp;" "&amp;$B65)</f>
        <v>Simone Citrani</v>
      </c>
    </row>
    <row r="66" customFormat="false" ht="15" hidden="false" customHeight="false" outlineLevel="0" collapsed="false">
      <c r="A66" s="15" t="s">
        <v>260</v>
      </c>
      <c r="B66" s="15" t="s">
        <v>261</v>
      </c>
      <c r="C66" s="15" t="s">
        <v>138</v>
      </c>
      <c r="D66" s="16" t="n">
        <v>21829</v>
      </c>
      <c r="E66" s="17" t="n">
        <f aca="false">IF(OR(AG66=0,$D66=""),"",DATE(YEAR(AsOfDate)+IF(DATE(YEAR(AsOfDate),MONTH($D66),DAY($D66))&lt;=AsOfDate,1,0),MONTH($D66),DAY($D66)))</f>
        <v>46666</v>
      </c>
      <c r="F66" s="16" t="n">
        <v>45985</v>
      </c>
      <c r="G66" s="16"/>
      <c r="H66" s="16"/>
      <c r="I66" s="16"/>
      <c r="J66" s="16"/>
      <c r="K66" s="17" t="n">
        <f aca="false">IF(AG66=0,"",DATE(YEAR(AsOfDate)+IF(DATE(YEAR(AsOfDate),MONTH(AH66),DAY(AH66))&lt;=AsOfDate,1,0),MONTH(AH66),DAY(AH66)))</f>
        <v>46350</v>
      </c>
      <c r="L66" s="18" t="n">
        <f aca="false">IF(AG66=0,"",ROUND((AsOfDate-AH66)/365.25,1))</f>
        <v>0.9</v>
      </c>
      <c r="M66" s="19" t="str">
        <f aca="false">IF(AG66=0,"",IF(AsOfDate&lt;AH66,"-",DATEDIF(AH66,AsOfDate,"y")&amp;"y "&amp;DATEDIF(AH66,AsOfDate,"ym")&amp;"m "&amp;DATEDIF(AH66,AsOfDate,"md")&amp;"d"))</f>
        <v>0y 10m 12d</v>
      </c>
      <c r="N66" s="20" t="n">
        <f aca="false">IF(AG66=0,"",O66*HoursPerDay)</f>
        <v>0</v>
      </c>
      <c r="O66" s="20" t="n">
        <f aca="false">IF(AG66=0,"",AZ66)</f>
        <v>0</v>
      </c>
      <c r="P66" s="21"/>
      <c r="Q66" s="19"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19"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17" t="str">
        <f aca="false">IF(AG66=0,"",IF(AS66="None","",EDATE(AH66,BB66)))</f>
        <v/>
      </c>
      <c r="T66" s="20" t="n">
        <f aca="false">IF(AG66=0,"",IF(NOT(LH_Ready),"",IF(AH66&gt;PFYDate,0,IF(LH_ColPeriod=0,W66-U66+V66,SUMIFS(INDEX(LH_Data,0,LH_ColAcc),INDEX(LH_Data,0,LH_ColFirst),$A66,INDEX(LH_Data,0,LH_ColSur),$B66,INDEX(LH_Data,0,LH_ColCat),BonusCat,INDEX(LH_Data,0,LH_ColPeriod),LH_OpenLabel)*UnitFactor))))</f>
        <v>0</v>
      </c>
      <c r="U66" s="20" t="n">
        <f aca="false">IF(AG66=0,"",IF(NOT(LH_Ready),"",SUMIFS(INDEX(LH_Data,0,LH_ColAcc),INDEX(LH_Data,0,LH_ColFirst),$A66,INDEX(LH_Data,0,LH_ColSur),$B66,INDEX(LH_Data,0,LH_ColCat),BonusCat,INDEX(LH_Data,0,LH_ColStart),"&gt;="&amp;AH66)*UnitFactor))</f>
        <v>0</v>
      </c>
      <c r="V66" s="20" t="n">
        <f aca="false">IF(AG66=0,"",IF(NOT(LH_Ready),"",SUMIFS(INDEX(LH_Data,0,LH_ColTaken),INDEX(LH_Data,0,LH_ColFirst),$A66,INDEX(LH_Data,0,LH_ColSur),$B66,INDEX(LH_Data,0,LH_ColCat),BonusCat,INDEX(LH_Data,0,LH_ColStart),"&gt;="&amp;AH66)*UnitFactor))</f>
        <v>0</v>
      </c>
      <c r="W66" s="20" t="n">
        <f aca="false">IF(AG66=0,"",IF(NOT(LH_Ready),"",IF(BD66=0,0,INDEX(INDEX(LH_Data,0,LH_ColClose),BD66-1)*UnitFactor)))</f>
        <v>0</v>
      </c>
      <c r="X66" s="20" t="n">
        <f aca="false">IF(AG66=0,"",(AZ66-BA66)*HoursPerDay)</f>
        <v>0</v>
      </c>
      <c r="Y66" s="20" t="n">
        <f aca="false">IF(AG66=0,"",IF(NOT(LH_Ready),"",IF(BC66=0,N66,IF(PFYDate&lt;$F66,N66-N(T66)-N(U66),X66-N(U66)))))</f>
        <v>0</v>
      </c>
      <c r="Z66" s="19" t="str">
        <f aca="false">IF(OR(AG66=0,Y66=""),"",IF(Y66&gt;0,"Yes","No"))</f>
        <v>No</v>
      </c>
      <c r="AA66" s="19"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Not eligible - Casual</v>
      </c>
      <c r="AB66" s="20" t="n">
        <f aca="false">IF(OR(AG66=0,T66=""),"",BA66*HoursPerDay-T66)</f>
        <v>0</v>
      </c>
      <c r="AC66" s="19" t="n">
        <f aca="false">IF(AG66=0,"",BC66)</f>
        <v>0</v>
      </c>
      <c r="AD66" s="19"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20" t="n">
        <f aca="false">IF(AG66=0,"",O66-BH66)</f>
        <v>0</v>
      </c>
      <c r="AF66" s="17" t="str">
        <f aca="false">IF(OR(AG66=0,AE66="",N(AE66)=0,BI66=""),"",EDATE(AH66,BI66))</f>
        <v/>
      </c>
      <c r="AG66" s="19" t="n">
        <f aca="false">IF(OR(LEN($A66&amp;$B66)=0,$F66=""),0,1)</f>
        <v>1</v>
      </c>
      <c r="AH66" s="17" t="n">
        <f aca="false">IF(AG66=0,"",IF($J66&lt;&gt;"",$J66,IF(OR(CasualCounts="Yes",COUNT($G66:$I66)=0,COUNT($H66:$I66)=0),$F66,MIN($H66:$I66))))</f>
        <v>45985</v>
      </c>
      <c r="AI66" s="19" t="n">
        <f aca="false">IF(AG66=0,"",COUNT($G66:$I66))</f>
        <v>0</v>
      </c>
      <c r="AJ66" s="17" t="str">
        <f aca="false">IF(AG66=0,"",IFERROR(SMALL($G66:$I66,1),""))</f>
        <v/>
      </c>
      <c r="AK66" s="17" t="str">
        <f aca="false">IF(AG66=0,"",IFERROR(SMALL($G66:$I66,2),""))</f>
        <v/>
      </c>
      <c r="AL66" s="17" t="str">
        <f aca="false">IF(AG66=0,"",IFERROR(SMALL($G66:$I66,3),""))</f>
        <v/>
      </c>
      <c r="AM66" s="19" t="str">
        <f aca="false">IF(AG66=0,"",IF(AJ66="","",IF(AJ66=$H66,"Part-Time",IF(AJ66=$I66,"Full-Time","Casual"))))</f>
        <v/>
      </c>
      <c r="AN66" s="19" t="str">
        <f aca="false">IF(AG66=0,"",IF(AK66="","",IF(AK66=$H66,"Part-Time",IF(AK66=$I66,"Full-Time","Casual"))))</f>
        <v/>
      </c>
      <c r="AO66" s="19" t="str">
        <f aca="false">IF(AG66=0,"",IF(AL66="","",IF(AL66=$H66,"Part-Time",IF(AL66=$I66,"Full-Time","Casual"))))</f>
        <v/>
      </c>
      <c r="AP66" s="19"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None</v>
      </c>
      <c r="AQ66" s="19" t="str">
        <f aca="false">IF(AG66=0,"",IF(AI66&lt;2,"",IF(OR(ISNUMBER(SEARCH("full",AN66)),UPPER(TRIM(AN66))="FT",UPPER(TRIM(AN66))="FTE"),"FT",IF(AND(OR(ISNUMBER(SEARCH("part",AN66)),UPPER(TRIM(AN66))="PT",UPPER(TRIM(AN66))="PTE"),OR($P66="",N($P66)&gt;=PT_MinHours)),"PT","None"))))</f>
        <v/>
      </c>
      <c r="AR66" s="19" t="str">
        <f aca="false">IF(AG66=0,"",IF(AI66&lt;3,"",IF(OR(ISNUMBER(SEARCH("full",AO66)),UPPER(TRIM(AO66))="FT",UPPER(TRIM(AO66))="FTE"),"FT",IF(AND(OR(ISNUMBER(SEARCH("part",AO66)),UPPER(TRIM(AO66))="PT",UPPER(TRIM(AO66))="PTE"),OR($P66="",N($P66)&gt;=PT_MinHours)),"PT","None"))))</f>
        <v/>
      </c>
      <c r="AS66" s="19" t="str">
        <f aca="false">IF(AG66=0,"",IF(AND(AI66&gt;=3,AL66&lt;=AsOfDate),AR66,IF(AND(AI66&gt;=2,AK66&lt;=AsOfDate),AQ66,AP66)))</f>
        <v>None</v>
      </c>
      <c r="AT66" s="19" t="n">
        <f aca="false">IF(AG66=0,"",IF(AsOfDate&lt;AH66,-1,12*(YEAR(AsOfDate)-YEAR(AH66))+MONTH(AsOfDate)-MONTH(AH66)-IF(DAY(AsOfDate)&lt;MIN(DAY(AH66),DAY(EOMONTH(AsOfDate,0))),1,0)))</f>
        <v>10</v>
      </c>
      <c r="AU66" s="19" t="n">
        <f aca="false">IF(AG66=0,"",IF(OR(AI66&lt;2,AK66&gt;AsOfDate),AT66,IF((AK66-1)&lt;AH66,-1,12*(YEAR((AK66-1))-YEAR(AH66))+MONTH((AK66-1))-MONTH(AH66)-IF(DAY((AK66-1))&lt;MIN(DAY(AH66),DAY(EOMONTH((AK66-1),0))),1,0))))</f>
        <v>10</v>
      </c>
      <c r="AV66" s="19" t="n">
        <f aca="false">IF(AG66=0,"",IF(OR(AI66&lt;3,AL66&gt;AsOfDate),AT66,IF((AL66-1)&lt;AH66,-1,12*(YEAR((AL66-1))-YEAR(AH66))+MONTH((AL66-1))-MONTH(AH66)-IF(DAY((AL66-1))&lt;MIN(DAY(AH66),DAY(EOMONTH((AL66-1),0))),1,0))))</f>
        <v>10</v>
      </c>
      <c r="AW66" s="19" t="n">
        <f aca="false">IF(AG66=0,"",IF(PFYDate&lt;AH66,-1,12*(YEAR(PFYDate)-YEAR(AH66))+MONTH(PFYDate)-MONTH(AH66)-IF(DAY(PFYDate)&lt;MIN(DAY(AH66),DAY(EOMONTH(PFYDate,0))),1,0)))</f>
        <v>-1</v>
      </c>
      <c r="AX66" s="19" t="n">
        <f aca="false">IF(AG66=0,"",IF(OR(AI66&lt;2,AK66&gt;PFYDate),AW66,IF((AK66-1)&lt;AH66,-1,12*(YEAR((AK66-1))-YEAR(AH66))+MONTH((AK66-1))-MONTH(AH66)-IF(DAY((AK66-1))&lt;MIN(DAY(AH66),DAY(EOMONTH((AK66-1),0))),1,0))))</f>
        <v>-1</v>
      </c>
      <c r="AY66" s="19" t="n">
        <f aca="false">IF(AG66=0,"",IF(OR(AI66&lt;3,AL66&gt;PFYDate),AW66,IF((AL66-1)&lt;AH66,-1,12*(YEAR((AL66-1))-YEAR(AH66))+MONTH((AL66-1))-MONTH(AH66)-IF(DAY((AL66-1))&lt;MIN(DAY(AH66),DAY(EOMONTH((AL66-1),0))),1,0))))</f>
        <v>-1</v>
      </c>
      <c r="AZ66" s="19" t="n">
        <f aca="false">IF(AG66=0,"",IF(AP66="FT",IF(AU66&lt;FT_First,0,IF(AU66&lt;FT_Y5,1+INT((AU66-FT_First)/FT_Int1),FT_PreY5+FT_PerYear*INT((AU66-FT_Y5)/12)+FT_AnnivDays+INT(MOD(AU66-FT_Y5,12)/FT_Int2))),IF(AP66="PT",IF(AU66&lt;PT_First,0,1+INT((AU66-PT_First)/PT_Int)),0))+IF(AND(AI66&gt;=2,AK66&lt;=AsOfDate),IF(AQ66="FT",IF(AV66&lt;FT_First,0,IF(AV66&lt;FT_Y5,1+INT((AV66-FT_First)/FT_Int1),FT_PreY5+FT_PerYear*INT((AV66-FT_Y5)/12)+FT_AnnivDays+INT(MOD(AV66-FT_Y5,12)/FT_Int2))),IF(AQ66="PT",IF(AV66&lt;PT_First,0,1+INT((AV66-PT_First)/PT_Int)),0))-IF(AQ66="FT",IF(AU66&lt;FT_First,0,IF(AU66&lt;FT_Y5,1+INT((AU66-FT_First)/FT_Int1),FT_PreY5+FT_PerYear*INT((AU66-FT_Y5)/12)+FT_AnnivDays+INT(MOD(AU66-FT_Y5,12)/FT_Int2))),IF(AQ66="PT",IF(AU66&lt;PT_First,0,1+INT((AU66-PT_First)/PT_Int)),0)),0)+IF(AND(AI66&gt;=3,AL66&lt;=AsOfDate),IF(AR66="FT",IF(AT66&lt;FT_First,0,IF(AT66&lt;FT_Y5,1+INT((AT66-FT_First)/FT_Int1),FT_PreY5+FT_PerYear*INT((AT66-FT_Y5)/12)+FT_AnnivDays+INT(MOD(AT66-FT_Y5,12)/FT_Int2))),IF(AR66="PT",IF(AT66&lt;PT_First,0,1+INT((AT66-PT_First)/PT_Int)),0))-IF(AR66="FT",IF(AV66&lt;FT_First,0,IF(AV66&lt;FT_Y5,1+INT((AV66-FT_First)/FT_Int1),FT_PreY5+FT_PerYear*INT((AV66-FT_Y5)/12)+FT_AnnivDays+INT(MOD(AV66-FT_Y5,12)/FT_Int2))),IF(AR66="PT",IF(AV66&lt;PT_First,0,1+INT((AV66-PT_First)/PT_Int)),0)),0))</f>
        <v>0</v>
      </c>
      <c r="BA66" s="19" t="n">
        <f aca="false">IF(AG66=0,"",IF(AP66="FT",IF(AX66&lt;FT_First,0,IF(AX66&lt;FT_Y5,1+INT((AX66-FT_First)/FT_Int1),FT_PreY5+FT_PerYear*INT((AX66-FT_Y5)/12)+FT_AnnivDays+INT(MOD(AX66-FT_Y5,12)/FT_Int2))),IF(AP66="PT",IF(AX66&lt;PT_First,0,1+INT((AX66-PT_First)/PT_Int)),0))+IF(AND(AI66&gt;=2,AK66&lt;=PFYDate),IF(AQ66="FT",IF(AY66&lt;FT_First,0,IF(AY66&lt;FT_Y5,1+INT((AY66-FT_First)/FT_Int1),FT_PreY5+FT_PerYear*INT((AY66-FT_Y5)/12)+FT_AnnivDays+INT(MOD(AY66-FT_Y5,12)/FT_Int2))),IF(AQ66="PT",IF(AY66&lt;PT_First,0,1+INT((AY66-PT_First)/PT_Int)),0))-IF(AQ66="FT",IF(AX66&lt;FT_First,0,IF(AX66&lt;FT_Y5,1+INT((AX66-FT_First)/FT_Int1),FT_PreY5+FT_PerYear*INT((AX66-FT_Y5)/12)+FT_AnnivDays+INT(MOD(AX66-FT_Y5,12)/FT_Int2))),IF(AQ66="PT",IF(AX66&lt;PT_First,0,1+INT((AX66-PT_First)/PT_Int)),0)),0)+IF(AND(AI66&gt;=3,AL66&lt;=PFYDate),IF(AR66="FT",IF(AW66&lt;FT_First,0,IF(AW66&lt;FT_Y5,1+INT((AW66-FT_First)/FT_Int1),FT_PreY5+FT_PerYear*INT((AW66-FT_Y5)/12)+FT_AnnivDays+INT(MOD(AW66-FT_Y5,12)/FT_Int2))),IF(AR66="PT",IF(AW66&lt;PT_First,0,1+INT((AW66-PT_First)/PT_Int)),0))-IF(AR66="FT",IF(AY66&lt;FT_First,0,IF(AY66&lt;FT_Y5,1+INT((AY66-FT_First)/FT_Int1),FT_PreY5+FT_PerYear*INT((AY66-FT_Y5)/12)+FT_AnnivDays+INT(MOD(AY66-FT_Y5,12)/FT_Int2))),IF(AR66="PT",IF(AY66&lt;PT_First,0,1+INT((AY66-PT_First)/PT_Int)),0)),0))</f>
        <v>0</v>
      </c>
      <c r="BB66" s="19" t="str">
        <f aca="false">IF(AG66=0,"",IF(AS66="FT",IF(AT66&lt;FT_First,FT_First,IF(AT66&lt;FT_Y5,MIN(FT_Y5,FT_First+FT_Int1*(INT((AT66-FT_First)/FT_Int1)+1)),FT_Y5+12*INT((AT66-FT_Y5)/12)+FT_Int2*(INT(MOD(AT66-FT_Y5,12)/FT_Int2)+1))),IF(AS66="PT",IF(AT66&lt;PT_First,PT_First,PT_First+PT_Int*(INT((AT66-PT_First)/PT_Int)+1)),"")))</f>
        <v/>
      </c>
      <c r="BC66" s="19" t="n">
        <f aca="false">IF(AG66=0,"",IF(NOT(LH_Ready),0,COUNTIFS(INDEX(LH_Data,0,LH_ColFirst),$A66,INDEX(LH_Data,0,LH_ColSur),$B66,INDEX(LH_Data,0,LH_ColCat),BonusCat)))</f>
        <v>0</v>
      </c>
      <c r="BD66" s="19" t="n">
        <f aca="false">IF(AG66=0,"",IF(OR(NOT(LH_Ready),BC66=0),0,SUMPRODUCT(MAX((INDEX(LH_Data,0,LH_ColFirst)=$A66)*(INDEX(LH_Data,0,LH_ColSur)=$B66)*(INDEX(LH_Data,0,LH_ColCat)=BonusCat)*ROW(LH_Data)))))</f>
        <v>0</v>
      </c>
      <c r="BE66" s="19" t="n">
        <f aca="false">IF(AG66=0,"",IF(EOMONTH(AsOfDate,-1)&lt;AH66,-1,12*(YEAR(EOMONTH(AsOfDate,-1))-YEAR(AH66))+MONTH(EOMONTH(AsOfDate,-1))-MONTH(AH66)-IF(DAY(EOMONTH(AsOfDate,-1))&lt;MIN(DAY(AH66),DAY(EOMONTH(EOMONTH(AsOfDate,-1),0))),1,0)))</f>
        <v>10</v>
      </c>
      <c r="BF66" s="19" t="n">
        <f aca="false">IF(AG66=0,"",IF(OR(AI66&lt;2,AK66&gt;EOMONTH(AsOfDate,-1)),BE66,IF((AK66-1)&lt;AH66,-1,12*(YEAR((AK66-1))-YEAR(AH66))+MONTH((AK66-1))-MONTH(AH66)-IF(DAY((AK66-1))&lt;MIN(DAY(AH66),DAY(EOMONTH((AK66-1),0))),1,0))))</f>
        <v>10</v>
      </c>
      <c r="BG66" s="19" t="n">
        <f aca="false">IF(AG66=0,"",IF(OR(AI66&lt;3,AL66&gt;EOMONTH(AsOfDate,-1)),BE66,IF((AL66-1)&lt;AH66,-1,12*(YEAR((AL66-1))-YEAR(AH66))+MONTH((AL66-1))-MONTH(AH66)-IF(DAY((AL66-1))&lt;MIN(DAY(AH66),DAY(EOMONTH((AL66-1),0))),1,0))))</f>
        <v>10</v>
      </c>
      <c r="BH66" s="19" t="n">
        <f aca="false">IF(AG66=0,"",IF(AP66="FT",IF(BF66&lt;FT_First,0,IF(BF66&lt;FT_Y5,1+INT((BF66-FT_First)/FT_Int1),FT_PreY5+FT_PerYear*INT((BF66-FT_Y5)/12)+FT_AnnivDays+INT(MOD(BF66-FT_Y5,12)/FT_Int2))),IF(AP66="PT",IF(BF66&lt;PT_First,0,1+INT((BF66-PT_First)/PT_Int)),0))+IF(AND(AI66&gt;=2,AK66&lt;=EOMONTH(AsOfDate,-1)),IF(AQ66="FT",IF(BG66&lt;FT_First,0,IF(BG66&lt;FT_Y5,1+INT((BG66-FT_First)/FT_Int1),FT_PreY5+FT_PerYear*INT((BG66-FT_Y5)/12)+FT_AnnivDays+INT(MOD(BG66-FT_Y5,12)/FT_Int2))),IF(AQ66="PT",IF(BG66&lt;PT_First,0,1+INT((BG66-PT_First)/PT_Int)),0))-IF(AQ66="FT",IF(BF66&lt;FT_First,0,IF(BF66&lt;FT_Y5,1+INT((BF66-FT_First)/FT_Int1),FT_PreY5+FT_PerYear*INT((BF66-FT_Y5)/12)+FT_AnnivDays+INT(MOD(BF66-FT_Y5,12)/FT_Int2))),IF(AQ66="PT",IF(BF66&lt;PT_First,0,1+INT((BF66-PT_First)/PT_Int)),0)),0)+IF(AND(AI66&gt;=3,AL66&lt;=EOMONTH(AsOfDate,-1)),IF(AR66="FT",IF(BE66&lt;FT_First,0,IF(BE66&lt;FT_Y5,1+INT((BE66-FT_First)/FT_Int1),FT_PreY5+FT_PerYear*INT((BE66-FT_Y5)/12)+FT_AnnivDays+INT(MOD(BE66-FT_Y5,12)/FT_Int2))),IF(AR66="PT",IF(BE66&lt;PT_First,0,1+INT((BE66-PT_First)/PT_Int)),0))-IF(AR66="FT",IF(BG66&lt;FT_First,0,IF(BG66&lt;FT_Y5,1+INT((BG66-FT_First)/FT_Int1),FT_PreY5+FT_PerYear*INT((BG66-FT_Y5)/12)+FT_AnnivDays+INT(MOD(BG66-FT_Y5,12)/FT_Int2))),IF(AR66="PT",IF(BG66&lt;PT_First,0,1+INT((BG66-PT_First)/PT_Int)),0)),0))</f>
        <v>0</v>
      </c>
      <c r="BI66" s="19" t="str">
        <f aca="false">IF(AG66=0,"",IF(AS66="FT",IF(AT66&lt;FT_First,"",IF(AT66&lt;FT_Y5,FT_First+FT_Int1*INT((AT66-FT_First)/FT_Int1),FT_Y5+FT_Int2*INT((AT66-FT_Y5)/FT_Int2))),IF(AS66="PT",IF(AT66&lt;PT_First,"",PT_First+PT_Int*INT((AT66-PT_First)/PT_Int)),"")))</f>
        <v/>
      </c>
      <c r="BJ66" s="0" t="str">
        <f aca="false">IF(LEN($A66&amp;$B66)=0,"",$A66&amp;" "&amp;$B66)</f>
        <v>Stephen ADAM</v>
      </c>
    </row>
    <row r="67" customFormat="false" ht="15" hidden="false" customHeight="false" outlineLevel="0" collapsed="false">
      <c r="A67" s="15" t="s">
        <v>262</v>
      </c>
      <c r="B67" s="15" t="s">
        <v>263</v>
      </c>
      <c r="C67" s="15" t="s">
        <v>138</v>
      </c>
      <c r="D67" s="16" t="n">
        <v>34146</v>
      </c>
      <c r="E67" s="17" t="n">
        <f aca="false">IF(OR(AG67=0,$D67=""),"",DATE(YEAR(AsOfDate)+IF(DATE(YEAR(AsOfDate),MONTH($D67),DAY($D67))&lt;=AsOfDate,1,0),MONTH($D67),DAY($D67)))</f>
        <v>46564</v>
      </c>
      <c r="F67" s="16" t="n">
        <v>46055</v>
      </c>
      <c r="G67" s="16"/>
      <c r="H67" s="16"/>
      <c r="I67" s="16"/>
      <c r="J67" s="16"/>
      <c r="K67" s="17" t="n">
        <f aca="false">IF(AG67=0,"",DATE(YEAR(AsOfDate)+IF(DATE(YEAR(AsOfDate),MONTH(AH67),DAY(AH67))&lt;=AsOfDate,1,0),MONTH(AH67),DAY(AH67)))</f>
        <v>46420</v>
      </c>
      <c r="L67" s="18" t="n">
        <f aca="false">IF(AG67=0,"",ROUND((AsOfDate-AH67)/365.25,1))</f>
        <v>0.7</v>
      </c>
      <c r="M67" s="19" t="str">
        <f aca="false">IF(AG67=0,"",IF(AsOfDate&lt;AH67,"-",DATEDIF(AH67,AsOfDate,"y")&amp;"y "&amp;DATEDIF(AH67,AsOfDate,"ym")&amp;"m "&amp;DATEDIF(AH67,AsOfDate,"md")&amp;"d"))</f>
        <v>0y 8m 4d</v>
      </c>
      <c r="N67" s="20" t="n">
        <f aca="false">IF(AG67=0,"",O67*HoursPerDay)</f>
        <v>0</v>
      </c>
      <c r="O67" s="20" t="n">
        <f aca="false">IF(AG67=0,"",AZ67)</f>
        <v>0</v>
      </c>
      <c r="P67" s="21"/>
      <c r="Q67" s="19"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19"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17" t="str">
        <f aca="false">IF(AG67=0,"",IF(AS67="None","",EDATE(AH67,BB67)))</f>
        <v/>
      </c>
      <c r="T67" s="20" t="n">
        <f aca="false">IF(AG67=0,"",IF(NOT(LH_Ready),"",IF(AH67&gt;PFYDate,0,IF(LH_ColPeriod=0,W67-U67+V67,SUMIFS(INDEX(LH_Data,0,LH_ColAcc),INDEX(LH_Data,0,LH_ColFirst),$A67,INDEX(LH_Data,0,LH_ColSur),$B67,INDEX(LH_Data,0,LH_ColCat),BonusCat,INDEX(LH_Data,0,LH_ColPeriod),LH_OpenLabel)*UnitFactor))))</f>
        <v>0</v>
      </c>
      <c r="U67" s="20" t="n">
        <f aca="false">IF(AG67=0,"",IF(NOT(LH_Ready),"",SUMIFS(INDEX(LH_Data,0,LH_ColAcc),INDEX(LH_Data,0,LH_ColFirst),$A67,INDEX(LH_Data,0,LH_ColSur),$B67,INDEX(LH_Data,0,LH_ColCat),BonusCat,INDEX(LH_Data,0,LH_ColStart),"&gt;="&amp;AH67)*UnitFactor))</f>
        <v>0</v>
      </c>
      <c r="V67" s="20" t="n">
        <f aca="false">IF(AG67=0,"",IF(NOT(LH_Ready),"",SUMIFS(INDEX(LH_Data,0,LH_ColTaken),INDEX(LH_Data,0,LH_ColFirst),$A67,INDEX(LH_Data,0,LH_ColSur),$B67,INDEX(LH_Data,0,LH_ColCat),BonusCat,INDEX(LH_Data,0,LH_ColStart),"&gt;="&amp;AH67)*UnitFactor))</f>
        <v>0</v>
      </c>
      <c r="W67" s="20" t="n">
        <f aca="false">IF(AG67=0,"",IF(NOT(LH_Ready),"",IF(BD67=0,0,INDEX(INDEX(LH_Data,0,LH_ColClose),BD67-1)*UnitFactor)))</f>
        <v>0</v>
      </c>
      <c r="X67" s="20" t="n">
        <f aca="false">IF(AG67=0,"",(AZ67-BA67)*HoursPerDay)</f>
        <v>0</v>
      </c>
      <c r="Y67" s="20" t="n">
        <f aca="false">IF(AG67=0,"",IF(NOT(LH_Ready),"",IF(BC67=0,N67,IF(PFYDate&lt;$F67,N67-N(T67)-N(U67),X67-N(U67)))))</f>
        <v>0</v>
      </c>
      <c r="Z67" s="19" t="str">
        <f aca="false">IF(OR(AG67=0,Y67=""),"",IF(Y67&gt;0,"Yes","No"))</f>
        <v>No</v>
      </c>
      <c r="AA67" s="19"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Not eligible - Casual</v>
      </c>
      <c r="AB67" s="20" t="n">
        <f aca="false">IF(OR(AG67=0,T67=""),"",BA67*HoursPerDay-T67)</f>
        <v>0</v>
      </c>
      <c r="AC67" s="19" t="n">
        <f aca="false">IF(AG67=0,"",BC67)</f>
        <v>0</v>
      </c>
      <c r="AD67" s="19"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20" t="n">
        <f aca="false">IF(AG67=0,"",O67-BH67)</f>
        <v>0</v>
      </c>
      <c r="AF67" s="17" t="str">
        <f aca="false">IF(OR(AG67=0,AE67="",N(AE67)=0,BI67=""),"",EDATE(AH67,BI67))</f>
        <v/>
      </c>
      <c r="AG67" s="19" t="n">
        <f aca="false">IF(OR(LEN($A67&amp;$B67)=0,$F67=""),0,1)</f>
        <v>1</v>
      </c>
      <c r="AH67" s="17" t="n">
        <f aca="false">IF(AG67=0,"",IF($J67&lt;&gt;"",$J67,IF(OR(CasualCounts="Yes",COUNT($G67:$I67)=0,COUNT($H67:$I67)=0),$F67,MIN($H67:$I67))))</f>
        <v>46055</v>
      </c>
      <c r="AI67" s="19" t="n">
        <f aca="false">IF(AG67=0,"",COUNT($G67:$I67))</f>
        <v>0</v>
      </c>
      <c r="AJ67" s="17" t="str">
        <f aca="false">IF(AG67=0,"",IFERROR(SMALL($G67:$I67,1),""))</f>
        <v/>
      </c>
      <c r="AK67" s="17" t="str">
        <f aca="false">IF(AG67=0,"",IFERROR(SMALL($G67:$I67,2),""))</f>
        <v/>
      </c>
      <c r="AL67" s="17" t="str">
        <f aca="false">IF(AG67=0,"",IFERROR(SMALL($G67:$I67,3),""))</f>
        <v/>
      </c>
      <c r="AM67" s="19" t="str">
        <f aca="false">IF(AG67=0,"",IF(AJ67="","",IF(AJ67=$H67,"Part-Time",IF(AJ67=$I67,"Full-Time","Casual"))))</f>
        <v/>
      </c>
      <c r="AN67" s="19" t="str">
        <f aca="false">IF(AG67=0,"",IF(AK67="","",IF(AK67=$H67,"Part-Time",IF(AK67=$I67,"Full-Time","Casual"))))</f>
        <v/>
      </c>
      <c r="AO67" s="19" t="str">
        <f aca="false">IF(AG67=0,"",IF(AL67="","",IF(AL67=$H67,"Part-Time",IF(AL67=$I67,"Full-Time","Casual"))))</f>
        <v/>
      </c>
      <c r="AP67" s="19"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None</v>
      </c>
      <c r="AQ67" s="19" t="str">
        <f aca="false">IF(AG67=0,"",IF(AI67&lt;2,"",IF(OR(ISNUMBER(SEARCH("full",AN67)),UPPER(TRIM(AN67))="FT",UPPER(TRIM(AN67))="FTE"),"FT",IF(AND(OR(ISNUMBER(SEARCH("part",AN67)),UPPER(TRIM(AN67))="PT",UPPER(TRIM(AN67))="PTE"),OR($P67="",N($P67)&gt;=PT_MinHours)),"PT","None"))))</f>
        <v/>
      </c>
      <c r="AR67" s="19" t="str">
        <f aca="false">IF(AG67=0,"",IF(AI67&lt;3,"",IF(OR(ISNUMBER(SEARCH("full",AO67)),UPPER(TRIM(AO67))="FT",UPPER(TRIM(AO67))="FTE"),"FT",IF(AND(OR(ISNUMBER(SEARCH("part",AO67)),UPPER(TRIM(AO67))="PT",UPPER(TRIM(AO67))="PTE"),OR($P67="",N($P67)&gt;=PT_MinHours)),"PT","None"))))</f>
        <v/>
      </c>
      <c r="AS67" s="19" t="str">
        <f aca="false">IF(AG67=0,"",IF(AND(AI67&gt;=3,AL67&lt;=AsOfDate),AR67,IF(AND(AI67&gt;=2,AK67&lt;=AsOfDate),AQ67,AP67)))</f>
        <v>None</v>
      </c>
      <c r="AT67" s="19" t="n">
        <f aca="false">IF(AG67=0,"",IF(AsOfDate&lt;AH67,-1,12*(YEAR(AsOfDate)-YEAR(AH67))+MONTH(AsOfDate)-MONTH(AH67)-IF(DAY(AsOfDate)&lt;MIN(DAY(AH67),DAY(EOMONTH(AsOfDate,0))),1,0)))</f>
        <v>8</v>
      </c>
      <c r="AU67" s="19" t="n">
        <f aca="false">IF(AG67=0,"",IF(OR(AI67&lt;2,AK67&gt;AsOfDate),AT67,IF((AK67-1)&lt;AH67,-1,12*(YEAR((AK67-1))-YEAR(AH67))+MONTH((AK67-1))-MONTH(AH67)-IF(DAY((AK67-1))&lt;MIN(DAY(AH67),DAY(EOMONTH((AK67-1),0))),1,0))))</f>
        <v>8</v>
      </c>
      <c r="AV67" s="19" t="n">
        <f aca="false">IF(AG67=0,"",IF(OR(AI67&lt;3,AL67&gt;AsOfDate),AT67,IF((AL67-1)&lt;AH67,-1,12*(YEAR((AL67-1))-YEAR(AH67))+MONTH((AL67-1))-MONTH(AH67)-IF(DAY((AL67-1))&lt;MIN(DAY(AH67),DAY(EOMONTH((AL67-1),0))),1,0))))</f>
        <v>8</v>
      </c>
      <c r="AW67" s="19" t="n">
        <f aca="false">IF(AG67=0,"",IF(PFYDate&lt;AH67,-1,12*(YEAR(PFYDate)-YEAR(AH67))+MONTH(PFYDate)-MONTH(AH67)-IF(DAY(PFYDate)&lt;MIN(DAY(AH67),DAY(EOMONTH(PFYDate,0))),1,0)))</f>
        <v>-1</v>
      </c>
      <c r="AX67" s="19" t="n">
        <f aca="false">IF(AG67=0,"",IF(OR(AI67&lt;2,AK67&gt;PFYDate),AW67,IF((AK67-1)&lt;AH67,-1,12*(YEAR((AK67-1))-YEAR(AH67))+MONTH((AK67-1))-MONTH(AH67)-IF(DAY((AK67-1))&lt;MIN(DAY(AH67),DAY(EOMONTH((AK67-1),0))),1,0))))</f>
        <v>-1</v>
      </c>
      <c r="AY67" s="19" t="n">
        <f aca="false">IF(AG67=0,"",IF(OR(AI67&lt;3,AL67&gt;PFYDate),AW67,IF((AL67-1)&lt;AH67,-1,12*(YEAR((AL67-1))-YEAR(AH67))+MONTH((AL67-1))-MONTH(AH67)-IF(DAY((AL67-1))&lt;MIN(DAY(AH67),DAY(EOMONTH((AL67-1),0))),1,0))))</f>
        <v>-1</v>
      </c>
      <c r="AZ67" s="19" t="n">
        <f aca="false">IF(AG67=0,"",IF(AP67="FT",IF(AU67&lt;FT_First,0,IF(AU67&lt;FT_Y5,1+INT((AU67-FT_First)/FT_Int1),FT_PreY5+FT_PerYear*INT((AU67-FT_Y5)/12)+FT_AnnivDays+INT(MOD(AU67-FT_Y5,12)/FT_Int2))),IF(AP67="PT",IF(AU67&lt;PT_First,0,1+INT((AU67-PT_First)/PT_Int)),0))+IF(AND(AI67&gt;=2,AK67&lt;=AsOfDate),IF(AQ67="FT",IF(AV67&lt;FT_First,0,IF(AV67&lt;FT_Y5,1+INT((AV67-FT_First)/FT_Int1),FT_PreY5+FT_PerYear*INT((AV67-FT_Y5)/12)+FT_AnnivDays+INT(MOD(AV67-FT_Y5,12)/FT_Int2))),IF(AQ67="PT",IF(AV67&lt;PT_First,0,1+INT((AV67-PT_First)/PT_Int)),0))-IF(AQ67="FT",IF(AU67&lt;FT_First,0,IF(AU67&lt;FT_Y5,1+INT((AU67-FT_First)/FT_Int1),FT_PreY5+FT_PerYear*INT((AU67-FT_Y5)/12)+FT_AnnivDays+INT(MOD(AU67-FT_Y5,12)/FT_Int2))),IF(AQ67="PT",IF(AU67&lt;PT_First,0,1+INT((AU67-PT_First)/PT_Int)),0)),0)+IF(AND(AI67&gt;=3,AL67&lt;=AsOfDate),IF(AR67="FT",IF(AT67&lt;FT_First,0,IF(AT67&lt;FT_Y5,1+INT((AT67-FT_First)/FT_Int1),FT_PreY5+FT_PerYear*INT((AT67-FT_Y5)/12)+FT_AnnivDays+INT(MOD(AT67-FT_Y5,12)/FT_Int2))),IF(AR67="PT",IF(AT67&lt;PT_First,0,1+INT((AT67-PT_First)/PT_Int)),0))-IF(AR67="FT",IF(AV67&lt;FT_First,0,IF(AV67&lt;FT_Y5,1+INT((AV67-FT_First)/FT_Int1),FT_PreY5+FT_PerYear*INT((AV67-FT_Y5)/12)+FT_AnnivDays+INT(MOD(AV67-FT_Y5,12)/FT_Int2))),IF(AR67="PT",IF(AV67&lt;PT_First,0,1+INT((AV67-PT_First)/PT_Int)),0)),0))</f>
        <v>0</v>
      </c>
      <c r="BA67" s="19" t="n">
        <f aca="false">IF(AG67=0,"",IF(AP67="FT",IF(AX67&lt;FT_First,0,IF(AX67&lt;FT_Y5,1+INT((AX67-FT_First)/FT_Int1),FT_PreY5+FT_PerYear*INT((AX67-FT_Y5)/12)+FT_AnnivDays+INT(MOD(AX67-FT_Y5,12)/FT_Int2))),IF(AP67="PT",IF(AX67&lt;PT_First,0,1+INT((AX67-PT_First)/PT_Int)),0))+IF(AND(AI67&gt;=2,AK67&lt;=PFYDate),IF(AQ67="FT",IF(AY67&lt;FT_First,0,IF(AY67&lt;FT_Y5,1+INT((AY67-FT_First)/FT_Int1),FT_PreY5+FT_PerYear*INT((AY67-FT_Y5)/12)+FT_AnnivDays+INT(MOD(AY67-FT_Y5,12)/FT_Int2))),IF(AQ67="PT",IF(AY67&lt;PT_First,0,1+INT((AY67-PT_First)/PT_Int)),0))-IF(AQ67="FT",IF(AX67&lt;FT_First,0,IF(AX67&lt;FT_Y5,1+INT((AX67-FT_First)/FT_Int1),FT_PreY5+FT_PerYear*INT((AX67-FT_Y5)/12)+FT_AnnivDays+INT(MOD(AX67-FT_Y5,12)/FT_Int2))),IF(AQ67="PT",IF(AX67&lt;PT_First,0,1+INT((AX67-PT_First)/PT_Int)),0)),0)+IF(AND(AI67&gt;=3,AL67&lt;=PFYDate),IF(AR67="FT",IF(AW67&lt;FT_First,0,IF(AW67&lt;FT_Y5,1+INT((AW67-FT_First)/FT_Int1),FT_PreY5+FT_PerYear*INT((AW67-FT_Y5)/12)+FT_AnnivDays+INT(MOD(AW67-FT_Y5,12)/FT_Int2))),IF(AR67="PT",IF(AW67&lt;PT_First,0,1+INT((AW67-PT_First)/PT_Int)),0))-IF(AR67="FT",IF(AY67&lt;FT_First,0,IF(AY67&lt;FT_Y5,1+INT((AY67-FT_First)/FT_Int1),FT_PreY5+FT_PerYear*INT((AY67-FT_Y5)/12)+FT_AnnivDays+INT(MOD(AY67-FT_Y5,12)/FT_Int2))),IF(AR67="PT",IF(AY67&lt;PT_First,0,1+INT((AY67-PT_First)/PT_Int)),0)),0))</f>
        <v>0</v>
      </c>
      <c r="BB67" s="19" t="str">
        <f aca="false">IF(AG67=0,"",IF(AS67="FT",IF(AT67&lt;FT_First,FT_First,IF(AT67&lt;FT_Y5,MIN(FT_Y5,FT_First+FT_Int1*(INT((AT67-FT_First)/FT_Int1)+1)),FT_Y5+12*INT((AT67-FT_Y5)/12)+FT_Int2*(INT(MOD(AT67-FT_Y5,12)/FT_Int2)+1))),IF(AS67="PT",IF(AT67&lt;PT_First,PT_First,PT_First+PT_Int*(INT((AT67-PT_First)/PT_Int)+1)),"")))</f>
        <v/>
      </c>
      <c r="BC67" s="19" t="n">
        <f aca="false">IF(AG67=0,"",IF(NOT(LH_Ready),0,COUNTIFS(INDEX(LH_Data,0,LH_ColFirst),$A67,INDEX(LH_Data,0,LH_ColSur),$B67,INDEX(LH_Data,0,LH_ColCat),BonusCat)))</f>
        <v>0</v>
      </c>
      <c r="BD67" s="19" t="n">
        <f aca="false">IF(AG67=0,"",IF(OR(NOT(LH_Ready),BC67=0),0,SUMPRODUCT(MAX((INDEX(LH_Data,0,LH_ColFirst)=$A67)*(INDEX(LH_Data,0,LH_ColSur)=$B67)*(INDEX(LH_Data,0,LH_ColCat)=BonusCat)*ROW(LH_Data)))))</f>
        <v>0</v>
      </c>
      <c r="BE67" s="19" t="n">
        <f aca="false">IF(AG67=0,"",IF(EOMONTH(AsOfDate,-1)&lt;AH67,-1,12*(YEAR(EOMONTH(AsOfDate,-1))-YEAR(AH67))+MONTH(EOMONTH(AsOfDate,-1))-MONTH(AH67)-IF(DAY(EOMONTH(AsOfDate,-1))&lt;MIN(DAY(AH67),DAY(EOMONTH(EOMONTH(AsOfDate,-1),0))),1,0)))</f>
        <v>7</v>
      </c>
      <c r="BF67" s="19" t="n">
        <f aca="false">IF(AG67=0,"",IF(OR(AI67&lt;2,AK67&gt;EOMONTH(AsOfDate,-1)),BE67,IF((AK67-1)&lt;AH67,-1,12*(YEAR((AK67-1))-YEAR(AH67))+MONTH((AK67-1))-MONTH(AH67)-IF(DAY((AK67-1))&lt;MIN(DAY(AH67),DAY(EOMONTH((AK67-1),0))),1,0))))</f>
        <v>7</v>
      </c>
      <c r="BG67" s="19" t="n">
        <f aca="false">IF(AG67=0,"",IF(OR(AI67&lt;3,AL67&gt;EOMONTH(AsOfDate,-1)),BE67,IF((AL67-1)&lt;AH67,-1,12*(YEAR((AL67-1))-YEAR(AH67))+MONTH((AL67-1))-MONTH(AH67)-IF(DAY((AL67-1))&lt;MIN(DAY(AH67),DAY(EOMONTH((AL67-1),0))),1,0))))</f>
        <v>7</v>
      </c>
      <c r="BH67" s="19" t="n">
        <f aca="false">IF(AG67=0,"",IF(AP67="FT",IF(BF67&lt;FT_First,0,IF(BF67&lt;FT_Y5,1+INT((BF67-FT_First)/FT_Int1),FT_PreY5+FT_PerYear*INT((BF67-FT_Y5)/12)+FT_AnnivDays+INT(MOD(BF67-FT_Y5,12)/FT_Int2))),IF(AP67="PT",IF(BF67&lt;PT_First,0,1+INT((BF67-PT_First)/PT_Int)),0))+IF(AND(AI67&gt;=2,AK67&lt;=EOMONTH(AsOfDate,-1)),IF(AQ67="FT",IF(BG67&lt;FT_First,0,IF(BG67&lt;FT_Y5,1+INT((BG67-FT_First)/FT_Int1),FT_PreY5+FT_PerYear*INT((BG67-FT_Y5)/12)+FT_AnnivDays+INT(MOD(BG67-FT_Y5,12)/FT_Int2))),IF(AQ67="PT",IF(BG67&lt;PT_First,0,1+INT((BG67-PT_First)/PT_Int)),0))-IF(AQ67="FT",IF(BF67&lt;FT_First,0,IF(BF67&lt;FT_Y5,1+INT((BF67-FT_First)/FT_Int1),FT_PreY5+FT_PerYear*INT((BF67-FT_Y5)/12)+FT_AnnivDays+INT(MOD(BF67-FT_Y5,12)/FT_Int2))),IF(AQ67="PT",IF(BF67&lt;PT_First,0,1+INT((BF67-PT_First)/PT_Int)),0)),0)+IF(AND(AI67&gt;=3,AL67&lt;=EOMONTH(AsOfDate,-1)),IF(AR67="FT",IF(BE67&lt;FT_First,0,IF(BE67&lt;FT_Y5,1+INT((BE67-FT_First)/FT_Int1),FT_PreY5+FT_PerYear*INT((BE67-FT_Y5)/12)+FT_AnnivDays+INT(MOD(BE67-FT_Y5,12)/FT_Int2))),IF(AR67="PT",IF(BE67&lt;PT_First,0,1+INT((BE67-PT_First)/PT_Int)),0))-IF(AR67="FT",IF(BG67&lt;FT_First,0,IF(BG67&lt;FT_Y5,1+INT((BG67-FT_First)/FT_Int1),FT_PreY5+FT_PerYear*INT((BG67-FT_Y5)/12)+FT_AnnivDays+INT(MOD(BG67-FT_Y5,12)/FT_Int2))),IF(AR67="PT",IF(BG67&lt;PT_First,0,1+INT((BG67-PT_First)/PT_Int)),0)),0))</f>
        <v>0</v>
      </c>
      <c r="BI67" s="19" t="str">
        <f aca="false">IF(AG67=0,"",IF(AS67="FT",IF(AT67&lt;FT_First,"",IF(AT67&lt;FT_Y5,FT_First+FT_Int1*INT((AT67-FT_First)/FT_Int1),FT_Y5+FT_Int2*INT((AT67-FT_Y5)/FT_Int2))),IF(AS67="PT",IF(AT67&lt;PT_First,"",PT_First+PT_Int*INT((AT67-PT_First)/PT_Int)),"")))</f>
        <v/>
      </c>
      <c r="BJ67" s="0" t="str">
        <f aca="false">IF(LEN($A67&amp;$B67)=0,"",$A67&amp;" "&amp;$B67)</f>
        <v>Timothy Camden</v>
      </c>
    </row>
    <row r="68" customFormat="false" ht="15" hidden="false" customHeight="false" outlineLevel="0" collapsed="false">
      <c r="A68" s="15" t="s">
        <v>264</v>
      </c>
      <c r="B68" s="15" t="s">
        <v>265</v>
      </c>
      <c r="C68" s="15" t="s">
        <v>153</v>
      </c>
      <c r="D68" s="16" t="n">
        <v>37763</v>
      </c>
      <c r="E68" s="17" t="n">
        <f aca="false">IF(OR(AG68=0,$D68=""),"",DATE(YEAR(AsOfDate)+IF(DATE(YEAR(AsOfDate),MONTH($D68),DAY($D68))&lt;=AsOfDate,1,0),MONTH($D68),DAY($D68)))</f>
        <v>46529</v>
      </c>
      <c r="F68" s="16" t="n">
        <v>45110</v>
      </c>
      <c r="G68" s="16"/>
      <c r="H68" s="16"/>
      <c r="I68" s="16" t="n">
        <v>45110</v>
      </c>
      <c r="J68" s="16"/>
      <c r="K68" s="17" t="n">
        <f aca="false">IF(AG68=0,"",DATE(YEAR(AsOfDate)+IF(DATE(YEAR(AsOfDate),MONTH(AH68),DAY(AH68))&lt;=AsOfDate,1,0),MONTH(AH68),DAY(AH68)))</f>
        <v>46571</v>
      </c>
      <c r="L68" s="18" t="n">
        <f aca="false">IF(AG68=0,"",ROUND((AsOfDate-AH68)/365.25,1))</f>
        <v>3.3</v>
      </c>
      <c r="M68" s="19" t="str">
        <f aca="false">IF(AG68=0,"",IF(AsOfDate&lt;AH68,"-",DATEDIF(AH68,AsOfDate,"y")&amp;"y "&amp;DATEDIF(AH68,AsOfDate,"ym")&amp;"m "&amp;DATEDIF(AH68,AsOfDate,"md")&amp;"d"))</f>
        <v>3y 3m 3d</v>
      </c>
      <c r="N68" s="20" t="n">
        <f aca="false">IF(AG68=0,"",O68*HoursPerDay)</f>
        <v>8</v>
      </c>
      <c r="O68" s="20" t="n">
        <f aca="false">IF(AG68=0,"",AZ68)</f>
        <v>1</v>
      </c>
      <c r="P68" s="21"/>
      <c r="Q68" s="19"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19"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17" t="n">
        <f aca="false">IF(AG68=0,"",IF(AS68="None","",EDATE(AH68,BB68)))</f>
        <v>46329</v>
      </c>
      <c r="T68" s="20" t="n">
        <f aca="false">IF(AG68=0,"",IF(NOT(LH_Ready),"",IF(AH68&gt;PFYDate,0,IF(LH_ColPeriod=0,W68-U68+V68,SUMIFS(INDEX(LH_Data,0,LH_ColAcc),INDEX(LH_Data,0,LH_ColFirst),$A68,INDEX(LH_Data,0,LH_ColSur),$B68,INDEX(LH_Data,0,LH_ColCat),BonusCat,INDEX(LH_Data,0,LH_ColPeriod),LH_OpenLabel)*UnitFactor))))</f>
        <v>0</v>
      </c>
      <c r="U68" s="20" t="n">
        <f aca="false">IF(AG68=0,"",IF(NOT(LH_Ready),"",SUMIFS(INDEX(LH_Data,0,LH_ColAcc),INDEX(LH_Data,0,LH_ColFirst),$A68,INDEX(LH_Data,0,LH_ColSur),$B68,INDEX(LH_Data,0,LH_ColCat),BonusCat,INDEX(LH_Data,0,LH_ColStart),"&gt;="&amp;AH68)*UnitFactor))</f>
        <v>0</v>
      </c>
      <c r="V68" s="20" t="n">
        <f aca="false">IF(AG68=0,"",IF(NOT(LH_Ready),"",SUMIFS(INDEX(LH_Data,0,LH_ColTaken),INDEX(LH_Data,0,LH_ColFirst),$A68,INDEX(LH_Data,0,LH_ColSur),$B68,INDEX(LH_Data,0,LH_ColCat),BonusCat,INDEX(LH_Data,0,LH_ColStart),"&gt;="&amp;AH68)*UnitFactor))</f>
        <v>0</v>
      </c>
      <c r="W68" s="20" t="n">
        <f aca="false">IF(AG68=0,"",IF(NOT(LH_Ready),"",IF(BD68=0,0,INDEX(INDEX(LH_Data,0,LH_ColClose),BD68-1)*UnitFactor)))</f>
        <v>0</v>
      </c>
      <c r="X68" s="20" t="n">
        <f aca="false">IF(AG68=0,"",(AZ68-BA68)*HoursPerDay)</f>
        <v>8</v>
      </c>
      <c r="Y68" s="20" t="n">
        <f aca="false">IF(AG68=0,"",IF(NOT(LH_Ready),"",IF(BC68=0,N68,IF(PFYDate&lt;$F68,N68-N(T68)-N(U68),X68-N(U68)))))</f>
        <v>8</v>
      </c>
      <c r="Z68" s="19" t="str">
        <f aca="false">IF(OR(AG68=0,Y68=""),"",IF(Y68&gt;0,"Yes","No"))</f>
        <v>Yes</v>
      </c>
      <c r="AA68" s="19"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ACCRUE 8 hrs (1 days): all catch-up from earlier months, nothing new this month; no Bonus Leave in EH yet</v>
      </c>
      <c r="AB68" s="20" t="n">
        <f aca="false">IF(OR(AG68=0,T68=""),"",BA68*HoursPerDay-T68)</f>
        <v>0</v>
      </c>
      <c r="AC68" s="19" t="n">
        <f aca="false">IF(AG68=0,"",BC68)</f>
        <v>0</v>
      </c>
      <c r="AD68" s="19"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20" t="n">
        <f aca="false">IF(AG68=0,"",O68-BH68)</f>
        <v>0</v>
      </c>
      <c r="AF68" s="17" t="str">
        <f aca="false">IF(OR(AG68=0,AE68="",N(AE68)=0,BI68=""),"",EDATE(AH68,BI68))</f>
        <v/>
      </c>
      <c r="AG68" s="19" t="n">
        <f aca="false">IF(OR(LEN($A68&amp;$B68)=0,$F68=""),0,1)</f>
        <v>1</v>
      </c>
      <c r="AH68" s="17" t="n">
        <f aca="false">IF(AG68=0,"",IF($J68&lt;&gt;"",$J68,IF(OR(CasualCounts="Yes",COUNT($G68:$I68)=0,COUNT($H68:$I68)=0),$F68,MIN($H68:$I68))))</f>
        <v>45110</v>
      </c>
      <c r="AI68" s="19" t="n">
        <f aca="false">IF(AG68=0,"",COUNT($G68:$I68))</f>
        <v>1</v>
      </c>
      <c r="AJ68" s="17" t="n">
        <f aca="false">IF(AG68=0,"",IFERROR(SMALL($G68:$I68,1),""))</f>
        <v>45110</v>
      </c>
      <c r="AK68" s="17" t="str">
        <f aca="false">IF(AG68=0,"",IFERROR(SMALL($G68:$I68,2),""))</f>
        <v/>
      </c>
      <c r="AL68" s="17" t="str">
        <f aca="false">IF(AG68=0,"",IFERROR(SMALL($G68:$I68,3),""))</f>
        <v/>
      </c>
      <c r="AM68" s="19" t="str">
        <f aca="false">IF(AG68=0,"",IF(AJ68="","",IF(AJ68=$H68,"Part-Time",IF(AJ68=$I68,"Full-Time","Casual"))))</f>
        <v>Full-Time</v>
      </c>
      <c r="AN68" s="19" t="str">
        <f aca="false">IF(AG68=0,"",IF(AK68="","",IF(AK68=$H68,"Part-Time",IF(AK68=$I68,"Full-Time","Casual"))))</f>
        <v/>
      </c>
      <c r="AO68" s="19" t="str">
        <f aca="false">IF(AG68=0,"",IF(AL68="","",IF(AL68=$H68,"Part-Time",IF(AL68=$I68,"Full-Time","Casual"))))</f>
        <v/>
      </c>
      <c r="AP68" s="19"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FT</v>
      </c>
      <c r="AQ68" s="19" t="str">
        <f aca="false">IF(AG68=0,"",IF(AI68&lt;2,"",IF(OR(ISNUMBER(SEARCH("full",AN68)),UPPER(TRIM(AN68))="FT",UPPER(TRIM(AN68))="FTE"),"FT",IF(AND(OR(ISNUMBER(SEARCH("part",AN68)),UPPER(TRIM(AN68))="PT",UPPER(TRIM(AN68))="PTE"),OR($P68="",N($P68)&gt;=PT_MinHours)),"PT","None"))))</f>
        <v/>
      </c>
      <c r="AR68" s="19" t="str">
        <f aca="false">IF(AG68=0,"",IF(AI68&lt;3,"",IF(OR(ISNUMBER(SEARCH("full",AO68)),UPPER(TRIM(AO68))="FT",UPPER(TRIM(AO68))="FTE"),"FT",IF(AND(OR(ISNUMBER(SEARCH("part",AO68)),UPPER(TRIM(AO68))="PT",UPPER(TRIM(AO68))="PTE"),OR($P68="",N($P68)&gt;=PT_MinHours)),"PT","None"))))</f>
        <v/>
      </c>
      <c r="AS68" s="19" t="str">
        <f aca="false">IF(AG68=0,"",IF(AND(AI68&gt;=3,AL68&lt;=AsOfDate),AR68,IF(AND(AI68&gt;=2,AK68&lt;=AsOfDate),AQ68,AP68)))</f>
        <v>FT</v>
      </c>
      <c r="AT68" s="19" t="n">
        <f aca="false">IF(AG68=0,"",IF(AsOfDate&lt;AH68,-1,12*(YEAR(AsOfDate)-YEAR(AH68))+MONTH(AsOfDate)-MONTH(AH68)-IF(DAY(AsOfDate)&lt;MIN(DAY(AH68),DAY(EOMONTH(AsOfDate,0))),1,0)))</f>
        <v>39</v>
      </c>
      <c r="AU68" s="19" t="n">
        <f aca="false">IF(AG68=0,"",IF(OR(AI68&lt;2,AK68&gt;AsOfDate),AT68,IF((AK68-1)&lt;AH68,-1,12*(YEAR((AK68-1))-YEAR(AH68))+MONTH((AK68-1))-MONTH(AH68)-IF(DAY((AK68-1))&lt;MIN(DAY(AH68),DAY(EOMONTH((AK68-1),0))),1,0))))</f>
        <v>39</v>
      </c>
      <c r="AV68" s="19" t="n">
        <f aca="false">IF(AG68=0,"",IF(OR(AI68&lt;3,AL68&gt;AsOfDate),AT68,IF((AL68-1)&lt;AH68,-1,12*(YEAR((AL68-1))-YEAR(AH68))+MONTH((AL68-1))-MONTH(AH68)-IF(DAY((AL68-1))&lt;MIN(DAY(AH68),DAY(EOMONTH((AL68-1),0))),1,0))))</f>
        <v>39</v>
      </c>
      <c r="AW68" s="19" t="n">
        <f aca="false">IF(AG68=0,"",IF(PFYDate&lt;AH68,-1,12*(YEAR(PFYDate)-YEAR(AH68))+MONTH(PFYDate)-MONTH(AH68)-IF(DAY(PFYDate)&lt;MIN(DAY(AH68),DAY(EOMONTH(PFYDate,0))),1,0)))</f>
        <v>-1</v>
      </c>
      <c r="AX68" s="19" t="n">
        <f aca="false">IF(AG68=0,"",IF(OR(AI68&lt;2,AK68&gt;PFYDate),AW68,IF((AK68-1)&lt;AH68,-1,12*(YEAR((AK68-1))-YEAR(AH68))+MONTH((AK68-1))-MONTH(AH68)-IF(DAY((AK68-1))&lt;MIN(DAY(AH68),DAY(EOMONTH((AK68-1),0))),1,0))))</f>
        <v>-1</v>
      </c>
      <c r="AY68" s="19" t="n">
        <f aca="false">IF(AG68=0,"",IF(OR(AI68&lt;3,AL68&gt;PFYDate),AW68,IF((AL68-1)&lt;AH68,-1,12*(YEAR((AL68-1))-YEAR(AH68))+MONTH((AL68-1))-MONTH(AH68)-IF(DAY((AL68-1))&lt;MIN(DAY(AH68),DAY(EOMONTH((AL68-1),0))),1,0))))</f>
        <v>-1</v>
      </c>
      <c r="AZ68" s="19" t="n">
        <f aca="false">IF(AG68=0,"",IF(AP68="FT",IF(AU68&lt;FT_First,0,IF(AU68&lt;FT_Y5,1+INT((AU68-FT_First)/FT_Int1),FT_PreY5+FT_PerYear*INT((AU68-FT_Y5)/12)+FT_AnnivDays+INT(MOD(AU68-FT_Y5,12)/FT_Int2))),IF(AP68="PT",IF(AU68&lt;PT_First,0,1+INT((AU68-PT_First)/PT_Int)),0))+IF(AND(AI68&gt;=2,AK68&lt;=AsOfDate),IF(AQ68="FT",IF(AV68&lt;FT_First,0,IF(AV68&lt;FT_Y5,1+INT((AV68-FT_First)/FT_Int1),FT_PreY5+FT_PerYear*INT((AV68-FT_Y5)/12)+FT_AnnivDays+INT(MOD(AV68-FT_Y5,12)/FT_Int2))),IF(AQ68="PT",IF(AV68&lt;PT_First,0,1+INT((AV68-PT_First)/PT_Int)),0))-IF(AQ68="FT",IF(AU68&lt;FT_First,0,IF(AU68&lt;FT_Y5,1+INT((AU68-FT_First)/FT_Int1),FT_PreY5+FT_PerYear*INT((AU68-FT_Y5)/12)+FT_AnnivDays+INT(MOD(AU68-FT_Y5,12)/FT_Int2))),IF(AQ68="PT",IF(AU68&lt;PT_First,0,1+INT((AU68-PT_First)/PT_Int)),0)),0)+IF(AND(AI68&gt;=3,AL68&lt;=AsOfDate),IF(AR68="FT",IF(AT68&lt;FT_First,0,IF(AT68&lt;FT_Y5,1+INT((AT68-FT_First)/FT_Int1),FT_PreY5+FT_PerYear*INT((AT68-FT_Y5)/12)+FT_AnnivDays+INT(MOD(AT68-FT_Y5,12)/FT_Int2))),IF(AR68="PT",IF(AT68&lt;PT_First,0,1+INT((AT68-PT_First)/PT_Int)),0))-IF(AR68="FT",IF(AV68&lt;FT_First,0,IF(AV68&lt;FT_Y5,1+INT((AV68-FT_First)/FT_Int1),FT_PreY5+FT_PerYear*INT((AV68-FT_Y5)/12)+FT_AnnivDays+INT(MOD(AV68-FT_Y5,12)/FT_Int2))),IF(AR68="PT",IF(AV68&lt;PT_First,0,1+INT((AV68-PT_First)/PT_Int)),0)),0))</f>
        <v>1</v>
      </c>
      <c r="BA68" s="19" t="n">
        <f aca="false">IF(AG68=0,"",IF(AP68="FT",IF(AX68&lt;FT_First,0,IF(AX68&lt;FT_Y5,1+INT((AX68-FT_First)/FT_Int1),FT_PreY5+FT_PerYear*INT((AX68-FT_Y5)/12)+FT_AnnivDays+INT(MOD(AX68-FT_Y5,12)/FT_Int2))),IF(AP68="PT",IF(AX68&lt;PT_First,0,1+INT((AX68-PT_First)/PT_Int)),0))+IF(AND(AI68&gt;=2,AK68&lt;=PFYDate),IF(AQ68="FT",IF(AY68&lt;FT_First,0,IF(AY68&lt;FT_Y5,1+INT((AY68-FT_First)/FT_Int1),FT_PreY5+FT_PerYear*INT((AY68-FT_Y5)/12)+FT_AnnivDays+INT(MOD(AY68-FT_Y5,12)/FT_Int2))),IF(AQ68="PT",IF(AY68&lt;PT_First,0,1+INT((AY68-PT_First)/PT_Int)),0))-IF(AQ68="FT",IF(AX68&lt;FT_First,0,IF(AX68&lt;FT_Y5,1+INT((AX68-FT_First)/FT_Int1),FT_PreY5+FT_PerYear*INT((AX68-FT_Y5)/12)+FT_AnnivDays+INT(MOD(AX68-FT_Y5,12)/FT_Int2))),IF(AQ68="PT",IF(AX68&lt;PT_First,0,1+INT((AX68-PT_First)/PT_Int)),0)),0)+IF(AND(AI68&gt;=3,AL68&lt;=PFYDate),IF(AR68="FT",IF(AW68&lt;FT_First,0,IF(AW68&lt;FT_Y5,1+INT((AW68-FT_First)/FT_Int1),FT_PreY5+FT_PerYear*INT((AW68-FT_Y5)/12)+FT_AnnivDays+INT(MOD(AW68-FT_Y5,12)/FT_Int2))),IF(AR68="PT",IF(AW68&lt;PT_First,0,1+INT((AW68-PT_First)/PT_Int)),0))-IF(AR68="FT",IF(AY68&lt;FT_First,0,IF(AY68&lt;FT_Y5,1+INT((AY68-FT_First)/FT_Int1),FT_PreY5+FT_PerYear*INT((AY68-FT_Y5)/12)+FT_AnnivDays+INT(MOD(AY68-FT_Y5,12)/FT_Int2))),IF(AR68="PT",IF(AY68&lt;PT_First,0,1+INT((AY68-PT_First)/PT_Int)),0)),0))</f>
        <v>0</v>
      </c>
      <c r="BB68" s="19" t="n">
        <f aca="false">IF(AG68=0,"",IF(AS68="FT",IF(AT68&lt;FT_First,FT_First,IF(AT68&lt;FT_Y5,MIN(FT_Y5,FT_First+FT_Int1*(INT((AT68-FT_First)/FT_Int1)+1)),FT_Y5+12*INT((AT68-FT_Y5)/12)+FT_Int2*(INT(MOD(AT68-FT_Y5,12)/FT_Int2)+1))),IF(AS68="PT",IF(AT68&lt;PT_First,PT_First,PT_First+PT_Int*(INT((AT68-PT_First)/PT_Int)+1)),"")))</f>
        <v>40</v>
      </c>
      <c r="BC68" s="19" t="n">
        <f aca="false">IF(AG68=0,"",IF(NOT(LH_Ready),0,COUNTIFS(INDEX(LH_Data,0,LH_ColFirst),$A68,INDEX(LH_Data,0,LH_ColSur),$B68,INDEX(LH_Data,0,LH_ColCat),BonusCat)))</f>
        <v>0</v>
      </c>
      <c r="BD68" s="19" t="n">
        <f aca="false">IF(AG68=0,"",IF(OR(NOT(LH_Ready),BC68=0),0,SUMPRODUCT(MAX((INDEX(LH_Data,0,LH_ColFirst)=$A68)*(INDEX(LH_Data,0,LH_ColSur)=$B68)*(INDEX(LH_Data,0,LH_ColCat)=BonusCat)*ROW(LH_Data)))))</f>
        <v>0</v>
      </c>
      <c r="BE68" s="19" t="n">
        <f aca="false">IF(AG68=0,"",IF(EOMONTH(AsOfDate,-1)&lt;AH68,-1,12*(YEAR(EOMONTH(AsOfDate,-1))-YEAR(AH68))+MONTH(EOMONTH(AsOfDate,-1))-MONTH(AH68)-IF(DAY(EOMONTH(AsOfDate,-1))&lt;MIN(DAY(AH68),DAY(EOMONTH(EOMONTH(AsOfDate,-1),0))),1,0)))</f>
        <v>38</v>
      </c>
      <c r="BF68" s="19" t="n">
        <f aca="false">IF(AG68=0,"",IF(OR(AI68&lt;2,AK68&gt;EOMONTH(AsOfDate,-1)),BE68,IF((AK68-1)&lt;AH68,-1,12*(YEAR((AK68-1))-YEAR(AH68))+MONTH((AK68-1))-MONTH(AH68)-IF(DAY((AK68-1))&lt;MIN(DAY(AH68),DAY(EOMONTH((AK68-1),0))),1,0))))</f>
        <v>38</v>
      </c>
      <c r="BG68" s="19" t="n">
        <f aca="false">IF(AG68=0,"",IF(OR(AI68&lt;3,AL68&gt;EOMONTH(AsOfDate,-1)),BE68,IF((AL68-1)&lt;AH68,-1,12*(YEAR((AL68-1))-YEAR(AH68))+MONTH((AL68-1))-MONTH(AH68)-IF(DAY((AL68-1))&lt;MIN(DAY(AH68),DAY(EOMONTH((AL68-1),0))),1,0))))</f>
        <v>38</v>
      </c>
      <c r="BH68" s="19" t="n">
        <f aca="false">IF(AG68=0,"",IF(AP68="FT",IF(BF68&lt;FT_First,0,IF(BF68&lt;FT_Y5,1+INT((BF68-FT_First)/FT_Int1),FT_PreY5+FT_PerYear*INT((BF68-FT_Y5)/12)+FT_AnnivDays+INT(MOD(BF68-FT_Y5,12)/FT_Int2))),IF(AP68="PT",IF(BF68&lt;PT_First,0,1+INT((BF68-PT_First)/PT_Int)),0))+IF(AND(AI68&gt;=2,AK68&lt;=EOMONTH(AsOfDate,-1)),IF(AQ68="FT",IF(BG68&lt;FT_First,0,IF(BG68&lt;FT_Y5,1+INT((BG68-FT_First)/FT_Int1),FT_PreY5+FT_PerYear*INT((BG68-FT_Y5)/12)+FT_AnnivDays+INT(MOD(BG68-FT_Y5,12)/FT_Int2))),IF(AQ68="PT",IF(BG68&lt;PT_First,0,1+INT((BG68-PT_First)/PT_Int)),0))-IF(AQ68="FT",IF(BF68&lt;FT_First,0,IF(BF68&lt;FT_Y5,1+INT((BF68-FT_First)/FT_Int1),FT_PreY5+FT_PerYear*INT((BF68-FT_Y5)/12)+FT_AnnivDays+INT(MOD(BF68-FT_Y5,12)/FT_Int2))),IF(AQ68="PT",IF(BF68&lt;PT_First,0,1+INT((BF68-PT_First)/PT_Int)),0)),0)+IF(AND(AI68&gt;=3,AL68&lt;=EOMONTH(AsOfDate,-1)),IF(AR68="FT",IF(BE68&lt;FT_First,0,IF(BE68&lt;FT_Y5,1+INT((BE68-FT_First)/FT_Int1),FT_PreY5+FT_PerYear*INT((BE68-FT_Y5)/12)+FT_AnnivDays+INT(MOD(BE68-FT_Y5,12)/FT_Int2))),IF(AR68="PT",IF(BE68&lt;PT_First,0,1+INT((BE68-PT_First)/PT_Int)),0))-IF(AR68="FT",IF(BG68&lt;FT_First,0,IF(BG68&lt;FT_Y5,1+INT((BG68-FT_First)/FT_Int1),FT_PreY5+FT_PerYear*INT((BG68-FT_Y5)/12)+FT_AnnivDays+INT(MOD(BG68-FT_Y5,12)/FT_Int2))),IF(AR68="PT",IF(BG68&lt;PT_First,0,1+INT((BG68-PT_First)/PT_Int)),0)),0))</f>
        <v>1</v>
      </c>
      <c r="BI68" s="19" t="n">
        <f aca="false">IF(AG68=0,"",IF(AS68="FT",IF(AT68&lt;FT_First,"",IF(AT68&lt;FT_Y5,FT_First+FT_Int1*INT((AT68-FT_First)/FT_Int1),FT_Y5+FT_Int2*INT((AT68-FT_Y5)/FT_Int2))),IF(AS68="PT",IF(AT68&lt;PT_First,"",PT_First+PT_Int*INT((AT68-PT_First)/PT_Int)),"")))</f>
        <v>36</v>
      </c>
      <c r="BJ68" s="0" t="str">
        <f aca="false">IF(LEN($A68&amp;$B68)=0,"",$A68&amp;" "&amp;$B68)</f>
        <v>Tina Nguyen</v>
      </c>
    </row>
    <row r="69" customFormat="false" ht="15" hidden="false" customHeight="false" outlineLevel="0" collapsed="false">
      <c r="A69" s="15" t="s">
        <v>266</v>
      </c>
      <c r="B69" s="15" t="s">
        <v>267</v>
      </c>
      <c r="C69" s="15" t="s">
        <v>153</v>
      </c>
      <c r="D69" s="16" t="n">
        <v>35639</v>
      </c>
      <c r="E69" s="17" t="n">
        <f aca="false">IF(OR(AG69=0,$D69=""),"",DATE(YEAR(AsOfDate)+IF(DATE(YEAR(AsOfDate),MONTH($D69),DAY($D69))&lt;=AsOfDate,1,0),MONTH($D69),DAY($D69)))</f>
        <v>46596</v>
      </c>
      <c r="F69" s="16" t="n">
        <v>42919</v>
      </c>
      <c r="G69" s="16"/>
      <c r="H69" s="16"/>
      <c r="I69" s="16" t="n">
        <v>42919</v>
      </c>
      <c r="J69" s="16"/>
      <c r="K69" s="17" t="n">
        <f aca="false">IF(AG69=0,"",DATE(YEAR(AsOfDate)+IF(DATE(YEAR(AsOfDate),MONTH(AH69),DAY(AH69))&lt;=AsOfDate,1,0),MONTH(AH69),DAY(AH69)))</f>
        <v>46571</v>
      </c>
      <c r="L69" s="18" t="n">
        <f aca="false">IF(AG69=0,"",ROUND((AsOfDate-AH69)/365.25,1))</f>
        <v>9.3</v>
      </c>
      <c r="M69" s="19" t="str">
        <f aca="false">IF(AG69=0,"",IF(AsOfDate&lt;AH69,"-",DATEDIF(AH69,AsOfDate,"y")&amp;"y "&amp;DATEDIF(AH69,AsOfDate,"ym")&amp;"m "&amp;DATEDIF(AH69,AsOfDate,"md")&amp;"d"))</f>
        <v>9y 3m 3d</v>
      </c>
      <c r="N69" s="20" t="n">
        <f aca="false">IF(AG69=0,"",O69*HoursPerDay)</f>
        <v>232</v>
      </c>
      <c r="O69" s="20" t="n">
        <f aca="false">IF(AG69=0,"",AZ69)</f>
        <v>29</v>
      </c>
      <c r="P69" s="21"/>
      <c r="Q69" s="19"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19"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17" t="n">
        <f aca="false">IF(AG69=0,"",IF(AS69="None","",EDATE(AH69,BB69)))</f>
        <v>46390</v>
      </c>
      <c r="T69" s="20" t="n">
        <f aca="false">IF(AG69=0,"",IF(NOT(LH_Ready),"",IF(AH69&gt;PFYDate,0,IF(LH_ColPeriod=0,W69-U69+V69,SUMIFS(INDEX(LH_Data,0,LH_ColAcc),INDEX(LH_Data,0,LH_ColFirst),$A69,INDEX(LH_Data,0,LH_ColSur),$B69,INDEX(LH_Data,0,LH_ColCat),BonusCat,INDEX(LH_Data,0,LH_ColPeriod),LH_OpenLabel)*UnitFactor))))</f>
        <v>56</v>
      </c>
      <c r="U69" s="20" t="n">
        <f aca="false">IF(AG69=0,"",IF(NOT(LH_Ready),"",SUMIFS(INDEX(LH_Data,0,LH_ColAcc),INDEX(LH_Data,0,LH_ColFirst),$A69,INDEX(LH_Data,0,LH_ColSur),$B69,INDEX(LH_Data,0,LH_ColCat),BonusCat,INDEX(LH_Data,0,LH_ColStart),"&gt;="&amp;AH69)*UnitFactor))</f>
        <v>144</v>
      </c>
      <c r="V69" s="20" t="n">
        <f aca="false">IF(AG69=0,"",IF(NOT(LH_Ready),"",SUMIFS(INDEX(LH_Data,0,LH_ColTaken),INDEX(LH_Data,0,LH_ColFirst),$A69,INDEX(LH_Data,0,LH_ColSur),$B69,INDEX(LH_Data,0,LH_ColCat),BonusCat,INDEX(LH_Data,0,LH_ColStart),"&gt;="&amp;AH69)*UnitFactor))</f>
        <v>0</v>
      </c>
      <c r="W69" s="20" t="n">
        <f aca="false">IF(AG69=0,"",IF(NOT(LH_Ready),"",IF(BD69=0,0,INDEX(INDEX(LH_Data,0,LH_ColClose),BD69-1)*UnitFactor)))</f>
        <v>200</v>
      </c>
      <c r="X69" s="20" t="n">
        <f aca="false">IF(AG69=0,"",(AZ69-BA69)*HoursPerDay)</f>
        <v>232</v>
      </c>
      <c r="Y69" s="20" t="n">
        <f aca="false">IF(AG69=0,"",IF(NOT(LH_Ready),"",IF(BC69=0,N69,IF(PFYDate&lt;$F69,N69-N(T69)-N(U69),X69-N(U69)))))</f>
        <v>88</v>
      </c>
      <c r="Z69" s="19" t="str">
        <f aca="false">IF(OR(AG69=0,Y69=""),"",IF(Y69&gt;0,"Yes","No"))</f>
        <v>Yes</v>
      </c>
      <c r="AA69" s="19"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ACCRUE 88 hrs (11 days): 1 day(s) for OCT 2026 (milestone 03 OCT 26) + 10 day(s) catch-up from earlier months</v>
      </c>
      <c r="AB69" s="20" t="n">
        <f aca="false">IF(OR(AG69=0,T69=""),"",BA69*HoursPerDay-T69)</f>
        <v>-56</v>
      </c>
      <c r="AC69" s="19" t="n">
        <f aca="false">IF(AG69=0,"",BC69)</f>
        <v>15</v>
      </c>
      <c r="AD69" s="19"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20" t="n">
        <f aca="false">IF(AG69=0,"",O69-BH69)</f>
        <v>1</v>
      </c>
      <c r="AF69" s="17" t="n">
        <f aca="false">IF(OR(AG69=0,AE69="",N(AE69)=0,BI69=""),"",EDATE(AH69,BI69))</f>
        <v>46298</v>
      </c>
      <c r="AG69" s="19" t="n">
        <f aca="false">IF(OR(LEN($A69&amp;$B69)=0,$F69=""),0,1)</f>
        <v>1</v>
      </c>
      <c r="AH69" s="17" t="n">
        <f aca="false">IF(AG69=0,"",IF($J69&lt;&gt;"",$J69,IF(OR(CasualCounts="Yes",COUNT($G69:$I69)=0,COUNT($H69:$I69)=0),$F69,MIN($H69:$I69))))</f>
        <v>42919</v>
      </c>
      <c r="AI69" s="19" t="n">
        <f aca="false">IF(AG69=0,"",COUNT($G69:$I69))</f>
        <v>1</v>
      </c>
      <c r="AJ69" s="17" t="n">
        <f aca="false">IF(AG69=0,"",IFERROR(SMALL($G69:$I69,1),""))</f>
        <v>42919</v>
      </c>
      <c r="AK69" s="17" t="str">
        <f aca="false">IF(AG69=0,"",IFERROR(SMALL($G69:$I69,2),""))</f>
        <v/>
      </c>
      <c r="AL69" s="17" t="str">
        <f aca="false">IF(AG69=0,"",IFERROR(SMALL($G69:$I69,3),""))</f>
        <v/>
      </c>
      <c r="AM69" s="19" t="str">
        <f aca="false">IF(AG69=0,"",IF(AJ69="","",IF(AJ69=$H69,"Part-Time",IF(AJ69=$I69,"Full-Time","Casual"))))</f>
        <v>Full-Time</v>
      </c>
      <c r="AN69" s="19" t="str">
        <f aca="false">IF(AG69=0,"",IF(AK69="","",IF(AK69=$H69,"Part-Time",IF(AK69=$I69,"Full-Time","Casual"))))</f>
        <v/>
      </c>
      <c r="AO69" s="19" t="str">
        <f aca="false">IF(AG69=0,"",IF(AL69="","",IF(AL69=$H69,"Part-Time",IF(AL69=$I69,"Full-Time","Casual"))))</f>
        <v/>
      </c>
      <c r="AP69" s="19"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FT</v>
      </c>
      <c r="AQ69" s="19" t="str">
        <f aca="false">IF(AG69=0,"",IF(AI69&lt;2,"",IF(OR(ISNUMBER(SEARCH("full",AN69)),UPPER(TRIM(AN69))="FT",UPPER(TRIM(AN69))="FTE"),"FT",IF(AND(OR(ISNUMBER(SEARCH("part",AN69)),UPPER(TRIM(AN69))="PT",UPPER(TRIM(AN69))="PTE"),OR($P69="",N($P69)&gt;=PT_MinHours)),"PT","None"))))</f>
        <v/>
      </c>
      <c r="AR69" s="19" t="str">
        <f aca="false">IF(AG69=0,"",IF(AI69&lt;3,"",IF(OR(ISNUMBER(SEARCH("full",AO69)),UPPER(TRIM(AO69))="FT",UPPER(TRIM(AO69))="FTE"),"FT",IF(AND(OR(ISNUMBER(SEARCH("part",AO69)),UPPER(TRIM(AO69))="PT",UPPER(TRIM(AO69))="PTE"),OR($P69="",N($P69)&gt;=PT_MinHours)),"PT","None"))))</f>
        <v/>
      </c>
      <c r="AS69" s="19" t="str">
        <f aca="false">IF(AG69=0,"",IF(AND(AI69&gt;=3,AL69&lt;=AsOfDate),AR69,IF(AND(AI69&gt;=2,AK69&lt;=AsOfDate),AQ69,AP69)))</f>
        <v>FT</v>
      </c>
      <c r="AT69" s="19" t="n">
        <f aca="false">IF(AG69=0,"",IF(AsOfDate&lt;AH69,-1,12*(YEAR(AsOfDate)-YEAR(AH69))+MONTH(AsOfDate)-MONTH(AH69)-IF(DAY(AsOfDate)&lt;MIN(DAY(AH69),DAY(EOMONTH(AsOfDate,0))),1,0)))</f>
        <v>111</v>
      </c>
      <c r="AU69" s="19" t="n">
        <f aca="false">IF(AG69=0,"",IF(OR(AI69&lt;2,AK69&gt;AsOfDate),AT69,IF((AK69-1)&lt;AH69,-1,12*(YEAR((AK69-1))-YEAR(AH69))+MONTH((AK69-1))-MONTH(AH69)-IF(DAY((AK69-1))&lt;MIN(DAY(AH69),DAY(EOMONTH((AK69-1),0))),1,0))))</f>
        <v>111</v>
      </c>
      <c r="AV69" s="19" t="n">
        <f aca="false">IF(AG69=0,"",IF(OR(AI69&lt;3,AL69&gt;AsOfDate),AT69,IF((AL69-1)&lt;AH69,-1,12*(YEAR((AL69-1))-YEAR(AH69))+MONTH((AL69-1))-MONTH(AH69)-IF(DAY((AL69-1))&lt;MIN(DAY(AH69),DAY(EOMONTH((AL69-1),0))),1,0))))</f>
        <v>111</v>
      </c>
      <c r="AW69" s="19" t="n">
        <f aca="false">IF(AG69=0,"",IF(PFYDate&lt;AH69,-1,12*(YEAR(PFYDate)-YEAR(AH69))+MONTH(PFYDate)-MONTH(AH69)-IF(DAY(PFYDate)&lt;MIN(DAY(AH69),DAY(EOMONTH(PFYDate,0))),1,0)))</f>
        <v>23</v>
      </c>
      <c r="AX69" s="19" t="n">
        <f aca="false">IF(AG69=0,"",IF(OR(AI69&lt;2,AK69&gt;PFYDate),AW69,IF((AK69-1)&lt;AH69,-1,12*(YEAR((AK69-1))-YEAR(AH69))+MONTH((AK69-1))-MONTH(AH69)-IF(DAY((AK69-1))&lt;MIN(DAY(AH69),DAY(EOMONTH((AK69-1),0))),1,0))))</f>
        <v>23</v>
      </c>
      <c r="AY69" s="19" t="n">
        <f aca="false">IF(AG69=0,"",IF(OR(AI69&lt;3,AL69&gt;PFYDate),AW69,IF((AL69-1)&lt;AH69,-1,12*(YEAR((AL69-1))-YEAR(AH69))+MONTH((AL69-1))-MONTH(AH69)-IF(DAY((AL69-1))&lt;MIN(DAY(AH69),DAY(EOMONTH((AL69-1),0))),1,0))))</f>
        <v>23</v>
      </c>
      <c r="AZ69" s="19" t="n">
        <f aca="false">IF(AG69=0,"",IF(AP69="FT",IF(AU69&lt;FT_First,0,IF(AU69&lt;FT_Y5,1+INT((AU69-FT_First)/FT_Int1),FT_PreY5+FT_PerYear*INT((AU69-FT_Y5)/12)+FT_AnnivDays+INT(MOD(AU69-FT_Y5,12)/FT_Int2))),IF(AP69="PT",IF(AU69&lt;PT_First,0,1+INT((AU69-PT_First)/PT_Int)),0))+IF(AND(AI69&gt;=2,AK69&lt;=AsOfDate),IF(AQ69="FT",IF(AV69&lt;FT_First,0,IF(AV69&lt;FT_Y5,1+INT((AV69-FT_First)/FT_Int1),FT_PreY5+FT_PerYear*INT((AV69-FT_Y5)/12)+FT_AnnivDays+INT(MOD(AV69-FT_Y5,12)/FT_Int2))),IF(AQ69="PT",IF(AV69&lt;PT_First,0,1+INT((AV69-PT_First)/PT_Int)),0))-IF(AQ69="FT",IF(AU69&lt;FT_First,0,IF(AU69&lt;FT_Y5,1+INT((AU69-FT_First)/FT_Int1),FT_PreY5+FT_PerYear*INT((AU69-FT_Y5)/12)+FT_AnnivDays+INT(MOD(AU69-FT_Y5,12)/FT_Int2))),IF(AQ69="PT",IF(AU69&lt;PT_First,0,1+INT((AU69-PT_First)/PT_Int)),0)),0)+IF(AND(AI69&gt;=3,AL69&lt;=AsOfDate),IF(AR69="FT",IF(AT69&lt;FT_First,0,IF(AT69&lt;FT_Y5,1+INT((AT69-FT_First)/FT_Int1),FT_PreY5+FT_PerYear*INT((AT69-FT_Y5)/12)+FT_AnnivDays+INT(MOD(AT69-FT_Y5,12)/FT_Int2))),IF(AR69="PT",IF(AT69&lt;PT_First,0,1+INT((AT69-PT_First)/PT_Int)),0))-IF(AR69="FT",IF(AV69&lt;FT_First,0,IF(AV69&lt;FT_Y5,1+INT((AV69-FT_First)/FT_Int1),FT_PreY5+FT_PerYear*INT((AV69-FT_Y5)/12)+FT_AnnivDays+INT(MOD(AV69-FT_Y5,12)/FT_Int2))),IF(AR69="PT",IF(AV69&lt;PT_First,0,1+INT((AV69-PT_First)/PT_Int)),0)),0))</f>
        <v>29</v>
      </c>
      <c r="BA69" s="19" t="n">
        <f aca="false">IF(AG69=0,"",IF(AP69="FT",IF(AX69&lt;FT_First,0,IF(AX69&lt;FT_Y5,1+INT((AX69-FT_First)/FT_Int1),FT_PreY5+FT_PerYear*INT((AX69-FT_Y5)/12)+FT_AnnivDays+INT(MOD(AX69-FT_Y5,12)/FT_Int2))),IF(AP69="PT",IF(AX69&lt;PT_First,0,1+INT((AX69-PT_First)/PT_Int)),0))+IF(AND(AI69&gt;=2,AK69&lt;=PFYDate),IF(AQ69="FT",IF(AY69&lt;FT_First,0,IF(AY69&lt;FT_Y5,1+INT((AY69-FT_First)/FT_Int1),FT_PreY5+FT_PerYear*INT((AY69-FT_Y5)/12)+FT_AnnivDays+INT(MOD(AY69-FT_Y5,12)/FT_Int2))),IF(AQ69="PT",IF(AY69&lt;PT_First,0,1+INT((AY69-PT_First)/PT_Int)),0))-IF(AQ69="FT",IF(AX69&lt;FT_First,0,IF(AX69&lt;FT_Y5,1+INT((AX69-FT_First)/FT_Int1),FT_PreY5+FT_PerYear*INT((AX69-FT_Y5)/12)+FT_AnnivDays+INT(MOD(AX69-FT_Y5,12)/FT_Int2))),IF(AQ69="PT",IF(AX69&lt;PT_First,0,1+INT((AX69-PT_First)/PT_Int)),0)),0)+IF(AND(AI69&gt;=3,AL69&lt;=PFYDate),IF(AR69="FT",IF(AW69&lt;FT_First,0,IF(AW69&lt;FT_Y5,1+INT((AW69-FT_First)/FT_Int1),FT_PreY5+FT_PerYear*INT((AW69-FT_Y5)/12)+FT_AnnivDays+INT(MOD(AW69-FT_Y5,12)/FT_Int2))),IF(AR69="PT",IF(AW69&lt;PT_First,0,1+INT((AW69-PT_First)/PT_Int)),0))-IF(AR69="FT",IF(AY69&lt;FT_First,0,IF(AY69&lt;FT_Y5,1+INT((AY69-FT_First)/FT_Int1),FT_PreY5+FT_PerYear*INT((AY69-FT_Y5)/12)+FT_AnnivDays+INT(MOD(AY69-FT_Y5,12)/FT_Int2))),IF(AR69="PT",IF(AY69&lt;PT_First,0,1+INT((AY69-PT_First)/PT_Int)),0)),0))</f>
        <v>0</v>
      </c>
      <c r="BB69" s="19" t="n">
        <f aca="false">IF(AG69=0,"",IF(AS69="FT",IF(AT69&lt;FT_First,FT_First,IF(AT69&lt;FT_Y5,MIN(FT_Y5,FT_First+FT_Int1*(INT((AT69-FT_First)/FT_Int1)+1)),FT_Y5+12*INT((AT69-FT_Y5)/12)+FT_Int2*(INT(MOD(AT69-FT_Y5,12)/FT_Int2)+1))),IF(AS69="PT",IF(AT69&lt;PT_First,PT_First,PT_First+PT_Int*(INT((AT69-PT_First)/PT_Int)+1)),"")))</f>
        <v>114</v>
      </c>
      <c r="BC69" s="19" t="n">
        <f aca="false">IF(AG69=0,"",IF(NOT(LH_Ready),0,COUNTIFS(INDEX(LH_Data,0,LH_ColFirst),$A69,INDEX(LH_Data,0,LH_ColSur),$B69,INDEX(LH_Data,0,LH_ColCat),BonusCat)))</f>
        <v>15</v>
      </c>
      <c r="BD69" s="19" t="n">
        <f aca="false">IF(AG69=0,"",IF(OR(NOT(LH_Ready),BC69=0),0,SUMPRODUCT(MAX((INDEX(LH_Data,0,LH_ColFirst)=$A69)*(INDEX(LH_Data,0,LH_ColSur)=$B69)*(INDEX(LH_Data,0,LH_ColCat)=BonusCat)*ROW(LH_Data)))))</f>
        <v>272</v>
      </c>
      <c r="BE69" s="19" t="n">
        <f aca="false">IF(AG69=0,"",IF(EOMONTH(AsOfDate,-1)&lt;AH69,-1,12*(YEAR(EOMONTH(AsOfDate,-1))-YEAR(AH69))+MONTH(EOMONTH(AsOfDate,-1))-MONTH(AH69)-IF(DAY(EOMONTH(AsOfDate,-1))&lt;MIN(DAY(AH69),DAY(EOMONTH(EOMONTH(AsOfDate,-1),0))),1,0)))</f>
        <v>110</v>
      </c>
      <c r="BF69" s="19" t="n">
        <f aca="false">IF(AG69=0,"",IF(OR(AI69&lt;2,AK69&gt;EOMONTH(AsOfDate,-1)),BE69,IF((AK69-1)&lt;AH69,-1,12*(YEAR((AK69-1))-YEAR(AH69))+MONTH((AK69-1))-MONTH(AH69)-IF(DAY((AK69-1))&lt;MIN(DAY(AH69),DAY(EOMONTH((AK69-1),0))),1,0))))</f>
        <v>110</v>
      </c>
      <c r="BG69" s="19" t="n">
        <f aca="false">IF(AG69=0,"",IF(OR(AI69&lt;3,AL69&gt;EOMONTH(AsOfDate,-1)),BE69,IF((AL69-1)&lt;AH69,-1,12*(YEAR((AL69-1))-YEAR(AH69))+MONTH((AL69-1))-MONTH(AH69)-IF(DAY((AL69-1))&lt;MIN(DAY(AH69),DAY(EOMONTH((AL69-1),0))),1,0))))</f>
        <v>110</v>
      </c>
      <c r="BH69" s="19" t="n">
        <f aca="false">IF(AG69=0,"",IF(AP69="FT",IF(BF69&lt;FT_First,0,IF(BF69&lt;FT_Y5,1+INT((BF69-FT_First)/FT_Int1),FT_PreY5+FT_PerYear*INT((BF69-FT_Y5)/12)+FT_AnnivDays+INT(MOD(BF69-FT_Y5,12)/FT_Int2))),IF(AP69="PT",IF(BF69&lt;PT_First,0,1+INT((BF69-PT_First)/PT_Int)),0))+IF(AND(AI69&gt;=2,AK69&lt;=EOMONTH(AsOfDate,-1)),IF(AQ69="FT",IF(BG69&lt;FT_First,0,IF(BG69&lt;FT_Y5,1+INT((BG69-FT_First)/FT_Int1),FT_PreY5+FT_PerYear*INT((BG69-FT_Y5)/12)+FT_AnnivDays+INT(MOD(BG69-FT_Y5,12)/FT_Int2))),IF(AQ69="PT",IF(BG69&lt;PT_First,0,1+INT((BG69-PT_First)/PT_Int)),0))-IF(AQ69="FT",IF(BF69&lt;FT_First,0,IF(BF69&lt;FT_Y5,1+INT((BF69-FT_First)/FT_Int1),FT_PreY5+FT_PerYear*INT((BF69-FT_Y5)/12)+FT_AnnivDays+INT(MOD(BF69-FT_Y5,12)/FT_Int2))),IF(AQ69="PT",IF(BF69&lt;PT_First,0,1+INT((BF69-PT_First)/PT_Int)),0)),0)+IF(AND(AI69&gt;=3,AL69&lt;=EOMONTH(AsOfDate,-1)),IF(AR69="FT",IF(BE69&lt;FT_First,0,IF(BE69&lt;FT_Y5,1+INT((BE69-FT_First)/FT_Int1),FT_PreY5+FT_PerYear*INT((BE69-FT_Y5)/12)+FT_AnnivDays+INT(MOD(BE69-FT_Y5,12)/FT_Int2))),IF(AR69="PT",IF(BE69&lt;PT_First,0,1+INT((BE69-PT_First)/PT_Int)),0))-IF(AR69="FT",IF(BG69&lt;FT_First,0,IF(BG69&lt;FT_Y5,1+INT((BG69-FT_First)/FT_Int1),FT_PreY5+FT_PerYear*INT((BG69-FT_Y5)/12)+FT_AnnivDays+INT(MOD(BG69-FT_Y5,12)/FT_Int2))),IF(AR69="PT",IF(BG69&lt;PT_First,0,1+INT((BG69-PT_First)/PT_Int)),0)),0))</f>
        <v>28</v>
      </c>
      <c r="BI69" s="19" t="n">
        <f aca="false">IF(AG69=0,"",IF(AS69="FT",IF(AT69&lt;FT_First,"",IF(AT69&lt;FT_Y5,FT_First+FT_Int1*INT((AT69-FT_First)/FT_Int1),FT_Y5+FT_Int2*INT((AT69-FT_Y5)/FT_Int2))),IF(AS69="PT",IF(AT69&lt;PT_First,"",PT_First+PT_Int*INT((AT69-PT_First)/PT_Int)),"")))</f>
        <v>111</v>
      </c>
      <c r="BJ69" s="0" t="str">
        <f aca="false">IF(LEN($A69&amp;$B69)=0,"",$A69&amp;" "&amp;$B69)</f>
        <v>Tyler WOOD</v>
      </c>
    </row>
    <row r="70" customFormat="false" ht="15" hidden="false" customHeight="false" outlineLevel="0" collapsed="false">
      <c r="A70" s="15" t="s">
        <v>268</v>
      </c>
      <c r="B70" s="15" t="s">
        <v>269</v>
      </c>
      <c r="C70" s="15" t="s">
        <v>184</v>
      </c>
      <c r="D70" s="16" t="n">
        <v>34012</v>
      </c>
      <c r="E70" s="17" t="n">
        <f aca="false">IF(OR(AG70=0,$D70=""),"",DATE(YEAR(AsOfDate)+IF(DATE(YEAR(AsOfDate),MONTH($D70),DAY($D70))&lt;=AsOfDate,1,0),MONTH($D70),DAY($D70)))</f>
        <v>46430</v>
      </c>
      <c r="F70" s="16" t="n">
        <v>44439</v>
      </c>
      <c r="G70" s="16"/>
      <c r="H70" s="16" t="n">
        <v>44439</v>
      </c>
      <c r="I70" s="16"/>
      <c r="J70" s="16"/>
      <c r="K70" s="17" t="n">
        <f aca="false">IF(AG70=0,"",DATE(YEAR(AsOfDate)+IF(DATE(YEAR(AsOfDate),MONTH(AH70),DAY(AH70))&lt;=AsOfDate,1,0),MONTH(AH70),DAY(AH70)))</f>
        <v>46630</v>
      </c>
      <c r="L70" s="18" t="n">
        <f aca="false">IF(AG70=0,"",ROUND((AsOfDate-AH70)/365.25,1))</f>
        <v>5.1</v>
      </c>
      <c r="M70" s="19" t="str">
        <f aca="false">IF(AG70=0,"",IF(AsOfDate&lt;AH70,"-",DATEDIF(AH70,AsOfDate,"y")&amp;"y "&amp;DATEDIF(AH70,AsOfDate,"ym")&amp;"m "&amp;DATEDIF(AH70,AsOfDate,"md")&amp;"d"))</f>
        <v>5y 1m 5d</v>
      </c>
      <c r="N70" s="20" t="n">
        <f aca="false">IF(AG70=0,"",O70*HoursPerDay)</f>
        <v>8</v>
      </c>
      <c r="O70" s="20" t="n">
        <f aca="false">IF(AG70=0,"",AZ70)</f>
        <v>1</v>
      </c>
      <c r="P70" s="21" t="n">
        <v>38</v>
      </c>
      <c r="Q70" s="19"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19"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17" t="n">
        <f aca="false">IF(AG70=0,"",IF(AS70="None","",EDATE(AH70,BB70)))</f>
        <v>46387</v>
      </c>
      <c r="T70" s="20" t="n">
        <f aca="false">IF(AG70=0,"",IF(NOT(LH_Ready),"",IF(AH70&gt;PFYDate,0,IF(LH_ColPeriod=0,W70-U70+V70,SUMIFS(INDEX(LH_Data,0,LH_ColAcc),INDEX(LH_Data,0,LH_ColFirst),$A70,INDEX(LH_Data,0,LH_ColSur),$B70,INDEX(LH_Data,0,LH_ColCat),BonusCat,INDEX(LH_Data,0,LH_ColPeriod),LH_OpenLabel)*UnitFactor))))</f>
        <v>0</v>
      </c>
      <c r="U70" s="20" t="n">
        <f aca="false">IF(AG70=0,"",IF(NOT(LH_Ready),"",SUMIFS(INDEX(LH_Data,0,LH_ColAcc),INDEX(LH_Data,0,LH_ColFirst),$A70,INDEX(LH_Data,0,LH_ColSur),$B70,INDEX(LH_Data,0,LH_ColCat),BonusCat,INDEX(LH_Data,0,LH_ColStart),"&gt;="&amp;AH70)*UnitFactor))</f>
        <v>0</v>
      </c>
      <c r="V70" s="20" t="n">
        <f aca="false">IF(AG70=0,"",IF(NOT(LH_Ready),"",SUMIFS(INDEX(LH_Data,0,LH_ColTaken),INDEX(LH_Data,0,LH_ColFirst),$A70,INDEX(LH_Data,0,LH_ColSur),$B70,INDEX(LH_Data,0,LH_ColCat),BonusCat,INDEX(LH_Data,0,LH_ColStart),"&gt;="&amp;AH70)*UnitFactor))</f>
        <v>0</v>
      </c>
      <c r="W70" s="20" t="n">
        <f aca="false">IF(AG70=0,"",IF(NOT(LH_Ready),"",IF(BD70=0,0,INDEX(INDEX(LH_Data,0,LH_ColClose),BD70-1)*UnitFactor)))</f>
        <v>0</v>
      </c>
      <c r="X70" s="20" t="n">
        <f aca="false">IF(AG70=0,"",(AZ70-BA70)*HoursPerDay)</f>
        <v>8</v>
      </c>
      <c r="Y70" s="20" t="n">
        <f aca="false">IF(AG70=0,"",IF(NOT(LH_Ready),"",IF(BC70=0,N70,IF(PFYDate&lt;$F70,N70-N(T70)-N(U70),X70-N(U70)))))</f>
        <v>8</v>
      </c>
      <c r="Z70" s="19" t="str">
        <f aca="false">IF(OR(AG70=0,Y70=""),"",IF(Y70&gt;0,"Yes","No"))</f>
        <v>Yes</v>
      </c>
      <c r="AA70" s="19"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ACCRUE 8 hrs (1 days): all catch-up from earlier months, nothing new this month; no Bonus Leave in EH yet</v>
      </c>
      <c r="AB70" s="20" t="n">
        <f aca="false">IF(OR(AG70=0,T70=""),"",BA70*HoursPerDay-T70)</f>
        <v>0</v>
      </c>
      <c r="AC70" s="19" t="n">
        <f aca="false">IF(AG70=0,"",BC70)</f>
        <v>0</v>
      </c>
      <c r="AD70" s="19"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20" t="n">
        <f aca="false">IF(AG70=0,"",O70-BH70)</f>
        <v>0</v>
      </c>
      <c r="AF70" s="17" t="str">
        <f aca="false">IF(OR(AG70=0,AE70="",N(AE70)=0,BI70=""),"",EDATE(AH70,BI70))</f>
        <v/>
      </c>
      <c r="AG70" s="19" t="n">
        <f aca="false">IF(OR(LEN($A70&amp;$B70)=0,$F70=""),0,1)</f>
        <v>1</v>
      </c>
      <c r="AH70" s="17" t="n">
        <f aca="false">IF(AG70=0,"",IF($J70&lt;&gt;"",$J70,IF(OR(CasualCounts="Yes",COUNT($G70:$I70)=0,COUNT($H70:$I70)=0),$F70,MIN($H70:$I70))))</f>
        <v>44439</v>
      </c>
      <c r="AI70" s="19" t="n">
        <f aca="false">IF(AG70=0,"",COUNT($G70:$I70))</f>
        <v>1</v>
      </c>
      <c r="AJ70" s="17" t="n">
        <f aca="false">IF(AG70=0,"",IFERROR(SMALL($G70:$I70,1),""))</f>
        <v>44439</v>
      </c>
      <c r="AK70" s="17" t="str">
        <f aca="false">IF(AG70=0,"",IFERROR(SMALL($G70:$I70,2),""))</f>
        <v/>
      </c>
      <c r="AL70" s="17" t="str">
        <f aca="false">IF(AG70=0,"",IFERROR(SMALL($G70:$I70,3),""))</f>
        <v/>
      </c>
      <c r="AM70" s="19" t="str">
        <f aca="false">IF(AG70=0,"",IF(AJ70="","",IF(AJ70=$H70,"Part-Time",IF(AJ70=$I70,"Full-Time","Casual"))))</f>
        <v>Part-Time</v>
      </c>
      <c r="AN70" s="19" t="str">
        <f aca="false">IF(AG70=0,"",IF(AK70="","",IF(AK70=$H70,"Part-Time",IF(AK70=$I70,"Full-Time","Casual"))))</f>
        <v/>
      </c>
      <c r="AO70" s="19" t="str">
        <f aca="false">IF(AG70=0,"",IF(AL70="","",IF(AL70=$H70,"Part-Time",IF(AL70=$I70,"Full-Time","Casual"))))</f>
        <v/>
      </c>
      <c r="AP70" s="19"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PT</v>
      </c>
      <c r="AQ70" s="19" t="str">
        <f aca="false">IF(AG70=0,"",IF(AI70&lt;2,"",IF(OR(ISNUMBER(SEARCH("full",AN70)),UPPER(TRIM(AN70))="FT",UPPER(TRIM(AN70))="FTE"),"FT",IF(AND(OR(ISNUMBER(SEARCH("part",AN70)),UPPER(TRIM(AN70))="PT",UPPER(TRIM(AN70))="PTE"),OR($P70="",N($P70)&gt;=PT_MinHours)),"PT","None"))))</f>
        <v/>
      </c>
      <c r="AR70" s="19" t="str">
        <f aca="false">IF(AG70=0,"",IF(AI70&lt;3,"",IF(OR(ISNUMBER(SEARCH("full",AO70)),UPPER(TRIM(AO70))="FT",UPPER(TRIM(AO70))="FTE"),"FT",IF(AND(OR(ISNUMBER(SEARCH("part",AO70)),UPPER(TRIM(AO70))="PT",UPPER(TRIM(AO70))="PTE"),OR($P70="",N($P70)&gt;=PT_MinHours)),"PT","None"))))</f>
        <v/>
      </c>
      <c r="AS70" s="19" t="str">
        <f aca="false">IF(AG70=0,"",IF(AND(AI70&gt;=3,AL70&lt;=AsOfDate),AR70,IF(AND(AI70&gt;=2,AK70&lt;=AsOfDate),AQ70,AP70)))</f>
        <v>PT</v>
      </c>
      <c r="AT70" s="19" t="n">
        <f aca="false">IF(AG70=0,"",IF(AsOfDate&lt;AH70,-1,12*(YEAR(AsOfDate)-YEAR(AH70))+MONTH(AsOfDate)-MONTH(AH70)-IF(DAY(AsOfDate)&lt;MIN(DAY(AH70),DAY(EOMONTH(AsOfDate,0))),1,0)))</f>
        <v>61</v>
      </c>
      <c r="AU70" s="19" t="n">
        <f aca="false">IF(AG70=0,"",IF(OR(AI70&lt;2,AK70&gt;AsOfDate),AT70,IF((AK70-1)&lt;AH70,-1,12*(YEAR((AK70-1))-YEAR(AH70))+MONTH((AK70-1))-MONTH(AH70)-IF(DAY((AK70-1))&lt;MIN(DAY(AH70),DAY(EOMONTH((AK70-1),0))),1,0))))</f>
        <v>61</v>
      </c>
      <c r="AV70" s="19" t="n">
        <f aca="false">IF(AG70=0,"",IF(OR(AI70&lt;3,AL70&gt;AsOfDate),AT70,IF((AL70-1)&lt;AH70,-1,12*(YEAR((AL70-1))-YEAR(AH70))+MONTH((AL70-1))-MONTH(AH70)-IF(DAY((AL70-1))&lt;MIN(DAY(AH70),DAY(EOMONTH((AL70-1),0))),1,0))))</f>
        <v>61</v>
      </c>
      <c r="AW70" s="19" t="n">
        <f aca="false">IF(AG70=0,"",IF(PFYDate&lt;AH70,-1,12*(YEAR(PFYDate)-YEAR(AH70))+MONTH(PFYDate)-MONTH(AH70)-IF(DAY(PFYDate)&lt;MIN(DAY(AH70),DAY(EOMONTH(PFYDate,0))),1,0)))</f>
        <v>-1</v>
      </c>
      <c r="AX70" s="19" t="n">
        <f aca="false">IF(AG70=0,"",IF(OR(AI70&lt;2,AK70&gt;PFYDate),AW70,IF((AK70-1)&lt;AH70,-1,12*(YEAR((AK70-1))-YEAR(AH70))+MONTH((AK70-1))-MONTH(AH70)-IF(DAY((AK70-1))&lt;MIN(DAY(AH70),DAY(EOMONTH((AK70-1),0))),1,0))))</f>
        <v>-1</v>
      </c>
      <c r="AY70" s="19" t="n">
        <f aca="false">IF(AG70=0,"",IF(OR(AI70&lt;3,AL70&gt;PFYDate),AW70,IF((AL70-1)&lt;AH70,-1,12*(YEAR((AL70-1))-YEAR(AH70))+MONTH((AL70-1))-MONTH(AH70)-IF(DAY((AL70-1))&lt;MIN(DAY(AH70),DAY(EOMONTH((AL70-1),0))),1,0))))</f>
        <v>-1</v>
      </c>
      <c r="AZ70" s="19" t="n">
        <f aca="false">IF(AG70=0,"",IF(AP70="FT",IF(AU70&lt;FT_First,0,IF(AU70&lt;FT_Y5,1+INT((AU70-FT_First)/FT_Int1),FT_PreY5+FT_PerYear*INT((AU70-FT_Y5)/12)+FT_AnnivDays+INT(MOD(AU70-FT_Y5,12)/FT_Int2))),IF(AP70="PT",IF(AU70&lt;PT_First,0,1+INT((AU70-PT_First)/PT_Int)),0))+IF(AND(AI70&gt;=2,AK70&lt;=AsOfDate),IF(AQ70="FT",IF(AV70&lt;FT_First,0,IF(AV70&lt;FT_Y5,1+INT((AV70-FT_First)/FT_Int1),FT_PreY5+FT_PerYear*INT((AV70-FT_Y5)/12)+FT_AnnivDays+INT(MOD(AV70-FT_Y5,12)/FT_Int2))),IF(AQ70="PT",IF(AV70&lt;PT_First,0,1+INT((AV70-PT_First)/PT_Int)),0))-IF(AQ70="FT",IF(AU70&lt;FT_First,0,IF(AU70&lt;FT_Y5,1+INT((AU70-FT_First)/FT_Int1),FT_PreY5+FT_PerYear*INT((AU70-FT_Y5)/12)+FT_AnnivDays+INT(MOD(AU70-FT_Y5,12)/FT_Int2))),IF(AQ70="PT",IF(AU70&lt;PT_First,0,1+INT((AU70-PT_First)/PT_Int)),0)),0)+IF(AND(AI70&gt;=3,AL70&lt;=AsOfDate),IF(AR70="FT",IF(AT70&lt;FT_First,0,IF(AT70&lt;FT_Y5,1+INT((AT70-FT_First)/FT_Int1),FT_PreY5+FT_PerYear*INT((AT70-FT_Y5)/12)+FT_AnnivDays+INT(MOD(AT70-FT_Y5,12)/FT_Int2))),IF(AR70="PT",IF(AT70&lt;PT_First,0,1+INT((AT70-PT_First)/PT_Int)),0))-IF(AR70="FT",IF(AV70&lt;FT_First,0,IF(AV70&lt;FT_Y5,1+INT((AV70-FT_First)/FT_Int1),FT_PreY5+FT_PerYear*INT((AV70-FT_Y5)/12)+FT_AnnivDays+INT(MOD(AV70-FT_Y5,12)/FT_Int2))),IF(AR70="PT",IF(AV70&lt;PT_First,0,1+INT((AV70-PT_First)/PT_Int)),0)),0))</f>
        <v>1</v>
      </c>
      <c r="BA70" s="19" t="n">
        <f aca="false">IF(AG70=0,"",IF(AP70="FT",IF(AX70&lt;FT_First,0,IF(AX70&lt;FT_Y5,1+INT((AX70-FT_First)/FT_Int1),FT_PreY5+FT_PerYear*INT((AX70-FT_Y5)/12)+FT_AnnivDays+INT(MOD(AX70-FT_Y5,12)/FT_Int2))),IF(AP70="PT",IF(AX70&lt;PT_First,0,1+INT((AX70-PT_First)/PT_Int)),0))+IF(AND(AI70&gt;=2,AK70&lt;=PFYDate),IF(AQ70="FT",IF(AY70&lt;FT_First,0,IF(AY70&lt;FT_Y5,1+INT((AY70-FT_First)/FT_Int1),FT_PreY5+FT_PerYear*INT((AY70-FT_Y5)/12)+FT_AnnivDays+INT(MOD(AY70-FT_Y5,12)/FT_Int2))),IF(AQ70="PT",IF(AY70&lt;PT_First,0,1+INT((AY70-PT_First)/PT_Int)),0))-IF(AQ70="FT",IF(AX70&lt;FT_First,0,IF(AX70&lt;FT_Y5,1+INT((AX70-FT_First)/FT_Int1),FT_PreY5+FT_PerYear*INT((AX70-FT_Y5)/12)+FT_AnnivDays+INT(MOD(AX70-FT_Y5,12)/FT_Int2))),IF(AQ70="PT",IF(AX70&lt;PT_First,0,1+INT((AX70-PT_First)/PT_Int)),0)),0)+IF(AND(AI70&gt;=3,AL70&lt;=PFYDate),IF(AR70="FT",IF(AW70&lt;FT_First,0,IF(AW70&lt;FT_Y5,1+INT((AW70-FT_First)/FT_Int1),FT_PreY5+FT_PerYear*INT((AW70-FT_Y5)/12)+FT_AnnivDays+INT(MOD(AW70-FT_Y5,12)/FT_Int2))),IF(AR70="PT",IF(AW70&lt;PT_First,0,1+INT((AW70-PT_First)/PT_Int)),0))-IF(AR70="FT",IF(AY70&lt;FT_First,0,IF(AY70&lt;FT_Y5,1+INT((AY70-FT_First)/FT_Int1),FT_PreY5+FT_PerYear*INT((AY70-FT_Y5)/12)+FT_AnnivDays+INT(MOD(AY70-FT_Y5,12)/FT_Int2))),IF(AR70="PT",IF(AY70&lt;PT_First,0,1+INT((AY70-PT_First)/PT_Int)),0)),0))</f>
        <v>0</v>
      </c>
      <c r="BB70" s="19" t="n">
        <f aca="false">IF(AG70=0,"",IF(AS70="FT",IF(AT70&lt;FT_First,FT_First,IF(AT70&lt;FT_Y5,MIN(FT_Y5,FT_First+FT_Int1*(INT((AT70-FT_First)/FT_Int1)+1)),FT_Y5+12*INT((AT70-FT_Y5)/12)+FT_Int2*(INT(MOD(AT70-FT_Y5,12)/FT_Int2)+1))),IF(AS70="PT",IF(AT70&lt;PT_First,PT_First,PT_First+PT_Int*(INT((AT70-PT_First)/PT_Int)+1)),"")))</f>
        <v>64</v>
      </c>
      <c r="BC70" s="19" t="n">
        <f aca="false">IF(AG70=0,"",IF(NOT(LH_Ready),0,COUNTIFS(INDEX(LH_Data,0,LH_ColFirst),$A70,INDEX(LH_Data,0,LH_ColSur),$B70,INDEX(LH_Data,0,LH_ColCat),BonusCat)))</f>
        <v>0</v>
      </c>
      <c r="BD70" s="19" t="n">
        <f aca="false">IF(AG70=0,"",IF(OR(NOT(LH_Ready),BC70=0),0,SUMPRODUCT(MAX((INDEX(LH_Data,0,LH_ColFirst)=$A70)*(INDEX(LH_Data,0,LH_ColSur)=$B70)*(INDEX(LH_Data,0,LH_ColCat)=BonusCat)*ROW(LH_Data)))))</f>
        <v>0</v>
      </c>
      <c r="BE70" s="19" t="n">
        <f aca="false">IF(AG70=0,"",IF(EOMONTH(AsOfDate,-1)&lt;AH70,-1,12*(YEAR(EOMONTH(AsOfDate,-1))-YEAR(AH70))+MONTH(EOMONTH(AsOfDate,-1))-MONTH(AH70)-IF(DAY(EOMONTH(AsOfDate,-1))&lt;MIN(DAY(AH70),DAY(EOMONTH(EOMONTH(AsOfDate,-1),0))),1,0)))</f>
        <v>61</v>
      </c>
      <c r="BF70" s="19" t="n">
        <f aca="false">IF(AG70=0,"",IF(OR(AI70&lt;2,AK70&gt;EOMONTH(AsOfDate,-1)),BE70,IF((AK70-1)&lt;AH70,-1,12*(YEAR((AK70-1))-YEAR(AH70))+MONTH((AK70-1))-MONTH(AH70)-IF(DAY((AK70-1))&lt;MIN(DAY(AH70),DAY(EOMONTH((AK70-1),0))),1,0))))</f>
        <v>61</v>
      </c>
      <c r="BG70" s="19" t="n">
        <f aca="false">IF(AG70=0,"",IF(OR(AI70&lt;3,AL70&gt;EOMONTH(AsOfDate,-1)),BE70,IF((AL70-1)&lt;AH70,-1,12*(YEAR((AL70-1))-YEAR(AH70))+MONTH((AL70-1))-MONTH(AH70)-IF(DAY((AL70-1))&lt;MIN(DAY(AH70),DAY(EOMONTH((AL70-1),0))),1,0))))</f>
        <v>61</v>
      </c>
      <c r="BH70" s="19" t="n">
        <f aca="false">IF(AG70=0,"",IF(AP70="FT",IF(BF70&lt;FT_First,0,IF(BF70&lt;FT_Y5,1+INT((BF70-FT_First)/FT_Int1),FT_PreY5+FT_PerYear*INT((BF70-FT_Y5)/12)+FT_AnnivDays+INT(MOD(BF70-FT_Y5,12)/FT_Int2))),IF(AP70="PT",IF(BF70&lt;PT_First,0,1+INT((BF70-PT_First)/PT_Int)),0))+IF(AND(AI70&gt;=2,AK70&lt;=EOMONTH(AsOfDate,-1)),IF(AQ70="FT",IF(BG70&lt;FT_First,0,IF(BG70&lt;FT_Y5,1+INT((BG70-FT_First)/FT_Int1),FT_PreY5+FT_PerYear*INT((BG70-FT_Y5)/12)+FT_AnnivDays+INT(MOD(BG70-FT_Y5,12)/FT_Int2))),IF(AQ70="PT",IF(BG70&lt;PT_First,0,1+INT((BG70-PT_First)/PT_Int)),0))-IF(AQ70="FT",IF(BF70&lt;FT_First,0,IF(BF70&lt;FT_Y5,1+INT((BF70-FT_First)/FT_Int1),FT_PreY5+FT_PerYear*INT((BF70-FT_Y5)/12)+FT_AnnivDays+INT(MOD(BF70-FT_Y5,12)/FT_Int2))),IF(AQ70="PT",IF(BF70&lt;PT_First,0,1+INT((BF70-PT_First)/PT_Int)),0)),0)+IF(AND(AI70&gt;=3,AL70&lt;=EOMONTH(AsOfDate,-1)),IF(AR70="FT",IF(BE70&lt;FT_First,0,IF(BE70&lt;FT_Y5,1+INT((BE70-FT_First)/FT_Int1),FT_PreY5+FT_PerYear*INT((BE70-FT_Y5)/12)+FT_AnnivDays+INT(MOD(BE70-FT_Y5,12)/FT_Int2))),IF(AR70="PT",IF(BE70&lt;PT_First,0,1+INT((BE70-PT_First)/PT_Int)),0))-IF(AR70="FT",IF(BG70&lt;FT_First,0,IF(BG70&lt;FT_Y5,1+INT((BG70-FT_First)/FT_Int1),FT_PreY5+FT_PerYear*INT((BG70-FT_Y5)/12)+FT_AnnivDays+INT(MOD(BG70-FT_Y5,12)/FT_Int2))),IF(AR70="PT",IF(BG70&lt;PT_First,0,1+INT((BG70-PT_First)/PT_Int)),0)),0))</f>
        <v>1</v>
      </c>
      <c r="BI70" s="19" t="n">
        <f aca="false">IF(AG70=0,"",IF(AS70="FT",IF(AT70&lt;FT_First,"",IF(AT70&lt;FT_Y5,FT_First+FT_Int1*INT((AT70-FT_First)/FT_Int1),FT_Y5+FT_Int2*INT((AT70-FT_Y5)/FT_Int2))),IF(AS70="PT",IF(AT70&lt;PT_First,"",PT_First+PT_Int*INT((AT70-PT_First)/PT_Int)),"")))</f>
        <v>60</v>
      </c>
      <c r="BJ70" s="0" t="str">
        <f aca="false">IF(LEN($A70&amp;$B70)=0,"",$A70&amp;" "&amp;$B70)</f>
        <v>Tyrell SHORTT</v>
      </c>
    </row>
    <row r="71" customFormat="false" ht="15" hidden="false" customHeight="false" outlineLevel="0" collapsed="false">
      <c r="A71" s="15" t="s">
        <v>270</v>
      </c>
      <c r="B71" s="15" t="s">
        <v>271</v>
      </c>
      <c r="C71" s="15" t="s">
        <v>153</v>
      </c>
      <c r="D71" s="16" t="n">
        <v>35642</v>
      </c>
      <c r="E71" s="17" t="n">
        <f aca="false">IF(OR(AG71=0,$D71=""),"",DATE(YEAR(AsOfDate)+IF(DATE(YEAR(AsOfDate),MONTH($D71),DAY($D71))&lt;=AsOfDate,1,0),MONTH($D71),DAY($D71)))</f>
        <v>46599</v>
      </c>
      <c r="F71" s="16" t="n">
        <v>43255</v>
      </c>
      <c r="G71" s="16"/>
      <c r="H71" s="16"/>
      <c r="I71" s="16" t="n">
        <v>43255</v>
      </c>
      <c r="J71" s="16"/>
      <c r="K71" s="17" t="n">
        <f aca="false">IF(AG71=0,"",DATE(YEAR(AsOfDate)+IF(DATE(YEAR(AsOfDate),MONTH(AH71),DAY(AH71))&lt;=AsOfDate,1,0),MONTH(AH71),DAY(AH71)))</f>
        <v>46542</v>
      </c>
      <c r="L71" s="18" t="n">
        <f aca="false">IF(AG71=0,"",ROUND((AsOfDate-AH71)/365.25,1))</f>
        <v>8.3</v>
      </c>
      <c r="M71" s="19" t="str">
        <f aca="false">IF(AG71=0,"",IF(AsOfDate&lt;AH71,"-",DATEDIF(AH71,AsOfDate,"y")&amp;"y "&amp;DATEDIF(AH71,AsOfDate,"ym")&amp;"m "&amp;DATEDIF(AH71,AsOfDate,"md")&amp;"d"))</f>
        <v>8y 4m 2d</v>
      </c>
      <c r="N71" s="20" t="n">
        <f aca="false">IF(AG71=0,"",O71*HoursPerDay)</f>
        <v>192</v>
      </c>
      <c r="O71" s="20" t="n">
        <f aca="false">IF(AG71=0,"",AZ71)</f>
        <v>24</v>
      </c>
      <c r="P71" s="21"/>
      <c r="Q71" s="19"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19"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17" t="n">
        <f aca="false">IF(AG71=0,"",IF(AS71="None","",EDATE(AH71,BB71)))</f>
        <v>46360</v>
      </c>
      <c r="T71" s="20" t="n">
        <f aca="false">IF(AG71=0,"",IF(NOT(LH_Ready),"",IF(AH71&gt;PFYDate,0,IF(LH_ColPeriod=0,W71-U71+V71,SUMIFS(INDEX(LH_Data,0,LH_ColAcc),INDEX(LH_Data,0,LH_ColFirst),$A71,INDEX(LH_Data,0,LH_ColSur),$B71,INDEX(LH_Data,0,LH_ColCat),BonusCat,INDEX(LH_Data,0,LH_ColPeriod),LH_OpenLabel)*UnitFactor))))</f>
        <v>32</v>
      </c>
      <c r="U71" s="20" t="n">
        <f aca="false">IF(AG71=0,"",IF(NOT(LH_Ready),"",SUMIFS(INDEX(LH_Data,0,LH_ColAcc),INDEX(LH_Data,0,LH_ColFirst),$A71,INDEX(LH_Data,0,LH_ColSur),$B71,INDEX(LH_Data,0,LH_ColCat),BonusCat,INDEX(LH_Data,0,LH_ColStart),"&gt;="&amp;AH71)*UnitFactor))</f>
        <v>144</v>
      </c>
      <c r="V71" s="20" t="n">
        <f aca="false">IF(AG71=0,"",IF(NOT(LH_Ready),"",SUMIFS(INDEX(LH_Data,0,LH_ColTaken),INDEX(LH_Data,0,LH_ColFirst),$A71,INDEX(LH_Data,0,LH_ColSur),$B71,INDEX(LH_Data,0,LH_ColCat),BonusCat,INDEX(LH_Data,0,LH_ColStart),"&gt;="&amp;AH71)*UnitFactor))</f>
        <v>32</v>
      </c>
      <c r="W71" s="20" t="n">
        <f aca="false">IF(AG71=0,"",IF(NOT(LH_Ready),"",IF(BD71=0,0,INDEX(INDEX(LH_Data,0,LH_ColClose),BD71-1)*UnitFactor)))</f>
        <v>144</v>
      </c>
      <c r="X71" s="20" t="n">
        <f aca="false">IF(AG71=0,"",(AZ71-BA71)*HoursPerDay)</f>
        <v>192</v>
      </c>
      <c r="Y71" s="20" t="n">
        <f aca="false">IF(AG71=0,"",IF(NOT(LH_Ready),"",IF(BC71=0,N71,IF(PFYDate&lt;$F71,N71-N(T71)-N(U71),X71-N(U71)))))</f>
        <v>48</v>
      </c>
      <c r="Z71" s="19" t="str">
        <f aca="false">IF(OR(AG71=0,Y71=""),"",IF(Y71&gt;0,"Yes","No"))</f>
        <v>Yes</v>
      </c>
      <c r="AA71" s="19"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ACCRUE 48 hrs (6 days): all catch-up from earlier months, nothing new this month</v>
      </c>
      <c r="AB71" s="20" t="n">
        <f aca="false">IF(OR(AG71=0,T71=""),"",BA71*HoursPerDay-T71)</f>
        <v>-32</v>
      </c>
      <c r="AC71" s="19" t="n">
        <f aca="false">IF(AG71=0,"",BC71)</f>
        <v>20</v>
      </c>
      <c r="AD71" s="19"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20" t="n">
        <f aca="false">IF(AG71=0,"",O71-BH71)</f>
        <v>0</v>
      </c>
      <c r="AF71" s="17" t="str">
        <f aca="false">IF(OR(AG71=0,AE71="",N(AE71)=0,BI71=""),"",EDATE(AH71,BI71))</f>
        <v/>
      </c>
      <c r="AG71" s="19" t="n">
        <f aca="false">IF(OR(LEN($A71&amp;$B71)=0,$F71=""),0,1)</f>
        <v>1</v>
      </c>
      <c r="AH71" s="17" t="n">
        <f aca="false">IF(AG71=0,"",IF($J71&lt;&gt;"",$J71,IF(OR(CasualCounts="Yes",COUNT($G71:$I71)=0,COUNT($H71:$I71)=0),$F71,MIN($H71:$I71))))</f>
        <v>43255</v>
      </c>
      <c r="AI71" s="19" t="n">
        <f aca="false">IF(AG71=0,"",COUNT($G71:$I71))</f>
        <v>1</v>
      </c>
      <c r="AJ71" s="17" t="n">
        <f aca="false">IF(AG71=0,"",IFERROR(SMALL($G71:$I71,1),""))</f>
        <v>43255</v>
      </c>
      <c r="AK71" s="17" t="str">
        <f aca="false">IF(AG71=0,"",IFERROR(SMALL($G71:$I71,2),""))</f>
        <v/>
      </c>
      <c r="AL71" s="17" t="str">
        <f aca="false">IF(AG71=0,"",IFERROR(SMALL($G71:$I71,3),""))</f>
        <v/>
      </c>
      <c r="AM71" s="19" t="str">
        <f aca="false">IF(AG71=0,"",IF(AJ71="","",IF(AJ71=$H71,"Part-Time",IF(AJ71=$I71,"Full-Time","Casual"))))</f>
        <v>Full-Time</v>
      </c>
      <c r="AN71" s="19" t="str">
        <f aca="false">IF(AG71=0,"",IF(AK71="","",IF(AK71=$H71,"Part-Time",IF(AK71=$I71,"Full-Time","Casual"))))</f>
        <v/>
      </c>
      <c r="AO71" s="19" t="str">
        <f aca="false">IF(AG71=0,"",IF(AL71="","",IF(AL71=$H71,"Part-Time",IF(AL71=$I71,"Full-Time","Casual"))))</f>
        <v/>
      </c>
      <c r="AP71" s="19"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FT</v>
      </c>
      <c r="AQ71" s="19" t="str">
        <f aca="false">IF(AG71=0,"",IF(AI71&lt;2,"",IF(OR(ISNUMBER(SEARCH("full",AN71)),UPPER(TRIM(AN71))="FT",UPPER(TRIM(AN71))="FTE"),"FT",IF(AND(OR(ISNUMBER(SEARCH("part",AN71)),UPPER(TRIM(AN71))="PT",UPPER(TRIM(AN71))="PTE"),OR($P71="",N($P71)&gt;=PT_MinHours)),"PT","None"))))</f>
        <v/>
      </c>
      <c r="AR71" s="19" t="str">
        <f aca="false">IF(AG71=0,"",IF(AI71&lt;3,"",IF(OR(ISNUMBER(SEARCH("full",AO71)),UPPER(TRIM(AO71))="FT",UPPER(TRIM(AO71))="FTE"),"FT",IF(AND(OR(ISNUMBER(SEARCH("part",AO71)),UPPER(TRIM(AO71))="PT",UPPER(TRIM(AO71))="PTE"),OR($P71="",N($P71)&gt;=PT_MinHours)),"PT","None"))))</f>
        <v/>
      </c>
      <c r="AS71" s="19" t="str">
        <f aca="false">IF(AG71=0,"",IF(AND(AI71&gt;=3,AL71&lt;=AsOfDate),AR71,IF(AND(AI71&gt;=2,AK71&lt;=AsOfDate),AQ71,AP71)))</f>
        <v>FT</v>
      </c>
      <c r="AT71" s="19" t="n">
        <f aca="false">IF(AG71=0,"",IF(AsOfDate&lt;AH71,-1,12*(YEAR(AsOfDate)-YEAR(AH71))+MONTH(AsOfDate)-MONTH(AH71)-IF(DAY(AsOfDate)&lt;MIN(DAY(AH71),DAY(EOMONTH(AsOfDate,0))),1,0)))</f>
        <v>100</v>
      </c>
      <c r="AU71" s="19" t="n">
        <f aca="false">IF(AG71=0,"",IF(OR(AI71&lt;2,AK71&gt;AsOfDate),AT71,IF((AK71-1)&lt;AH71,-1,12*(YEAR((AK71-1))-YEAR(AH71))+MONTH((AK71-1))-MONTH(AH71)-IF(DAY((AK71-1))&lt;MIN(DAY(AH71),DAY(EOMONTH((AK71-1),0))),1,0))))</f>
        <v>100</v>
      </c>
      <c r="AV71" s="19" t="n">
        <f aca="false">IF(AG71=0,"",IF(OR(AI71&lt;3,AL71&gt;AsOfDate),AT71,IF((AL71-1)&lt;AH71,-1,12*(YEAR((AL71-1))-YEAR(AH71))+MONTH((AL71-1))-MONTH(AH71)-IF(DAY((AL71-1))&lt;MIN(DAY(AH71),DAY(EOMONTH((AL71-1),0))),1,0))))</f>
        <v>100</v>
      </c>
      <c r="AW71" s="19" t="n">
        <f aca="false">IF(AG71=0,"",IF(PFYDate&lt;AH71,-1,12*(YEAR(PFYDate)-YEAR(AH71))+MONTH(PFYDate)-MONTH(AH71)-IF(DAY(PFYDate)&lt;MIN(DAY(AH71),DAY(EOMONTH(PFYDate,0))),1,0)))</f>
        <v>12</v>
      </c>
      <c r="AX71" s="19" t="n">
        <f aca="false">IF(AG71=0,"",IF(OR(AI71&lt;2,AK71&gt;PFYDate),AW71,IF((AK71-1)&lt;AH71,-1,12*(YEAR((AK71-1))-YEAR(AH71))+MONTH((AK71-1))-MONTH(AH71)-IF(DAY((AK71-1))&lt;MIN(DAY(AH71),DAY(EOMONTH((AK71-1),0))),1,0))))</f>
        <v>12</v>
      </c>
      <c r="AY71" s="19" t="n">
        <f aca="false">IF(AG71=0,"",IF(OR(AI71&lt;3,AL71&gt;PFYDate),AW71,IF((AL71-1)&lt;AH71,-1,12*(YEAR((AL71-1))-YEAR(AH71))+MONTH((AL71-1))-MONTH(AH71)-IF(DAY((AL71-1))&lt;MIN(DAY(AH71),DAY(EOMONTH((AL71-1),0))),1,0))))</f>
        <v>12</v>
      </c>
      <c r="AZ71" s="19" t="n">
        <f aca="false">IF(AG71=0,"",IF(AP71="FT",IF(AU71&lt;FT_First,0,IF(AU71&lt;FT_Y5,1+INT((AU71-FT_First)/FT_Int1),FT_PreY5+FT_PerYear*INT((AU71-FT_Y5)/12)+FT_AnnivDays+INT(MOD(AU71-FT_Y5,12)/FT_Int2))),IF(AP71="PT",IF(AU71&lt;PT_First,0,1+INT((AU71-PT_First)/PT_Int)),0))+IF(AND(AI71&gt;=2,AK71&lt;=AsOfDate),IF(AQ71="FT",IF(AV71&lt;FT_First,0,IF(AV71&lt;FT_Y5,1+INT((AV71-FT_First)/FT_Int1),FT_PreY5+FT_PerYear*INT((AV71-FT_Y5)/12)+FT_AnnivDays+INT(MOD(AV71-FT_Y5,12)/FT_Int2))),IF(AQ71="PT",IF(AV71&lt;PT_First,0,1+INT((AV71-PT_First)/PT_Int)),0))-IF(AQ71="FT",IF(AU71&lt;FT_First,0,IF(AU71&lt;FT_Y5,1+INT((AU71-FT_First)/FT_Int1),FT_PreY5+FT_PerYear*INT((AU71-FT_Y5)/12)+FT_AnnivDays+INT(MOD(AU71-FT_Y5,12)/FT_Int2))),IF(AQ71="PT",IF(AU71&lt;PT_First,0,1+INT((AU71-PT_First)/PT_Int)),0)),0)+IF(AND(AI71&gt;=3,AL71&lt;=AsOfDate),IF(AR71="FT",IF(AT71&lt;FT_First,0,IF(AT71&lt;FT_Y5,1+INT((AT71-FT_First)/FT_Int1),FT_PreY5+FT_PerYear*INT((AT71-FT_Y5)/12)+FT_AnnivDays+INT(MOD(AT71-FT_Y5,12)/FT_Int2))),IF(AR71="PT",IF(AT71&lt;PT_First,0,1+INT((AT71-PT_First)/PT_Int)),0))-IF(AR71="FT",IF(AV71&lt;FT_First,0,IF(AV71&lt;FT_Y5,1+INT((AV71-FT_First)/FT_Int1),FT_PreY5+FT_PerYear*INT((AV71-FT_Y5)/12)+FT_AnnivDays+INT(MOD(AV71-FT_Y5,12)/FT_Int2))),IF(AR71="PT",IF(AV71&lt;PT_First,0,1+INT((AV71-PT_First)/PT_Int)),0)),0))</f>
        <v>24</v>
      </c>
      <c r="BA71" s="19" t="n">
        <f aca="false">IF(AG71=0,"",IF(AP71="FT",IF(AX71&lt;FT_First,0,IF(AX71&lt;FT_Y5,1+INT((AX71-FT_First)/FT_Int1),FT_PreY5+FT_PerYear*INT((AX71-FT_Y5)/12)+FT_AnnivDays+INT(MOD(AX71-FT_Y5,12)/FT_Int2))),IF(AP71="PT",IF(AX71&lt;PT_First,0,1+INT((AX71-PT_First)/PT_Int)),0))+IF(AND(AI71&gt;=2,AK71&lt;=PFYDate),IF(AQ71="FT",IF(AY71&lt;FT_First,0,IF(AY71&lt;FT_Y5,1+INT((AY71-FT_First)/FT_Int1),FT_PreY5+FT_PerYear*INT((AY71-FT_Y5)/12)+FT_AnnivDays+INT(MOD(AY71-FT_Y5,12)/FT_Int2))),IF(AQ71="PT",IF(AY71&lt;PT_First,0,1+INT((AY71-PT_First)/PT_Int)),0))-IF(AQ71="FT",IF(AX71&lt;FT_First,0,IF(AX71&lt;FT_Y5,1+INT((AX71-FT_First)/FT_Int1),FT_PreY5+FT_PerYear*INT((AX71-FT_Y5)/12)+FT_AnnivDays+INT(MOD(AX71-FT_Y5,12)/FT_Int2))),IF(AQ71="PT",IF(AX71&lt;PT_First,0,1+INT((AX71-PT_First)/PT_Int)),0)),0)+IF(AND(AI71&gt;=3,AL71&lt;=PFYDate),IF(AR71="FT",IF(AW71&lt;FT_First,0,IF(AW71&lt;FT_Y5,1+INT((AW71-FT_First)/FT_Int1),FT_PreY5+FT_PerYear*INT((AW71-FT_Y5)/12)+FT_AnnivDays+INT(MOD(AW71-FT_Y5,12)/FT_Int2))),IF(AR71="PT",IF(AW71&lt;PT_First,0,1+INT((AW71-PT_First)/PT_Int)),0))-IF(AR71="FT",IF(AY71&lt;FT_First,0,IF(AY71&lt;FT_Y5,1+INT((AY71-FT_First)/FT_Int1),FT_PreY5+FT_PerYear*INT((AY71-FT_Y5)/12)+FT_AnnivDays+INT(MOD(AY71-FT_Y5,12)/FT_Int2))),IF(AR71="PT",IF(AY71&lt;PT_First,0,1+INT((AY71-PT_First)/PT_Int)),0)),0))</f>
        <v>0</v>
      </c>
      <c r="BB71" s="19" t="n">
        <f aca="false">IF(AG71=0,"",IF(AS71="FT",IF(AT71&lt;FT_First,FT_First,IF(AT71&lt;FT_Y5,MIN(FT_Y5,FT_First+FT_Int1*(INT((AT71-FT_First)/FT_Int1)+1)),FT_Y5+12*INT((AT71-FT_Y5)/12)+FT_Int2*(INT(MOD(AT71-FT_Y5,12)/FT_Int2)+1))),IF(AS71="PT",IF(AT71&lt;PT_First,PT_First,PT_First+PT_Int*(INT((AT71-PT_First)/PT_Int)+1)),"")))</f>
        <v>102</v>
      </c>
      <c r="BC71" s="19" t="n">
        <f aca="false">IF(AG71=0,"",IF(NOT(LH_Ready),0,COUNTIFS(INDEX(LH_Data,0,LH_ColFirst),$A71,INDEX(LH_Data,0,LH_ColSur),$B71,INDEX(LH_Data,0,LH_ColCat),BonusCat)))</f>
        <v>20</v>
      </c>
      <c r="BD71" s="19" t="n">
        <f aca="false">IF(AG71=0,"",IF(OR(NOT(LH_Ready),BC71=0),0,SUMPRODUCT(MAX((INDEX(LH_Data,0,LH_ColFirst)=$A71)*(INDEX(LH_Data,0,LH_ColSur)=$B71)*(INDEX(LH_Data,0,LH_ColCat)=BonusCat)*ROW(LH_Data)))))</f>
        <v>292</v>
      </c>
      <c r="BE71" s="19" t="n">
        <f aca="false">IF(AG71=0,"",IF(EOMONTH(AsOfDate,-1)&lt;AH71,-1,12*(YEAR(EOMONTH(AsOfDate,-1))-YEAR(AH71))+MONTH(EOMONTH(AsOfDate,-1))-MONTH(AH71)-IF(DAY(EOMONTH(AsOfDate,-1))&lt;MIN(DAY(AH71),DAY(EOMONTH(EOMONTH(AsOfDate,-1),0))),1,0)))</f>
        <v>99</v>
      </c>
      <c r="BF71" s="19" t="n">
        <f aca="false">IF(AG71=0,"",IF(OR(AI71&lt;2,AK71&gt;EOMONTH(AsOfDate,-1)),BE71,IF((AK71-1)&lt;AH71,-1,12*(YEAR((AK71-1))-YEAR(AH71))+MONTH((AK71-1))-MONTH(AH71)-IF(DAY((AK71-1))&lt;MIN(DAY(AH71),DAY(EOMONTH((AK71-1),0))),1,0))))</f>
        <v>99</v>
      </c>
      <c r="BG71" s="19" t="n">
        <f aca="false">IF(AG71=0,"",IF(OR(AI71&lt;3,AL71&gt;EOMONTH(AsOfDate,-1)),BE71,IF((AL71-1)&lt;AH71,-1,12*(YEAR((AL71-1))-YEAR(AH71))+MONTH((AL71-1))-MONTH(AH71)-IF(DAY((AL71-1))&lt;MIN(DAY(AH71),DAY(EOMONTH((AL71-1),0))),1,0))))</f>
        <v>99</v>
      </c>
      <c r="BH71" s="19" t="n">
        <f aca="false">IF(AG71=0,"",IF(AP71="FT",IF(BF71&lt;FT_First,0,IF(BF71&lt;FT_Y5,1+INT((BF71-FT_First)/FT_Int1),FT_PreY5+FT_PerYear*INT((BF71-FT_Y5)/12)+FT_AnnivDays+INT(MOD(BF71-FT_Y5,12)/FT_Int2))),IF(AP71="PT",IF(BF71&lt;PT_First,0,1+INT((BF71-PT_First)/PT_Int)),0))+IF(AND(AI71&gt;=2,AK71&lt;=EOMONTH(AsOfDate,-1)),IF(AQ71="FT",IF(BG71&lt;FT_First,0,IF(BG71&lt;FT_Y5,1+INT((BG71-FT_First)/FT_Int1),FT_PreY5+FT_PerYear*INT((BG71-FT_Y5)/12)+FT_AnnivDays+INT(MOD(BG71-FT_Y5,12)/FT_Int2))),IF(AQ71="PT",IF(BG71&lt;PT_First,0,1+INT((BG71-PT_First)/PT_Int)),0))-IF(AQ71="FT",IF(BF71&lt;FT_First,0,IF(BF71&lt;FT_Y5,1+INT((BF71-FT_First)/FT_Int1),FT_PreY5+FT_PerYear*INT((BF71-FT_Y5)/12)+FT_AnnivDays+INT(MOD(BF71-FT_Y5,12)/FT_Int2))),IF(AQ71="PT",IF(BF71&lt;PT_First,0,1+INT((BF71-PT_First)/PT_Int)),0)),0)+IF(AND(AI71&gt;=3,AL71&lt;=EOMONTH(AsOfDate,-1)),IF(AR71="FT",IF(BE71&lt;FT_First,0,IF(BE71&lt;FT_Y5,1+INT((BE71-FT_First)/FT_Int1),FT_PreY5+FT_PerYear*INT((BE71-FT_Y5)/12)+FT_AnnivDays+INT(MOD(BE71-FT_Y5,12)/FT_Int2))),IF(AR71="PT",IF(BE71&lt;PT_First,0,1+INT((BE71-PT_First)/PT_Int)),0))-IF(AR71="FT",IF(BG71&lt;FT_First,0,IF(BG71&lt;FT_Y5,1+INT((BG71-FT_First)/FT_Int1),FT_PreY5+FT_PerYear*INT((BG71-FT_Y5)/12)+FT_AnnivDays+INT(MOD(BG71-FT_Y5,12)/FT_Int2))),IF(AR71="PT",IF(BG71&lt;PT_First,0,1+INT((BG71-PT_First)/PT_Int)),0)),0))</f>
        <v>24</v>
      </c>
      <c r="BI71" s="19" t="n">
        <f aca="false">IF(AG71=0,"",IF(AS71="FT",IF(AT71&lt;FT_First,"",IF(AT71&lt;FT_Y5,FT_First+FT_Int1*INT((AT71-FT_First)/FT_Int1),FT_Y5+FT_Int2*INT((AT71-FT_Y5)/FT_Int2))),IF(AS71="PT",IF(AT71&lt;PT_First,"",PT_First+PT_Int*INT((AT71-PT_First)/PT_Int)),"")))</f>
        <v>99</v>
      </c>
      <c r="BJ71" s="0" t="str">
        <f aca="false">IF(LEN($A71&amp;$B71)=0,"",$A71&amp;" "&amp;$B71)</f>
        <v>Wade TONNA</v>
      </c>
    </row>
    <row r="72" customFormat="false" ht="15" hidden="false" customHeight="false" outlineLevel="0" collapsed="false">
      <c r="A72" s="15" t="s">
        <v>272</v>
      </c>
      <c r="B72" s="15" t="s">
        <v>273</v>
      </c>
      <c r="C72" s="15" t="s">
        <v>138</v>
      </c>
      <c r="D72" s="16" t="n">
        <v>38237</v>
      </c>
      <c r="E72" s="17" t="n">
        <f aca="false">IF(OR(AG72=0,$D72=""),"",DATE(YEAR(AsOfDate)+IF(DATE(YEAR(AsOfDate),MONTH($D72),DAY($D72))&lt;=AsOfDate,1,0),MONTH($D72),DAY($D72)))</f>
        <v>46637</v>
      </c>
      <c r="F72" s="16" t="n">
        <v>45859</v>
      </c>
      <c r="G72" s="16"/>
      <c r="H72" s="16"/>
      <c r="I72" s="16"/>
      <c r="J72" s="16"/>
      <c r="K72" s="17" t="n">
        <f aca="false">IF(AG72=0,"",DATE(YEAR(AsOfDate)+IF(DATE(YEAR(AsOfDate),MONTH(AH72),DAY(AH72))&lt;=AsOfDate,1,0),MONTH(AH72),DAY(AH72)))</f>
        <v>46589</v>
      </c>
      <c r="L72" s="18" t="n">
        <f aca="false">IF(AG72=0,"",ROUND((AsOfDate-AH72)/365.25,1))</f>
        <v>1.2</v>
      </c>
      <c r="M72" s="19" t="str">
        <f aca="false">IF(AG72=0,"",IF(AsOfDate&lt;AH72,"-",DATEDIF(AH72,AsOfDate,"y")&amp;"y "&amp;DATEDIF(AH72,AsOfDate,"ym")&amp;"m "&amp;DATEDIF(AH72,AsOfDate,"md")&amp;"d"))</f>
        <v>1y 2m 15d</v>
      </c>
      <c r="N72" s="20" t="n">
        <f aca="false">IF(AG72=0,"",O72*HoursPerDay)</f>
        <v>0</v>
      </c>
      <c r="O72" s="20" t="n">
        <f aca="false">IF(AG72=0,"",AZ72)</f>
        <v>0</v>
      </c>
      <c r="P72" s="21"/>
      <c r="Q72" s="19"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19"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17" t="str">
        <f aca="false">IF(AG72=0,"",IF(AS72="None","",EDATE(AH72,BB72)))</f>
        <v/>
      </c>
      <c r="T72" s="20" t="n">
        <f aca="false">IF(AG72=0,"",IF(NOT(LH_Ready),"",IF(AH72&gt;PFYDate,0,IF(LH_ColPeriod=0,W72-U72+V72,SUMIFS(INDEX(LH_Data,0,LH_ColAcc),INDEX(LH_Data,0,LH_ColFirst),$A72,INDEX(LH_Data,0,LH_ColSur),$B72,INDEX(LH_Data,0,LH_ColCat),BonusCat,INDEX(LH_Data,0,LH_ColPeriod),LH_OpenLabel)*UnitFactor))))</f>
        <v>0</v>
      </c>
      <c r="U72" s="20" t="n">
        <f aca="false">IF(AG72=0,"",IF(NOT(LH_Ready),"",SUMIFS(INDEX(LH_Data,0,LH_ColAcc),INDEX(LH_Data,0,LH_ColFirst),$A72,INDEX(LH_Data,0,LH_ColSur),$B72,INDEX(LH_Data,0,LH_ColCat),BonusCat,INDEX(LH_Data,0,LH_ColStart),"&gt;="&amp;AH72)*UnitFactor))</f>
        <v>0</v>
      </c>
      <c r="V72" s="20" t="n">
        <f aca="false">IF(AG72=0,"",IF(NOT(LH_Ready),"",SUMIFS(INDEX(LH_Data,0,LH_ColTaken),INDEX(LH_Data,0,LH_ColFirst),$A72,INDEX(LH_Data,0,LH_ColSur),$B72,INDEX(LH_Data,0,LH_ColCat),BonusCat,INDEX(LH_Data,0,LH_ColStart),"&gt;="&amp;AH72)*UnitFactor))</f>
        <v>0</v>
      </c>
      <c r="W72" s="20" t="n">
        <f aca="false">IF(AG72=0,"",IF(NOT(LH_Ready),"",IF(BD72=0,0,INDEX(INDEX(LH_Data,0,LH_ColClose),BD72-1)*UnitFactor)))</f>
        <v>0</v>
      </c>
      <c r="X72" s="20" t="n">
        <f aca="false">IF(AG72=0,"",(AZ72-BA72)*HoursPerDay)</f>
        <v>0</v>
      </c>
      <c r="Y72" s="20" t="n">
        <f aca="false">IF(AG72=0,"",IF(NOT(LH_Ready),"",IF(BC72=0,N72,IF(PFYDate&lt;$F72,N72-N(T72)-N(U72),X72-N(U72)))))</f>
        <v>0</v>
      </c>
      <c r="Z72" s="19" t="str">
        <f aca="false">IF(OR(AG72=0,Y72=""),"",IF(Y72&gt;0,"Yes","No"))</f>
        <v>No</v>
      </c>
      <c r="AA72" s="19"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Not eligible - Casual</v>
      </c>
      <c r="AB72" s="20" t="n">
        <f aca="false">IF(OR(AG72=0,T72=""),"",BA72*HoursPerDay-T72)</f>
        <v>0</v>
      </c>
      <c r="AC72" s="19" t="n">
        <f aca="false">IF(AG72=0,"",BC72)</f>
        <v>0</v>
      </c>
      <c r="AD72" s="19"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20" t="n">
        <f aca="false">IF(AG72=0,"",O72-BH72)</f>
        <v>0</v>
      </c>
      <c r="AF72" s="17" t="str">
        <f aca="false">IF(OR(AG72=0,AE72="",N(AE72)=0,BI72=""),"",EDATE(AH72,BI72))</f>
        <v/>
      </c>
      <c r="AG72" s="19" t="n">
        <f aca="false">IF(OR(LEN($A72&amp;$B72)=0,$F72=""),0,1)</f>
        <v>1</v>
      </c>
      <c r="AH72" s="17" t="n">
        <f aca="false">IF(AG72=0,"",IF($J72&lt;&gt;"",$J72,IF(OR(CasualCounts="Yes",COUNT($G72:$I72)=0,COUNT($H72:$I72)=0),$F72,MIN($H72:$I72))))</f>
        <v>45859</v>
      </c>
      <c r="AI72" s="19" t="n">
        <f aca="false">IF(AG72=0,"",COUNT($G72:$I72))</f>
        <v>0</v>
      </c>
      <c r="AJ72" s="17" t="str">
        <f aca="false">IF(AG72=0,"",IFERROR(SMALL($G72:$I72,1),""))</f>
        <v/>
      </c>
      <c r="AK72" s="17" t="str">
        <f aca="false">IF(AG72=0,"",IFERROR(SMALL($G72:$I72,2),""))</f>
        <v/>
      </c>
      <c r="AL72" s="17" t="str">
        <f aca="false">IF(AG72=0,"",IFERROR(SMALL($G72:$I72,3),""))</f>
        <v/>
      </c>
      <c r="AM72" s="19" t="str">
        <f aca="false">IF(AG72=0,"",IF(AJ72="","",IF(AJ72=$H72,"Part-Time",IF(AJ72=$I72,"Full-Time","Casual"))))</f>
        <v/>
      </c>
      <c r="AN72" s="19" t="str">
        <f aca="false">IF(AG72=0,"",IF(AK72="","",IF(AK72=$H72,"Part-Time",IF(AK72=$I72,"Full-Time","Casual"))))</f>
        <v/>
      </c>
      <c r="AO72" s="19" t="str">
        <f aca="false">IF(AG72=0,"",IF(AL72="","",IF(AL72=$H72,"Part-Time",IF(AL72=$I72,"Full-Time","Casual"))))</f>
        <v/>
      </c>
      <c r="AP72" s="19"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None</v>
      </c>
      <c r="AQ72" s="19" t="str">
        <f aca="false">IF(AG72=0,"",IF(AI72&lt;2,"",IF(OR(ISNUMBER(SEARCH("full",AN72)),UPPER(TRIM(AN72))="FT",UPPER(TRIM(AN72))="FTE"),"FT",IF(AND(OR(ISNUMBER(SEARCH("part",AN72)),UPPER(TRIM(AN72))="PT",UPPER(TRIM(AN72))="PTE"),OR($P72="",N($P72)&gt;=PT_MinHours)),"PT","None"))))</f>
        <v/>
      </c>
      <c r="AR72" s="19" t="str">
        <f aca="false">IF(AG72=0,"",IF(AI72&lt;3,"",IF(OR(ISNUMBER(SEARCH("full",AO72)),UPPER(TRIM(AO72))="FT",UPPER(TRIM(AO72))="FTE"),"FT",IF(AND(OR(ISNUMBER(SEARCH("part",AO72)),UPPER(TRIM(AO72))="PT",UPPER(TRIM(AO72))="PTE"),OR($P72="",N($P72)&gt;=PT_MinHours)),"PT","None"))))</f>
        <v/>
      </c>
      <c r="AS72" s="19" t="str">
        <f aca="false">IF(AG72=0,"",IF(AND(AI72&gt;=3,AL72&lt;=AsOfDate),AR72,IF(AND(AI72&gt;=2,AK72&lt;=AsOfDate),AQ72,AP72)))</f>
        <v>None</v>
      </c>
      <c r="AT72" s="19" t="n">
        <f aca="false">IF(AG72=0,"",IF(AsOfDate&lt;AH72,-1,12*(YEAR(AsOfDate)-YEAR(AH72))+MONTH(AsOfDate)-MONTH(AH72)-IF(DAY(AsOfDate)&lt;MIN(DAY(AH72),DAY(EOMONTH(AsOfDate,0))),1,0)))</f>
        <v>14</v>
      </c>
      <c r="AU72" s="19" t="n">
        <f aca="false">IF(AG72=0,"",IF(OR(AI72&lt;2,AK72&gt;AsOfDate),AT72,IF((AK72-1)&lt;AH72,-1,12*(YEAR((AK72-1))-YEAR(AH72))+MONTH((AK72-1))-MONTH(AH72)-IF(DAY((AK72-1))&lt;MIN(DAY(AH72),DAY(EOMONTH((AK72-1),0))),1,0))))</f>
        <v>14</v>
      </c>
      <c r="AV72" s="19" t="n">
        <f aca="false">IF(AG72=0,"",IF(OR(AI72&lt;3,AL72&gt;AsOfDate),AT72,IF((AL72-1)&lt;AH72,-1,12*(YEAR((AL72-1))-YEAR(AH72))+MONTH((AL72-1))-MONTH(AH72)-IF(DAY((AL72-1))&lt;MIN(DAY(AH72),DAY(EOMONTH((AL72-1),0))),1,0))))</f>
        <v>14</v>
      </c>
      <c r="AW72" s="19" t="n">
        <f aca="false">IF(AG72=0,"",IF(PFYDate&lt;AH72,-1,12*(YEAR(PFYDate)-YEAR(AH72))+MONTH(PFYDate)-MONTH(AH72)-IF(DAY(PFYDate)&lt;MIN(DAY(AH72),DAY(EOMONTH(PFYDate,0))),1,0)))</f>
        <v>-1</v>
      </c>
      <c r="AX72" s="19" t="n">
        <f aca="false">IF(AG72=0,"",IF(OR(AI72&lt;2,AK72&gt;PFYDate),AW72,IF((AK72-1)&lt;AH72,-1,12*(YEAR((AK72-1))-YEAR(AH72))+MONTH((AK72-1))-MONTH(AH72)-IF(DAY((AK72-1))&lt;MIN(DAY(AH72),DAY(EOMONTH((AK72-1),0))),1,0))))</f>
        <v>-1</v>
      </c>
      <c r="AY72" s="19" t="n">
        <f aca="false">IF(AG72=0,"",IF(OR(AI72&lt;3,AL72&gt;PFYDate),AW72,IF((AL72-1)&lt;AH72,-1,12*(YEAR((AL72-1))-YEAR(AH72))+MONTH((AL72-1))-MONTH(AH72)-IF(DAY((AL72-1))&lt;MIN(DAY(AH72),DAY(EOMONTH((AL72-1),0))),1,0))))</f>
        <v>-1</v>
      </c>
      <c r="AZ72" s="19" t="n">
        <f aca="false">IF(AG72=0,"",IF(AP72="FT",IF(AU72&lt;FT_First,0,IF(AU72&lt;FT_Y5,1+INT((AU72-FT_First)/FT_Int1),FT_PreY5+FT_PerYear*INT((AU72-FT_Y5)/12)+FT_AnnivDays+INT(MOD(AU72-FT_Y5,12)/FT_Int2))),IF(AP72="PT",IF(AU72&lt;PT_First,0,1+INT((AU72-PT_First)/PT_Int)),0))+IF(AND(AI72&gt;=2,AK72&lt;=AsOfDate),IF(AQ72="FT",IF(AV72&lt;FT_First,0,IF(AV72&lt;FT_Y5,1+INT((AV72-FT_First)/FT_Int1),FT_PreY5+FT_PerYear*INT((AV72-FT_Y5)/12)+FT_AnnivDays+INT(MOD(AV72-FT_Y5,12)/FT_Int2))),IF(AQ72="PT",IF(AV72&lt;PT_First,0,1+INT((AV72-PT_First)/PT_Int)),0))-IF(AQ72="FT",IF(AU72&lt;FT_First,0,IF(AU72&lt;FT_Y5,1+INT((AU72-FT_First)/FT_Int1),FT_PreY5+FT_PerYear*INT((AU72-FT_Y5)/12)+FT_AnnivDays+INT(MOD(AU72-FT_Y5,12)/FT_Int2))),IF(AQ72="PT",IF(AU72&lt;PT_First,0,1+INT((AU72-PT_First)/PT_Int)),0)),0)+IF(AND(AI72&gt;=3,AL72&lt;=AsOfDate),IF(AR72="FT",IF(AT72&lt;FT_First,0,IF(AT72&lt;FT_Y5,1+INT((AT72-FT_First)/FT_Int1),FT_PreY5+FT_PerYear*INT((AT72-FT_Y5)/12)+FT_AnnivDays+INT(MOD(AT72-FT_Y5,12)/FT_Int2))),IF(AR72="PT",IF(AT72&lt;PT_First,0,1+INT((AT72-PT_First)/PT_Int)),0))-IF(AR72="FT",IF(AV72&lt;FT_First,0,IF(AV72&lt;FT_Y5,1+INT((AV72-FT_First)/FT_Int1),FT_PreY5+FT_PerYear*INT((AV72-FT_Y5)/12)+FT_AnnivDays+INT(MOD(AV72-FT_Y5,12)/FT_Int2))),IF(AR72="PT",IF(AV72&lt;PT_First,0,1+INT((AV72-PT_First)/PT_Int)),0)),0))</f>
        <v>0</v>
      </c>
      <c r="BA72" s="19" t="n">
        <f aca="false">IF(AG72=0,"",IF(AP72="FT",IF(AX72&lt;FT_First,0,IF(AX72&lt;FT_Y5,1+INT((AX72-FT_First)/FT_Int1),FT_PreY5+FT_PerYear*INT((AX72-FT_Y5)/12)+FT_AnnivDays+INT(MOD(AX72-FT_Y5,12)/FT_Int2))),IF(AP72="PT",IF(AX72&lt;PT_First,0,1+INT((AX72-PT_First)/PT_Int)),0))+IF(AND(AI72&gt;=2,AK72&lt;=PFYDate),IF(AQ72="FT",IF(AY72&lt;FT_First,0,IF(AY72&lt;FT_Y5,1+INT((AY72-FT_First)/FT_Int1),FT_PreY5+FT_PerYear*INT((AY72-FT_Y5)/12)+FT_AnnivDays+INT(MOD(AY72-FT_Y5,12)/FT_Int2))),IF(AQ72="PT",IF(AY72&lt;PT_First,0,1+INT((AY72-PT_First)/PT_Int)),0))-IF(AQ72="FT",IF(AX72&lt;FT_First,0,IF(AX72&lt;FT_Y5,1+INT((AX72-FT_First)/FT_Int1),FT_PreY5+FT_PerYear*INT((AX72-FT_Y5)/12)+FT_AnnivDays+INT(MOD(AX72-FT_Y5,12)/FT_Int2))),IF(AQ72="PT",IF(AX72&lt;PT_First,0,1+INT((AX72-PT_First)/PT_Int)),0)),0)+IF(AND(AI72&gt;=3,AL72&lt;=PFYDate),IF(AR72="FT",IF(AW72&lt;FT_First,0,IF(AW72&lt;FT_Y5,1+INT((AW72-FT_First)/FT_Int1),FT_PreY5+FT_PerYear*INT((AW72-FT_Y5)/12)+FT_AnnivDays+INT(MOD(AW72-FT_Y5,12)/FT_Int2))),IF(AR72="PT",IF(AW72&lt;PT_First,0,1+INT((AW72-PT_First)/PT_Int)),0))-IF(AR72="FT",IF(AY72&lt;FT_First,0,IF(AY72&lt;FT_Y5,1+INT((AY72-FT_First)/FT_Int1),FT_PreY5+FT_PerYear*INT((AY72-FT_Y5)/12)+FT_AnnivDays+INT(MOD(AY72-FT_Y5,12)/FT_Int2))),IF(AR72="PT",IF(AY72&lt;PT_First,0,1+INT((AY72-PT_First)/PT_Int)),0)),0))</f>
        <v>0</v>
      </c>
      <c r="BB72" s="19" t="str">
        <f aca="false">IF(AG72=0,"",IF(AS72="FT",IF(AT72&lt;FT_First,FT_First,IF(AT72&lt;FT_Y5,MIN(FT_Y5,FT_First+FT_Int1*(INT((AT72-FT_First)/FT_Int1)+1)),FT_Y5+12*INT((AT72-FT_Y5)/12)+FT_Int2*(INT(MOD(AT72-FT_Y5,12)/FT_Int2)+1))),IF(AS72="PT",IF(AT72&lt;PT_First,PT_First,PT_First+PT_Int*(INT((AT72-PT_First)/PT_Int)+1)),"")))</f>
        <v/>
      </c>
      <c r="BC72" s="19" t="n">
        <f aca="false">IF(AG72=0,"",IF(NOT(LH_Ready),0,COUNTIFS(INDEX(LH_Data,0,LH_ColFirst),$A72,INDEX(LH_Data,0,LH_ColSur),$B72,INDEX(LH_Data,0,LH_ColCat),BonusCat)))</f>
        <v>0</v>
      </c>
      <c r="BD72" s="19" t="n">
        <f aca="false">IF(AG72=0,"",IF(OR(NOT(LH_Ready),BC72=0),0,SUMPRODUCT(MAX((INDEX(LH_Data,0,LH_ColFirst)=$A72)*(INDEX(LH_Data,0,LH_ColSur)=$B72)*(INDEX(LH_Data,0,LH_ColCat)=BonusCat)*ROW(LH_Data)))))</f>
        <v>0</v>
      </c>
      <c r="BE72" s="19" t="n">
        <f aca="false">IF(AG72=0,"",IF(EOMONTH(AsOfDate,-1)&lt;AH72,-1,12*(YEAR(EOMONTH(AsOfDate,-1))-YEAR(AH72))+MONTH(EOMONTH(AsOfDate,-1))-MONTH(AH72)-IF(DAY(EOMONTH(AsOfDate,-1))&lt;MIN(DAY(AH72),DAY(EOMONTH(EOMONTH(AsOfDate,-1),0))),1,0)))</f>
        <v>14</v>
      </c>
      <c r="BF72" s="19" t="n">
        <f aca="false">IF(AG72=0,"",IF(OR(AI72&lt;2,AK72&gt;EOMONTH(AsOfDate,-1)),BE72,IF((AK72-1)&lt;AH72,-1,12*(YEAR((AK72-1))-YEAR(AH72))+MONTH((AK72-1))-MONTH(AH72)-IF(DAY((AK72-1))&lt;MIN(DAY(AH72),DAY(EOMONTH((AK72-1),0))),1,0))))</f>
        <v>14</v>
      </c>
      <c r="BG72" s="19" t="n">
        <f aca="false">IF(AG72=0,"",IF(OR(AI72&lt;3,AL72&gt;EOMONTH(AsOfDate,-1)),BE72,IF((AL72-1)&lt;AH72,-1,12*(YEAR((AL72-1))-YEAR(AH72))+MONTH((AL72-1))-MONTH(AH72)-IF(DAY((AL72-1))&lt;MIN(DAY(AH72),DAY(EOMONTH((AL72-1),0))),1,0))))</f>
        <v>14</v>
      </c>
      <c r="BH72" s="19" t="n">
        <f aca="false">IF(AG72=0,"",IF(AP72="FT",IF(BF72&lt;FT_First,0,IF(BF72&lt;FT_Y5,1+INT((BF72-FT_First)/FT_Int1),FT_PreY5+FT_PerYear*INT((BF72-FT_Y5)/12)+FT_AnnivDays+INT(MOD(BF72-FT_Y5,12)/FT_Int2))),IF(AP72="PT",IF(BF72&lt;PT_First,0,1+INT((BF72-PT_First)/PT_Int)),0))+IF(AND(AI72&gt;=2,AK72&lt;=EOMONTH(AsOfDate,-1)),IF(AQ72="FT",IF(BG72&lt;FT_First,0,IF(BG72&lt;FT_Y5,1+INT((BG72-FT_First)/FT_Int1),FT_PreY5+FT_PerYear*INT((BG72-FT_Y5)/12)+FT_AnnivDays+INT(MOD(BG72-FT_Y5,12)/FT_Int2))),IF(AQ72="PT",IF(BG72&lt;PT_First,0,1+INT((BG72-PT_First)/PT_Int)),0))-IF(AQ72="FT",IF(BF72&lt;FT_First,0,IF(BF72&lt;FT_Y5,1+INT((BF72-FT_First)/FT_Int1),FT_PreY5+FT_PerYear*INT((BF72-FT_Y5)/12)+FT_AnnivDays+INT(MOD(BF72-FT_Y5,12)/FT_Int2))),IF(AQ72="PT",IF(BF72&lt;PT_First,0,1+INT((BF72-PT_First)/PT_Int)),0)),0)+IF(AND(AI72&gt;=3,AL72&lt;=EOMONTH(AsOfDate,-1)),IF(AR72="FT",IF(BE72&lt;FT_First,0,IF(BE72&lt;FT_Y5,1+INT((BE72-FT_First)/FT_Int1),FT_PreY5+FT_PerYear*INT((BE72-FT_Y5)/12)+FT_AnnivDays+INT(MOD(BE72-FT_Y5,12)/FT_Int2))),IF(AR72="PT",IF(BE72&lt;PT_First,0,1+INT((BE72-PT_First)/PT_Int)),0))-IF(AR72="FT",IF(BG72&lt;FT_First,0,IF(BG72&lt;FT_Y5,1+INT((BG72-FT_First)/FT_Int1),FT_PreY5+FT_PerYear*INT((BG72-FT_Y5)/12)+FT_AnnivDays+INT(MOD(BG72-FT_Y5,12)/FT_Int2))),IF(AR72="PT",IF(BG72&lt;PT_First,0,1+INT((BG72-PT_First)/PT_Int)),0)),0))</f>
        <v>0</v>
      </c>
      <c r="BI72" s="19" t="str">
        <f aca="false">IF(AG72=0,"",IF(AS72="FT",IF(AT72&lt;FT_First,"",IF(AT72&lt;FT_Y5,FT_First+FT_Int1*INT((AT72-FT_First)/FT_Int1),FT_Y5+FT_Int2*INT((AT72-FT_Y5)/FT_Int2))),IF(AS72="PT",IF(AT72&lt;PT_First,"",PT_First+PT_Int*INT((AT72-PT_First)/PT_Int)),"")))</f>
        <v/>
      </c>
      <c r="BJ72" s="0" t="str">
        <f aca="false">IF(LEN($A72&amp;$B72)=0,"",$A72&amp;" "&amp;$B72)</f>
        <v>Zach Lecher</v>
      </c>
    </row>
    <row r="73" customFormat="false" ht="15" hidden="false" customHeight="false" outlineLevel="0" collapsed="false">
      <c r="A73" s="15" t="s">
        <v>274</v>
      </c>
      <c r="B73" s="15" t="s">
        <v>275</v>
      </c>
      <c r="C73" s="15" t="s">
        <v>138</v>
      </c>
      <c r="D73" s="16" t="n">
        <v>33571</v>
      </c>
      <c r="E73" s="17" t="n">
        <f aca="false">IF(OR(AG73=0,$D73=""),"",DATE(YEAR(AsOfDate)+IF(DATE(YEAR(AsOfDate),MONTH($D73),DAY($D73))&lt;=AsOfDate,1,0),MONTH($D73),DAY($D73)))</f>
        <v>46355</v>
      </c>
      <c r="F73" s="16" t="n">
        <v>46195</v>
      </c>
      <c r="G73" s="16"/>
      <c r="H73" s="16"/>
      <c r="I73" s="16"/>
      <c r="J73" s="16"/>
      <c r="K73" s="17" t="n">
        <f aca="false">IF(AG73=0,"",DATE(YEAR(AsOfDate)+IF(DATE(YEAR(AsOfDate),MONTH(AH73),DAY(AH73))&lt;=AsOfDate,1,0),MONTH(AH73),DAY(AH73)))</f>
        <v>46560</v>
      </c>
      <c r="L73" s="18" t="n">
        <f aca="false">IF(AG73=0,"",ROUND((AsOfDate-AH73)/365.25,1))</f>
        <v>0.3</v>
      </c>
      <c r="M73" s="19" t="str">
        <f aca="false">IF(AG73=0,"",IF(AsOfDate&lt;AH73,"-",DATEDIF(AH73,AsOfDate,"y")&amp;"y "&amp;DATEDIF(AH73,AsOfDate,"ym")&amp;"m "&amp;DATEDIF(AH73,AsOfDate,"md")&amp;"d"))</f>
        <v>0y 3m 14d</v>
      </c>
      <c r="N73" s="20" t="n">
        <f aca="false">IF(AG73=0,"",O73*HoursPerDay)</f>
        <v>0</v>
      </c>
      <c r="O73" s="20" t="n">
        <f aca="false">IF(AG73=0,"",AZ73)</f>
        <v>0</v>
      </c>
      <c r="P73" s="21"/>
      <c r="Q73" s="19"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19"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17" t="str">
        <f aca="false">IF(AG73=0,"",IF(AS73="None","",EDATE(AH73,BB73)))</f>
        <v/>
      </c>
      <c r="T73" s="20" t="n">
        <f aca="false">IF(AG73=0,"",IF(NOT(LH_Ready),"",IF(AH73&gt;PFYDate,0,IF(LH_ColPeriod=0,W73-U73+V73,SUMIFS(INDEX(LH_Data,0,LH_ColAcc),INDEX(LH_Data,0,LH_ColFirst),$A73,INDEX(LH_Data,0,LH_ColSur),$B73,INDEX(LH_Data,0,LH_ColCat),BonusCat,INDEX(LH_Data,0,LH_ColPeriod),LH_OpenLabel)*UnitFactor))))</f>
        <v>0</v>
      </c>
      <c r="U73" s="20" t="n">
        <f aca="false">IF(AG73=0,"",IF(NOT(LH_Ready),"",SUMIFS(INDEX(LH_Data,0,LH_ColAcc),INDEX(LH_Data,0,LH_ColFirst),$A73,INDEX(LH_Data,0,LH_ColSur),$B73,INDEX(LH_Data,0,LH_ColCat),BonusCat,INDEX(LH_Data,0,LH_ColStart),"&gt;="&amp;AH73)*UnitFactor))</f>
        <v>0</v>
      </c>
      <c r="V73" s="20" t="n">
        <f aca="false">IF(AG73=0,"",IF(NOT(LH_Ready),"",SUMIFS(INDEX(LH_Data,0,LH_ColTaken),INDEX(LH_Data,0,LH_ColFirst),$A73,INDEX(LH_Data,0,LH_ColSur),$B73,INDEX(LH_Data,0,LH_ColCat),BonusCat,INDEX(LH_Data,0,LH_ColStart),"&gt;="&amp;AH73)*UnitFactor))</f>
        <v>0</v>
      </c>
      <c r="W73" s="20" t="n">
        <f aca="false">IF(AG73=0,"",IF(NOT(LH_Ready),"",IF(BD73=0,0,INDEX(INDEX(LH_Data,0,LH_ColClose),BD73-1)*UnitFactor)))</f>
        <v>0</v>
      </c>
      <c r="X73" s="20" t="n">
        <f aca="false">IF(AG73=0,"",(AZ73-BA73)*HoursPerDay)</f>
        <v>0</v>
      </c>
      <c r="Y73" s="20" t="n">
        <f aca="false">IF(AG73=0,"",IF(NOT(LH_Ready),"",IF(BC73=0,N73,IF(PFYDate&lt;$F73,N73-N(T73)-N(U73),X73-N(U73)))))</f>
        <v>0</v>
      </c>
      <c r="Z73" s="19" t="str">
        <f aca="false">IF(OR(AG73=0,Y73=""),"",IF(Y73&gt;0,"Yes","No"))</f>
        <v>No</v>
      </c>
      <c r="AA73" s="19"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Not eligible - Casual</v>
      </c>
      <c r="AB73" s="20" t="n">
        <f aca="false">IF(OR(AG73=0,T73=""),"",BA73*HoursPerDay-T73)</f>
        <v>0</v>
      </c>
      <c r="AC73" s="19" t="n">
        <f aca="false">IF(AG73=0,"",BC73)</f>
        <v>0</v>
      </c>
      <c r="AD73" s="19"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20" t="n">
        <f aca="false">IF(AG73=0,"",O73-BH73)</f>
        <v>0</v>
      </c>
      <c r="AF73" s="17" t="str">
        <f aca="false">IF(OR(AG73=0,AE73="",N(AE73)=0,BI73=""),"",EDATE(AH73,BI73))</f>
        <v/>
      </c>
      <c r="AG73" s="19" t="n">
        <f aca="false">IF(OR(LEN($A73&amp;$B73)=0,$F73=""),0,1)</f>
        <v>1</v>
      </c>
      <c r="AH73" s="17" t="n">
        <f aca="false">IF(AG73=0,"",IF($J73&lt;&gt;"",$J73,IF(OR(CasualCounts="Yes",COUNT($G73:$I73)=0,COUNT($H73:$I73)=0),$F73,MIN($H73:$I73))))</f>
        <v>46195</v>
      </c>
      <c r="AI73" s="19" t="n">
        <f aca="false">IF(AG73=0,"",COUNT($G73:$I73))</f>
        <v>0</v>
      </c>
      <c r="AJ73" s="17" t="str">
        <f aca="false">IF(AG73=0,"",IFERROR(SMALL($G73:$I73,1),""))</f>
        <v/>
      </c>
      <c r="AK73" s="17" t="str">
        <f aca="false">IF(AG73=0,"",IFERROR(SMALL($G73:$I73,2),""))</f>
        <v/>
      </c>
      <c r="AL73" s="17" t="str">
        <f aca="false">IF(AG73=0,"",IFERROR(SMALL($G73:$I73,3),""))</f>
        <v/>
      </c>
      <c r="AM73" s="19" t="str">
        <f aca="false">IF(AG73=0,"",IF(AJ73="","",IF(AJ73=$H73,"Part-Time",IF(AJ73=$I73,"Full-Time","Casual"))))</f>
        <v/>
      </c>
      <c r="AN73" s="19" t="str">
        <f aca="false">IF(AG73=0,"",IF(AK73="","",IF(AK73=$H73,"Part-Time",IF(AK73=$I73,"Full-Time","Casual"))))</f>
        <v/>
      </c>
      <c r="AO73" s="19" t="str">
        <f aca="false">IF(AG73=0,"",IF(AL73="","",IF(AL73=$H73,"Part-Time",IF(AL73=$I73,"Full-Time","Casual"))))</f>
        <v/>
      </c>
      <c r="AP73" s="19"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None</v>
      </c>
      <c r="AQ73" s="19" t="str">
        <f aca="false">IF(AG73=0,"",IF(AI73&lt;2,"",IF(OR(ISNUMBER(SEARCH("full",AN73)),UPPER(TRIM(AN73))="FT",UPPER(TRIM(AN73))="FTE"),"FT",IF(AND(OR(ISNUMBER(SEARCH("part",AN73)),UPPER(TRIM(AN73))="PT",UPPER(TRIM(AN73))="PTE"),OR($P73="",N($P73)&gt;=PT_MinHours)),"PT","None"))))</f>
        <v/>
      </c>
      <c r="AR73" s="19" t="str">
        <f aca="false">IF(AG73=0,"",IF(AI73&lt;3,"",IF(OR(ISNUMBER(SEARCH("full",AO73)),UPPER(TRIM(AO73))="FT",UPPER(TRIM(AO73))="FTE"),"FT",IF(AND(OR(ISNUMBER(SEARCH("part",AO73)),UPPER(TRIM(AO73))="PT",UPPER(TRIM(AO73))="PTE"),OR($P73="",N($P73)&gt;=PT_MinHours)),"PT","None"))))</f>
        <v/>
      </c>
      <c r="AS73" s="19" t="str">
        <f aca="false">IF(AG73=0,"",IF(AND(AI73&gt;=3,AL73&lt;=AsOfDate),AR73,IF(AND(AI73&gt;=2,AK73&lt;=AsOfDate),AQ73,AP73)))</f>
        <v>None</v>
      </c>
      <c r="AT73" s="19" t="n">
        <f aca="false">IF(AG73=0,"",IF(AsOfDate&lt;AH73,-1,12*(YEAR(AsOfDate)-YEAR(AH73))+MONTH(AsOfDate)-MONTH(AH73)-IF(DAY(AsOfDate)&lt;MIN(DAY(AH73),DAY(EOMONTH(AsOfDate,0))),1,0)))</f>
        <v>3</v>
      </c>
      <c r="AU73" s="19" t="n">
        <f aca="false">IF(AG73=0,"",IF(OR(AI73&lt;2,AK73&gt;AsOfDate),AT73,IF((AK73-1)&lt;AH73,-1,12*(YEAR((AK73-1))-YEAR(AH73))+MONTH((AK73-1))-MONTH(AH73)-IF(DAY((AK73-1))&lt;MIN(DAY(AH73),DAY(EOMONTH((AK73-1),0))),1,0))))</f>
        <v>3</v>
      </c>
      <c r="AV73" s="19" t="n">
        <f aca="false">IF(AG73=0,"",IF(OR(AI73&lt;3,AL73&gt;AsOfDate),AT73,IF((AL73-1)&lt;AH73,-1,12*(YEAR((AL73-1))-YEAR(AH73))+MONTH((AL73-1))-MONTH(AH73)-IF(DAY((AL73-1))&lt;MIN(DAY(AH73),DAY(EOMONTH((AL73-1),0))),1,0))))</f>
        <v>3</v>
      </c>
      <c r="AW73" s="19" t="n">
        <f aca="false">IF(AG73=0,"",IF(PFYDate&lt;AH73,-1,12*(YEAR(PFYDate)-YEAR(AH73))+MONTH(PFYDate)-MONTH(AH73)-IF(DAY(PFYDate)&lt;MIN(DAY(AH73),DAY(EOMONTH(PFYDate,0))),1,0)))</f>
        <v>-1</v>
      </c>
      <c r="AX73" s="19" t="n">
        <f aca="false">IF(AG73=0,"",IF(OR(AI73&lt;2,AK73&gt;PFYDate),AW73,IF((AK73-1)&lt;AH73,-1,12*(YEAR((AK73-1))-YEAR(AH73))+MONTH((AK73-1))-MONTH(AH73)-IF(DAY((AK73-1))&lt;MIN(DAY(AH73),DAY(EOMONTH((AK73-1),0))),1,0))))</f>
        <v>-1</v>
      </c>
      <c r="AY73" s="19" t="n">
        <f aca="false">IF(AG73=0,"",IF(OR(AI73&lt;3,AL73&gt;PFYDate),AW73,IF((AL73-1)&lt;AH73,-1,12*(YEAR((AL73-1))-YEAR(AH73))+MONTH((AL73-1))-MONTH(AH73)-IF(DAY((AL73-1))&lt;MIN(DAY(AH73),DAY(EOMONTH((AL73-1),0))),1,0))))</f>
        <v>-1</v>
      </c>
      <c r="AZ73" s="19" t="n">
        <f aca="false">IF(AG73=0,"",IF(AP73="FT",IF(AU73&lt;FT_First,0,IF(AU73&lt;FT_Y5,1+INT((AU73-FT_First)/FT_Int1),FT_PreY5+FT_PerYear*INT((AU73-FT_Y5)/12)+FT_AnnivDays+INT(MOD(AU73-FT_Y5,12)/FT_Int2))),IF(AP73="PT",IF(AU73&lt;PT_First,0,1+INT((AU73-PT_First)/PT_Int)),0))+IF(AND(AI73&gt;=2,AK73&lt;=AsOfDate),IF(AQ73="FT",IF(AV73&lt;FT_First,0,IF(AV73&lt;FT_Y5,1+INT((AV73-FT_First)/FT_Int1),FT_PreY5+FT_PerYear*INT((AV73-FT_Y5)/12)+FT_AnnivDays+INT(MOD(AV73-FT_Y5,12)/FT_Int2))),IF(AQ73="PT",IF(AV73&lt;PT_First,0,1+INT((AV73-PT_First)/PT_Int)),0))-IF(AQ73="FT",IF(AU73&lt;FT_First,0,IF(AU73&lt;FT_Y5,1+INT((AU73-FT_First)/FT_Int1),FT_PreY5+FT_PerYear*INT((AU73-FT_Y5)/12)+FT_AnnivDays+INT(MOD(AU73-FT_Y5,12)/FT_Int2))),IF(AQ73="PT",IF(AU73&lt;PT_First,0,1+INT((AU73-PT_First)/PT_Int)),0)),0)+IF(AND(AI73&gt;=3,AL73&lt;=AsOfDate),IF(AR73="FT",IF(AT73&lt;FT_First,0,IF(AT73&lt;FT_Y5,1+INT((AT73-FT_First)/FT_Int1),FT_PreY5+FT_PerYear*INT((AT73-FT_Y5)/12)+FT_AnnivDays+INT(MOD(AT73-FT_Y5,12)/FT_Int2))),IF(AR73="PT",IF(AT73&lt;PT_First,0,1+INT((AT73-PT_First)/PT_Int)),0))-IF(AR73="FT",IF(AV73&lt;FT_First,0,IF(AV73&lt;FT_Y5,1+INT((AV73-FT_First)/FT_Int1),FT_PreY5+FT_PerYear*INT((AV73-FT_Y5)/12)+FT_AnnivDays+INT(MOD(AV73-FT_Y5,12)/FT_Int2))),IF(AR73="PT",IF(AV73&lt;PT_First,0,1+INT((AV73-PT_First)/PT_Int)),0)),0))</f>
        <v>0</v>
      </c>
      <c r="BA73" s="19" t="n">
        <f aca="false">IF(AG73=0,"",IF(AP73="FT",IF(AX73&lt;FT_First,0,IF(AX73&lt;FT_Y5,1+INT((AX73-FT_First)/FT_Int1),FT_PreY5+FT_PerYear*INT((AX73-FT_Y5)/12)+FT_AnnivDays+INT(MOD(AX73-FT_Y5,12)/FT_Int2))),IF(AP73="PT",IF(AX73&lt;PT_First,0,1+INT((AX73-PT_First)/PT_Int)),0))+IF(AND(AI73&gt;=2,AK73&lt;=PFYDate),IF(AQ73="FT",IF(AY73&lt;FT_First,0,IF(AY73&lt;FT_Y5,1+INT((AY73-FT_First)/FT_Int1),FT_PreY5+FT_PerYear*INT((AY73-FT_Y5)/12)+FT_AnnivDays+INT(MOD(AY73-FT_Y5,12)/FT_Int2))),IF(AQ73="PT",IF(AY73&lt;PT_First,0,1+INT((AY73-PT_First)/PT_Int)),0))-IF(AQ73="FT",IF(AX73&lt;FT_First,0,IF(AX73&lt;FT_Y5,1+INT((AX73-FT_First)/FT_Int1),FT_PreY5+FT_PerYear*INT((AX73-FT_Y5)/12)+FT_AnnivDays+INT(MOD(AX73-FT_Y5,12)/FT_Int2))),IF(AQ73="PT",IF(AX73&lt;PT_First,0,1+INT((AX73-PT_First)/PT_Int)),0)),0)+IF(AND(AI73&gt;=3,AL73&lt;=PFYDate),IF(AR73="FT",IF(AW73&lt;FT_First,0,IF(AW73&lt;FT_Y5,1+INT((AW73-FT_First)/FT_Int1),FT_PreY5+FT_PerYear*INT((AW73-FT_Y5)/12)+FT_AnnivDays+INT(MOD(AW73-FT_Y5,12)/FT_Int2))),IF(AR73="PT",IF(AW73&lt;PT_First,0,1+INT((AW73-PT_First)/PT_Int)),0))-IF(AR73="FT",IF(AY73&lt;FT_First,0,IF(AY73&lt;FT_Y5,1+INT((AY73-FT_First)/FT_Int1),FT_PreY5+FT_PerYear*INT((AY73-FT_Y5)/12)+FT_AnnivDays+INT(MOD(AY73-FT_Y5,12)/FT_Int2))),IF(AR73="PT",IF(AY73&lt;PT_First,0,1+INT((AY73-PT_First)/PT_Int)),0)),0))</f>
        <v>0</v>
      </c>
      <c r="BB73" s="19" t="str">
        <f aca="false">IF(AG73=0,"",IF(AS73="FT",IF(AT73&lt;FT_First,FT_First,IF(AT73&lt;FT_Y5,MIN(FT_Y5,FT_First+FT_Int1*(INT((AT73-FT_First)/FT_Int1)+1)),FT_Y5+12*INT((AT73-FT_Y5)/12)+FT_Int2*(INT(MOD(AT73-FT_Y5,12)/FT_Int2)+1))),IF(AS73="PT",IF(AT73&lt;PT_First,PT_First,PT_First+PT_Int*(INT((AT73-PT_First)/PT_Int)+1)),"")))</f>
        <v/>
      </c>
      <c r="BC73" s="19" t="n">
        <f aca="false">IF(AG73=0,"",IF(NOT(LH_Ready),0,COUNTIFS(INDEX(LH_Data,0,LH_ColFirst),$A73,INDEX(LH_Data,0,LH_ColSur),$B73,INDEX(LH_Data,0,LH_ColCat),BonusCat)))</f>
        <v>0</v>
      </c>
      <c r="BD73" s="19" t="n">
        <f aca="false">IF(AG73=0,"",IF(OR(NOT(LH_Ready),BC73=0),0,SUMPRODUCT(MAX((INDEX(LH_Data,0,LH_ColFirst)=$A73)*(INDEX(LH_Data,0,LH_ColSur)=$B73)*(INDEX(LH_Data,0,LH_ColCat)=BonusCat)*ROW(LH_Data)))))</f>
        <v>0</v>
      </c>
      <c r="BE73" s="19" t="n">
        <f aca="false">IF(AG73=0,"",IF(EOMONTH(AsOfDate,-1)&lt;AH73,-1,12*(YEAR(EOMONTH(AsOfDate,-1))-YEAR(AH73))+MONTH(EOMONTH(AsOfDate,-1))-MONTH(AH73)-IF(DAY(EOMONTH(AsOfDate,-1))&lt;MIN(DAY(AH73),DAY(EOMONTH(EOMONTH(AsOfDate,-1),0))),1,0)))</f>
        <v>3</v>
      </c>
      <c r="BF73" s="19" t="n">
        <f aca="false">IF(AG73=0,"",IF(OR(AI73&lt;2,AK73&gt;EOMONTH(AsOfDate,-1)),BE73,IF((AK73-1)&lt;AH73,-1,12*(YEAR((AK73-1))-YEAR(AH73))+MONTH((AK73-1))-MONTH(AH73)-IF(DAY((AK73-1))&lt;MIN(DAY(AH73),DAY(EOMONTH((AK73-1),0))),1,0))))</f>
        <v>3</v>
      </c>
      <c r="BG73" s="19" t="n">
        <f aca="false">IF(AG73=0,"",IF(OR(AI73&lt;3,AL73&gt;EOMONTH(AsOfDate,-1)),BE73,IF((AL73-1)&lt;AH73,-1,12*(YEAR((AL73-1))-YEAR(AH73))+MONTH((AL73-1))-MONTH(AH73)-IF(DAY((AL73-1))&lt;MIN(DAY(AH73),DAY(EOMONTH((AL73-1),0))),1,0))))</f>
        <v>3</v>
      </c>
      <c r="BH73" s="19" t="n">
        <f aca="false">IF(AG73=0,"",IF(AP73="FT",IF(BF73&lt;FT_First,0,IF(BF73&lt;FT_Y5,1+INT((BF73-FT_First)/FT_Int1),FT_PreY5+FT_PerYear*INT((BF73-FT_Y5)/12)+FT_AnnivDays+INT(MOD(BF73-FT_Y5,12)/FT_Int2))),IF(AP73="PT",IF(BF73&lt;PT_First,0,1+INT((BF73-PT_First)/PT_Int)),0))+IF(AND(AI73&gt;=2,AK73&lt;=EOMONTH(AsOfDate,-1)),IF(AQ73="FT",IF(BG73&lt;FT_First,0,IF(BG73&lt;FT_Y5,1+INT((BG73-FT_First)/FT_Int1),FT_PreY5+FT_PerYear*INT((BG73-FT_Y5)/12)+FT_AnnivDays+INT(MOD(BG73-FT_Y5,12)/FT_Int2))),IF(AQ73="PT",IF(BG73&lt;PT_First,0,1+INT((BG73-PT_First)/PT_Int)),0))-IF(AQ73="FT",IF(BF73&lt;FT_First,0,IF(BF73&lt;FT_Y5,1+INT((BF73-FT_First)/FT_Int1),FT_PreY5+FT_PerYear*INT((BF73-FT_Y5)/12)+FT_AnnivDays+INT(MOD(BF73-FT_Y5,12)/FT_Int2))),IF(AQ73="PT",IF(BF73&lt;PT_First,0,1+INT((BF73-PT_First)/PT_Int)),0)),0)+IF(AND(AI73&gt;=3,AL73&lt;=EOMONTH(AsOfDate,-1)),IF(AR73="FT",IF(BE73&lt;FT_First,0,IF(BE73&lt;FT_Y5,1+INT((BE73-FT_First)/FT_Int1),FT_PreY5+FT_PerYear*INT((BE73-FT_Y5)/12)+FT_AnnivDays+INT(MOD(BE73-FT_Y5,12)/FT_Int2))),IF(AR73="PT",IF(BE73&lt;PT_First,0,1+INT((BE73-PT_First)/PT_Int)),0))-IF(AR73="FT",IF(BG73&lt;FT_First,0,IF(BG73&lt;FT_Y5,1+INT((BG73-FT_First)/FT_Int1),FT_PreY5+FT_PerYear*INT((BG73-FT_Y5)/12)+FT_AnnivDays+INT(MOD(BG73-FT_Y5,12)/FT_Int2))),IF(AR73="PT",IF(BG73&lt;PT_First,0,1+INT((BG73-PT_First)/PT_Int)),0)),0))</f>
        <v>0</v>
      </c>
      <c r="BI73" s="19" t="str">
        <f aca="false">IF(AG73=0,"",IF(AS73="FT",IF(AT73&lt;FT_First,"",IF(AT73&lt;FT_Y5,FT_First+FT_Int1*INT((AT73-FT_First)/FT_Int1),FT_Y5+FT_Int2*INT((AT73-FT_Y5)/FT_Int2))),IF(AS73="PT",IF(AT73&lt;PT_First,"",PT_First+PT_Int*INT((AT73-PT_First)/PT_Int)),"")))</f>
        <v/>
      </c>
      <c r="BJ73" s="0" t="str">
        <f aca="false">IF(LEN($A73&amp;$B73)=0,"",$A73&amp;" "&amp;$B73)</f>
        <v>Zain Zaidi</v>
      </c>
    </row>
    <row r="74" customFormat="false" ht="15" hidden="false" customHeight="false" outlineLevel="0" collapsed="false">
      <c r="A74" s="15" t="s">
        <v>276</v>
      </c>
      <c r="B74" s="15" t="s">
        <v>277</v>
      </c>
      <c r="C74" s="15" t="s">
        <v>138</v>
      </c>
      <c r="D74" s="16" t="n">
        <v>34509</v>
      </c>
      <c r="E74" s="17" t="n">
        <f aca="false">IF(OR(AG74=0,$D74=""),"",DATE(YEAR(AsOfDate)+IF(DATE(YEAR(AsOfDate),MONTH($D74),DAY($D74))&lt;=AsOfDate,1,0),MONTH($D74),DAY($D74)))</f>
        <v>46562</v>
      </c>
      <c r="F74" s="16" t="n">
        <v>45859</v>
      </c>
      <c r="G74" s="16"/>
      <c r="H74" s="16"/>
      <c r="I74" s="16"/>
      <c r="J74" s="16"/>
      <c r="K74" s="17" t="n">
        <f aca="false">IF(AG74=0,"",DATE(YEAR(AsOfDate)+IF(DATE(YEAR(AsOfDate),MONTH(AH74),DAY(AH74))&lt;=AsOfDate,1,0),MONTH(AH74),DAY(AH74)))</f>
        <v>46589</v>
      </c>
      <c r="L74" s="18" t="n">
        <f aca="false">IF(AG74=0,"",ROUND((AsOfDate-AH74)/365.25,1))</f>
        <v>1.2</v>
      </c>
      <c r="M74" s="19" t="str">
        <f aca="false">IF(AG74=0,"",IF(AsOfDate&lt;AH74,"-",DATEDIF(AH74,AsOfDate,"y")&amp;"y "&amp;DATEDIF(AH74,AsOfDate,"ym")&amp;"m "&amp;DATEDIF(AH74,AsOfDate,"md")&amp;"d"))</f>
        <v>1y 2m 15d</v>
      </c>
      <c r="N74" s="20" t="n">
        <f aca="false">IF(AG74=0,"",O74*HoursPerDay)</f>
        <v>0</v>
      </c>
      <c r="O74" s="20" t="n">
        <f aca="false">IF(AG74=0,"",AZ74)</f>
        <v>0</v>
      </c>
      <c r="P74" s="21"/>
      <c r="Q74" s="19"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19"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17" t="str">
        <f aca="false">IF(AG74=0,"",IF(AS74="None","",EDATE(AH74,BB74)))</f>
        <v/>
      </c>
      <c r="T74" s="20" t="n">
        <f aca="false">IF(AG74=0,"",IF(NOT(LH_Ready),"",IF(AH74&gt;PFYDate,0,IF(LH_ColPeriod=0,W74-U74+V74,SUMIFS(INDEX(LH_Data,0,LH_ColAcc),INDEX(LH_Data,0,LH_ColFirst),$A74,INDEX(LH_Data,0,LH_ColSur),$B74,INDEX(LH_Data,0,LH_ColCat),BonusCat,INDEX(LH_Data,0,LH_ColPeriod),LH_OpenLabel)*UnitFactor))))</f>
        <v>0</v>
      </c>
      <c r="U74" s="20" t="n">
        <f aca="false">IF(AG74=0,"",IF(NOT(LH_Ready),"",SUMIFS(INDEX(LH_Data,0,LH_ColAcc),INDEX(LH_Data,0,LH_ColFirst),$A74,INDEX(LH_Data,0,LH_ColSur),$B74,INDEX(LH_Data,0,LH_ColCat),BonusCat,INDEX(LH_Data,0,LH_ColStart),"&gt;="&amp;AH74)*UnitFactor))</f>
        <v>0</v>
      </c>
      <c r="V74" s="20" t="n">
        <f aca="false">IF(AG74=0,"",IF(NOT(LH_Ready),"",SUMIFS(INDEX(LH_Data,0,LH_ColTaken),INDEX(LH_Data,0,LH_ColFirst),$A74,INDEX(LH_Data,0,LH_ColSur),$B74,INDEX(LH_Data,0,LH_ColCat),BonusCat,INDEX(LH_Data,0,LH_ColStart),"&gt;="&amp;AH74)*UnitFactor))</f>
        <v>0</v>
      </c>
      <c r="W74" s="20" t="n">
        <f aca="false">IF(AG74=0,"",IF(NOT(LH_Ready),"",IF(BD74=0,0,INDEX(INDEX(LH_Data,0,LH_ColClose),BD74-1)*UnitFactor)))</f>
        <v>0</v>
      </c>
      <c r="X74" s="20" t="n">
        <f aca="false">IF(AG74=0,"",(AZ74-BA74)*HoursPerDay)</f>
        <v>0</v>
      </c>
      <c r="Y74" s="20" t="n">
        <f aca="false">IF(AG74=0,"",IF(NOT(LH_Ready),"",IF(BC74=0,N74,IF(PFYDate&lt;$F74,N74-N(T74)-N(U74),X74-N(U74)))))</f>
        <v>0</v>
      </c>
      <c r="Z74" s="19" t="str">
        <f aca="false">IF(OR(AG74=0,Y74=""),"",IF(Y74&gt;0,"Yes","No"))</f>
        <v>No</v>
      </c>
      <c r="AA74" s="19"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Not eligible - Casual</v>
      </c>
      <c r="AB74" s="20" t="n">
        <f aca="false">IF(OR(AG74=0,T74=""),"",BA74*HoursPerDay-T74)</f>
        <v>0</v>
      </c>
      <c r="AC74" s="19" t="n">
        <f aca="false">IF(AG74=0,"",BC74)</f>
        <v>0</v>
      </c>
      <c r="AD74" s="19"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20" t="n">
        <f aca="false">IF(AG74=0,"",O74-BH74)</f>
        <v>0</v>
      </c>
      <c r="AF74" s="17" t="str">
        <f aca="false">IF(OR(AG74=0,AE74="",N(AE74)=0,BI74=""),"",EDATE(AH74,BI74))</f>
        <v/>
      </c>
      <c r="AG74" s="19" t="n">
        <f aca="false">IF(OR(LEN($A74&amp;$B74)=0,$F74=""),0,1)</f>
        <v>1</v>
      </c>
      <c r="AH74" s="17" t="n">
        <f aca="false">IF(AG74=0,"",IF($J74&lt;&gt;"",$J74,IF(OR(CasualCounts="Yes",COUNT($G74:$I74)=0,COUNT($H74:$I74)=0),$F74,MIN($H74:$I74))))</f>
        <v>45859</v>
      </c>
      <c r="AI74" s="19" t="n">
        <f aca="false">IF(AG74=0,"",COUNT($G74:$I74))</f>
        <v>0</v>
      </c>
      <c r="AJ74" s="17" t="str">
        <f aca="false">IF(AG74=0,"",IFERROR(SMALL($G74:$I74,1),""))</f>
        <v/>
      </c>
      <c r="AK74" s="17" t="str">
        <f aca="false">IF(AG74=0,"",IFERROR(SMALL($G74:$I74,2),""))</f>
        <v/>
      </c>
      <c r="AL74" s="17" t="str">
        <f aca="false">IF(AG74=0,"",IFERROR(SMALL($G74:$I74,3),""))</f>
        <v/>
      </c>
      <c r="AM74" s="19" t="str">
        <f aca="false">IF(AG74=0,"",IF(AJ74="","",IF(AJ74=$H74,"Part-Time",IF(AJ74=$I74,"Full-Time","Casual"))))</f>
        <v/>
      </c>
      <c r="AN74" s="19" t="str">
        <f aca="false">IF(AG74=0,"",IF(AK74="","",IF(AK74=$H74,"Part-Time",IF(AK74=$I74,"Full-Time","Casual"))))</f>
        <v/>
      </c>
      <c r="AO74" s="19" t="str">
        <f aca="false">IF(AG74=0,"",IF(AL74="","",IF(AL74=$H74,"Part-Time",IF(AL74=$I74,"Full-Time","Casual"))))</f>
        <v/>
      </c>
      <c r="AP74" s="19"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None</v>
      </c>
      <c r="AQ74" s="19" t="str">
        <f aca="false">IF(AG74=0,"",IF(AI74&lt;2,"",IF(OR(ISNUMBER(SEARCH("full",AN74)),UPPER(TRIM(AN74))="FT",UPPER(TRIM(AN74))="FTE"),"FT",IF(AND(OR(ISNUMBER(SEARCH("part",AN74)),UPPER(TRIM(AN74))="PT",UPPER(TRIM(AN74))="PTE"),OR($P74="",N($P74)&gt;=PT_MinHours)),"PT","None"))))</f>
        <v/>
      </c>
      <c r="AR74" s="19" t="str">
        <f aca="false">IF(AG74=0,"",IF(AI74&lt;3,"",IF(OR(ISNUMBER(SEARCH("full",AO74)),UPPER(TRIM(AO74))="FT",UPPER(TRIM(AO74))="FTE"),"FT",IF(AND(OR(ISNUMBER(SEARCH("part",AO74)),UPPER(TRIM(AO74))="PT",UPPER(TRIM(AO74))="PTE"),OR($P74="",N($P74)&gt;=PT_MinHours)),"PT","None"))))</f>
        <v/>
      </c>
      <c r="AS74" s="19" t="str">
        <f aca="false">IF(AG74=0,"",IF(AND(AI74&gt;=3,AL74&lt;=AsOfDate),AR74,IF(AND(AI74&gt;=2,AK74&lt;=AsOfDate),AQ74,AP74)))</f>
        <v>None</v>
      </c>
      <c r="AT74" s="19" t="n">
        <f aca="false">IF(AG74=0,"",IF(AsOfDate&lt;AH74,-1,12*(YEAR(AsOfDate)-YEAR(AH74))+MONTH(AsOfDate)-MONTH(AH74)-IF(DAY(AsOfDate)&lt;MIN(DAY(AH74),DAY(EOMONTH(AsOfDate,0))),1,0)))</f>
        <v>14</v>
      </c>
      <c r="AU74" s="19" t="n">
        <f aca="false">IF(AG74=0,"",IF(OR(AI74&lt;2,AK74&gt;AsOfDate),AT74,IF((AK74-1)&lt;AH74,-1,12*(YEAR((AK74-1))-YEAR(AH74))+MONTH((AK74-1))-MONTH(AH74)-IF(DAY((AK74-1))&lt;MIN(DAY(AH74),DAY(EOMONTH((AK74-1),0))),1,0))))</f>
        <v>14</v>
      </c>
      <c r="AV74" s="19" t="n">
        <f aca="false">IF(AG74=0,"",IF(OR(AI74&lt;3,AL74&gt;AsOfDate),AT74,IF((AL74-1)&lt;AH74,-1,12*(YEAR((AL74-1))-YEAR(AH74))+MONTH((AL74-1))-MONTH(AH74)-IF(DAY((AL74-1))&lt;MIN(DAY(AH74),DAY(EOMONTH((AL74-1),0))),1,0))))</f>
        <v>14</v>
      </c>
      <c r="AW74" s="19" t="n">
        <f aca="false">IF(AG74=0,"",IF(PFYDate&lt;AH74,-1,12*(YEAR(PFYDate)-YEAR(AH74))+MONTH(PFYDate)-MONTH(AH74)-IF(DAY(PFYDate)&lt;MIN(DAY(AH74),DAY(EOMONTH(PFYDate,0))),1,0)))</f>
        <v>-1</v>
      </c>
      <c r="AX74" s="19" t="n">
        <f aca="false">IF(AG74=0,"",IF(OR(AI74&lt;2,AK74&gt;PFYDate),AW74,IF((AK74-1)&lt;AH74,-1,12*(YEAR((AK74-1))-YEAR(AH74))+MONTH((AK74-1))-MONTH(AH74)-IF(DAY((AK74-1))&lt;MIN(DAY(AH74),DAY(EOMONTH((AK74-1),0))),1,0))))</f>
        <v>-1</v>
      </c>
      <c r="AY74" s="19" t="n">
        <f aca="false">IF(AG74=0,"",IF(OR(AI74&lt;3,AL74&gt;PFYDate),AW74,IF((AL74-1)&lt;AH74,-1,12*(YEAR((AL74-1))-YEAR(AH74))+MONTH((AL74-1))-MONTH(AH74)-IF(DAY((AL74-1))&lt;MIN(DAY(AH74),DAY(EOMONTH((AL74-1),0))),1,0))))</f>
        <v>-1</v>
      </c>
      <c r="AZ74" s="19" t="n">
        <f aca="false">IF(AG74=0,"",IF(AP74="FT",IF(AU74&lt;FT_First,0,IF(AU74&lt;FT_Y5,1+INT((AU74-FT_First)/FT_Int1),FT_PreY5+FT_PerYear*INT((AU74-FT_Y5)/12)+FT_AnnivDays+INT(MOD(AU74-FT_Y5,12)/FT_Int2))),IF(AP74="PT",IF(AU74&lt;PT_First,0,1+INT((AU74-PT_First)/PT_Int)),0))+IF(AND(AI74&gt;=2,AK74&lt;=AsOfDate),IF(AQ74="FT",IF(AV74&lt;FT_First,0,IF(AV74&lt;FT_Y5,1+INT((AV74-FT_First)/FT_Int1),FT_PreY5+FT_PerYear*INT((AV74-FT_Y5)/12)+FT_AnnivDays+INT(MOD(AV74-FT_Y5,12)/FT_Int2))),IF(AQ74="PT",IF(AV74&lt;PT_First,0,1+INT((AV74-PT_First)/PT_Int)),0))-IF(AQ74="FT",IF(AU74&lt;FT_First,0,IF(AU74&lt;FT_Y5,1+INT((AU74-FT_First)/FT_Int1),FT_PreY5+FT_PerYear*INT((AU74-FT_Y5)/12)+FT_AnnivDays+INT(MOD(AU74-FT_Y5,12)/FT_Int2))),IF(AQ74="PT",IF(AU74&lt;PT_First,0,1+INT((AU74-PT_First)/PT_Int)),0)),0)+IF(AND(AI74&gt;=3,AL74&lt;=AsOfDate),IF(AR74="FT",IF(AT74&lt;FT_First,0,IF(AT74&lt;FT_Y5,1+INT((AT74-FT_First)/FT_Int1),FT_PreY5+FT_PerYear*INT((AT74-FT_Y5)/12)+FT_AnnivDays+INT(MOD(AT74-FT_Y5,12)/FT_Int2))),IF(AR74="PT",IF(AT74&lt;PT_First,0,1+INT((AT74-PT_First)/PT_Int)),0))-IF(AR74="FT",IF(AV74&lt;FT_First,0,IF(AV74&lt;FT_Y5,1+INT((AV74-FT_First)/FT_Int1),FT_PreY5+FT_PerYear*INT((AV74-FT_Y5)/12)+FT_AnnivDays+INT(MOD(AV74-FT_Y5,12)/FT_Int2))),IF(AR74="PT",IF(AV74&lt;PT_First,0,1+INT((AV74-PT_First)/PT_Int)),0)),0))</f>
        <v>0</v>
      </c>
      <c r="BA74" s="19" t="n">
        <f aca="false">IF(AG74=0,"",IF(AP74="FT",IF(AX74&lt;FT_First,0,IF(AX74&lt;FT_Y5,1+INT((AX74-FT_First)/FT_Int1),FT_PreY5+FT_PerYear*INT((AX74-FT_Y5)/12)+FT_AnnivDays+INT(MOD(AX74-FT_Y5,12)/FT_Int2))),IF(AP74="PT",IF(AX74&lt;PT_First,0,1+INT((AX74-PT_First)/PT_Int)),0))+IF(AND(AI74&gt;=2,AK74&lt;=PFYDate),IF(AQ74="FT",IF(AY74&lt;FT_First,0,IF(AY74&lt;FT_Y5,1+INT((AY74-FT_First)/FT_Int1),FT_PreY5+FT_PerYear*INT((AY74-FT_Y5)/12)+FT_AnnivDays+INT(MOD(AY74-FT_Y5,12)/FT_Int2))),IF(AQ74="PT",IF(AY74&lt;PT_First,0,1+INT((AY74-PT_First)/PT_Int)),0))-IF(AQ74="FT",IF(AX74&lt;FT_First,0,IF(AX74&lt;FT_Y5,1+INT((AX74-FT_First)/FT_Int1),FT_PreY5+FT_PerYear*INT((AX74-FT_Y5)/12)+FT_AnnivDays+INT(MOD(AX74-FT_Y5,12)/FT_Int2))),IF(AQ74="PT",IF(AX74&lt;PT_First,0,1+INT((AX74-PT_First)/PT_Int)),0)),0)+IF(AND(AI74&gt;=3,AL74&lt;=PFYDate),IF(AR74="FT",IF(AW74&lt;FT_First,0,IF(AW74&lt;FT_Y5,1+INT((AW74-FT_First)/FT_Int1),FT_PreY5+FT_PerYear*INT((AW74-FT_Y5)/12)+FT_AnnivDays+INT(MOD(AW74-FT_Y5,12)/FT_Int2))),IF(AR74="PT",IF(AW74&lt;PT_First,0,1+INT((AW74-PT_First)/PT_Int)),0))-IF(AR74="FT",IF(AY74&lt;FT_First,0,IF(AY74&lt;FT_Y5,1+INT((AY74-FT_First)/FT_Int1),FT_PreY5+FT_PerYear*INT((AY74-FT_Y5)/12)+FT_AnnivDays+INT(MOD(AY74-FT_Y5,12)/FT_Int2))),IF(AR74="PT",IF(AY74&lt;PT_First,0,1+INT((AY74-PT_First)/PT_Int)),0)),0))</f>
        <v>0</v>
      </c>
      <c r="BB74" s="19" t="str">
        <f aca="false">IF(AG74=0,"",IF(AS74="FT",IF(AT74&lt;FT_First,FT_First,IF(AT74&lt;FT_Y5,MIN(FT_Y5,FT_First+FT_Int1*(INT((AT74-FT_First)/FT_Int1)+1)),FT_Y5+12*INT((AT74-FT_Y5)/12)+FT_Int2*(INT(MOD(AT74-FT_Y5,12)/FT_Int2)+1))),IF(AS74="PT",IF(AT74&lt;PT_First,PT_First,PT_First+PT_Int*(INT((AT74-PT_First)/PT_Int)+1)),"")))</f>
        <v/>
      </c>
      <c r="BC74" s="19" t="n">
        <f aca="false">IF(AG74=0,"",IF(NOT(LH_Ready),0,COUNTIFS(INDEX(LH_Data,0,LH_ColFirst),$A74,INDEX(LH_Data,0,LH_ColSur),$B74,INDEX(LH_Data,0,LH_ColCat),BonusCat)))</f>
        <v>0</v>
      </c>
      <c r="BD74" s="19" t="n">
        <f aca="false">IF(AG74=0,"",IF(OR(NOT(LH_Ready),BC74=0),0,SUMPRODUCT(MAX((INDEX(LH_Data,0,LH_ColFirst)=$A74)*(INDEX(LH_Data,0,LH_ColSur)=$B74)*(INDEX(LH_Data,0,LH_ColCat)=BonusCat)*ROW(LH_Data)))))</f>
        <v>0</v>
      </c>
      <c r="BE74" s="19" t="n">
        <f aca="false">IF(AG74=0,"",IF(EOMONTH(AsOfDate,-1)&lt;AH74,-1,12*(YEAR(EOMONTH(AsOfDate,-1))-YEAR(AH74))+MONTH(EOMONTH(AsOfDate,-1))-MONTH(AH74)-IF(DAY(EOMONTH(AsOfDate,-1))&lt;MIN(DAY(AH74),DAY(EOMONTH(EOMONTH(AsOfDate,-1),0))),1,0)))</f>
        <v>14</v>
      </c>
      <c r="BF74" s="19" t="n">
        <f aca="false">IF(AG74=0,"",IF(OR(AI74&lt;2,AK74&gt;EOMONTH(AsOfDate,-1)),BE74,IF((AK74-1)&lt;AH74,-1,12*(YEAR((AK74-1))-YEAR(AH74))+MONTH((AK74-1))-MONTH(AH74)-IF(DAY((AK74-1))&lt;MIN(DAY(AH74),DAY(EOMONTH((AK74-1),0))),1,0))))</f>
        <v>14</v>
      </c>
      <c r="BG74" s="19" t="n">
        <f aca="false">IF(AG74=0,"",IF(OR(AI74&lt;3,AL74&gt;EOMONTH(AsOfDate,-1)),BE74,IF((AL74-1)&lt;AH74,-1,12*(YEAR((AL74-1))-YEAR(AH74))+MONTH((AL74-1))-MONTH(AH74)-IF(DAY((AL74-1))&lt;MIN(DAY(AH74),DAY(EOMONTH((AL74-1),0))),1,0))))</f>
        <v>14</v>
      </c>
      <c r="BH74" s="19" t="n">
        <f aca="false">IF(AG74=0,"",IF(AP74="FT",IF(BF74&lt;FT_First,0,IF(BF74&lt;FT_Y5,1+INT((BF74-FT_First)/FT_Int1),FT_PreY5+FT_PerYear*INT((BF74-FT_Y5)/12)+FT_AnnivDays+INT(MOD(BF74-FT_Y5,12)/FT_Int2))),IF(AP74="PT",IF(BF74&lt;PT_First,0,1+INT((BF74-PT_First)/PT_Int)),0))+IF(AND(AI74&gt;=2,AK74&lt;=EOMONTH(AsOfDate,-1)),IF(AQ74="FT",IF(BG74&lt;FT_First,0,IF(BG74&lt;FT_Y5,1+INT((BG74-FT_First)/FT_Int1),FT_PreY5+FT_PerYear*INT((BG74-FT_Y5)/12)+FT_AnnivDays+INT(MOD(BG74-FT_Y5,12)/FT_Int2))),IF(AQ74="PT",IF(BG74&lt;PT_First,0,1+INT((BG74-PT_First)/PT_Int)),0))-IF(AQ74="FT",IF(BF74&lt;FT_First,0,IF(BF74&lt;FT_Y5,1+INT((BF74-FT_First)/FT_Int1),FT_PreY5+FT_PerYear*INT((BF74-FT_Y5)/12)+FT_AnnivDays+INT(MOD(BF74-FT_Y5,12)/FT_Int2))),IF(AQ74="PT",IF(BF74&lt;PT_First,0,1+INT((BF74-PT_First)/PT_Int)),0)),0)+IF(AND(AI74&gt;=3,AL74&lt;=EOMONTH(AsOfDate,-1)),IF(AR74="FT",IF(BE74&lt;FT_First,0,IF(BE74&lt;FT_Y5,1+INT((BE74-FT_First)/FT_Int1),FT_PreY5+FT_PerYear*INT((BE74-FT_Y5)/12)+FT_AnnivDays+INT(MOD(BE74-FT_Y5,12)/FT_Int2))),IF(AR74="PT",IF(BE74&lt;PT_First,0,1+INT((BE74-PT_First)/PT_Int)),0))-IF(AR74="FT",IF(BG74&lt;FT_First,0,IF(BG74&lt;FT_Y5,1+INT((BG74-FT_First)/FT_Int1),FT_PreY5+FT_PerYear*INT((BG74-FT_Y5)/12)+FT_AnnivDays+INT(MOD(BG74-FT_Y5,12)/FT_Int2))),IF(AR74="PT",IF(BG74&lt;PT_First,0,1+INT((BG74-PT_First)/PT_Int)),0)),0))</f>
        <v>0</v>
      </c>
      <c r="BI74" s="19" t="str">
        <f aca="false">IF(AG74=0,"",IF(AS74="FT",IF(AT74&lt;FT_First,"",IF(AT74&lt;FT_Y5,FT_First+FT_Int1*INT((AT74-FT_First)/FT_Int1),FT_Y5+FT_Int2*INT((AT74-FT_Y5)/FT_Int2))),IF(AS74="PT",IF(AT74&lt;PT_First,"",PT_First+PT_Int*INT((AT74-PT_First)/PT_Int)),"")))</f>
        <v/>
      </c>
      <c r="BJ74" s="0" t="str">
        <f aca="false">IF(LEN($A74&amp;$B74)=0,"",$A74&amp;" "&amp;$B74)</f>
        <v>Zed Norrie</v>
      </c>
    </row>
    <row r="75" customFormat="false" ht="15" hidden="false" customHeight="false" outlineLevel="0" collapsed="false">
      <c r="A75" s="15"/>
      <c r="B75" s="15"/>
      <c r="C75" s="15"/>
      <c r="D75" s="16"/>
      <c r="E75" s="17" t="str">
        <f aca="false">IF(OR(AG75=0,$D75=""),"",DATE(YEAR(AsOfDate)+IF(DATE(YEAR(AsOfDate),MONTH($D75),DAY($D75))&lt;=AsOfDate,1,0),MONTH($D75),DAY($D75)))</f>
        <v/>
      </c>
      <c r="F75" s="16"/>
      <c r="G75" s="16"/>
      <c r="H75" s="16"/>
      <c r="I75" s="16"/>
      <c r="J75" s="16"/>
      <c r="K75" s="17" t="str">
        <f aca="false">IF(AG75=0,"",DATE(YEAR(AsOfDate)+IF(DATE(YEAR(AsOfDate),MONTH(AH75),DAY(AH75))&lt;=AsOfDate,1,0),MONTH(AH75),DAY(AH75)))</f>
        <v/>
      </c>
      <c r="L75" s="18" t="str">
        <f aca="false">IF(AG75=0,"",ROUND((AsOfDate-AH75)/365.25,1))</f>
        <v/>
      </c>
      <c r="M75" s="19" t="str">
        <f aca="false">IF(AG75=0,"",IF(AsOfDate&lt;AH75,"-",DATEDIF(AH75,AsOfDate,"y")&amp;"y "&amp;DATEDIF(AH75,AsOfDate,"ym")&amp;"m "&amp;DATEDIF(AH75,AsOfDate,"md")&amp;"d"))</f>
        <v/>
      </c>
      <c r="N75" s="20" t="str">
        <f aca="false">IF(AG75=0,"",O75*HoursPerDay)</f>
        <v/>
      </c>
      <c r="O75" s="20" t="str">
        <f aca="false">IF(AG75=0,"",AZ75)</f>
        <v/>
      </c>
      <c r="P75" s="21"/>
      <c r="Q75" s="19"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19"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7" t="str">
        <f aca="false">IF(AG75=0,"",IF(AS75="None","",EDATE(AH75,BB75)))</f>
        <v/>
      </c>
      <c r="T75" s="20" t="str">
        <f aca="false">IF(AG75=0,"",IF(NOT(LH_Ready),"",IF(AH75&gt;PFYDate,0,IF(LH_ColPeriod=0,W75-U75+V75,SUMIFS(INDEX(LH_Data,0,LH_ColAcc),INDEX(LH_Data,0,LH_ColFirst),$A75,INDEX(LH_Data,0,LH_ColSur),$B75,INDEX(LH_Data,0,LH_ColCat),BonusCat,INDEX(LH_Data,0,LH_ColPeriod),LH_OpenLabel)*UnitFactor))))</f>
        <v/>
      </c>
      <c r="U75" s="20" t="str">
        <f aca="false">IF(AG75=0,"",IF(NOT(LH_Ready),"",SUMIFS(INDEX(LH_Data,0,LH_ColAcc),INDEX(LH_Data,0,LH_ColFirst),$A75,INDEX(LH_Data,0,LH_ColSur),$B75,INDEX(LH_Data,0,LH_ColCat),BonusCat,INDEX(LH_Data,0,LH_ColStart),"&gt;="&amp;AH75)*UnitFactor))</f>
        <v/>
      </c>
      <c r="V75" s="20" t="str">
        <f aca="false">IF(AG75=0,"",IF(NOT(LH_Ready),"",SUMIFS(INDEX(LH_Data,0,LH_ColTaken),INDEX(LH_Data,0,LH_ColFirst),$A75,INDEX(LH_Data,0,LH_ColSur),$B75,INDEX(LH_Data,0,LH_ColCat),BonusCat,INDEX(LH_Data,0,LH_ColStart),"&gt;="&amp;AH75)*UnitFactor))</f>
        <v/>
      </c>
      <c r="W75" s="20" t="str">
        <f aca="false">IF(AG75=0,"",IF(NOT(LH_Ready),"",IF(BD75=0,0,INDEX(INDEX(LH_Data,0,LH_ColClose),BD75-1)*UnitFactor)))</f>
        <v/>
      </c>
      <c r="X75" s="20" t="str">
        <f aca="false">IF(AG75=0,"",(AZ75-BA75)*HoursPerDay)</f>
        <v/>
      </c>
      <c r="Y75" s="20" t="str">
        <f aca="false">IF(AG75=0,"",IF(NOT(LH_Ready),"",IF(BC75=0,N75,IF(PFYDate&lt;$F75,N75-N(T75)-N(U75),X75-N(U75)))))</f>
        <v/>
      </c>
      <c r="Z75" s="19" t="str">
        <f aca="false">IF(OR(AG75=0,Y75=""),"",IF(Y75&gt;0,"Yes","No"))</f>
        <v/>
      </c>
      <c r="AA75" s="19"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20" t="str">
        <f aca="false">IF(OR(AG75=0,T75=""),"",BA75*HoursPerDay-T75)</f>
        <v/>
      </c>
      <c r="AC75" s="19" t="str">
        <f aca="false">IF(AG75=0,"",BC75)</f>
        <v/>
      </c>
      <c r="AD75" s="19"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20" t="str">
        <f aca="false">IF(AG75=0,"",O75-BH75)</f>
        <v/>
      </c>
      <c r="AF75" s="17" t="str">
        <f aca="false">IF(OR(AG75=0,AE75="",N(AE75)=0,BI75=""),"",EDATE(AH75,BI75))</f>
        <v/>
      </c>
      <c r="AG75" s="19" t="n">
        <f aca="false">IF(OR(LEN($A75&amp;$B75)=0,$F75=""),0,1)</f>
        <v>0</v>
      </c>
      <c r="AH75" s="17" t="str">
        <f aca="false">IF(AG75=0,"",IF($J75&lt;&gt;"",$J75,IF(OR(CasualCounts="Yes",COUNT($G75:$I75)=0,COUNT($H75:$I75)=0),$F75,MIN($H75:$I75))))</f>
        <v/>
      </c>
      <c r="AI75" s="19" t="str">
        <f aca="false">IF(AG75=0,"",COUNT($G75:$I75))</f>
        <v/>
      </c>
      <c r="AJ75" s="17" t="str">
        <f aca="false">IF(AG75=0,"",IFERROR(SMALL($G75:$I75,1),""))</f>
        <v/>
      </c>
      <c r="AK75" s="17" t="str">
        <f aca="false">IF(AG75=0,"",IFERROR(SMALL($G75:$I75,2),""))</f>
        <v/>
      </c>
      <c r="AL75" s="17" t="str">
        <f aca="false">IF(AG75=0,"",IFERROR(SMALL($G75:$I75,3),""))</f>
        <v/>
      </c>
      <c r="AM75" s="19" t="str">
        <f aca="false">IF(AG75=0,"",IF(AJ75="","",IF(AJ75=$H75,"Part-Time",IF(AJ75=$I75,"Full-Time","Casual"))))</f>
        <v/>
      </c>
      <c r="AN75" s="19" t="str">
        <f aca="false">IF(AG75=0,"",IF(AK75="","",IF(AK75=$H75,"Part-Time",IF(AK75=$I75,"Full-Time","Casual"))))</f>
        <v/>
      </c>
      <c r="AO75" s="19" t="str">
        <f aca="false">IF(AG75=0,"",IF(AL75="","",IF(AL75=$H75,"Part-Time",IF(AL75=$I75,"Full-Time","Casual"))))</f>
        <v/>
      </c>
      <c r="AP75" s="19"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19" t="str">
        <f aca="false">IF(AG75=0,"",IF(AI75&lt;2,"",IF(OR(ISNUMBER(SEARCH("full",AN75)),UPPER(TRIM(AN75))="FT",UPPER(TRIM(AN75))="FTE"),"FT",IF(AND(OR(ISNUMBER(SEARCH("part",AN75)),UPPER(TRIM(AN75))="PT",UPPER(TRIM(AN75))="PTE"),OR($P75="",N($P75)&gt;=PT_MinHours)),"PT","None"))))</f>
        <v/>
      </c>
      <c r="AR75" s="19" t="str">
        <f aca="false">IF(AG75=0,"",IF(AI75&lt;3,"",IF(OR(ISNUMBER(SEARCH("full",AO75)),UPPER(TRIM(AO75))="FT",UPPER(TRIM(AO75))="FTE"),"FT",IF(AND(OR(ISNUMBER(SEARCH("part",AO75)),UPPER(TRIM(AO75))="PT",UPPER(TRIM(AO75))="PTE"),OR($P75="",N($P75)&gt;=PT_MinHours)),"PT","None"))))</f>
        <v/>
      </c>
      <c r="AS75" s="19" t="str">
        <f aca="false">IF(AG75=0,"",IF(AND(AI75&gt;=3,AL75&lt;=AsOfDate),AR75,IF(AND(AI75&gt;=2,AK75&lt;=AsOfDate),AQ75,AP75)))</f>
        <v/>
      </c>
      <c r="AT75" s="19" t="str">
        <f aca="false">IF(AG75=0,"",IF(AsOfDate&lt;AH75,-1,12*(YEAR(AsOfDate)-YEAR(AH75))+MONTH(AsOfDate)-MONTH(AH75)-IF(DAY(AsOfDate)&lt;MIN(DAY(AH75),DAY(EOMONTH(AsOfDate,0))),1,0)))</f>
        <v/>
      </c>
      <c r="AU75" s="19" t="str">
        <f aca="false">IF(AG75=0,"",IF(OR(AI75&lt;2,AK75&gt;AsOfDate),AT75,IF((AK75-1)&lt;AH75,-1,12*(YEAR((AK75-1))-YEAR(AH75))+MONTH((AK75-1))-MONTH(AH75)-IF(DAY((AK75-1))&lt;MIN(DAY(AH75),DAY(EOMONTH((AK75-1),0))),1,0))))</f>
        <v/>
      </c>
      <c r="AV75" s="19" t="str">
        <f aca="false">IF(AG75=0,"",IF(OR(AI75&lt;3,AL75&gt;AsOfDate),AT75,IF((AL75-1)&lt;AH75,-1,12*(YEAR((AL75-1))-YEAR(AH75))+MONTH((AL75-1))-MONTH(AH75)-IF(DAY((AL75-1))&lt;MIN(DAY(AH75),DAY(EOMONTH((AL75-1),0))),1,0))))</f>
        <v/>
      </c>
      <c r="AW75" s="19" t="str">
        <f aca="false">IF(AG75=0,"",IF(PFYDate&lt;AH75,-1,12*(YEAR(PFYDate)-YEAR(AH75))+MONTH(PFYDate)-MONTH(AH75)-IF(DAY(PFYDate)&lt;MIN(DAY(AH75),DAY(EOMONTH(PFYDate,0))),1,0)))</f>
        <v/>
      </c>
      <c r="AX75" s="19" t="str">
        <f aca="false">IF(AG75=0,"",IF(OR(AI75&lt;2,AK75&gt;PFYDate),AW75,IF((AK75-1)&lt;AH75,-1,12*(YEAR((AK75-1))-YEAR(AH75))+MONTH((AK75-1))-MONTH(AH75)-IF(DAY((AK75-1))&lt;MIN(DAY(AH75),DAY(EOMONTH((AK75-1),0))),1,0))))</f>
        <v/>
      </c>
      <c r="AY75" s="19" t="str">
        <f aca="false">IF(AG75=0,"",IF(OR(AI75&lt;3,AL75&gt;PFYDate),AW75,IF((AL75-1)&lt;AH75,-1,12*(YEAR((AL75-1))-YEAR(AH75))+MONTH((AL75-1))-MONTH(AH75)-IF(DAY((AL75-1))&lt;MIN(DAY(AH75),DAY(EOMONTH((AL75-1),0))),1,0))))</f>
        <v/>
      </c>
      <c r="AZ75" s="19" t="str">
        <f aca="false">IF(AG75=0,"",IF(AP75="FT",IF(AU75&lt;FT_First,0,IF(AU75&lt;FT_Y5,1+INT((AU75-FT_First)/FT_Int1),FT_PreY5+FT_PerYear*INT((AU75-FT_Y5)/12)+FT_AnnivDays+INT(MOD(AU75-FT_Y5,12)/FT_Int2))),IF(AP75="PT",IF(AU75&lt;PT_First,0,1+INT((AU75-PT_First)/PT_Int)),0))+IF(AND(AI75&gt;=2,AK75&lt;=AsOfDate),IF(AQ75="FT",IF(AV75&lt;FT_First,0,IF(AV75&lt;FT_Y5,1+INT((AV75-FT_First)/FT_Int1),FT_PreY5+FT_PerYear*INT((AV75-FT_Y5)/12)+FT_AnnivDays+INT(MOD(AV75-FT_Y5,12)/FT_Int2))),IF(AQ75="PT",IF(AV75&lt;PT_First,0,1+INT((AV75-PT_First)/PT_Int)),0))-IF(AQ75="FT",IF(AU75&lt;FT_First,0,IF(AU75&lt;FT_Y5,1+INT((AU75-FT_First)/FT_Int1),FT_PreY5+FT_PerYear*INT((AU75-FT_Y5)/12)+FT_AnnivDays+INT(MOD(AU75-FT_Y5,12)/FT_Int2))),IF(AQ75="PT",IF(AU75&lt;PT_First,0,1+INT((AU75-PT_First)/PT_Int)),0)),0)+IF(AND(AI75&gt;=3,AL75&lt;=AsOfDate),IF(AR75="FT",IF(AT75&lt;FT_First,0,IF(AT75&lt;FT_Y5,1+INT((AT75-FT_First)/FT_Int1),FT_PreY5+FT_PerYear*INT((AT75-FT_Y5)/12)+FT_AnnivDays+INT(MOD(AT75-FT_Y5,12)/FT_Int2))),IF(AR75="PT",IF(AT75&lt;PT_First,0,1+INT((AT75-PT_First)/PT_Int)),0))-IF(AR75="FT",IF(AV75&lt;FT_First,0,IF(AV75&lt;FT_Y5,1+INT((AV75-FT_First)/FT_Int1),FT_PreY5+FT_PerYear*INT((AV75-FT_Y5)/12)+FT_AnnivDays+INT(MOD(AV75-FT_Y5,12)/FT_Int2))),IF(AR75="PT",IF(AV75&lt;PT_First,0,1+INT((AV75-PT_First)/PT_Int)),0)),0))</f>
        <v/>
      </c>
      <c r="BA75" s="19" t="str">
        <f aca="false">IF(AG75=0,"",IF(AP75="FT",IF(AX75&lt;FT_First,0,IF(AX75&lt;FT_Y5,1+INT((AX75-FT_First)/FT_Int1),FT_PreY5+FT_PerYear*INT((AX75-FT_Y5)/12)+FT_AnnivDays+INT(MOD(AX75-FT_Y5,12)/FT_Int2))),IF(AP75="PT",IF(AX75&lt;PT_First,0,1+INT((AX75-PT_First)/PT_Int)),0))+IF(AND(AI75&gt;=2,AK75&lt;=PFYDate),IF(AQ75="FT",IF(AY75&lt;FT_First,0,IF(AY75&lt;FT_Y5,1+INT((AY75-FT_First)/FT_Int1),FT_PreY5+FT_PerYear*INT((AY75-FT_Y5)/12)+FT_AnnivDays+INT(MOD(AY75-FT_Y5,12)/FT_Int2))),IF(AQ75="PT",IF(AY75&lt;PT_First,0,1+INT((AY75-PT_First)/PT_Int)),0))-IF(AQ75="FT",IF(AX75&lt;FT_First,0,IF(AX75&lt;FT_Y5,1+INT((AX75-FT_First)/FT_Int1),FT_PreY5+FT_PerYear*INT((AX75-FT_Y5)/12)+FT_AnnivDays+INT(MOD(AX75-FT_Y5,12)/FT_Int2))),IF(AQ75="PT",IF(AX75&lt;PT_First,0,1+INT((AX75-PT_First)/PT_Int)),0)),0)+IF(AND(AI75&gt;=3,AL75&lt;=PFYDate),IF(AR75="FT",IF(AW75&lt;FT_First,0,IF(AW75&lt;FT_Y5,1+INT((AW75-FT_First)/FT_Int1),FT_PreY5+FT_PerYear*INT((AW75-FT_Y5)/12)+FT_AnnivDays+INT(MOD(AW75-FT_Y5,12)/FT_Int2))),IF(AR75="PT",IF(AW75&lt;PT_First,0,1+INT((AW75-PT_First)/PT_Int)),0))-IF(AR75="FT",IF(AY75&lt;FT_First,0,IF(AY75&lt;FT_Y5,1+INT((AY75-FT_First)/FT_Int1),FT_PreY5+FT_PerYear*INT((AY75-FT_Y5)/12)+FT_AnnivDays+INT(MOD(AY75-FT_Y5,12)/FT_Int2))),IF(AR75="PT",IF(AY75&lt;PT_First,0,1+INT((AY75-PT_First)/PT_Int)),0)),0))</f>
        <v/>
      </c>
      <c r="BB75" s="19" t="str">
        <f aca="false">IF(AG75=0,"",IF(AS75="FT",IF(AT75&lt;FT_First,FT_First,IF(AT75&lt;FT_Y5,MIN(FT_Y5,FT_First+FT_Int1*(INT((AT75-FT_First)/FT_Int1)+1)),FT_Y5+12*INT((AT75-FT_Y5)/12)+FT_Int2*(INT(MOD(AT75-FT_Y5,12)/FT_Int2)+1))),IF(AS75="PT",IF(AT75&lt;PT_First,PT_First,PT_First+PT_Int*(INT((AT75-PT_First)/PT_Int)+1)),"")))</f>
        <v/>
      </c>
      <c r="BC75" s="19" t="str">
        <f aca="false">IF(AG75=0,"",IF(NOT(LH_Ready),0,COUNTIFS(INDEX(LH_Data,0,LH_ColFirst),$A75,INDEX(LH_Data,0,LH_ColSur),$B75,INDEX(LH_Data,0,LH_ColCat),BonusCat)))</f>
        <v/>
      </c>
      <c r="BD75" s="19" t="str">
        <f aca="false">IF(AG75=0,"",IF(OR(NOT(LH_Ready),BC75=0),0,SUMPRODUCT(MAX((INDEX(LH_Data,0,LH_ColFirst)=$A75)*(INDEX(LH_Data,0,LH_ColSur)=$B75)*(INDEX(LH_Data,0,LH_ColCat)=BonusCat)*ROW(LH_Data)))))</f>
        <v/>
      </c>
      <c r="BE75" s="19" t="str">
        <f aca="false">IF(AG75=0,"",IF(EOMONTH(AsOfDate,-1)&lt;AH75,-1,12*(YEAR(EOMONTH(AsOfDate,-1))-YEAR(AH75))+MONTH(EOMONTH(AsOfDate,-1))-MONTH(AH75)-IF(DAY(EOMONTH(AsOfDate,-1))&lt;MIN(DAY(AH75),DAY(EOMONTH(EOMONTH(AsOfDate,-1),0))),1,0)))</f>
        <v/>
      </c>
      <c r="BF75" s="19" t="str">
        <f aca="false">IF(AG75=0,"",IF(OR(AI75&lt;2,AK75&gt;EOMONTH(AsOfDate,-1)),BE75,IF((AK75-1)&lt;AH75,-1,12*(YEAR((AK75-1))-YEAR(AH75))+MONTH((AK75-1))-MONTH(AH75)-IF(DAY((AK75-1))&lt;MIN(DAY(AH75),DAY(EOMONTH((AK75-1),0))),1,0))))</f>
        <v/>
      </c>
      <c r="BG75" s="19" t="str">
        <f aca="false">IF(AG75=0,"",IF(OR(AI75&lt;3,AL75&gt;EOMONTH(AsOfDate,-1)),BE75,IF((AL75-1)&lt;AH75,-1,12*(YEAR((AL75-1))-YEAR(AH75))+MONTH((AL75-1))-MONTH(AH75)-IF(DAY((AL75-1))&lt;MIN(DAY(AH75),DAY(EOMONTH((AL75-1),0))),1,0))))</f>
        <v/>
      </c>
      <c r="BH75" s="19" t="str">
        <f aca="false">IF(AG75=0,"",IF(AP75="FT",IF(BF75&lt;FT_First,0,IF(BF75&lt;FT_Y5,1+INT((BF75-FT_First)/FT_Int1),FT_PreY5+FT_PerYear*INT((BF75-FT_Y5)/12)+FT_AnnivDays+INT(MOD(BF75-FT_Y5,12)/FT_Int2))),IF(AP75="PT",IF(BF75&lt;PT_First,0,1+INT((BF75-PT_First)/PT_Int)),0))+IF(AND(AI75&gt;=2,AK75&lt;=EOMONTH(AsOfDate,-1)),IF(AQ75="FT",IF(BG75&lt;FT_First,0,IF(BG75&lt;FT_Y5,1+INT((BG75-FT_First)/FT_Int1),FT_PreY5+FT_PerYear*INT((BG75-FT_Y5)/12)+FT_AnnivDays+INT(MOD(BG75-FT_Y5,12)/FT_Int2))),IF(AQ75="PT",IF(BG75&lt;PT_First,0,1+INT((BG75-PT_First)/PT_Int)),0))-IF(AQ75="FT",IF(BF75&lt;FT_First,0,IF(BF75&lt;FT_Y5,1+INT((BF75-FT_First)/FT_Int1),FT_PreY5+FT_PerYear*INT((BF75-FT_Y5)/12)+FT_AnnivDays+INT(MOD(BF75-FT_Y5,12)/FT_Int2))),IF(AQ75="PT",IF(BF75&lt;PT_First,0,1+INT((BF75-PT_First)/PT_Int)),0)),0)+IF(AND(AI75&gt;=3,AL75&lt;=EOMONTH(AsOfDate,-1)),IF(AR75="FT",IF(BE75&lt;FT_First,0,IF(BE75&lt;FT_Y5,1+INT((BE75-FT_First)/FT_Int1),FT_PreY5+FT_PerYear*INT((BE75-FT_Y5)/12)+FT_AnnivDays+INT(MOD(BE75-FT_Y5,12)/FT_Int2))),IF(AR75="PT",IF(BE75&lt;PT_First,0,1+INT((BE75-PT_First)/PT_Int)),0))-IF(AR75="FT",IF(BG75&lt;FT_First,0,IF(BG75&lt;FT_Y5,1+INT((BG75-FT_First)/FT_Int1),FT_PreY5+FT_PerYear*INT((BG75-FT_Y5)/12)+FT_AnnivDays+INT(MOD(BG75-FT_Y5,12)/FT_Int2))),IF(AR75="PT",IF(BG75&lt;PT_First,0,1+INT((BG75-PT_First)/PT_Int)),0)),0))</f>
        <v/>
      </c>
      <c r="BI75" s="19" t="str">
        <f aca="false">IF(AG75=0,"",IF(AS75="FT",IF(AT75&lt;FT_First,"",IF(AT75&lt;FT_Y5,FT_First+FT_Int1*INT((AT75-FT_First)/FT_Int1),FT_Y5+FT_Int2*INT((AT75-FT_Y5)/FT_Int2))),IF(AS75="PT",IF(AT75&lt;PT_First,"",PT_First+PT_Int*INT((AT75-PT_First)/PT_Int)),"")))</f>
        <v/>
      </c>
      <c r="BJ75" s="0" t="str">
        <f aca="false">IF(LEN($A75&amp;$B75)=0,"",$A75&amp;" "&amp;$B75)</f>
        <v/>
      </c>
    </row>
    <row r="76" customFormat="false" ht="15" hidden="false" customHeight="false" outlineLevel="0" collapsed="false">
      <c r="A76" s="15"/>
      <c r="B76" s="15"/>
      <c r="C76" s="15"/>
      <c r="D76" s="16"/>
      <c r="E76" s="17" t="str">
        <f aca="false">IF(OR(AG76=0,$D76=""),"",DATE(YEAR(AsOfDate)+IF(DATE(YEAR(AsOfDate),MONTH($D76),DAY($D76))&lt;=AsOfDate,1,0),MONTH($D76),DAY($D76)))</f>
        <v/>
      </c>
      <c r="F76" s="16"/>
      <c r="G76" s="16"/>
      <c r="H76" s="16"/>
      <c r="I76" s="16"/>
      <c r="J76" s="16"/>
      <c r="K76" s="17" t="str">
        <f aca="false">IF(AG76=0,"",DATE(YEAR(AsOfDate)+IF(DATE(YEAR(AsOfDate),MONTH(AH76),DAY(AH76))&lt;=AsOfDate,1,0),MONTH(AH76),DAY(AH76)))</f>
        <v/>
      </c>
      <c r="L76" s="18" t="str">
        <f aca="false">IF(AG76=0,"",ROUND((AsOfDate-AH76)/365.25,1))</f>
        <v/>
      </c>
      <c r="M76" s="19" t="str">
        <f aca="false">IF(AG76=0,"",IF(AsOfDate&lt;AH76,"-",DATEDIF(AH76,AsOfDate,"y")&amp;"y "&amp;DATEDIF(AH76,AsOfDate,"ym")&amp;"m "&amp;DATEDIF(AH76,AsOfDate,"md")&amp;"d"))</f>
        <v/>
      </c>
      <c r="N76" s="20" t="str">
        <f aca="false">IF(AG76=0,"",O76*HoursPerDay)</f>
        <v/>
      </c>
      <c r="O76" s="20" t="str">
        <f aca="false">IF(AG76=0,"",AZ76)</f>
        <v/>
      </c>
      <c r="P76" s="21"/>
      <c r="Q76" s="19"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19"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7" t="str">
        <f aca="false">IF(AG76=0,"",IF(AS76="None","",EDATE(AH76,BB76)))</f>
        <v/>
      </c>
      <c r="T76" s="20" t="str">
        <f aca="false">IF(AG76=0,"",IF(NOT(LH_Ready),"",IF(AH76&gt;PFYDate,0,IF(LH_ColPeriod=0,W76-U76+V76,SUMIFS(INDEX(LH_Data,0,LH_ColAcc),INDEX(LH_Data,0,LH_ColFirst),$A76,INDEX(LH_Data,0,LH_ColSur),$B76,INDEX(LH_Data,0,LH_ColCat),BonusCat,INDEX(LH_Data,0,LH_ColPeriod),LH_OpenLabel)*UnitFactor))))</f>
        <v/>
      </c>
      <c r="U76" s="20" t="str">
        <f aca="false">IF(AG76=0,"",IF(NOT(LH_Ready),"",SUMIFS(INDEX(LH_Data,0,LH_ColAcc),INDEX(LH_Data,0,LH_ColFirst),$A76,INDEX(LH_Data,0,LH_ColSur),$B76,INDEX(LH_Data,0,LH_ColCat),BonusCat,INDEX(LH_Data,0,LH_ColStart),"&gt;="&amp;AH76)*UnitFactor))</f>
        <v/>
      </c>
      <c r="V76" s="20" t="str">
        <f aca="false">IF(AG76=0,"",IF(NOT(LH_Ready),"",SUMIFS(INDEX(LH_Data,0,LH_ColTaken),INDEX(LH_Data,0,LH_ColFirst),$A76,INDEX(LH_Data,0,LH_ColSur),$B76,INDEX(LH_Data,0,LH_ColCat),BonusCat,INDEX(LH_Data,0,LH_ColStart),"&gt;="&amp;AH76)*UnitFactor))</f>
        <v/>
      </c>
      <c r="W76" s="20" t="str">
        <f aca="false">IF(AG76=0,"",IF(NOT(LH_Ready),"",IF(BD76=0,0,INDEX(INDEX(LH_Data,0,LH_ColClose),BD76-1)*UnitFactor)))</f>
        <v/>
      </c>
      <c r="X76" s="20" t="str">
        <f aca="false">IF(AG76=0,"",(AZ76-BA76)*HoursPerDay)</f>
        <v/>
      </c>
      <c r="Y76" s="20" t="str">
        <f aca="false">IF(AG76=0,"",IF(NOT(LH_Ready),"",IF(BC76=0,N76,IF(PFYDate&lt;$F76,N76-N(T76)-N(U76),X76-N(U76)))))</f>
        <v/>
      </c>
      <c r="Z76" s="19" t="str">
        <f aca="false">IF(OR(AG76=0,Y76=""),"",IF(Y76&gt;0,"Yes","No"))</f>
        <v/>
      </c>
      <c r="AA76" s="19"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20" t="str">
        <f aca="false">IF(OR(AG76=0,T76=""),"",BA76*HoursPerDay-T76)</f>
        <v/>
      </c>
      <c r="AC76" s="19" t="str">
        <f aca="false">IF(AG76=0,"",BC76)</f>
        <v/>
      </c>
      <c r="AD76" s="19"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20" t="str">
        <f aca="false">IF(AG76=0,"",O76-BH76)</f>
        <v/>
      </c>
      <c r="AF76" s="17" t="str">
        <f aca="false">IF(OR(AG76=0,AE76="",N(AE76)=0,BI76=""),"",EDATE(AH76,BI76))</f>
        <v/>
      </c>
      <c r="AG76" s="19" t="n">
        <f aca="false">IF(OR(LEN($A76&amp;$B76)=0,$F76=""),0,1)</f>
        <v>0</v>
      </c>
      <c r="AH76" s="17" t="str">
        <f aca="false">IF(AG76=0,"",IF($J76&lt;&gt;"",$J76,IF(OR(CasualCounts="Yes",COUNT($G76:$I76)=0,COUNT($H76:$I76)=0),$F76,MIN($H76:$I76))))</f>
        <v/>
      </c>
      <c r="AI76" s="19" t="str">
        <f aca="false">IF(AG76=0,"",COUNT($G76:$I76))</f>
        <v/>
      </c>
      <c r="AJ76" s="17" t="str">
        <f aca="false">IF(AG76=0,"",IFERROR(SMALL($G76:$I76,1),""))</f>
        <v/>
      </c>
      <c r="AK76" s="17" t="str">
        <f aca="false">IF(AG76=0,"",IFERROR(SMALL($G76:$I76,2),""))</f>
        <v/>
      </c>
      <c r="AL76" s="17" t="str">
        <f aca="false">IF(AG76=0,"",IFERROR(SMALL($G76:$I76,3),""))</f>
        <v/>
      </c>
      <c r="AM76" s="19" t="str">
        <f aca="false">IF(AG76=0,"",IF(AJ76="","",IF(AJ76=$H76,"Part-Time",IF(AJ76=$I76,"Full-Time","Casual"))))</f>
        <v/>
      </c>
      <c r="AN76" s="19" t="str">
        <f aca="false">IF(AG76=0,"",IF(AK76="","",IF(AK76=$H76,"Part-Time",IF(AK76=$I76,"Full-Time","Casual"))))</f>
        <v/>
      </c>
      <c r="AO76" s="19" t="str">
        <f aca="false">IF(AG76=0,"",IF(AL76="","",IF(AL76=$H76,"Part-Time",IF(AL76=$I76,"Full-Time","Casual"))))</f>
        <v/>
      </c>
      <c r="AP76" s="19"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19" t="str">
        <f aca="false">IF(AG76=0,"",IF(AI76&lt;2,"",IF(OR(ISNUMBER(SEARCH("full",AN76)),UPPER(TRIM(AN76))="FT",UPPER(TRIM(AN76))="FTE"),"FT",IF(AND(OR(ISNUMBER(SEARCH("part",AN76)),UPPER(TRIM(AN76))="PT",UPPER(TRIM(AN76))="PTE"),OR($P76="",N($P76)&gt;=PT_MinHours)),"PT","None"))))</f>
        <v/>
      </c>
      <c r="AR76" s="19" t="str">
        <f aca="false">IF(AG76=0,"",IF(AI76&lt;3,"",IF(OR(ISNUMBER(SEARCH("full",AO76)),UPPER(TRIM(AO76))="FT",UPPER(TRIM(AO76))="FTE"),"FT",IF(AND(OR(ISNUMBER(SEARCH("part",AO76)),UPPER(TRIM(AO76))="PT",UPPER(TRIM(AO76))="PTE"),OR($P76="",N($P76)&gt;=PT_MinHours)),"PT","None"))))</f>
        <v/>
      </c>
      <c r="AS76" s="19" t="str">
        <f aca="false">IF(AG76=0,"",IF(AND(AI76&gt;=3,AL76&lt;=AsOfDate),AR76,IF(AND(AI76&gt;=2,AK76&lt;=AsOfDate),AQ76,AP76)))</f>
        <v/>
      </c>
      <c r="AT76" s="19" t="str">
        <f aca="false">IF(AG76=0,"",IF(AsOfDate&lt;AH76,-1,12*(YEAR(AsOfDate)-YEAR(AH76))+MONTH(AsOfDate)-MONTH(AH76)-IF(DAY(AsOfDate)&lt;MIN(DAY(AH76),DAY(EOMONTH(AsOfDate,0))),1,0)))</f>
        <v/>
      </c>
      <c r="AU76" s="19" t="str">
        <f aca="false">IF(AG76=0,"",IF(OR(AI76&lt;2,AK76&gt;AsOfDate),AT76,IF((AK76-1)&lt;AH76,-1,12*(YEAR((AK76-1))-YEAR(AH76))+MONTH((AK76-1))-MONTH(AH76)-IF(DAY((AK76-1))&lt;MIN(DAY(AH76),DAY(EOMONTH((AK76-1),0))),1,0))))</f>
        <v/>
      </c>
      <c r="AV76" s="19" t="str">
        <f aca="false">IF(AG76=0,"",IF(OR(AI76&lt;3,AL76&gt;AsOfDate),AT76,IF((AL76-1)&lt;AH76,-1,12*(YEAR((AL76-1))-YEAR(AH76))+MONTH((AL76-1))-MONTH(AH76)-IF(DAY((AL76-1))&lt;MIN(DAY(AH76),DAY(EOMONTH((AL76-1),0))),1,0))))</f>
        <v/>
      </c>
      <c r="AW76" s="19" t="str">
        <f aca="false">IF(AG76=0,"",IF(PFYDate&lt;AH76,-1,12*(YEAR(PFYDate)-YEAR(AH76))+MONTH(PFYDate)-MONTH(AH76)-IF(DAY(PFYDate)&lt;MIN(DAY(AH76),DAY(EOMONTH(PFYDate,0))),1,0)))</f>
        <v/>
      </c>
      <c r="AX76" s="19" t="str">
        <f aca="false">IF(AG76=0,"",IF(OR(AI76&lt;2,AK76&gt;PFYDate),AW76,IF((AK76-1)&lt;AH76,-1,12*(YEAR((AK76-1))-YEAR(AH76))+MONTH((AK76-1))-MONTH(AH76)-IF(DAY((AK76-1))&lt;MIN(DAY(AH76),DAY(EOMONTH((AK76-1),0))),1,0))))</f>
        <v/>
      </c>
      <c r="AY76" s="19" t="str">
        <f aca="false">IF(AG76=0,"",IF(OR(AI76&lt;3,AL76&gt;PFYDate),AW76,IF((AL76-1)&lt;AH76,-1,12*(YEAR((AL76-1))-YEAR(AH76))+MONTH((AL76-1))-MONTH(AH76)-IF(DAY((AL76-1))&lt;MIN(DAY(AH76),DAY(EOMONTH((AL76-1),0))),1,0))))</f>
        <v/>
      </c>
      <c r="AZ76" s="19" t="str">
        <f aca="false">IF(AG76=0,"",IF(AP76="FT",IF(AU76&lt;FT_First,0,IF(AU76&lt;FT_Y5,1+INT((AU76-FT_First)/FT_Int1),FT_PreY5+FT_PerYear*INT((AU76-FT_Y5)/12)+FT_AnnivDays+INT(MOD(AU76-FT_Y5,12)/FT_Int2))),IF(AP76="PT",IF(AU76&lt;PT_First,0,1+INT((AU76-PT_First)/PT_Int)),0))+IF(AND(AI76&gt;=2,AK76&lt;=AsOfDate),IF(AQ76="FT",IF(AV76&lt;FT_First,0,IF(AV76&lt;FT_Y5,1+INT((AV76-FT_First)/FT_Int1),FT_PreY5+FT_PerYear*INT((AV76-FT_Y5)/12)+FT_AnnivDays+INT(MOD(AV76-FT_Y5,12)/FT_Int2))),IF(AQ76="PT",IF(AV76&lt;PT_First,0,1+INT((AV76-PT_First)/PT_Int)),0))-IF(AQ76="FT",IF(AU76&lt;FT_First,0,IF(AU76&lt;FT_Y5,1+INT((AU76-FT_First)/FT_Int1),FT_PreY5+FT_PerYear*INT((AU76-FT_Y5)/12)+FT_AnnivDays+INT(MOD(AU76-FT_Y5,12)/FT_Int2))),IF(AQ76="PT",IF(AU76&lt;PT_First,0,1+INT((AU76-PT_First)/PT_Int)),0)),0)+IF(AND(AI76&gt;=3,AL76&lt;=AsOfDate),IF(AR76="FT",IF(AT76&lt;FT_First,0,IF(AT76&lt;FT_Y5,1+INT((AT76-FT_First)/FT_Int1),FT_PreY5+FT_PerYear*INT((AT76-FT_Y5)/12)+FT_AnnivDays+INT(MOD(AT76-FT_Y5,12)/FT_Int2))),IF(AR76="PT",IF(AT76&lt;PT_First,0,1+INT((AT76-PT_First)/PT_Int)),0))-IF(AR76="FT",IF(AV76&lt;FT_First,0,IF(AV76&lt;FT_Y5,1+INT((AV76-FT_First)/FT_Int1),FT_PreY5+FT_PerYear*INT((AV76-FT_Y5)/12)+FT_AnnivDays+INT(MOD(AV76-FT_Y5,12)/FT_Int2))),IF(AR76="PT",IF(AV76&lt;PT_First,0,1+INT((AV76-PT_First)/PT_Int)),0)),0))</f>
        <v/>
      </c>
      <c r="BA76" s="19" t="str">
        <f aca="false">IF(AG76=0,"",IF(AP76="FT",IF(AX76&lt;FT_First,0,IF(AX76&lt;FT_Y5,1+INT((AX76-FT_First)/FT_Int1),FT_PreY5+FT_PerYear*INT((AX76-FT_Y5)/12)+FT_AnnivDays+INT(MOD(AX76-FT_Y5,12)/FT_Int2))),IF(AP76="PT",IF(AX76&lt;PT_First,0,1+INT((AX76-PT_First)/PT_Int)),0))+IF(AND(AI76&gt;=2,AK76&lt;=PFYDate),IF(AQ76="FT",IF(AY76&lt;FT_First,0,IF(AY76&lt;FT_Y5,1+INT((AY76-FT_First)/FT_Int1),FT_PreY5+FT_PerYear*INT((AY76-FT_Y5)/12)+FT_AnnivDays+INT(MOD(AY76-FT_Y5,12)/FT_Int2))),IF(AQ76="PT",IF(AY76&lt;PT_First,0,1+INT((AY76-PT_First)/PT_Int)),0))-IF(AQ76="FT",IF(AX76&lt;FT_First,0,IF(AX76&lt;FT_Y5,1+INT((AX76-FT_First)/FT_Int1),FT_PreY5+FT_PerYear*INT((AX76-FT_Y5)/12)+FT_AnnivDays+INT(MOD(AX76-FT_Y5,12)/FT_Int2))),IF(AQ76="PT",IF(AX76&lt;PT_First,0,1+INT((AX76-PT_First)/PT_Int)),0)),0)+IF(AND(AI76&gt;=3,AL76&lt;=PFYDate),IF(AR76="FT",IF(AW76&lt;FT_First,0,IF(AW76&lt;FT_Y5,1+INT((AW76-FT_First)/FT_Int1),FT_PreY5+FT_PerYear*INT((AW76-FT_Y5)/12)+FT_AnnivDays+INT(MOD(AW76-FT_Y5,12)/FT_Int2))),IF(AR76="PT",IF(AW76&lt;PT_First,0,1+INT((AW76-PT_First)/PT_Int)),0))-IF(AR76="FT",IF(AY76&lt;FT_First,0,IF(AY76&lt;FT_Y5,1+INT((AY76-FT_First)/FT_Int1),FT_PreY5+FT_PerYear*INT((AY76-FT_Y5)/12)+FT_AnnivDays+INT(MOD(AY76-FT_Y5,12)/FT_Int2))),IF(AR76="PT",IF(AY76&lt;PT_First,0,1+INT((AY76-PT_First)/PT_Int)),0)),0))</f>
        <v/>
      </c>
      <c r="BB76" s="19" t="str">
        <f aca="false">IF(AG76=0,"",IF(AS76="FT",IF(AT76&lt;FT_First,FT_First,IF(AT76&lt;FT_Y5,MIN(FT_Y5,FT_First+FT_Int1*(INT((AT76-FT_First)/FT_Int1)+1)),FT_Y5+12*INT((AT76-FT_Y5)/12)+FT_Int2*(INT(MOD(AT76-FT_Y5,12)/FT_Int2)+1))),IF(AS76="PT",IF(AT76&lt;PT_First,PT_First,PT_First+PT_Int*(INT((AT76-PT_First)/PT_Int)+1)),"")))</f>
        <v/>
      </c>
      <c r="BC76" s="19" t="str">
        <f aca="false">IF(AG76=0,"",IF(NOT(LH_Ready),0,COUNTIFS(INDEX(LH_Data,0,LH_ColFirst),$A76,INDEX(LH_Data,0,LH_ColSur),$B76,INDEX(LH_Data,0,LH_ColCat),BonusCat)))</f>
        <v/>
      </c>
      <c r="BD76" s="19" t="str">
        <f aca="false">IF(AG76=0,"",IF(OR(NOT(LH_Ready),BC76=0),0,SUMPRODUCT(MAX((INDEX(LH_Data,0,LH_ColFirst)=$A76)*(INDEX(LH_Data,0,LH_ColSur)=$B76)*(INDEX(LH_Data,0,LH_ColCat)=BonusCat)*ROW(LH_Data)))))</f>
        <v/>
      </c>
      <c r="BE76" s="19" t="str">
        <f aca="false">IF(AG76=0,"",IF(EOMONTH(AsOfDate,-1)&lt;AH76,-1,12*(YEAR(EOMONTH(AsOfDate,-1))-YEAR(AH76))+MONTH(EOMONTH(AsOfDate,-1))-MONTH(AH76)-IF(DAY(EOMONTH(AsOfDate,-1))&lt;MIN(DAY(AH76),DAY(EOMONTH(EOMONTH(AsOfDate,-1),0))),1,0)))</f>
        <v/>
      </c>
      <c r="BF76" s="19" t="str">
        <f aca="false">IF(AG76=0,"",IF(OR(AI76&lt;2,AK76&gt;EOMONTH(AsOfDate,-1)),BE76,IF((AK76-1)&lt;AH76,-1,12*(YEAR((AK76-1))-YEAR(AH76))+MONTH((AK76-1))-MONTH(AH76)-IF(DAY((AK76-1))&lt;MIN(DAY(AH76),DAY(EOMONTH((AK76-1),0))),1,0))))</f>
        <v/>
      </c>
      <c r="BG76" s="19" t="str">
        <f aca="false">IF(AG76=0,"",IF(OR(AI76&lt;3,AL76&gt;EOMONTH(AsOfDate,-1)),BE76,IF((AL76-1)&lt;AH76,-1,12*(YEAR((AL76-1))-YEAR(AH76))+MONTH((AL76-1))-MONTH(AH76)-IF(DAY((AL76-1))&lt;MIN(DAY(AH76),DAY(EOMONTH((AL76-1),0))),1,0))))</f>
        <v/>
      </c>
      <c r="BH76" s="19" t="str">
        <f aca="false">IF(AG76=0,"",IF(AP76="FT",IF(BF76&lt;FT_First,0,IF(BF76&lt;FT_Y5,1+INT((BF76-FT_First)/FT_Int1),FT_PreY5+FT_PerYear*INT((BF76-FT_Y5)/12)+FT_AnnivDays+INT(MOD(BF76-FT_Y5,12)/FT_Int2))),IF(AP76="PT",IF(BF76&lt;PT_First,0,1+INT((BF76-PT_First)/PT_Int)),0))+IF(AND(AI76&gt;=2,AK76&lt;=EOMONTH(AsOfDate,-1)),IF(AQ76="FT",IF(BG76&lt;FT_First,0,IF(BG76&lt;FT_Y5,1+INT((BG76-FT_First)/FT_Int1),FT_PreY5+FT_PerYear*INT((BG76-FT_Y5)/12)+FT_AnnivDays+INT(MOD(BG76-FT_Y5,12)/FT_Int2))),IF(AQ76="PT",IF(BG76&lt;PT_First,0,1+INT((BG76-PT_First)/PT_Int)),0))-IF(AQ76="FT",IF(BF76&lt;FT_First,0,IF(BF76&lt;FT_Y5,1+INT((BF76-FT_First)/FT_Int1),FT_PreY5+FT_PerYear*INT((BF76-FT_Y5)/12)+FT_AnnivDays+INT(MOD(BF76-FT_Y5,12)/FT_Int2))),IF(AQ76="PT",IF(BF76&lt;PT_First,0,1+INT((BF76-PT_First)/PT_Int)),0)),0)+IF(AND(AI76&gt;=3,AL76&lt;=EOMONTH(AsOfDate,-1)),IF(AR76="FT",IF(BE76&lt;FT_First,0,IF(BE76&lt;FT_Y5,1+INT((BE76-FT_First)/FT_Int1),FT_PreY5+FT_PerYear*INT((BE76-FT_Y5)/12)+FT_AnnivDays+INT(MOD(BE76-FT_Y5,12)/FT_Int2))),IF(AR76="PT",IF(BE76&lt;PT_First,0,1+INT((BE76-PT_First)/PT_Int)),0))-IF(AR76="FT",IF(BG76&lt;FT_First,0,IF(BG76&lt;FT_Y5,1+INT((BG76-FT_First)/FT_Int1),FT_PreY5+FT_PerYear*INT((BG76-FT_Y5)/12)+FT_AnnivDays+INT(MOD(BG76-FT_Y5,12)/FT_Int2))),IF(AR76="PT",IF(BG76&lt;PT_First,0,1+INT((BG76-PT_First)/PT_Int)),0)),0))</f>
        <v/>
      </c>
      <c r="BI76" s="19" t="str">
        <f aca="false">IF(AG76=0,"",IF(AS76="FT",IF(AT76&lt;FT_First,"",IF(AT76&lt;FT_Y5,FT_First+FT_Int1*INT((AT76-FT_First)/FT_Int1),FT_Y5+FT_Int2*INT((AT76-FT_Y5)/FT_Int2))),IF(AS76="PT",IF(AT76&lt;PT_First,"",PT_First+PT_Int*INT((AT76-PT_First)/PT_Int)),"")))</f>
        <v/>
      </c>
      <c r="BJ76" s="0" t="str">
        <f aca="false">IF(LEN($A76&amp;$B76)=0,"",$A76&amp;" "&amp;$B76)</f>
        <v/>
      </c>
    </row>
    <row r="77" customFormat="false" ht="15" hidden="false" customHeight="false" outlineLevel="0" collapsed="false">
      <c r="A77" s="15"/>
      <c r="B77" s="15"/>
      <c r="C77" s="15"/>
      <c r="D77" s="16"/>
      <c r="E77" s="17" t="str">
        <f aca="false">IF(OR(AG77=0,$D77=""),"",DATE(YEAR(AsOfDate)+IF(DATE(YEAR(AsOfDate),MONTH($D77),DAY($D77))&lt;=AsOfDate,1,0),MONTH($D77),DAY($D77)))</f>
        <v/>
      </c>
      <c r="F77" s="16"/>
      <c r="G77" s="16"/>
      <c r="H77" s="16"/>
      <c r="I77" s="16"/>
      <c r="J77" s="16"/>
      <c r="K77" s="17" t="str">
        <f aca="false">IF(AG77=0,"",DATE(YEAR(AsOfDate)+IF(DATE(YEAR(AsOfDate),MONTH(AH77),DAY(AH77))&lt;=AsOfDate,1,0),MONTH(AH77),DAY(AH77)))</f>
        <v/>
      </c>
      <c r="L77" s="18" t="str">
        <f aca="false">IF(AG77=0,"",ROUND((AsOfDate-AH77)/365.25,1))</f>
        <v/>
      </c>
      <c r="M77" s="19" t="str">
        <f aca="false">IF(AG77=0,"",IF(AsOfDate&lt;AH77,"-",DATEDIF(AH77,AsOfDate,"y")&amp;"y "&amp;DATEDIF(AH77,AsOfDate,"ym")&amp;"m "&amp;DATEDIF(AH77,AsOfDate,"md")&amp;"d"))</f>
        <v/>
      </c>
      <c r="N77" s="20" t="str">
        <f aca="false">IF(AG77=0,"",O77*HoursPerDay)</f>
        <v/>
      </c>
      <c r="O77" s="20" t="str">
        <f aca="false">IF(AG77=0,"",AZ77)</f>
        <v/>
      </c>
      <c r="P77" s="21"/>
      <c r="Q77" s="19"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19"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7" t="str">
        <f aca="false">IF(AG77=0,"",IF(AS77="None","",EDATE(AH77,BB77)))</f>
        <v/>
      </c>
      <c r="T77" s="20" t="str">
        <f aca="false">IF(AG77=0,"",IF(NOT(LH_Ready),"",IF(AH77&gt;PFYDate,0,IF(LH_ColPeriod=0,W77-U77+V77,SUMIFS(INDEX(LH_Data,0,LH_ColAcc),INDEX(LH_Data,0,LH_ColFirst),$A77,INDEX(LH_Data,0,LH_ColSur),$B77,INDEX(LH_Data,0,LH_ColCat),BonusCat,INDEX(LH_Data,0,LH_ColPeriod),LH_OpenLabel)*UnitFactor))))</f>
        <v/>
      </c>
      <c r="U77" s="20" t="str">
        <f aca="false">IF(AG77=0,"",IF(NOT(LH_Ready),"",SUMIFS(INDEX(LH_Data,0,LH_ColAcc),INDEX(LH_Data,0,LH_ColFirst),$A77,INDEX(LH_Data,0,LH_ColSur),$B77,INDEX(LH_Data,0,LH_ColCat),BonusCat,INDEX(LH_Data,0,LH_ColStart),"&gt;="&amp;AH77)*UnitFactor))</f>
        <v/>
      </c>
      <c r="V77" s="20" t="str">
        <f aca="false">IF(AG77=0,"",IF(NOT(LH_Ready),"",SUMIFS(INDEX(LH_Data,0,LH_ColTaken),INDEX(LH_Data,0,LH_ColFirst),$A77,INDEX(LH_Data,0,LH_ColSur),$B77,INDEX(LH_Data,0,LH_ColCat),BonusCat,INDEX(LH_Data,0,LH_ColStart),"&gt;="&amp;AH77)*UnitFactor))</f>
        <v/>
      </c>
      <c r="W77" s="20" t="str">
        <f aca="false">IF(AG77=0,"",IF(NOT(LH_Ready),"",IF(BD77=0,0,INDEX(INDEX(LH_Data,0,LH_ColClose),BD77-1)*UnitFactor)))</f>
        <v/>
      </c>
      <c r="X77" s="20" t="str">
        <f aca="false">IF(AG77=0,"",(AZ77-BA77)*HoursPerDay)</f>
        <v/>
      </c>
      <c r="Y77" s="20" t="str">
        <f aca="false">IF(AG77=0,"",IF(NOT(LH_Ready),"",IF(BC77=0,N77,IF(PFYDate&lt;$F77,N77-N(T77)-N(U77),X77-N(U77)))))</f>
        <v/>
      </c>
      <c r="Z77" s="19" t="str">
        <f aca="false">IF(OR(AG77=0,Y77=""),"",IF(Y77&gt;0,"Yes","No"))</f>
        <v/>
      </c>
      <c r="AA77" s="19"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20" t="str">
        <f aca="false">IF(OR(AG77=0,T77=""),"",BA77*HoursPerDay-T77)</f>
        <v/>
      </c>
      <c r="AC77" s="19" t="str">
        <f aca="false">IF(AG77=0,"",BC77)</f>
        <v/>
      </c>
      <c r="AD77" s="19"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20" t="str">
        <f aca="false">IF(AG77=0,"",O77-BH77)</f>
        <v/>
      </c>
      <c r="AF77" s="17" t="str">
        <f aca="false">IF(OR(AG77=0,AE77="",N(AE77)=0,BI77=""),"",EDATE(AH77,BI77))</f>
        <v/>
      </c>
      <c r="AG77" s="19" t="n">
        <f aca="false">IF(OR(LEN($A77&amp;$B77)=0,$F77=""),0,1)</f>
        <v>0</v>
      </c>
      <c r="AH77" s="17" t="str">
        <f aca="false">IF(AG77=0,"",IF($J77&lt;&gt;"",$J77,IF(OR(CasualCounts="Yes",COUNT($G77:$I77)=0,COUNT($H77:$I77)=0),$F77,MIN($H77:$I77))))</f>
        <v/>
      </c>
      <c r="AI77" s="19" t="str">
        <f aca="false">IF(AG77=0,"",COUNT($G77:$I77))</f>
        <v/>
      </c>
      <c r="AJ77" s="17" t="str">
        <f aca="false">IF(AG77=0,"",IFERROR(SMALL($G77:$I77,1),""))</f>
        <v/>
      </c>
      <c r="AK77" s="17" t="str">
        <f aca="false">IF(AG77=0,"",IFERROR(SMALL($G77:$I77,2),""))</f>
        <v/>
      </c>
      <c r="AL77" s="17" t="str">
        <f aca="false">IF(AG77=0,"",IFERROR(SMALL($G77:$I77,3),""))</f>
        <v/>
      </c>
      <c r="AM77" s="19" t="str">
        <f aca="false">IF(AG77=0,"",IF(AJ77="","",IF(AJ77=$H77,"Part-Time",IF(AJ77=$I77,"Full-Time","Casual"))))</f>
        <v/>
      </c>
      <c r="AN77" s="19" t="str">
        <f aca="false">IF(AG77=0,"",IF(AK77="","",IF(AK77=$H77,"Part-Time",IF(AK77=$I77,"Full-Time","Casual"))))</f>
        <v/>
      </c>
      <c r="AO77" s="19" t="str">
        <f aca="false">IF(AG77=0,"",IF(AL77="","",IF(AL77=$H77,"Part-Time",IF(AL77=$I77,"Full-Time","Casual"))))</f>
        <v/>
      </c>
      <c r="AP77" s="19"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19" t="str">
        <f aca="false">IF(AG77=0,"",IF(AI77&lt;2,"",IF(OR(ISNUMBER(SEARCH("full",AN77)),UPPER(TRIM(AN77))="FT",UPPER(TRIM(AN77))="FTE"),"FT",IF(AND(OR(ISNUMBER(SEARCH("part",AN77)),UPPER(TRIM(AN77))="PT",UPPER(TRIM(AN77))="PTE"),OR($P77="",N($P77)&gt;=PT_MinHours)),"PT","None"))))</f>
        <v/>
      </c>
      <c r="AR77" s="19" t="str">
        <f aca="false">IF(AG77=0,"",IF(AI77&lt;3,"",IF(OR(ISNUMBER(SEARCH("full",AO77)),UPPER(TRIM(AO77))="FT",UPPER(TRIM(AO77))="FTE"),"FT",IF(AND(OR(ISNUMBER(SEARCH("part",AO77)),UPPER(TRIM(AO77))="PT",UPPER(TRIM(AO77))="PTE"),OR($P77="",N($P77)&gt;=PT_MinHours)),"PT","None"))))</f>
        <v/>
      </c>
      <c r="AS77" s="19" t="str">
        <f aca="false">IF(AG77=0,"",IF(AND(AI77&gt;=3,AL77&lt;=AsOfDate),AR77,IF(AND(AI77&gt;=2,AK77&lt;=AsOfDate),AQ77,AP77)))</f>
        <v/>
      </c>
      <c r="AT77" s="19" t="str">
        <f aca="false">IF(AG77=0,"",IF(AsOfDate&lt;AH77,-1,12*(YEAR(AsOfDate)-YEAR(AH77))+MONTH(AsOfDate)-MONTH(AH77)-IF(DAY(AsOfDate)&lt;MIN(DAY(AH77),DAY(EOMONTH(AsOfDate,0))),1,0)))</f>
        <v/>
      </c>
      <c r="AU77" s="19" t="str">
        <f aca="false">IF(AG77=0,"",IF(OR(AI77&lt;2,AK77&gt;AsOfDate),AT77,IF((AK77-1)&lt;AH77,-1,12*(YEAR((AK77-1))-YEAR(AH77))+MONTH((AK77-1))-MONTH(AH77)-IF(DAY((AK77-1))&lt;MIN(DAY(AH77),DAY(EOMONTH((AK77-1),0))),1,0))))</f>
        <v/>
      </c>
      <c r="AV77" s="19" t="str">
        <f aca="false">IF(AG77=0,"",IF(OR(AI77&lt;3,AL77&gt;AsOfDate),AT77,IF((AL77-1)&lt;AH77,-1,12*(YEAR((AL77-1))-YEAR(AH77))+MONTH((AL77-1))-MONTH(AH77)-IF(DAY((AL77-1))&lt;MIN(DAY(AH77),DAY(EOMONTH((AL77-1),0))),1,0))))</f>
        <v/>
      </c>
      <c r="AW77" s="19" t="str">
        <f aca="false">IF(AG77=0,"",IF(PFYDate&lt;AH77,-1,12*(YEAR(PFYDate)-YEAR(AH77))+MONTH(PFYDate)-MONTH(AH77)-IF(DAY(PFYDate)&lt;MIN(DAY(AH77),DAY(EOMONTH(PFYDate,0))),1,0)))</f>
        <v/>
      </c>
      <c r="AX77" s="19" t="str">
        <f aca="false">IF(AG77=0,"",IF(OR(AI77&lt;2,AK77&gt;PFYDate),AW77,IF((AK77-1)&lt;AH77,-1,12*(YEAR((AK77-1))-YEAR(AH77))+MONTH((AK77-1))-MONTH(AH77)-IF(DAY((AK77-1))&lt;MIN(DAY(AH77),DAY(EOMONTH((AK77-1),0))),1,0))))</f>
        <v/>
      </c>
      <c r="AY77" s="19" t="str">
        <f aca="false">IF(AG77=0,"",IF(OR(AI77&lt;3,AL77&gt;PFYDate),AW77,IF((AL77-1)&lt;AH77,-1,12*(YEAR((AL77-1))-YEAR(AH77))+MONTH((AL77-1))-MONTH(AH77)-IF(DAY((AL77-1))&lt;MIN(DAY(AH77),DAY(EOMONTH((AL77-1),0))),1,0))))</f>
        <v/>
      </c>
      <c r="AZ77" s="19" t="str">
        <f aca="false">IF(AG77=0,"",IF(AP77="FT",IF(AU77&lt;FT_First,0,IF(AU77&lt;FT_Y5,1+INT((AU77-FT_First)/FT_Int1),FT_PreY5+FT_PerYear*INT((AU77-FT_Y5)/12)+FT_AnnivDays+INT(MOD(AU77-FT_Y5,12)/FT_Int2))),IF(AP77="PT",IF(AU77&lt;PT_First,0,1+INT((AU77-PT_First)/PT_Int)),0))+IF(AND(AI77&gt;=2,AK77&lt;=AsOfDate),IF(AQ77="FT",IF(AV77&lt;FT_First,0,IF(AV77&lt;FT_Y5,1+INT((AV77-FT_First)/FT_Int1),FT_PreY5+FT_PerYear*INT((AV77-FT_Y5)/12)+FT_AnnivDays+INT(MOD(AV77-FT_Y5,12)/FT_Int2))),IF(AQ77="PT",IF(AV77&lt;PT_First,0,1+INT((AV77-PT_First)/PT_Int)),0))-IF(AQ77="FT",IF(AU77&lt;FT_First,0,IF(AU77&lt;FT_Y5,1+INT((AU77-FT_First)/FT_Int1),FT_PreY5+FT_PerYear*INT((AU77-FT_Y5)/12)+FT_AnnivDays+INT(MOD(AU77-FT_Y5,12)/FT_Int2))),IF(AQ77="PT",IF(AU77&lt;PT_First,0,1+INT((AU77-PT_First)/PT_Int)),0)),0)+IF(AND(AI77&gt;=3,AL77&lt;=AsOfDate),IF(AR77="FT",IF(AT77&lt;FT_First,0,IF(AT77&lt;FT_Y5,1+INT((AT77-FT_First)/FT_Int1),FT_PreY5+FT_PerYear*INT((AT77-FT_Y5)/12)+FT_AnnivDays+INT(MOD(AT77-FT_Y5,12)/FT_Int2))),IF(AR77="PT",IF(AT77&lt;PT_First,0,1+INT((AT77-PT_First)/PT_Int)),0))-IF(AR77="FT",IF(AV77&lt;FT_First,0,IF(AV77&lt;FT_Y5,1+INT((AV77-FT_First)/FT_Int1),FT_PreY5+FT_PerYear*INT((AV77-FT_Y5)/12)+FT_AnnivDays+INT(MOD(AV77-FT_Y5,12)/FT_Int2))),IF(AR77="PT",IF(AV77&lt;PT_First,0,1+INT((AV77-PT_First)/PT_Int)),0)),0))</f>
        <v/>
      </c>
      <c r="BA77" s="19" t="str">
        <f aca="false">IF(AG77=0,"",IF(AP77="FT",IF(AX77&lt;FT_First,0,IF(AX77&lt;FT_Y5,1+INT((AX77-FT_First)/FT_Int1),FT_PreY5+FT_PerYear*INT((AX77-FT_Y5)/12)+FT_AnnivDays+INT(MOD(AX77-FT_Y5,12)/FT_Int2))),IF(AP77="PT",IF(AX77&lt;PT_First,0,1+INT((AX77-PT_First)/PT_Int)),0))+IF(AND(AI77&gt;=2,AK77&lt;=PFYDate),IF(AQ77="FT",IF(AY77&lt;FT_First,0,IF(AY77&lt;FT_Y5,1+INT((AY77-FT_First)/FT_Int1),FT_PreY5+FT_PerYear*INT((AY77-FT_Y5)/12)+FT_AnnivDays+INT(MOD(AY77-FT_Y5,12)/FT_Int2))),IF(AQ77="PT",IF(AY77&lt;PT_First,0,1+INT((AY77-PT_First)/PT_Int)),0))-IF(AQ77="FT",IF(AX77&lt;FT_First,0,IF(AX77&lt;FT_Y5,1+INT((AX77-FT_First)/FT_Int1),FT_PreY5+FT_PerYear*INT((AX77-FT_Y5)/12)+FT_AnnivDays+INT(MOD(AX77-FT_Y5,12)/FT_Int2))),IF(AQ77="PT",IF(AX77&lt;PT_First,0,1+INT((AX77-PT_First)/PT_Int)),0)),0)+IF(AND(AI77&gt;=3,AL77&lt;=PFYDate),IF(AR77="FT",IF(AW77&lt;FT_First,0,IF(AW77&lt;FT_Y5,1+INT((AW77-FT_First)/FT_Int1),FT_PreY5+FT_PerYear*INT((AW77-FT_Y5)/12)+FT_AnnivDays+INT(MOD(AW77-FT_Y5,12)/FT_Int2))),IF(AR77="PT",IF(AW77&lt;PT_First,0,1+INT((AW77-PT_First)/PT_Int)),0))-IF(AR77="FT",IF(AY77&lt;FT_First,0,IF(AY77&lt;FT_Y5,1+INT((AY77-FT_First)/FT_Int1),FT_PreY5+FT_PerYear*INT((AY77-FT_Y5)/12)+FT_AnnivDays+INT(MOD(AY77-FT_Y5,12)/FT_Int2))),IF(AR77="PT",IF(AY77&lt;PT_First,0,1+INT((AY77-PT_First)/PT_Int)),0)),0))</f>
        <v/>
      </c>
      <c r="BB77" s="19" t="str">
        <f aca="false">IF(AG77=0,"",IF(AS77="FT",IF(AT77&lt;FT_First,FT_First,IF(AT77&lt;FT_Y5,MIN(FT_Y5,FT_First+FT_Int1*(INT((AT77-FT_First)/FT_Int1)+1)),FT_Y5+12*INT((AT77-FT_Y5)/12)+FT_Int2*(INT(MOD(AT77-FT_Y5,12)/FT_Int2)+1))),IF(AS77="PT",IF(AT77&lt;PT_First,PT_First,PT_First+PT_Int*(INT((AT77-PT_First)/PT_Int)+1)),"")))</f>
        <v/>
      </c>
      <c r="BC77" s="19" t="str">
        <f aca="false">IF(AG77=0,"",IF(NOT(LH_Ready),0,COUNTIFS(INDEX(LH_Data,0,LH_ColFirst),$A77,INDEX(LH_Data,0,LH_ColSur),$B77,INDEX(LH_Data,0,LH_ColCat),BonusCat)))</f>
        <v/>
      </c>
      <c r="BD77" s="19" t="str">
        <f aca="false">IF(AG77=0,"",IF(OR(NOT(LH_Ready),BC77=0),0,SUMPRODUCT(MAX((INDEX(LH_Data,0,LH_ColFirst)=$A77)*(INDEX(LH_Data,0,LH_ColSur)=$B77)*(INDEX(LH_Data,0,LH_ColCat)=BonusCat)*ROW(LH_Data)))))</f>
        <v/>
      </c>
      <c r="BE77" s="19" t="str">
        <f aca="false">IF(AG77=0,"",IF(EOMONTH(AsOfDate,-1)&lt;AH77,-1,12*(YEAR(EOMONTH(AsOfDate,-1))-YEAR(AH77))+MONTH(EOMONTH(AsOfDate,-1))-MONTH(AH77)-IF(DAY(EOMONTH(AsOfDate,-1))&lt;MIN(DAY(AH77),DAY(EOMONTH(EOMONTH(AsOfDate,-1),0))),1,0)))</f>
        <v/>
      </c>
      <c r="BF77" s="19" t="str">
        <f aca="false">IF(AG77=0,"",IF(OR(AI77&lt;2,AK77&gt;EOMONTH(AsOfDate,-1)),BE77,IF((AK77-1)&lt;AH77,-1,12*(YEAR((AK77-1))-YEAR(AH77))+MONTH((AK77-1))-MONTH(AH77)-IF(DAY((AK77-1))&lt;MIN(DAY(AH77),DAY(EOMONTH((AK77-1),0))),1,0))))</f>
        <v/>
      </c>
      <c r="BG77" s="19" t="str">
        <f aca="false">IF(AG77=0,"",IF(OR(AI77&lt;3,AL77&gt;EOMONTH(AsOfDate,-1)),BE77,IF((AL77-1)&lt;AH77,-1,12*(YEAR((AL77-1))-YEAR(AH77))+MONTH((AL77-1))-MONTH(AH77)-IF(DAY((AL77-1))&lt;MIN(DAY(AH77),DAY(EOMONTH((AL77-1),0))),1,0))))</f>
        <v/>
      </c>
      <c r="BH77" s="19" t="str">
        <f aca="false">IF(AG77=0,"",IF(AP77="FT",IF(BF77&lt;FT_First,0,IF(BF77&lt;FT_Y5,1+INT((BF77-FT_First)/FT_Int1),FT_PreY5+FT_PerYear*INT((BF77-FT_Y5)/12)+FT_AnnivDays+INT(MOD(BF77-FT_Y5,12)/FT_Int2))),IF(AP77="PT",IF(BF77&lt;PT_First,0,1+INT((BF77-PT_First)/PT_Int)),0))+IF(AND(AI77&gt;=2,AK77&lt;=EOMONTH(AsOfDate,-1)),IF(AQ77="FT",IF(BG77&lt;FT_First,0,IF(BG77&lt;FT_Y5,1+INT((BG77-FT_First)/FT_Int1),FT_PreY5+FT_PerYear*INT((BG77-FT_Y5)/12)+FT_AnnivDays+INT(MOD(BG77-FT_Y5,12)/FT_Int2))),IF(AQ77="PT",IF(BG77&lt;PT_First,0,1+INT((BG77-PT_First)/PT_Int)),0))-IF(AQ77="FT",IF(BF77&lt;FT_First,0,IF(BF77&lt;FT_Y5,1+INT((BF77-FT_First)/FT_Int1),FT_PreY5+FT_PerYear*INT((BF77-FT_Y5)/12)+FT_AnnivDays+INT(MOD(BF77-FT_Y5,12)/FT_Int2))),IF(AQ77="PT",IF(BF77&lt;PT_First,0,1+INT((BF77-PT_First)/PT_Int)),0)),0)+IF(AND(AI77&gt;=3,AL77&lt;=EOMONTH(AsOfDate,-1)),IF(AR77="FT",IF(BE77&lt;FT_First,0,IF(BE77&lt;FT_Y5,1+INT((BE77-FT_First)/FT_Int1),FT_PreY5+FT_PerYear*INT((BE77-FT_Y5)/12)+FT_AnnivDays+INT(MOD(BE77-FT_Y5,12)/FT_Int2))),IF(AR77="PT",IF(BE77&lt;PT_First,0,1+INT((BE77-PT_First)/PT_Int)),0))-IF(AR77="FT",IF(BG77&lt;FT_First,0,IF(BG77&lt;FT_Y5,1+INT((BG77-FT_First)/FT_Int1),FT_PreY5+FT_PerYear*INT((BG77-FT_Y5)/12)+FT_AnnivDays+INT(MOD(BG77-FT_Y5,12)/FT_Int2))),IF(AR77="PT",IF(BG77&lt;PT_First,0,1+INT((BG77-PT_First)/PT_Int)),0)),0))</f>
        <v/>
      </c>
      <c r="BI77" s="19" t="str">
        <f aca="false">IF(AG77=0,"",IF(AS77="FT",IF(AT77&lt;FT_First,"",IF(AT77&lt;FT_Y5,FT_First+FT_Int1*INT((AT77-FT_First)/FT_Int1),FT_Y5+FT_Int2*INT((AT77-FT_Y5)/FT_Int2))),IF(AS77="PT",IF(AT77&lt;PT_First,"",PT_First+PT_Int*INT((AT77-PT_First)/PT_Int)),"")))</f>
        <v/>
      </c>
      <c r="BJ77" s="0" t="str">
        <f aca="false">IF(LEN($A77&amp;$B77)=0,"",$A77&amp;" "&amp;$B77)</f>
        <v/>
      </c>
    </row>
    <row r="78" customFormat="false" ht="15" hidden="false" customHeight="false" outlineLevel="0" collapsed="false">
      <c r="A78" s="15"/>
      <c r="B78" s="15"/>
      <c r="C78" s="15"/>
      <c r="D78" s="16"/>
      <c r="E78" s="17" t="str">
        <f aca="false">IF(OR(AG78=0,$D78=""),"",DATE(YEAR(AsOfDate)+IF(DATE(YEAR(AsOfDate),MONTH($D78),DAY($D78))&lt;=AsOfDate,1,0),MONTH($D78),DAY($D78)))</f>
        <v/>
      </c>
      <c r="F78" s="16"/>
      <c r="G78" s="16"/>
      <c r="H78" s="16"/>
      <c r="I78" s="16"/>
      <c r="J78" s="16"/>
      <c r="K78" s="17" t="str">
        <f aca="false">IF(AG78=0,"",DATE(YEAR(AsOfDate)+IF(DATE(YEAR(AsOfDate),MONTH(AH78),DAY(AH78))&lt;=AsOfDate,1,0),MONTH(AH78),DAY(AH78)))</f>
        <v/>
      </c>
      <c r="L78" s="18" t="str">
        <f aca="false">IF(AG78=0,"",ROUND((AsOfDate-AH78)/365.25,1))</f>
        <v/>
      </c>
      <c r="M78" s="19" t="str">
        <f aca="false">IF(AG78=0,"",IF(AsOfDate&lt;AH78,"-",DATEDIF(AH78,AsOfDate,"y")&amp;"y "&amp;DATEDIF(AH78,AsOfDate,"ym")&amp;"m "&amp;DATEDIF(AH78,AsOfDate,"md")&amp;"d"))</f>
        <v/>
      </c>
      <c r="N78" s="20" t="str">
        <f aca="false">IF(AG78=0,"",O78*HoursPerDay)</f>
        <v/>
      </c>
      <c r="O78" s="20" t="str">
        <f aca="false">IF(AG78=0,"",AZ78)</f>
        <v/>
      </c>
      <c r="P78" s="21"/>
      <c r="Q78" s="19"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19"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7" t="str">
        <f aca="false">IF(AG78=0,"",IF(AS78="None","",EDATE(AH78,BB78)))</f>
        <v/>
      </c>
      <c r="T78" s="20" t="str">
        <f aca="false">IF(AG78=0,"",IF(NOT(LH_Ready),"",IF(AH78&gt;PFYDate,0,IF(LH_ColPeriod=0,W78-U78+V78,SUMIFS(INDEX(LH_Data,0,LH_ColAcc),INDEX(LH_Data,0,LH_ColFirst),$A78,INDEX(LH_Data,0,LH_ColSur),$B78,INDEX(LH_Data,0,LH_ColCat),BonusCat,INDEX(LH_Data,0,LH_ColPeriod),LH_OpenLabel)*UnitFactor))))</f>
        <v/>
      </c>
      <c r="U78" s="20" t="str">
        <f aca="false">IF(AG78=0,"",IF(NOT(LH_Ready),"",SUMIFS(INDEX(LH_Data,0,LH_ColAcc),INDEX(LH_Data,0,LH_ColFirst),$A78,INDEX(LH_Data,0,LH_ColSur),$B78,INDEX(LH_Data,0,LH_ColCat),BonusCat,INDEX(LH_Data,0,LH_ColStart),"&gt;="&amp;AH78)*UnitFactor))</f>
        <v/>
      </c>
      <c r="V78" s="20" t="str">
        <f aca="false">IF(AG78=0,"",IF(NOT(LH_Ready),"",SUMIFS(INDEX(LH_Data,0,LH_ColTaken),INDEX(LH_Data,0,LH_ColFirst),$A78,INDEX(LH_Data,0,LH_ColSur),$B78,INDEX(LH_Data,0,LH_ColCat),BonusCat,INDEX(LH_Data,0,LH_ColStart),"&gt;="&amp;AH78)*UnitFactor))</f>
        <v/>
      </c>
      <c r="W78" s="20" t="str">
        <f aca="false">IF(AG78=0,"",IF(NOT(LH_Ready),"",IF(BD78=0,0,INDEX(INDEX(LH_Data,0,LH_ColClose),BD78-1)*UnitFactor)))</f>
        <v/>
      </c>
      <c r="X78" s="20" t="str">
        <f aca="false">IF(AG78=0,"",(AZ78-BA78)*HoursPerDay)</f>
        <v/>
      </c>
      <c r="Y78" s="20" t="str">
        <f aca="false">IF(AG78=0,"",IF(NOT(LH_Ready),"",IF(BC78=0,N78,IF(PFYDate&lt;$F78,N78-N(T78)-N(U78),X78-N(U78)))))</f>
        <v/>
      </c>
      <c r="Z78" s="19" t="str">
        <f aca="false">IF(OR(AG78=0,Y78=""),"",IF(Y78&gt;0,"Yes","No"))</f>
        <v/>
      </c>
      <c r="AA78" s="19"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20" t="str">
        <f aca="false">IF(OR(AG78=0,T78=""),"",BA78*HoursPerDay-T78)</f>
        <v/>
      </c>
      <c r="AC78" s="19" t="str">
        <f aca="false">IF(AG78=0,"",BC78)</f>
        <v/>
      </c>
      <c r="AD78" s="19"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20" t="str">
        <f aca="false">IF(AG78=0,"",O78-BH78)</f>
        <v/>
      </c>
      <c r="AF78" s="17" t="str">
        <f aca="false">IF(OR(AG78=0,AE78="",N(AE78)=0,BI78=""),"",EDATE(AH78,BI78))</f>
        <v/>
      </c>
      <c r="AG78" s="19" t="n">
        <f aca="false">IF(OR(LEN($A78&amp;$B78)=0,$F78=""),0,1)</f>
        <v>0</v>
      </c>
      <c r="AH78" s="17" t="str">
        <f aca="false">IF(AG78=0,"",IF($J78&lt;&gt;"",$J78,IF(OR(CasualCounts="Yes",COUNT($G78:$I78)=0,COUNT($H78:$I78)=0),$F78,MIN($H78:$I78))))</f>
        <v/>
      </c>
      <c r="AI78" s="19" t="str">
        <f aca="false">IF(AG78=0,"",COUNT($G78:$I78))</f>
        <v/>
      </c>
      <c r="AJ78" s="17" t="str">
        <f aca="false">IF(AG78=0,"",IFERROR(SMALL($G78:$I78,1),""))</f>
        <v/>
      </c>
      <c r="AK78" s="17" t="str">
        <f aca="false">IF(AG78=0,"",IFERROR(SMALL($G78:$I78,2),""))</f>
        <v/>
      </c>
      <c r="AL78" s="17" t="str">
        <f aca="false">IF(AG78=0,"",IFERROR(SMALL($G78:$I78,3),""))</f>
        <v/>
      </c>
      <c r="AM78" s="19" t="str">
        <f aca="false">IF(AG78=0,"",IF(AJ78="","",IF(AJ78=$H78,"Part-Time",IF(AJ78=$I78,"Full-Time","Casual"))))</f>
        <v/>
      </c>
      <c r="AN78" s="19" t="str">
        <f aca="false">IF(AG78=0,"",IF(AK78="","",IF(AK78=$H78,"Part-Time",IF(AK78=$I78,"Full-Time","Casual"))))</f>
        <v/>
      </c>
      <c r="AO78" s="19" t="str">
        <f aca="false">IF(AG78=0,"",IF(AL78="","",IF(AL78=$H78,"Part-Time",IF(AL78=$I78,"Full-Time","Casual"))))</f>
        <v/>
      </c>
      <c r="AP78" s="19"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19" t="str">
        <f aca="false">IF(AG78=0,"",IF(AI78&lt;2,"",IF(OR(ISNUMBER(SEARCH("full",AN78)),UPPER(TRIM(AN78))="FT",UPPER(TRIM(AN78))="FTE"),"FT",IF(AND(OR(ISNUMBER(SEARCH("part",AN78)),UPPER(TRIM(AN78))="PT",UPPER(TRIM(AN78))="PTE"),OR($P78="",N($P78)&gt;=PT_MinHours)),"PT","None"))))</f>
        <v/>
      </c>
      <c r="AR78" s="19" t="str">
        <f aca="false">IF(AG78=0,"",IF(AI78&lt;3,"",IF(OR(ISNUMBER(SEARCH("full",AO78)),UPPER(TRIM(AO78))="FT",UPPER(TRIM(AO78))="FTE"),"FT",IF(AND(OR(ISNUMBER(SEARCH("part",AO78)),UPPER(TRIM(AO78))="PT",UPPER(TRIM(AO78))="PTE"),OR($P78="",N($P78)&gt;=PT_MinHours)),"PT","None"))))</f>
        <v/>
      </c>
      <c r="AS78" s="19" t="str">
        <f aca="false">IF(AG78=0,"",IF(AND(AI78&gt;=3,AL78&lt;=AsOfDate),AR78,IF(AND(AI78&gt;=2,AK78&lt;=AsOfDate),AQ78,AP78)))</f>
        <v/>
      </c>
      <c r="AT78" s="19" t="str">
        <f aca="false">IF(AG78=0,"",IF(AsOfDate&lt;AH78,-1,12*(YEAR(AsOfDate)-YEAR(AH78))+MONTH(AsOfDate)-MONTH(AH78)-IF(DAY(AsOfDate)&lt;MIN(DAY(AH78),DAY(EOMONTH(AsOfDate,0))),1,0)))</f>
        <v/>
      </c>
      <c r="AU78" s="19" t="str">
        <f aca="false">IF(AG78=0,"",IF(OR(AI78&lt;2,AK78&gt;AsOfDate),AT78,IF((AK78-1)&lt;AH78,-1,12*(YEAR((AK78-1))-YEAR(AH78))+MONTH((AK78-1))-MONTH(AH78)-IF(DAY((AK78-1))&lt;MIN(DAY(AH78),DAY(EOMONTH((AK78-1),0))),1,0))))</f>
        <v/>
      </c>
      <c r="AV78" s="19" t="str">
        <f aca="false">IF(AG78=0,"",IF(OR(AI78&lt;3,AL78&gt;AsOfDate),AT78,IF((AL78-1)&lt;AH78,-1,12*(YEAR((AL78-1))-YEAR(AH78))+MONTH((AL78-1))-MONTH(AH78)-IF(DAY((AL78-1))&lt;MIN(DAY(AH78),DAY(EOMONTH((AL78-1),0))),1,0))))</f>
        <v/>
      </c>
      <c r="AW78" s="19" t="str">
        <f aca="false">IF(AG78=0,"",IF(PFYDate&lt;AH78,-1,12*(YEAR(PFYDate)-YEAR(AH78))+MONTH(PFYDate)-MONTH(AH78)-IF(DAY(PFYDate)&lt;MIN(DAY(AH78),DAY(EOMONTH(PFYDate,0))),1,0)))</f>
        <v/>
      </c>
      <c r="AX78" s="19" t="str">
        <f aca="false">IF(AG78=0,"",IF(OR(AI78&lt;2,AK78&gt;PFYDate),AW78,IF((AK78-1)&lt;AH78,-1,12*(YEAR((AK78-1))-YEAR(AH78))+MONTH((AK78-1))-MONTH(AH78)-IF(DAY((AK78-1))&lt;MIN(DAY(AH78),DAY(EOMONTH((AK78-1),0))),1,0))))</f>
        <v/>
      </c>
      <c r="AY78" s="19" t="str">
        <f aca="false">IF(AG78=0,"",IF(OR(AI78&lt;3,AL78&gt;PFYDate),AW78,IF((AL78-1)&lt;AH78,-1,12*(YEAR((AL78-1))-YEAR(AH78))+MONTH((AL78-1))-MONTH(AH78)-IF(DAY((AL78-1))&lt;MIN(DAY(AH78),DAY(EOMONTH((AL78-1),0))),1,0))))</f>
        <v/>
      </c>
      <c r="AZ78" s="19" t="str">
        <f aca="false">IF(AG78=0,"",IF(AP78="FT",IF(AU78&lt;FT_First,0,IF(AU78&lt;FT_Y5,1+INT((AU78-FT_First)/FT_Int1),FT_PreY5+FT_PerYear*INT((AU78-FT_Y5)/12)+FT_AnnivDays+INT(MOD(AU78-FT_Y5,12)/FT_Int2))),IF(AP78="PT",IF(AU78&lt;PT_First,0,1+INT((AU78-PT_First)/PT_Int)),0))+IF(AND(AI78&gt;=2,AK78&lt;=AsOfDate),IF(AQ78="FT",IF(AV78&lt;FT_First,0,IF(AV78&lt;FT_Y5,1+INT((AV78-FT_First)/FT_Int1),FT_PreY5+FT_PerYear*INT((AV78-FT_Y5)/12)+FT_AnnivDays+INT(MOD(AV78-FT_Y5,12)/FT_Int2))),IF(AQ78="PT",IF(AV78&lt;PT_First,0,1+INT((AV78-PT_First)/PT_Int)),0))-IF(AQ78="FT",IF(AU78&lt;FT_First,0,IF(AU78&lt;FT_Y5,1+INT((AU78-FT_First)/FT_Int1),FT_PreY5+FT_PerYear*INT((AU78-FT_Y5)/12)+FT_AnnivDays+INT(MOD(AU78-FT_Y5,12)/FT_Int2))),IF(AQ78="PT",IF(AU78&lt;PT_First,0,1+INT((AU78-PT_First)/PT_Int)),0)),0)+IF(AND(AI78&gt;=3,AL78&lt;=AsOfDate),IF(AR78="FT",IF(AT78&lt;FT_First,0,IF(AT78&lt;FT_Y5,1+INT((AT78-FT_First)/FT_Int1),FT_PreY5+FT_PerYear*INT((AT78-FT_Y5)/12)+FT_AnnivDays+INT(MOD(AT78-FT_Y5,12)/FT_Int2))),IF(AR78="PT",IF(AT78&lt;PT_First,0,1+INT((AT78-PT_First)/PT_Int)),0))-IF(AR78="FT",IF(AV78&lt;FT_First,0,IF(AV78&lt;FT_Y5,1+INT((AV78-FT_First)/FT_Int1),FT_PreY5+FT_PerYear*INT((AV78-FT_Y5)/12)+FT_AnnivDays+INT(MOD(AV78-FT_Y5,12)/FT_Int2))),IF(AR78="PT",IF(AV78&lt;PT_First,0,1+INT((AV78-PT_First)/PT_Int)),0)),0))</f>
        <v/>
      </c>
      <c r="BA78" s="19" t="str">
        <f aca="false">IF(AG78=0,"",IF(AP78="FT",IF(AX78&lt;FT_First,0,IF(AX78&lt;FT_Y5,1+INT((AX78-FT_First)/FT_Int1),FT_PreY5+FT_PerYear*INT((AX78-FT_Y5)/12)+FT_AnnivDays+INT(MOD(AX78-FT_Y5,12)/FT_Int2))),IF(AP78="PT",IF(AX78&lt;PT_First,0,1+INT((AX78-PT_First)/PT_Int)),0))+IF(AND(AI78&gt;=2,AK78&lt;=PFYDate),IF(AQ78="FT",IF(AY78&lt;FT_First,0,IF(AY78&lt;FT_Y5,1+INT((AY78-FT_First)/FT_Int1),FT_PreY5+FT_PerYear*INT((AY78-FT_Y5)/12)+FT_AnnivDays+INT(MOD(AY78-FT_Y5,12)/FT_Int2))),IF(AQ78="PT",IF(AY78&lt;PT_First,0,1+INT((AY78-PT_First)/PT_Int)),0))-IF(AQ78="FT",IF(AX78&lt;FT_First,0,IF(AX78&lt;FT_Y5,1+INT((AX78-FT_First)/FT_Int1),FT_PreY5+FT_PerYear*INT((AX78-FT_Y5)/12)+FT_AnnivDays+INT(MOD(AX78-FT_Y5,12)/FT_Int2))),IF(AQ78="PT",IF(AX78&lt;PT_First,0,1+INT((AX78-PT_First)/PT_Int)),0)),0)+IF(AND(AI78&gt;=3,AL78&lt;=PFYDate),IF(AR78="FT",IF(AW78&lt;FT_First,0,IF(AW78&lt;FT_Y5,1+INT((AW78-FT_First)/FT_Int1),FT_PreY5+FT_PerYear*INT((AW78-FT_Y5)/12)+FT_AnnivDays+INT(MOD(AW78-FT_Y5,12)/FT_Int2))),IF(AR78="PT",IF(AW78&lt;PT_First,0,1+INT((AW78-PT_First)/PT_Int)),0))-IF(AR78="FT",IF(AY78&lt;FT_First,0,IF(AY78&lt;FT_Y5,1+INT((AY78-FT_First)/FT_Int1),FT_PreY5+FT_PerYear*INT((AY78-FT_Y5)/12)+FT_AnnivDays+INT(MOD(AY78-FT_Y5,12)/FT_Int2))),IF(AR78="PT",IF(AY78&lt;PT_First,0,1+INT((AY78-PT_First)/PT_Int)),0)),0))</f>
        <v/>
      </c>
      <c r="BB78" s="19" t="str">
        <f aca="false">IF(AG78=0,"",IF(AS78="FT",IF(AT78&lt;FT_First,FT_First,IF(AT78&lt;FT_Y5,MIN(FT_Y5,FT_First+FT_Int1*(INT((AT78-FT_First)/FT_Int1)+1)),FT_Y5+12*INT((AT78-FT_Y5)/12)+FT_Int2*(INT(MOD(AT78-FT_Y5,12)/FT_Int2)+1))),IF(AS78="PT",IF(AT78&lt;PT_First,PT_First,PT_First+PT_Int*(INT((AT78-PT_First)/PT_Int)+1)),"")))</f>
        <v/>
      </c>
      <c r="BC78" s="19" t="str">
        <f aca="false">IF(AG78=0,"",IF(NOT(LH_Ready),0,COUNTIFS(INDEX(LH_Data,0,LH_ColFirst),$A78,INDEX(LH_Data,0,LH_ColSur),$B78,INDEX(LH_Data,0,LH_ColCat),BonusCat)))</f>
        <v/>
      </c>
      <c r="BD78" s="19" t="str">
        <f aca="false">IF(AG78=0,"",IF(OR(NOT(LH_Ready),BC78=0),0,SUMPRODUCT(MAX((INDEX(LH_Data,0,LH_ColFirst)=$A78)*(INDEX(LH_Data,0,LH_ColSur)=$B78)*(INDEX(LH_Data,0,LH_ColCat)=BonusCat)*ROW(LH_Data)))))</f>
        <v/>
      </c>
      <c r="BE78" s="19" t="str">
        <f aca="false">IF(AG78=0,"",IF(EOMONTH(AsOfDate,-1)&lt;AH78,-1,12*(YEAR(EOMONTH(AsOfDate,-1))-YEAR(AH78))+MONTH(EOMONTH(AsOfDate,-1))-MONTH(AH78)-IF(DAY(EOMONTH(AsOfDate,-1))&lt;MIN(DAY(AH78),DAY(EOMONTH(EOMONTH(AsOfDate,-1),0))),1,0)))</f>
        <v/>
      </c>
      <c r="BF78" s="19" t="str">
        <f aca="false">IF(AG78=0,"",IF(OR(AI78&lt;2,AK78&gt;EOMONTH(AsOfDate,-1)),BE78,IF((AK78-1)&lt;AH78,-1,12*(YEAR((AK78-1))-YEAR(AH78))+MONTH((AK78-1))-MONTH(AH78)-IF(DAY((AK78-1))&lt;MIN(DAY(AH78),DAY(EOMONTH((AK78-1),0))),1,0))))</f>
        <v/>
      </c>
      <c r="BG78" s="19" t="str">
        <f aca="false">IF(AG78=0,"",IF(OR(AI78&lt;3,AL78&gt;EOMONTH(AsOfDate,-1)),BE78,IF((AL78-1)&lt;AH78,-1,12*(YEAR((AL78-1))-YEAR(AH78))+MONTH((AL78-1))-MONTH(AH78)-IF(DAY((AL78-1))&lt;MIN(DAY(AH78),DAY(EOMONTH((AL78-1),0))),1,0))))</f>
        <v/>
      </c>
      <c r="BH78" s="19" t="str">
        <f aca="false">IF(AG78=0,"",IF(AP78="FT",IF(BF78&lt;FT_First,0,IF(BF78&lt;FT_Y5,1+INT((BF78-FT_First)/FT_Int1),FT_PreY5+FT_PerYear*INT((BF78-FT_Y5)/12)+FT_AnnivDays+INT(MOD(BF78-FT_Y5,12)/FT_Int2))),IF(AP78="PT",IF(BF78&lt;PT_First,0,1+INT((BF78-PT_First)/PT_Int)),0))+IF(AND(AI78&gt;=2,AK78&lt;=EOMONTH(AsOfDate,-1)),IF(AQ78="FT",IF(BG78&lt;FT_First,0,IF(BG78&lt;FT_Y5,1+INT((BG78-FT_First)/FT_Int1),FT_PreY5+FT_PerYear*INT((BG78-FT_Y5)/12)+FT_AnnivDays+INT(MOD(BG78-FT_Y5,12)/FT_Int2))),IF(AQ78="PT",IF(BG78&lt;PT_First,0,1+INT((BG78-PT_First)/PT_Int)),0))-IF(AQ78="FT",IF(BF78&lt;FT_First,0,IF(BF78&lt;FT_Y5,1+INT((BF78-FT_First)/FT_Int1),FT_PreY5+FT_PerYear*INT((BF78-FT_Y5)/12)+FT_AnnivDays+INT(MOD(BF78-FT_Y5,12)/FT_Int2))),IF(AQ78="PT",IF(BF78&lt;PT_First,0,1+INT((BF78-PT_First)/PT_Int)),0)),0)+IF(AND(AI78&gt;=3,AL78&lt;=EOMONTH(AsOfDate,-1)),IF(AR78="FT",IF(BE78&lt;FT_First,0,IF(BE78&lt;FT_Y5,1+INT((BE78-FT_First)/FT_Int1),FT_PreY5+FT_PerYear*INT((BE78-FT_Y5)/12)+FT_AnnivDays+INT(MOD(BE78-FT_Y5,12)/FT_Int2))),IF(AR78="PT",IF(BE78&lt;PT_First,0,1+INT((BE78-PT_First)/PT_Int)),0))-IF(AR78="FT",IF(BG78&lt;FT_First,0,IF(BG78&lt;FT_Y5,1+INT((BG78-FT_First)/FT_Int1),FT_PreY5+FT_PerYear*INT((BG78-FT_Y5)/12)+FT_AnnivDays+INT(MOD(BG78-FT_Y5,12)/FT_Int2))),IF(AR78="PT",IF(BG78&lt;PT_First,0,1+INT((BG78-PT_First)/PT_Int)),0)),0))</f>
        <v/>
      </c>
      <c r="BI78" s="19" t="str">
        <f aca="false">IF(AG78=0,"",IF(AS78="FT",IF(AT78&lt;FT_First,"",IF(AT78&lt;FT_Y5,FT_First+FT_Int1*INT((AT78-FT_First)/FT_Int1),FT_Y5+FT_Int2*INT((AT78-FT_Y5)/FT_Int2))),IF(AS78="PT",IF(AT78&lt;PT_First,"",PT_First+PT_Int*INT((AT78-PT_First)/PT_Int)),"")))</f>
        <v/>
      </c>
      <c r="BJ78" s="0" t="str">
        <f aca="false">IF(LEN($A78&amp;$B78)=0,"",$A78&amp;" "&amp;$B78)</f>
        <v/>
      </c>
    </row>
    <row r="79" customFormat="false" ht="15" hidden="false" customHeight="false" outlineLevel="0" collapsed="false">
      <c r="A79" s="15"/>
      <c r="B79" s="15"/>
      <c r="C79" s="15"/>
      <c r="D79" s="16"/>
      <c r="E79" s="17" t="str">
        <f aca="false">IF(OR(AG79=0,$D79=""),"",DATE(YEAR(AsOfDate)+IF(DATE(YEAR(AsOfDate),MONTH($D79),DAY($D79))&lt;=AsOfDate,1,0),MONTH($D79),DAY($D79)))</f>
        <v/>
      </c>
      <c r="F79" s="16"/>
      <c r="G79" s="16"/>
      <c r="H79" s="16"/>
      <c r="I79" s="16"/>
      <c r="J79" s="16"/>
      <c r="K79" s="17" t="str">
        <f aca="false">IF(AG79=0,"",DATE(YEAR(AsOfDate)+IF(DATE(YEAR(AsOfDate),MONTH(AH79),DAY(AH79))&lt;=AsOfDate,1,0),MONTH(AH79),DAY(AH79)))</f>
        <v/>
      </c>
      <c r="L79" s="18" t="str">
        <f aca="false">IF(AG79=0,"",ROUND((AsOfDate-AH79)/365.25,1))</f>
        <v/>
      </c>
      <c r="M79" s="19" t="str">
        <f aca="false">IF(AG79=0,"",IF(AsOfDate&lt;AH79,"-",DATEDIF(AH79,AsOfDate,"y")&amp;"y "&amp;DATEDIF(AH79,AsOfDate,"ym")&amp;"m "&amp;DATEDIF(AH79,AsOfDate,"md")&amp;"d"))</f>
        <v/>
      </c>
      <c r="N79" s="20" t="str">
        <f aca="false">IF(AG79=0,"",O79*HoursPerDay)</f>
        <v/>
      </c>
      <c r="O79" s="20" t="str">
        <f aca="false">IF(AG79=0,"",AZ79)</f>
        <v/>
      </c>
      <c r="P79" s="21"/>
      <c r="Q79" s="19"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19"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7" t="str">
        <f aca="false">IF(AG79=0,"",IF(AS79="None","",EDATE(AH79,BB79)))</f>
        <v/>
      </c>
      <c r="T79" s="20" t="str">
        <f aca="false">IF(AG79=0,"",IF(NOT(LH_Ready),"",IF(AH79&gt;PFYDate,0,IF(LH_ColPeriod=0,W79-U79+V79,SUMIFS(INDEX(LH_Data,0,LH_ColAcc),INDEX(LH_Data,0,LH_ColFirst),$A79,INDEX(LH_Data,0,LH_ColSur),$B79,INDEX(LH_Data,0,LH_ColCat),BonusCat,INDEX(LH_Data,0,LH_ColPeriod),LH_OpenLabel)*UnitFactor))))</f>
        <v/>
      </c>
      <c r="U79" s="20" t="str">
        <f aca="false">IF(AG79=0,"",IF(NOT(LH_Ready),"",SUMIFS(INDEX(LH_Data,0,LH_ColAcc),INDEX(LH_Data,0,LH_ColFirst),$A79,INDEX(LH_Data,0,LH_ColSur),$B79,INDEX(LH_Data,0,LH_ColCat),BonusCat,INDEX(LH_Data,0,LH_ColStart),"&gt;="&amp;AH79)*UnitFactor))</f>
        <v/>
      </c>
      <c r="V79" s="20" t="str">
        <f aca="false">IF(AG79=0,"",IF(NOT(LH_Ready),"",SUMIFS(INDEX(LH_Data,0,LH_ColTaken),INDEX(LH_Data,0,LH_ColFirst),$A79,INDEX(LH_Data,0,LH_ColSur),$B79,INDEX(LH_Data,0,LH_ColCat),BonusCat,INDEX(LH_Data,0,LH_ColStart),"&gt;="&amp;AH79)*UnitFactor))</f>
        <v/>
      </c>
      <c r="W79" s="20" t="str">
        <f aca="false">IF(AG79=0,"",IF(NOT(LH_Ready),"",IF(BD79=0,0,INDEX(INDEX(LH_Data,0,LH_ColClose),BD79-1)*UnitFactor)))</f>
        <v/>
      </c>
      <c r="X79" s="20" t="str">
        <f aca="false">IF(AG79=0,"",(AZ79-BA79)*HoursPerDay)</f>
        <v/>
      </c>
      <c r="Y79" s="20" t="str">
        <f aca="false">IF(AG79=0,"",IF(NOT(LH_Ready),"",IF(BC79=0,N79,IF(PFYDate&lt;$F79,N79-N(T79)-N(U79),X79-N(U79)))))</f>
        <v/>
      </c>
      <c r="Z79" s="19" t="str">
        <f aca="false">IF(OR(AG79=0,Y79=""),"",IF(Y79&gt;0,"Yes","No"))</f>
        <v/>
      </c>
      <c r="AA79" s="19"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20" t="str">
        <f aca="false">IF(OR(AG79=0,T79=""),"",BA79*HoursPerDay-T79)</f>
        <v/>
      </c>
      <c r="AC79" s="19" t="str">
        <f aca="false">IF(AG79=0,"",BC79)</f>
        <v/>
      </c>
      <c r="AD79" s="19"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20" t="str">
        <f aca="false">IF(AG79=0,"",O79-BH79)</f>
        <v/>
      </c>
      <c r="AF79" s="17" t="str">
        <f aca="false">IF(OR(AG79=0,AE79="",N(AE79)=0,BI79=""),"",EDATE(AH79,BI79))</f>
        <v/>
      </c>
      <c r="AG79" s="19" t="n">
        <f aca="false">IF(OR(LEN($A79&amp;$B79)=0,$F79=""),0,1)</f>
        <v>0</v>
      </c>
      <c r="AH79" s="17" t="str">
        <f aca="false">IF(AG79=0,"",IF($J79&lt;&gt;"",$J79,IF(OR(CasualCounts="Yes",COUNT($G79:$I79)=0,COUNT($H79:$I79)=0),$F79,MIN($H79:$I79))))</f>
        <v/>
      </c>
      <c r="AI79" s="19" t="str">
        <f aca="false">IF(AG79=0,"",COUNT($G79:$I79))</f>
        <v/>
      </c>
      <c r="AJ79" s="17" t="str">
        <f aca="false">IF(AG79=0,"",IFERROR(SMALL($G79:$I79,1),""))</f>
        <v/>
      </c>
      <c r="AK79" s="17" t="str">
        <f aca="false">IF(AG79=0,"",IFERROR(SMALL($G79:$I79,2),""))</f>
        <v/>
      </c>
      <c r="AL79" s="17" t="str">
        <f aca="false">IF(AG79=0,"",IFERROR(SMALL($G79:$I79,3),""))</f>
        <v/>
      </c>
      <c r="AM79" s="19" t="str">
        <f aca="false">IF(AG79=0,"",IF(AJ79="","",IF(AJ79=$H79,"Part-Time",IF(AJ79=$I79,"Full-Time","Casual"))))</f>
        <v/>
      </c>
      <c r="AN79" s="19" t="str">
        <f aca="false">IF(AG79=0,"",IF(AK79="","",IF(AK79=$H79,"Part-Time",IF(AK79=$I79,"Full-Time","Casual"))))</f>
        <v/>
      </c>
      <c r="AO79" s="19" t="str">
        <f aca="false">IF(AG79=0,"",IF(AL79="","",IF(AL79=$H79,"Part-Time",IF(AL79=$I79,"Full-Time","Casual"))))</f>
        <v/>
      </c>
      <c r="AP79" s="19"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19" t="str">
        <f aca="false">IF(AG79=0,"",IF(AI79&lt;2,"",IF(OR(ISNUMBER(SEARCH("full",AN79)),UPPER(TRIM(AN79))="FT",UPPER(TRIM(AN79))="FTE"),"FT",IF(AND(OR(ISNUMBER(SEARCH("part",AN79)),UPPER(TRIM(AN79))="PT",UPPER(TRIM(AN79))="PTE"),OR($P79="",N($P79)&gt;=PT_MinHours)),"PT","None"))))</f>
        <v/>
      </c>
      <c r="AR79" s="19" t="str">
        <f aca="false">IF(AG79=0,"",IF(AI79&lt;3,"",IF(OR(ISNUMBER(SEARCH("full",AO79)),UPPER(TRIM(AO79))="FT",UPPER(TRIM(AO79))="FTE"),"FT",IF(AND(OR(ISNUMBER(SEARCH("part",AO79)),UPPER(TRIM(AO79))="PT",UPPER(TRIM(AO79))="PTE"),OR($P79="",N($P79)&gt;=PT_MinHours)),"PT","None"))))</f>
        <v/>
      </c>
      <c r="AS79" s="19" t="str">
        <f aca="false">IF(AG79=0,"",IF(AND(AI79&gt;=3,AL79&lt;=AsOfDate),AR79,IF(AND(AI79&gt;=2,AK79&lt;=AsOfDate),AQ79,AP79)))</f>
        <v/>
      </c>
      <c r="AT79" s="19" t="str">
        <f aca="false">IF(AG79=0,"",IF(AsOfDate&lt;AH79,-1,12*(YEAR(AsOfDate)-YEAR(AH79))+MONTH(AsOfDate)-MONTH(AH79)-IF(DAY(AsOfDate)&lt;MIN(DAY(AH79),DAY(EOMONTH(AsOfDate,0))),1,0)))</f>
        <v/>
      </c>
      <c r="AU79" s="19" t="str">
        <f aca="false">IF(AG79=0,"",IF(OR(AI79&lt;2,AK79&gt;AsOfDate),AT79,IF((AK79-1)&lt;AH79,-1,12*(YEAR((AK79-1))-YEAR(AH79))+MONTH((AK79-1))-MONTH(AH79)-IF(DAY((AK79-1))&lt;MIN(DAY(AH79),DAY(EOMONTH((AK79-1),0))),1,0))))</f>
        <v/>
      </c>
      <c r="AV79" s="19" t="str">
        <f aca="false">IF(AG79=0,"",IF(OR(AI79&lt;3,AL79&gt;AsOfDate),AT79,IF((AL79-1)&lt;AH79,-1,12*(YEAR((AL79-1))-YEAR(AH79))+MONTH((AL79-1))-MONTH(AH79)-IF(DAY((AL79-1))&lt;MIN(DAY(AH79),DAY(EOMONTH((AL79-1),0))),1,0))))</f>
        <v/>
      </c>
      <c r="AW79" s="19" t="str">
        <f aca="false">IF(AG79=0,"",IF(PFYDate&lt;AH79,-1,12*(YEAR(PFYDate)-YEAR(AH79))+MONTH(PFYDate)-MONTH(AH79)-IF(DAY(PFYDate)&lt;MIN(DAY(AH79),DAY(EOMONTH(PFYDate,0))),1,0)))</f>
        <v/>
      </c>
      <c r="AX79" s="19" t="str">
        <f aca="false">IF(AG79=0,"",IF(OR(AI79&lt;2,AK79&gt;PFYDate),AW79,IF((AK79-1)&lt;AH79,-1,12*(YEAR((AK79-1))-YEAR(AH79))+MONTH((AK79-1))-MONTH(AH79)-IF(DAY((AK79-1))&lt;MIN(DAY(AH79),DAY(EOMONTH((AK79-1),0))),1,0))))</f>
        <v/>
      </c>
      <c r="AY79" s="19" t="str">
        <f aca="false">IF(AG79=0,"",IF(OR(AI79&lt;3,AL79&gt;PFYDate),AW79,IF((AL79-1)&lt;AH79,-1,12*(YEAR((AL79-1))-YEAR(AH79))+MONTH((AL79-1))-MONTH(AH79)-IF(DAY((AL79-1))&lt;MIN(DAY(AH79),DAY(EOMONTH((AL79-1),0))),1,0))))</f>
        <v/>
      </c>
      <c r="AZ79" s="19" t="str">
        <f aca="false">IF(AG79=0,"",IF(AP79="FT",IF(AU79&lt;FT_First,0,IF(AU79&lt;FT_Y5,1+INT((AU79-FT_First)/FT_Int1),FT_PreY5+FT_PerYear*INT((AU79-FT_Y5)/12)+FT_AnnivDays+INT(MOD(AU79-FT_Y5,12)/FT_Int2))),IF(AP79="PT",IF(AU79&lt;PT_First,0,1+INT((AU79-PT_First)/PT_Int)),0))+IF(AND(AI79&gt;=2,AK79&lt;=AsOfDate),IF(AQ79="FT",IF(AV79&lt;FT_First,0,IF(AV79&lt;FT_Y5,1+INT((AV79-FT_First)/FT_Int1),FT_PreY5+FT_PerYear*INT((AV79-FT_Y5)/12)+FT_AnnivDays+INT(MOD(AV79-FT_Y5,12)/FT_Int2))),IF(AQ79="PT",IF(AV79&lt;PT_First,0,1+INT((AV79-PT_First)/PT_Int)),0))-IF(AQ79="FT",IF(AU79&lt;FT_First,0,IF(AU79&lt;FT_Y5,1+INT((AU79-FT_First)/FT_Int1),FT_PreY5+FT_PerYear*INT((AU79-FT_Y5)/12)+FT_AnnivDays+INT(MOD(AU79-FT_Y5,12)/FT_Int2))),IF(AQ79="PT",IF(AU79&lt;PT_First,0,1+INT((AU79-PT_First)/PT_Int)),0)),0)+IF(AND(AI79&gt;=3,AL79&lt;=AsOfDate),IF(AR79="FT",IF(AT79&lt;FT_First,0,IF(AT79&lt;FT_Y5,1+INT((AT79-FT_First)/FT_Int1),FT_PreY5+FT_PerYear*INT((AT79-FT_Y5)/12)+FT_AnnivDays+INT(MOD(AT79-FT_Y5,12)/FT_Int2))),IF(AR79="PT",IF(AT79&lt;PT_First,0,1+INT((AT79-PT_First)/PT_Int)),0))-IF(AR79="FT",IF(AV79&lt;FT_First,0,IF(AV79&lt;FT_Y5,1+INT((AV79-FT_First)/FT_Int1),FT_PreY5+FT_PerYear*INT((AV79-FT_Y5)/12)+FT_AnnivDays+INT(MOD(AV79-FT_Y5,12)/FT_Int2))),IF(AR79="PT",IF(AV79&lt;PT_First,0,1+INT((AV79-PT_First)/PT_Int)),0)),0))</f>
        <v/>
      </c>
      <c r="BA79" s="19" t="str">
        <f aca="false">IF(AG79=0,"",IF(AP79="FT",IF(AX79&lt;FT_First,0,IF(AX79&lt;FT_Y5,1+INT((AX79-FT_First)/FT_Int1),FT_PreY5+FT_PerYear*INT((AX79-FT_Y5)/12)+FT_AnnivDays+INT(MOD(AX79-FT_Y5,12)/FT_Int2))),IF(AP79="PT",IF(AX79&lt;PT_First,0,1+INT((AX79-PT_First)/PT_Int)),0))+IF(AND(AI79&gt;=2,AK79&lt;=PFYDate),IF(AQ79="FT",IF(AY79&lt;FT_First,0,IF(AY79&lt;FT_Y5,1+INT((AY79-FT_First)/FT_Int1),FT_PreY5+FT_PerYear*INT((AY79-FT_Y5)/12)+FT_AnnivDays+INT(MOD(AY79-FT_Y5,12)/FT_Int2))),IF(AQ79="PT",IF(AY79&lt;PT_First,0,1+INT((AY79-PT_First)/PT_Int)),0))-IF(AQ79="FT",IF(AX79&lt;FT_First,0,IF(AX79&lt;FT_Y5,1+INT((AX79-FT_First)/FT_Int1),FT_PreY5+FT_PerYear*INT((AX79-FT_Y5)/12)+FT_AnnivDays+INT(MOD(AX79-FT_Y5,12)/FT_Int2))),IF(AQ79="PT",IF(AX79&lt;PT_First,0,1+INT((AX79-PT_First)/PT_Int)),0)),0)+IF(AND(AI79&gt;=3,AL79&lt;=PFYDate),IF(AR79="FT",IF(AW79&lt;FT_First,0,IF(AW79&lt;FT_Y5,1+INT((AW79-FT_First)/FT_Int1),FT_PreY5+FT_PerYear*INT((AW79-FT_Y5)/12)+FT_AnnivDays+INT(MOD(AW79-FT_Y5,12)/FT_Int2))),IF(AR79="PT",IF(AW79&lt;PT_First,0,1+INT((AW79-PT_First)/PT_Int)),0))-IF(AR79="FT",IF(AY79&lt;FT_First,0,IF(AY79&lt;FT_Y5,1+INT((AY79-FT_First)/FT_Int1),FT_PreY5+FT_PerYear*INT((AY79-FT_Y5)/12)+FT_AnnivDays+INT(MOD(AY79-FT_Y5,12)/FT_Int2))),IF(AR79="PT",IF(AY79&lt;PT_First,0,1+INT((AY79-PT_First)/PT_Int)),0)),0))</f>
        <v/>
      </c>
      <c r="BB79" s="19" t="str">
        <f aca="false">IF(AG79=0,"",IF(AS79="FT",IF(AT79&lt;FT_First,FT_First,IF(AT79&lt;FT_Y5,MIN(FT_Y5,FT_First+FT_Int1*(INT((AT79-FT_First)/FT_Int1)+1)),FT_Y5+12*INT((AT79-FT_Y5)/12)+FT_Int2*(INT(MOD(AT79-FT_Y5,12)/FT_Int2)+1))),IF(AS79="PT",IF(AT79&lt;PT_First,PT_First,PT_First+PT_Int*(INT((AT79-PT_First)/PT_Int)+1)),"")))</f>
        <v/>
      </c>
      <c r="BC79" s="19" t="str">
        <f aca="false">IF(AG79=0,"",IF(NOT(LH_Ready),0,COUNTIFS(INDEX(LH_Data,0,LH_ColFirst),$A79,INDEX(LH_Data,0,LH_ColSur),$B79,INDEX(LH_Data,0,LH_ColCat),BonusCat)))</f>
        <v/>
      </c>
      <c r="BD79" s="19" t="str">
        <f aca="false">IF(AG79=0,"",IF(OR(NOT(LH_Ready),BC79=0),0,SUMPRODUCT(MAX((INDEX(LH_Data,0,LH_ColFirst)=$A79)*(INDEX(LH_Data,0,LH_ColSur)=$B79)*(INDEX(LH_Data,0,LH_ColCat)=BonusCat)*ROW(LH_Data)))))</f>
        <v/>
      </c>
      <c r="BE79" s="19" t="str">
        <f aca="false">IF(AG79=0,"",IF(EOMONTH(AsOfDate,-1)&lt;AH79,-1,12*(YEAR(EOMONTH(AsOfDate,-1))-YEAR(AH79))+MONTH(EOMONTH(AsOfDate,-1))-MONTH(AH79)-IF(DAY(EOMONTH(AsOfDate,-1))&lt;MIN(DAY(AH79),DAY(EOMONTH(EOMONTH(AsOfDate,-1),0))),1,0)))</f>
        <v/>
      </c>
      <c r="BF79" s="19" t="str">
        <f aca="false">IF(AG79=0,"",IF(OR(AI79&lt;2,AK79&gt;EOMONTH(AsOfDate,-1)),BE79,IF((AK79-1)&lt;AH79,-1,12*(YEAR((AK79-1))-YEAR(AH79))+MONTH((AK79-1))-MONTH(AH79)-IF(DAY((AK79-1))&lt;MIN(DAY(AH79),DAY(EOMONTH((AK79-1),0))),1,0))))</f>
        <v/>
      </c>
      <c r="BG79" s="19" t="str">
        <f aca="false">IF(AG79=0,"",IF(OR(AI79&lt;3,AL79&gt;EOMONTH(AsOfDate,-1)),BE79,IF((AL79-1)&lt;AH79,-1,12*(YEAR((AL79-1))-YEAR(AH79))+MONTH((AL79-1))-MONTH(AH79)-IF(DAY((AL79-1))&lt;MIN(DAY(AH79),DAY(EOMONTH((AL79-1),0))),1,0))))</f>
        <v/>
      </c>
      <c r="BH79" s="19" t="str">
        <f aca="false">IF(AG79=0,"",IF(AP79="FT",IF(BF79&lt;FT_First,0,IF(BF79&lt;FT_Y5,1+INT((BF79-FT_First)/FT_Int1),FT_PreY5+FT_PerYear*INT((BF79-FT_Y5)/12)+FT_AnnivDays+INT(MOD(BF79-FT_Y5,12)/FT_Int2))),IF(AP79="PT",IF(BF79&lt;PT_First,0,1+INT((BF79-PT_First)/PT_Int)),0))+IF(AND(AI79&gt;=2,AK79&lt;=EOMONTH(AsOfDate,-1)),IF(AQ79="FT",IF(BG79&lt;FT_First,0,IF(BG79&lt;FT_Y5,1+INT((BG79-FT_First)/FT_Int1),FT_PreY5+FT_PerYear*INT((BG79-FT_Y5)/12)+FT_AnnivDays+INT(MOD(BG79-FT_Y5,12)/FT_Int2))),IF(AQ79="PT",IF(BG79&lt;PT_First,0,1+INT((BG79-PT_First)/PT_Int)),0))-IF(AQ79="FT",IF(BF79&lt;FT_First,0,IF(BF79&lt;FT_Y5,1+INT((BF79-FT_First)/FT_Int1),FT_PreY5+FT_PerYear*INT((BF79-FT_Y5)/12)+FT_AnnivDays+INT(MOD(BF79-FT_Y5,12)/FT_Int2))),IF(AQ79="PT",IF(BF79&lt;PT_First,0,1+INT((BF79-PT_First)/PT_Int)),0)),0)+IF(AND(AI79&gt;=3,AL79&lt;=EOMONTH(AsOfDate,-1)),IF(AR79="FT",IF(BE79&lt;FT_First,0,IF(BE79&lt;FT_Y5,1+INT((BE79-FT_First)/FT_Int1),FT_PreY5+FT_PerYear*INT((BE79-FT_Y5)/12)+FT_AnnivDays+INT(MOD(BE79-FT_Y5,12)/FT_Int2))),IF(AR79="PT",IF(BE79&lt;PT_First,0,1+INT((BE79-PT_First)/PT_Int)),0))-IF(AR79="FT",IF(BG79&lt;FT_First,0,IF(BG79&lt;FT_Y5,1+INT((BG79-FT_First)/FT_Int1),FT_PreY5+FT_PerYear*INT((BG79-FT_Y5)/12)+FT_AnnivDays+INT(MOD(BG79-FT_Y5,12)/FT_Int2))),IF(AR79="PT",IF(BG79&lt;PT_First,0,1+INT((BG79-PT_First)/PT_Int)),0)),0))</f>
        <v/>
      </c>
      <c r="BI79" s="19" t="str">
        <f aca="false">IF(AG79=0,"",IF(AS79="FT",IF(AT79&lt;FT_First,"",IF(AT79&lt;FT_Y5,FT_First+FT_Int1*INT((AT79-FT_First)/FT_Int1),FT_Y5+FT_Int2*INT((AT79-FT_Y5)/FT_Int2))),IF(AS79="PT",IF(AT79&lt;PT_First,"",PT_First+PT_Int*INT((AT79-PT_First)/PT_Int)),"")))</f>
        <v/>
      </c>
      <c r="BJ79" s="0" t="str">
        <f aca="false">IF(LEN($A79&amp;$B79)=0,"",$A79&amp;" "&amp;$B79)</f>
        <v/>
      </c>
    </row>
    <row r="80" customFormat="false" ht="15" hidden="false" customHeight="false" outlineLevel="0" collapsed="false">
      <c r="A80" s="15"/>
      <c r="B80" s="15"/>
      <c r="C80" s="15"/>
      <c r="D80" s="16"/>
      <c r="E80" s="17" t="str">
        <f aca="false">IF(OR(AG80=0,$D80=""),"",DATE(YEAR(AsOfDate)+IF(DATE(YEAR(AsOfDate),MONTH($D80),DAY($D80))&lt;=AsOfDate,1,0),MONTH($D80),DAY($D80)))</f>
        <v/>
      </c>
      <c r="F80" s="16"/>
      <c r="G80" s="16"/>
      <c r="H80" s="16"/>
      <c r="I80" s="16"/>
      <c r="J80" s="16"/>
      <c r="K80" s="17" t="str">
        <f aca="false">IF(AG80=0,"",DATE(YEAR(AsOfDate)+IF(DATE(YEAR(AsOfDate),MONTH(AH80),DAY(AH80))&lt;=AsOfDate,1,0),MONTH(AH80),DAY(AH80)))</f>
        <v/>
      </c>
      <c r="L80" s="18" t="str">
        <f aca="false">IF(AG80=0,"",ROUND((AsOfDate-AH80)/365.25,1))</f>
        <v/>
      </c>
      <c r="M80" s="19" t="str">
        <f aca="false">IF(AG80=0,"",IF(AsOfDate&lt;AH80,"-",DATEDIF(AH80,AsOfDate,"y")&amp;"y "&amp;DATEDIF(AH80,AsOfDate,"ym")&amp;"m "&amp;DATEDIF(AH80,AsOfDate,"md")&amp;"d"))</f>
        <v/>
      </c>
      <c r="N80" s="20" t="str">
        <f aca="false">IF(AG80=0,"",O80*HoursPerDay)</f>
        <v/>
      </c>
      <c r="O80" s="20" t="str">
        <f aca="false">IF(AG80=0,"",AZ80)</f>
        <v/>
      </c>
      <c r="P80" s="21"/>
      <c r="Q80" s="19"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19"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7" t="str">
        <f aca="false">IF(AG80=0,"",IF(AS80="None","",EDATE(AH80,BB80)))</f>
        <v/>
      </c>
      <c r="T80" s="20" t="str">
        <f aca="false">IF(AG80=0,"",IF(NOT(LH_Ready),"",IF(AH80&gt;PFYDate,0,IF(LH_ColPeriod=0,W80-U80+V80,SUMIFS(INDEX(LH_Data,0,LH_ColAcc),INDEX(LH_Data,0,LH_ColFirst),$A80,INDEX(LH_Data,0,LH_ColSur),$B80,INDEX(LH_Data,0,LH_ColCat),BonusCat,INDEX(LH_Data,0,LH_ColPeriod),LH_OpenLabel)*UnitFactor))))</f>
        <v/>
      </c>
      <c r="U80" s="20" t="str">
        <f aca="false">IF(AG80=0,"",IF(NOT(LH_Ready),"",SUMIFS(INDEX(LH_Data,0,LH_ColAcc),INDEX(LH_Data,0,LH_ColFirst),$A80,INDEX(LH_Data,0,LH_ColSur),$B80,INDEX(LH_Data,0,LH_ColCat),BonusCat,INDEX(LH_Data,0,LH_ColStart),"&gt;="&amp;AH80)*UnitFactor))</f>
        <v/>
      </c>
      <c r="V80" s="20" t="str">
        <f aca="false">IF(AG80=0,"",IF(NOT(LH_Ready),"",SUMIFS(INDEX(LH_Data,0,LH_ColTaken),INDEX(LH_Data,0,LH_ColFirst),$A80,INDEX(LH_Data,0,LH_ColSur),$B80,INDEX(LH_Data,0,LH_ColCat),BonusCat,INDEX(LH_Data,0,LH_ColStart),"&gt;="&amp;AH80)*UnitFactor))</f>
        <v/>
      </c>
      <c r="W80" s="20" t="str">
        <f aca="false">IF(AG80=0,"",IF(NOT(LH_Ready),"",IF(BD80=0,0,INDEX(INDEX(LH_Data,0,LH_ColClose),BD80-1)*UnitFactor)))</f>
        <v/>
      </c>
      <c r="X80" s="20" t="str">
        <f aca="false">IF(AG80=0,"",(AZ80-BA80)*HoursPerDay)</f>
        <v/>
      </c>
      <c r="Y80" s="20" t="str">
        <f aca="false">IF(AG80=0,"",IF(NOT(LH_Ready),"",IF(BC80=0,N80,IF(PFYDate&lt;$F80,N80-N(T80)-N(U80),X80-N(U80)))))</f>
        <v/>
      </c>
      <c r="Z80" s="19" t="str">
        <f aca="false">IF(OR(AG80=0,Y80=""),"",IF(Y80&gt;0,"Yes","No"))</f>
        <v/>
      </c>
      <c r="AA80" s="19"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20" t="str">
        <f aca="false">IF(OR(AG80=0,T80=""),"",BA80*HoursPerDay-T80)</f>
        <v/>
      </c>
      <c r="AC80" s="19" t="str">
        <f aca="false">IF(AG80=0,"",BC80)</f>
        <v/>
      </c>
      <c r="AD80" s="19"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20" t="str">
        <f aca="false">IF(AG80=0,"",O80-BH80)</f>
        <v/>
      </c>
      <c r="AF80" s="17" t="str">
        <f aca="false">IF(OR(AG80=0,AE80="",N(AE80)=0,BI80=""),"",EDATE(AH80,BI80))</f>
        <v/>
      </c>
      <c r="AG80" s="19" t="n">
        <f aca="false">IF(OR(LEN($A80&amp;$B80)=0,$F80=""),0,1)</f>
        <v>0</v>
      </c>
      <c r="AH80" s="17" t="str">
        <f aca="false">IF(AG80=0,"",IF($J80&lt;&gt;"",$J80,IF(OR(CasualCounts="Yes",COUNT($G80:$I80)=0,COUNT($H80:$I80)=0),$F80,MIN($H80:$I80))))</f>
        <v/>
      </c>
      <c r="AI80" s="19" t="str">
        <f aca="false">IF(AG80=0,"",COUNT($G80:$I80))</f>
        <v/>
      </c>
      <c r="AJ80" s="17" t="str">
        <f aca="false">IF(AG80=0,"",IFERROR(SMALL($G80:$I80,1),""))</f>
        <v/>
      </c>
      <c r="AK80" s="17" t="str">
        <f aca="false">IF(AG80=0,"",IFERROR(SMALL($G80:$I80,2),""))</f>
        <v/>
      </c>
      <c r="AL80" s="17" t="str">
        <f aca="false">IF(AG80=0,"",IFERROR(SMALL($G80:$I80,3),""))</f>
        <v/>
      </c>
      <c r="AM80" s="19" t="str">
        <f aca="false">IF(AG80=0,"",IF(AJ80="","",IF(AJ80=$H80,"Part-Time",IF(AJ80=$I80,"Full-Time","Casual"))))</f>
        <v/>
      </c>
      <c r="AN80" s="19" t="str">
        <f aca="false">IF(AG80=0,"",IF(AK80="","",IF(AK80=$H80,"Part-Time",IF(AK80=$I80,"Full-Time","Casual"))))</f>
        <v/>
      </c>
      <c r="AO80" s="19" t="str">
        <f aca="false">IF(AG80=0,"",IF(AL80="","",IF(AL80=$H80,"Part-Time",IF(AL80=$I80,"Full-Time","Casual"))))</f>
        <v/>
      </c>
      <c r="AP80" s="19"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19" t="str">
        <f aca="false">IF(AG80=0,"",IF(AI80&lt;2,"",IF(OR(ISNUMBER(SEARCH("full",AN80)),UPPER(TRIM(AN80))="FT",UPPER(TRIM(AN80))="FTE"),"FT",IF(AND(OR(ISNUMBER(SEARCH("part",AN80)),UPPER(TRIM(AN80))="PT",UPPER(TRIM(AN80))="PTE"),OR($P80="",N($P80)&gt;=PT_MinHours)),"PT","None"))))</f>
        <v/>
      </c>
      <c r="AR80" s="19" t="str">
        <f aca="false">IF(AG80=0,"",IF(AI80&lt;3,"",IF(OR(ISNUMBER(SEARCH("full",AO80)),UPPER(TRIM(AO80))="FT",UPPER(TRIM(AO80))="FTE"),"FT",IF(AND(OR(ISNUMBER(SEARCH("part",AO80)),UPPER(TRIM(AO80))="PT",UPPER(TRIM(AO80))="PTE"),OR($P80="",N($P80)&gt;=PT_MinHours)),"PT","None"))))</f>
        <v/>
      </c>
      <c r="AS80" s="19" t="str">
        <f aca="false">IF(AG80=0,"",IF(AND(AI80&gt;=3,AL80&lt;=AsOfDate),AR80,IF(AND(AI80&gt;=2,AK80&lt;=AsOfDate),AQ80,AP80)))</f>
        <v/>
      </c>
      <c r="AT80" s="19" t="str">
        <f aca="false">IF(AG80=0,"",IF(AsOfDate&lt;AH80,-1,12*(YEAR(AsOfDate)-YEAR(AH80))+MONTH(AsOfDate)-MONTH(AH80)-IF(DAY(AsOfDate)&lt;MIN(DAY(AH80),DAY(EOMONTH(AsOfDate,0))),1,0)))</f>
        <v/>
      </c>
      <c r="AU80" s="19" t="str">
        <f aca="false">IF(AG80=0,"",IF(OR(AI80&lt;2,AK80&gt;AsOfDate),AT80,IF((AK80-1)&lt;AH80,-1,12*(YEAR((AK80-1))-YEAR(AH80))+MONTH((AK80-1))-MONTH(AH80)-IF(DAY((AK80-1))&lt;MIN(DAY(AH80),DAY(EOMONTH((AK80-1),0))),1,0))))</f>
        <v/>
      </c>
      <c r="AV80" s="19" t="str">
        <f aca="false">IF(AG80=0,"",IF(OR(AI80&lt;3,AL80&gt;AsOfDate),AT80,IF((AL80-1)&lt;AH80,-1,12*(YEAR((AL80-1))-YEAR(AH80))+MONTH((AL80-1))-MONTH(AH80)-IF(DAY((AL80-1))&lt;MIN(DAY(AH80),DAY(EOMONTH((AL80-1),0))),1,0))))</f>
        <v/>
      </c>
      <c r="AW80" s="19" t="str">
        <f aca="false">IF(AG80=0,"",IF(PFYDate&lt;AH80,-1,12*(YEAR(PFYDate)-YEAR(AH80))+MONTH(PFYDate)-MONTH(AH80)-IF(DAY(PFYDate)&lt;MIN(DAY(AH80),DAY(EOMONTH(PFYDate,0))),1,0)))</f>
        <v/>
      </c>
      <c r="AX80" s="19" t="str">
        <f aca="false">IF(AG80=0,"",IF(OR(AI80&lt;2,AK80&gt;PFYDate),AW80,IF((AK80-1)&lt;AH80,-1,12*(YEAR((AK80-1))-YEAR(AH80))+MONTH((AK80-1))-MONTH(AH80)-IF(DAY((AK80-1))&lt;MIN(DAY(AH80),DAY(EOMONTH((AK80-1),0))),1,0))))</f>
        <v/>
      </c>
      <c r="AY80" s="19" t="str">
        <f aca="false">IF(AG80=0,"",IF(OR(AI80&lt;3,AL80&gt;PFYDate),AW80,IF((AL80-1)&lt;AH80,-1,12*(YEAR((AL80-1))-YEAR(AH80))+MONTH((AL80-1))-MONTH(AH80)-IF(DAY((AL80-1))&lt;MIN(DAY(AH80),DAY(EOMONTH((AL80-1),0))),1,0))))</f>
        <v/>
      </c>
      <c r="AZ80" s="19" t="str">
        <f aca="false">IF(AG80=0,"",IF(AP80="FT",IF(AU80&lt;FT_First,0,IF(AU80&lt;FT_Y5,1+INT((AU80-FT_First)/FT_Int1),FT_PreY5+FT_PerYear*INT((AU80-FT_Y5)/12)+FT_AnnivDays+INT(MOD(AU80-FT_Y5,12)/FT_Int2))),IF(AP80="PT",IF(AU80&lt;PT_First,0,1+INT((AU80-PT_First)/PT_Int)),0))+IF(AND(AI80&gt;=2,AK80&lt;=AsOfDate),IF(AQ80="FT",IF(AV80&lt;FT_First,0,IF(AV80&lt;FT_Y5,1+INT((AV80-FT_First)/FT_Int1),FT_PreY5+FT_PerYear*INT((AV80-FT_Y5)/12)+FT_AnnivDays+INT(MOD(AV80-FT_Y5,12)/FT_Int2))),IF(AQ80="PT",IF(AV80&lt;PT_First,0,1+INT((AV80-PT_First)/PT_Int)),0))-IF(AQ80="FT",IF(AU80&lt;FT_First,0,IF(AU80&lt;FT_Y5,1+INT((AU80-FT_First)/FT_Int1),FT_PreY5+FT_PerYear*INT((AU80-FT_Y5)/12)+FT_AnnivDays+INT(MOD(AU80-FT_Y5,12)/FT_Int2))),IF(AQ80="PT",IF(AU80&lt;PT_First,0,1+INT((AU80-PT_First)/PT_Int)),0)),0)+IF(AND(AI80&gt;=3,AL80&lt;=AsOfDate),IF(AR80="FT",IF(AT80&lt;FT_First,0,IF(AT80&lt;FT_Y5,1+INT((AT80-FT_First)/FT_Int1),FT_PreY5+FT_PerYear*INT((AT80-FT_Y5)/12)+FT_AnnivDays+INT(MOD(AT80-FT_Y5,12)/FT_Int2))),IF(AR80="PT",IF(AT80&lt;PT_First,0,1+INT((AT80-PT_First)/PT_Int)),0))-IF(AR80="FT",IF(AV80&lt;FT_First,0,IF(AV80&lt;FT_Y5,1+INT((AV80-FT_First)/FT_Int1),FT_PreY5+FT_PerYear*INT((AV80-FT_Y5)/12)+FT_AnnivDays+INT(MOD(AV80-FT_Y5,12)/FT_Int2))),IF(AR80="PT",IF(AV80&lt;PT_First,0,1+INT((AV80-PT_First)/PT_Int)),0)),0))</f>
        <v/>
      </c>
      <c r="BA80" s="19" t="str">
        <f aca="false">IF(AG80=0,"",IF(AP80="FT",IF(AX80&lt;FT_First,0,IF(AX80&lt;FT_Y5,1+INT((AX80-FT_First)/FT_Int1),FT_PreY5+FT_PerYear*INT((AX80-FT_Y5)/12)+FT_AnnivDays+INT(MOD(AX80-FT_Y5,12)/FT_Int2))),IF(AP80="PT",IF(AX80&lt;PT_First,0,1+INT((AX80-PT_First)/PT_Int)),0))+IF(AND(AI80&gt;=2,AK80&lt;=PFYDate),IF(AQ80="FT",IF(AY80&lt;FT_First,0,IF(AY80&lt;FT_Y5,1+INT((AY80-FT_First)/FT_Int1),FT_PreY5+FT_PerYear*INT((AY80-FT_Y5)/12)+FT_AnnivDays+INT(MOD(AY80-FT_Y5,12)/FT_Int2))),IF(AQ80="PT",IF(AY80&lt;PT_First,0,1+INT((AY80-PT_First)/PT_Int)),0))-IF(AQ80="FT",IF(AX80&lt;FT_First,0,IF(AX80&lt;FT_Y5,1+INT((AX80-FT_First)/FT_Int1),FT_PreY5+FT_PerYear*INT((AX80-FT_Y5)/12)+FT_AnnivDays+INT(MOD(AX80-FT_Y5,12)/FT_Int2))),IF(AQ80="PT",IF(AX80&lt;PT_First,0,1+INT((AX80-PT_First)/PT_Int)),0)),0)+IF(AND(AI80&gt;=3,AL80&lt;=PFYDate),IF(AR80="FT",IF(AW80&lt;FT_First,0,IF(AW80&lt;FT_Y5,1+INT((AW80-FT_First)/FT_Int1),FT_PreY5+FT_PerYear*INT((AW80-FT_Y5)/12)+FT_AnnivDays+INT(MOD(AW80-FT_Y5,12)/FT_Int2))),IF(AR80="PT",IF(AW80&lt;PT_First,0,1+INT((AW80-PT_First)/PT_Int)),0))-IF(AR80="FT",IF(AY80&lt;FT_First,0,IF(AY80&lt;FT_Y5,1+INT((AY80-FT_First)/FT_Int1),FT_PreY5+FT_PerYear*INT((AY80-FT_Y5)/12)+FT_AnnivDays+INT(MOD(AY80-FT_Y5,12)/FT_Int2))),IF(AR80="PT",IF(AY80&lt;PT_First,0,1+INT((AY80-PT_First)/PT_Int)),0)),0))</f>
        <v/>
      </c>
      <c r="BB80" s="19" t="str">
        <f aca="false">IF(AG80=0,"",IF(AS80="FT",IF(AT80&lt;FT_First,FT_First,IF(AT80&lt;FT_Y5,MIN(FT_Y5,FT_First+FT_Int1*(INT((AT80-FT_First)/FT_Int1)+1)),FT_Y5+12*INT((AT80-FT_Y5)/12)+FT_Int2*(INT(MOD(AT80-FT_Y5,12)/FT_Int2)+1))),IF(AS80="PT",IF(AT80&lt;PT_First,PT_First,PT_First+PT_Int*(INT((AT80-PT_First)/PT_Int)+1)),"")))</f>
        <v/>
      </c>
      <c r="BC80" s="19" t="str">
        <f aca="false">IF(AG80=0,"",IF(NOT(LH_Ready),0,COUNTIFS(INDEX(LH_Data,0,LH_ColFirst),$A80,INDEX(LH_Data,0,LH_ColSur),$B80,INDEX(LH_Data,0,LH_ColCat),BonusCat)))</f>
        <v/>
      </c>
      <c r="BD80" s="19" t="str">
        <f aca="false">IF(AG80=0,"",IF(OR(NOT(LH_Ready),BC80=0),0,SUMPRODUCT(MAX((INDEX(LH_Data,0,LH_ColFirst)=$A80)*(INDEX(LH_Data,0,LH_ColSur)=$B80)*(INDEX(LH_Data,0,LH_ColCat)=BonusCat)*ROW(LH_Data)))))</f>
        <v/>
      </c>
      <c r="BE80" s="19" t="str">
        <f aca="false">IF(AG80=0,"",IF(EOMONTH(AsOfDate,-1)&lt;AH80,-1,12*(YEAR(EOMONTH(AsOfDate,-1))-YEAR(AH80))+MONTH(EOMONTH(AsOfDate,-1))-MONTH(AH80)-IF(DAY(EOMONTH(AsOfDate,-1))&lt;MIN(DAY(AH80),DAY(EOMONTH(EOMONTH(AsOfDate,-1),0))),1,0)))</f>
        <v/>
      </c>
      <c r="BF80" s="19" t="str">
        <f aca="false">IF(AG80=0,"",IF(OR(AI80&lt;2,AK80&gt;EOMONTH(AsOfDate,-1)),BE80,IF((AK80-1)&lt;AH80,-1,12*(YEAR((AK80-1))-YEAR(AH80))+MONTH((AK80-1))-MONTH(AH80)-IF(DAY((AK80-1))&lt;MIN(DAY(AH80),DAY(EOMONTH((AK80-1),0))),1,0))))</f>
        <v/>
      </c>
      <c r="BG80" s="19" t="str">
        <f aca="false">IF(AG80=0,"",IF(OR(AI80&lt;3,AL80&gt;EOMONTH(AsOfDate,-1)),BE80,IF((AL80-1)&lt;AH80,-1,12*(YEAR((AL80-1))-YEAR(AH80))+MONTH((AL80-1))-MONTH(AH80)-IF(DAY((AL80-1))&lt;MIN(DAY(AH80),DAY(EOMONTH((AL80-1),0))),1,0))))</f>
        <v/>
      </c>
      <c r="BH80" s="19" t="str">
        <f aca="false">IF(AG80=0,"",IF(AP80="FT",IF(BF80&lt;FT_First,0,IF(BF80&lt;FT_Y5,1+INT((BF80-FT_First)/FT_Int1),FT_PreY5+FT_PerYear*INT((BF80-FT_Y5)/12)+FT_AnnivDays+INT(MOD(BF80-FT_Y5,12)/FT_Int2))),IF(AP80="PT",IF(BF80&lt;PT_First,0,1+INT((BF80-PT_First)/PT_Int)),0))+IF(AND(AI80&gt;=2,AK80&lt;=EOMONTH(AsOfDate,-1)),IF(AQ80="FT",IF(BG80&lt;FT_First,0,IF(BG80&lt;FT_Y5,1+INT((BG80-FT_First)/FT_Int1),FT_PreY5+FT_PerYear*INT((BG80-FT_Y5)/12)+FT_AnnivDays+INT(MOD(BG80-FT_Y5,12)/FT_Int2))),IF(AQ80="PT",IF(BG80&lt;PT_First,0,1+INT((BG80-PT_First)/PT_Int)),0))-IF(AQ80="FT",IF(BF80&lt;FT_First,0,IF(BF80&lt;FT_Y5,1+INT((BF80-FT_First)/FT_Int1),FT_PreY5+FT_PerYear*INT((BF80-FT_Y5)/12)+FT_AnnivDays+INT(MOD(BF80-FT_Y5,12)/FT_Int2))),IF(AQ80="PT",IF(BF80&lt;PT_First,0,1+INT((BF80-PT_First)/PT_Int)),0)),0)+IF(AND(AI80&gt;=3,AL80&lt;=EOMONTH(AsOfDate,-1)),IF(AR80="FT",IF(BE80&lt;FT_First,0,IF(BE80&lt;FT_Y5,1+INT((BE80-FT_First)/FT_Int1),FT_PreY5+FT_PerYear*INT((BE80-FT_Y5)/12)+FT_AnnivDays+INT(MOD(BE80-FT_Y5,12)/FT_Int2))),IF(AR80="PT",IF(BE80&lt;PT_First,0,1+INT((BE80-PT_First)/PT_Int)),0))-IF(AR80="FT",IF(BG80&lt;FT_First,0,IF(BG80&lt;FT_Y5,1+INT((BG80-FT_First)/FT_Int1),FT_PreY5+FT_PerYear*INT((BG80-FT_Y5)/12)+FT_AnnivDays+INT(MOD(BG80-FT_Y5,12)/FT_Int2))),IF(AR80="PT",IF(BG80&lt;PT_First,0,1+INT((BG80-PT_First)/PT_Int)),0)),0))</f>
        <v/>
      </c>
      <c r="BI80" s="19" t="str">
        <f aca="false">IF(AG80=0,"",IF(AS80="FT",IF(AT80&lt;FT_First,"",IF(AT80&lt;FT_Y5,FT_First+FT_Int1*INT((AT80-FT_First)/FT_Int1),FT_Y5+FT_Int2*INT((AT80-FT_Y5)/FT_Int2))),IF(AS80="PT",IF(AT80&lt;PT_First,"",PT_First+PT_Int*INT((AT80-PT_First)/PT_Int)),"")))</f>
        <v/>
      </c>
      <c r="BJ80" s="0" t="str">
        <f aca="false">IF(LEN($A80&amp;$B80)=0,"",$A80&amp;" "&amp;$B80)</f>
        <v/>
      </c>
    </row>
    <row r="81" customFormat="false" ht="15" hidden="false" customHeight="false" outlineLevel="0" collapsed="false">
      <c r="A81" s="15"/>
      <c r="B81" s="15"/>
      <c r="C81" s="15"/>
      <c r="D81" s="16"/>
      <c r="E81" s="17" t="str">
        <f aca="false">IF(OR(AG81=0,$D81=""),"",DATE(YEAR(AsOfDate)+IF(DATE(YEAR(AsOfDate),MONTH($D81),DAY($D81))&lt;=AsOfDate,1,0),MONTH($D81),DAY($D81)))</f>
        <v/>
      </c>
      <c r="F81" s="16"/>
      <c r="G81" s="16"/>
      <c r="H81" s="16"/>
      <c r="I81" s="16"/>
      <c r="J81" s="16"/>
      <c r="K81" s="17" t="str">
        <f aca="false">IF(AG81=0,"",DATE(YEAR(AsOfDate)+IF(DATE(YEAR(AsOfDate),MONTH(AH81),DAY(AH81))&lt;=AsOfDate,1,0),MONTH(AH81),DAY(AH81)))</f>
        <v/>
      </c>
      <c r="L81" s="18" t="str">
        <f aca="false">IF(AG81=0,"",ROUND((AsOfDate-AH81)/365.25,1))</f>
        <v/>
      </c>
      <c r="M81" s="19" t="str">
        <f aca="false">IF(AG81=0,"",IF(AsOfDate&lt;AH81,"-",DATEDIF(AH81,AsOfDate,"y")&amp;"y "&amp;DATEDIF(AH81,AsOfDate,"ym")&amp;"m "&amp;DATEDIF(AH81,AsOfDate,"md")&amp;"d"))</f>
        <v/>
      </c>
      <c r="N81" s="20" t="str">
        <f aca="false">IF(AG81=0,"",O81*HoursPerDay)</f>
        <v/>
      </c>
      <c r="O81" s="20" t="str">
        <f aca="false">IF(AG81=0,"",AZ81)</f>
        <v/>
      </c>
      <c r="P81" s="21"/>
      <c r="Q81" s="19"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19"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7" t="str">
        <f aca="false">IF(AG81=0,"",IF(AS81="None","",EDATE(AH81,BB81)))</f>
        <v/>
      </c>
      <c r="T81" s="20" t="str">
        <f aca="false">IF(AG81=0,"",IF(NOT(LH_Ready),"",IF(AH81&gt;PFYDate,0,IF(LH_ColPeriod=0,W81-U81+V81,SUMIFS(INDEX(LH_Data,0,LH_ColAcc),INDEX(LH_Data,0,LH_ColFirst),$A81,INDEX(LH_Data,0,LH_ColSur),$B81,INDEX(LH_Data,0,LH_ColCat),BonusCat,INDEX(LH_Data,0,LH_ColPeriod),LH_OpenLabel)*UnitFactor))))</f>
        <v/>
      </c>
      <c r="U81" s="20" t="str">
        <f aca="false">IF(AG81=0,"",IF(NOT(LH_Ready),"",SUMIFS(INDEX(LH_Data,0,LH_ColAcc),INDEX(LH_Data,0,LH_ColFirst),$A81,INDEX(LH_Data,0,LH_ColSur),$B81,INDEX(LH_Data,0,LH_ColCat),BonusCat,INDEX(LH_Data,0,LH_ColStart),"&gt;="&amp;AH81)*UnitFactor))</f>
        <v/>
      </c>
      <c r="V81" s="20" t="str">
        <f aca="false">IF(AG81=0,"",IF(NOT(LH_Ready),"",SUMIFS(INDEX(LH_Data,0,LH_ColTaken),INDEX(LH_Data,0,LH_ColFirst),$A81,INDEX(LH_Data,0,LH_ColSur),$B81,INDEX(LH_Data,0,LH_ColCat),BonusCat,INDEX(LH_Data,0,LH_ColStart),"&gt;="&amp;AH81)*UnitFactor))</f>
        <v/>
      </c>
      <c r="W81" s="20" t="str">
        <f aca="false">IF(AG81=0,"",IF(NOT(LH_Ready),"",IF(BD81=0,0,INDEX(INDEX(LH_Data,0,LH_ColClose),BD81-1)*UnitFactor)))</f>
        <v/>
      </c>
      <c r="X81" s="20" t="str">
        <f aca="false">IF(AG81=0,"",(AZ81-BA81)*HoursPerDay)</f>
        <v/>
      </c>
      <c r="Y81" s="20" t="str">
        <f aca="false">IF(AG81=0,"",IF(NOT(LH_Ready),"",IF(BC81=0,N81,IF(PFYDate&lt;$F81,N81-N(T81)-N(U81),X81-N(U81)))))</f>
        <v/>
      </c>
      <c r="Z81" s="19" t="str">
        <f aca="false">IF(OR(AG81=0,Y81=""),"",IF(Y81&gt;0,"Yes","No"))</f>
        <v/>
      </c>
      <c r="AA81" s="19"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20" t="str">
        <f aca="false">IF(OR(AG81=0,T81=""),"",BA81*HoursPerDay-T81)</f>
        <v/>
      </c>
      <c r="AC81" s="19" t="str">
        <f aca="false">IF(AG81=0,"",BC81)</f>
        <v/>
      </c>
      <c r="AD81" s="19"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20" t="str">
        <f aca="false">IF(AG81=0,"",O81-BH81)</f>
        <v/>
      </c>
      <c r="AF81" s="17" t="str">
        <f aca="false">IF(OR(AG81=0,AE81="",N(AE81)=0,BI81=""),"",EDATE(AH81,BI81))</f>
        <v/>
      </c>
      <c r="AG81" s="19" t="n">
        <f aca="false">IF(OR(LEN($A81&amp;$B81)=0,$F81=""),0,1)</f>
        <v>0</v>
      </c>
      <c r="AH81" s="17" t="str">
        <f aca="false">IF(AG81=0,"",IF($J81&lt;&gt;"",$J81,IF(OR(CasualCounts="Yes",COUNT($G81:$I81)=0,COUNT($H81:$I81)=0),$F81,MIN($H81:$I81))))</f>
        <v/>
      </c>
      <c r="AI81" s="19" t="str">
        <f aca="false">IF(AG81=0,"",COUNT($G81:$I81))</f>
        <v/>
      </c>
      <c r="AJ81" s="17" t="str">
        <f aca="false">IF(AG81=0,"",IFERROR(SMALL($G81:$I81,1),""))</f>
        <v/>
      </c>
      <c r="AK81" s="17" t="str">
        <f aca="false">IF(AG81=0,"",IFERROR(SMALL($G81:$I81,2),""))</f>
        <v/>
      </c>
      <c r="AL81" s="17" t="str">
        <f aca="false">IF(AG81=0,"",IFERROR(SMALL($G81:$I81,3),""))</f>
        <v/>
      </c>
      <c r="AM81" s="19" t="str">
        <f aca="false">IF(AG81=0,"",IF(AJ81="","",IF(AJ81=$H81,"Part-Time",IF(AJ81=$I81,"Full-Time","Casual"))))</f>
        <v/>
      </c>
      <c r="AN81" s="19" t="str">
        <f aca="false">IF(AG81=0,"",IF(AK81="","",IF(AK81=$H81,"Part-Time",IF(AK81=$I81,"Full-Time","Casual"))))</f>
        <v/>
      </c>
      <c r="AO81" s="19" t="str">
        <f aca="false">IF(AG81=0,"",IF(AL81="","",IF(AL81=$H81,"Part-Time",IF(AL81=$I81,"Full-Time","Casual"))))</f>
        <v/>
      </c>
      <c r="AP81" s="19"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19" t="str">
        <f aca="false">IF(AG81=0,"",IF(AI81&lt;2,"",IF(OR(ISNUMBER(SEARCH("full",AN81)),UPPER(TRIM(AN81))="FT",UPPER(TRIM(AN81))="FTE"),"FT",IF(AND(OR(ISNUMBER(SEARCH("part",AN81)),UPPER(TRIM(AN81))="PT",UPPER(TRIM(AN81))="PTE"),OR($P81="",N($P81)&gt;=PT_MinHours)),"PT","None"))))</f>
        <v/>
      </c>
      <c r="AR81" s="19" t="str">
        <f aca="false">IF(AG81=0,"",IF(AI81&lt;3,"",IF(OR(ISNUMBER(SEARCH("full",AO81)),UPPER(TRIM(AO81))="FT",UPPER(TRIM(AO81))="FTE"),"FT",IF(AND(OR(ISNUMBER(SEARCH("part",AO81)),UPPER(TRIM(AO81))="PT",UPPER(TRIM(AO81))="PTE"),OR($P81="",N($P81)&gt;=PT_MinHours)),"PT","None"))))</f>
        <v/>
      </c>
      <c r="AS81" s="19" t="str">
        <f aca="false">IF(AG81=0,"",IF(AND(AI81&gt;=3,AL81&lt;=AsOfDate),AR81,IF(AND(AI81&gt;=2,AK81&lt;=AsOfDate),AQ81,AP81)))</f>
        <v/>
      </c>
      <c r="AT81" s="19" t="str">
        <f aca="false">IF(AG81=0,"",IF(AsOfDate&lt;AH81,-1,12*(YEAR(AsOfDate)-YEAR(AH81))+MONTH(AsOfDate)-MONTH(AH81)-IF(DAY(AsOfDate)&lt;MIN(DAY(AH81),DAY(EOMONTH(AsOfDate,0))),1,0)))</f>
        <v/>
      </c>
      <c r="AU81" s="19" t="str">
        <f aca="false">IF(AG81=0,"",IF(OR(AI81&lt;2,AK81&gt;AsOfDate),AT81,IF((AK81-1)&lt;AH81,-1,12*(YEAR((AK81-1))-YEAR(AH81))+MONTH((AK81-1))-MONTH(AH81)-IF(DAY((AK81-1))&lt;MIN(DAY(AH81),DAY(EOMONTH((AK81-1),0))),1,0))))</f>
        <v/>
      </c>
      <c r="AV81" s="19" t="str">
        <f aca="false">IF(AG81=0,"",IF(OR(AI81&lt;3,AL81&gt;AsOfDate),AT81,IF((AL81-1)&lt;AH81,-1,12*(YEAR((AL81-1))-YEAR(AH81))+MONTH((AL81-1))-MONTH(AH81)-IF(DAY((AL81-1))&lt;MIN(DAY(AH81),DAY(EOMONTH((AL81-1),0))),1,0))))</f>
        <v/>
      </c>
      <c r="AW81" s="19" t="str">
        <f aca="false">IF(AG81=0,"",IF(PFYDate&lt;AH81,-1,12*(YEAR(PFYDate)-YEAR(AH81))+MONTH(PFYDate)-MONTH(AH81)-IF(DAY(PFYDate)&lt;MIN(DAY(AH81),DAY(EOMONTH(PFYDate,0))),1,0)))</f>
        <v/>
      </c>
      <c r="AX81" s="19" t="str">
        <f aca="false">IF(AG81=0,"",IF(OR(AI81&lt;2,AK81&gt;PFYDate),AW81,IF((AK81-1)&lt;AH81,-1,12*(YEAR((AK81-1))-YEAR(AH81))+MONTH((AK81-1))-MONTH(AH81)-IF(DAY((AK81-1))&lt;MIN(DAY(AH81),DAY(EOMONTH((AK81-1),0))),1,0))))</f>
        <v/>
      </c>
      <c r="AY81" s="19" t="str">
        <f aca="false">IF(AG81=0,"",IF(OR(AI81&lt;3,AL81&gt;PFYDate),AW81,IF((AL81-1)&lt;AH81,-1,12*(YEAR((AL81-1))-YEAR(AH81))+MONTH((AL81-1))-MONTH(AH81)-IF(DAY((AL81-1))&lt;MIN(DAY(AH81),DAY(EOMONTH((AL81-1),0))),1,0))))</f>
        <v/>
      </c>
      <c r="AZ81" s="19" t="str">
        <f aca="false">IF(AG81=0,"",IF(AP81="FT",IF(AU81&lt;FT_First,0,IF(AU81&lt;FT_Y5,1+INT((AU81-FT_First)/FT_Int1),FT_PreY5+FT_PerYear*INT((AU81-FT_Y5)/12)+FT_AnnivDays+INT(MOD(AU81-FT_Y5,12)/FT_Int2))),IF(AP81="PT",IF(AU81&lt;PT_First,0,1+INT((AU81-PT_First)/PT_Int)),0))+IF(AND(AI81&gt;=2,AK81&lt;=AsOfDate),IF(AQ81="FT",IF(AV81&lt;FT_First,0,IF(AV81&lt;FT_Y5,1+INT((AV81-FT_First)/FT_Int1),FT_PreY5+FT_PerYear*INT((AV81-FT_Y5)/12)+FT_AnnivDays+INT(MOD(AV81-FT_Y5,12)/FT_Int2))),IF(AQ81="PT",IF(AV81&lt;PT_First,0,1+INT((AV81-PT_First)/PT_Int)),0))-IF(AQ81="FT",IF(AU81&lt;FT_First,0,IF(AU81&lt;FT_Y5,1+INT((AU81-FT_First)/FT_Int1),FT_PreY5+FT_PerYear*INT((AU81-FT_Y5)/12)+FT_AnnivDays+INT(MOD(AU81-FT_Y5,12)/FT_Int2))),IF(AQ81="PT",IF(AU81&lt;PT_First,0,1+INT((AU81-PT_First)/PT_Int)),0)),0)+IF(AND(AI81&gt;=3,AL81&lt;=AsOfDate),IF(AR81="FT",IF(AT81&lt;FT_First,0,IF(AT81&lt;FT_Y5,1+INT((AT81-FT_First)/FT_Int1),FT_PreY5+FT_PerYear*INT((AT81-FT_Y5)/12)+FT_AnnivDays+INT(MOD(AT81-FT_Y5,12)/FT_Int2))),IF(AR81="PT",IF(AT81&lt;PT_First,0,1+INT((AT81-PT_First)/PT_Int)),0))-IF(AR81="FT",IF(AV81&lt;FT_First,0,IF(AV81&lt;FT_Y5,1+INT((AV81-FT_First)/FT_Int1),FT_PreY5+FT_PerYear*INT((AV81-FT_Y5)/12)+FT_AnnivDays+INT(MOD(AV81-FT_Y5,12)/FT_Int2))),IF(AR81="PT",IF(AV81&lt;PT_First,0,1+INT((AV81-PT_First)/PT_Int)),0)),0))</f>
        <v/>
      </c>
      <c r="BA81" s="19" t="str">
        <f aca="false">IF(AG81=0,"",IF(AP81="FT",IF(AX81&lt;FT_First,0,IF(AX81&lt;FT_Y5,1+INT((AX81-FT_First)/FT_Int1),FT_PreY5+FT_PerYear*INT((AX81-FT_Y5)/12)+FT_AnnivDays+INT(MOD(AX81-FT_Y5,12)/FT_Int2))),IF(AP81="PT",IF(AX81&lt;PT_First,0,1+INT((AX81-PT_First)/PT_Int)),0))+IF(AND(AI81&gt;=2,AK81&lt;=PFYDate),IF(AQ81="FT",IF(AY81&lt;FT_First,0,IF(AY81&lt;FT_Y5,1+INT((AY81-FT_First)/FT_Int1),FT_PreY5+FT_PerYear*INT((AY81-FT_Y5)/12)+FT_AnnivDays+INT(MOD(AY81-FT_Y5,12)/FT_Int2))),IF(AQ81="PT",IF(AY81&lt;PT_First,0,1+INT((AY81-PT_First)/PT_Int)),0))-IF(AQ81="FT",IF(AX81&lt;FT_First,0,IF(AX81&lt;FT_Y5,1+INT((AX81-FT_First)/FT_Int1),FT_PreY5+FT_PerYear*INT((AX81-FT_Y5)/12)+FT_AnnivDays+INT(MOD(AX81-FT_Y5,12)/FT_Int2))),IF(AQ81="PT",IF(AX81&lt;PT_First,0,1+INT((AX81-PT_First)/PT_Int)),0)),0)+IF(AND(AI81&gt;=3,AL81&lt;=PFYDate),IF(AR81="FT",IF(AW81&lt;FT_First,0,IF(AW81&lt;FT_Y5,1+INT((AW81-FT_First)/FT_Int1),FT_PreY5+FT_PerYear*INT((AW81-FT_Y5)/12)+FT_AnnivDays+INT(MOD(AW81-FT_Y5,12)/FT_Int2))),IF(AR81="PT",IF(AW81&lt;PT_First,0,1+INT((AW81-PT_First)/PT_Int)),0))-IF(AR81="FT",IF(AY81&lt;FT_First,0,IF(AY81&lt;FT_Y5,1+INT((AY81-FT_First)/FT_Int1),FT_PreY5+FT_PerYear*INT((AY81-FT_Y5)/12)+FT_AnnivDays+INT(MOD(AY81-FT_Y5,12)/FT_Int2))),IF(AR81="PT",IF(AY81&lt;PT_First,0,1+INT((AY81-PT_First)/PT_Int)),0)),0))</f>
        <v/>
      </c>
      <c r="BB81" s="19" t="str">
        <f aca="false">IF(AG81=0,"",IF(AS81="FT",IF(AT81&lt;FT_First,FT_First,IF(AT81&lt;FT_Y5,MIN(FT_Y5,FT_First+FT_Int1*(INT((AT81-FT_First)/FT_Int1)+1)),FT_Y5+12*INT((AT81-FT_Y5)/12)+FT_Int2*(INT(MOD(AT81-FT_Y5,12)/FT_Int2)+1))),IF(AS81="PT",IF(AT81&lt;PT_First,PT_First,PT_First+PT_Int*(INT((AT81-PT_First)/PT_Int)+1)),"")))</f>
        <v/>
      </c>
      <c r="BC81" s="19" t="str">
        <f aca="false">IF(AG81=0,"",IF(NOT(LH_Ready),0,COUNTIFS(INDEX(LH_Data,0,LH_ColFirst),$A81,INDEX(LH_Data,0,LH_ColSur),$B81,INDEX(LH_Data,0,LH_ColCat),BonusCat)))</f>
        <v/>
      </c>
      <c r="BD81" s="19" t="str">
        <f aca="false">IF(AG81=0,"",IF(OR(NOT(LH_Ready),BC81=0),0,SUMPRODUCT(MAX((INDEX(LH_Data,0,LH_ColFirst)=$A81)*(INDEX(LH_Data,0,LH_ColSur)=$B81)*(INDEX(LH_Data,0,LH_ColCat)=BonusCat)*ROW(LH_Data)))))</f>
        <v/>
      </c>
      <c r="BE81" s="19" t="str">
        <f aca="false">IF(AG81=0,"",IF(EOMONTH(AsOfDate,-1)&lt;AH81,-1,12*(YEAR(EOMONTH(AsOfDate,-1))-YEAR(AH81))+MONTH(EOMONTH(AsOfDate,-1))-MONTH(AH81)-IF(DAY(EOMONTH(AsOfDate,-1))&lt;MIN(DAY(AH81),DAY(EOMONTH(EOMONTH(AsOfDate,-1),0))),1,0)))</f>
        <v/>
      </c>
      <c r="BF81" s="19" t="str">
        <f aca="false">IF(AG81=0,"",IF(OR(AI81&lt;2,AK81&gt;EOMONTH(AsOfDate,-1)),BE81,IF((AK81-1)&lt;AH81,-1,12*(YEAR((AK81-1))-YEAR(AH81))+MONTH((AK81-1))-MONTH(AH81)-IF(DAY((AK81-1))&lt;MIN(DAY(AH81),DAY(EOMONTH((AK81-1),0))),1,0))))</f>
        <v/>
      </c>
      <c r="BG81" s="19" t="str">
        <f aca="false">IF(AG81=0,"",IF(OR(AI81&lt;3,AL81&gt;EOMONTH(AsOfDate,-1)),BE81,IF((AL81-1)&lt;AH81,-1,12*(YEAR((AL81-1))-YEAR(AH81))+MONTH((AL81-1))-MONTH(AH81)-IF(DAY((AL81-1))&lt;MIN(DAY(AH81),DAY(EOMONTH((AL81-1),0))),1,0))))</f>
        <v/>
      </c>
      <c r="BH81" s="19" t="str">
        <f aca="false">IF(AG81=0,"",IF(AP81="FT",IF(BF81&lt;FT_First,0,IF(BF81&lt;FT_Y5,1+INT((BF81-FT_First)/FT_Int1),FT_PreY5+FT_PerYear*INT((BF81-FT_Y5)/12)+FT_AnnivDays+INT(MOD(BF81-FT_Y5,12)/FT_Int2))),IF(AP81="PT",IF(BF81&lt;PT_First,0,1+INT((BF81-PT_First)/PT_Int)),0))+IF(AND(AI81&gt;=2,AK81&lt;=EOMONTH(AsOfDate,-1)),IF(AQ81="FT",IF(BG81&lt;FT_First,0,IF(BG81&lt;FT_Y5,1+INT((BG81-FT_First)/FT_Int1),FT_PreY5+FT_PerYear*INT((BG81-FT_Y5)/12)+FT_AnnivDays+INT(MOD(BG81-FT_Y5,12)/FT_Int2))),IF(AQ81="PT",IF(BG81&lt;PT_First,0,1+INT((BG81-PT_First)/PT_Int)),0))-IF(AQ81="FT",IF(BF81&lt;FT_First,0,IF(BF81&lt;FT_Y5,1+INT((BF81-FT_First)/FT_Int1),FT_PreY5+FT_PerYear*INT((BF81-FT_Y5)/12)+FT_AnnivDays+INT(MOD(BF81-FT_Y5,12)/FT_Int2))),IF(AQ81="PT",IF(BF81&lt;PT_First,0,1+INT((BF81-PT_First)/PT_Int)),0)),0)+IF(AND(AI81&gt;=3,AL81&lt;=EOMONTH(AsOfDate,-1)),IF(AR81="FT",IF(BE81&lt;FT_First,0,IF(BE81&lt;FT_Y5,1+INT((BE81-FT_First)/FT_Int1),FT_PreY5+FT_PerYear*INT((BE81-FT_Y5)/12)+FT_AnnivDays+INT(MOD(BE81-FT_Y5,12)/FT_Int2))),IF(AR81="PT",IF(BE81&lt;PT_First,0,1+INT((BE81-PT_First)/PT_Int)),0))-IF(AR81="FT",IF(BG81&lt;FT_First,0,IF(BG81&lt;FT_Y5,1+INT((BG81-FT_First)/FT_Int1),FT_PreY5+FT_PerYear*INT((BG81-FT_Y5)/12)+FT_AnnivDays+INT(MOD(BG81-FT_Y5,12)/FT_Int2))),IF(AR81="PT",IF(BG81&lt;PT_First,0,1+INT((BG81-PT_First)/PT_Int)),0)),0))</f>
        <v/>
      </c>
      <c r="BI81" s="19" t="str">
        <f aca="false">IF(AG81=0,"",IF(AS81="FT",IF(AT81&lt;FT_First,"",IF(AT81&lt;FT_Y5,FT_First+FT_Int1*INT((AT81-FT_First)/FT_Int1),FT_Y5+FT_Int2*INT((AT81-FT_Y5)/FT_Int2))),IF(AS81="PT",IF(AT81&lt;PT_First,"",PT_First+PT_Int*INT((AT81-PT_First)/PT_Int)),"")))</f>
        <v/>
      </c>
      <c r="BJ81" s="0" t="str">
        <f aca="false">IF(LEN($A81&amp;$B81)=0,"",$A81&amp;" "&amp;$B81)</f>
        <v/>
      </c>
    </row>
    <row r="82" customFormat="false" ht="15" hidden="false" customHeight="false" outlineLevel="0" collapsed="false">
      <c r="A82" s="15"/>
      <c r="B82" s="15"/>
      <c r="C82" s="15"/>
      <c r="D82" s="16"/>
      <c r="E82" s="17" t="str">
        <f aca="false">IF(OR(AG82=0,$D82=""),"",DATE(YEAR(AsOfDate)+IF(DATE(YEAR(AsOfDate),MONTH($D82),DAY($D82))&lt;=AsOfDate,1,0),MONTH($D82),DAY($D82)))</f>
        <v/>
      </c>
      <c r="F82" s="16"/>
      <c r="G82" s="16"/>
      <c r="H82" s="16"/>
      <c r="I82" s="16"/>
      <c r="J82" s="16"/>
      <c r="K82" s="17" t="str">
        <f aca="false">IF(AG82=0,"",DATE(YEAR(AsOfDate)+IF(DATE(YEAR(AsOfDate),MONTH(AH82),DAY(AH82))&lt;=AsOfDate,1,0),MONTH(AH82),DAY(AH82)))</f>
        <v/>
      </c>
      <c r="L82" s="18" t="str">
        <f aca="false">IF(AG82=0,"",ROUND((AsOfDate-AH82)/365.25,1))</f>
        <v/>
      </c>
      <c r="M82" s="19" t="str">
        <f aca="false">IF(AG82=0,"",IF(AsOfDate&lt;AH82,"-",DATEDIF(AH82,AsOfDate,"y")&amp;"y "&amp;DATEDIF(AH82,AsOfDate,"ym")&amp;"m "&amp;DATEDIF(AH82,AsOfDate,"md")&amp;"d"))</f>
        <v/>
      </c>
      <c r="N82" s="20" t="str">
        <f aca="false">IF(AG82=0,"",O82*HoursPerDay)</f>
        <v/>
      </c>
      <c r="O82" s="20" t="str">
        <f aca="false">IF(AG82=0,"",AZ82)</f>
        <v/>
      </c>
      <c r="P82" s="21"/>
      <c r="Q82" s="19"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19"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7" t="str">
        <f aca="false">IF(AG82=0,"",IF(AS82="None","",EDATE(AH82,BB82)))</f>
        <v/>
      </c>
      <c r="T82" s="20" t="str">
        <f aca="false">IF(AG82=0,"",IF(NOT(LH_Ready),"",IF(AH82&gt;PFYDate,0,IF(LH_ColPeriod=0,W82-U82+V82,SUMIFS(INDEX(LH_Data,0,LH_ColAcc),INDEX(LH_Data,0,LH_ColFirst),$A82,INDEX(LH_Data,0,LH_ColSur),$B82,INDEX(LH_Data,0,LH_ColCat),BonusCat,INDEX(LH_Data,0,LH_ColPeriod),LH_OpenLabel)*UnitFactor))))</f>
        <v/>
      </c>
      <c r="U82" s="20" t="str">
        <f aca="false">IF(AG82=0,"",IF(NOT(LH_Ready),"",SUMIFS(INDEX(LH_Data,0,LH_ColAcc),INDEX(LH_Data,0,LH_ColFirst),$A82,INDEX(LH_Data,0,LH_ColSur),$B82,INDEX(LH_Data,0,LH_ColCat),BonusCat,INDEX(LH_Data,0,LH_ColStart),"&gt;="&amp;AH82)*UnitFactor))</f>
        <v/>
      </c>
      <c r="V82" s="20" t="str">
        <f aca="false">IF(AG82=0,"",IF(NOT(LH_Ready),"",SUMIFS(INDEX(LH_Data,0,LH_ColTaken),INDEX(LH_Data,0,LH_ColFirst),$A82,INDEX(LH_Data,0,LH_ColSur),$B82,INDEX(LH_Data,0,LH_ColCat),BonusCat,INDEX(LH_Data,0,LH_ColStart),"&gt;="&amp;AH82)*UnitFactor))</f>
        <v/>
      </c>
      <c r="W82" s="20" t="str">
        <f aca="false">IF(AG82=0,"",IF(NOT(LH_Ready),"",IF(BD82=0,0,INDEX(INDEX(LH_Data,0,LH_ColClose),BD82-1)*UnitFactor)))</f>
        <v/>
      </c>
      <c r="X82" s="20" t="str">
        <f aca="false">IF(AG82=0,"",(AZ82-BA82)*HoursPerDay)</f>
        <v/>
      </c>
      <c r="Y82" s="20" t="str">
        <f aca="false">IF(AG82=0,"",IF(NOT(LH_Ready),"",IF(BC82=0,N82,IF(PFYDate&lt;$F82,N82-N(T82)-N(U82),X82-N(U82)))))</f>
        <v/>
      </c>
      <c r="Z82" s="19" t="str">
        <f aca="false">IF(OR(AG82=0,Y82=""),"",IF(Y82&gt;0,"Yes","No"))</f>
        <v/>
      </c>
      <c r="AA82" s="19"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20" t="str">
        <f aca="false">IF(OR(AG82=0,T82=""),"",BA82*HoursPerDay-T82)</f>
        <v/>
      </c>
      <c r="AC82" s="19" t="str">
        <f aca="false">IF(AG82=0,"",BC82)</f>
        <v/>
      </c>
      <c r="AD82" s="19"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20" t="str">
        <f aca="false">IF(AG82=0,"",O82-BH82)</f>
        <v/>
      </c>
      <c r="AF82" s="17" t="str">
        <f aca="false">IF(OR(AG82=0,AE82="",N(AE82)=0,BI82=""),"",EDATE(AH82,BI82))</f>
        <v/>
      </c>
      <c r="AG82" s="19" t="n">
        <f aca="false">IF(OR(LEN($A82&amp;$B82)=0,$F82=""),0,1)</f>
        <v>0</v>
      </c>
      <c r="AH82" s="17" t="str">
        <f aca="false">IF(AG82=0,"",IF($J82&lt;&gt;"",$J82,IF(OR(CasualCounts="Yes",COUNT($G82:$I82)=0,COUNT($H82:$I82)=0),$F82,MIN($H82:$I82))))</f>
        <v/>
      </c>
      <c r="AI82" s="19" t="str">
        <f aca="false">IF(AG82=0,"",COUNT($G82:$I82))</f>
        <v/>
      </c>
      <c r="AJ82" s="17" t="str">
        <f aca="false">IF(AG82=0,"",IFERROR(SMALL($G82:$I82,1),""))</f>
        <v/>
      </c>
      <c r="AK82" s="17" t="str">
        <f aca="false">IF(AG82=0,"",IFERROR(SMALL($G82:$I82,2),""))</f>
        <v/>
      </c>
      <c r="AL82" s="17" t="str">
        <f aca="false">IF(AG82=0,"",IFERROR(SMALL($G82:$I82,3),""))</f>
        <v/>
      </c>
      <c r="AM82" s="19" t="str">
        <f aca="false">IF(AG82=0,"",IF(AJ82="","",IF(AJ82=$H82,"Part-Time",IF(AJ82=$I82,"Full-Time","Casual"))))</f>
        <v/>
      </c>
      <c r="AN82" s="19" t="str">
        <f aca="false">IF(AG82=0,"",IF(AK82="","",IF(AK82=$H82,"Part-Time",IF(AK82=$I82,"Full-Time","Casual"))))</f>
        <v/>
      </c>
      <c r="AO82" s="19" t="str">
        <f aca="false">IF(AG82=0,"",IF(AL82="","",IF(AL82=$H82,"Part-Time",IF(AL82=$I82,"Full-Time","Casual"))))</f>
        <v/>
      </c>
      <c r="AP82" s="19"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19" t="str">
        <f aca="false">IF(AG82=0,"",IF(AI82&lt;2,"",IF(OR(ISNUMBER(SEARCH("full",AN82)),UPPER(TRIM(AN82))="FT",UPPER(TRIM(AN82))="FTE"),"FT",IF(AND(OR(ISNUMBER(SEARCH("part",AN82)),UPPER(TRIM(AN82))="PT",UPPER(TRIM(AN82))="PTE"),OR($P82="",N($P82)&gt;=PT_MinHours)),"PT","None"))))</f>
        <v/>
      </c>
      <c r="AR82" s="19" t="str">
        <f aca="false">IF(AG82=0,"",IF(AI82&lt;3,"",IF(OR(ISNUMBER(SEARCH("full",AO82)),UPPER(TRIM(AO82))="FT",UPPER(TRIM(AO82))="FTE"),"FT",IF(AND(OR(ISNUMBER(SEARCH("part",AO82)),UPPER(TRIM(AO82))="PT",UPPER(TRIM(AO82))="PTE"),OR($P82="",N($P82)&gt;=PT_MinHours)),"PT","None"))))</f>
        <v/>
      </c>
      <c r="AS82" s="19" t="str">
        <f aca="false">IF(AG82=0,"",IF(AND(AI82&gt;=3,AL82&lt;=AsOfDate),AR82,IF(AND(AI82&gt;=2,AK82&lt;=AsOfDate),AQ82,AP82)))</f>
        <v/>
      </c>
      <c r="AT82" s="19" t="str">
        <f aca="false">IF(AG82=0,"",IF(AsOfDate&lt;AH82,-1,12*(YEAR(AsOfDate)-YEAR(AH82))+MONTH(AsOfDate)-MONTH(AH82)-IF(DAY(AsOfDate)&lt;MIN(DAY(AH82),DAY(EOMONTH(AsOfDate,0))),1,0)))</f>
        <v/>
      </c>
      <c r="AU82" s="19" t="str">
        <f aca="false">IF(AG82=0,"",IF(OR(AI82&lt;2,AK82&gt;AsOfDate),AT82,IF((AK82-1)&lt;AH82,-1,12*(YEAR((AK82-1))-YEAR(AH82))+MONTH((AK82-1))-MONTH(AH82)-IF(DAY((AK82-1))&lt;MIN(DAY(AH82),DAY(EOMONTH((AK82-1),0))),1,0))))</f>
        <v/>
      </c>
      <c r="AV82" s="19" t="str">
        <f aca="false">IF(AG82=0,"",IF(OR(AI82&lt;3,AL82&gt;AsOfDate),AT82,IF((AL82-1)&lt;AH82,-1,12*(YEAR((AL82-1))-YEAR(AH82))+MONTH((AL82-1))-MONTH(AH82)-IF(DAY((AL82-1))&lt;MIN(DAY(AH82),DAY(EOMONTH((AL82-1),0))),1,0))))</f>
        <v/>
      </c>
      <c r="AW82" s="19" t="str">
        <f aca="false">IF(AG82=0,"",IF(PFYDate&lt;AH82,-1,12*(YEAR(PFYDate)-YEAR(AH82))+MONTH(PFYDate)-MONTH(AH82)-IF(DAY(PFYDate)&lt;MIN(DAY(AH82),DAY(EOMONTH(PFYDate,0))),1,0)))</f>
        <v/>
      </c>
      <c r="AX82" s="19" t="str">
        <f aca="false">IF(AG82=0,"",IF(OR(AI82&lt;2,AK82&gt;PFYDate),AW82,IF((AK82-1)&lt;AH82,-1,12*(YEAR((AK82-1))-YEAR(AH82))+MONTH((AK82-1))-MONTH(AH82)-IF(DAY((AK82-1))&lt;MIN(DAY(AH82),DAY(EOMONTH((AK82-1),0))),1,0))))</f>
        <v/>
      </c>
      <c r="AY82" s="19" t="str">
        <f aca="false">IF(AG82=0,"",IF(OR(AI82&lt;3,AL82&gt;PFYDate),AW82,IF((AL82-1)&lt;AH82,-1,12*(YEAR((AL82-1))-YEAR(AH82))+MONTH((AL82-1))-MONTH(AH82)-IF(DAY((AL82-1))&lt;MIN(DAY(AH82),DAY(EOMONTH((AL82-1),0))),1,0))))</f>
        <v/>
      </c>
      <c r="AZ82" s="19" t="str">
        <f aca="false">IF(AG82=0,"",IF(AP82="FT",IF(AU82&lt;FT_First,0,IF(AU82&lt;FT_Y5,1+INT((AU82-FT_First)/FT_Int1),FT_PreY5+FT_PerYear*INT((AU82-FT_Y5)/12)+FT_AnnivDays+INT(MOD(AU82-FT_Y5,12)/FT_Int2))),IF(AP82="PT",IF(AU82&lt;PT_First,0,1+INT((AU82-PT_First)/PT_Int)),0))+IF(AND(AI82&gt;=2,AK82&lt;=AsOfDate),IF(AQ82="FT",IF(AV82&lt;FT_First,0,IF(AV82&lt;FT_Y5,1+INT((AV82-FT_First)/FT_Int1),FT_PreY5+FT_PerYear*INT((AV82-FT_Y5)/12)+FT_AnnivDays+INT(MOD(AV82-FT_Y5,12)/FT_Int2))),IF(AQ82="PT",IF(AV82&lt;PT_First,0,1+INT((AV82-PT_First)/PT_Int)),0))-IF(AQ82="FT",IF(AU82&lt;FT_First,0,IF(AU82&lt;FT_Y5,1+INT((AU82-FT_First)/FT_Int1),FT_PreY5+FT_PerYear*INT((AU82-FT_Y5)/12)+FT_AnnivDays+INT(MOD(AU82-FT_Y5,12)/FT_Int2))),IF(AQ82="PT",IF(AU82&lt;PT_First,0,1+INT((AU82-PT_First)/PT_Int)),0)),0)+IF(AND(AI82&gt;=3,AL82&lt;=AsOfDate),IF(AR82="FT",IF(AT82&lt;FT_First,0,IF(AT82&lt;FT_Y5,1+INT((AT82-FT_First)/FT_Int1),FT_PreY5+FT_PerYear*INT((AT82-FT_Y5)/12)+FT_AnnivDays+INT(MOD(AT82-FT_Y5,12)/FT_Int2))),IF(AR82="PT",IF(AT82&lt;PT_First,0,1+INT((AT82-PT_First)/PT_Int)),0))-IF(AR82="FT",IF(AV82&lt;FT_First,0,IF(AV82&lt;FT_Y5,1+INT((AV82-FT_First)/FT_Int1),FT_PreY5+FT_PerYear*INT((AV82-FT_Y5)/12)+FT_AnnivDays+INT(MOD(AV82-FT_Y5,12)/FT_Int2))),IF(AR82="PT",IF(AV82&lt;PT_First,0,1+INT((AV82-PT_First)/PT_Int)),0)),0))</f>
        <v/>
      </c>
      <c r="BA82" s="19" t="str">
        <f aca="false">IF(AG82=0,"",IF(AP82="FT",IF(AX82&lt;FT_First,0,IF(AX82&lt;FT_Y5,1+INT((AX82-FT_First)/FT_Int1),FT_PreY5+FT_PerYear*INT((AX82-FT_Y5)/12)+FT_AnnivDays+INT(MOD(AX82-FT_Y5,12)/FT_Int2))),IF(AP82="PT",IF(AX82&lt;PT_First,0,1+INT((AX82-PT_First)/PT_Int)),0))+IF(AND(AI82&gt;=2,AK82&lt;=PFYDate),IF(AQ82="FT",IF(AY82&lt;FT_First,0,IF(AY82&lt;FT_Y5,1+INT((AY82-FT_First)/FT_Int1),FT_PreY5+FT_PerYear*INT((AY82-FT_Y5)/12)+FT_AnnivDays+INT(MOD(AY82-FT_Y5,12)/FT_Int2))),IF(AQ82="PT",IF(AY82&lt;PT_First,0,1+INT((AY82-PT_First)/PT_Int)),0))-IF(AQ82="FT",IF(AX82&lt;FT_First,0,IF(AX82&lt;FT_Y5,1+INT((AX82-FT_First)/FT_Int1),FT_PreY5+FT_PerYear*INT((AX82-FT_Y5)/12)+FT_AnnivDays+INT(MOD(AX82-FT_Y5,12)/FT_Int2))),IF(AQ82="PT",IF(AX82&lt;PT_First,0,1+INT((AX82-PT_First)/PT_Int)),0)),0)+IF(AND(AI82&gt;=3,AL82&lt;=PFYDate),IF(AR82="FT",IF(AW82&lt;FT_First,0,IF(AW82&lt;FT_Y5,1+INT((AW82-FT_First)/FT_Int1),FT_PreY5+FT_PerYear*INT((AW82-FT_Y5)/12)+FT_AnnivDays+INT(MOD(AW82-FT_Y5,12)/FT_Int2))),IF(AR82="PT",IF(AW82&lt;PT_First,0,1+INT((AW82-PT_First)/PT_Int)),0))-IF(AR82="FT",IF(AY82&lt;FT_First,0,IF(AY82&lt;FT_Y5,1+INT((AY82-FT_First)/FT_Int1),FT_PreY5+FT_PerYear*INT((AY82-FT_Y5)/12)+FT_AnnivDays+INT(MOD(AY82-FT_Y5,12)/FT_Int2))),IF(AR82="PT",IF(AY82&lt;PT_First,0,1+INT((AY82-PT_First)/PT_Int)),0)),0))</f>
        <v/>
      </c>
      <c r="BB82" s="19" t="str">
        <f aca="false">IF(AG82=0,"",IF(AS82="FT",IF(AT82&lt;FT_First,FT_First,IF(AT82&lt;FT_Y5,MIN(FT_Y5,FT_First+FT_Int1*(INT((AT82-FT_First)/FT_Int1)+1)),FT_Y5+12*INT((AT82-FT_Y5)/12)+FT_Int2*(INT(MOD(AT82-FT_Y5,12)/FT_Int2)+1))),IF(AS82="PT",IF(AT82&lt;PT_First,PT_First,PT_First+PT_Int*(INT((AT82-PT_First)/PT_Int)+1)),"")))</f>
        <v/>
      </c>
      <c r="BC82" s="19" t="str">
        <f aca="false">IF(AG82=0,"",IF(NOT(LH_Ready),0,COUNTIFS(INDEX(LH_Data,0,LH_ColFirst),$A82,INDEX(LH_Data,0,LH_ColSur),$B82,INDEX(LH_Data,0,LH_ColCat),BonusCat)))</f>
        <v/>
      </c>
      <c r="BD82" s="19" t="str">
        <f aca="false">IF(AG82=0,"",IF(OR(NOT(LH_Ready),BC82=0),0,SUMPRODUCT(MAX((INDEX(LH_Data,0,LH_ColFirst)=$A82)*(INDEX(LH_Data,0,LH_ColSur)=$B82)*(INDEX(LH_Data,0,LH_ColCat)=BonusCat)*ROW(LH_Data)))))</f>
        <v/>
      </c>
      <c r="BE82" s="19" t="str">
        <f aca="false">IF(AG82=0,"",IF(EOMONTH(AsOfDate,-1)&lt;AH82,-1,12*(YEAR(EOMONTH(AsOfDate,-1))-YEAR(AH82))+MONTH(EOMONTH(AsOfDate,-1))-MONTH(AH82)-IF(DAY(EOMONTH(AsOfDate,-1))&lt;MIN(DAY(AH82),DAY(EOMONTH(EOMONTH(AsOfDate,-1),0))),1,0)))</f>
        <v/>
      </c>
      <c r="BF82" s="19" t="str">
        <f aca="false">IF(AG82=0,"",IF(OR(AI82&lt;2,AK82&gt;EOMONTH(AsOfDate,-1)),BE82,IF((AK82-1)&lt;AH82,-1,12*(YEAR((AK82-1))-YEAR(AH82))+MONTH((AK82-1))-MONTH(AH82)-IF(DAY((AK82-1))&lt;MIN(DAY(AH82),DAY(EOMONTH((AK82-1),0))),1,0))))</f>
        <v/>
      </c>
      <c r="BG82" s="19" t="str">
        <f aca="false">IF(AG82=0,"",IF(OR(AI82&lt;3,AL82&gt;EOMONTH(AsOfDate,-1)),BE82,IF((AL82-1)&lt;AH82,-1,12*(YEAR((AL82-1))-YEAR(AH82))+MONTH((AL82-1))-MONTH(AH82)-IF(DAY((AL82-1))&lt;MIN(DAY(AH82),DAY(EOMONTH((AL82-1),0))),1,0))))</f>
        <v/>
      </c>
      <c r="BH82" s="19" t="str">
        <f aca="false">IF(AG82=0,"",IF(AP82="FT",IF(BF82&lt;FT_First,0,IF(BF82&lt;FT_Y5,1+INT((BF82-FT_First)/FT_Int1),FT_PreY5+FT_PerYear*INT((BF82-FT_Y5)/12)+FT_AnnivDays+INT(MOD(BF82-FT_Y5,12)/FT_Int2))),IF(AP82="PT",IF(BF82&lt;PT_First,0,1+INT((BF82-PT_First)/PT_Int)),0))+IF(AND(AI82&gt;=2,AK82&lt;=EOMONTH(AsOfDate,-1)),IF(AQ82="FT",IF(BG82&lt;FT_First,0,IF(BG82&lt;FT_Y5,1+INT((BG82-FT_First)/FT_Int1),FT_PreY5+FT_PerYear*INT((BG82-FT_Y5)/12)+FT_AnnivDays+INT(MOD(BG82-FT_Y5,12)/FT_Int2))),IF(AQ82="PT",IF(BG82&lt;PT_First,0,1+INT((BG82-PT_First)/PT_Int)),0))-IF(AQ82="FT",IF(BF82&lt;FT_First,0,IF(BF82&lt;FT_Y5,1+INT((BF82-FT_First)/FT_Int1),FT_PreY5+FT_PerYear*INT((BF82-FT_Y5)/12)+FT_AnnivDays+INT(MOD(BF82-FT_Y5,12)/FT_Int2))),IF(AQ82="PT",IF(BF82&lt;PT_First,0,1+INT((BF82-PT_First)/PT_Int)),0)),0)+IF(AND(AI82&gt;=3,AL82&lt;=EOMONTH(AsOfDate,-1)),IF(AR82="FT",IF(BE82&lt;FT_First,0,IF(BE82&lt;FT_Y5,1+INT((BE82-FT_First)/FT_Int1),FT_PreY5+FT_PerYear*INT((BE82-FT_Y5)/12)+FT_AnnivDays+INT(MOD(BE82-FT_Y5,12)/FT_Int2))),IF(AR82="PT",IF(BE82&lt;PT_First,0,1+INT((BE82-PT_First)/PT_Int)),0))-IF(AR82="FT",IF(BG82&lt;FT_First,0,IF(BG82&lt;FT_Y5,1+INT((BG82-FT_First)/FT_Int1),FT_PreY5+FT_PerYear*INT((BG82-FT_Y5)/12)+FT_AnnivDays+INT(MOD(BG82-FT_Y5,12)/FT_Int2))),IF(AR82="PT",IF(BG82&lt;PT_First,0,1+INT((BG82-PT_First)/PT_Int)),0)),0))</f>
        <v/>
      </c>
      <c r="BI82" s="19" t="str">
        <f aca="false">IF(AG82=0,"",IF(AS82="FT",IF(AT82&lt;FT_First,"",IF(AT82&lt;FT_Y5,FT_First+FT_Int1*INT((AT82-FT_First)/FT_Int1),FT_Y5+FT_Int2*INT((AT82-FT_Y5)/FT_Int2))),IF(AS82="PT",IF(AT82&lt;PT_First,"",PT_First+PT_Int*INT((AT82-PT_First)/PT_Int)),"")))</f>
        <v/>
      </c>
      <c r="BJ82" s="0" t="str">
        <f aca="false">IF(LEN($A82&amp;$B82)=0,"",$A82&amp;" "&amp;$B82)</f>
        <v/>
      </c>
    </row>
    <row r="83" customFormat="false" ht="15" hidden="false" customHeight="false" outlineLevel="0" collapsed="false">
      <c r="A83" s="15"/>
      <c r="B83" s="15"/>
      <c r="C83" s="15"/>
      <c r="D83" s="16"/>
      <c r="E83" s="17" t="str">
        <f aca="false">IF(OR(AG83=0,$D83=""),"",DATE(YEAR(AsOfDate)+IF(DATE(YEAR(AsOfDate),MONTH($D83),DAY($D83))&lt;=AsOfDate,1,0),MONTH($D83),DAY($D83)))</f>
        <v/>
      </c>
      <c r="F83" s="16"/>
      <c r="G83" s="16"/>
      <c r="H83" s="16"/>
      <c r="I83" s="16"/>
      <c r="J83" s="16"/>
      <c r="K83" s="17" t="str">
        <f aca="false">IF(AG83=0,"",DATE(YEAR(AsOfDate)+IF(DATE(YEAR(AsOfDate),MONTH(AH83),DAY(AH83))&lt;=AsOfDate,1,0),MONTH(AH83),DAY(AH83)))</f>
        <v/>
      </c>
      <c r="L83" s="18" t="str">
        <f aca="false">IF(AG83=0,"",ROUND((AsOfDate-AH83)/365.25,1))</f>
        <v/>
      </c>
      <c r="M83" s="19" t="str">
        <f aca="false">IF(AG83=0,"",IF(AsOfDate&lt;AH83,"-",DATEDIF(AH83,AsOfDate,"y")&amp;"y "&amp;DATEDIF(AH83,AsOfDate,"ym")&amp;"m "&amp;DATEDIF(AH83,AsOfDate,"md")&amp;"d"))</f>
        <v/>
      </c>
      <c r="N83" s="20" t="str">
        <f aca="false">IF(AG83=0,"",O83*HoursPerDay)</f>
        <v/>
      </c>
      <c r="O83" s="20" t="str">
        <f aca="false">IF(AG83=0,"",AZ83)</f>
        <v/>
      </c>
      <c r="P83" s="21"/>
      <c r="Q83" s="19"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19"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7" t="str">
        <f aca="false">IF(AG83=0,"",IF(AS83="None","",EDATE(AH83,BB83)))</f>
        <v/>
      </c>
      <c r="T83" s="20" t="str">
        <f aca="false">IF(AG83=0,"",IF(NOT(LH_Ready),"",IF(AH83&gt;PFYDate,0,IF(LH_ColPeriod=0,W83-U83+V83,SUMIFS(INDEX(LH_Data,0,LH_ColAcc),INDEX(LH_Data,0,LH_ColFirst),$A83,INDEX(LH_Data,0,LH_ColSur),$B83,INDEX(LH_Data,0,LH_ColCat),BonusCat,INDEX(LH_Data,0,LH_ColPeriod),LH_OpenLabel)*UnitFactor))))</f>
        <v/>
      </c>
      <c r="U83" s="20" t="str">
        <f aca="false">IF(AG83=0,"",IF(NOT(LH_Ready),"",SUMIFS(INDEX(LH_Data,0,LH_ColAcc),INDEX(LH_Data,0,LH_ColFirst),$A83,INDEX(LH_Data,0,LH_ColSur),$B83,INDEX(LH_Data,0,LH_ColCat),BonusCat,INDEX(LH_Data,0,LH_ColStart),"&gt;="&amp;AH83)*UnitFactor))</f>
        <v/>
      </c>
      <c r="V83" s="20" t="str">
        <f aca="false">IF(AG83=0,"",IF(NOT(LH_Ready),"",SUMIFS(INDEX(LH_Data,0,LH_ColTaken),INDEX(LH_Data,0,LH_ColFirst),$A83,INDEX(LH_Data,0,LH_ColSur),$B83,INDEX(LH_Data,0,LH_ColCat),BonusCat,INDEX(LH_Data,0,LH_ColStart),"&gt;="&amp;AH83)*UnitFactor))</f>
        <v/>
      </c>
      <c r="W83" s="20" t="str">
        <f aca="false">IF(AG83=0,"",IF(NOT(LH_Ready),"",IF(BD83=0,0,INDEX(INDEX(LH_Data,0,LH_ColClose),BD83-1)*UnitFactor)))</f>
        <v/>
      </c>
      <c r="X83" s="20" t="str">
        <f aca="false">IF(AG83=0,"",(AZ83-BA83)*HoursPerDay)</f>
        <v/>
      </c>
      <c r="Y83" s="20" t="str">
        <f aca="false">IF(AG83=0,"",IF(NOT(LH_Ready),"",IF(BC83=0,N83,IF(PFYDate&lt;$F83,N83-N(T83)-N(U83),X83-N(U83)))))</f>
        <v/>
      </c>
      <c r="Z83" s="19" t="str">
        <f aca="false">IF(OR(AG83=0,Y83=""),"",IF(Y83&gt;0,"Yes","No"))</f>
        <v/>
      </c>
      <c r="AA83" s="19"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20" t="str">
        <f aca="false">IF(OR(AG83=0,T83=""),"",BA83*HoursPerDay-T83)</f>
        <v/>
      </c>
      <c r="AC83" s="19" t="str">
        <f aca="false">IF(AG83=0,"",BC83)</f>
        <v/>
      </c>
      <c r="AD83" s="19"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20" t="str">
        <f aca="false">IF(AG83=0,"",O83-BH83)</f>
        <v/>
      </c>
      <c r="AF83" s="17" t="str">
        <f aca="false">IF(OR(AG83=0,AE83="",N(AE83)=0,BI83=""),"",EDATE(AH83,BI83))</f>
        <v/>
      </c>
      <c r="AG83" s="19" t="n">
        <f aca="false">IF(OR(LEN($A83&amp;$B83)=0,$F83=""),0,1)</f>
        <v>0</v>
      </c>
      <c r="AH83" s="17" t="str">
        <f aca="false">IF(AG83=0,"",IF($J83&lt;&gt;"",$J83,IF(OR(CasualCounts="Yes",COUNT($G83:$I83)=0,COUNT($H83:$I83)=0),$F83,MIN($H83:$I83))))</f>
        <v/>
      </c>
      <c r="AI83" s="19" t="str">
        <f aca="false">IF(AG83=0,"",COUNT($G83:$I83))</f>
        <v/>
      </c>
      <c r="AJ83" s="17" t="str">
        <f aca="false">IF(AG83=0,"",IFERROR(SMALL($G83:$I83,1),""))</f>
        <v/>
      </c>
      <c r="AK83" s="17" t="str">
        <f aca="false">IF(AG83=0,"",IFERROR(SMALL($G83:$I83,2),""))</f>
        <v/>
      </c>
      <c r="AL83" s="17" t="str">
        <f aca="false">IF(AG83=0,"",IFERROR(SMALL($G83:$I83,3),""))</f>
        <v/>
      </c>
      <c r="AM83" s="19" t="str">
        <f aca="false">IF(AG83=0,"",IF(AJ83="","",IF(AJ83=$H83,"Part-Time",IF(AJ83=$I83,"Full-Time","Casual"))))</f>
        <v/>
      </c>
      <c r="AN83" s="19" t="str">
        <f aca="false">IF(AG83=0,"",IF(AK83="","",IF(AK83=$H83,"Part-Time",IF(AK83=$I83,"Full-Time","Casual"))))</f>
        <v/>
      </c>
      <c r="AO83" s="19" t="str">
        <f aca="false">IF(AG83=0,"",IF(AL83="","",IF(AL83=$H83,"Part-Time",IF(AL83=$I83,"Full-Time","Casual"))))</f>
        <v/>
      </c>
      <c r="AP83" s="19"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19" t="str">
        <f aca="false">IF(AG83=0,"",IF(AI83&lt;2,"",IF(OR(ISNUMBER(SEARCH("full",AN83)),UPPER(TRIM(AN83))="FT",UPPER(TRIM(AN83))="FTE"),"FT",IF(AND(OR(ISNUMBER(SEARCH("part",AN83)),UPPER(TRIM(AN83))="PT",UPPER(TRIM(AN83))="PTE"),OR($P83="",N($P83)&gt;=PT_MinHours)),"PT","None"))))</f>
        <v/>
      </c>
      <c r="AR83" s="19" t="str">
        <f aca="false">IF(AG83=0,"",IF(AI83&lt;3,"",IF(OR(ISNUMBER(SEARCH("full",AO83)),UPPER(TRIM(AO83))="FT",UPPER(TRIM(AO83))="FTE"),"FT",IF(AND(OR(ISNUMBER(SEARCH("part",AO83)),UPPER(TRIM(AO83))="PT",UPPER(TRIM(AO83))="PTE"),OR($P83="",N($P83)&gt;=PT_MinHours)),"PT","None"))))</f>
        <v/>
      </c>
      <c r="AS83" s="19" t="str">
        <f aca="false">IF(AG83=0,"",IF(AND(AI83&gt;=3,AL83&lt;=AsOfDate),AR83,IF(AND(AI83&gt;=2,AK83&lt;=AsOfDate),AQ83,AP83)))</f>
        <v/>
      </c>
      <c r="AT83" s="19" t="str">
        <f aca="false">IF(AG83=0,"",IF(AsOfDate&lt;AH83,-1,12*(YEAR(AsOfDate)-YEAR(AH83))+MONTH(AsOfDate)-MONTH(AH83)-IF(DAY(AsOfDate)&lt;MIN(DAY(AH83),DAY(EOMONTH(AsOfDate,0))),1,0)))</f>
        <v/>
      </c>
      <c r="AU83" s="19" t="str">
        <f aca="false">IF(AG83=0,"",IF(OR(AI83&lt;2,AK83&gt;AsOfDate),AT83,IF((AK83-1)&lt;AH83,-1,12*(YEAR((AK83-1))-YEAR(AH83))+MONTH((AK83-1))-MONTH(AH83)-IF(DAY((AK83-1))&lt;MIN(DAY(AH83),DAY(EOMONTH((AK83-1),0))),1,0))))</f>
        <v/>
      </c>
      <c r="AV83" s="19" t="str">
        <f aca="false">IF(AG83=0,"",IF(OR(AI83&lt;3,AL83&gt;AsOfDate),AT83,IF((AL83-1)&lt;AH83,-1,12*(YEAR((AL83-1))-YEAR(AH83))+MONTH((AL83-1))-MONTH(AH83)-IF(DAY((AL83-1))&lt;MIN(DAY(AH83),DAY(EOMONTH((AL83-1),0))),1,0))))</f>
        <v/>
      </c>
      <c r="AW83" s="19" t="str">
        <f aca="false">IF(AG83=0,"",IF(PFYDate&lt;AH83,-1,12*(YEAR(PFYDate)-YEAR(AH83))+MONTH(PFYDate)-MONTH(AH83)-IF(DAY(PFYDate)&lt;MIN(DAY(AH83),DAY(EOMONTH(PFYDate,0))),1,0)))</f>
        <v/>
      </c>
      <c r="AX83" s="19" t="str">
        <f aca="false">IF(AG83=0,"",IF(OR(AI83&lt;2,AK83&gt;PFYDate),AW83,IF((AK83-1)&lt;AH83,-1,12*(YEAR((AK83-1))-YEAR(AH83))+MONTH((AK83-1))-MONTH(AH83)-IF(DAY((AK83-1))&lt;MIN(DAY(AH83),DAY(EOMONTH((AK83-1),0))),1,0))))</f>
        <v/>
      </c>
      <c r="AY83" s="19" t="str">
        <f aca="false">IF(AG83=0,"",IF(OR(AI83&lt;3,AL83&gt;PFYDate),AW83,IF((AL83-1)&lt;AH83,-1,12*(YEAR((AL83-1))-YEAR(AH83))+MONTH((AL83-1))-MONTH(AH83)-IF(DAY((AL83-1))&lt;MIN(DAY(AH83),DAY(EOMONTH((AL83-1),0))),1,0))))</f>
        <v/>
      </c>
      <c r="AZ83" s="19" t="str">
        <f aca="false">IF(AG83=0,"",IF(AP83="FT",IF(AU83&lt;FT_First,0,IF(AU83&lt;FT_Y5,1+INT((AU83-FT_First)/FT_Int1),FT_PreY5+FT_PerYear*INT((AU83-FT_Y5)/12)+FT_AnnivDays+INT(MOD(AU83-FT_Y5,12)/FT_Int2))),IF(AP83="PT",IF(AU83&lt;PT_First,0,1+INT((AU83-PT_First)/PT_Int)),0))+IF(AND(AI83&gt;=2,AK83&lt;=AsOfDate),IF(AQ83="FT",IF(AV83&lt;FT_First,0,IF(AV83&lt;FT_Y5,1+INT((AV83-FT_First)/FT_Int1),FT_PreY5+FT_PerYear*INT((AV83-FT_Y5)/12)+FT_AnnivDays+INT(MOD(AV83-FT_Y5,12)/FT_Int2))),IF(AQ83="PT",IF(AV83&lt;PT_First,0,1+INT((AV83-PT_First)/PT_Int)),0))-IF(AQ83="FT",IF(AU83&lt;FT_First,0,IF(AU83&lt;FT_Y5,1+INT((AU83-FT_First)/FT_Int1),FT_PreY5+FT_PerYear*INT((AU83-FT_Y5)/12)+FT_AnnivDays+INT(MOD(AU83-FT_Y5,12)/FT_Int2))),IF(AQ83="PT",IF(AU83&lt;PT_First,0,1+INT((AU83-PT_First)/PT_Int)),0)),0)+IF(AND(AI83&gt;=3,AL83&lt;=AsOfDate),IF(AR83="FT",IF(AT83&lt;FT_First,0,IF(AT83&lt;FT_Y5,1+INT((AT83-FT_First)/FT_Int1),FT_PreY5+FT_PerYear*INT((AT83-FT_Y5)/12)+FT_AnnivDays+INT(MOD(AT83-FT_Y5,12)/FT_Int2))),IF(AR83="PT",IF(AT83&lt;PT_First,0,1+INT((AT83-PT_First)/PT_Int)),0))-IF(AR83="FT",IF(AV83&lt;FT_First,0,IF(AV83&lt;FT_Y5,1+INT((AV83-FT_First)/FT_Int1),FT_PreY5+FT_PerYear*INT((AV83-FT_Y5)/12)+FT_AnnivDays+INT(MOD(AV83-FT_Y5,12)/FT_Int2))),IF(AR83="PT",IF(AV83&lt;PT_First,0,1+INT((AV83-PT_First)/PT_Int)),0)),0))</f>
        <v/>
      </c>
      <c r="BA83" s="19" t="str">
        <f aca="false">IF(AG83=0,"",IF(AP83="FT",IF(AX83&lt;FT_First,0,IF(AX83&lt;FT_Y5,1+INT((AX83-FT_First)/FT_Int1),FT_PreY5+FT_PerYear*INT((AX83-FT_Y5)/12)+FT_AnnivDays+INT(MOD(AX83-FT_Y5,12)/FT_Int2))),IF(AP83="PT",IF(AX83&lt;PT_First,0,1+INT((AX83-PT_First)/PT_Int)),0))+IF(AND(AI83&gt;=2,AK83&lt;=PFYDate),IF(AQ83="FT",IF(AY83&lt;FT_First,0,IF(AY83&lt;FT_Y5,1+INT((AY83-FT_First)/FT_Int1),FT_PreY5+FT_PerYear*INT((AY83-FT_Y5)/12)+FT_AnnivDays+INT(MOD(AY83-FT_Y5,12)/FT_Int2))),IF(AQ83="PT",IF(AY83&lt;PT_First,0,1+INT((AY83-PT_First)/PT_Int)),0))-IF(AQ83="FT",IF(AX83&lt;FT_First,0,IF(AX83&lt;FT_Y5,1+INT((AX83-FT_First)/FT_Int1),FT_PreY5+FT_PerYear*INT((AX83-FT_Y5)/12)+FT_AnnivDays+INT(MOD(AX83-FT_Y5,12)/FT_Int2))),IF(AQ83="PT",IF(AX83&lt;PT_First,0,1+INT((AX83-PT_First)/PT_Int)),0)),0)+IF(AND(AI83&gt;=3,AL83&lt;=PFYDate),IF(AR83="FT",IF(AW83&lt;FT_First,0,IF(AW83&lt;FT_Y5,1+INT((AW83-FT_First)/FT_Int1),FT_PreY5+FT_PerYear*INT((AW83-FT_Y5)/12)+FT_AnnivDays+INT(MOD(AW83-FT_Y5,12)/FT_Int2))),IF(AR83="PT",IF(AW83&lt;PT_First,0,1+INT((AW83-PT_First)/PT_Int)),0))-IF(AR83="FT",IF(AY83&lt;FT_First,0,IF(AY83&lt;FT_Y5,1+INT((AY83-FT_First)/FT_Int1),FT_PreY5+FT_PerYear*INT((AY83-FT_Y5)/12)+FT_AnnivDays+INT(MOD(AY83-FT_Y5,12)/FT_Int2))),IF(AR83="PT",IF(AY83&lt;PT_First,0,1+INT((AY83-PT_First)/PT_Int)),0)),0))</f>
        <v/>
      </c>
      <c r="BB83" s="19" t="str">
        <f aca="false">IF(AG83=0,"",IF(AS83="FT",IF(AT83&lt;FT_First,FT_First,IF(AT83&lt;FT_Y5,MIN(FT_Y5,FT_First+FT_Int1*(INT((AT83-FT_First)/FT_Int1)+1)),FT_Y5+12*INT((AT83-FT_Y5)/12)+FT_Int2*(INT(MOD(AT83-FT_Y5,12)/FT_Int2)+1))),IF(AS83="PT",IF(AT83&lt;PT_First,PT_First,PT_First+PT_Int*(INT((AT83-PT_First)/PT_Int)+1)),"")))</f>
        <v/>
      </c>
      <c r="BC83" s="19" t="str">
        <f aca="false">IF(AG83=0,"",IF(NOT(LH_Ready),0,COUNTIFS(INDEX(LH_Data,0,LH_ColFirst),$A83,INDEX(LH_Data,0,LH_ColSur),$B83,INDEX(LH_Data,0,LH_ColCat),BonusCat)))</f>
        <v/>
      </c>
      <c r="BD83" s="19" t="str">
        <f aca="false">IF(AG83=0,"",IF(OR(NOT(LH_Ready),BC83=0),0,SUMPRODUCT(MAX((INDEX(LH_Data,0,LH_ColFirst)=$A83)*(INDEX(LH_Data,0,LH_ColSur)=$B83)*(INDEX(LH_Data,0,LH_ColCat)=BonusCat)*ROW(LH_Data)))))</f>
        <v/>
      </c>
      <c r="BE83" s="19" t="str">
        <f aca="false">IF(AG83=0,"",IF(EOMONTH(AsOfDate,-1)&lt;AH83,-1,12*(YEAR(EOMONTH(AsOfDate,-1))-YEAR(AH83))+MONTH(EOMONTH(AsOfDate,-1))-MONTH(AH83)-IF(DAY(EOMONTH(AsOfDate,-1))&lt;MIN(DAY(AH83),DAY(EOMONTH(EOMONTH(AsOfDate,-1),0))),1,0)))</f>
        <v/>
      </c>
      <c r="BF83" s="19" t="str">
        <f aca="false">IF(AG83=0,"",IF(OR(AI83&lt;2,AK83&gt;EOMONTH(AsOfDate,-1)),BE83,IF((AK83-1)&lt;AH83,-1,12*(YEAR((AK83-1))-YEAR(AH83))+MONTH((AK83-1))-MONTH(AH83)-IF(DAY((AK83-1))&lt;MIN(DAY(AH83),DAY(EOMONTH((AK83-1),0))),1,0))))</f>
        <v/>
      </c>
      <c r="BG83" s="19" t="str">
        <f aca="false">IF(AG83=0,"",IF(OR(AI83&lt;3,AL83&gt;EOMONTH(AsOfDate,-1)),BE83,IF((AL83-1)&lt;AH83,-1,12*(YEAR((AL83-1))-YEAR(AH83))+MONTH((AL83-1))-MONTH(AH83)-IF(DAY((AL83-1))&lt;MIN(DAY(AH83),DAY(EOMONTH((AL83-1),0))),1,0))))</f>
        <v/>
      </c>
      <c r="BH83" s="19" t="str">
        <f aca="false">IF(AG83=0,"",IF(AP83="FT",IF(BF83&lt;FT_First,0,IF(BF83&lt;FT_Y5,1+INT((BF83-FT_First)/FT_Int1),FT_PreY5+FT_PerYear*INT((BF83-FT_Y5)/12)+FT_AnnivDays+INT(MOD(BF83-FT_Y5,12)/FT_Int2))),IF(AP83="PT",IF(BF83&lt;PT_First,0,1+INT((BF83-PT_First)/PT_Int)),0))+IF(AND(AI83&gt;=2,AK83&lt;=EOMONTH(AsOfDate,-1)),IF(AQ83="FT",IF(BG83&lt;FT_First,0,IF(BG83&lt;FT_Y5,1+INT((BG83-FT_First)/FT_Int1),FT_PreY5+FT_PerYear*INT((BG83-FT_Y5)/12)+FT_AnnivDays+INT(MOD(BG83-FT_Y5,12)/FT_Int2))),IF(AQ83="PT",IF(BG83&lt;PT_First,0,1+INT((BG83-PT_First)/PT_Int)),0))-IF(AQ83="FT",IF(BF83&lt;FT_First,0,IF(BF83&lt;FT_Y5,1+INT((BF83-FT_First)/FT_Int1),FT_PreY5+FT_PerYear*INT((BF83-FT_Y5)/12)+FT_AnnivDays+INT(MOD(BF83-FT_Y5,12)/FT_Int2))),IF(AQ83="PT",IF(BF83&lt;PT_First,0,1+INT((BF83-PT_First)/PT_Int)),0)),0)+IF(AND(AI83&gt;=3,AL83&lt;=EOMONTH(AsOfDate,-1)),IF(AR83="FT",IF(BE83&lt;FT_First,0,IF(BE83&lt;FT_Y5,1+INT((BE83-FT_First)/FT_Int1),FT_PreY5+FT_PerYear*INT((BE83-FT_Y5)/12)+FT_AnnivDays+INT(MOD(BE83-FT_Y5,12)/FT_Int2))),IF(AR83="PT",IF(BE83&lt;PT_First,0,1+INT((BE83-PT_First)/PT_Int)),0))-IF(AR83="FT",IF(BG83&lt;FT_First,0,IF(BG83&lt;FT_Y5,1+INT((BG83-FT_First)/FT_Int1),FT_PreY5+FT_PerYear*INT((BG83-FT_Y5)/12)+FT_AnnivDays+INT(MOD(BG83-FT_Y5,12)/FT_Int2))),IF(AR83="PT",IF(BG83&lt;PT_First,0,1+INT((BG83-PT_First)/PT_Int)),0)),0))</f>
        <v/>
      </c>
      <c r="BI83" s="19" t="str">
        <f aca="false">IF(AG83=0,"",IF(AS83="FT",IF(AT83&lt;FT_First,"",IF(AT83&lt;FT_Y5,FT_First+FT_Int1*INT((AT83-FT_First)/FT_Int1),FT_Y5+FT_Int2*INT((AT83-FT_Y5)/FT_Int2))),IF(AS83="PT",IF(AT83&lt;PT_First,"",PT_First+PT_Int*INT((AT83-PT_First)/PT_Int)),"")))</f>
        <v/>
      </c>
      <c r="BJ83" s="0" t="str">
        <f aca="false">IF(LEN($A83&amp;$B83)=0,"",$A83&amp;" "&amp;$B83)</f>
        <v/>
      </c>
    </row>
    <row r="84" customFormat="false" ht="15" hidden="false" customHeight="false" outlineLevel="0" collapsed="false">
      <c r="A84" s="15"/>
      <c r="B84" s="15"/>
      <c r="C84" s="15"/>
      <c r="D84" s="16"/>
      <c r="E84" s="17" t="str">
        <f aca="false">IF(OR(AG84=0,$D84=""),"",DATE(YEAR(AsOfDate)+IF(DATE(YEAR(AsOfDate),MONTH($D84),DAY($D84))&lt;=AsOfDate,1,0),MONTH($D84),DAY($D84)))</f>
        <v/>
      </c>
      <c r="F84" s="16"/>
      <c r="G84" s="16"/>
      <c r="H84" s="16"/>
      <c r="I84" s="16"/>
      <c r="J84" s="16"/>
      <c r="K84" s="17" t="str">
        <f aca="false">IF(AG84=0,"",DATE(YEAR(AsOfDate)+IF(DATE(YEAR(AsOfDate),MONTH(AH84),DAY(AH84))&lt;=AsOfDate,1,0),MONTH(AH84),DAY(AH84)))</f>
        <v/>
      </c>
      <c r="L84" s="18" t="str">
        <f aca="false">IF(AG84=0,"",ROUND((AsOfDate-AH84)/365.25,1))</f>
        <v/>
      </c>
      <c r="M84" s="19" t="str">
        <f aca="false">IF(AG84=0,"",IF(AsOfDate&lt;AH84,"-",DATEDIF(AH84,AsOfDate,"y")&amp;"y "&amp;DATEDIF(AH84,AsOfDate,"ym")&amp;"m "&amp;DATEDIF(AH84,AsOfDate,"md")&amp;"d"))</f>
        <v/>
      </c>
      <c r="N84" s="20" t="str">
        <f aca="false">IF(AG84=0,"",O84*HoursPerDay)</f>
        <v/>
      </c>
      <c r="O84" s="20" t="str">
        <f aca="false">IF(AG84=0,"",AZ84)</f>
        <v/>
      </c>
      <c r="P84" s="21"/>
      <c r="Q84" s="19"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19"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7" t="str">
        <f aca="false">IF(AG84=0,"",IF(AS84="None","",EDATE(AH84,BB84)))</f>
        <v/>
      </c>
      <c r="T84" s="20" t="str">
        <f aca="false">IF(AG84=0,"",IF(NOT(LH_Ready),"",IF(AH84&gt;PFYDate,0,IF(LH_ColPeriod=0,W84-U84+V84,SUMIFS(INDEX(LH_Data,0,LH_ColAcc),INDEX(LH_Data,0,LH_ColFirst),$A84,INDEX(LH_Data,0,LH_ColSur),$B84,INDEX(LH_Data,0,LH_ColCat),BonusCat,INDEX(LH_Data,0,LH_ColPeriod),LH_OpenLabel)*UnitFactor))))</f>
        <v/>
      </c>
      <c r="U84" s="20" t="str">
        <f aca="false">IF(AG84=0,"",IF(NOT(LH_Ready),"",SUMIFS(INDEX(LH_Data,0,LH_ColAcc),INDEX(LH_Data,0,LH_ColFirst),$A84,INDEX(LH_Data,0,LH_ColSur),$B84,INDEX(LH_Data,0,LH_ColCat),BonusCat,INDEX(LH_Data,0,LH_ColStart),"&gt;="&amp;AH84)*UnitFactor))</f>
        <v/>
      </c>
      <c r="V84" s="20" t="str">
        <f aca="false">IF(AG84=0,"",IF(NOT(LH_Ready),"",SUMIFS(INDEX(LH_Data,0,LH_ColTaken),INDEX(LH_Data,0,LH_ColFirst),$A84,INDEX(LH_Data,0,LH_ColSur),$B84,INDEX(LH_Data,0,LH_ColCat),BonusCat,INDEX(LH_Data,0,LH_ColStart),"&gt;="&amp;AH84)*UnitFactor))</f>
        <v/>
      </c>
      <c r="W84" s="20" t="str">
        <f aca="false">IF(AG84=0,"",IF(NOT(LH_Ready),"",IF(BD84=0,0,INDEX(INDEX(LH_Data,0,LH_ColClose),BD84-1)*UnitFactor)))</f>
        <v/>
      </c>
      <c r="X84" s="20" t="str">
        <f aca="false">IF(AG84=0,"",(AZ84-BA84)*HoursPerDay)</f>
        <v/>
      </c>
      <c r="Y84" s="20" t="str">
        <f aca="false">IF(AG84=0,"",IF(NOT(LH_Ready),"",IF(BC84=0,N84,IF(PFYDate&lt;$F84,N84-N(T84)-N(U84),X84-N(U84)))))</f>
        <v/>
      </c>
      <c r="Z84" s="19" t="str">
        <f aca="false">IF(OR(AG84=0,Y84=""),"",IF(Y84&gt;0,"Yes","No"))</f>
        <v/>
      </c>
      <c r="AA84" s="19"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20" t="str">
        <f aca="false">IF(OR(AG84=0,T84=""),"",BA84*HoursPerDay-T84)</f>
        <v/>
      </c>
      <c r="AC84" s="19" t="str">
        <f aca="false">IF(AG84=0,"",BC84)</f>
        <v/>
      </c>
      <c r="AD84" s="19"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20" t="str">
        <f aca="false">IF(AG84=0,"",O84-BH84)</f>
        <v/>
      </c>
      <c r="AF84" s="17" t="str">
        <f aca="false">IF(OR(AG84=0,AE84="",N(AE84)=0,BI84=""),"",EDATE(AH84,BI84))</f>
        <v/>
      </c>
      <c r="AG84" s="19" t="n">
        <f aca="false">IF(OR(LEN($A84&amp;$B84)=0,$F84=""),0,1)</f>
        <v>0</v>
      </c>
      <c r="AH84" s="17" t="str">
        <f aca="false">IF(AG84=0,"",IF($J84&lt;&gt;"",$J84,IF(OR(CasualCounts="Yes",COUNT($G84:$I84)=0,COUNT($H84:$I84)=0),$F84,MIN($H84:$I84))))</f>
        <v/>
      </c>
      <c r="AI84" s="19" t="str">
        <f aca="false">IF(AG84=0,"",COUNT($G84:$I84))</f>
        <v/>
      </c>
      <c r="AJ84" s="17" t="str">
        <f aca="false">IF(AG84=0,"",IFERROR(SMALL($G84:$I84,1),""))</f>
        <v/>
      </c>
      <c r="AK84" s="17" t="str">
        <f aca="false">IF(AG84=0,"",IFERROR(SMALL($G84:$I84,2),""))</f>
        <v/>
      </c>
      <c r="AL84" s="17" t="str">
        <f aca="false">IF(AG84=0,"",IFERROR(SMALL($G84:$I84,3),""))</f>
        <v/>
      </c>
      <c r="AM84" s="19" t="str">
        <f aca="false">IF(AG84=0,"",IF(AJ84="","",IF(AJ84=$H84,"Part-Time",IF(AJ84=$I84,"Full-Time","Casual"))))</f>
        <v/>
      </c>
      <c r="AN84" s="19" t="str">
        <f aca="false">IF(AG84=0,"",IF(AK84="","",IF(AK84=$H84,"Part-Time",IF(AK84=$I84,"Full-Time","Casual"))))</f>
        <v/>
      </c>
      <c r="AO84" s="19" t="str">
        <f aca="false">IF(AG84=0,"",IF(AL84="","",IF(AL84=$H84,"Part-Time",IF(AL84=$I84,"Full-Time","Casual"))))</f>
        <v/>
      </c>
      <c r="AP84" s="19"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19" t="str">
        <f aca="false">IF(AG84=0,"",IF(AI84&lt;2,"",IF(OR(ISNUMBER(SEARCH("full",AN84)),UPPER(TRIM(AN84))="FT",UPPER(TRIM(AN84))="FTE"),"FT",IF(AND(OR(ISNUMBER(SEARCH("part",AN84)),UPPER(TRIM(AN84))="PT",UPPER(TRIM(AN84))="PTE"),OR($P84="",N($P84)&gt;=PT_MinHours)),"PT","None"))))</f>
        <v/>
      </c>
      <c r="AR84" s="19" t="str">
        <f aca="false">IF(AG84=0,"",IF(AI84&lt;3,"",IF(OR(ISNUMBER(SEARCH("full",AO84)),UPPER(TRIM(AO84))="FT",UPPER(TRIM(AO84))="FTE"),"FT",IF(AND(OR(ISNUMBER(SEARCH("part",AO84)),UPPER(TRIM(AO84))="PT",UPPER(TRIM(AO84))="PTE"),OR($P84="",N($P84)&gt;=PT_MinHours)),"PT","None"))))</f>
        <v/>
      </c>
      <c r="AS84" s="19" t="str">
        <f aca="false">IF(AG84=0,"",IF(AND(AI84&gt;=3,AL84&lt;=AsOfDate),AR84,IF(AND(AI84&gt;=2,AK84&lt;=AsOfDate),AQ84,AP84)))</f>
        <v/>
      </c>
      <c r="AT84" s="19" t="str">
        <f aca="false">IF(AG84=0,"",IF(AsOfDate&lt;AH84,-1,12*(YEAR(AsOfDate)-YEAR(AH84))+MONTH(AsOfDate)-MONTH(AH84)-IF(DAY(AsOfDate)&lt;MIN(DAY(AH84),DAY(EOMONTH(AsOfDate,0))),1,0)))</f>
        <v/>
      </c>
      <c r="AU84" s="19" t="str">
        <f aca="false">IF(AG84=0,"",IF(OR(AI84&lt;2,AK84&gt;AsOfDate),AT84,IF((AK84-1)&lt;AH84,-1,12*(YEAR((AK84-1))-YEAR(AH84))+MONTH((AK84-1))-MONTH(AH84)-IF(DAY((AK84-1))&lt;MIN(DAY(AH84),DAY(EOMONTH((AK84-1),0))),1,0))))</f>
        <v/>
      </c>
      <c r="AV84" s="19" t="str">
        <f aca="false">IF(AG84=0,"",IF(OR(AI84&lt;3,AL84&gt;AsOfDate),AT84,IF((AL84-1)&lt;AH84,-1,12*(YEAR((AL84-1))-YEAR(AH84))+MONTH((AL84-1))-MONTH(AH84)-IF(DAY((AL84-1))&lt;MIN(DAY(AH84),DAY(EOMONTH((AL84-1),0))),1,0))))</f>
        <v/>
      </c>
      <c r="AW84" s="19" t="str">
        <f aca="false">IF(AG84=0,"",IF(PFYDate&lt;AH84,-1,12*(YEAR(PFYDate)-YEAR(AH84))+MONTH(PFYDate)-MONTH(AH84)-IF(DAY(PFYDate)&lt;MIN(DAY(AH84),DAY(EOMONTH(PFYDate,0))),1,0)))</f>
        <v/>
      </c>
      <c r="AX84" s="19" t="str">
        <f aca="false">IF(AG84=0,"",IF(OR(AI84&lt;2,AK84&gt;PFYDate),AW84,IF((AK84-1)&lt;AH84,-1,12*(YEAR((AK84-1))-YEAR(AH84))+MONTH((AK84-1))-MONTH(AH84)-IF(DAY((AK84-1))&lt;MIN(DAY(AH84),DAY(EOMONTH((AK84-1),0))),1,0))))</f>
        <v/>
      </c>
      <c r="AY84" s="19" t="str">
        <f aca="false">IF(AG84=0,"",IF(OR(AI84&lt;3,AL84&gt;PFYDate),AW84,IF((AL84-1)&lt;AH84,-1,12*(YEAR((AL84-1))-YEAR(AH84))+MONTH((AL84-1))-MONTH(AH84)-IF(DAY((AL84-1))&lt;MIN(DAY(AH84),DAY(EOMONTH((AL84-1),0))),1,0))))</f>
        <v/>
      </c>
      <c r="AZ84" s="19" t="str">
        <f aca="false">IF(AG84=0,"",IF(AP84="FT",IF(AU84&lt;FT_First,0,IF(AU84&lt;FT_Y5,1+INT((AU84-FT_First)/FT_Int1),FT_PreY5+FT_PerYear*INT((AU84-FT_Y5)/12)+FT_AnnivDays+INT(MOD(AU84-FT_Y5,12)/FT_Int2))),IF(AP84="PT",IF(AU84&lt;PT_First,0,1+INT((AU84-PT_First)/PT_Int)),0))+IF(AND(AI84&gt;=2,AK84&lt;=AsOfDate),IF(AQ84="FT",IF(AV84&lt;FT_First,0,IF(AV84&lt;FT_Y5,1+INT((AV84-FT_First)/FT_Int1),FT_PreY5+FT_PerYear*INT((AV84-FT_Y5)/12)+FT_AnnivDays+INT(MOD(AV84-FT_Y5,12)/FT_Int2))),IF(AQ84="PT",IF(AV84&lt;PT_First,0,1+INT((AV84-PT_First)/PT_Int)),0))-IF(AQ84="FT",IF(AU84&lt;FT_First,0,IF(AU84&lt;FT_Y5,1+INT((AU84-FT_First)/FT_Int1),FT_PreY5+FT_PerYear*INT((AU84-FT_Y5)/12)+FT_AnnivDays+INT(MOD(AU84-FT_Y5,12)/FT_Int2))),IF(AQ84="PT",IF(AU84&lt;PT_First,0,1+INT((AU84-PT_First)/PT_Int)),0)),0)+IF(AND(AI84&gt;=3,AL84&lt;=AsOfDate),IF(AR84="FT",IF(AT84&lt;FT_First,0,IF(AT84&lt;FT_Y5,1+INT((AT84-FT_First)/FT_Int1),FT_PreY5+FT_PerYear*INT((AT84-FT_Y5)/12)+FT_AnnivDays+INT(MOD(AT84-FT_Y5,12)/FT_Int2))),IF(AR84="PT",IF(AT84&lt;PT_First,0,1+INT((AT84-PT_First)/PT_Int)),0))-IF(AR84="FT",IF(AV84&lt;FT_First,0,IF(AV84&lt;FT_Y5,1+INT((AV84-FT_First)/FT_Int1),FT_PreY5+FT_PerYear*INT((AV84-FT_Y5)/12)+FT_AnnivDays+INT(MOD(AV84-FT_Y5,12)/FT_Int2))),IF(AR84="PT",IF(AV84&lt;PT_First,0,1+INT((AV84-PT_First)/PT_Int)),0)),0))</f>
        <v/>
      </c>
      <c r="BA84" s="19" t="str">
        <f aca="false">IF(AG84=0,"",IF(AP84="FT",IF(AX84&lt;FT_First,0,IF(AX84&lt;FT_Y5,1+INT((AX84-FT_First)/FT_Int1),FT_PreY5+FT_PerYear*INT((AX84-FT_Y5)/12)+FT_AnnivDays+INT(MOD(AX84-FT_Y5,12)/FT_Int2))),IF(AP84="PT",IF(AX84&lt;PT_First,0,1+INT((AX84-PT_First)/PT_Int)),0))+IF(AND(AI84&gt;=2,AK84&lt;=PFYDate),IF(AQ84="FT",IF(AY84&lt;FT_First,0,IF(AY84&lt;FT_Y5,1+INT((AY84-FT_First)/FT_Int1),FT_PreY5+FT_PerYear*INT((AY84-FT_Y5)/12)+FT_AnnivDays+INT(MOD(AY84-FT_Y5,12)/FT_Int2))),IF(AQ84="PT",IF(AY84&lt;PT_First,0,1+INT((AY84-PT_First)/PT_Int)),0))-IF(AQ84="FT",IF(AX84&lt;FT_First,0,IF(AX84&lt;FT_Y5,1+INT((AX84-FT_First)/FT_Int1),FT_PreY5+FT_PerYear*INT((AX84-FT_Y5)/12)+FT_AnnivDays+INT(MOD(AX84-FT_Y5,12)/FT_Int2))),IF(AQ84="PT",IF(AX84&lt;PT_First,0,1+INT((AX84-PT_First)/PT_Int)),0)),0)+IF(AND(AI84&gt;=3,AL84&lt;=PFYDate),IF(AR84="FT",IF(AW84&lt;FT_First,0,IF(AW84&lt;FT_Y5,1+INT((AW84-FT_First)/FT_Int1),FT_PreY5+FT_PerYear*INT((AW84-FT_Y5)/12)+FT_AnnivDays+INT(MOD(AW84-FT_Y5,12)/FT_Int2))),IF(AR84="PT",IF(AW84&lt;PT_First,0,1+INT((AW84-PT_First)/PT_Int)),0))-IF(AR84="FT",IF(AY84&lt;FT_First,0,IF(AY84&lt;FT_Y5,1+INT((AY84-FT_First)/FT_Int1),FT_PreY5+FT_PerYear*INT((AY84-FT_Y5)/12)+FT_AnnivDays+INT(MOD(AY84-FT_Y5,12)/FT_Int2))),IF(AR84="PT",IF(AY84&lt;PT_First,0,1+INT((AY84-PT_First)/PT_Int)),0)),0))</f>
        <v/>
      </c>
      <c r="BB84" s="19" t="str">
        <f aca="false">IF(AG84=0,"",IF(AS84="FT",IF(AT84&lt;FT_First,FT_First,IF(AT84&lt;FT_Y5,MIN(FT_Y5,FT_First+FT_Int1*(INT((AT84-FT_First)/FT_Int1)+1)),FT_Y5+12*INT((AT84-FT_Y5)/12)+FT_Int2*(INT(MOD(AT84-FT_Y5,12)/FT_Int2)+1))),IF(AS84="PT",IF(AT84&lt;PT_First,PT_First,PT_First+PT_Int*(INT((AT84-PT_First)/PT_Int)+1)),"")))</f>
        <v/>
      </c>
      <c r="BC84" s="19" t="str">
        <f aca="false">IF(AG84=0,"",IF(NOT(LH_Ready),0,COUNTIFS(INDEX(LH_Data,0,LH_ColFirst),$A84,INDEX(LH_Data,0,LH_ColSur),$B84,INDEX(LH_Data,0,LH_ColCat),BonusCat)))</f>
        <v/>
      </c>
      <c r="BD84" s="19" t="str">
        <f aca="false">IF(AG84=0,"",IF(OR(NOT(LH_Ready),BC84=0),0,SUMPRODUCT(MAX((INDEX(LH_Data,0,LH_ColFirst)=$A84)*(INDEX(LH_Data,0,LH_ColSur)=$B84)*(INDEX(LH_Data,0,LH_ColCat)=BonusCat)*ROW(LH_Data)))))</f>
        <v/>
      </c>
      <c r="BE84" s="19" t="str">
        <f aca="false">IF(AG84=0,"",IF(EOMONTH(AsOfDate,-1)&lt;AH84,-1,12*(YEAR(EOMONTH(AsOfDate,-1))-YEAR(AH84))+MONTH(EOMONTH(AsOfDate,-1))-MONTH(AH84)-IF(DAY(EOMONTH(AsOfDate,-1))&lt;MIN(DAY(AH84),DAY(EOMONTH(EOMONTH(AsOfDate,-1),0))),1,0)))</f>
        <v/>
      </c>
      <c r="BF84" s="19" t="str">
        <f aca="false">IF(AG84=0,"",IF(OR(AI84&lt;2,AK84&gt;EOMONTH(AsOfDate,-1)),BE84,IF((AK84-1)&lt;AH84,-1,12*(YEAR((AK84-1))-YEAR(AH84))+MONTH((AK84-1))-MONTH(AH84)-IF(DAY((AK84-1))&lt;MIN(DAY(AH84),DAY(EOMONTH((AK84-1),0))),1,0))))</f>
        <v/>
      </c>
      <c r="BG84" s="19" t="str">
        <f aca="false">IF(AG84=0,"",IF(OR(AI84&lt;3,AL84&gt;EOMONTH(AsOfDate,-1)),BE84,IF((AL84-1)&lt;AH84,-1,12*(YEAR((AL84-1))-YEAR(AH84))+MONTH((AL84-1))-MONTH(AH84)-IF(DAY((AL84-1))&lt;MIN(DAY(AH84),DAY(EOMONTH((AL84-1),0))),1,0))))</f>
        <v/>
      </c>
      <c r="BH84" s="19" t="str">
        <f aca="false">IF(AG84=0,"",IF(AP84="FT",IF(BF84&lt;FT_First,0,IF(BF84&lt;FT_Y5,1+INT((BF84-FT_First)/FT_Int1),FT_PreY5+FT_PerYear*INT((BF84-FT_Y5)/12)+FT_AnnivDays+INT(MOD(BF84-FT_Y5,12)/FT_Int2))),IF(AP84="PT",IF(BF84&lt;PT_First,0,1+INT((BF84-PT_First)/PT_Int)),0))+IF(AND(AI84&gt;=2,AK84&lt;=EOMONTH(AsOfDate,-1)),IF(AQ84="FT",IF(BG84&lt;FT_First,0,IF(BG84&lt;FT_Y5,1+INT((BG84-FT_First)/FT_Int1),FT_PreY5+FT_PerYear*INT((BG84-FT_Y5)/12)+FT_AnnivDays+INT(MOD(BG84-FT_Y5,12)/FT_Int2))),IF(AQ84="PT",IF(BG84&lt;PT_First,0,1+INT((BG84-PT_First)/PT_Int)),0))-IF(AQ84="FT",IF(BF84&lt;FT_First,0,IF(BF84&lt;FT_Y5,1+INT((BF84-FT_First)/FT_Int1),FT_PreY5+FT_PerYear*INT((BF84-FT_Y5)/12)+FT_AnnivDays+INT(MOD(BF84-FT_Y5,12)/FT_Int2))),IF(AQ84="PT",IF(BF84&lt;PT_First,0,1+INT((BF84-PT_First)/PT_Int)),0)),0)+IF(AND(AI84&gt;=3,AL84&lt;=EOMONTH(AsOfDate,-1)),IF(AR84="FT",IF(BE84&lt;FT_First,0,IF(BE84&lt;FT_Y5,1+INT((BE84-FT_First)/FT_Int1),FT_PreY5+FT_PerYear*INT((BE84-FT_Y5)/12)+FT_AnnivDays+INT(MOD(BE84-FT_Y5,12)/FT_Int2))),IF(AR84="PT",IF(BE84&lt;PT_First,0,1+INT((BE84-PT_First)/PT_Int)),0))-IF(AR84="FT",IF(BG84&lt;FT_First,0,IF(BG84&lt;FT_Y5,1+INT((BG84-FT_First)/FT_Int1),FT_PreY5+FT_PerYear*INT((BG84-FT_Y5)/12)+FT_AnnivDays+INT(MOD(BG84-FT_Y5,12)/FT_Int2))),IF(AR84="PT",IF(BG84&lt;PT_First,0,1+INT((BG84-PT_First)/PT_Int)),0)),0))</f>
        <v/>
      </c>
      <c r="BI84" s="19" t="str">
        <f aca="false">IF(AG84=0,"",IF(AS84="FT",IF(AT84&lt;FT_First,"",IF(AT84&lt;FT_Y5,FT_First+FT_Int1*INT((AT84-FT_First)/FT_Int1),FT_Y5+FT_Int2*INT((AT84-FT_Y5)/FT_Int2))),IF(AS84="PT",IF(AT84&lt;PT_First,"",PT_First+PT_Int*INT((AT84-PT_First)/PT_Int)),"")))</f>
        <v/>
      </c>
      <c r="BJ84" s="0" t="str">
        <f aca="false">IF(LEN($A84&amp;$B84)=0,"",$A84&amp;" "&amp;$B84)</f>
        <v/>
      </c>
    </row>
    <row r="85" customFormat="false" ht="15" hidden="false" customHeight="false" outlineLevel="0" collapsed="false">
      <c r="A85" s="15"/>
      <c r="B85" s="15"/>
      <c r="C85" s="15"/>
      <c r="D85" s="16"/>
      <c r="E85" s="17" t="str">
        <f aca="false">IF(OR(AG85=0,$D85=""),"",DATE(YEAR(AsOfDate)+IF(DATE(YEAR(AsOfDate),MONTH($D85),DAY($D85))&lt;=AsOfDate,1,0),MONTH($D85),DAY($D85)))</f>
        <v/>
      </c>
      <c r="F85" s="16"/>
      <c r="G85" s="16"/>
      <c r="H85" s="16"/>
      <c r="I85" s="16"/>
      <c r="J85" s="16"/>
      <c r="K85" s="17" t="str">
        <f aca="false">IF(AG85=0,"",DATE(YEAR(AsOfDate)+IF(DATE(YEAR(AsOfDate),MONTH(AH85),DAY(AH85))&lt;=AsOfDate,1,0),MONTH(AH85),DAY(AH85)))</f>
        <v/>
      </c>
      <c r="L85" s="18" t="str">
        <f aca="false">IF(AG85=0,"",ROUND((AsOfDate-AH85)/365.25,1))</f>
        <v/>
      </c>
      <c r="M85" s="19" t="str">
        <f aca="false">IF(AG85=0,"",IF(AsOfDate&lt;AH85,"-",DATEDIF(AH85,AsOfDate,"y")&amp;"y "&amp;DATEDIF(AH85,AsOfDate,"ym")&amp;"m "&amp;DATEDIF(AH85,AsOfDate,"md")&amp;"d"))</f>
        <v/>
      </c>
      <c r="N85" s="20" t="str">
        <f aca="false">IF(AG85=0,"",O85*HoursPerDay)</f>
        <v/>
      </c>
      <c r="O85" s="20" t="str">
        <f aca="false">IF(AG85=0,"",AZ85)</f>
        <v/>
      </c>
      <c r="P85" s="21"/>
      <c r="Q85" s="19"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19"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7" t="str">
        <f aca="false">IF(AG85=0,"",IF(AS85="None","",EDATE(AH85,BB85)))</f>
        <v/>
      </c>
      <c r="T85" s="20" t="str">
        <f aca="false">IF(AG85=0,"",IF(NOT(LH_Ready),"",IF(AH85&gt;PFYDate,0,IF(LH_ColPeriod=0,W85-U85+V85,SUMIFS(INDEX(LH_Data,0,LH_ColAcc),INDEX(LH_Data,0,LH_ColFirst),$A85,INDEX(LH_Data,0,LH_ColSur),$B85,INDEX(LH_Data,0,LH_ColCat),BonusCat,INDEX(LH_Data,0,LH_ColPeriod),LH_OpenLabel)*UnitFactor))))</f>
        <v/>
      </c>
      <c r="U85" s="20" t="str">
        <f aca="false">IF(AG85=0,"",IF(NOT(LH_Ready),"",SUMIFS(INDEX(LH_Data,0,LH_ColAcc),INDEX(LH_Data,0,LH_ColFirst),$A85,INDEX(LH_Data,0,LH_ColSur),$B85,INDEX(LH_Data,0,LH_ColCat),BonusCat,INDEX(LH_Data,0,LH_ColStart),"&gt;="&amp;AH85)*UnitFactor))</f>
        <v/>
      </c>
      <c r="V85" s="20" t="str">
        <f aca="false">IF(AG85=0,"",IF(NOT(LH_Ready),"",SUMIFS(INDEX(LH_Data,0,LH_ColTaken),INDEX(LH_Data,0,LH_ColFirst),$A85,INDEX(LH_Data,0,LH_ColSur),$B85,INDEX(LH_Data,0,LH_ColCat),BonusCat,INDEX(LH_Data,0,LH_ColStart),"&gt;="&amp;AH85)*UnitFactor))</f>
        <v/>
      </c>
      <c r="W85" s="20" t="str">
        <f aca="false">IF(AG85=0,"",IF(NOT(LH_Ready),"",IF(BD85=0,0,INDEX(INDEX(LH_Data,0,LH_ColClose),BD85-1)*UnitFactor)))</f>
        <v/>
      </c>
      <c r="X85" s="20" t="str">
        <f aca="false">IF(AG85=0,"",(AZ85-BA85)*HoursPerDay)</f>
        <v/>
      </c>
      <c r="Y85" s="20" t="str">
        <f aca="false">IF(AG85=0,"",IF(NOT(LH_Ready),"",IF(BC85=0,N85,IF(PFYDate&lt;$F85,N85-N(T85)-N(U85),X85-N(U85)))))</f>
        <v/>
      </c>
      <c r="Z85" s="19" t="str">
        <f aca="false">IF(OR(AG85=0,Y85=""),"",IF(Y85&gt;0,"Yes","No"))</f>
        <v/>
      </c>
      <c r="AA85" s="19"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20" t="str">
        <f aca="false">IF(OR(AG85=0,T85=""),"",BA85*HoursPerDay-T85)</f>
        <v/>
      </c>
      <c r="AC85" s="19" t="str">
        <f aca="false">IF(AG85=0,"",BC85)</f>
        <v/>
      </c>
      <c r="AD85" s="19"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20" t="str">
        <f aca="false">IF(AG85=0,"",O85-BH85)</f>
        <v/>
      </c>
      <c r="AF85" s="17" t="str">
        <f aca="false">IF(OR(AG85=0,AE85="",N(AE85)=0,BI85=""),"",EDATE(AH85,BI85))</f>
        <v/>
      </c>
      <c r="AG85" s="19" t="n">
        <f aca="false">IF(OR(LEN($A85&amp;$B85)=0,$F85=""),0,1)</f>
        <v>0</v>
      </c>
      <c r="AH85" s="17" t="str">
        <f aca="false">IF(AG85=0,"",IF($J85&lt;&gt;"",$J85,IF(OR(CasualCounts="Yes",COUNT($G85:$I85)=0,COUNT($H85:$I85)=0),$F85,MIN($H85:$I85))))</f>
        <v/>
      </c>
      <c r="AI85" s="19" t="str">
        <f aca="false">IF(AG85=0,"",COUNT($G85:$I85))</f>
        <v/>
      </c>
      <c r="AJ85" s="17" t="str">
        <f aca="false">IF(AG85=0,"",IFERROR(SMALL($G85:$I85,1),""))</f>
        <v/>
      </c>
      <c r="AK85" s="17" t="str">
        <f aca="false">IF(AG85=0,"",IFERROR(SMALL($G85:$I85,2),""))</f>
        <v/>
      </c>
      <c r="AL85" s="17" t="str">
        <f aca="false">IF(AG85=0,"",IFERROR(SMALL($G85:$I85,3),""))</f>
        <v/>
      </c>
      <c r="AM85" s="19" t="str">
        <f aca="false">IF(AG85=0,"",IF(AJ85="","",IF(AJ85=$H85,"Part-Time",IF(AJ85=$I85,"Full-Time","Casual"))))</f>
        <v/>
      </c>
      <c r="AN85" s="19" t="str">
        <f aca="false">IF(AG85=0,"",IF(AK85="","",IF(AK85=$H85,"Part-Time",IF(AK85=$I85,"Full-Time","Casual"))))</f>
        <v/>
      </c>
      <c r="AO85" s="19" t="str">
        <f aca="false">IF(AG85=0,"",IF(AL85="","",IF(AL85=$H85,"Part-Time",IF(AL85=$I85,"Full-Time","Casual"))))</f>
        <v/>
      </c>
      <c r="AP85" s="19"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19" t="str">
        <f aca="false">IF(AG85=0,"",IF(AI85&lt;2,"",IF(OR(ISNUMBER(SEARCH("full",AN85)),UPPER(TRIM(AN85))="FT",UPPER(TRIM(AN85))="FTE"),"FT",IF(AND(OR(ISNUMBER(SEARCH("part",AN85)),UPPER(TRIM(AN85))="PT",UPPER(TRIM(AN85))="PTE"),OR($P85="",N($P85)&gt;=PT_MinHours)),"PT","None"))))</f>
        <v/>
      </c>
      <c r="AR85" s="19" t="str">
        <f aca="false">IF(AG85=0,"",IF(AI85&lt;3,"",IF(OR(ISNUMBER(SEARCH("full",AO85)),UPPER(TRIM(AO85))="FT",UPPER(TRIM(AO85))="FTE"),"FT",IF(AND(OR(ISNUMBER(SEARCH("part",AO85)),UPPER(TRIM(AO85))="PT",UPPER(TRIM(AO85))="PTE"),OR($P85="",N($P85)&gt;=PT_MinHours)),"PT","None"))))</f>
        <v/>
      </c>
      <c r="AS85" s="19" t="str">
        <f aca="false">IF(AG85=0,"",IF(AND(AI85&gt;=3,AL85&lt;=AsOfDate),AR85,IF(AND(AI85&gt;=2,AK85&lt;=AsOfDate),AQ85,AP85)))</f>
        <v/>
      </c>
      <c r="AT85" s="19" t="str">
        <f aca="false">IF(AG85=0,"",IF(AsOfDate&lt;AH85,-1,12*(YEAR(AsOfDate)-YEAR(AH85))+MONTH(AsOfDate)-MONTH(AH85)-IF(DAY(AsOfDate)&lt;MIN(DAY(AH85),DAY(EOMONTH(AsOfDate,0))),1,0)))</f>
        <v/>
      </c>
      <c r="AU85" s="19" t="str">
        <f aca="false">IF(AG85=0,"",IF(OR(AI85&lt;2,AK85&gt;AsOfDate),AT85,IF((AK85-1)&lt;AH85,-1,12*(YEAR((AK85-1))-YEAR(AH85))+MONTH((AK85-1))-MONTH(AH85)-IF(DAY((AK85-1))&lt;MIN(DAY(AH85),DAY(EOMONTH((AK85-1),0))),1,0))))</f>
        <v/>
      </c>
      <c r="AV85" s="19" t="str">
        <f aca="false">IF(AG85=0,"",IF(OR(AI85&lt;3,AL85&gt;AsOfDate),AT85,IF((AL85-1)&lt;AH85,-1,12*(YEAR((AL85-1))-YEAR(AH85))+MONTH((AL85-1))-MONTH(AH85)-IF(DAY((AL85-1))&lt;MIN(DAY(AH85),DAY(EOMONTH((AL85-1),0))),1,0))))</f>
        <v/>
      </c>
      <c r="AW85" s="19" t="str">
        <f aca="false">IF(AG85=0,"",IF(PFYDate&lt;AH85,-1,12*(YEAR(PFYDate)-YEAR(AH85))+MONTH(PFYDate)-MONTH(AH85)-IF(DAY(PFYDate)&lt;MIN(DAY(AH85),DAY(EOMONTH(PFYDate,0))),1,0)))</f>
        <v/>
      </c>
      <c r="AX85" s="19" t="str">
        <f aca="false">IF(AG85=0,"",IF(OR(AI85&lt;2,AK85&gt;PFYDate),AW85,IF((AK85-1)&lt;AH85,-1,12*(YEAR((AK85-1))-YEAR(AH85))+MONTH((AK85-1))-MONTH(AH85)-IF(DAY((AK85-1))&lt;MIN(DAY(AH85),DAY(EOMONTH((AK85-1),0))),1,0))))</f>
        <v/>
      </c>
      <c r="AY85" s="19" t="str">
        <f aca="false">IF(AG85=0,"",IF(OR(AI85&lt;3,AL85&gt;PFYDate),AW85,IF((AL85-1)&lt;AH85,-1,12*(YEAR((AL85-1))-YEAR(AH85))+MONTH((AL85-1))-MONTH(AH85)-IF(DAY((AL85-1))&lt;MIN(DAY(AH85),DAY(EOMONTH((AL85-1),0))),1,0))))</f>
        <v/>
      </c>
      <c r="AZ85" s="19" t="str">
        <f aca="false">IF(AG85=0,"",IF(AP85="FT",IF(AU85&lt;FT_First,0,IF(AU85&lt;FT_Y5,1+INT((AU85-FT_First)/FT_Int1),FT_PreY5+FT_PerYear*INT((AU85-FT_Y5)/12)+FT_AnnivDays+INT(MOD(AU85-FT_Y5,12)/FT_Int2))),IF(AP85="PT",IF(AU85&lt;PT_First,0,1+INT((AU85-PT_First)/PT_Int)),0))+IF(AND(AI85&gt;=2,AK85&lt;=AsOfDate),IF(AQ85="FT",IF(AV85&lt;FT_First,0,IF(AV85&lt;FT_Y5,1+INT((AV85-FT_First)/FT_Int1),FT_PreY5+FT_PerYear*INT((AV85-FT_Y5)/12)+FT_AnnivDays+INT(MOD(AV85-FT_Y5,12)/FT_Int2))),IF(AQ85="PT",IF(AV85&lt;PT_First,0,1+INT((AV85-PT_First)/PT_Int)),0))-IF(AQ85="FT",IF(AU85&lt;FT_First,0,IF(AU85&lt;FT_Y5,1+INT((AU85-FT_First)/FT_Int1),FT_PreY5+FT_PerYear*INT((AU85-FT_Y5)/12)+FT_AnnivDays+INT(MOD(AU85-FT_Y5,12)/FT_Int2))),IF(AQ85="PT",IF(AU85&lt;PT_First,0,1+INT((AU85-PT_First)/PT_Int)),0)),0)+IF(AND(AI85&gt;=3,AL85&lt;=AsOfDate),IF(AR85="FT",IF(AT85&lt;FT_First,0,IF(AT85&lt;FT_Y5,1+INT((AT85-FT_First)/FT_Int1),FT_PreY5+FT_PerYear*INT((AT85-FT_Y5)/12)+FT_AnnivDays+INT(MOD(AT85-FT_Y5,12)/FT_Int2))),IF(AR85="PT",IF(AT85&lt;PT_First,0,1+INT((AT85-PT_First)/PT_Int)),0))-IF(AR85="FT",IF(AV85&lt;FT_First,0,IF(AV85&lt;FT_Y5,1+INT((AV85-FT_First)/FT_Int1),FT_PreY5+FT_PerYear*INT((AV85-FT_Y5)/12)+FT_AnnivDays+INT(MOD(AV85-FT_Y5,12)/FT_Int2))),IF(AR85="PT",IF(AV85&lt;PT_First,0,1+INT((AV85-PT_First)/PT_Int)),0)),0))</f>
        <v/>
      </c>
      <c r="BA85" s="19" t="str">
        <f aca="false">IF(AG85=0,"",IF(AP85="FT",IF(AX85&lt;FT_First,0,IF(AX85&lt;FT_Y5,1+INT((AX85-FT_First)/FT_Int1),FT_PreY5+FT_PerYear*INT((AX85-FT_Y5)/12)+FT_AnnivDays+INT(MOD(AX85-FT_Y5,12)/FT_Int2))),IF(AP85="PT",IF(AX85&lt;PT_First,0,1+INT((AX85-PT_First)/PT_Int)),0))+IF(AND(AI85&gt;=2,AK85&lt;=PFYDate),IF(AQ85="FT",IF(AY85&lt;FT_First,0,IF(AY85&lt;FT_Y5,1+INT((AY85-FT_First)/FT_Int1),FT_PreY5+FT_PerYear*INT((AY85-FT_Y5)/12)+FT_AnnivDays+INT(MOD(AY85-FT_Y5,12)/FT_Int2))),IF(AQ85="PT",IF(AY85&lt;PT_First,0,1+INT((AY85-PT_First)/PT_Int)),0))-IF(AQ85="FT",IF(AX85&lt;FT_First,0,IF(AX85&lt;FT_Y5,1+INT((AX85-FT_First)/FT_Int1),FT_PreY5+FT_PerYear*INT((AX85-FT_Y5)/12)+FT_AnnivDays+INT(MOD(AX85-FT_Y5,12)/FT_Int2))),IF(AQ85="PT",IF(AX85&lt;PT_First,0,1+INT((AX85-PT_First)/PT_Int)),0)),0)+IF(AND(AI85&gt;=3,AL85&lt;=PFYDate),IF(AR85="FT",IF(AW85&lt;FT_First,0,IF(AW85&lt;FT_Y5,1+INT((AW85-FT_First)/FT_Int1),FT_PreY5+FT_PerYear*INT((AW85-FT_Y5)/12)+FT_AnnivDays+INT(MOD(AW85-FT_Y5,12)/FT_Int2))),IF(AR85="PT",IF(AW85&lt;PT_First,0,1+INT((AW85-PT_First)/PT_Int)),0))-IF(AR85="FT",IF(AY85&lt;FT_First,0,IF(AY85&lt;FT_Y5,1+INT((AY85-FT_First)/FT_Int1),FT_PreY5+FT_PerYear*INT((AY85-FT_Y5)/12)+FT_AnnivDays+INT(MOD(AY85-FT_Y5,12)/FT_Int2))),IF(AR85="PT",IF(AY85&lt;PT_First,0,1+INT((AY85-PT_First)/PT_Int)),0)),0))</f>
        <v/>
      </c>
      <c r="BB85" s="19" t="str">
        <f aca="false">IF(AG85=0,"",IF(AS85="FT",IF(AT85&lt;FT_First,FT_First,IF(AT85&lt;FT_Y5,MIN(FT_Y5,FT_First+FT_Int1*(INT((AT85-FT_First)/FT_Int1)+1)),FT_Y5+12*INT((AT85-FT_Y5)/12)+FT_Int2*(INT(MOD(AT85-FT_Y5,12)/FT_Int2)+1))),IF(AS85="PT",IF(AT85&lt;PT_First,PT_First,PT_First+PT_Int*(INT((AT85-PT_First)/PT_Int)+1)),"")))</f>
        <v/>
      </c>
      <c r="BC85" s="19" t="str">
        <f aca="false">IF(AG85=0,"",IF(NOT(LH_Ready),0,COUNTIFS(INDEX(LH_Data,0,LH_ColFirst),$A85,INDEX(LH_Data,0,LH_ColSur),$B85,INDEX(LH_Data,0,LH_ColCat),BonusCat)))</f>
        <v/>
      </c>
      <c r="BD85" s="19" t="str">
        <f aca="false">IF(AG85=0,"",IF(OR(NOT(LH_Ready),BC85=0),0,SUMPRODUCT(MAX((INDEX(LH_Data,0,LH_ColFirst)=$A85)*(INDEX(LH_Data,0,LH_ColSur)=$B85)*(INDEX(LH_Data,0,LH_ColCat)=BonusCat)*ROW(LH_Data)))))</f>
        <v/>
      </c>
      <c r="BE85" s="19" t="str">
        <f aca="false">IF(AG85=0,"",IF(EOMONTH(AsOfDate,-1)&lt;AH85,-1,12*(YEAR(EOMONTH(AsOfDate,-1))-YEAR(AH85))+MONTH(EOMONTH(AsOfDate,-1))-MONTH(AH85)-IF(DAY(EOMONTH(AsOfDate,-1))&lt;MIN(DAY(AH85),DAY(EOMONTH(EOMONTH(AsOfDate,-1),0))),1,0)))</f>
        <v/>
      </c>
      <c r="BF85" s="19" t="str">
        <f aca="false">IF(AG85=0,"",IF(OR(AI85&lt;2,AK85&gt;EOMONTH(AsOfDate,-1)),BE85,IF((AK85-1)&lt;AH85,-1,12*(YEAR((AK85-1))-YEAR(AH85))+MONTH((AK85-1))-MONTH(AH85)-IF(DAY((AK85-1))&lt;MIN(DAY(AH85),DAY(EOMONTH((AK85-1),0))),1,0))))</f>
        <v/>
      </c>
      <c r="BG85" s="19" t="str">
        <f aca="false">IF(AG85=0,"",IF(OR(AI85&lt;3,AL85&gt;EOMONTH(AsOfDate,-1)),BE85,IF((AL85-1)&lt;AH85,-1,12*(YEAR((AL85-1))-YEAR(AH85))+MONTH((AL85-1))-MONTH(AH85)-IF(DAY((AL85-1))&lt;MIN(DAY(AH85),DAY(EOMONTH((AL85-1),0))),1,0))))</f>
        <v/>
      </c>
      <c r="BH85" s="19" t="str">
        <f aca="false">IF(AG85=0,"",IF(AP85="FT",IF(BF85&lt;FT_First,0,IF(BF85&lt;FT_Y5,1+INT((BF85-FT_First)/FT_Int1),FT_PreY5+FT_PerYear*INT((BF85-FT_Y5)/12)+FT_AnnivDays+INT(MOD(BF85-FT_Y5,12)/FT_Int2))),IF(AP85="PT",IF(BF85&lt;PT_First,0,1+INT((BF85-PT_First)/PT_Int)),0))+IF(AND(AI85&gt;=2,AK85&lt;=EOMONTH(AsOfDate,-1)),IF(AQ85="FT",IF(BG85&lt;FT_First,0,IF(BG85&lt;FT_Y5,1+INT((BG85-FT_First)/FT_Int1),FT_PreY5+FT_PerYear*INT((BG85-FT_Y5)/12)+FT_AnnivDays+INT(MOD(BG85-FT_Y5,12)/FT_Int2))),IF(AQ85="PT",IF(BG85&lt;PT_First,0,1+INT((BG85-PT_First)/PT_Int)),0))-IF(AQ85="FT",IF(BF85&lt;FT_First,0,IF(BF85&lt;FT_Y5,1+INT((BF85-FT_First)/FT_Int1),FT_PreY5+FT_PerYear*INT((BF85-FT_Y5)/12)+FT_AnnivDays+INT(MOD(BF85-FT_Y5,12)/FT_Int2))),IF(AQ85="PT",IF(BF85&lt;PT_First,0,1+INT((BF85-PT_First)/PT_Int)),0)),0)+IF(AND(AI85&gt;=3,AL85&lt;=EOMONTH(AsOfDate,-1)),IF(AR85="FT",IF(BE85&lt;FT_First,0,IF(BE85&lt;FT_Y5,1+INT((BE85-FT_First)/FT_Int1),FT_PreY5+FT_PerYear*INT((BE85-FT_Y5)/12)+FT_AnnivDays+INT(MOD(BE85-FT_Y5,12)/FT_Int2))),IF(AR85="PT",IF(BE85&lt;PT_First,0,1+INT((BE85-PT_First)/PT_Int)),0))-IF(AR85="FT",IF(BG85&lt;FT_First,0,IF(BG85&lt;FT_Y5,1+INT((BG85-FT_First)/FT_Int1),FT_PreY5+FT_PerYear*INT((BG85-FT_Y5)/12)+FT_AnnivDays+INT(MOD(BG85-FT_Y5,12)/FT_Int2))),IF(AR85="PT",IF(BG85&lt;PT_First,0,1+INT((BG85-PT_First)/PT_Int)),0)),0))</f>
        <v/>
      </c>
      <c r="BI85" s="19" t="str">
        <f aca="false">IF(AG85=0,"",IF(AS85="FT",IF(AT85&lt;FT_First,"",IF(AT85&lt;FT_Y5,FT_First+FT_Int1*INT((AT85-FT_First)/FT_Int1),FT_Y5+FT_Int2*INT((AT85-FT_Y5)/FT_Int2))),IF(AS85="PT",IF(AT85&lt;PT_First,"",PT_First+PT_Int*INT((AT85-PT_First)/PT_Int)),"")))</f>
        <v/>
      </c>
      <c r="BJ85" s="0" t="str">
        <f aca="false">IF(LEN($A85&amp;$B85)=0,"",$A85&amp;" "&amp;$B85)</f>
        <v/>
      </c>
    </row>
    <row r="86" customFormat="false" ht="15" hidden="false" customHeight="false" outlineLevel="0" collapsed="false">
      <c r="A86" s="15"/>
      <c r="B86" s="15"/>
      <c r="C86" s="15"/>
      <c r="D86" s="16"/>
      <c r="E86" s="17" t="str">
        <f aca="false">IF(OR(AG86=0,$D86=""),"",DATE(YEAR(AsOfDate)+IF(DATE(YEAR(AsOfDate),MONTH($D86),DAY($D86))&lt;=AsOfDate,1,0),MONTH($D86),DAY($D86)))</f>
        <v/>
      </c>
      <c r="F86" s="16"/>
      <c r="G86" s="16"/>
      <c r="H86" s="16"/>
      <c r="I86" s="16"/>
      <c r="J86" s="16"/>
      <c r="K86" s="17" t="str">
        <f aca="false">IF(AG86=0,"",DATE(YEAR(AsOfDate)+IF(DATE(YEAR(AsOfDate),MONTH(AH86),DAY(AH86))&lt;=AsOfDate,1,0),MONTH(AH86),DAY(AH86)))</f>
        <v/>
      </c>
      <c r="L86" s="18" t="str">
        <f aca="false">IF(AG86=0,"",ROUND((AsOfDate-AH86)/365.25,1))</f>
        <v/>
      </c>
      <c r="M86" s="19" t="str">
        <f aca="false">IF(AG86=0,"",IF(AsOfDate&lt;AH86,"-",DATEDIF(AH86,AsOfDate,"y")&amp;"y "&amp;DATEDIF(AH86,AsOfDate,"ym")&amp;"m "&amp;DATEDIF(AH86,AsOfDate,"md")&amp;"d"))</f>
        <v/>
      </c>
      <c r="N86" s="20" t="str">
        <f aca="false">IF(AG86=0,"",O86*HoursPerDay)</f>
        <v/>
      </c>
      <c r="O86" s="20" t="str">
        <f aca="false">IF(AG86=0,"",AZ86)</f>
        <v/>
      </c>
      <c r="P86" s="21"/>
      <c r="Q86" s="19"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19"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7" t="str">
        <f aca="false">IF(AG86=0,"",IF(AS86="None","",EDATE(AH86,BB86)))</f>
        <v/>
      </c>
      <c r="T86" s="20" t="str">
        <f aca="false">IF(AG86=0,"",IF(NOT(LH_Ready),"",IF(AH86&gt;PFYDate,0,IF(LH_ColPeriod=0,W86-U86+V86,SUMIFS(INDEX(LH_Data,0,LH_ColAcc),INDEX(LH_Data,0,LH_ColFirst),$A86,INDEX(LH_Data,0,LH_ColSur),$B86,INDEX(LH_Data,0,LH_ColCat),BonusCat,INDEX(LH_Data,0,LH_ColPeriod),LH_OpenLabel)*UnitFactor))))</f>
        <v/>
      </c>
      <c r="U86" s="20" t="str">
        <f aca="false">IF(AG86=0,"",IF(NOT(LH_Ready),"",SUMIFS(INDEX(LH_Data,0,LH_ColAcc),INDEX(LH_Data,0,LH_ColFirst),$A86,INDEX(LH_Data,0,LH_ColSur),$B86,INDEX(LH_Data,0,LH_ColCat),BonusCat,INDEX(LH_Data,0,LH_ColStart),"&gt;="&amp;AH86)*UnitFactor))</f>
        <v/>
      </c>
      <c r="V86" s="20" t="str">
        <f aca="false">IF(AG86=0,"",IF(NOT(LH_Ready),"",SUMIFS(INDEX(LH_Data,0,LH_ColTaken),INDEX(LH_Data,0,LH_ColFirst),$A86,INDEX(LH_Data,0,LH_ColSur),$B86,INDEX(LH_Data,0,LH_ColCat),BonusCat,INDEX(LH_Data,0,LH_ColStart),"&gt;="&amp;AH86)*UnitFactor))</f>
        <v/>
      </c>
      <c r="W86" s="20" t="str">
        <f aca="false">IF(AG86=0,"",IF(NOT(LH_Ready),"",IF(BD86=0,0,INDEX(INDEX(LH_Data,0,LH_ColClose),BD86-1)*UnitFactor)))</f>
        <v/>
      </c>
      <c r="X86" s="20" t="str">
        <f aca="false">IF(AG86=0,"",(AZ86-BA86)*HoursPerDay)</f>
        <v/>
      </c>
      <c r="Y86" s="20" t="str">
        <f aca="false">IF(AG86=0,"",IF(NOT(LH_Ready),"",IF(BC86=0,N86,IF(PFYDate&lt;$F86,N86-N(T86)-N(U86),X86-N(U86)))))</f>
        <v/>
      </c>
      <c r="Z86" s="19" t="str">
        <f aca="false">IF(OR(AG86=0,Y86=""),"",IF(Y86&gt;0,"Yes","No"))</f>
        <v/>
      </c>
      <c r="AA86" s="19"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20" t="str">
        <f aca="false">IF(OR(AG86=0,T86=""),"",BA86*HoursPerDay-T86)</f>
        <v/>
      </c>
      <c r="AC86" s="19" t="str">
        <f aca="false">IF(AG86=0,"",BC86)</f>
        <v/>
      </c>
      <c r="AD86" s="19"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20" t="str">
        <f aca="false">IF(AG86=0,"",O86-BH86)</f>
        <v/>
      </c>
      <c r="AF86" s="17" t="str">
        <f aca="false">IF(OR(AG86=0,AE86="",N(AE86)=0,BI86=""),"",EDATE(AH86,BI86))</f>
        <v/>
      </c>
      <c r="AG86" s="19" t="n">
        <f aca="false">IF(OR(LEN($A86&amp;$B86)=0,$F86=""),0,1)</f>
        <v>0</v>
      </c>
      <c r="AH86" s="17" t="str">
        <f aca="false">IF(AG86=0,"",IF($J86&lt;&gt;"",$J86,IF(OR(CasualCounts="Yes",COUNT($G86:$I86)=0,COUNT($H86:$I86)=0),$F86,MIN($H86:$I86))))</f>
        <v/>
      </c>
      <c r="AI86" s="19" t="str">
        <f aca="false">IF(AG86=0,"",COUNT($G86:$I86))</f>
        <v/>
      </c>
      <c r="AJ86" s="17" t="str">
        <f aca="false">IF(AG86=0,"",IFERROR(SMALL($G86:$I86,1),""))</f>
        <v/>
      </c>
      <c r="AK86" s="17" t="str">
        <f aca="false">IF(AG86=0,"",IFERROR(SMALL($G86:$I86,2),""))</f>
        <v/>
      </c>
      <c r="AL86" s="17" t="str">
        <f aca="false">IF(AG86=0,"",IFERROR(SMALL($G86:$I86,3),""))</f>
        <v/>
      </c>
      <c r="AM86" s="19" t="str">
        <f aca="false">IF(AG86=0,"",IF(AJ86="","",IF(AJ86=$H86,"Part-Time",IF(AJ86=$I86,"Full-Time","Casual"))))</f>
        <v/>
      </c>
      <c r="AN86" s="19" t="str">
        <f aca="false">IF(AG86=0,"",IF(AK86="","",IF(AK86=$H86,"Part-Time",IF(AK86=$I86,"Full-Time","Casual"))))</f>
        <v/>
      </c>
      <c r="AO86" s="19" t="str">
        <f aca="false">IF(AG86=0,"",IF(AL86="","",IF(AL86=$H86,"Part-Time",IF(AL86=$I86,"Full-Time","Casual"))))</f>
        <v/>
      </c>
      <c r="AP86" s="19"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19" t="str">
        <f aca="false">IF(AG86=0,"",IF(AI86&lt;2,"",IF(OR(ISNUMBER(SEARCH("full",AN86)),UPPER(TRIM(AN86))="FT",UPPER(TRIM(AN86))="FTE"),"FT",IF(AND(OR(ISNUMBER(SEARCH("part",AN86)),UPPER(TRIM(AN86))="PT",UPPER(TRIM(AN86))="PTE"),OR($P86="",N($P86)&gt;=PT_MinHours)),"PT","None"))))</f>
        <v/>
      </c>
      <c r="AR86" s="19" t="str">
        <f aca="false">IF(AG86=0,"",IF(AI86&lt;3,"",IF(OR(ISNUMBER(SEARCH("full",AO86)),UPPER(TRIM(AO86))="FT",UPPER(TRIM(AO86))="FTE"),"FT",IF(AND(OR(ISNUMBER(SEARCH("part",AO86)),UPPER(TRIM(AO86))="PT",UPPER(TRIM(AO86))="PTE"),OR($P86="",N($P86)&gt;=PT_MinHours)),"PT","None"))))</f>
        <v/>
      </c>
      <c r="AS86" s="19" t="str">
        <f aca="false">IF(AG86=0,"",IF(AND(AI86&gt;=3,AL86&lt;=AsOfDate),AR86,IF(AND(AI86&gt;=2,AK86&lt;=AsOfDate),AQ86,AP86)))</f>
        <v/>
      </c>
      <c r="AT86" s="19" t="str">
        <f aca="false">IF(AG86=0,"",IF(AsOfDate&lt;AH86,-1,12*(YEAR(AsOfDate)-YEAR(AH86))+MONTH(AsOfDate)-MONTH(AH86)-IF(DAY(AsOfDate)&lt;MIN(DAY(AH86),DAY(EOMONTH(AsOfDate,0))),1,0)))</f>
        <v/>
      </c>
      <c r="AU86" s="19" t="str">
        <f aca="false">IF(AG86=0,"",IF(OR(AI86&lt;2,AK86&gt;AsOfDate),AT86,IF((AK86-1)&lt;AH86,-1,12*(YEAR((AK86-1))-YEAR(AH86))+MONTH((AK86-1))-MONTH(AH86)-IF(DAY((AK86-1))&lt;MIN(DAY(AH86),DAY(EOMONTH((AK86-1),0))),1,0))))</f>
        <v/>
      </c>
      <c r="AV86" s="19" t="str">
        <f aca="false">IF(AG86=0,"",IF(OR(AI86&lt;3,AL86&gt;AsOfDate),AT86,IF((AL86-1)&lt;AH86,-1,12*(YEAR((AL86-1))-YEAR(AH86))+MONTH((AL86-1))-MONTH(AH86)-IF(DAY((AL86-1))&lt;MIN(DAY(AH86),DAY(EOMONTH((AL86-1),0))),1,0))))</f>
        <v/>
      </c>
      <c r="AW86" s="19" t="str">
        <f aca="false">IF(AG86=0,"",IF(PFYDate&lt;AH86,-1,12*(YEAR(PFYDate)-YEAR(AH86))+MONTH(PFYDate)-MONTH(AH86)-IF(DAY(PFYDate)&lt;MIN(DAY(AH86),DAY(EOMONTH(PFYDate,0))),1,0)))</f>
        <v/>
      </c>
      <c r="AX86" s="19" t="str">
        <f aca="false">IF(AG86=0,"",IF(OR(AI86&lt;2,AK86&gt;PFYDate),AW86,IF((AK86-1)&lt;AH86,-1,12*(YEAR((AK86-1))-YEAR(AH86))+MONTH((AK86-1))-MONTH(AH86)-IF(DAY((AK86-1))&lt;MIN(DAY(AH86),DAY(EOMONTH((AK86-1),0))),1,0))))</f>
        <v/>
      </c>
      <c r="AY86" s="19" t="str">
        <f aca="false">IF(AG86=0,"",IF(OR(AI86&lt;3,AL86&gt;PFYDate),AW86,IF((AL86-1)&lt;AH86,-1,12*(YEAR((AL86-1))-YEAR(AH86))+MONTH((AL86-1))-MONTH(AH86)-IF(DAY((AL86-1))&lt;MIN(DAY(AH86),DAY(EOMONTH((AL86-1),0))),1,0))))</f>
        <v/>
      </c>
      <c r="AZ86" s="19" t="str">
        <f aca="false">IF(AG86=0,"",IF(AP86="FT",IF(AU86&lt;FT_First,0,IF(AU86&lt;FT_Y5,1+INT((AU86-FT_First)/FT_Int1),FT_PreY5+FT_PerYear*INT((AU86-FT_Y5)/12)+FT_AnnivDays+INT(MOD(AU86-FT_Y5,12)/FT_Int2))),IF(AP86="PT",IF(AU86&lt;PT_First,0,1+INT((AU86-PT_First)/PT_Int)),0))+IF(AND(AI86&gt;=2,AK86&lt;=AsOfDate),IF(AQ86="FT",IF(AV86&lt;FT_First,0,IF(AV86&lt;FT_Y5,1+INT((AV86-FT_First)/FT_Int1),FT_PreY5+FT_PerYear*INT((AV86-FT_Y5)/12)+FT_AnnivDays+INT(MOD(AV86-FT_Y5,12)/FT_Int2))),IF(AQ86="PT",IF(AV86&lt;PT_First,0,1+INT((AV86-PT_First)/PT_Int)),0))-IF(AQ86="FT",IF(AU86&lt;FT_First,0,IF(AU86&lt;FT_Y5,1+INT((AU86-FT_First)/FT_Int1),FT_PreY5+FT_PerYear*INT((AU86-FT_Y5)/12)+FT_AnnivDays+INT(MOD(AU86-FT_Y5,12)/FT_Int2))),IF(AQ86="PT",IF(AU86&lt;PT_First,0,1+INT((AU86-PT_First)/PT_Int)),0)),0)+IF(AND(AI86&gt;=3,AL86&lt;=AsOfDate),IF(AR86="FT",IF(AT86&lt;FT_First,0,IF(AT86&lt;FT_Y5,1+INT((AT86-FT_First)/FT_Int1),FT_PreY5+FT_PerYear*INT((AT86-FT_Y5)/12)+FT_AnnivDays+INT(MOD(AT86-FT_Y5,12)/FT_Int2))),IF(AR86="PT",IF(AT86&lt;PT_First,0,1+INT((AT86-PT_First)/PT_Int)),0))-IF(AR86="FT",IF(AV86&lt;FT_First,0,IF(AV86&lt;FT_Y5,1+INT((AV86-FT_First)/FT_Int1),FT_PreY5+FT_PerYear*INT((AV86-FT_Y5)/12)+FT_AnnivDays+INT(MOD(AV86-FT_Y5,12)/FT_Int2))),IF(AR86="PT",IF(AV86&lt;PT_First,0,1+INT((AV86-PT_First)/PT_Int)),0)),0))</f>
        <v/>
      </c>
      <c r="BA86" s="19" t="str">
        <f aca="false">IF(AG86=0,"",IF(AP86="FT",IF(AX86&lt;FT_First,0,IF(AX86&lt;FT_Y5,1+INT((AX86-FT_First)/FT_Int1),FT_PreY5+FT_PerYear*INT((AX86-FT_Y5)/12)+FT_AnnivDays+INT(MOD(AX86-FT_Y5,12)/FT_Int2))),IF(AP86="PT",IF(AX86&lt;PT_First,0,1+INT((AX86-PT_First)/PT_Int)),0))+IF(AND(AI86&gt;=2,AK86&lt;=PFYDate),IF(AQ86="FT",IF(AY86&lt;FT_First,0,IF(AY86&lt;FT_Y5,1+INT((AY86-FT_First)/FT_Int1),FT_PreY5+FT_PerYear*INT((AY86-FT_Y5)/12)+FT_AnnivDays+INT(MOD(AY86-FT_Y5,12)/FT_Int2))),IF(AQ86="PT",IF(AY86&lt;PT_First,0,1+INT((AY86-PT_First)/PT_Int)),0))-IF(AQ86="FT",IF(AX86&lt;FT_First,0,IF(AX86&lt;FT_Y5,1+INT((AX86-FT_First)/FT_Int1),FT_PreY5+FT_PerYear*INT((AX86-FT_Y5)/12)+FT_AnnivDays+INT(MOD(AX86-FT_Y5,12)/FT_Int2))),IF(AQ86="PT",IF(AX86&lt;PT_First,0,1+INT((AX86-PT_First)/PT_Int)),0)),0)+IF(AND(AI86&gt;=3,AL86&lt;=PFYDate),IF(AR86="FT",IF(AW86&lt;FT_First,0,IF(AW86&lt;FT_Y5,1+INT((AW86-FT_First)/FT_Int1),FT_PreY5+FT_PerYear*INT((AW86-FT_Y5)/12)+FT_AnnivDays+INT(MOD(AW86-FT_Y5,12)/FT_Int2))),IF(AR86="PT",IF(AW86&lt;PT_First,0,1+INT((AW86-PT_First)/PT_Int)),0))-IF(AR86="FT",IF(AY86&lt;FT_First,0,IF(AY86&lt;FT_Y5,1+INT((AY86-FT_First)/FT_Int1),FT_PreY5+FT_PerYear*INT((AY86-FT_Y5)/12)+FT_AnnivDays+INT(MOD(AY86-FT_Y5,12)/FT_Int2))),IF(AR86="PT",IF(AY86&lt;PT_First,0,1+INT((AY86-PT_First)/PT_Int)),0)),0))</f>
        <v/>
      </c>
      <c r="BB86" s="19" t="str">
        <f aca="false">IF(AG86=0,"",IF(AS86="FT",IF(AT86&lt;FT_First,FT_First,IF(AT86&lt;FT_Y5,MIN(FT_Y5,FT_First+FT_Int1*(INT((AT86-FT_First)/FT_Int1)+1)),FT_Y5+12*INT((AT86-FT_Y5)/12)+FT_Int2*(INT(MOD(AT86-FT_Y5,12)/FT_Int2)+1))),IF(AS86="PT",IF(AT86&lt;PT_First,PT_First,PT_First+PT_Int*(INT((AT86-PT_First)/PT_Int)+1)),"")))</f>
        <v/>
      </c>
      <c r="BC86" s="19" t="str">
        <f aca="false">IF(AG86=0,"",IF(NOT(LH_Ready),0,COUNTIFS(INDEX(LH_Data,0,LH_ColFirst),$A86,INDEX(LH_Data,0,LH_ColSur),$B86,INDEX(LH_Data,0,LH_ColCat),BonusCat)))</f>
        <v/>
      </c>
      <c r="BD86" s="19" t="str">
        <f aca="false">IF(AG86=0,"",IF(OR(NOT(LH_Ready),BC86=0),0,SUMPRODUCT(MAX((INDEX(LH_Data,0,LH_ColFirst)=$A86)*(INDEX(LH_Data,0,LH_ColSur)=$B86)*(INDEX(LH_Data,0,LH_ColCat)=BonusCat)*ROW(LH_Data)))))</f>
        <v/>
      </c>
      <c r="BE86" s="19" t="str">
        <f aca="false">IF(AG86=0,"",IF(EOMONTH(AsOfDate,-1)&lt;AH86,-1,12*(YEAR(EOMONTH(AsOfDate,-1))-YEAR(AH86))+MONTH(EOMONTH(AsOfDate,-1))-MONTH(AH86)-IF(DAY(EOMONTH(AsOfDate,-1))&lt;MIN(DAY(AH86),DAY(EOMONTH(EOMONTH(AsOfDate,-1),0))),1,0)))</f>
        <v/>
      </c>
      <c r="BF86" s="19" t="str">
        <f aca="false">IF(AG86=0,"",IF(OR(AI86&lt;2,AK86&gt;EOMONTH(AsOfDate,-1)),BE86,IF((AK86-1)&lt;AH86,-1,12*(YEAR((AK86-1))-YEAR(AH86))+MONTH((AK86-1))-MONTH(AH86)-IF(DAY((AK86-1))&lt;MIN(DAY(AH86),DAY(EOMONTH((AK86-1),0))),1,0))))</f>
        <v/>
      </c>
      <c r="BG86" s="19" t="str">
        <f aca="false">IF(AG86=0,"",IF(OR(AI86&lt;3,AL86&gt;EOMONTH(AsOfDate,-1)),BE86,IF((AL86-1)&lt;AH86,-1,12*(YEAR((AL86-1))-YEAR(AH86))+MONTH((AL86-1))-MONTH(AH86)-IF(DAY((AL86-1))&lt;MIN(DAY(AH86),DAY(EOMONTH((AL86-1),0))),1,0))))</f>
        <v/>
      </c>
      <c r="BH86" s="19" t="str">
        <f aca="false">IF(AG86=0,"",IF(AP86="FT",IF(BF86&lt;FT_First,0,IF(BF86&lt;FT_Y5,1+INT((BF86-FT_First)/FT_Int1),FT_PreY5+FT_PerYear*INT((BF86-FT_Y5)/12)+FT_AnnivDays+INT(MOD(BF86-FT_Y5,12)/FT_Int2))),IF(AP86="PT",IF(BF86&lt;PT_First,0,1+INT((BF86-PT_First)/PT_Int)),0))+IF(AND(AI86&gt;=2,AK86&lt;=EOMONTH(AsOfDate,-1)),IF(AQ86="FT",IF(BG86&lt;FT_First,0,IF(BG86&lt;FT_Y5,1+INT((BG86-FT_First)/FT_Int1),FT_PreY5+FT_PerYear*INT((BG86-FT_Y5)/12)+FT_AnnivDays+INT(MOD(BG86-FT_Y5,12)/FT_Int2))),IF(AQ86="PT",IF(BG86&lt;PT_First,0,1+INT((BG86-PT_First)/PT_Int)),0))-IF(AQ86="FT",IF(BF86&lt;FT_First,0,IF(BF86&lt;FT_Y5,1+INT((BF86-FT_First)/FT_Int1),FT_PreY5+FT_PerYear*INT((BF86-FT_Y5)/12)+FT_AnnivDays+INT(MOD(BF86-FT_Y5,12)/FT_Int2))),IF(AQ86="PT",IF(BF86&lt;PT_First,0,1+INT((BF86-PT_First)/PT_Int)),0)),0)+IF(AND(AI86&gt;=3,AL86&lt;=EOMONTH(AsOfDate,-1)),IF(AR86="FT",IF(BE86&lt;FT_First,0,IF(BE86&lt;FT_Y5,1+INT((BE86-FT_First)/FT_Int1),FT_PreY5+FT_PerYear*INT((BE86-FT_Y5)/12)+FT_AnnivDays+INT(MOD(BE86-FT_Y5,12)/FT_Int2))),IF(AR86="PT",IF(BE86&lt;PT_First,0,1+INT((BE86-PT_First)/PT_Int)),0))-IF(AR86="FT",IF(BG86&lt;FT_First,0,IF(BG86&lt;FT_Y5,1+INT((BG86-FT_First)/FT_Int1),FT_PreY5+FT_PerYear*INT((BG86-FT_Y5)/12)+FT_AnnivDays+INT(MOD(BG86-FT_Y5,12)/FT_Int2))),IF(AR86="PT",IF(BG86&lt;PT_First,0,1+INT((BG86-PT_First)/PT_Int)),0)),0))</f>
        <v/>
      </c>
      <c r="BI86" s="19" t="str">
        <f aca="false">IF(AG86=0,"",IF(AS86="FT",IF(AT86&lt;FT_First,"",IF(AT86&lt;FT_Y5,FT_First+FT_Int1*INT((AT86-FT_First)/FT_Int1),FT_Y5+FT_Int2*INT((AT86-FT_Y5)/FT_Int2))),IF(AS86="PT",IF(AT86&lt;PT_First,"",PT_First+PT_Int*INT((AT86-PT_First)/PT_Int)),"")))</f>
        <v/>
      </c>
      <c r="BJ86" s="0" t="str">
        <f aca="false">IF(LEN($A86&amp;$B86)=0,"",$A86&amp;" "&amp;$B86)</f>
        <v/>
      </c>
    </row>
    <row r="87" customFormat="false" ht="15" hidden="false" customHeight="false" outlineLevel="0" collapsed="false">
      <c r="A87" s="15"/>
      <c r="B87" s="15"/>
      <c r="C87" s="15"/>
      <c r="D87" s="16"/>
      <c r="E87" s="17" t="str">
        <f aca="false">IF(OR(AG87=0,$D87=""),"",DATE(YEAR(AsOfDate)+IF(DATE(YEAR(AsOfDate),MONTH($D87),DAY($D87))&lt;=AsOfDate,1,0),MONTH($D87),DAY($D87)))</f>
        <v/>
      </c>
      <c r="F87" s="16"/>
      <c r="G87" s="16"/>
      <c r="H87" s="16"/>
      <c r="I87" s="16"/>
      <c r="J87" s="16"/>
      <c r="K87" s="17" t="str">
        <f aca="false">IF(AG87=0,"",DATE(YEAR(AsOfDate)+IF(DATE(YEAR(AsOfDate),MONTH(AH87),DAY(AH87))&lt;=AsOfDate,1,0),MONTH(AH87),DAY(AH87)))</f>
        <v/>
      </c>
      <c r="L87" s="18" t="str">
        <f aca="false">IF(AG87=0,"",ROUND((AsOfDate-AH87)/365.25,1))</f>
        <v/>
      </c>
      <c r="M87" s="19" t="str">
        <f aca="false">IF(AG87=0,"",IF(AsOfDate&lt;AH87,"-",DATEDIF(AH87,AsOfDate,"y")&amp;"y "&amp;DATEDIF(AH87,AsOfDate,"ym")&amp;"m "&amp;DATEDIF(AH87,AsOfDate,"md")&amp;"d"))</f>
        <v/>
      </c>
      <c r="N87" s="20" t="str">
        <f aca="false">IF(AG87=0,"",O87*HoursPerDay)</f>
        <v/>
      </c>
      <c r="O87" s="20" t="str">
        <f aca="false">IF(AG87=0,"",AZ87)</f>
        <v/>
      </c>
      <c r="P87" s="21"/>
      <c r="Q87" s="19"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19"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7" t="str">
        <f aca="false">IF(AG87=0,"",IF(AS87="None","",EDATE(AH87,BB87)))</f>
        <v/>
      </c>
      <c r="T87" s="20" t="str">
        <f aca="false">IF(AG87=0,"",IF(NOT(LH_Ready),"",IF(AH87&gt;PFYDate,0,IF(LH_ColPeriod=0,W87-U87+V87,SUMIFS(INDEX(LH_Data,0,LH_ColAcc),INDEX(LH_Data,0,LH_ColFirst),$A87,INDEX(LH_Data,0,LH_ColSur),$B87,INDEX(LH_Data,0,LH_ColCat),BonusCat,INDEX(LH_Data,0,LH_ColPeriod),LH_OpenLabel)*UnitFactor))))</f>
        <v/>
      </c>
      <c r="U87" s="20" t="str">
        <f aca="false">IF(AG87=0,"",IF(NOT(LH_Ready),"",SUMIFS(INDEX(LH_Data,0,LH_ColAcc),INDEX(LH_Data,0,LH_ColFirst),$A87,INDEX(LH_Data,0,LH_ColSur),$B87,INDEX(LH_Data,0,LH_ColCat),BonusCat,INDEX(LH_Data,0,LH_ColStart),"&gt;="&amp;AH87)*UnitFactor))</f>
        <v/>
      </c>
      <c r="V87" s="20" t="str">
        <f aca="false">IF(AG87=0,"",IF(NOT(LH_Ready),"",SUMIFS(INDEX(LH_Data,0,LH_ColTaken),INDEX(LH_Data,0,LH_ColFirst),$A87,INDEX(LH_Data,0,LH_ColSur),$B87,INDEX(LH_Data,0,LH_ColCat),BonusCat,INDEX(LH_Data,0,LH_ColStart),"&gt;="&amp;AH87)*UnitFactor))</f>
        <v/>
      </c>
      <c r="W87" s="20" t="str">
        <f aca="false">IF(AG87=0,"",IF(NOT(LH_Ready),"",IF(BD87=0,0,INDEX(INDEX(LH_Data,0,LH_ColClose),BD87-1)*UnitFactor)))</f>
        <v/>
      </c>
      <c r="X87" s="20" t="str">
        <f aca="false">IF(AG87=0,"",(AZ87-BA87)*HoursPerDay)</f>
        <v/>
      </c>
      <c r="Y87" s="20" t="str">
        <f aca="false">IF(AG87=0,"",IF(NOT(LH_Ready),"",IF(BC87=0,N87,IF(PFYDate&lt;$F87,N87-N(T87)-N(U87),X87-N(U87)))))</f>
        <v/>
      </c>
      <c r="Z87" s="19" t="str">
        <f aca="false">IF(OR(AG87=0,Y87=""),"",IF(Y87&gt;0,"Yes","No"))</f>
        <v/>
      </c>
      <c r="AA87" s="19"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20" t="str">
        <f aca="false">IF(OR(AG87=0,T87=""),"",BA87*HoursPerDay-T87)</f>
        <v/>
      </c>
      <c r="AC87" s="19" t="str">
        <f aca="false">IF(AG87=0,"",BC87)</f>
        <v/>
      </c>
      <c r="AD87" s="19"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20" t="str">
        <f aca="false">IF(AG87=0,"",O87-BH87)</f>
        <v/>
      </c>
      <c r="AF87" s="17" t="str">
        <f aca="false">IF(OR(AG87=0,AE87="",N(AE87)=0,BI87=""),"",EDATE(AH87,BI87))</f>
        <v/>
      </c>
      <c r="AG87" s="19" t="n">
        <f aca="false">IF(OR(LEN($A87&amp;$B87)=0,$F87=""),0,1)</f>
        <v>0</v>
      </c>
      <c r="AH87" s="17" t="str">
        <f aca="false">IF(AG87=0,"",IF($J87&lt;&gt;"",$J87,IF(OR(CasualCounts="Yes",COUNT($G87:$I87)=0,COUNT($H87:$I87)=0),$F87,MIN($H87:$I87))))</f>
        <v/>
      </c>
      <c r="AI87" s="19" t="str">
        <f aca="false">IF(AG87=0,"",COUNT($G87:$I87))</f>
        <v/>
      </c>
      <c r="AJ87" s="17" t="str">
        <f aca="false">IF(AG87=0,"",IFERROR(SMALL($G87:$I87,1),""))</f>
        <v/>
      </c>
      <c r="AK87" s="17" t="str">
        <f aca="false">IF(AG87=0,"",IFERROR(SMALL($G87:$I87,2),""))</f>
        <v/>
      </c>
      <c r="AL87" s="17" t="str">
        <f aca="false">IF(AG87=0,"",IFERROR(SMALL($G87:$I87,3),""))</f>
        <v/>
      </c>
      <c r="AM87" s="19" t="str">
        <f aca="false">IF(AG87=0,"",IF(AJ87="","",IF(AJ87=$H87,"Part-Time",IF(AJ87=$I87,"Full-Time","Casual"))))</f>
        <v/>
      </c>
      <c r="AN87" s="19" t="str">
        <f aca="false">IF(AG87=0,"",IF(AK87="","",IF(AK87=$H87,"Part-Time",IF(AK87=$I87,"Full-Time","Casual"))))</f>
        <v/>
      </c>
      <c r="AO87" s="19" t="str">
        <f aca="false">IF(AG87=0,"",IF(AL87="","",IF(AL87=$H87,"Part-Time",IF(AL87=$I87,"Full-Time","Casual"))))</f>
        <v/>
      </c>
      <c r="AP87" s="19"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19" t="str">
        <f aca="false">IF(AG87=0,"",IF(AI87&lt;2,"",IF(OR(ISNUMBER(SEARCH("full",AN87)),UPPER(TRIM(AN87))="FT",UPPER(TRIM(AN87))="FTE"),"FT",IF(AND(OR(ISNUMBER(SEARCH("part",AN87)),UPPER(TRIM(AN87))="PT",UPPER(TRIM(AN87))="PTE"),OR($P87="",N($P87)&gt;=PT_MinHours)),"PT","None"))))</f>
        <v/>
      </c>
      <c r="AR87" s="19" t="str">
        <f aca="false">IF(AG87=0,"",IF(AI87&lt;3,"",IF(OR(ISNUMBER(SEARCH("full",AO87)),UPPER(TRIM(AO87))="FT",UPPER(TRIM(AO87))="FTE"),"FT",IF(AND(OR(ISNUMBER(SEARCH("part",AO87)),UPPER(TRIM(AO87))="PT",UPPER(TRIM(AO87))="PTE"),OR($P87="",N($P87)&gt;=PT_MinHours)),"PT","None"))))</f>
        <v/>
      </c>
      <c r="AS87" s="19" t="str">
        <f aca="false">IF(AG87=0,"",IF(AND(AI87&gt;=3,AL87&lt;=AsOfDate),AR87,IF(AND(AI87&gt;=2,AK87&lt;=AsOfDate),AQ87,AP87)))</f>
        <v/>
      </c>
      <c r="AT87" s="19" t="str">
        <f aca="false">IF(AG87=0,"",IF(AsOfDate&lt;AH87,-1,12*(YEAR(AsOfDate)-YEAR(AH87))+MONTH(AsOfDate)-MONTH(AH87)-IF(DAY(AsOfDate)&lt;MIN(DAY(AH87),DAY(EOMONTH(AsOfDate,0))),1,0)))</f>
        <v/>
      </c>
      <c r="AU87" s="19" t="str">
        <f aca="false">IF(AG87=0,"",IF(OR(AI87&lt;2,AK87&gt;AsOfDate),AT87,IF((AK87-1)&lt;AH87,-1,12*(YEAR((AK87-1))-YEAR(AH87))+MONTH((AK87-1))-MONTH(AH87)-IF(DAY((AK87-1))&lt;MIN(DAY(AH87),DAY(EOMONTH((AK87-1),0))),1,0))))</f>
        <v/>
      </c>
      <c r="AV87" s="19" t="str">
        <f aca="false">IF(AG87=0,"",IF(OR(AI87&lt;3,AL87&gt;AsOfDate),AT87,IF((AL87-1)&lt;AH87,-1,12*(YEAR((AL87-1))-YEAR(AH87))+MONTH((AL87-1))-MONTH(AH87)-IF(DAY((AL87-1))&lt;MIN(DAY(AH87),DAY(EOMONTH((AL87-1),0))),1,0))))</f>
        <v/>
      </c>
      <c r="AW87" s="19" t="str">
        <f aca="false">IF(AG87=0,"",IF(PFYDate&lt;AH87,-1,12*(YEAR(PFYDate)-YEAR(AH87))+MONTH(PFYDate)-MONTH(AH87)-IF(DAY(PFYDate)&lt;MIN(DAY(AH87),DAY(EOMONTH(PFYDate,0))),1,0)))</f>
        <v/>
      </c>
      <c r="AX87" s="19" t="str">
        <f aca="false">IF(AG87=0,"",IF(OR(AI87&lt;2,AK87&gt;PFYDate),AW87,IF((AK87-1)&lt;AH87,-1,12*(YEAR((AK87-1))-YEAR(AH87))+MONTH((AK87-1))-MONTH(AH87)-IF(DAY((AK87-1))&lt;MIN(DAY(AH87),DAY(EOMONTH((AK87-1),0))),1,0))))</f>
        <v/>
      </c>
      <c r="AY87" s="19" t="str">
        <f aca="false">IF(AG87=0,"",IF(OR(AI87&lt;3,AL87&gt;PFYDate),AW87,IF((AL87-1)&lt;AH87,-1,12*(YEAR((AL87-1))-YEAR(AH87))+MONTH((AL87-1))-MONTH(AH87)-IF(DAY((AL87-1))&lt;MIN(DAY(AH87),DAY(EOMONTH((AL87-1),0))),1,0))))</f>
        <v/>
      </c>
      <c r="AZ87" s="19" t="str">
        <f aca="false">IF(AG87=0,"",IF(AP87="FT",IF(AU87&lt;FT_First,0,IF(AU87&lt;FT_Y5,1+INT((AU87-FT_First)/FT_Int1),FT_PreY5+FT_PerYear*INT((AU87-FT_Y5)/12)+FT_AnnivDays+INT(MOD(AU87-FT_Y5,12)/FT_Int2))),IF(AP87="PT",IF(AU87&lt;PT_First,0,1+INT((AU87-PT_First)/PT_Int)),0))+IF(AND(AI87&gt;=2,AK87&lt;=AsOfDate),IF(AQ87="FT",IF(AV87&lt;FT_First,0,IF(AV87&lt;FT_Y5,1+INT((AV87-FT_First)/FT_Int1),FT_PreY5+FT_PerYear*INT((AV87-FT_Y5)/12)+FT_AnnivDays+INT(MOD(AV87-FT_Y5,12)/FT_Int2))),IF(AQ87="PT",IF(AV87&lt;PT_First,0,1+INT((AV87-PT_First)/PT_Int)),0))-IF(AQ87="FT",IF(AU87&lt;FT_First,0,IF(AU87&lt;FT_Y5,1+INT((AU87-FT_First)/FT_Int1),FT_PreY5+FT_PerYear*INT((AU87-FT_Y5)/12)+FT_AnnivDays+INT(MOD(AU87-FT_Y5,12)/FT_Int2))),IF(AQ87="PT",IF(AU87&lt;PT_First,0,1+INT((AU87-PT_First)/PT_Int)),0)),0)+IF(AND(AI87&gt;=3,AL87&lt;=AsOfDate),IF(AR87="FT",IF(AT87&lt;FT_First,0,IF(AT87&lt;FT_Y5,1+INT((AT87-FT_First)/FT_Int1),FT_PreY5+FT_PerYear*INT((AT87-FT_Y5)/12)+FT_AnnivDays+INT(MOD(AT87-FT_Y5,12)/FT_Int2))),IF(AR87="PT",IF(AT87&lt;PT_First,0,1+INT((AT87-PT_First)/PT_Int)),0))-IF(AR87="FT",IF(AV87&lt;FT_First,0,IF(AV87&lt;FT_Y5,1+INT((AV87-FT_First)/FT_Int1),FT_PreY5+FT_PerYear*INT((AV87-FT_Y5)/12)+FT_AnnivDays+INT(MOD(AV87-FT_Y5,12)/FT_Int2))),IF(AR87="PT",IF(AV87&lt;PT_First,0,1+INT((AV87-PT_First)/PT_Int)),0)),0))</f>
        <v/>
      </c>
      <c r="BA87" s="19" t="str">
        <f aca="false">IF(AG87=0,"",IF(AP87="FT",IF(AX87&lt;FT_First,0,IF(AX87&lt;FT_Y5,1+INT((AX87-FT_First)/FT_Int1),FT_PreY5+FT_PerYear*INT((AX87-FT_Y5)/12)+FT_AnnivDays+INT(MOD(AX87-FT_Y5,12)/FT_Int2))),IF(AP87="PT",IF(AX87&lt;PT_First,0,1+INT((AX87-PT_First)/PT_Int)),0))+IF(AND(AI87&gt;=2,AK87&lt;=PFYDate),IF(AQ87="FT",IF(AY87&lt;FT_First,0,IF(AY87&lt;FT_Y5,1+INT((AY87-FT_First)/FT_Int1),FT_PreY5+FT_PerYear*INT((AY87-FT_Y5)/12)+FT_AnnivDays+INT(MOD(AY87-FT_Y5,12)/FT_Int2))),IF(AQ87="PT",IF(AY87&lt;PT_First,0,1+INT((AY87-PT_First)/PT_Int)),0))-IF(AQ87="FT",IF(AX87&lt;FT_First,0,IF(AX87&lt;FT_Y5,1+INT((AX87-FT_First)/FT_Int1),FT_PreY5+FT_PerYear*INT((AX87-FT_Y5)/12)+FT_AnnivDays+INT(MOD(AX87-FT_Y5,12)/FT_Int2))),IF(AQ87="PT",IF(AX87&lt;PT_First,0,1+INT((AX87-PT_First)/PT_Int)),0)),0)+IF(AND(AI87&gt;=3,AL87&lt;=PFYDate),IF(AR87="FT",IF(AW87&lt;FT_First,0,IF(AW87&lt;FT_Y5,1+INT((AW87-FT_First)/FT_Int1),FT_PreY5+FT_PerYear*INT((AW87-FT_Y5)/12)+FT_AnnivDays+INT(MOD(AW87-FT_Y5,12)/FT_Int2))),IF(AR87="PT",IF(AW87&lt;PT_First,0,1+INT((AW87-PT_First)/PT_Int)),0))-IF(AR87="FT",IF(AY87&lt;FT_First,0,IF(AY87&lt;FT_Y5,1+INT((AY87-FT_First)/FT_Int1),FT_PreY5+FT_PerYear*INT((AY87-FT_Y5)/12)+FT_AnnivDays+INT(MOD(AY87-FT_Y5,12)/FT_Int2))),IF(AR87="PT",IF(AY87&lt;PT_First,0,1+INT((AY87-PT_First)/PT_Int)),0)),0))</f>
        <v/>
      </c>
      <c r="BB87" s="19" t="str">
        <f aca="false">IF(AG87=0,"",IF(AS87="FT",IF(AT87&lt;FT_First,FT_First,IF(AT87&lt;FT_Y5,MIN(FT_Y5,FT_First+FT_Int1*(INT((AT87-FT_First)/FT_Int1)+1)),FT_Y5+12*INT((AT87-FT_Y5)/12)+FT_Int2*(INT(MOD(AT87-FT_Y5,12)/FT_Int2)+1))),IF(AS87="PT",IF(AT87&lt;PT_First,PT_First,PT_First+PT_Int*(INT((AT87-PT_First)/PT_Int)+1)),"")))</f>
        <v/>
      </c>
      <c r="BC87" s="19" t="str">
        <f aca="false">IF(AG87=0,"",IF(NOT(LH_Ready),0,COUNTIFS(INDEX(LH_Data,0,LH_ColFirst),$A87,INDEX(LH_Data,0,LH_ColSur),$B87,INDEX(LH_Data,0,LH_ColCat),BonusCat)))</f>
        <v/>
      </c>
      <c r="BD87" s="19" t="str">
        <f aca="false">IF(AG87=0,"",IF(OR(NOT(LH_Ready),BC87=0),0,SUMPRODUCT(MAX((INDEX(LH_Data,0,LH_ColFirst)=$A87)*(INDEX(LH_Data,0,LH_ColSur)=$B87)*(INDEX(LH_Data,0,LH_ColCat)=BonusCat)*ROW(LH_Data)))))</f>
        <v/>
      </c>
      <c r="BE87" s="19" t="str">
        <f aca="false">IF(AG87=0,"",IF(EOMONTH(AsOfDate,-1)&lt;AH87,-1,12*(YEAR(EOMONTH(AsOfDate,-1))-YEAR(AH87))+MONTH(EOMONTH(AsOfDate,-1))-MONTH(AH87)-IF(DAY(EOMONTH(AsOfDate,-1))&lt;MIN(DAY(AH87),DAY(EOMONTH(EOMONTH(AsOfDate,-1),0))),1,0)))</f>
        <v/>
      </c>
      <c r="BF87" s="19" t="str">
        <f aca="false">IF(AG87=0,"",IF(OR(AI87&lt;2,AK87&gt;EOMONTH(AsOfDate,-1)),BE87,IF((AK87-1)&lt;AH87,-1,12*(YEAR((AK87-1))-YEAR(AH87))+MONTH((AK87-1))-MONTH(AH87)-IF(DAY((AK87-1))&lt;MIN(DAY(AH87),DAY(EOMONTH((AK87-1),0))),1,0))))</f>
        <v/>
      </c>
      <c r="BG87" s="19" t="str">
        <f aca="false">IF(AG87=0,"",IF(OR(AI87&lt;3,AL87&gt;EOMONTH(AsOfDate,-1)),BE87,IF((AL87-1)&lt;AH87,-1,12*(YEAR((AL87-1))-YEAR(AH87))+MONTH((AL87-1))-MONTH(AH87)-IF(DAY((AL87-1))&lt;MIN(DAY(AH87),DAY(EOMONTH((AL87-1),0))),1,0))))</f>
        <v/>
      </c>
      <c r="BH87" s="19" t="str">
        <f aca="false">IF(AG87=0,"",IF(AP87="FT",IF(BF87&lt;FT_First,0,IF(BF87&lt;FT_Y5,1+INT((BF87-FT_First)/FT_Int1),FT_PreY5+FT_PerYear*INT((BF87-FT_Y5)/12)+FT_AnnivDays+INT(MOD(BF87-FT_Y5,12)/FT_Int2))),IF(AP87="PT",IF(BF87&lt;PT_First,0,1+INT((BF87-PT_First)/PT_Int)),0))+IF(AND(AI87&gt;=2,AK87&lt;=EOMONTH(AsOfDate,-1)),IF(AQ87="FT",IF(BG87&lt;FT_First,0,IF(BG87&lt;FT_Y5,1+INT((BG87-FT_First)/FT_Int1),FT_PreY5+FT_PerYear*INT((BG87-FT_Y5)/12)+FT_AnnivDays+INT(MOD(BG87-FT_Y5,12)/FT_Int2))),IF(AQ87="PT",IF(BG87&lt;PT_First,0,1+INT((BG87-PT_First)/PT_Int)),0))-IF(AQ87="FT",IF(BF87&lt;FT_First,0,IF(BF87&lt;FT_Y5,1+INT((BF87-FT_First)/FT_Int1),FT_PreY5+FT_PerYear*INT((BF87-FT_Y5)/12)+FT_AnnivDays+INT(MOD(BF87-FT_Y5,12)/FT_Int2))),IF(AQ87="PT",IF(BF87&lt;PT_First,0,1+INT((BF87-PT_First)/PT_Int)),0)),0)+IF(AND(AI87&gt;=3,AL87&lt;=EOMONTH(AsOfDate,-1)),IF(AR87="FT",IF(BE87&lt;FT_First,0,IF(BE87&lt;FT_Y5,1+INT((BE87-FT_First)/FT_Int1),FT_PreY5+FT_PerYear*INT((BE87-FT_Y5)/12)+FT_AnnivDays+INT(MOD(BE87-FT_Y5,12)/FT_Int2))),IF(AR87="PT",IF(BE87&lt;PT_First,0,1+INT((BE87-PT_First)/PT_Int)),0))-IF(AR87="FT",IF(BG87&lt;FT_First,0,IF(BG87&lt;FT_Y5,1+INT((BG87-FT_First)/FT_Int1),FT_PreY5+FT_PerYear*INT((BG87-FT_Y5)/12)+FT_AnnivDays+INT(MOD(BG87-FT_Y5,12)/FT_Int2))),IF(AR87="PT",IF(BG87&lt;PT_First,0,1+INT((BG87-PT_First)/PT_Int)),0)),0))</f>
        <v/>
      </c>
      <c r="BI87" s="19" t="str">
        <f aca="false">IF(AG87=0,"",IF(AS87="FT",IF(AT87&lt;FT_First,"",IF(AT87&lt;FT_Y5,FT_First+FT_Int1*INT((AT87-FT_First)/FT_Int1),FT_Y5+FT_Int2*INT((AT87-FT_Y5)/FT_Int2))),IF(AS87="PT",IF(AT87&lt;PT_First,"",PT_First+PT_Int*INT((AT87-PT_First)/PT_Int)),"")))</f>
        <v/>
      </c>
      <c r="BJ87" s="0" t="str">
        <f aca="false">IF(LEN($A87&amp;$B87)=0,"",$A87&amp;" "&amp;$B87)</f>
        <v/>
      </c>
    </row>
    <row r="88" customFormat="false" ht="15" hidden="false" customHeight="false" outlineLevel="0" collapsed="false">
      <c r="A88" s="15"/>
      <c r="B88" s="15"/>
      <c r="C88" s="15"/>
      <c r="D88" s="16"/>
      <c r="E88" s="17" t="str">
        <f aca="false">IF(OR(AG88=0,$D88=""),"",DATE(YEAR(AsOfDate)+IF(DATE(YEAR(AsOfDate),MONTH($D88),DAY($D88))&lt;=AsOfDate,1,0),MONTH($D88),DAY($D88)))</f>
        <v/>
      </c>
      <c r="F88" s="16"/>
      <c r="G88" s="16"/>
      <c r="H88" s="16"/>
      <c r="I88" s="16"/>
      <c r="J88" s="16"/>
      <c r="K88" s="17" t="str">
        <f aca="false">IF(AG88=0,"",DATE(YEAR(AsOfDate)+IF(DATE(YEAR(AsOfDate),MONTH(AH88),DAY(AH88))&lt;=AsOfDate,1,0),MONTH(AH88),DAY(AH88)))</f>
        <v/>
      </c>
      <c r="L88" s="18" t="str">
        <f aca="false">IF(AG88=0,"",ROUND((AsOfDate-AH88)/365.25,1))</f>
        <v/>
      </c>
      <c r="M88" s="19" t="str">
        <f aca="false">IF(AG88=0,"",IF(AsOfDate&lt;AH88,"-",DATEDIF(AH88,AsOfDate,"y")&amp;"y "&amp;DATEDIF(AH88,AsOfDate,"ym")&amp;"m "&amp;DATEDIF(AH88,AsOfDate,"md")&amp;"d"))</f>
        <v/>
      </c>
      <c r="N88" s="20" t="str">
        <f aca="false">IF(AG88=0,"",O88*HoursPerDay)</f>
        <v/>
      </c>
      <c r="O88" s="20" t="str">
        <f aca="false">IF(AG88=0,"",AZ88)</f>
        <v/>
      </c>
      <c r="P88" s="21"/>
      <c r="Q88" s="19"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19"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7" t="str">
        <f aca="false">IF(AG88=0,"",IF(AS88="None","",EDATE(AH88,BB88)))</f>
        <v/>
      </c>
      <c r="T88" s="20" t="str">
        <f aca="false">IF(AG88=0,"",IF(NOT(LH_Ready),"",IF(AH88&gt;PFYDate,0,IF(LH_ColPeriod=0,W88-U88+V88,SUMIFS(INDEX(LH_Data,0,LH_ColAcc),INDEX(LH_Data,0,LH_ColFirst),$A88,INDEX(LH_Data,0,LH_ColSur),$B88,INDEX(LH_Data,0,LH_ColCat),BonusCat,INDEX(LH_Data,0,LH_ColPeriod),LH_OpenLabel)*UnitFactor))))</f>
        <v/>
      </c>
      <c r="U88" s="20" t="str">
        <f aca="false">IF(AG88=0,"",IF(NOT(LH_Ready),"",SUMIFS(INDEX(LH_Data,0,LH_ColAcc),INDEX(LH_Data,0,LH_ColFirst),$A88,INDEX(LH_Data,0,LH_ColSur),$B88,INDEX(LH_Data,0,LH_ColCat),BonusCat,INDEX(LH_Data,0,LH_ColStart),"&gt;="&amp;AH88)*UnitFactor))</f>
        <v/>
      </c>
      <c r="V88" s="20" t="str">
        <f aca="false">IF(AG88=0,"",IF(NOT(LH_Ready),"",SUMIFS(INDEX(LH_Data,0,LH_ColTaken),INDEX(LH_Data,0,LH_ColFirst),$A88,INDEX(LH_Data,0,LH_ColSur),$B88,INDEX(LH_Data,0,LH_ColCat),BonusCat,INDEX(LH_Data,0,LH_ColStart),"&gt;="&amp;AH88)*UnitFactor))</f>
        <v/>
      </c>
      <c r="W88" s="20" t="str">
        <f aca="false">IF(AG88=0,"",IF(NOT(LH_Ready),"",IF(BD88=0,0,INDEX(INDEX(LH_Data,0,LH_ColClose),BD88-1)*UnitFactor)))</f>
        <v/>
      </c>
      <c r="X88" s="20" t="str">
        <f aca="false">IF(AG88=0,"",(AZ88-BA88)*HoursPerDay)</f>
        <v/>
      </c>
      <c r="Y88" s="20" t="str">
        <f aca="false">IF(AG88=0,"",IF(NOT(LH_Ready),"",IF(BC88=0,N88,IF(PFYDate&lt;$F88,N88-N(T88)-N(U88),X88-N(U88)))))</f>
        <v/>
      </c>
      <c r="Z88" s="19" t="str">
        <f aca="false">IF(OR(AG88=0,Y88=""),"",IF(Y88&gt;0,"Yes","No"))</f>
        <v/>
      </c>
      <c r="AA88" s="19"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20" t="str">
        <f aca="false">IF(OR(AG88=0,T88=""),"",BA88*HoursPerDay-T88)</f>
        <v/>
      </c>
      <c r="AC88" s="19" t="str">
        <f aca="false">IF(AG88=0,"",BC88)</f>
        <v/>
      </c>
      <c r="AD88" s="19"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20" t="str">
        <f aca="false">IF(AG88=0,"",O88-BH88)</f>
        <v/>
      </c>
      <c r="AF88" s="17" t="str">
        <f aca="false">IF(OR(AG88=0,AE88="",N(AE88)=0,BI88=""),"",EDATE(AH88,BI88))</f>
        <v/>
      </c>
      <c r="AG88" s="19" t="n">
        <f aca="false">IF(OR(LEN($A88&amp;$B88)=0,$F88=""),0,1)</f>
        <v>0</v>
      </c>
      <c r="AH88" s="17" t="str">
        <f aca="false">IF(AG88=0,"",IF($J88&lt;&gt;"",$J88,IF(OR(CasualCounts="Yes",COUNT($G88:$I88)=0,COUNT($H88:$I88)=0),$F88,MIN($H88:$I88))))</f>
        <v/>
      </c>
      <c r="AI88" s="19" t="str">
        <f aca="false">IF(AG88=0,"",COUNT($G88:$I88))</f>
        <v/>
      </c>
      <c r="AJ88" s="17" t="str">
        <f aca="false">IF(AG88=0,"",IFERROR(SMALL($G88:$I88,1),""))</f>
        <v/>
      </c>
      <c r="AK88" s="17" t="str">
        <f aca="false">IF(AG88=0,"",IFERROR(SMALL($G88:$I88,2),""))</f>
        <v/>
      </c>
      <c r="AL88" s="17" t="str">
        <f aca="false">IF(AG88=0,"",IFERROR(SMALL($G88:$I88,3),""))</f>
        <v/>
      </c>
      <c r="AM88" s="19" t="str">
        <f aca="false">IF(AG88=0,"",IF(AJ88="","",IF(AJ88=$H88,"Part-Time",IF(AJ88=$I88,"Full-Time","Casual"))))</f>
        <v/>
      </c>
      <c r="AN88" s="19" t="str">
        <f aca="false">IF(AG88=0,"",IF(AK88="","",IF(AK88=$H88,"Part-Time",IF(AK88=$I88,"Full-Time","Casual"))))</f>
        <v/>
      </c>
      <c r="AO88" s="19" t="str">
        <f aca="false">IF(AG88=0,"",IF(AL88="","",IF(AL88=$H88,"Part-Time",IF(AL88=$I88,"Full-Time","Casual"))))</f>
        <v/>
      </c>
      <c r="AP88" s="19"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19" t="str">
        <f aca="false">IF(AG88=0,"",IF(AI88&lt;2,"",IF(OR(ISNUMBER(SEARCH("full",AN88)),UPPER(TRIM(AN88))="FT",UPPER(TRIM(AN88))="FTE"),"FT",IF(AND(OR(ISNUMBER(SEARCH("part",AN88)),UPPER(TRIM(AN88))="PT",UPPER(TRIM(AN88))="PTE"),OR($P88="",N($P88)&gt;=PT_MinHours)),"PT","None"))))</f>
        <v/>
      </c>
      <c r="AR88" s="19" t="str">
        <f aca="false">IF(AG88=0,"",IF(AI88&lt;3,"",IF(OR(ISNUMBER(SEARCH("full",AO88)),UPPER(TRIM(AO88))="FT",UPPER(TRIM(AO88))="FTE"),"FT",IF(AND(OR(ISNUMBER(SEARCH("part",AO88)),UPPER(TRIM(AO88))="PT",UPPER(TRIM(AO88))="PTE"),OR($P88="",N($P88)&gt;=PT_MinHours)),"PT","None"))))</f>
        <v/>
      </c>
      <c r="AS88" s="19" t="str">
        <f aca="false">IF(AG88=0,"",IF(AND(AI88&gt;=3,AL88&lt;=AsOfDate),AR88,IF(AND(AI88&gt;=2,AK88&lt;=AsOfDate),AQ88,AP88)))</f>
        <v/>
      </c>
      <c r="AT88" s="19" t="str">
        <f aca="false">IF(AG88=0,"",IF(AsOfDate&lt;AH88,-1,12*(YEAR(AsOfDate)-YEAR(AH88))+MONTH(AsOfDate)-MONTH(AH88)-IF(DAY(AsOfDate)&lt;MIN(DAY(AH88),DAY(EOMONTH(AsOfDate,0))),1,0)))</f>
        <v/>
      </c>
      <c r="AU88" s="19" t="str">
        <f aca="false">IF(AG88=0,"",IF(OR(AI88&lt;2,AK88&gt;AsOfDate),AT88,IF((AK88-1)&lt;AH88,-1,12*(YEAR((AK88-1))-YEAR(AH88))+MONTH((AK88-1))-MONTH(AH88)-IF(DAY((AK88-1))&lt;MIN(DAY(AH88),DAY(EOMONTH((AK88-1),0))),1,0))))</f>
        <v/>
      </c>
      <c r="AV88" s="19" t="str">
        <f aca="false">IF(AG88=0,"",IF(OR(AI88&lt;3,AL88&gt;AsOfDate),AT88,IF((AL88-1)&lt;AH88,-1,12*(YEAR((AL88-1))-YEAR(AH88))+MONTH((AL88-1))-MONTH(AH88)-IF(DAY((AL88-1))&lt;MIN(DAY(AH88),DAY(EOMONTH((AL88-1),0))),1,0))))</f>
        <v/>
      </c>
      <c r="AW88" s="19" t="str">
        <f aca="false">IF(AG88=0,"",IF(PFYDate&lt;AH88,-1,12*(YEAR(PFYDate)-YEAR(AH88))+MONTH(PFYDate)-MONTH(AH88)-IF(DAY(PFYDate)&lt;MIN(DAY(AH88),DAY(EOMONTH(PFYDate,0))),1,0)))</f>
        <v/>
      </c>
      <c r="AX88" s="19" t="str">
        <f aca="false">IF(AG88=0,"",IF(OR(AI88&lt;2,AK88&gt;PFYDate),AW88,IF((AK88-1)&lt;AH88,-1,12*(YEAR((AK88-1))-YEAR(AH88))+MONTH((AK88-1))-MONTH(AH88)-IF(DAY((AK88-1))&lt;MIN(DAY(AH88),DAY(EOMONTH((AK88-1),0))),1,0))))</f>
        <v/>
      </c>
      <c r="AY88" s="19" t="str">
        <f aca="false">IF(AG88=0,"",IF(OR(AI88&lt;3,AL88&gt;PFYDate),AW88,IF((AL88-1)&lt;AH88,-1,12*(YEAR((AL88-1))-YEAR(AH88))+MONTH((AL88-1))-MONTH(AH88)-IF(DAY((AL88-1))&lt;MIN(DAY(AH88),DAY(EOMONTH((AL88-1),0))),1,0))))</f>
        <v/>
      </c>
      <c r="AZ88" s="19" t="str">
        <f aca="false">IF(AG88=0,"",IF(AP88="FT",IF(AU88&lt;FT_First,0,IF(AU88&lt;FT_Y5,1+INT((AU88-FT_First)/FT_Int1),FT_PreY5+FT_PerYear*INT((AU88-FT_Y5)/12)+FT_AnnivDays+INT(MOD(AU88-FT_Y5,12)/FT_Int2))),IF(AP88="PT",IF(AU88&lt;PT_First,0,1+INT((AU88-PT_First)/PT_Int)),0))+IF(AND(AI88&gt;=2,AK88&lt;=AsOfDate),IF(AQ88="FT",IF(AV88&lt;FT_First,0,IF(AV88&lt;FT_Y5,1+INT((AV88-FT_First)/FT_Int1),FT_PreY5+FT_PerYear*INT((AV88-FT_Y5)/12)+FT_AnnivDays+INT(MOD(AV88-FT_Y5,12)/FT_Int2))),IF(AQ88="PT",IF(AV88&lt;PT_First,0,1+INT((AV88-PT_First)/PT_Int)),0))-IF(AQ88="FT",IF(AU88&lt;FT_First,0,IF(AU88&lt;FT_Y5,1+INT((AU88-FT_First)/FT_Int1),FT_PreY5+FT_PerYear*INT((AU88-FT_Y5)/12)+FT_AnnivDays+INT(MOD(AU88-FT_Y5,12)/FT_Int2))),IF(AQ88="PT",IF(AU88&lt;PT_First,0,1+INT((AU88-PT_First)/PT_Int)),0)),0)+IF(AND(AI88&gt;=3,AL88&lt;=AsOfDate),IF(AR88="FT",IF(AT88&lt;FT_First,0,IF(AT88&lt;FT_Y5,1+INT((AT88-FT_First)/FT_Int1),FT_PreY5+FT_PerYear*INT((AT88-FT_Y5)/12)+FT_AnnivDays+INT(MOD(AT88-FT_Y5,12)/FT_Int2))),IF(AR88="PT",IF(AT88&lt;PT_First,0,1+INT((AT88-PT_First)/PT_Int)),0))-IF(AR88="FT",IF(AV88&lt;FT_First,0,IF(AV88&lt;FT_Y5,1+INT((AV88-FT_First)/FT_Int1),FT_PreY5+FT_PerYear*INT((AV88-FT_Y5)/12)+FT_AnnivDays+INT(MOD(AV88-FT_Y5,12)/FT_Int2))),IF(AR88="PT",IF(AV88&lt;PT_First,0,1+INT((AV88-PT_First)/PT_Int)),0)),0))</f>
        <v/>
      </c>
      <c r="BA88" s="19" t="str">
        <f aca="false">IF(AG88=0,"",IF(AP88="FT",IF(AX88&lt;FT_First,0,IF(AX88&lt;FT_Y5,1+INT((AX88-FT_First)/FT_Int1),FT_PreY5+FT_PerYear*INT((AX88-FT_Y5)/12)+FT_AnnivDays+INT(MOD(AX88-FT_Y5,12)/FT_Int2))),IF(AP88="PT",IF(AX88&lt;PT_First,0,1+INT((AX88-PT_First)/PT_Int)),0))+IF(AND(AI88&gt;=2,AK88&lt;=PFYDate),IF(AQ88="FT",IF(AY88&lt;FT_First,0,IF(AY88&lt;FT_Y5,1+INT((AY88-FT_First)/FT_Int1),FT_PreY5+FT_PerYear*INT((AY88-FT_Y5)/12)+FT_AnnivDays+INT(MOD(AY88-FT_Y5,12)/FT_Int2))),IF(AQ88="PT",IF(AY88&lt;PT_First,0,1+INT((AY88-PT_First)/PT_Int)),0))-IF(AQ88="FT",IF(AX88&lt;FT_First,0,IF(AX88&lt;FT_Y5,1+INT((AX88-FT_First)/FT_Int1),FT_PreY5+FT_PerYear*INT((AX88-FT_Y5)/12)+FT_AnnivDays+INT(MOD(AX88-FT_Y5,12)/FT_Int2))),IF(AQ88="PT",IF(AX88&lt;PT_First,0,1+INT((AX88-PT_First)/PT_Int)),0)),0)+IF(AND(AI88&gt;=3,AL88&lt;=PFYDate),IF(AR88="FT",IF(AW88&lt;FT_First,0,IF(AW88&lt;FT_Y5,1+INT((AW88-FT_First)/FT_Int1),FT_PreY5+FT_PerYear*INT((AW88-FT_Y5)/12)+FT_AnnivDays+INT(MOD(AW88-FT_Y5,12)/FT_Int2))),IF(AR88="PT",IF(AW88&lt;PT_First,0,1+INT((AW88-PT_First)/PT_Int)),0))-IF(AR88="FT",IF(AY88&lt;FT_First,0,IF(AY88&lt;FT_Y5,1+INT((AY88-FT_First)/FT_Int1),FT_PreY5+FT_PerYear*INT((AY88-FT_Y5)/12)+FT_AnnivDays+INT(MOD(AY88-FT_Y5,12)/FT_Int2))),IF(AR88="PT",IF(AY88&lt;PT_First,0,1+INT((AY88-PT_First)/PT_Int)),0)),0))</f>
        <v/>
      </c>
      <c r="BB88" s="19" t="str">
        <f aca="false">IF(AG88=0,"",IF(AS88="FT",IF(AT88&lt;FT_First,FT_First,IF(AT88&lt;FT_Y5,MIN(FT_Y5,FT_First+FT_Int1*(INT((AT88-FT_First)/FT_Int1)+1)),FT_Y5+12*INT((AT88-FT_Y5)/12)+FT_Int2*(INT(MOD(AT88-FT_Y5,12)/FT_Int2)+1))),IF(AS88="PT",IF(AT88&lt;PT_First,PT_First,PT_First+PT_Int*(INT((AT88-PT_First)/PT_Int)+1)),"")))</f>
        <v/>
      </c>
      <c r="BC88" s="19" t="str">
        <f aca="false">IF(AG88=0,"",IF(NOT(LH_Ready),0,COUNTIFS(INDEX(LH_Data,0,LH_ColFirst),$A88,INDEX(LH_Data,0,LH_ColSur),$B88,INDEX(LH_Data,0,LH_ColCat),BonusCat)))</f>
        <v/>
      </c>
      <c r="BD88" s="19" t="str">
        <f aca="false">IF(AG88=0,"",IF(OR(NOT(LH_Ready),BC88=0),0,SUMPRODUCT(MAX((INDEX(LH_Data,0,LH_ColFirst)=$A88)*(INDEX(LH_Data,0,LH_ColSur)=$B88)*(INDEX(LH_Data,0,LH_ColCat)=BonusCat)*ROW(LH_Data)))))</f>
        <v/>
      </c>
      <c r="BE88" s="19" t="str">
        <f aca="false">IF(AG88=0,"",IF(EOMONTH(AsOfDate,-1)&lt;AH88,-1,12*(YEAR(EOMONTH(AsOfDate,-1))-YEAR(AH88))+MONTH(EOMONTH(AsOfDate,-1))-MONTH(AH88)-IF(DAY(EOMONTH(AsOfDate,-1))&lt;MIN(DAY(AH88),DAY(EOMONTH(EOMONTH(AsOfDate,-1),0))),1,0)))</f>
        <v/>
      </c>
      <c r="BF88" s="19" t="str">
        <f aca="false">IF(AG88=0,"",IF(OR(AI88&lt;2,AK88&gt;EOMONTH(AsOfDate,-1)),BE88,IF((AK88-1)&lt;AH88,-1,12*(YEAR((AK88-1))-YEAR(AH88))+MONTH((AK88-1))-MONTH(AH88)-IF(DAY((AK88-1))&lt;MIN(DAY(AH88),DAY(EOMONTH((AK88-1),0))),1,0))))</f>
        <v/>
      </c>
      <c r="BG88" s="19" t="str">
        <f aca="false">IF(AG88=0,"",IF(OR(AI88&lt;3,AL88&gt;EOMONTH(AsOfDate,-1)),BE88,IF((AL88-1)&lt;AH88,-1,12*(YEAR((AL88-1))-YEAR(AH88))+MONTH((AL88-1))-MONTH(AH88)-IF(DAY((AL88-1))&lt;MIN(DAY(AH88),DAY(EOMONTH((AL88-1),0))),1,0))))</f>
        <v/>
      </c>
      <c r="BH88" s="19" t="str">
        <f aca="false">IF(AG88=0,"",IF(AP88="FT",IF(BF88&lt;FT_First,0,IF(BF88&lt;FT_Y5,1+INT((BF88-FT_First)/FT_Int1),FT_PreY5+FT_PerYear*INT((BF88-FT_Y5)/12)+FT_AnnivDays+INT(MOD(BF88-FT_Y5,12)/FT_Int2))),IF(AP88="PT",IF(BF88&lt;PT_First,0,1+INT((BF88-PT_First)/PT_Int)),0))+IF(AND(AI88&gt;=2,AK88&lt;=EOMONTH(AsOfDate,-1)),IF(AQ88="FT",IF(BG88&lt;FT_First,0,IF(BG88&lt;FT_Y5,1+INT((BG88-FT_First)/FT_Int1),FT_PreY5+FT_PerYear*INT((BG88-FT_Y5)/12)+FT_AnnivDays+INT(MOD(BG88-FT_Y5,12)/FT_Int2))),IF(AQ88="PT",IF(BG88&lt;PT_First,0,1+INT((BG88-PT_First)/PT_Int)),0))-IF(AQ88="FT",IF(BF88&lt;FT_First,0,IF(BF88&lt;FT_Y5,1+INT((BF88-FT_First)/FT_Int1),FT_PreY5+FT_PerYear*INT((BF88-FT_Y5)/12)+FT_AnnivDays+INT(MOD(BF88-FT_Y5,12)/FT_Int2))),IF(AQ88="PT",IF(BF88&lt;PT_First,0,1+INT((BF88-PT_First)/PT_Int)),0)),0)+IF(AND(AI88&gt;=3,AL88&lt;=EOMONTH(AsOfDate,-1)),IF(AR88="FT",IF(BE88&lt;FT_First,0,IF(BE88&lt;FT_Y5,1+INT((BE88-FT_First)/FT_Int1),FT_PreY5+FT_PerYear*INT((BE88-FT_Y5)/12)+FT_AnnivDays+INT(MOD(BE88-FT_Y5,12)/FT_Int2))),IF(AR88="PT",IF(BE88&lt;PT_First,0,1+INT((BE88-PT_First)/PT_Int)),0))-IF(AR88="FT",IF(BG88&lt;FT_First,0,IF(BG88&lt;FT_Y5,1+INT((BG88-FT_First)/FT_Int1),FT_PreY5+FT_PerYear*INT((BG88-FT_Y5)/12)+FT_AnnivDays+INT(MOD(BG88-FT_Y5,12)/FT_Int2))),IF(AR88="PT",IF(BG88&lt;PT_First,0,1+INT((BG88-PT_First)/PT_Int)),0)),0))</f>
        <v/>
      </c>
      <c r="BI88" s="19" t="str">
        <f aca="false">IF(AG88=0,"",IF(AS88="FT",IF(AT88&lt;FT_First,"",IF(AT88&lt;FT_Y5,FT_First+FT_Int1*INT((AT88-FT_First)/FT_Int1),FT_Y5+FT_Int2*INT((AT88-FT_Y5)/FT_Int2))),IF(AS88="PT",IF(AT88&lt;PT_First,"",PT_First+PT_Int*INT((AT88-PT_First)/PT_Int)),"")))</f>
        <v/>
      </c>
      <c r="BJ88" s="0" t="str">
        <f aca="false">IF(LEN($A88&amp;$B88)=0,"",$A88&amp;" "&amp;$B88)</f>
        <v/>
      </c>
    </row>
    <row r="89" customFormat="false" ht="15" hidden="false" customHeight="false" outlineLevel="0" collapsed="false">
      <c r="A89" s="15"/>
      <c r="B89" s="15"/>
      <c r="C89" s="15"/>
      <c r="D89" s="16"/>
      <c r="E89" s="17" t="str">
        <f aca="false">IF(OR(AG89=0,$D89=""),"",DATE(YEAR(AsOfDate)+IF(DATE(YEAR(AsOfDate),MONTH($D89),DAY($D89))&lt;=AsOfDate,1,0),MONTH($D89),DAY($D89)))</f>
        <v/>
      </c>
      <c r="F89" s="16"/>
      <c r="G89" s="16"/>
      <c r="H89" s="16"/>
      <c r="I89" s="16"/>
      <c r="J89" s="16"/>
      <c r="K89" s="17" t="str">
        <f aca="false">IF(AG89=0,"",DATE(YEAR(AsOfDate)+IF(DATE(YEAR(AsOfDate),MONTH(AH89),DAY(AH89))&lt;=AsOfDate,1,0),MONTH(AH89),DAY(AH89)))</f>
        <v/>
      </c>
      <c r="L89" s="18" t="str">
        <f aca="false">IF(AG89=0,"",ROUND((AsOfDate-AH89)/365.25,1))</f>
        <v/>
      </c>
      <c r="M89" s="19" t="str">
        <f aca="false">IF(AG89=0,"",IF(AsOfDate&lt;AH89,"-",DATEDIF(AH89,AsOfDate,"y")&amp;"y "&amp;DATEDIF(AH89,AsOfDate,"ym")&amp;"m "&amp;DATEDIF(AH89,AsOfDate,"md")&amp;"d"))</f>
        <v/>
      </c>
      <c r="N89" s="20" t="str">
        <f aca="false">IF(AG89=0,"",O89*HoursPerDay)</f>
        <v/>
      </c>
      <c r="O89" s="20" t="str">
        <f aca="false">IF(AG89=0,"",AZ89)</f>
        <v/>
      </c>
      <c r="P89" s="21"/>
      <c r="Q89" s="19"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19"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7" t="str">
        <f aca="false">IF(AG89=0,"",IF(AS89="None","",EDATE(AH89,BB89)))</f>
        <v/>
      </c>
      <c r="T89" s="20" t="str">
        <f aca="false">IF(AG89=0,"",IF(NOT(LH_Ready),"",IF(AH89&gt;PFYDate,0,IF(LH_ColPeriod=0,W89-U89+V89,SUMIFS(INDEX(LH_Data,0,LH_ColAcc),INDEX(LH_Data,0,LH_ColFirst),$A89,INDEX(LH_Data,0,LH_ColSur),$B89,INDEX(LH_Data,0,LH_ColCat),BonusCat,INDEX(LH_Data,0,LH_ColPeriod),LH_OpenLabel)*UnitFactor))))</f>
        <v/>
      </c>
      <c r="U89" s="20" t="str">
        <f aca="false">IF(AG89=0,"",IF(NOT(LH_Ready),"",SUMIFS(INDEX(LH_Data,0,LH_ColAcc),INDEX(LH_Data,0,LH_ColFirst),$A89,INDEX(LH_Data,0,LH_ColSur),$B89,INDEX(LH_Data,0,LH_ColCat),BonusCat,INDEX(LH_Data,0,LH_ColStart),"&gt;="&amp;AH89)*UnitFactor))</f>
        <v/>
      </c>
      <c r="V89" s="20" t="str">
        <f aca="false">IF(AG89=0,"",IF(NOT(LH_Ready),"",SUMIFS(INDEX(LH_Data,0,LH_ColTaken),INDEX(LH_Data,0,LH_ColFirst),$A89,INDEX(LH_Data,0,LH_ColSur),$B89,INDEX(LH_Data,0,LH_ColCat),BonusCat,INDEX(LH_Data,0,LH_ColStart),"&gt;="&amp;AH89)*UnitFactor))</f>
        <v/>
      </c>
      <c r="W89" s="20" t="str">
        <f aca="false">IF(AG89=0,"",IF(NOT(LH_Ready),"",IF(BD89=0,0,INDEX(INDEX(LH_Data,0,LH_ColClose),BD89-1)*UnitFactor)))</f>
        <v/>
      </c>
      <c r="X89" s="20" t="str">
        <f aca="false">IF(AG89=0,"",(AZ89-BA89)*HoursPerDay)</f>
        <v/>
      </c>
      <c r="Y89" s="20" t="str">
        <f aca="false">IF(AG89=0,"",IF(NOT(LH_Ready),"",IF(BC89=0,N89,IF(PFYDate&lt;$F89,N89-N(T89)-N(U89),X89-N(U89)))))</f>
        <v/>
      </c>
      <c r="Z89" s="19" t="str">
        <f aca="false">IF(OR(AG89=0,Y89=""),"",IF(Y89&gt;0,"Yes","No"))</f>
        <v/>
      </c>
      <c r="AA89" s="19"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20" t="str">
        <f aca="false">IF(OR(AG89=0,T89=""),"",BA89*HoursPerDay-T89)</f>
        <v/>
      </c>
      <c r="AC89" s="19" t="str">
        <f aca="false">IF(AG89=0,"",BC89)</f>
        <v/>
      </c>
      <c r="AD89" s="19"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20" t="str">
        <f aca="false">IF(AG89=0,"",O89-BH89)</f>
        <v/>
      </c>
      <c r="AF89" s="17" t="str">
        <f aca="false">IF(OR(AG89=0,AE89="",N(AE89)=0,BI89=""),"",EDATE(AH89,BI89))</f>
        <v/>
      </c>
      <c r="AG89" s="19" t="n">
        <f aca="false">IF(OR(LEN($A89&amp;$B89)=0,$F89=""),0,1)</f>
        <v>0</v>
      </c>
      <c r="AH89" s="17" t="str">
        <f aca="false">IF(AG89=0,"",IF($J89&lt;&gt;"",$J89,IF(OR(CasualCounts="Yes",COUNT($G89:$I89)=0,COUNT($H89:$I89)=0),$F89,MIN($H89:$I89))))</f>
        <v/>
      </c>
      <c r="AI89" s="19" t="str">
        <f aca="false">IF(AG89=0,"",COUNT($G89:$I89))</f>
        <v/>
      </c>
      <c r="AJ89" s="17" t="str">
        <f aca="false">IF(AG89=0,"",IFERROR(SMALL($G89:$I89,1),""))</f>
        <v/>
      </c>
      <c r="AK89" s="17" t="str">
        <f aca="false">IF(AG89=0,"",IFERROR(SMALL($G89:$I89,2),""))</f>
        <v/>
      </c>
      <c r="AL89" s="17" t="str">
        <f aca="false">IF(AG89=0,"",IFERROR(SMALL($G89:$I89,3),""))</f>
        <v/>
      </c>
      <c r="AM89" s="19" t="str">
        <f aca="false">IF(AG89=0,"",IF(AJ89="","",IF(AJ89=$H89,"Part-Time",IF(AJ89=$I89,"Full-Time","Casual"))))</f>
        <v/>
      </c>
      <c r="AN89" s="19" t="str">
        <f aca="false">IF(AG89=0,"",IF(AK89="","",IF(AK89=$H89,"Part-Time",IF(AK89=$I89,"Full-Time","Casual"))))</f>
        <v/>
      </c>
      <c r="AO89" s="19" t="str">
        <f aca="false">IF(AG89=0,"",IF(AL89="","",IF(AL89=$H89,"Part-Time",IF(AL89=$I89,"Full-Time","Casual"))))</f>
        <v/>
      </c>
      <c r="AP89" s="19"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19" t="str">
        <f aca="false">IF(AG89=0,"",IF(AI89&lt;2,"",IF(OR(ISNUMBER(SEARCH("full",AN89)),UPPER(TRIM(AN89))="FT",UPPER(TRIM(AN89))="FTE"),"FT",IF(AND(OR(ISNUMBER(SEARCH("part",AN89)),UPPER(TRIM(AN89))="PT",UPPER(TRIM(AN89))="PTE"),OR($P89="",N($P89)&gt;=PT_MinHours)),"PT","None"))))</f>
        <v/>
      </c>
      <c r="AR89" s="19" t="str">
        <f aca="false">IF(AG89=0,"",IF(AI89&lt;3,"",IF(OR(ISNUMBER(SEARCH("full",AO89)),UPPER(TRIM(AO89))="FT",UPPER(TRIM(AO89))="FTE"),"FT",IF(AND(OR(ISNUMBER(SEARCH("part",AO89)),UPPER(TRIM(AO89))="PT",UPPER(TRIM(AO89))="PTE"),OR($P89="",N($P89)&gt;=PT_MinHours)),"PT","None"))))</f>
        <v/>
      </c>
      <c r="AS89" s="19" t="str">
        <f aca="false">IF(AG89=0,"",IF(AND(AI89&gt;=3,AL89&lt;=AsOfDate),AR89,IF(AND(AI89&gt;=2,AK89&lt;=AsOfDate),AQ89,AP89)))</f>
        <v/>
      </c>
      <c r="AT89" s="19" t="str">
        <f aca="false">IF(AG89=0,"",IF(AsOfDate&lt;AH89,-1,12*(YEAR(AsOfDate)-YEAR(AH89))+MONTH(AsOfDate)-MONTH(AH89)-IF(DAY(AsOfDate)&lt;MIN(DAY(AH89),DAY(EOMONTH(AsOfDate,0))),1,0)))</f>
        <v/>
      </c>
      <c r="AU89" s="19" t="str">
        <f aca="false">IF(AG89=0,"",IF(OR(AI89&lt;2,AK89&gt;AsOfDate),AT89,IF((AK89-1)&lt;AH89,-1,12*(YEAR((AK89-1))-YEAR(AH89))+MONTH((AK89-1))-MONTH(AH89)-IF(DAY((AK89-1))&lt;MIN(DAY(AH89),DAY(EOMONTH((AK89-1),0))),1,0))))</f>
        <v/>
      </c>
      <c r="AV89" s="19" t="str">
        <f aca="false">IF(AG89=0,"",IF(OR(AI89&lt;3,AL89&gt;AsOfDate),AT89,IF((AL89-1)&lt;AH89,-1,12*(YEAR((AL89-1))-YEAR(AH89))+MONTH((AL89-1))-MONTH(AH89)-IF(DAY((AL89-1))&lt;MIN(DAY(AH89),DAY(EOMONTH((AL89-1),0))),1,0))))</f>
        <v/>
      </c>
      <c r="AW89" s="19" t="str">
        <f aca="false">IF(AG89=0,"",IF(PFYDate&lt;AH89,-1,12*(YEAR(PFYDate)-YEAR(AH89))+MONTH(PFYDate)-MONTH(AH89)-IF(DAY(PFYDate)&lt;MIN(DAY(AH89),DAY(EOMONTH(PFYDate,0))),1,0)))</f>
        <v/>
      </c>
      <c r="AX89" s="19" t="str">
        <f aca="false">IF(AG89=0,"",IF(OR(AI89&lt;2,AK89&gt;PFYDate),AW89,IF((AK89-1)&lt;AH89,-1,12*(YEAR((AK89-1))-YEAR(AH89))+MONTH((AK89-1))-MONTH(AH89)-IF(DAY((AK89-1))&lt;MIN(DAY(AH89),DAY(EOMONTH((AK89-1),0))),1,0))))</f>
        <v/>
      </c>
      <c r="AY89" s="19" t="str">
        <f aca="false">IF(AG89=0,"",IF(OR(AI89&lt;3,AL89&gt;PFYDate),AW89,IF((AL89-1)&lt;AH89,-1,12*(YEAR((AL89-1))-YEAR(AH89))+MONTH((AL89-1))-MONTH(AH89)-IF(DAY((AL89-1))&lt;MIN(DAY(AH89),DAY(EOMONTH((AL89-1),0))),1,0))))</f>
        <v/>
      </c>
      <c r="AZ89" s="19" t="str">
        <f aca="false">IF(AG89=0,"",IF(AP89="FT",IF(AU89&lt;FT_First,0,IF(AU89&lt;FT_Y5,1+INT((AU89-FT_First)/FT_Int1),FT_PreY5+FT_PerYear*INT((AU89-FT_Y5)/12)+FT_AnnivDays+INT(MOD(AU89-FT_Y5,12)/FT_Int2))),IF(AP89="PT",IF(AU89&lt;PT_First,0,1+INT((AU89-PT_First)/PT_Int)),0))+IF(AND(AI89&gt;=2,AK89&lt;=AsOfDate),IF(AQ89="FT",IF(AV89&lt;FT_First,0,IF(AV89&lt;FT_Y5,1+INT((AV89-FT_First)/FT_Int1),FT_PreY5+FT_PerYear*INT((AV89-FT_Y5)/12)+FT_AnnivDays+INT(MOD(AV89-FT_Y5,12)/FT_Int2))),IF(AQ89="PT",IF(AV89&lt;PT_First,0,1+INT((AV89-PT_First)/PT_Int)),0))-IF(AQ89="FT",IF(AU89&lt;FT_First,0,IF(AU89&lt;FT_Y5,1+INT((AU89-FT_First)/FT_Int1),FT_PreY5+FT_PerYear*INT((AU89-FT_Y5)/12)+FT_AnnivDays+INT(MOD(AU89-FT_Y5,12)/FT_Int2))),IF(AQ89="PT",IF(AU89&lt;PT_First,0,1+INT((AU89-PT_First)/PT_Int)),0)),0)+IF(AND(AI89&gt;=3,AL89&lt;=AsOfDate),IF(AR89="FT",IF(AT89&lt;FT_First,0,IF(AT89&lt;FT_Y5,1+INT((AT89-FT_First)/FT_Int1),FT_PreY5+FT_PerYear*INT((AT89-FT_Y5)/12)+FT_AnnivDays+INT(MOD(AT89-FT_Y5,12)/FT_Int2))),IF(AR89="PT",IF(AT89&lt;PT_First,0,1+INT((AT89-PT_First)/PT_Int)),0))-IF(AR89="FT",IF(AV89&lt;FT_First,0,IF(AV89&lt;FT_Y5,1+INT((AV89-FT_First)/FT_Int1),FT_PreY5+FT_PerYear*INT((AV89-FT_Y5)/12)+FT_AnnivDays+INT(MOD(AV89-FT_Y5,12)/FT_Int2))),IF(AR89="PT",IF(AV89&lt;PT_First,0,1+INT((AV89-PT_First)/PT_Int)),0)),0))</f>
        <v/>
      </c>
      <c r="BA89" s="19" t="str">
        <f aca="false">IF(AG89=0,"",IF(AP89="FT",IF(AX89&lt;FT_First,0,IF(AX89&lt;FT_Y5,1+INT((AX89-FT_First)/FT_Int1),FT_PreY5+FT_PerYear*INT((AX89-FT_Y5)/12)+FT_AnnivDays+INT(MOD(AX89-FT_Y5,12)/FT_Int2))),IF(AP89="PT",IF(AX89&lt;PT_First,0,1+INT((AX89-PT_First)/PT_Int)),0))+IF(AND(AI89&gt;=2,AK89&lt;=PFYDate),IF(AQ89="FT",IF(AY89&lt;FT_First,0,IF(AY89&lt;FT_Y5,1+INT((AY89-FT_First)/FT_Int1),FT_PreY5+FT_PerYear*INT((AY89-FT_Y5)/12)+FT_AnnivDays+INT(MOD(AY89-FT_Y5,12)/FT_Int2))),IF(AQ89="PT",IF(AY89&lt;PT_First,0,1+INT((AY89-PT_First)/PT_Int)),0))-IF(AQ89="FT",IF(AX89&lt;FT_First,0,IF(AX89&lt;FT_Y5,1+INT((AX89-FT_First)/FT_Int1),FT_PreY5+FT_PerYear*INT((AX89-FT_Y5)/12)+FT_AnnivDays+INT(MOD(AX89-FT_Y5,12)/FT_Int2))),IF(AQ89="PT",IF(AX89&lt;PT_First,0,1+INT((AX89-PT_First)/PT_Int)),0)),0)+IF(AND(AI89&gt;=3,AL89&lt;=PFYDate),IF(AR89="FT",IF(AW89&lt;FT_First,0,IF(AW89&lt;FT_Y5,1+INT((AW89-FT_First)/FT_Int1),FT_PreY5+FT_PerYear*INT((AW89-FT_Y5)/12)+FT_AnnivDays+INT(MOD(AW89-FT_Y5,12)/FT_Int2))),IF(AR89="PT",IF(AW89&lt;PT_First,0,1+INT((AW89-PT_First)/PT_Int)),0))-IF(AR89="FT",IF(AY89&lt;FT_First,0,IF(AY89&lt;FT_Y5,1+INT((AY89-FT_First)/FT_Int1),FT_PreY5+FT_PerYear*INT((AY89-FT_Y5)/12)+FT_AnnivDays+INT(MOD(AY89-FT_Y5,12)/FT_Int2))),IF(AR89="PT",IF(AY89&lt;PT_First,0,1+INT((AY89-PT_First)/PT_Int)),0)),0))</f>
        <v/>
      </c>
      <c r="BB89" s="19" t="str">
        <f aca="false">IF(AG89=0,"",IF(AS89="FT",IF(AT89&lt;FT_First,FT_First,IF(AT89&lt;FT_Y5,MIN(FT_Y5,FT_First+FT_Int1*(INT((AT89-FT_First)/FT_Int1)+1)),FT_Y5+12*INT((AT89-FT_Y5)/12)+FT_Int2*(INT(MOD(AT89-FT_Y5,12)/FT_Int2)+1))),IF(AS89="PT",IF(AT89&lt;PT_First,PT_First,PT_First+PT_Int*(INT((AT89-PT_First)/PT_Int)+1)),"")))</f>
        <v/>
      </c>
      <c r="BC89" s="19" t="str">
        <f aca="false">IF(AG89=0,"",IF(NOT(LH_Ready),0,COUNTIFS(INDEX(LH_Data,0,LH_ColFirst),$A89,INDEX(LH_Data,0,LH_ColSur),$B89,INDEX(LH_Data,0,LH_ColCat),BonusCat)))</f>
        <v/>
      </c>
      <c r="BD89" s="19" t="str">
        <f aca="false">IF(AG89=0,"",IF(OR(NOT(LH_Ready),BC89=0),0,SUMPRODUCT(MAX((INDEX(LH_Data,0,LH_ColFirst)=$A89)*(INDEX(LH_Data,0,LH_ColSur)=$B89)*(INDEX(LH_Data,0,LH_ColCat)=BonusCat)*ROW(LH_Data)))))</f>
        <v/>
      </c>
      <c r="BE89" s="19" t="str">
        <f aca="false">IF(AG89=0,"",IF(EOMONTH(AsOfDate,-1)&lt;AH89,-1,12*(YEAR(EOMONTH(AsOfDate,-1))-YEAR(AH89))+MONTH(EOMONTH(AsOfDate,-1))-MONTH(AH89)-IF(DAY(EOMONTH(AsOfDate,-1))&lt;MIN(DAY(AH89),DAY(EOMONTH(EOMONTH(AsOfDate,-1),0))),1,0)))</f>
        <v/>
      </c>
      <c r="BF89" s="19" t="str">
        <f aca="false">IF(AG89=0,"",IF(OR(AI89&lt;2,AK89&gt;EOMONTH(AsOfDate,-1)),BE89,IF((AK89-1)&lt;AH89,-1,12*(YEAR((AK89-1))-YEAR(AH89))+MONTH((AK89-1))-MONTH(AH89)-IF(DAY((AK89-1))&lt;MIN(DAY(AH89),DAY(EOMONTH((AK89-1),0))),1,0))))</f>
        <v/>
      </c>
      <c r="BG89" s="19" t="str">
        <f aca="false">IF(AG89=0,"",IF(OR(AI89&lt;3,AL89&gt;EOMONTH(AsOfDate,-1)),BE89,IF((AL89-1)&lt;AH89,-1,12*(YEAR((AL89-1))-YEAR(AH89))+MONTH((AL89-1))-MONTH(AH89)-IF(DAY((AL89-1))&lt;MIN(DAY(AH89),DAY(EOMONTH((AL89-1),0))),1,0))))</f>
        <v/>
      </c>
      <c r="BH89" s="19" t="str">
        <f aca="false">IF(AG89=0,"",IF(AP89="FT",IF(BF89&lt;FT_First,0,IF(BF89&lt;FT_Y5,1+INT((BF89-FT_First)/FT_Int1),FT_PreY5+FT_PerYear*INT((BF89-FT_Y5)/12)+FT_AnnivDays+INT(MOD(BF89-FT_Y5,12)/FT_Int2))),IF(AP89="PT",IF(BF89&lt;PT_First,0,1+INT((BF89-PT_First)/PT_Int)),0))+IF(AND(AI89&gt;=2,AK89&lt;=EOMONTH(AsOfDate,-1)),IF(AQ89="FT",IF(BG89&lt;FT_First,0,IF(BG89&lt;FT_Y5,1+INT((BG89-FT_First)/FT_Int1),FT_PreY5+FT_PerYear*INT((BG89-FT_Y5)/12)+FT_AnnivDays+INT(MOD(BG89-FT_Y5,12)/FT_Int2))),IF(AQ89="PT",IF(BG89&lt;PT_First,0,1+INT((BG89-PT_First)/PT_Int)),0))-IF(AQ89="FT",IF(BF89&lt;FT_First,0,IF(BF89&lt;FT_Y5,1+INT((BF89-FT_First)/FT_Int1),FT_PreY5+FT_PerYear*INT((BF89-FT_Y5)/12)+FT_AnnivDays+INT(MOD(BF89-FT_Y5,12)/FT_Int2))),IF(AQ89="PT",IF(BF89&lt;PT_First,0,1+INT((BF89-PT_First)/PT_Int)),0)),0)+IF(AND(AI89&gt;=3,AL89&lt;=EOMONTH(AsOfDate,-1)),IF(AR89="FT",IF(BE89&lt;FT_First,0,IF(BE89&lt;FT_Y5,1+INT((BE89-FT_First)/FT_Int1),FT_PreY5+FT_PerYear*INT((BE89-FT_Y5)/12)+FT_AnnivDays+INT(MOD(BE89-FT_Y5,12)/FT_Int2))),IF(AR89="PT",IF(BE89&lt;PT_First,0,1+INT((BE89-PT_First)/PT_Int)),0))-IF(AR89="FT",IF(BG89&lt;FT_First,0,IF(BG89&lt;FT_Y5,1+INT((BG89-FT_First)/FT_Int1),FT_PreY5+FT_PerYear*INT((BG89-FT_Y5)/12)+FT_AnnivDays+INT(MOD(BG89-FT_Y5,12)/FT_Int2))),IF(AR89="PT",IF(BG89&lt;PT_First,0,1+INT((BG89-PT_First)/PT_Int)),0)),0))</f>
        <v/>
      </c>
      <c r="BI89" s="19" t="str">
        <f aca="false">IF(AG89=0,"",IF(AS89="FT",IF(AT89&lt;FT_First,"",IF(AT89&lt;FT_Y5,FT_First+FT_Int1*INT((AT89-FT_First)/FT_Int1),FT_Y5+FT_Int2*INT((AT89-FT_Y5)/FT_Int2))),IF(AS89="PT",IF(AT89&lt;PT_First,"",PT_First+PT_Int*INT((AT89-PT_First)/PT_Int)),"")))</f>
        <v/>
      </c>
      <c r="BJ89" s="0" t="str">
        <f aca="false">IF(LEN($A89&amp;$B89)=0,"",$A89&amp;" "&amp;$B89)</f>
        <v/>
      </c>
    </row>
    <row r="90" customFormat="false" ht="15" hidden="false" customHeight="false" outlineLevel="0" collapsed="false">
      <c r="A90" s="15"/>
      <c r="B90" s="15"/>
      <c r="C90" s="15"/>
      <c r="D90" s="16"/>
      <c r="E90" s="17" t="str">
        <f aca="false">IF(OR(AG90=0,$D90=""),"",DATE(YEAR(AsOfDate)+IF(DATE(YEAR(AsOfDate),MONTH($D90),DAY($D90))&lt;=AsOfDate,1,0),MONTH($D90),DAY($D90)))</f>
        <v/>
      </c>
      <c r="F90" s="16"/>
      <c r="G90" s="16"/>
      <c r="H90" s="16"/>
      <c r="I90" s="16"/>
      <c r="J90" s="16"/>
      <c r="K90" s="17" t="str">
        <f aca="false">IF(AG90=0,"",DATE(YEAR(AsOfDate)+IF(DATE(YEAR(AsOfDate),MONTH(AH90),DAY(AH90))&lt;=AsOfDate,1,0),MONTH(AH90),DAY(AH90)))</f>
        <v/>
      </c>
      <c r="L90" s="18" t="str">
        <f aca="false">IF(AG90=0,"",ROUND((AsOfDate-AH90)/365.25,1))</f>
        <v/>
      </c>
      <c r="M90" s="19" t="str">
        <f aca="false">IF(AG90=0,"",IF(AsOfDate&lt;AH90,"-",DATEDIF(AH90,AsOfDate,"y")&amp;"y "&amp;DATEDIF(AH90,AsOfDate,"ym")&amp;"m "&amp;DATEDIF(AH90,AsOfDate,"md")&amp;"d"))</f>
        <v/>
      </c>
      <c r="N90" s="20" t="str">
        <f aca="false">IF(AG90=0,"",O90*HoursPerDay)</f>
        <v/>
      </c>
      <c r="O90" s="20" t="str">
        <f aca="false">IF(AG90=0,"",AZ90)</f>
        <v/>
      </c>
      <c r="P90" s="21"/>
      <c r="Q90" s="19"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19"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7" t="str">
        <f aca="false">IF(AG90=0,"",IF(AS90="None","",EDATE(AH90,BB90)))</f>
        <v/>
      </c>
      <c r="T90" s="20" t="str">
        <f aca="false">IF(AG90=0,"",IF(NOT(LH_Ready),"",IF(AH90&gt;PFYDate,0,IF(LH_ColPeriod=0,W90-U90+V90,SUMIFS(INDEX(LH_Data,0,LH_ColAcc),INDEX(LH_Data,0,LH_ColFirst),$A90,INDEX(LH_Data,0,LH_ColSur),$B90,INDEX(LH_Data,0,LH_ColCat),BonusCat,INDEX(LH_Data,0,LH_ColPeriod),LH_OpenLabel)*UnitFactor))))</f>
        <v/>
      </c>
      <c r="U90" s="20" t="str">
        <f aca="false">IF(AG90=0,"",IF(NOT(LH_Ready),"",SUMIFS(INDEX(LH_Data,0,LH_ColAcc),INDEX(LH_Data,0,LH_ColFirst),$A90,INDEX(LH_Data,0,LH_ColSur),$B90,INDEX(LH_Data,0,LH_ColCat),BonusCat,INDEX(LH_Data,0,LH_ColStart),"&gt;="&amp;AH90)*UnitFactor))</f>
        <v/>
      </c>
      <c r="V90" s="20" t="str">
        <f aca="false">IF(AG90=0,"",IF(NOT(LH_Ready),"",SUMIFS(INDEX(LH_Data,0,LH_ColTaken),INDEX(LH_Data,0,LH_ColFirst),$A90,INDEX(LH_Data,0,LH_ColSur),$B90,INDEX(LH_Data,0,LH_ColCat),BonusCat,INDEX(LH_Data,0,LH_ColStart),"&gt;="&amp;AH90)*UnitFactor))</f>
        <v/>
      </c>
      <c r="W90" s="20" t="str">
        <f aca="false">IF(AG90=0,"",IF(NOT(LH_Ready),"",IF(BD90=0,0,INDEX(INDEX(LH_Data,0,LH_ColClose),BD90-1)*UnitFactor)))</f>
        <v/>
      </c>
      <c r="X90" s="20" t="str">
        <f aca="false">IF(AG90=0,"",(AZ90-BA90)*HoursPerDay)</f>
        <v/>
      </c>
      <c r="Y90" s="20" t="str">
        <f aca="false">IF(AG90=0,"",IF(NOT(LH_Ready),"",IF(BC90=0,N90,IF(PFYDate&lt;$F90,N90-N(T90)-N(U90),X90-N(U90)))))</f>
        <v/>
      </c>
      <c r="Z90" s="19" t="str">
        <f aca="false">IF(OR(AG90=0,Y90=""),"",IF(Y90&gt;0,"Yes","No"))</f>
        <v/>
      </c>
      <c r="AA90" s="19"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20" t="str">
        <f aca="false">IF(OR(AG90=0,T90=""),"",BA90*HoursPerDay-T90)</f>
        <v/>
      </c>
      <c r="AC90" s="19" t="str">
        <f aca="false">IF(AG90=0,"",BC90)</f>
        <v/>
      </c>
      <c r="AD90" s="19"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20" t="str">
        <f aca="false">IF(AG90=0,"",O90-BH90)</f>
        <v/>
      </c>
      <c r="AF90" s="17" t="str">
        <f aca="false">IF(OR(AG90=0,AE90="",N(AE90)=0,BI90=""),"",EDATE(AH90,BI90))</f>
        <v/>
      </c>
      <c r="AG90" s="19" t="n">
        <f aca="false">IF(OR(LEN($A90&amp;$B90)=0,$F90=""),0,1)</f>
        <v>0</v>
      </c>
      <c r="AH90" s="17" t="str">
        <f aca="false">IF(AG90=0,"",IF($J90&lt;&gt;"",$J90,IF(OR(CasualCounts="Yes",COUNT($G90:$I90)=0,COUNT($H90:$I90)=0),$F90,MIN($H90:$I90))))</f>
        <v/>
      </c>
      <c r="AI90" s="19" t="str">
        <f aca="false">IF(AG90=0,"",COUNT($G90:$I90))</f>
        <v/>
      </c>
      <c r="AJ90" s="17" t="str">
        <f aca="false">IF(AG90=0,"",IFERROR(SMALL($G90:$I90,1),""))</f>
        <v/>
      </c>
      <c r="AK90" s="17" t="str">
        <f aca="false">IF(AG90=0,"",IFERROR(SMALL($G90:$I90,2),""))</f>
        <v/>
      </c>
      <c r="AL90" s="17" t="str">
        <f aca="false">IF(AG90=0,"",IFERROR(SMALL($G90:$I90,3),""))</f>
        <v/>
      </c>
      <c r="AM90" s="19" t="str">
        <f aca="false">IF(AG90=0,"",IF(AJ90="","",IF(AJ90=$H90,"Part-Time",IF(AJ90=$I90,"Full-Time","Casual"))))</f>
        <v/>
      </c>
      <c r="AN90" s="19" t="str">
        <f aca="false">IF(AG90=0,"",IF(AK90="","",IF(AK90=$H90,"Part-Time",IF(AK90=$I90,"Full-Time","Casual"))))</f>
        <v/>
      </c>
      <c r="AO90" s="19" t="str">
        <f aca="false">IF(AG90=0,"",IF(AL90="","",IF(AL90=$H90,"Part-Time",IF(AL90=$I90,"Full-Time","Casual"))))</f>
        <v/>
      </c>
      <c r="AP90" s="19"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19" t="str">
        <f aca="false">IF(AG90=0,"",IF(AI90&lt;2,"",IF(OR(ISNUMBER(SEARCH("full",AN90)),UPPER(TRIM(AN90))="FT",UPPER(TRIM(AN90))="FTE"),"FT",IF(AND(OR(ISNUMBER(SEARCH("part",AN90)),UPPER(TRIM(AN90))="PT",UPPER(TRIM(AN90))="PTE"),OR($P90="",N($P90)&gt;=PT_MinHours)),"PT","None"))))</f>
        <v/>
      </c>
      <c r="AR90" s="19" t="str">
        <f aca="false">IF(AG90=0,"",IF(AI90&lt;3,"",IF(OR(ISNUMBER(SEARCH("full",AO90)),UPPER(TRIM(AO90))="FT",UPPER(TRIM(AO90))="FTE"),"FT",IF(AND(OR(ISNUMBER(SEARCH("part",AO90)),UPPER(TRIM(AO90))="PT",UPPER(TRIM(AO90))="PTE"),OR($P90="",N($P90)&gt;=PT_MinHours)),"PT","None"))))</f>
        <v/>
      </c>
      <c r="AS90" s="19" t="str">
        <f aca="false">IF(AG90=0,"",IF(AND(AI90&gt;=3,AL90&lt;=AsOfDate),AR90,IF(AND(AI90&gt;=2,AK90&lt;=AsOfDate),AQ90,AP90)))</f>
        <v/>
      </c>
      <c r="AT90" s="19" t="str">
        <f aca="false">IF(AG90=0,"",IF(AsOfDate&lt;AH90,-1,12*(YEAR(AsOfDate)-YEAR(AH90))+MONTH(AsOfDate)-MONTH(AH90)-IF(DAY(AsOfDate)&lt;MIN(DAY(AH90),DAY(EOMONTH(AsOfDate,0))),1,0)))</f>
        <v/>
      </c>
      <c r="AU90" s="19" t="str">
        <f aca="false">IF(AG90=0,"",IF(OR(AI90&lt;2,AK90&gt;AsOfDate),AT90,IF((AK90-1)&lt;AH90,-1,12*(YEAR((AK90-1))-YEAR(AH90))+MONTH((AK90-1))-MONTH(AH90)-IF(DAY((AK90-1))&lt;MIN(DAY(AH90),DAY(EOMONTH((AK90-1),0))),1,0))))</f>
        <v/>
      </c>
      <c r="AV90" s="19" t="str">
        <f aca="false">IF(AG90=0,"",IF(OR(AI90&lt;3,AL90&gt;AsOfDate),AT90,IF((AL90-1)&lt;AH90,-1,12*(YEAR((AL90-1))-YEAR(AH90))+MONTH((AL90-1))-MONTH(AH90)-IF(DAY((AL90-1))&lt;MIN(DAY(AH90),DAY(EOMONTH((AL90-1),0))),1,0))))</f>
        <v/>
      </c>
      <c r="AW90" s="19" t="str">
        <f aca="false">IF(AG90=0,"",IF(PFYDate&lt;AH90,-1,12*(YEAR(PFYDate)-YEAR(AH90))+MONTH(PFYDate)-MONTH(AH90)-IF(DAY(PFYDate)&lt;MIN(DAY(AH90),DAY(EOMONTH(PFYDate,0))),1,0)))</f>
        <v/>
      </c>
      <c r="AX90" s="19" t="str">
        <f aca="false">IF(AG90=0,"",IF(OR(AI90&lt;2,AK90&gt;PFYDate),AW90,IF((AK90-1)&lt;AH90,-1,12*(YEAR((AK90-1))-YEAR(AH90))+MONTH((AK90-1))-MONTH(AH90)-IF(DAY((AK90-1))&lt;MIN(DAY(AH90),DAY(EOMONTH((AK90-1),0))),1,0))))</f>
        <v/>
      </c>
      <c r="AY90" s="19" t="str">
        <f aca="false">IF(AG90=0,"",IF(OR(AI90&lt;3,AL90&gt;PFYDate),AW90,IF((AL90-1)&lt;AH90,-1,12*(YEAR((AL90-1))-YEAR(AH90))+MONTH((AL90-1))-MONTH(AH90)-IF(DAY((AL90-1))&lt;MIN(DAY(AH90),DAY(EOMONTH((AL90-1),0))),1,0))))</f>
        <v/>
      </c>
      <c r="AZ90" s="19" t="str">
        <f aca="false">IF(AG90=0,"",IF(AP90="FT",IF(AU90&lt;FT_First,0,IF(AU90&lt;FT_Y5,1+INT((AU90-FT_First)/FT_Int1),FT_PreY5+FT_PerYear*INT((AU90-FT_Y5)/12)+FT_AnnivDays+INT(MOD(AU90-FT_Y5,12)/FT_Int2))),IF(AP90="PT",IF(AU90&lt;PT_First,0,1+INT((AU90-PT_First)/PT_Int)),0))+IF(AND(AI90&gt;=2,AK90&lt;=AsOfDate),IF(AQ90="FT",IF(AV90&lt;FT_First,0,IF(AV90&lt;FT_Y5,1+INT((AV90-FT_First)/FT_Int1),FT_PreY5+FT_PerYear*INT((AV90-FT_Y5)/12)+FT_AnnivDays+INT(MOD(AV90-FT_Y5,12)/FT_Int2))),IF(AQ90="PT",IF(AV90&lt;PT_First,0,1+INT((AV90-PT_First)/PT_Int)),0))-IF(AQ90="FT",IF(AU90&lt;FT_First,0,IF(AU90&lt;FT_Y5,1+INT((AU90-FT_First)/FT_Int1),FT_PreY5+FT_PerYear*INT((AU90-FT_Y5)/12)+FT_AnnivDays+INT(MOD(AU90-FT_Y5,12)/FT_Int2))),IF(AQ90="PT",IF(AU90&lt;PT_First,0,1+INT((AU90-PT_First)/PT_Int)),0)),0)+IF(AND(AI90&gt;=3,AL90&lt;=AsOfDate),IF(AR90="FT",IF(AT90&lt;FT_First,0,IF(AT90&lt;FT_Y5,1+INT((AT90-FT_First)/FT_Int1),FT_PreY5+FT_PerYear*INT((AT90-FT_Y5)/12)+FT_AnnivDays+INT(MOD(AT90-FT_Y5,12)/FT_Int2))),IF(AR90="PT",IF(AT90&lt;PT_First,0,1+INT((AT90-PT_First)/PT_Int)),0))-IF(AR90="FT",IF(AV90&lt;FT_First,0,IF(AV90&lt;FT_Y5,1+INT((AV90-FT_First)/FT_Int1),FT_PreY5+FT_PerYear*INT((AV90-FT_Y5)/12)+FT_AnnivDays+INT(MOD(AV90-FT_Y5,12)/FT_Int2))),IF(AR90="PT",IF(AV90&lt;PT_First,0,1+INT((AV90-PT_First)/PT_Int)),0)),0))</f>
        <v/>
      </c>
      <c r="BA90" s="19" t="str">
        <f aca="false">IF(AG90=0,"",IF(AP90="FT",IF(AX90&lt;FT_First,0,IF(AX90&lt;FT_Y5,1+INT((AX90-FT_First)/FT_Int1),FT_PreY5+FT_PerYear*INT((AX90-FT_Y5)/12)+FT_AnnivDays+INT(MOD(AX90-FT_Y5,12)/FT_Int2))),IF(AP90="PT",IF(AX90&lt;PT_First,0,1+INT((AX90-PT_First)/PT_Int)),0))+IF(AND(AI90&gt;=2,AK90&lt;=PFYDate),IF(AQ90="FT",IF(AY90&lt;FT_First,0,IF(AY90&lt;FT_Y5,1+INT((AY90-FT_First)/FT_Int1),FT_PreY5+FT_PerYear*INT((AY90-FT_Y5)/12)+FT_AnnivDays+INT(MOD(AY90-FT_Y5,12)/FT_Int2))),IF(AQ90="PT",IF(AY90&lt;PT_First,0,1+INT((AY90-PT_First)/PT_Int)),0))-IF(AQ90="FT",IF(AX90&lt;FT_First,0,IF(AX90&lt;FT_Y5,1+INT((AX90-FT_First)/FT_Int1),FT_PreY5+FT_PerYear*INT((AX90-FT_Y5)/12)+FT_AnnivDays+INT(MOD(AX90-FT_Y5,12)/FT_Int2))),IF(AQ90="PT",IF(AX90&lt;PT_First,0,1+INT((AX90-PT_First)/PT_Int)),0)),0)+IF(AND(AI90&gt;=3,AL90&lt;=PFYDate),IF(AR90="FT",IF(AW90&lt;FT_First,0,IF(AW90&lt;FT_Y5,1+INT((AW90-FT_First)/FT_Int1),FT_PreY5+FT_PerYear*INT((AW90-FT_Y5)/12)+FT_AnnivDays+INT(MOD(AW90-FT_Y5,12)/FT_Int2))),IF(AR90="PT",IF(AW90&lt;PT_First,0,1+INT((AW90-PT_First)/PT_Int)),0))-IF(AR90="FT",IF(AY90&lt;FT_First,0,IF(AY90&lt;FT_Y5,1+INT((AY90-FT_First)/FT_Int1),FT_PreY5+FT_PerYear*INT((AY90-FT_Y5)/12)+FT_AnnivDays+INT(MOD(AY90-FT_Y5,12)/FT_Int2))),IF(AR90="PT",IF(AY90&lt;PT_First,0,1+INT((AY90-PT_First)/PT_Int)),0)),0))</f>
        <v/>
      </c>
      <c r="BB90" s="19" t="str">
        <f aca="false">IF(AG90=0,"",IF(AS90="FT",IF(AT90&lt;FT_First,FT_First,IF(AT90&lt;FT_Y5,MIN(FT_Y5,FT_First+FT_Int1*(INT((AT90-FT_First)/FT_Int1)+1)),FT_Y5+12*INT((AT90-FT_Y5)/12)+FT_Int2*(INT(MOD(AT90-FT_Y5,12)/FT_Int2)+1))),IF(AS90="PT",IF(AT90&lt;PT_First,PT_First,PT_First+PT_Int*(INT((AT90-PT_First)/PT_Int)+1)),"")))</f>
        <v/>
      </c>
      <c r="BC90" s="19" t="str">
        <f aca="false">IF(AG90=0,"",IF(NOT(LH_Ready),0,COUNTIFS(INDEX(LH_Data,0,LH_ColFirst),$A90,INDEX(LH_Data,0,LH_ColSur),$B90,INDEX(LH_Data,0,LH_ColCat),BonusCat)))</f>
        <v/>
      </c>
      <c r="BD90" s="19" t="str">
        <f aca="false">IF(AG90=0,"",IF(OR(NOT(LH_Ready),BC90=0),0,SUMPRODUCT(MAX((INDEX(LH_Data,0,LH_ColFirst)=$A90)*(INDEX(LH_Data,0,LH_ColSur)=$B90)*(INDEX(LH_Data,0,LH_ColCat)=BonusCat)*ROW(LH_Data)))))</f>
        <v/>
      </c>
      <c r="BE90" s="19" t="str">
        <f aca="false">IF(AG90=0,"",IF(EOMONTH(AsOfDate,-1)&lt;AH90,-1,12*(YEAR(EOMONTH(AsOfDate,-1))-YEAR(AH90))+MONTH(EOMONTH(AsOfDate,-1))-MONTH(AH90)-IF(DAY(EOMONTH(AsOfDate,-1))&lt;MIN(DAY(AH90),DAY(EOMONTH(EOMONTH(AsOfDate,-1),0))),1,0)))</f>
        <v/>
      </c>
      <c r="BF90" s="19" t="str">
        <f aca="false">IF(AG90=0,"",IF(OR(AI90&lt;2,AK90&gt;EOMONTH(AsOfDate,-1)),BE90,IF((AK90-1)&lt;AH90,-1,12*(YEAR((AK90-1))-YEAR(AH90))+MONTH((AK90-1))-MONTH(AH90)-IF(DAY((AK90-1))&lt;MIN(DAY(AH90),DAY(EOMONTH((AK90-1),0))),1,0))))</f>
        <v/>
      </c>
      <c r="BG90" s="19" t="str">
        <f aca="false">IF(AG90=0,"",IF(OR(AI90&lt;3,AL90&gt;EOMONTH(AsOfDate,-1)),BE90,IF((AL90-1)&lt;AH90,-1,12*(YEAR((AL90-1))-YEAR(AH90))+MONTH((AL90-1))-MONTH(AH90)-IF(DAY((AL90-1))&lt;MIN(DAY(AH90),DAY(EOMONTH((AL90-1),0))),1,0))))</f>
        <v/>
      </c>
      <c r="BH90" s="19" t="str">
        <f aca="false">IF(AG90=0,"",IF(AP90="FT",IF(BF90&lt;FT_First,0,IF(BF90&lt;FT_Y5,1+INT((BF90-FT_First)/FT_Int1),FT_PreY5+FT_PerYear*INT((BF90-FT_Y5)/12)+FT_AnnivDays+INT(MOD(BF90-FT_Y5,12)/FT_Int2))),IF(AP90="PT",IF(BF90&lt;PT_First,0,1+INT((BF90-PT_First)/PT_Int)),0))+IF(AND(AI90&gt;=2,AK90&lt;=EOMONTH(AsOfDate,-1)),IF(AQ90="FT",IF(BG90&lt;FT_First,0,IF(BG90&lt;FT_Y5,1+INT((BG90-FT_First)/FT_Int1),FT_PreY5+FT_PerYear*INT((BG90-FT_Y5)/12)+FT_AnnivDays+INT(MOD(BG90-FT_Y5,12)/FT_Int2))),IF(AQ90="PT",IF(BG90&lt;PT_First,0,1+INT((BG90-PT_First)/PT_Int)),0))-IF(AQ90="FT",IF(BF90&lt;FT_First,0,IF(BF90&lt;FT_Y5,1+INT((BF90-FT_First)/FT_Int1),FT_PreY5+FT_PerYear*INT((BF90-FT_Y5)/12)+FT_AnnivDays+INT(MOD(BF90-FT_Y5,12)/FT_Int2))),IF(AQ90="PT",IF(BF90&lt;PT_First,0,1+INT((BF90-PT_First)/PT_Int)),0)),0)+IF(AND(AI90&gt;=3,AL90&lt;=EOMONTH(AsOfDate,-1)),IF(AR90="FT",IF(BE90&lt;FT_First,0,IF(BE90&lt;FT_Y5,1+INT((BE90-FT_First)/FT_Int1),FT_PreY5+FT_PerYear*INT((BE90-FT_Y5)/12)+FT_AnnivDays+INT(MOD(BE90-FT_Y5,12)/FT_Int2))),IF(AR90="PT",IF(BE90&lt;PT_First,0,1+INT((BE90-PT_First)/PT_Int)),0))-IF(AR90="FT",IF(BG90&lt;FT_First,0,IF(BG90&lt;FT_Y5,1+INT((BG90-FT_First)/FT_Int1),FT_PreY5+FT_PerYear*INT((BG90-FT_Y5)/12)+FT_AnnivDays+INT(MOD(BG90-FT_Y5,12)/FT_Int2))),IF(AR90="PT",IF(BG90&lt;PT_First,0,1+INT((BG90-PT_First)/PT_Int)),0)),0))</f>
        <v/>
      </c>
      <c r="BI90" s="19" t="str">
        <f aca="false">IF(AG90=0,"",IF(AS90="FT",IF(AT90&lt;FT_First,"",IF(AT90&lt;FT_Y5,FT_First+FT_Int1*INT((AT90-FT_First)/FT_Int1),FT_Y5+FT_Int2*INT((AT90-FT_Y5)/FT_Int2))),IF(AS90="PT",IF(AT90&lt;PT_First,"",PT_First+PT_Int*INT((AT90-PT_First)/PT_Int)),"")))</f>
        <v/>
      </c>
      <c r="BJ90" s="0" t="str">
        <f aca="false">IF(LEN($A90&amp;$B90)=0,"",$A90&amp;" "&amp;$B90)</f>
        <v/>
      </c>
    </row>
    <row r="91" customFormat="false" ht="15" hidden="false" customHeight="false" outlineLevel="0" collapsed="false">
      <c r="A91" s="15"/>
      <c r="B91" s="15"/>
      <c r="C91" s="15"/>
      <c r="D91" s="16"/>
      <c r="E91" s="17" t="str">
        <f aca="false">IF(OR(AG91=0,$D91=""),"",DATE(YEAR(AsOfDate)+IF(DATE(YEAR(AsOfDate),MONTH($D91),DAY($D91))&lt;=AsOfDate,1,0),MONTH($D91),DAY($D91)))</f>
        <v/>
      </c>
      <c r="F91" s="16"/>
      <c r="G91" s="16"/>
      <c r="H91" s="16"/>
      <c r="I91" s="16"/>
      <c r="J91" s="16"/>
      <c r="K91" s="17" t="str">
        <f aca="false">IF(AG91=0,"",DATE(YEAR(AsOfDate)+IF(DATE(YEAR(AsOfDate),MONTH(AH91),DAY(AH91))&lt;=AsOfDate,1,0),MONTH(AH91),DAY(AH91)))</f>
        <v/>
      </c>
      <c r="L91" s="18" t="str">
        <f aca="false">IF(AG91=0,"",ROUND((AsOfDate-AH91)/365.25,1))</f>
        <v/>
      </c>
      <c r="M91" s="19" t="str">
        <f aca="false">IF(AG91=0,"",IF(AsOfDate&lt;AH91,"-",DATEDIF(AH91,AsOfDate,"y")&amp;"y "&amp;DATEDIF(AH91,AsOfDate,"ym")&amp;"m "&amp;DATEDIF(AH91,AsOfDate,"md")&amp;"d"))</f>
        <v/>
      </c>
      <c r="N91" s="20" t="str">
        <f aca="false">IF(AG91=0,"",O91*HoursPerDay)</f>
        <v/>
      </c>
      <c r="O91" s="20" t="str">
        <f aca="false">IF(AG91=0,"",AZ91)</f>
        <v/>
      </c>
      <c r="P91" s="21"/>
      <c r="Q91" s="19"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19"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7" t="str">
        <f aca="false">IF(AG91=0,"",IF(AS91="None","",EDATE(AH91,BB91)))</f>
        <v/>
      </c>
      <c r="T91" s="20" t="str">
        <f aca="false">IF(AG91=0,"",IF(NOT(LH_Ready),"",IF(AH91&gt;PFYDate,0,IF(LH_ColPeriod=0,W91-U91+V91,SUMIFS(INDEX(LH_Data,0,LH_ColAcc),INDEX(LH_Data,0,LH_ColFirst),$A91,INDEX(LH_Data,0,LH_ColSur),$B91,INDEX(LH_Data,0,LH_ColCat),BonusCat,INDEX(LH_Data,0,LH_ColPeriod),LH_OpenLabel)*UnitFactor))))</f>
        <v/>
      </c>
      <c r="U91" s="20" t="str">
        <f aca="false">IF(AG91=0,"",IF(NOT(LH_Ready),"",SUMIFS(INDEX(LH_Data,0,LH_ColAcc),INDEX(LH_Data,0,LH_ColFirst),$A91,INDEX(LH_Data,0,LH_ColSur),$B91,INDEX(LH_Data,0,LH_ColCat),BonusCat,INDEX(LH_Data,0,LH_ColStart),"&gt;="&amp;AH91)*UnitFactor))</f>
        <v/>
      </c>
      <c r="V91" s="20" t="str">
        <f aca="false">IF(AG91=0,"",IF(NOT(LH_Ready),"",SUMIFS(INDEX(LH_Data,0,LH_ColTaken),INDEX(LH_Data,0,LH_ColFirst),$A91,INDEX(LH_Data,0,LH_ColSur),$B91,INDEX(LH_Data,0,LH_ColCat),BonusCat,INDEX(LH_Data,0,LH_ColStart),"&gt;="&amp;AH91)*UnitFactor))</f>
        <v/>
      </c>
      <c r="W91" s="20" t="str">
        <f aca="false">IF(AG91=0,"",IF(NOT(LH_Ready),"",IF(BD91=0,0,INDEX(INDEX(LH_Data,0,LH_ColClose),BD91-1)*UnitFactor)))</f>
        <v/>
      </c>
      <c r="X91" s="20" t="str">
        <f aca="false">IF(AG91=0,"",(AZ91-BA91)*HoursPerDay)</f>
        <v/>
      </c>
      <c r="Y91" s="20" t="str">
        <f aca="false">IF(AG91=0,"",IF(NOT(LH_Ready),"",IF(BC91=0,N91,IF(PFYDate&lt;$F91,N91-N(T91)-N(U91),X91-N(U91)))))</f>
        <v/>
      </c>
      <c r="Z91" s="19" t="str">
        <f aca="false">IF(OR(AG91=0,Y91=""),"",IF(Y91&gt;0,"Yes","No"))</f>
        <v/>
      </c>
      <c r="AA91" s="19"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20" t="str">
        <f aca="false">IF(OR(AG91=0,T91=""),"",BA91*HoursPerDay-T91)</f>
        <v/>
      </c>
      <c r="AC91" s="19" t="str">
        <f aca="false">IF(AG91=0,"",BC91)</f>
        <v/>
      </c>
      <c r="AD91" s="19"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20" t="str">
        <f aca="false">IF(AG91=0,"",O91-BH91)</f>
        <v/>
      </c>
      <c r="AF91" s="17" t="str">
        <f aca="false">IF(OR(AG91=0,AE91="",N(AE91)=0,BI91=""),"",EDATE(AH91,BI91))</f>
        <v/>
      </c>
      <c r="AG91" s="19" t="n">
        <f aca="false">IF(OR(LEN($A91&amp;$B91)=0,$F91=""),0,1)</f>
        <v>0</v>
      </c>
      <c r="AH91" s="17" t="str">
        <f aca="false">IF(AG91=0,"",IF($J91&lt;&gt;"",$J91,IF(OR(CasualCounts="Yes",COUNT($G91:$I91)=0,COUNT($H91:$I91)=0),$F91,MIN($H91:$I91))))</f>
        <v/>
      </c>
      <c r="AI91" s="19" t="str">
        <f aca="false">IF(AG91=0,"",COUNT($G91:$I91))</f>
        <v/>
      </c>
      <c r="AJ91" s="17" t="str">
        <f aca="false">IF(AG91=0,"",IFERROR(SMALL($G91:$I91,1),""))</f>
        <v/>
      </c>
      <c r="AK91" s="17" t="str">
        <f aca="false">IF(AG91=0,"",IFERROR(SMALL($G91:$I91,2),""))</f>
        <v/>
      </c>
      <c r="AL91" s="17" t="str">
        <f aca="false">IF(AG91=0,"",IFERROR(SMALL($G91:$I91,3),""))</f>
        <v/>
      </c>
      <c r="AM91" s="19" t="str">
        <f aca="false">IF(AG91=0,"",IF(AJ91="","",IF(AJ91=$H91,"Part-Time",IF(AJ91=$I91,"Full-Time","Casual"))))</f>
        <v/>
      </c>
      <c r="AN91" s="19" t="str">
        <f aca="false">IF(AG91=0,"",IF(AK91="","",IF(AK91=$H91,"Part-Time",IF(AK91=$I91,"Full-Time","Casual"))))</f>
        <v/>
      </c>
      <c r="AO91" s="19" t="str">
        <f aca="false">IF(AG91=0,"",IF(AL91="","",IF(AL91=$H91,"Part-Time",IF(AL91=$I91,"Full-Time","Casual"))))</f>
        <v/>
      </c>
      <c r="AP91" s="19"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19" t="str">
        <f aca="false">IF(AG91=0,"",IF(AI91&lt;2,"",IF(OR(ISNUMBER(SEARCH("full",AN91)),UPPER(TRIM(AN91))="FT",UPPER(TRIM(AN91))="FTE"),"FT",IF(AND(OR(ISNUMBER(SEARCH("part",AN91)),UPPER(TRIM(AN91))="PT",UPPER(TRIM(AN91))="PTE"),OR($P91="",N($P91)&gt;=PT_MinHours)),"PT","None"))))</f>
        <v/>
      </c>
      <c r="AR91" s="19" t="str">
        <f aca="false">IF(AG91=0,"",IF(AI91&lt;3,"",IF(OR(ISNUMBER(SEARCH("full",AO91)),UPPER(TRIM(AO91))="FT",UPPER(TRIM(AO91))="FTE"),"FT",IF(AND(OR(ISNUMBER(SEARCH("part",AO91)),UPPER(TRIM(AO91))="PT",UPPER(TRIM(AO91))="PTE"),OR($P91="",N($P91)&gt;=PT_MinHours)),"PT","None"))))</f>
        <v/>
      </c>
      <c r="AS91" s="19" t="str">
        <f aca="false">IF(AG91=0,"",IF(AND(AI91&gt;=3,AL91&lt;=AsOfDate),AR91,IF(AND(AI91&gt;=2,AK91&lt;=AsOfDate),AQ91,AP91)))</f>
        <v/>
      </c>
      <c r="AT91" s="19" t="str">
        <f aca="false">IF(AG91=0,"",IF(AsOfDate&lt;AH91,-1,12*(YEAR(AsOfDate)-YEAR(AH91))+MONTH(AsOfDate)-MONTH(AH91)-IF(DAY(AsOfDate)&lt;MIN(DAY(AH91),DAY(EOMONTH(AsOfDate,0))),1,0)))</f>
        <v/>
      </c>
      <c r="AU91" s="19" t="str">
        <f aca="false">IF(AG91=0,"",IF(OR(AI91&lt;2,AK91&gt;AsOfDate),AT91,IF((AK91-1)&lt;AH91,-1,12*(YEAR((AK91-1))-YEAR(AH91))+MONTH((AK91-1))-MONTH(AH91)-IF(DAY((AK91-1))&lt;MIN(DAY(AH91),DAY(EOMONTH((AK91-1),0))),1,0))))</f>
        <v/>
      </c>
      <c r="AV91" s="19" t="str">
        <f aca="false">IF(AG91=0,"",IF(OR(AI91&lt;3,AL91&gt;AsOfDate),AT91,IF((AL91-1)&lt;AH91,-1,12*(YEAR((AL91-1))-YEAR(AH91))+MONTH((AL91-1))-MONTH(AH91)-IF(DAY((AL91-1))&lt;MIN(DAY(AH91),DAY(EOMONTH((AL91-1),0))),1,0))))</f>
        <v/>
      </c>
      <c r="AW91" s="19" t="str">
        <f aca="false">IF(AG91=0,"",IF(PFYDate&lt;AH91,-1,12*(YEAR(PFYDate)-YEAR(AH91))+MONTH(PFYDate)-MONTH(AH91)-IF(DAY(PFYDate)&lt;MIN(DAY(AH91),DAY(EOMONTH(PFYDate,0))),1,0)))</f>
        <v/>
      </c>
      <c r="AX91" s="19" t="str">
        <f aca="false">IF(AG91=0,"",IF(OR(AI91&lt;2,AK91&gt;PFYDate),AW91,IF((AK91-1)&lt;AH91,-1,12*(YEAR((AK91-1))-YEAR(AH91))+MONTH((AK91-1))-MONTH(AH91)-IF(DAY((AK91-1))&lt;MIN(DAY(AH91),DAY(EOMONTH((AK91-1),0))),1,0))))</f>
        <v/>
      </c>
      <c r="AY91" s="19" t="str">
        <f aca="false">IF(AG91=0,"",IF(OR(AI91&lt;3,AL91&gt;PFYDate),AW91,IF((AL91-1)&lt;AH91,-1,12*(YEAR((AL91-1))-YEAR(AH91))+MONTH((AL91-1))-MONTH(AH91)-IF(DAY((AL91-1))&lt;MIN(DAY(AH91),DAY(EOMONTH((AL91-1),0))),1,0))))</f>
        <v/>
      </c>
      <c r="AZ91" s="19" t="str">
        <f aca="false">IF(AG91=0,"",IF(AP91="FT",IF(AU91&lt;FT_First,0,IF(AU91&lt;FT_Y5,1+INT((AU91-FT_First)/FT_Int1),FT_PreY5+FT_PerYear*INT((AU91-FT_Y5)/12)+FT_AnnivDays+INT(MOD(AU91-FT_Y5,12)/FT_Int2))),IF(AP91="PT",IF(AU91&lt;PT_First,0,1+INT((AU91-PT_First)/PT_Int)),0))+IF(AND(AI91&gt;=2,AK91&lt;=AsOfDate),IF(AQ91="FT",IF(AV91&lt;FT_First,0,IF(AV91&lt;FT_Y5,1+INT((AV91-FT_First)/FT_Int1),FT_PreY5+FT_PerYear*INT((AV91-FT_Y5)/12)+FT_AnnivDays+INT(MOD(AV91-FT_Y5,12)/FT_Int2))),IF(AQ91="PT",IF(AV91&lt;PT_First,0,1+INT((AV91-PT_First)/PT_Int)),0))-IF(AQ91="FT",IF(AU91&lt;FT_First,0,IF(AU91&lt;FT_Y5,1+INT((AU91-FT_First)/FT_Int1),FT_PreY5+FT_PerYear*INT((AU91-FT_Y5)/12)+FT_AnnivDays+INT(MOD(AU91-FT_Y5,12)/FT_Int2))),IF(AQ91="PT",IF(AU91&lt;PT_First,0,1+INT((AU91-PT_First)/PT_Int)),0)),0)+IF(AND(AI91&gt;=3,AL91&lt;=AsOfDate),IF(AR91="FT",IF(AT91&lt;FT_First,0,IF(AT91&lt;FT_Y5,1+INT((AT91-FT_First)/FT_Int1),FT_PreY5+FT_PerYear*INT((AT91-FT_Y5)/12)+FT_AnnivDays+INT(MOD(AT91-FT_Y5,12)/FT_Int2))),IF(AR91="PT",IF(AT91&lt;PT_First,0,1+INT((AT91-PT_First)/PT_Int)),0))-IF(AR91="FT",IF(AV91&lt;FT_First,0,IF(AV91&lt;FT_Y5,1+INT((AV91-FT_First)/FT_Int1),FT_PreY5+FT_PerYear*INT((AV91-FT_Y5)/12)+FT_AnnivDays+INT(MOD(AV91-FT_Y5,12)/FT_Int2))),IF(AR91="PT",IF(AV91&lt;PT_First,0,1+INT((AV91-PT_First)/PT_Int)),0)),0))</f>
        <v/>
      </c>
      <c r="BA91" s="19" t="str">
        <f aca="false">IF(AG91=0,"",IF(AP91="FT",IF(AX91&lt;FT_First,0,IF(AX91&lt;FT_Y5,1+INT((AX91-FT_First)/FT_Int1),FT_PreY5+FT_PerYear*INT((AX91-FT_Y5)/12)+FT_AnnivDays+INT(MOD(AX91-FT_Y5,12)/FT_Int2))),IF(AP91="PT",IF(AX91&lt;PT_First,0,1+INT((AX91-PT_First)/PT_Int)),0))+IF(AND(AI91&gt;=2,AK91&lt;=PFYDate),IF(AQ91="FT",IF(AY91&lt;FT_First,0,IF(AY91&lt;FT_Y5,1+INT((AY91-FT_First)/FT_Int1),FT_PreY5+FT_PerYear*INT((AY91-FT_Y5)/12)+FT_AnnivDays+INT(MOD(AY91-FT_Y5,12)/FT_Int2))),IF(AQ91="PT",IF(AY91&lt;PT_First,0,1+INT((AY91-PT_First)/PT_Int)),0))-IF(AQ91="FT",IF(AX91&lt;FT_First,0,IF(AX91&lt;FT_Y5,1+INT((AX91-FT_First)/FT_Int1),FT_PreY5+FT_PerYear*INT((AX91-FT_Y5)/12)+FT_AnnivDays+INT(MOD(AX91-FT_Y5,12)/FT_Int2))),IF(AQ91="PT",IF(AX91&lt;PT_First,0,1+INT((AX91-PT_First)/PT_Int)),0)),0)+IF(AND(AI91&gt;=3,AL91&lt;=PFYDate),IF(AR91="FT",IF(AW91&lt;FT_First,0,IF(AW91&lt;FT_Y5,1+INT((AW91-FT_First)/FT_Int1),FT_PreY5+FT_PerYear*INT((AW91-FT_Y5)/12)+FT_AnnivDays+INT(MOD(AW91-FT_Y5,12)/FT_Int2))),IF(AR91="PT",IF(AW91&lt;PT_First,0,1+INT((AW91-PT_First)/PT_Int)),0))-IF(AR91="FT",IF(AY91&lt;FT_First,0,IF(AY91&lt;FT_Y5,1+INT((AY91-FT_First)/FT_Int1),FT_PreY5+FT_PerYear*INT((AY91-FT_Y5)/12)+FT_AnnivDays+INT(MOD(AY91-FT_Y5,12)/FT_Int2))),IF(AR91="PT",IF(AY91&lt;PT_First,0,1+INT((AY91-PT_First)/PT_Int)),0)),0))</f>
        <v/>
      </c>
      <c r="BB91" s="19" t="str">
        <f aca="false">IF(AG91=0,"",IF(AS91="FT",IF(AT91&lt;FT_First,FT_First,IF(AT91&lt;FT_Y5,MIN(FT_Y5,FT_First+FT_Int1*(INT((AT91-FT_First)/FT_Int1)+1)),FT_Y5+12*INT((AT91-FT_Y5)/12)+FT_Int2*(INT(MOD(AT91-FT_Y5,12)/FT_Int2)+1))),IF(AS91="PT",IF(AT91&lt;PT_First,PT_First,PT_First+PT_Int*(INT((AT91-PT_First)/PT_Int)+1)),"")))</f>
        <v/>
      </c>
      <c r="BC91" s="19" t="str">
        <f aca="false">IF(AG91=0,"",IF(NOT(LH_Ready),0,COUNTIFS(INDEX(LH_Data,0,LH_ColFirst),$A91,INDEX(LH_Data,0,LH_ColSur),$B91,INDEX(LH_Data,0,LH_ColCat),BonusCat)))</f>
        <v/>
      </c>
      <c r="BD91" s="19" t="str">
        <f aca="false">IF(AG91=0,"",IF(OR(NOT(LH_Ready),BC91=0),0,SUMPRODUCT(MAX((INDEX(LH_Data,0,LH_ColFirst)=$A91)*(INDEX(LH_Data,0,LH_ColSur)=$B91)*(INDEX(LH_Data,0,LH_ColCat)=BonusCat)*ROW(LH_Data)))))</f>
        <v/>
      </c>
      <c r="BE91" s="19" t="str">
        <f aca="false">IF(AG91=0,"",IF(EOMONTH(AsOfDate,-1)&lt;AH91,-1,12*(YEAR(EOMONTH(AsOfDate,-1))-YEAR(AH91))+MONTH(EOMONTH(AsOfDate,-1))-MONTH(AH91)-IF(DAY(EOMONTH(AsOfDate,-1))&lt;MIN(DAY(AH91),DAY(EOMONTH(EOMONTH(AsOfDate,-1),0))),1,0)))</f>
        <v/>
      </c>
      <c r="BF91" s="19" t="str">
        <f aca="false">IF(AG91=0,"",IF(OR(AI91&lt;2,AK91&gt;EOMONTH(AsOfDate,-1)),BE91,IF((AK91-1)&lt;AH91,-1,12*(YEAR((AK91-1))-YEAR(AH91))+MONTH((AK91-1))-MONTH(AH91)-IF(DAY((AK91-1))&lt;MIN(DAY(AH91),DAY(EOMONTH((AK91-1),0))),1,0))))</f>
        <v/>
      </c>
      <c r="BG91" s="19" t="str">
        <f aca="false">IF(AG91=0,"",IF(OR(AI91&lt;3,AL91&gt;EOMONTH(AsOfDate,-1)),BE91,IF((AL91-1)&lt;AH91,-1,12*(YEAR((AL91-1))-YEAR(AH91))+MONTH((AL91-1))-MONTH(AH91)-IF(DAY((AL91-1))&lt;MIN(DAY(AH91),DAY(EOMONTH((AL91-1),0))),1,0))))</f>
        <v/>
      </c>
      <c r="BH91" s="19" t="str">
        <f aca="false">IF(AG91=0,"",IF(AP91="FT",IF(BF91&lt;FT_First,0,IF(BF91&lt;FT_Y5,1+INT((BF91-FT_First)/FT_Int1),FT_PreY5+FT_PerYear*INT((BF91-FT_Y5)/12)+FT_AnnivDays+INT(MOD(BF91-FT_Y5,12)/FT_Int2))),IF(AP91="PT",IF(BF91&lt;PT_First,0,1+INT((BF91-PT_First)/PT_Int)),0))+IF(AND(AI91&gt;=2,AK91&lt;=EOMONTH(AsOfDate,-1)),IF(AQ91="FT",IF(BG91&lt;FT_First,0,IF(BG91&lt;FT_Y5,1+INT((BG91-FT_First)/FT_Int1),FT_PreY5+FT_PerYear*INT((BG91-FT_Y5)/12)+FT_AnnivDays+INT(MOD(BG91-FT_Y5,12)/FT_Int2))),IF(AQ91="PT",IF(BG91&lt;PT_First,0,1+INT((BG91-PT_First)/PT_Int)),0))-IF(AQ91="FT",IF(BF91&lt;FT_First,0,IF(BF91&lt;FT_Y5,1+INT((BF91-FT_First)/FT_Int1),FT_PreY5+FT_PerYear*INT((BF91-FT_Y5)/12)+FT_AnnivDays+INT(MOD(BF91-FT_Y5,12)/FT_Int2))),IF(AQ91="PT",IF(BF91&lt;PT_First,0,1+INT((BF91-PT_First)/PT_Int)),0)),0)+IF(AND(AI91&gt;=3,AL91&lt;=EOMONTH(AsOfDate,-1)),IF(AR91="FT",IF(BE91&lt;FT_First,0,IF(BE91&lt;FT_Y5,1+INT((BE91-FT_First)/FT_Int1),FT_PreY5+FT_PerYear*INT((BE91-FT_Y5)/12)+FT_AnnivDays+INT(MOD(BE91-FT_Y5,12)/FT_Int2))),IF(AR91="PT",IF(BE91&lt;PT_First,0,1+INT((BE91-PT_First)/PT_Int)),0))-IF(AR91="FT",IF(BG91&lt;FT_First,0,IF(BG91&lt;FT_Y5,1+INT((BG91-FT_First)/FT_Int1),FT_PreY5+FT_PerYear*INT((BG91-FT_Y5)/12)+FT_AnnivDays+INT(MOD(BG91-FT_Y5,12)/FT_Int2))),IF(AR91="PT",IF(BG91&lt;PT_First,0,1+INT((BG91-PT_First)/PT_Int)),0)),0))</f>
        <v/>
      </c>
      <c r="BI91" s="19" t="str">
        <f aca="false">IF(AG91=0,"",IF(AS91="FT",IF(AT91&lt;FT_First,"",IF(AT91&lt;FT_Y5,FT_First+FT_Int1*INT((AT91-FT_First)/FT_Int1),FT_Y5+FT_Int2*INT((AT91-FT_Y5)/FT_Int2))),IF(AS91="PT",IF(AT91&lt;PT_First,"",PT_First+PT_Int*INT((AT91-PT_First)/PT_Int)),"")))</f>
        <v/>
      </c>
      <c r="BJ91" s="0" t="str">
        <f aca="false">IF(LEN($A91&amp;$B91)=0,"",$A91&amp;" "&amp;$B91)</f>
        <v/>
      </c>
    </row>
    <row r="92" customFormat="false" ht="15" hidden="false" customHeight="false" outlineLevel="0" collapsed="false">
      <c r="A92" s="15"/>
      <c r="B92" s="15"/>
      <c r="C92" s="15"/>
      <c r="D92" s="16"/>
      <c r="E92" s="17" t="str">
        <f aca="false">IF(OR(AG92=0,$D92=""),"",DATE(YEAR(AsOfDate)+IF(DATE(YEAR(AsOfDate),MONTH($D92),DAY($D92))&lt;=AsOfDate,1,0),MONTH($D92),DAY($D92)))</f>
        <v/>
      </c>
      <c r="F92" s="16"/>
      <c r="G92" s="16"/>
      <c r="H92" s="16"/>
      <c r="I92" s="16"/>
      <c r="J92" s="16"/>
      <c r="K92" s="17" t="str">
        <f aca="false">IF(AG92=0,"",DATE(YEAR(AsOfDate)+IF(DATE(YEAR(AsOfDate),MONTH(AH92),DAY(AH92))&lt;=AsOfDate,1,0),MONTH(AH92),DAY(AH92)))</f>
        <v/>
      </c>
      <c r="L92" s="18" t="str">
        <f aca="false">IF(AG92=0,"",ROUND((AsOfDate-AH92)/365.25,1))</f>
        <v/>
      </c>
      <c r="M92" s="19" t="str">
        <f aca="false">IF(AG92=0,"",IF(AsOfDate&lt;AH92,"-",DATEDIF(AH92,AsOfDate,"y")&amp;"y "&amp;DATEDIF(AH92,AsOfDate,"ym")&amp;"m "&amp;DATEDIF(AH92,AsOfDate,"md")&amp;"d"))</f>
        <v/>
      </c>
      <c r="N92" s="20" t="str">
        <f aca="false">IF(AG92=0,"",O92*HoursPerDay)</f>
        <v/>
      </c>
      <c r="O92" s="20" t="str">
        <f aca="false">IF(AG92=0,"",AZ92)</f>
        <v/>
      </c>
      <c r="P92" s="21"/>
      <c r="Q92" s="19"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19"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7" t="str">
        <f aca="false">IF(AG92=0,"",IF(AS92="None","",EDATE(AH92,BB92)))</f>
        <v/>
      </c>
      <c r="T92" s="20" t="str">
        <f aca="false">IF(AG92=0,"",IF(NOT(LH_Ready),"",IF(AH92&gt;PFYDate,0,IF(LH_ColPeriod=0,W92-U92+V92,SUMIFS(INDEX(LH_Data,0,LH_ColAcc),INDEX(LH_Data,0,LH_ColFirst),$A92,INDEX(LH_Data,0,LH_ColSur),$B92,INDEX(LH_Data,0,LH_ColCat),BonusCat,INDEX(LH_Data,0,LH_ColPeriod),LH_OpenLabel)*UnitFactor))))</f>
        <v/>
      </c>
      <c r="U92" s="20" t="str">
        <f aca="false">IF(AG92=0,"",IF(NOT(LH_Ready),"",SUMIFS(INDEX(LH_Data,0,LH_ColAcc),INDEX(LH_Data,0,LH_ColFirst),$A92,INDEX(LH_Data,0,LH_ColSur),$B92,INDEX(LH_Data,0,LH_ColCat),BonusCat,INDEX(LH_Data,0,LH_ColStart),"&gt;="&amp;AH92)*UnitFactor))</f>
        <v/>
      </c>
      <c r="V92" s="20" t="str">
        <f aca="false">IF(AG92=0,"",IF(NOT(LH_Ready),"",SUMIFS(INDEX(LH_Data,0,LH_ColTaken),INDEX(LH_Data,0,LH_ColFirst),$A92,INDEX(LH_Data,0,LH_ColSur),$B92,INDEX(LH_Data,0,LH_ColCat),BonusCat,INDEX(LH_Data,0,LH_ColStart),"&gt;="&amp;AH92)*UnitFactor))</f>
        <v/>
      </c>
      <c r="W92" s="20" t="str">
        <f aca="false">IF(AG92=0,"",IF(NOT(LH_Ready),"",IF(BD92=0,0,INDEX(INDEX(LH_Data,0,LH_ColClose),BD92-1)*UnitFactor)))</f>
        <v/>
      </c>
      <c r="X92" s="20" t="str">
        <f aca="false">IF(AG92=0,"",(AZ92-BA92)*HoursPerDay)</f>
        <v/>
      </c>
      <c r="Y92" s="20" t="str">
        <f aca="false">IF(AG92=0,"",IF(NOT(LH_Ready),"",IF(BC92=0,N92,IF(PFYDate&lt;$F92,N92-N(T92)-N(U92),X92-N(U92)))))</f>
        <v/>
      </c>
      <c r="Z92" s="19" t="str">
        <f aca="false">IF(OR(AG92=0,Y92=""),"",IF(Y92&gt;0,"Yes","No"))</f>
        <v/>
      </c>
      <c r="AA92" s="19"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20" t="str">
        <f aca="false">IF(OR(AG92=0,T92=""),"",BA92*HoursPerDay-T92)</f>
        <v/>
      </c>
      <c r="AC92" s="19" t="str">
        <f aca="false">IF(AG92=0,"",BC92)</f>
        <v/>
      </c>
      <c r="AD92" s="19"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20" t="str">
        <f aca="false">IF(AG92=0,"",O92-BH92)</f>
        <v/>
      </c>
      <c r="AF92" s="17" t="str">
        <f aca="false">IF(OR(AG92=0,AE92="",N(AE92)=0,BI92=""),"",EDATE(AH92,BI92))</f>
        <v/>
      </c>
      <c r="AG92" s="19" t="n">
        <f aca="false">IF(OR(LEN($A92&amp;$B92)=0,$F92=""),0,1)</f>
        <v>0</v>
      </c>
      <c r="AH92" s="17" t="str">
        <f aca="false">IF(AG92=0,"",IF($J92&lt;&gt;"",$J92,IF(OR(CasualCounts="Yes",COUNT($G92:$I92)=0,COUNT($H92:$I92)=0),$F92,MIN($H92:$I92))))</f>
        <v/>
      </c>
      <c r="AI92" s="19" t="str">
        <f aca="false">IF(AG92=0,"",COUNT($G92:$I92))</f>
        <v/>
      </c>
      <c r="AJ92" s="17" t="str">
        <f aca="false">IF(AG92=0,"",IFERROR(SMALL($G92:$I92,1),""))</f>
        <v/>
      </c>
      <c r="AK92" s="17" t="str">
        <f aca="false">IF(AG92=0,"",IFERROR(SMALL($G92:$I92,2),""))</f>
        <v/>
      </c>
      <c r="AL92" s="17" t="str">
        <f aca="false">IF(AG92=0,"",IFERROR(SMALL($G92:$I92,3),""))</f>
        <v/>
      </c>
      <c r="AM92" s="19" t="str">
        <f aca="false">IF(AG92=0,"",IF(AJ92="","",IF(AJ92=$H92,"Part-Time",IF(AJ92=$I92,"Full-Time","Casual"))))</f>
        <v/>
      </c>
      <c r="AN92" s="19" t="str">
        <f aca="false">IF(AG92=0,"",IF(AK92="","",IF(AK92=$H92,"Part-Time",IF(AK92=$I92,"Full-Time","Casual"))))</f>
        <v/>
      </c>
      <c r="AO92" s="19" t="str">
        <f aca="false">IF(AG92=0,"",IF(AL92="","",IF(AL92=$H92,"Part-Time",IF(AL92=$I92,"Full-Time","Casual"))))</f>
        <v/>
      </c>
      <c r="AP92" s="19"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19" t="str">
        <f aca="false">IF(AG92=0,"",IF(AI92&lt;2,"",IF(OR(ISNUMBER(SEARCH("full",AN92)),UPPER(TRIM(AN92))="FT",UPPER(TRIM(AN92))="FTE"),"FT",IF(AND(OR(ISNUMBER(SEARCH("part",AN92)),UPPER(TRIM(AN92))="PT",UPPER(TRIM(AN92))="PTE"),OR($P92="",N($P92)&gt;=PT_MinHours)),"PT","None"))))</f>
        <v/>
      </c>
      <c r="AR92" s="19" t="str">
        <f aca="false">IF(AG92=0,"",IF(AI92&lt;3,"",IF(OR(ISNUMBER(SEARCH("full",AO92)),UPPER(TRIM(AO92))="FT",UPPER(TRIM(AO92))="FTE"),"FT",IF(AND(OR(ISNUMBER(SEARCH("part",AO92)),UPPER(TRIM(AO92))="PT",UPPER(TRIM(AO92))="PTE"),OR($P92="",N($P92)&gt;=PT_MinHours)),"PT","None"))))</f>
        <v/>
      </c>
      <c r="AS92" s="19" t="str">
        <f aca="false">IF(AG92=0,"",IF(AND(AI92&gt;=3,AL92&lt;=AsOfDate),AR92,IF(AND(AI92&gt;=2,AK92&lt;=AsOfDate),AQ92,AP92)))</f>
        <v/>
      </c>
      <c r="AT92" s="19" t="str">
        <f aca="false">IF(AG92=0,"",IF(AsOfDate&lt;AH92,-1,12*(YEAR(AsOfDate)-YEAR(AH92))+MONTH(AsOfDate)-MONTH(AH92)-IF(DAY(AsOfDate)&lt;MIN(DAY(AH92),DAY(EOMONTH(AsOfDate,0))),1,0)))</f>
        <v/>
      </c>
      <c r="AU92" s="19" t="str">
        <f aca="false">IF(AG92=0,"",IF(OR(AI92&lt;2,AK92&gt;AsOfDate),AT92,IF((AK92-1)&lt;AH92,-1,12*(YEAR((AK92-1))-YEAR(AH92))+MONTH((AK92-1))-MONTH(AH92)-IF(DAY((AK92-1))&lt;MIN(DAY(AH92),DAY(EOMONTH((AK92-1),0))),1,0))))</f>
        <v/>
      </c>
      <c r="AV92" s="19" t="str">
        <f aca="false">IF(AG92=0,"",IF(OR(AI92&lt;3,AL92&gt;AsOfDate),AT92,IF((AL92-1)&lt;AH92,-1,12*(YEAR((AL92-1))-YEAR(AH92))+MONTH((AL92-1))-MONTH(AH92)-IF(DAY((AL92-1))&lt;MIN(DAY(AH92),DAY(EOMONTH((AL92-1),0))),1,0))))</f>
        <v/>
      </c>
      <c r="AW92" s="19" t="str">
        <f aca="false">IF(AG92=0,"",IF(PFYDate&lt;AH92,-1,12*(YEAR(PFYDate)-YEAR(AH92))+MONTH(PFYDate)-MONTH(AH92)-IF(DAY(PFYDate)&lt;MIN(DAY(AH92),DAY(EOMONTH(PFYDate,0))),1,0)))</f>
        <v/>
      </c>
      <c r="AX92" s="19" t="str">
        <f aca="false">IF(AG92=0,"",IF(OR(AI92&lt;2,AK92&gt;PFYDate),AW92,IF((AK92-1)&lt;AH92,-1,12*(YEAR((AK92-1))-YEAR(AH92))+MONTH((AK92-1))-MONTH(AH92)-IF(DAY((AK92-1))&lt;MIN(DAY(AH92),DAY(EOMONTH((AK92-1),0))),1,0))))</f>
        <v/>
      </c>
      <c r="AY92" s="19" t="str">
        <f aca="false">IF(AG92=0,"",IF(OR(AI92&lt;3,AL92&gt;PFYDate),AW92,IF((AL92-1)&lt;AH92,-1,12*(YEAR((AL92-1))-YEAR(AH92))+MONTH((AL92-1))-MONTH(AH92)-IF(DAY((AL92-1))&lt;MIN(DAY(AH92),DAY(EOMONTH((AL92-1),0))),1,0))))</f>
        <v/>
      </c>
      <c r="AZ92" s="19" t="str">
        <f aca="false">IF(AG92=0,"",IF(AP92="FT",IF(AU92&lt;FT_First,0,IF(AU92&lt;FT_Y5,1+INT((AU92-FT_First)/FT_Int1),FT_PreY5+FT_PerYear*INT((AU92-FT_Y5)/12)+FT_AnnivDays+INT(MOD(AU92-FT_Y5,12)/FT_Int2))),IF(AP92="PT",IF(AU92&lt;PT_First,0,1+INT((AU92-PT_First)/PT_Int)),0))+IF(AND(AI92&gt;=2,AK92&lt;=AsOfDate),IF(AQ92="FT",IF(AV92&lt;FT_First,0,IF(AV92&lt;FT_Y5,1+INT((AV92-FT_First)/FT_Int1),FT_PreY5+FT_PerYear*INT((AV92-FT_Y5)/12)+FT_AnnivDays+INT(MOD(AV92-FT_Y5,12)/FT_Int2))),IF(AQ92="PT",IF(AV92&lt;PT_First,0,1+INT((AV92-PT_First)/PT_Int)),0))-IF(AQ92="FT",IF(AU92&lt;FT_First,0,IF(AU92&lt;FT_Y5,1+INT((AU92-FT_First)/FT_Int1),FT_PreY5+FT_PerYear*INT((AU92-FT_Y5)/12)+FT_AnnivDays+INT(MOD(AU92-FT_Y5,12)/FT_Int2))),IF(AQ92="PT",IF(AU92&lt;PT_First,0,1+INT((AU92-PT_First)/PT_Int)),0)),0)+IF(AND(AI92&gt;=3,AL92&lt;=AsOfDate),IF(AR92="FT",IF(AT92&lt;FT_First,0,IF(AT92&lt;FT_Y5,1+INT((AT92-FT_First)/FT_Int1),FT_PreY5+FT_PerYear*INT((AT92-FT_Y5)/12)+FT_AnnivDays+INT(MOD(AT92-FT_Y5,12)/FT_Int2))),IF(AR92="PT",IF(AT92&lt;PT_First,0,1+INT((AT92-PT_First)/PT_Int)),0))-IF(AR92="FT",IF(AV92&lt;FT_First,0,IF(AV92&lt;FT_Y5,1+INT((AV92-FT_First)/FT_Int1),FT_PreY5+FT_PerYear*INT((AV92-FT_Y5)/12)+FT_AnnivDays+INT(MOD(AV92-FT_Y5,12)/FT_Int2))),IF(AR92="PT",IF(AV92&lt;PT_First,0,1+INT((AV92-PT_First)/PT_Int)),0)),0))</f>
        <v/>
      </c>
      <c r="BA92" s="19" t="str">
        <f aca="false">IF(AG92=0,"",IF(AP92="FT",IF(AX92&lt;FT_First,0,IF(AX92&lt;FT_Y5,1+INT((AX92-FT_First)/FT_Int1),FT_PreY5+FT_PerYear*INT((AX92-FT_Y5)/12)+FT_AnnivDays+INT(MOD(AX92-FT_Y5,12)/FT_Int2))),IF(AP92="PT",IF(AX92&lt;PT_First,0,1+INT((AX92-PT_First)/PT_Int)),0))+IF(AND(AI92&gt;=2,AK92&lt;=PFYDate),IF(AQ92="FT",IF(AY92&lt;FT_First,0,IF(AY92&lt;FT_Y5,1+INT((AY92-FT_First)/FT_Int1),FT_PreY5+FT_PerYear*INT((AY92-FT_Y5)/12)+FT_AnnivDays+INT(MOD(AY92-FT_Y5,12)/FT_Int2))),IF(AQ92="PT",IF(AY92&lt;PT_First,0,1+INT((AY92-PT_First)/PT_Int)),0))-IF(AQ92="FT",IF(AX92&lt;FT_First,0,IF(AX92&lt;FT_Y5,1+INT((AX92-FT_First)/FT_Int1),FT_PreY5+FT_PerYear*INT((AX92-FT_Y5)/12)+FT_AnnivDays+INT(MOD(AX92-FT_Y5,12)/FT_Int2))),IF(AQ92="PT",IF(AX92&lt;PT_First,0,1+INT((AX92-PT_First)/PT_Int)),0)),0)+IF(AND(AI92&gt;=3,AL92&lt;=PFYDate),IF(AR92="FT",IF(AW92&lt;FT_First,0,IF(AW92&lt;FT_Y5,1+INT((AW92-FT_First)/FT_Int1),FT_PreY5+FT_PerYear*INT((AW92-FT_Y5)/12)+FT_AnnivDays+INT(MOD(AW92-FT_Y5,12)/FT_Int2))),IF(AR92="PT",IF(AW92&lt;PT_First,0,1+INT((AW92-PT_First)/PT_Int)),0))-IF(AR92="FT",IF(AY92&lt;FT_First,0,IF(AY92&lt;FT_Y5,1+INT((AY92-FT_First)/FT_Int1),FT_PreY5+FT_PerYear*INT((AY92-FT_Y5)/12)+FT_AnnivDays+INT(MOD(AY92-FT_Y5,12)/FT_Int2))),IF(AR92="PT",IF(AY92&lt;PT_First,0,1+INT((AY92-PT_First)/PT_Int)),0)),0))</f>
        <v/>
      </c>
      <c r="BB92" s="19" t="str">
        <f aca="false">IF(AG92=0,"",IF(AS92="FT",IF(AT92&lt;FT_First,FT_First,IF(AT92&lt;FT_Y5,MIN(FT_Y5,FT_First+FT_Int1*(INT((AT92-FT_First)/FT_Int1)+1)),FT_Y5+12*INT((AT92-FT_Y5)/12)+FT_Int2*(INT(MOD(AT92-FT_Y5,12)/FT_Int2)+1))),IF(AS92="PT",IF(AT92&lt;PT_First,PT_First,PT_First+PT_Int*(INT((AT92-PT_First)/PT_Int)+1)),"")))</f>
        <v/>
      </c>
      <c r="BC92" s="19" t="str">
        <f aca="false">IF(AG92=0,"",IF(NOT(LH_Ready),0,COUNTIFS(INDEX(LH_Data,0,LH_ColFirst),$A92,INDEX(LH_Data,0,LH_ColSur),$B92,INDEX(LH_Data,0,LH_ColCat),BonusCat)))</f>
        <v/>
      </c>
      <c r="BD92" s="19" t="str">
        <f aca="false">IF(AG92=0,"",IF(OR(NOT(LH_Ready),BC92=0),0,SUMPRODUCT(MAX((INDEX(LH_Data,0,LH_ColFirst)=$A92)*(INDEX(LH_Data,0,LH_ColSur)=$B92)*(INDEX(LH_Data,0,LH_ColCat)=BonusCat)*ROW(LH_Data)))))</f>
        <v/>
      </c>
      <c r="BE92" s="19" t="str">
        <f aca="false">IF(AG92=0,"",IF(EOMONTH(AsOfDate,-1)&lt;AH92,-1,12*(YEAR(EOMONTH(AsOfDate,-1))-YEAR(AH92))+MONTH(EOMONTH(AsOfDate,-1))-MONTH(AH92)-IF(DAY(EOMONTH(AsOfDate,-1))&lt;MIN(DAY(AH92),DAY(EOMONTH(EOMONTH(AsOfDate,-1),0))),1,0)))</f>
        <v/>
      </c>
      <c r="BF92" s="19" t="str">
        <f aca="false">IF(AG92=0,"",IF(OR(AI92&lt;2,AK92&gt;EOMONTH(AsOfDate,-1)),BE92,IF((AK92-1)&lt;AH92,-1,12*(YEAR((AK92-1))-YEAR(AH92))+MONTH((AK92-1))-MONTH(AH92)-IF(DAY((AK92-1))&lt;MIN(DAY(AH92),DAY(EOMONTH((AK92-1),0))),1,0))))</f>
        <v/>
      </c>
      <c r="BG92" s="19" t="str">
        <f aca="false">IF(AG92=0,"",IF(OR(AI92&lt;3,AL92&gt;EOMONTH(AsOfDate,-1)),BE92,IF((AL92-1)&lt;AH92,-1,12*(YEAR((AL92-1))-YEAR(AH92))+MONTH((AL92-1))-MONTH(AH92)-IF(DAY((AL92-1))&lt;MIN(DAY(AH92),DAY(EOMONTH((AL92-1),0))),1,0))))</f>
        <v/>
      </c>
      <c r="BH92" s="19" t="str">
        <f aca="false">IF(AG92=0,"",IF(AP92="FT",IF(BF92&lt;FT_First,0,IF(BF92&lt;FT_Y5,1+INT((BF92-FT_First)/FT_Int1),FT_PreY5+FT_PerYear*INT((BF92-FT_Y5)/12)+FT_AnnivDays+INT(MOD(BF92-FT_Y5,12)/FT_Int2))),IF(AP92="PT",IF(BF92&lt;PT_First,0,1+INT((BF92-PT_First)/PT_Int)),0))+IF(AND(AI92&gt;=2,AK92&lt;=EOMONTH(AsOfDate,-1)),IF(AQ92="FT",IF(BG92&lt;FT_First,0,IF(BG92&lt;FT_Y5,1+INT((BG92-FT_First)/FT_Int1),FT_PreY5+FT_PerYear*INT((BG92-FT_Y5)/12)+FT_AnnivDays+INT(MOD(BG92-FT_Y5,12)/FT_Int2))),IF(AQ92="PT",IF(BG92&lt;PT_First,0,1+INT((BG92-PT_First)/PT_Int)),0))-IF(AQ92="FT",IF(BF92&lt;FT_First,0,IF(BF92&lt;FT_Y5,1+INT((BF92-FT_First)/FT_Int1),FT_PreY5+FT_PerYear*INT((BF92-FT_Y5)/12)+FT_AnnivDays+INT(MOD(BF92-FT_Y5,12)/FT_Int2))),IF(AQ92="PT",IF(BF92&lt;PT_First,0,1+INT((BF92-PT_First)/PT_Int)),0)),0)+IF(AND(AI92&gt;=3,AL92&lt;=EOMONTH(AsOfDate,-1)),IF(AR92="FT",IF(BE92&lt;FT_First,0,IF(BE92&lt;FT_Y5,1+INT((BE92-FT_First)/FT_Int1),FT_PreY5+FT_PerYear*INT((BE92-FT_Y5)/12)+FT_AnnivDays+INT(MOD(BE92-FT_Y5,12)/FT_Int2))),IF(AR92="PT",IF(BE92&lt;PT_First,0,1+INT((BE92-PT_First)/PT_Int)),0))-IF(AR92="FT",IF(BG92&lt;FT_First,0,IF(BG92&lt;FT_Y5,1+INT((BG92-FT_First)/FT_Int1),FT_PreY5+FT_PerYear*INT((BG92-FT_Y5)/12)+FT_AnnivDays+INT(MOD(BG92-FT_Y5,12)/FT_Int2))),IF(AR92="PT",IF(BG92&lt;PT_First,0,1+INT((BG92-PT_First)/PT_Int)),0)),0))</f>
        <v/>
      </c>
      <c r="BI92" s="19" t="str">
        <f aca="false">IF(AG92=0,"",IF(AS92="FT",IF(AT92&lt;FT_First,"",IF(AT92&lt;FT_Y5,FT_First+FT_Int1*INT((AT92-FT_First)/FT_Int1),FT_Y5+FT_Int2*INT((AT92-FT_Y5)/FT_Int2))),IF(AS92="PT",IF(AT92&lt;PT_First,"",PT_First+PT_Int*INT((AT92-PT_First)/PT_Int)),"")))</f>
        <v/>
      </c>
      <c r="BJ92" s="0" t="str">
        <f aca="false">IF(LEN($A92&amp;$B92)=0,"",$A92&amp;" "&amp;$B92)</f>
        <v/>
      </c>
    </row>
    <row r="93" customFormat="false" ht="15" hidden="false" customHeight="false" outlineLevel="0" collapsed="false">
      <c r="A93" s="15"/>
      <c r="B93" s="15"/>
      <c r="C93" s="15"/>
      <c r="D93" s="16"/>
      <c r="E93" s="17" t="str">
        <f aca="false">IF(OR(AG93=0,$D93=""),"",DATE(YEAR(AsOfDate)+IF(DATE(YEAR(AsOfDate),MONTH($D93),DAY($D93))&lt;=AsOfDate,1,0),MONTH($D93),DAY($D93)))</f>
        <v/>
      </c>
      <c r="F93" s="16"/>
      <c r="G93" s="16"/>
      <c r="H93" s="16"/>
      <c r="I93" s="16"/>
      <c r="J93" s="16"/>
      <c r="K93" s="17" t="str">
        <f aca="false">IF(AG93=0,"",DATE(YEAR(AsOfDate)+IF(DATE(YEAR(AsOfDate),MONTH(AH93),DAY(AH93))&lt;=AsOfDate,1,0),MONTH(AH93),DAY(AH93)))</f>
        <v/>
      </c>
      <c r="L93" s="18" t="str">
        <f aca="false">IF(AG93=0,"",ROUND((AsOfDate-AH93)/365.25,1))</f>
        <v/>
      </c>
      <c r="M93" s="19" t="str">
        <f aca="false">IF(AG93=0,"",IF(AsOfDate&lt;AH93,"-",DATEDIF(AH93,AsOfDate,"y")&amp;"y "&amp;DATEDIF(AH93,AsOfDate,"ym")&amp;"m "&amp;DATEDIF(AH93,AsOfDate,"md")&amp;"d"))</f>
        <v/>
      </c>
      <c r="N93" s="20" t="str">
        <f aca="false">IF(AG93=0,"",O93*HoursPerDay)</f>
        <v/>
      </c>
      <c r="O93" s="20" t="str">
        <f aca="false">IF(AG93=0,"",AZ93)</f>
        <v/>
      </c>
      <c r="P93" s="21"/>
      <c r="Q93" s="19"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19"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7" t="str">
        <f aca="false">IF(AG93=0,"",IF(AS93="None","",EDATE(AH93,BB93)))</f>
        <v/>
      </c>
      <c r="T93" s="20" t="str">
        <f aca="false">IF(AG93=0,"",IF(NOT(LH_Ready),"",IF(AH93&gt;PFYDate,0,IF(LH_ColPeriod=0,W93-U93+V93,SUMIFS(INDEX(LH_Data,0,LH_ColAcc),INDEX(LH_Data,0,LH_ColFirst),$A93,INDEX(LH_Data,0,LH_ColSur),$B93,INDEX(LH_Data,0,LH_ColCat),BonusCat,INDEX(LH_Data,0,LH_ColPeriod),LH_OpenLabel)*UnitFactor))))</f>
        <v/>
      </c>
      <c r="U93" s="20" t="str">
        <f aca="false">IF(AG93=0,"",IF(NOT(LH_Ready),"",SUMIFS(INDEX(LH_Data,0,LH_ColAcc),INDEX(LH_Data,0,LH_ColFirst),$A93,INDEX(LH_Data,0,LH_ColSur),$B93,INDEX(LH_Data,0,LH_ColCat),BonusCat,INDEX(LH_Data,0,LH_ColStart),"&gt;="&amp;AH93)*UnitFactor))</f>
        <v/>
      </c>
      <c r="V93" s="20" t="str">
        <f aca="false">IF(AG93=0,"",IF(NOT(LH_Ready),"",SUMIFS(INDEX(LH_Data,0,LH_ColTaken),INDEX(LH_Data,0,LH_ColFirst),$A93,INDEX(LH_Data,0,LH_ColSur),$B93,INDEX(LH_Data,0,LH_ColCat),BonusCat,INDEX(LH_Data,0,LH_ColStart),"&gt;="&amp;AH93)*UnitFactor))</f>
        <v/>
      </c>
      <c r="W93" s="20" t="str">
        <f aca="false">IF(AG93=0,"",IF(NOT(LH_Ready),"",IF(BD93=0,0,INDEX(INDEX(LH_Data,0,LH_ColClose),BD93-1)*UnitFactor)))</f>
        <v/>
      </c>
      <c r="X93" s="20" t="str">
        <f aca="false">IF(AG93=0,"",(AZ93-BA93)*HoursPerDay)</f>
        <v/>
      </c>
      <c r="Y93" s="20" t="str">
        <f aca="false">IF(AG93=0,"",IF(NOT(LH_Ready),"",IF(BC93=0,N93,IF(PFYDate&lt;$F93,N93-N(T93)-N(U93),X93-N(U93)))))</f>
        <v/>
      </c>
      <c r="Z93" s="19" t="str">
        <f aca="false">IF(OR(AG93=0,Y93=""),"",IF(Y93&gt;0,"Yes","No"))</f>
        <v/>
      </c>
      <c r="AA93" s="19"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20" t="str">
        <f aca="false">IF(OR(AG93=0,T93=""),"",BA93*HoursPerDay-T93)</f>
        <v/>
      </c>
      <c r="AC93" s="19" t="str">
        <f aca="false">IF(AG93=0,"",BC93)</f>
        <v/>
      </c>
      <c r="AD93" s="19"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20" t="str">
        <f aca="false">IF(AG93=0,"",O93-BH93)</f>
        <v/>
      </c>
      <c r="AF93" s="17" t="str">
        <f aca="false">IF(OR(AG93=0,AE93="",N(AE93)=0,BI93=""),"",EDATE(AH93,BI93))</f>
        <v/>
      </c>
      <c r="AG93" s="19" t="n">
        <f aca="false">IF(OR(LEN($A93&amp;$B93)=0,$F93=""),0,1)</f>
        <v>0</v>
      </c>
      <c r="AH93" s="17" t="str">
        <f aca="false">IF(AG93=0,"",IF($J93&lt;&gt;"",$J93,IF(OR(CasualCounts="Yes",COUNT($G93:$I93)=0,COUNT($H93:$I93)=0),$F93,MIN($H93:$I93))))</f>
        <v/>
      </c>
      <c r="AI93" s="19" t="str">
        <f aca="false">IF(AG93=0,"",COUNT($G93:$I93))</f>
        <v/>
      </c>
      <c r="AJ93" s="17" t="str">
        <f aca="false">IF(AG93=0,"",IFERROR(SMALL($G93:$I93,1),""))</f>
        <v/>
      </c>
      <c r="AK93" s="17" t="str">
        <f aca="false">IF(AG93=0,"",IFERROR(SMALL($G93:$I93,2),""))</f>
        <v/>
      </c>
      <c r="AL93" s="17" t="str">
        <f aca="false">IF(AG93=0,"",IFERROR(SMALL($G93:$I93,3),""))</f>
        <v/>
      </c>
      <c r="AM93" s="19" t="str">
        <f aca="false">IF(AG93=0,"",IF(AJ93="","",IF(AJ93=$H93,"Part-Time",IF(AJ93=$I93,"Full-Time","Casual"))))</f>
        <v/>
      </c>
      <c r="AN93" s="19" t="str">
        <f aca="false">IF(AG93=0,"",IF(AK93="","",IF(AK93=$H93,"Part-Time",IF(AK93=$I93,"Full-Time","Casual"))))</f>
        <v/>
      </c>
      <c r="AO93" s="19" t="str">
        <f aca="false">IF(AG93=0,"",IF(AL93="","",IF(AL93=$H93,"Part-Time",IF(AL93=$I93,"Full-Time","Casual"))))</f>
        <v/>
      </c>
      <c r="AP93" s="19"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19" t="str">
        <f aca="false">IF(AG93=0,"",IF(AI93&lt;2,"",IF(OR(ISNUMBER(SEARCH("full",AN93)),UPPER(TRIM(AN93))="FT",UPPER(TRIM(AN93))="FTE"),"FT",IF(AND(OR(ISNUMBER(SEARCH("part",AN93)),UPPER(TRIM(AN93))="PT",UPPER(TRIM(AN93))="PTE"),OR($P93="",N($P93)&gt;=PT_MinHours)),"PT","None"))))</f>
        <v/>
      </c>
      <c r="AR93" s="19" t="str">
        <f aca="false">IF(AG93=0,"",IF(AI93&lt;3,"",IF(OR(ISNUMBER(SEARCH("full",AO93)),UPPER(TRIM(AO93))="FT",UPPER(TRIM(AO93))="FTE"),"FT",IF(AND(OR(ISNUMBER(SEARCH("part",AO93)),UPPER(TRIM(AO93))="PT",UPPER(TRIM(AO93))="PTE"),OR($P93="",N($P93)&gt;=PT_MinHours)),"PT","None"))))</f>
        <v/>
      </c>
      <c r="AS93" s="19" t="str">
        <f aca="false">IF(AG93=0,"",IF(AND(AI93&gt;=3,AL93&lt;=AsOfDate),AR93,IF(AND(AI93&gt;=2,AK93&lt;=AsOfDate),AQ93,AP93)))</f>
        <v/>
      </c>
      <c r="AT93" s="19" t="str">
        <f aca="false">IF(AG93=0,"",IF(AsOfDate&lt;AH93,-1,12*(YEAR(AsOfDate)-YEAR(AH93))+MONTH(AsOfDate)-MONTH(AH93)-IF(DAY(AsOfDate)&lt;MIN(DAY(AH93),DAY(EOMONTH(AsOfDate,0))),1,0)))</f>
        <v/>
      </c>
      <c r="AU93" s="19" t="str">
        <f aca="false">IF(AG93=0,"",IF(OR(AI93&lt;2,AK93&gt;AsOfDate),AT93,IF((AK93-1)&lt;AH93,-1,12*(YEAR((AK93-1))-YEAR(AH93))+MONTH((AK93-1))-MONTH(AH93)-IF(DAY((AK93-1))&lt;MIN(DAY(AH93),DAY(EOMONTH((AK93-1),0))),1,0))))</f>
        <v/>
      </c>
      <c r="AV93" s="19" t="str">
        <f aca="false">IF(AG93=0,"",IF(OR(AI93&lt;3,AL93&gt;AsOfDate),AT93,IF((AL93-1)&lt;AH93,-1,12*(YEAR((AL93-1))-YEAR(AH93))+MONTH((AL93-1))-MONTH(AH93)-IF(DAY((AL93-1))&lt;MIN(DAY(AH93),DAY(EOMONTH((AL93-1),0))),1,0))))</f>
        <v/>
      </c>
      <c r="AW93" s="19" t="str">
        <f aca="false">IF(AG93=0,"",IF(PFYDate&lt;AH93,-1,12*(YEAR(PFYDate)-YEAR(AH93))+MONTH(PFYDate)-MONTH(AH93)-IF(DAY(PFYDate)&lt;MIN(DAY(AH93),DAY(EOMONTH(PFYDate,0))),1,0)))</f>
        <v/>
      </c>
      <c r="AX93" s="19" t="str">
        <f aca="false">IF(AG93=0,"",IF(OR(AI93&lt;2,AK93&gt;PFYDate),AW93,IF((AK93-1)&lt;AH93,-1,12*(YEAR((AK93-1))-YEAR(AH93))+MONTH((AK93-1))-MONTH(AH93)-IF(DAY((AK93-1))&lt;MIN(DAY(AH93),DAY(EOMONTH((AK93-1),0))),1,0))))</f>
        <v/>
      </c>
      <c r="AY93" s="19" t="str">
        <f aca="false">IF(AG93=0,"",IF(OR(AI93&lt;3,AL93&gt;PFYDate),AW93,IF((AL93-1)&lt;AH93,-1,12*(YEAR((AL93-1))-YEAR(AH93))+MONTH((AL93-1))-MONTH(AH93)-IF(DAY((AL93-1))&lt;MIN(DAY(AH93),DAY(EOMONTH((AL93-1),0))),1,0))))</f>
        <v/>
      </c>
      <c r="AZ93" s="19" t="str">
        <f aca="false">IF(AG93=0,"",IF(AP93="FT",IF(AU93&lt;FT_First,0,IF(AU93&lt;FT_Y5,1+INT((AU93-FT_First)/FT_Int1),FT_PreY5+FT_PerYear*INT((AU93-FT_Y5)/12)+FT_AnnivDays+INT(MOD(AU93-FT_Y5,12)/FT_Int2))),IF(AP93="PT",IF(AU93&lt;PT_First,0,1+INT((AU93-PT_First)/PT_Int)),0))+IF(AND(AI93&gt;=2,AK93&lt;=AsOfDate),IF(AQ93="FT",IF(AV93&lt;FT_First,0,IF(AV93&lt;FT_Y5,1+INT((AV93-FT_First)/FT_Int1),FT_PreY5+FT_PerYear*INT((AV93-FT_Y5)/12)+FT_AnnivDays+INT(MOD(AV93-FT_Y5,12)/FT_Int2))),IF(AQ93="PT",IF(AV93&lt;PT_First,0,1+INT((AV93-PT_First)/PT_Int)),0))-IF(AQ93="FT",IF(AU93&lt;FT_First,0,IF(AU93&lt;FT_Y5,1+INT((AU93-FT_First)/FT_Int1),FT_PreY5+FT_PerYear*INT((AU93-FT_Y5)/12)+FT_AnnivDays+INT(MOD(AU93-FT_Y5,12)/FT_Int2))),IF(AQ93="PT",IF(AU93&lt;PT_First,0,1+INT((AU93-PT_First)/PT_Int)),0)),0)+IF(AND(AI93&gt;=3,AL93&lt;=AsOfDate),IF(AR93="FT",IF(AT93&lt;FT_First,0,IF(AT93&lt;FT_Y5,1+INT((AT93-FT_First)/FT_Int1),FT_PreY5+FT_PerYear*INT((AT93-FT_Y5)/12)+FT_AnnivDays+INT(MOD(AT93-FT_Y5,12)/FT_Int2))),IF(AR93="PT",IF(AT93&lt;PT_First,0,1+INT((AT93-PT_First)/PT_Int)),0))-IF(AR93="FT",IF(AV93&lt;FT_First,0,IF(AV93&lt;FT_Y5,1+INT((AV93-FT_First)/FT_Int1),FT_PreY5+FT_PerYear*INT((AV93-FT_Y5)/12)+FT_AnnivDays+INT(MOD(AV93-FT_Y5,12)/FT_Int2))),IF(AR93="PT",IF(AV93&lt;PT_First,0,1+INT((AV93-PT_First)/PT_Int)),0)),0))</f>
        <v/>
      </c>
      <c r="BA93" s="19" t="str">
        <f aca="false">IF(AG93=0,"",IF(AP93="FT",IF(AX93&lt;FT_First,0,IF(AX93&lt;FT_Y5,1+INT((AX93-FT_First)/FT_Int1),FT_PreY5+FT_PerYear*INT((AX93-FT_Y5)/12)+FT_AnnivDays+INT(MOD(AX93-FT_Y5,12)/FT_Int2))),IF(AP93="PT",IF(AX93&lt;PT_First,0,1+INT((AX93-PT_First)/PT_Int)),0))+IF(AND(AI93&gt;=2,AK93&lt;=PFYDate),IF(AQ93="FT",IF(AY93&lt;FT_First,0,IF(AY93&lt;FT_Y5,1+INT((AY93-FT_First)/FT_Int1),FT_PreY5+FT_PerYear*INT((AY93-FT_Y5)/12)+FT_AnnivDays+INT(MOD(AY93-FT_Y5,12)/FT_Int2))),IF(AQ93="PT",IF(AY93&lt;PT_First,0,1+INT((AY93-PT_First)/PT_Int)),0))-IF(AQ93="FT",IF(AX93&lt;FT_First,0,IF(AX93&lt;FT_Y5,1+INT((AX93-FT_First)/FT_Int1),FT_PreY5+FT_PerYear*INT((AX93-FT_Y5)/12)+FT_AnnivDays+INT(MOD(AX93-FT_Y5,12)/FT_Int2))),IF(AQ93="PT",IF(AX93&lt;PT_First,0,1+INT((AX93-PT_First)/PT_Int)),0)),0)+IF(AND(AI93&gt;=3,AL93&lt;=PFYDate),IF(AR93="FT",IF(AW93&lt;FT_First,0,IF(AW93&lt;FT_Y5,1+INT((AW93-FT_First)/FT_Int1),FT_PreY5+FT_PerYear*INT((AW93-FT_Y5)/12)+FT_AnnivDays+INT(MOD(AW93-FT_Y5,12)/FT_Int2))),IF(AR93="PT",IF(AW93&lt;PT_First,0,1+INT((AW93-PT_First)/PT_Int)),0))-IF(AR93="FT",IF(AY93&lt;FT_First,0,IF(AY93&lt;FT_Y5,1+INT((AY93-FT_First)/FT_Int1),FT_PreY5+FT_PerYear*INT((AY93-FT_Y5)/12)+FT_AnnivDays+INT(MOD(AY93-FT_Y5,12)/FT_Int2))),IF(AR93="PT",IF(AY93&lt;PT_First,0,1+INT((AY93-PT_First)/PT_Int)),0)),0))</f>
        <v/>
      </c>
      <c r="BB93" s="19" t="str">
        <f aca="false">IF(AG93=0,"",IF(AS93="FT",IF(AT93&lt;FT_First,FT_First,IF(AT93&lt;FT_Y5,MIN(FT_Y5,FT_First+FT_Int1*(INT((AT93-FT_First)/FT_Int1)+1)),FT_Y5+12*INT((AT93-FT_Y5)/12)+FT_Int2*(INT(MOD(AT93-FT_Y5,12)/FT_Int2)+1))),IF(AS93="PT",IF(AT93&lt;PT_First,PT_First,PT_First+PT_Int*(INT((AT93-PT_First)/PT_Int)+1)),"")))</f>
        <v/>
      </c>
      <c r="BC93" s="19" t="str">
        <f aca="false">IF(AG93=0,"",IF(NOT(LH_Ready),0,COUNTIFS(INDEX(LH_Data,0,LH_ColFirst),$A93,INDEX(LH_Data,0,LH_ColSur),$B93,INDEX(LH_Data,0,LH_ColCat),BonusCat)))</f>
        <v/>
      </c>
      <c r="BD93" s="19" t="str">
        <f aca="false">IF(AG93=0,"",IF(OR(NOT(LH_Ready),BC93=0),0,SUMPRODUCT(MAX((INDEX(LH_Data,0,LH_ColFirst)=$A93)*(INDEX(LH_Data,0,LH_ColSur)=$B93)*(INDEX(LH_Data,0,LH_ColCat)=BonusCat)*ROW(LH_Data)))))</f>
        <v/>
      </c>
      <c r="BE93" s="19" t="str">
        <f aca="false">IF(AG93=0,"",IF(EOMONTH(AsOfDate,-1)&lt;AH93,-1,12*(YEAR(EOMONTH(AsOfDate,-1))-YEAR(AH93))+MONTH(EOMONTH(AsOfDate,-1))-MONTH(AH93)-IF(DAY(EOMONTH(AsOfDate,-1))&lt;MIN(DAY(AH93),DAY(EOMONTH(EOMONTH(AsOfDate,-1),0))),1,0)))</f>
        <v/>
      </c>
      <c r="BF93" s="19" t="str">
        <f aca="false">IF(AG93=0,"",IF(OR(AI93&lt;2,AK93&gt;EOMONTH(AsOfDate,-1)),BE93,IF((AK93-1)&lt;AH93,-1,12*(YEAR((AK93-1))-YEAR(AH93))+MONTH((AK93-1))-MONTH(AH93)-IF(DAY((AK93-1))&lt;MIN(DAY(AH93),DAY(EOMONTH((AK93-1),0))),1,0))))</f>
        <v/>
      </c>
      <c r="BG93" s="19" t="str">
        <f aca="false">IF(AG93=0,"",IF(OR(AI93&lt;3,AL93&gt;EOMONTH(AsOfDate,-1)),BE93,IF((AL93-1)&lt;AH93,-1,12*(YEAR((AL93-1))-YEAR(AH93))+MONTH((AL93-1))-MONTH(AH93)-IF(DAY((AL93-1))&lt;MIN(DAY(AH93),DAY(EOMONTH((AL93-1),0))),1,0))))</f>
        <v/>
      </c>
      <c r="BH93" s="19" t="str">
        <f aca="false">IF(AG93=0,"",IF(AP93="FT",IF(BF93&lt;FT_First,0,IF(BF93&lt;FT_Y5,1+INT((BF93-FT_First)/FT_Int1),FT_PreY5+FT_PerYear*INT((BF93-FT_Y5)/12)+FT_AnnivDays+INT(MOD(BF93-FT_Y5,12)/FT_Int2))),IF(AP93="PT",IF(BF93&lt;PT_First,0,1+INT((BF93-PT_First)/PT_Int)),0))+IF(AND(AI93&gt;=2,AK93&lt;=EOMONTH(AsOfDate,-1)),IF(AQ93="FT",IF(BG93&lt;FT_First,0,IF(BG93&lt;FT_Y5,1+INT((BG93-FT_First)/FT_Int1),FT_PreY5+FT_PerYear*INT((BG93-FT_Y5)/12)+FT_AnnivDays+INT(MOD(BG93-FT_Y5,12)/FT_Int2))),IF(AQ93="PT",IF(BG93&lt;PT_First,0,1+INT((BG93-PT_First)/PT_Int)),0))-IF(AQ93="FT",IF(BF93&lt;FT_First,0,IF(BF93&lt;FT_Y5,1+INT((BF93-FT_First)/FT_Int1),FT_PreY5+FT_PerYear*INT((BF93-FT_Y5)/12)+FT_AnnivDays+INT(MOD(BF93-FT_Y5,12)/FT_Int2))),IF(AQ93="PT",IF(BF93&lt;PT_First,0,1+INT((BF93-PT_First)/PT_Int)),0)),0)+IF(AND(AI93&gt;=3,AL93&lt;=EOMONTH(AsOfDate,-1)),IF(AR93="FT",IF(BE93&lt;FT_First,0,IF(BE93&lt;FT_Y5,1+INT((BE93-FT_First)/FT_Int1),FT_PreY5+FT_PerYear*INT((BE93-FT_Y5)/12)+FT_AnnivDays+INT(MOD(BE93-FT_Y5,12)/FT_Int2))),IF(AR93="PT",IF(BE93&lt;PT_First,0,1+INT((BE93-PT_First)/PT_Int)),0))-IF(AR93="FT",IF(BG93&lt;FT_First,0,IF(BG93&lt;FT_Y5,1+INT((BG93-FT_First)/FT_Int1),FT_PreY5+FT_PerYear*INT((BG93-FT_Y5)/12)+FT_AnnivDays+INT(MOD(BG93-FT_Y5,12)/FT_Int2))),IF(AR93="PT",IF(BG93&lt;PT_First,0,1+INT((BG93-PT_First)/PT_Int)),0)),0))</f>
        <v/>
      </c>
      <c r="BI93" s="19" t="str">
        <f aca="false">IF(AG93=0,"",IF(AS93="FT",IF(AT93&lt;FT_First,"",IF(AT93&lt;FT_Y5,FT_First+FT_Int1*INT((AT93-FT_First)/FT_Int1),FT_Y5+FT_Int2*INT((AT93-FT_Y5)/FT_Int2))),IF(AS93="PT",IF(AT93&lt;PT_First,"",PT_First+PT_Int*INT((AT93-PT_First)/PT_Int)),"")))</f>
        <v/>
      </c>
      <c r="BJ93" s="0" t="str">
        <f aca="false">IF(LEN($A93&amp;$B93)=0,"",$A93&amp;" "&amp;$B93)</f>
        <v/>
      </c>
    </row>
    <row r="94" customFormat="false" ht="15" hidden="false" customHeight="false" outlineLevel="0" collapsed="false">
      <c r="A94" s="15"/>
      <c r="B94" s="15"/>
      <c r="C94" s="15"/>
      <c r="D94" s="16"/>
      <c r="E94" s="17" t="str">
        <f aca="false">IF(OR(AG94=0,$D94=""),"",DATE(YEAR(AsOfDate)+IF(DATE(YEAR(AsOfDate),MONTH($D94),DAY($D94))&lt;=AsOfDate,1,0),MONTH($D94),DAY($D94)))</f>
        <v/>
      </c>
      <c r="F94" s="16"/>
      <c r="G94" s="16"/>
      <c r="H94" s="16"/>
      <c r="I94" s="16"/>
      <c r="J94" s="16"/>
      <c r="K94" s="17" t="str">
        <f aca="false">IF(AG94=0,"",DATE(YEAR(AsOfDate)+IF(DATE(YEAR(AsOfDate),MONTH(AH94),DAY(AH94))&lt;=AsOfDate,1,0),MONTH(AH94),DAY(AH94)))</f>
        <v/>
      </c>
      <c r="L94" s="18" t="str">
        <f aca="false">IF(AG94=0,"",ROUND((AsOfDate-AH94)/365.25,1))</f>
        <v/>
      </c>
      <c r="M94" s="19" t="str">
        <f aca="false">IF(AG94=0,"",IF(AsOfDate&lt;AH94,"-",DATEDIF(AH94,AsOfDate,"y")&amp;"y "&amp;DATEDIF(AH94,AsOfDate,"ym")&amp;"m "&amp;DATEDIF(AH94,AsOfDate,"md")&amp;"d"))</f>
        <v/>
      </c>
      <c r="N94" s="20" t="str">
        <f aca="false">IF(AG94=0,"",O94*HoursPerDay)</f>
        <v/>
      </c>
      <c r="O94" s="20" t="str">
        <f aca="false">IF(AG94=0,"",AZ94)</f>
        <v/>
      </c>
      <c r="P94" s="21"/>
      <c r="Q94" s="19"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19"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7" t="str">
        <f aca="false">IF(AG94=0,"",IF(AS94="None","",EDATE(AH94,BB94)))</f>
        <v/>
      </c>
      <c r="T94" s="20" t="str">
        <f aca="false">IF(AG94=0,"",IF(NOT(LH_Ready),"",IF(AH94&gt;PFYDate,0,IF(LH_ColPeriod=0,W94-U94+V94,SUMIFS(INDEX(LH_Data,0,LH_ColAcc),INDEX(LH_Data,0,LH_ColFirst),$A94,INDEX(LH_Data,0,LH_ColSur),$B94,INDEX(LH_Data,0,LH_ColCat),BonusCat,INDEX(LH_Data,0,LH_ColPeriod),LH_OpenLabel)*UnitFactor))))</f>
        <v/>
      </c>
      <c r="U94" s="20" t="str">
        <f aca="false">IF(AG94=0,"",IF(NOT(LH_Ready),"",SUMIFS(INDEX(LH_Data,0,LH_ColAcc),INDEX(LH_Data,0,LH_ColFirst),$A94,INDEX(LH_Data,0,LH_ColSur),$B94,INDEX(LH_Data,0,LH_ColCat),BonusCat,INDEX(LH_Data,0,LH_ColStart),"&gt;="&amp;AH94)*UnitFactor))</f>
        <v/>
      </c>
      <c r="V94" s="20" t="str">
        <f aca="false">IF(AG94=0,"",IF(NOT(LH_Ready),"",SUMIFS(INDEX(LH_Data,0,LH_ColTaken),INDEX(LH_Data,0,LH_ColFirst),$A94,INDEX(LH_Data,0,LH_ColSur),$B94,INDEX(LH_Data,0,LH_ColCat),BonusCat,INDEX(LH_Data,0,LH_ColStart),"&gt;="&amp;AH94)*UnitFactor))</f>
        <v/>
      </c>
      <c r="W94" s="20" t="str">
        <f aca="false">IF(AG94=0,"",IF(NOT(LH_Ready),"",IF(BD94=0,0,INDEX(INDEX(LH_Data,0,LH_ColClose),BD94-1)*UnitFactor)))</f>
        <v/>
      </c>
      <c r="X94" s="20" t="str">
        <f aca="false">IF(AG94=0,"",(AZ94-BA94)*HoursPerDay)</f>
        <v/>
      </c>
      <c r="Y94" s="20" t="str">
        <f aca="false">IF(AG94=0,"",IF(NOT(LH_Ready),"",IF(BC94=0,N94,IF(PFYDate&lt;$F94,N94-N(T94)-N(U94),X94-N(U94)))))</f>
        <v/>
      </c>
      <c r="Z94" s="19" t="str">
        <f aca="false">IF(OR(AG94=0,Y94=""),"",IF(Y94&gt;0,"Yes","No"))</f>
        <v/>
      </c>
      <c r="AA94" s="19"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20" t="str">
        <f aca="false">IF(OR(AG94=0,T94=""),"",BA94*HoursPerDay-T94)</f>
        <v/>
      </c>
      <c r="AC94" s="19" t="str">
        <f aca="false">IF(AG94=0,"",BC94)</f>
        <v/>
      </c>
      <c r="AD94" s="19"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20" t="str">
        <f aca="false">IF(AG94=0,"",O94-BH94)</f>
        <v/>
      </c>
      <c r="AF94" s="17" t="str">
        <f aca="false">IF(OR(AG94=0,AE94="",N(AE94)=0,BI94=""),"",EDATE(AH94,BI94))</f>
        <v/>
      </c>
      <c r="AG94" s="19" t="n">
        <f aca="false">IF(OR(LEN($A94&amp;$B94)=0,$F94=""),0,1)</f>
        <v>0</v>
      </c>
      <c r="AH94" s="17" t="str">
        <f aca="false">IF(AG94=0,"",IF($J94&lt;&gt;"",$J94,IF(OR(CasualCounts="Yes",COUNT($G94:$I94)=0,COUNT($H94:$I94)=0),$F94,MIN($H94:$I94))))</f>
        <v/>
      </c>
      <c r="AI94" s="19" t="str">
        <f aca="false">IF(AG94=0,"",COUNT($G94:$I94))</f>
        <v/>
      </c>
      <c r="AJ94" s="17" t="str">
        <f aca="false">IF(AG94=0,"",IFERROR(SMALL($G94:$I94,1),""))</f>
        <v/>
      </c>
      <c r="AK94" s="17" t="str">
        <f aca="false">IF(AG94=0,"",IFERROR(SMALL($G94:$I94,2),""))</f>
        <v/>
      </c>
      <c r="AL94" s="17" t="str">
        <f aca="false">IF(AG94=0,"",IFERROR(SMALL($G94:$I94,3),""))</f>
        <v/>
      </c>
      <c r="AM94" s="19" t="str">
        <f aca="false">IF(AG94=0,"",IF(AJ94="","",IF(AJ94=$H94,"Part-Time",IF(AJ94=$I94,"Full-Time","Casual"))))</f>
        <v/>
      </c>
      <c r="AN94" s="19" t="str">
        <f aca="false">IF(AG94=0,"",IF(AK94="","",IF(AK94=$H94,"Part-Time",IF(AK94=$I94,"Full-Time","Casual"))))</f>
        <v/>
      </c>
      <c r="AO94" s="19" t="str">
        <f aca="false">IF(AG94=0,"",IF(AL94="","",IF(AL94=$H94,"Part-Time",IF(AL94=$I94,"Full-Time","Casual"))))</f>
        <v/>
      </c>
      <c r="AP94" s="19"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19" t="str">
        <f aca="false">IF(AG94=0,"",IF(AI94&lt;2,"",IF(OR(ISNUMBER(SEARCH("full",AN94)),UPPER(TRIM(AN94))="FT",UPPER(TRIM(AN94))="FTE"),"FT",IF(AND(OR(ISNUMBER(SEARCH("part",AN94)),UPPER(TRIM(AN94))="PT",UPPER(TRIM(AN94))="PTE"),OR($P94="",N($P94)&gt;=PT_MinHours)),"PT","None"))))</f>
        <v/>
      </c>
      <c r="AR94" s="19" t="str">
        <f aca="false">IF(AG94=0,"",IF(AI94&lt;3,"",IF(OR(ISNUMBER(SEARCH("full",AO94)),UPPER(TRIM(AO94))="FT",UPPER(TRIM(AO94))="FTE"),"FT",IF(AND(OR(ISNUMBER(SEARCH("part",AO94)),UPPER(TRIM(AO94))="PT",UPPER(TRIM(AO94))="PTE"),OR($P94="",N($P94)&gt;=PT_MinHours)),"PT","None"))))</f>
        <v/>
      </c>
      <c r="AS94" s="19" t="str">
        <f aca="false">IF(AG94=0,"",IF(AND(AI94&gt;=3,AL94&lt;=AsOfDate),AR94,IF(AND(AI94&gt;=2,AK94&lt;=AsOfDate),AQ94,AP94)))</f>
        <v/>
      </c>
      <c r="AT94" s="19" t="str">
        <f aca="false">IF(AG94=0,"",IF(AsOfDate&lt;AH94,-1,12*(YEAR(AsOfDate)-YEAR(AH94))+MONTH(AsOfDate)-MONTH(AH94)-IF(DAY(AsOfDate)&lt;MIN(DAY(AH94),DAY(EOMONTH(AsOfDate,0))),1,0)))</f>
        <v/>
      </c>
      <c r="AU94" s="19" t="str">
        <f aca="false">IF(AG94=0,"",IF(OR(AI94&lt;2,AK94&gt;AsOfDate),AT94,IF((AK94-1)&lt;AH94,-1,12*(YEAR((AK94-1))-YEAR(AH94))+MONTH((AK94-1))-MONTH(AH94)-IF(DAY((AK94-1))&lt;MIN(DAY(AH94),DAY(EOMONTH((AK94-1),0))),1,0))))</f>
        <v/>
      </c>
      <c r="AV94" s="19" t="str">
        <f aca="false">IF(AG94=0,"",IF(OR(AI94&lt;3,AL94&gt;AsOfDate),AT94,IF((AL94-1)&lt;AH94,-1,12*(YEAR((AL94-1))-YEAR(AH94))+MONTH((AL94-1))-MONTH(AH94)-IF(DAY((AL94-1))&lt;MIN(DAY(AH94),DAY(EOMONTH((AL94-1),0))),1,0))))</f>
        <v/>
      </c>
      <c r="AW94" s="19" t="str">
        <f aca="false">IF(AG94=0,"",IF(PFYDate&lt;AH94,-1,12*(YEAR(PFYDate)-YEAR(AH94))+MONTH(PFYDate)-MONTH(AH94)-IF(DAY(PFYDate)&lt;MIN(DAY(AH94),DAY(EOMONTH(PFYDate,0))),1,0)))</f>
        <v/>
      </c>
      <c r="AX94" s="19" t="str">
        <f aca="false">IF(AG94=0,"",IF(OR(AI94&lt;2,AK94&gt;PFYDate),AW94,IF((AK94-1)&lt;AH94,-1,12*(YEAR((AK94-1))-YEAR(AH94))+MONTH((AK94-1))-MONTH(AH94)-IF(DAY((AK94-1))&lt;MIN(DAY(AH94),DAY(EOMONTH((AK94-1),0))),1,0))))</f>
        <v/>
      </c>
      <c r="AY94" s="19" t="str">
        <f aca="false">IF(AG94=0,"",IF(OR(AI94&lt;3,AL94&gt;PFYDate),AW94,IF((AL94-1)&lt;AH94,-1,12*(YEAR((AL94-1))-YEAR(AH94))+MONTH((AL94-1))-MONTH(AH94)-IF(DAY((AL94-1))&lt;MIN(DAY(AH94),DAY(EOMONTH((AL94-1),0))),1,0))))</f>
        <v/>
      </c>
      <c r="AZ94" s="19" t="str">
        <f aca="false">IF(AG94=0,"",IF(AP94="FT",IF(AU94&lt;FT_First,0,IF(AU94&lt;FT_Y5,1+INT((AU94-FT_First)/FT_Int1),FT_PreY5+FT_PerYear*INT((AU94-FT_Y5)/12)+FT_AnnivDays+INT(MOD(AU94-FT_Y5,12)/FT_Int2))),IF(AP94="PT",IF(AU94&lt;PT_First,0,1+INT((AU94-PT_First)/PT_Int)),0))+IF(AND(AI94&gt;=2,AK94&lt;=AsOfDate),IF(AQ94="FT",IF(AV94&lt;FT_First,0,IF(AV94&lt;FT_Y5,1+INT((AV94-FT_First)/FT_Int1),FT_PreY5+FT_PerYear*INT((AV94-FT_Y5)/12)+FT_AnnivDays+INT(MOD(AV94-FT_Y5,12)/FT_Int2))),IF(AQ94="PT",IF(AV94&lt;PT_First,0,1+INT((AV94-PT_First)/PT_Int)),0))-IF(AQ94="FT",IF(AU94&lt;FT_First,0,IF(AU94&lt;FT_Y5,1+INT((AU94-FT_First)/FT_Int1),FT_PreY5+FT_PerYear*INT((AU94-FT_Y5)/12)+FT_AnnivDays+INT(MOD(AU94-FT_Y5,12)/FT_Int2))),IF(AQ94="PT",IF(AU94&lt;PT_First,0,1+INT((AU94-PT_First)/PT_Int)),0)),0)+IF(AND(AI94&gt;=3,AL94&lt;=AsOfDate),IF(AR94="FT",IF(AT94&lt;FT_First,0,IF(AT94&lt;FT_Y5,1+INT((AT94-FT_First)/FT_Int1),FT_PreY5+FT_PerYear*INT((AT94-FT_Y5)/12)+FT_AnnivDays+INT(MOD(AT94-FT_Y5,12)/FT_Int2))),IF(AR94="PT",IF(AT94&lt;PT_First,0,1+INT((AT94-PT_First)/PT_Int)),0))-IF(AR94="FT",IF(AV94&lt;FT_First,0,IF(AV94&lt;FT_Y5,1+INT((AV94-FT_First)/FT_Int1),FT_PreY5+FT_PerYear*INT((AV94-FT_Y5)/12)+FT_AnnivDays+INT(MOD(AV94-FT_Y5,12)/FT_Int2))),IF(AR94="PT",IF(AV94&lt;PT_First,0,1+INT((AV94-PT_First)/PT_Int)),0)),0))</f>
        <v/>
      </c>
      <c r="BA94" s="19" t="str">
        <f aca="false">IF(AG94=0,"",IF(AP94="FT",IF(AX94&lt;FT_First,0,IF(AX94&lt;FT_Y5,1+INT((AX94-FT_First)/FT_Int1),FT_PreY5+FT_PerYear*INT((AX94-FT_Y5)/12)+FT_AnnivDays+INT(MOD(AX94-FT_Y5,12)/FT_Int2))),IF(AP94="PT",IF(AX94&lt;PT_First,0,1+INT((AX94-PT_First)/PT_Int)),0))+IF(AND(AI94&gt;=2,AK94&lt;=PFYDate),IF(AQ94="FT",IF(AY94&lt;FT_First,0,IF(AY94&lt;FT_Y5,1+INT((AY94-FT_First)/FT_Int1),FT_PreY5+FT_PerYear*INT((AY94-FT_Y5)/12)+FT_AnnivDays+INT(MOD(AY94-FT_Y5,12)/FT_Int2))),IF(AQ94="PT",IF(AY94&lt;PT_First,0,1+INT((AY94-PT_First)/PT_Int)),0))-IF(AQ94="FT",IF(AX94&lt;FT_First,0,IF(AX94&lt;FT_Y5,1+INT((AX94-FT_First)/FT_Int1),FT_PreY5+FT_PerYear*INT((AX94-FT_Y5)/12)+FT_AnnivDays+INT(MOD(AX94-FT_Y5,12)/FT_Int2))),IF(AQ94="PT",IF(AX94&lt;PT_First,0,1+INT((AX94-PT_First)/PT_Int)),0)),0)+IF(AND(AI94&gt;=3,AL94&lt;=PFYDate),IF(AR94="FT",IF(AW94&lt;FT_First,0,IF(AW94&lt;FT_Y5,1+INT((AW94-FT_First)/FT_Int1),FT_PreY5+FT_PerYear*INT((AW94-FT_Y5)/12)+FT_AnnivDays+INT(MOD(AW94-FT_Y5,12)/FT_Int2))),IF(AR94="PT",IF(AW94&lt;PT_First,0,1+INT((AW94-PT_First)/PT_Int)),0))-IF(AR94="FT",IF(AY94&lt;FT_First,0,IF(AY94&lt;FT_Y5,1+INT((AY94-FT_First)/FT_Int1),FT_PreY5+FT_PerYear*INT((AY94-FT_Y5)/12)+FT_AnnivDays+INT(MOD(AY94-FT_Y5,12)/FT_Int2))),IF(AR94="PT",IF(AY94&lt;PT_First,0,1+INT((AY94-PT_First)/PT_Int)),0)),0))</f>
        <v/>
      </c>
      <c r="BB94" s="19" t="str">
        <f aca="false">IF(AG94=0,"",IF(AS94="FT",IF(AT94&lt;FT_First,FT_First,IF(AT94&lt;FT_Y5,MIN(FT_Y5,FT_First+FT_Int1*(INT((AT94-FT_First)/FT_Int1)+1)),FT_Y5+12*INT((AT94-FT_Y5)/12)+FT_Int2*(INT(MOD(AT94-FT_Y5,12)/FT_Int2)+1))),IF(AS94="PT",IF(AT94&lt;PT_First,PT_First,PT_First+PT_Int*(INT((AT94-PT_First)/PT_Int)+1)),"")))</f>
        <v/>
      </c>
      <c r="BC94" s="19" t="str">
        <f aca="false">IF(AG94=0,"",IF(NOT(LH_Ready),0,COUNTIFS(INDEX(LH_Data,0,LH_ColFirst),$A94,INDEX(LH_Data,0,LH_ColSur),$B94,INDEX(LH_Data,0,LH_ColCat),BonusCat)))</f>
        <v/>
      </c>
      <c r="BD94" s="19" t="str">
        <f aca="false">IF(AG94=0,"",IF(OR(NOT(LH_Ready),BC94=0),0,SUMPRODUCT(MAX((INDEX(LH_Data,0,LH_ColFirst)=$A94)*(INDEX(LH_Data,0,LH_ColSur)=$B94)*(INDEX(LH_Data,0,LH_ColCat)=BonusCat)*ROW(LH_Data)))))</f>
        <v/>
      </c>
      <c r="BE94" s="19" t="str">
        <f aca="false">IF(AG94=0,"",IF(EOMONTH(AsOfDate,-1)&lt;AH94,-1,12*(YEAR(EOMONTH(AsOfDate,-1))-YEAR(AH94))+MONTH(EOMONTH(AsOfDate,-1))-MONTH(AH94)-IF(DAY(EOMONTH(AsOfDate,-1))&lt;MIN(DAY(AH94),DAY(EOMONTH(EOMONTH(AsOfDate,-1),0))),1,0)))</f>
        <v/>
      </c>
      <c r="BF94" s="19" t="str">
        <f aca="false">IF(AG94=0,"",IF(OR(AI94&lt;2,AK94&gt;EOMONTH(AsOfDate,-1)),BE94,IF((AK94-1)&lt;AH94,-1,12*(YEAR((AK94-1))-YEAR(AH94))+MONTH((AK94-1))-MONTH(AH94)-IF(DAY((AK94-1))&lt;MIN(DAY(AH94),DAY(EOMONTH((AK94-1),0))),1,0))))</f>
        <v/>
      </c>
      <c r="BG94" s="19" t="str">
        <f aca="false">IF(AG94=0,"",IF(OR(AI94&lt;3,AL94&gt;EOMONTH(AsOfDate,-1)),BE94,IF((AL94-1)&lt;AH94,-1,12*(YEAR((AL94-1))-YEAR(AH94))+MONTH((AL94-1))-MONTH(AH94)-IF(DAY((AL94-1))&lt;MIN(DAY(AH94),DAY(EOMONTH((AL94-1),0))),1,0))))</f>
        <v/>
      </c>
      <c r="BH94" s="19" t="str">
        <f aca="false">IF(AG94=0,"",IF(AP94="FT",IF(BF94&lt;FT_First,0,IF(BF94&lt;FT_Y5,1+INT((BF94-FT_First)/FT_Int1),FT_PreY5+FT_PerYear*INT((BF94-FT_Y5)/12)+FT_AnnivDays+INT(MOD(BF94-FT_Y5,12)/FT_Int2))),IF(AP94="PT",IF(BF94&lt;PT_First,0,1+INT((BF94-PT_First)/PT_Int)),0))+IF(AND(AI94&gt;=2,AK94&lt;=EOMONTH(AsOfDate,-1)),IF(AQ94="FT",IF(BG94&lt;FT_First,0,IF(BG94&lt;FT_Y5,1+INT((BG94-FT_First)/FT_Int1),FT_PreY5+FT_PerYear*INT((BG94-FT_Y5)/12)+FT_AnnivDays+INT(MOD(BG94-FT_Y5,12)/FT_Int2))),IF(AQ94="PT",IF(BG94&lt;PT_First,0,1+INT((BG94-PT_First)/PT_Int)),0))-IF(AQ94="FT",IF(BF94&lt;FT_First,0,IF(BF94&lt;FT_Y5,1+INT((BF94-FT_First)/FT_Int1),FT_PreY5+FT_PerYear*INT((BF94-FT_Y5)/12)+FT_AnnivDays+INT(MOD(BF94-FT_Y5,12)/FT_Int2))),IF(AQ94="PT",IF(BF94&lt;PT_First,0,1+INT((BF94-PT_First)/PT_Int)),0)),0)+IF(AND(AI94&gt;=3,AL94&lt;=EOMONTH(AsOfDate,-1)),IF(AR94="FT",IF(BE94&lt;FT_First,0,IF(BE94&lt;FT_Y5,1+INT((BE94-FT_First)/FT_Int1),FT_PreY5+FT_PerYear*INT((BE94-FT_Y5)/12)+FT_AnnivDays+INT(MOD(BE94-FT_Y5,12)/FT_Int2))),IF(AR94="PT",IF(BE94&lt;PT_First,0,1+INT((BE94-PT_First)/PT_Int)),0))-IF(AR94="FT",IF(BG94&lt;FT_First,0,IF(BG94&lt;FT_Y5,1+INT((BG94-FT_First)/FT_Int1),FT_PreY5+FT_PerYear*INT((BG94-FT_Y5)/12)+FT_AnnivDays+INT(MOD(BG94-FT_Y5,12)/FT_Int2))),IF(AR94="PT",IF(BG94&lt;PT_First,0,1+INT((BG94-PT_First)/PT_Int)),0)),0))</f>
        <v/>
      </c>
      <c r="BI94" s="19" t="str">
        <f aca="false">IF(AG94=0,"",IF(AS94="FT",IF(AT94&lt;FT_First,"",IF(AT94&lt;FT_Y5,FT_First+FT_Int1*INT((AT94-FT_First)/FT_Int1),FT_Y5+FT_Int2*INT((AT94-FT_Y5)/FT_Int2))),IF(AS94="PT",IF(AT94&lt;PT_First,"",PT_First+PT_Int*INT((AT94-PT_First)/PT_Int)),"")))</f>
        <v/>
      </c>
      <c r="BJ94" s="0" t="str">
        <f aca="false">IF(LEN($A94&amp;$B94)=0,"",$A94&amp;" "&amp;$B94)</f>
        <v/>
      </c>
    </row>
    <row r="95" customFormat="false" ht="15" hidden="false" customHeight="false" outlineLevel="0" collapsed="false">
      <c r="A95" s="15"/>
      <c r="B95" s="15"/>
      <c r="C95" s="15"/>
      <c r="D95" s="16"/>
      <c r="E95" s="17" t="str">
        <f aca="false">IF(OR(AG95=0,$D95=""),"",DATE(YEAR(AsOfDate)+IF(DATE(YEAR(AsOfDate),MONTH($D95),DAY($D95))&lt;=AsOfDate,1,0),MONTH($D95),DAY($D95)))</f>
        <v/>
      </c>
      <c r="F95" s="16"/>
      <c r="G95" s="16"/>
      <c r="H95" s="16"/>
      <c r="I95" s="16"/>
      <c r="J95" s="16"/>
      <c r="K95" s="17" t="str">
        <f aca="false">IF(AG95=0,"",DATE(YEAR(AsOfDate)+IF(DATE(YEAR(AsOfDate),MONTH(AH95),DAY(AH95))&lt;=AsOfDate,1,0),MONTH(AH95),DAY(AH95)))</f>
        <v/>
      </c>
      <c r="L95" s="18" t="str">
        <f aca="false">IF(AG95=0,"",ROUND((AsOfDate-AH95)/365.25,1))</f>
        <v/>
      </c>
      <c r="M95" s="19" t="str">
        <f aca="false">IF(AG95=0,"",IF(AsOfDate&lt;AH95,"-",DATEDIF(AH95,AsOfDate,"y")&amp;"y "&amp;DATEDIF(AH95,AsOfDate,"ym")&amp;"m "&amp;DATEDIF(AH95,AsOfDate,"md")&amp;"d"))</f>
        <v/>
      </c>
      <c r="N95" s="20" t="str">
        <f aca="false">IF(AG95=0,"",O95*HoursPerDay)</f>
        <v/>
      </c>
      <c r="O95" s="20" t="str">
        <f aca="false">IF(AG95=0,"",AZ95)</f>
        <v/>
      </c>
      <c r="P95" s="21"/>
      <c r="Q95" s="19"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19"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7" t="str">
        <f aca="false">IF(AG95=0,"",IF(AS95="None","",EDATE(AH95,BB95)))</f>
        <v/>
      </c>
      <c r="T95" s="20" t="str">
        <f aca="false">IF(AG95=0,"",IF(NOT(LH_Ready),"",IF(AH95&gt;PFYDate,0,IF(LH_ColPeriod=0,W95-U95+V95,SUMIFS(INDEX(LH_Data,0,LH_ColAcc),INDEX(LH_Data,0,LH_ColFirst),$A95,INDEX(LH_Data,0,LH_ColSur),$B95,INDEX(LH_Data,0,LH_ColCat),BonusCat,INDEX(LH_Data,0,LH_ColPeriod),LH_OpenLabel)*UnitFactor))))</f>
        <v/>
      </c>
      <c r="U95" s="20" t="str">
        <f aca="false">IF(AG95=0,"",IF(NOT(LH_Ready),"",SUMIFS(INDEX(LH_Data,0,LH_ColAcc),INDEX(LH_Data,0,LH_ColFirst),$A95,INDEX(LH_Data,0,LH_ColSur),$B95,INDEX(LH_Data,0,LH_ColCat),BonusCat,INDEX(LH_Data,0,LH_ColStart),"&gt;="&amp;AH95)*UnitFactor))</f>
        <v/>
      </c>
      <c r="V95" s="20" t="str">
        <f aca="false">IF(AG95=0,"",IF(NOT(LH_Ready),"",SUMIFS(INDEX(LH_Data,0,LH_ColTaken),INDEX(LH_Data,0,LH_ColFirst),$A95,INDEX(LH_Data,0,LH_ColSur),$B95,INDEX(LH_Data,0,LH_ColCat),BonusCat,INDEX(LH_Data,0,LH_ColStart),"&gt;="&amp;AH95)*UnitFactor))</f>
        <v/>
      </c>
      <c r="W95" s="20" t="str">
        <f aca="false">IF(AG95=0,"",IF(NOT(LH_Ready),"",IF(BD95=0,0,INDEX(INDEX(LH_Data,0,LH_ColClose),BD95-1)*UnitFactor)))</f>
        <v/>
      </c>
      <c r="X95" s="20" t="str">
        <f aca="false">IF(AG95=0,"",(AZ95-BA95)*HoursPerDay)</f>
        <v/>
      </c>
      <c r="Y95" s="20" t="str">
        <f aca="false">IF(AG95=0,"",IF(NOT(LH_Ready),"",IF(BC95=0,N95,IF(PFYDate&lt;$F95,N95-N(T95)-N(U95),X95-N(U95)))))</f>
        <v/>
      </c>
      <c r="Z95" s="19" t="str">
        <f aca="false">IF(OR(AG95=0,Y95=""),"",IF(Y95&gt;0,"Yes","No"))</f>
        <v/>
      </c>
      <c r="AA95" s="19"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20" t="str">
        <f aca="false">IF(OR(AG95=0,T95=""),"",BA95*HoursPerDay-T95)</f>
        <v/>
      </c>
      <c r="AC95" s="19" t="str">
        <f aca="false">IF(AG95=0,"",BC95)</f>
        <v/>
      </c>
      <c r="AD95" s="19"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20" t="str">
        <f aca="false">IF(AG95=0,"",O95-BH95)</f>
        <v/>
      </c>
      <c r="AF95" s="17" t="str">
        <f aca="false">IF(OR(AG95=0,AE95="",N(AE95)=0,BI95=""),"",EDATE(AH95,BI95))</f>
        <v/>
      </c>
      <c r="AG95" s="19" t="n">
        <f aca="false">IF(OR(LEN($A95&amp;$B95)=0,$F95=""),0,1)</f>
        <v>0</v>
      </c>
      <c r="AH95" s="17" t="str">
        <f aca="false">IF(AG95=0,"",IF($J95&lt;&gt;"",$J95,IF(OR(CasualCounts="Yes",COUNT($G95:$I95)=0,COUNT($H95:$I95)=0),$F95,MIN($H95:$I95))))</f>
        <v/>
      </c>
      <c r="AI95" s="19" t="str">
        <f aca="false">IF(AG95=0,"",COUNT($G95:$I95))</f>
        <v/>
      </c>
      <c r="AJ95" s="17" t="str">
        <f aca="false">IF(AG95=0,"",IFERROR(SMALL($G95:$I95,1),""))</f>
        <v/>
      </c>
      <c r="AK95" s="17" t="str">
        <f aca="false">IF(AG95=0,"",IFERROR(SMALL($G95:$I95,2),""))</f>
        <v/>
      </c>
      <c r="AL95" s="17" t="str">
        <f aca="false">IF(AG95=0,"",IFERROR(SMALL($G95:$I95,3),""))</f>
        <v/>
      </c>
      <c r="AM95" s="19" t="str">
        <f aca="false">IF(AG95=0,"",IF(AJ95="","",IF(AJ95=$H95,"Part-Time",IF(AJ95=$I95,"Full-Time","Casual"))))</f>
        <v/>
      </c>
      <c r="AN95" s="19" t="str">
        <f aca="false">IF(AG95=0,"",IF(AK95="","",IF(AK95=$H95,"Part-Time",IF(AK95=$I95,"Full-Time","Casual"))))</f>
        <v/>
      </c>
      <c r="AO95" s="19" t="str">
        <f aca="false">IF(AG95=0,"",IF(AL95="","",IF(AL95=$H95,"Part-Time",IF(AL95=$I95,"Full-Time","Casual"))))</f>
        <v/>
      </c>
      <c r="AP95" s="19"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19" t="str">
        <f aca="false">IF(AG95=0,"",IF(AI95&lt;2,"",IF(OR(ISNUMBER(SEARCH("full",AN95)),UPPER(TRIM(AN95))="FT",UPPER(TRIM(AN95))="FTE"),"FT",IF(AND(OR(ISNUMBER(SEARCH("part",AN95)),UPPER(TRIM(AN95))="PT",UPPER(TRIM(AN95))="PTE"),OR($P95="",N($P95)&gt;=PT_MinHours)),"PT","None"))))</f>
        <v/>
      </c>
      <c r="AR95" s="19" t="str">
        <f aca="false">IF(AG95=0,"",IF(AI95&lt;3,"",IF(OR(ISNUMBER(SEARCH("full",AO95)),UPPER(TRIM(AO95))="FT",UPPER(TRIM(AO95))="FTE"),"FT",IF(AND(OR(ISNUMBER(SEARCH("part",AO95)),UPPER(TRIM(AO95))="PT",UPPER(TRIM(AO95))="PTE"),OR($P95="",N($P95)&gt;=PT_MinHours)),"PT","None"))))</f>
        <v/>
      </c>
      <c r="AS95" s="19" t="str">
        <f aca="false">IF(AG95=0,"",IF(AND(AI95&gt;=3,AL95&lt;=AsOfDate),AR95,IF(AND(AI95&gt;=2,AK95&lt;=AsOfDate),AQ95,AP95)))</f>
        <v/>
      </c>
      <c r="AT95" s="19" t="str">
        <f aca="false">IF(AG95=0,"",IF(AsOfDate&lt;AH95,-1,12*(YEAR(AsOfDate)-YEAR(AH95))+MONTH(AsOfDate)-MONTH(AH95)-IF(DAY(AsOfDate)&lt;MIN(DAY(AH95),DAY(EOMONTH(AsOfDate,0))),1,0)))</f>
        <v/>
      </c>
      <c r="AU95" s="19" t="str">
        <f aca="false">IF(AG95=0,"",IF(OR(AI95&lt;2,AK95&gt;AsOfDate),AT95,IF((AK95-1)&lt;AH95,-1,12*(YEAR((AK95-1))-YEAR(AH95))+MONTH((AK95-1))-MONTH(AH95)-IF(DAY((AK95-1))&lt;MIN(DAY(AH95),DAY(EOMONTH((AK95-1),0))),1,0))))</f>
        <v/>
      </c>
      <c r="AV95" s="19" t="str">
        <f aca="false">IF(AG95=0,"",IF(OR(AI95&lt;3,AL95&gt;AsOfDate),AT95,IF((AL95-1)&lt;AH95,-1,12*(YEAR((AL95-1))-YEAR(AH95))+MONTH((AL95-1))-MONTH(AH95)-IF(DAY((AL95-1))&lt;MIN(DAY(AH95),DAY(EOMONTH((AL95-1),0))),1,0))))</f>
        <v/>
      </c>
      <c r="AW95" s="19" t="str">
        <f aca="false">IF(AG95=0,"",IF(PFYDate&lt;AH95,-1,12*(YEAR(PFYDate)-YEAR(AH95))+MONTH(PFYDate)-MONTH(AH95)-IF(DAY(PFYDate)&lt;MIN(DAY(AH95),DAY(EOMONTH(PFYDate,0))),1,0)))</f>
        <v/>
      </c>
      <c r="AX95" s="19" t="str">
        <f aca="false">IF(AG95=0,"",IF(OR(AI95&lt;2,AK95&gt;PFYDate),AW95,IF((AK95-1)&lt;AH95,-1,12*(YEAR((AK95-1))-YEAR(AH95))+MONTH((AK95-1))-MONTH(AH95)-IF(DAY((AK95-1))&lt;MIN(DAY(AH95),DAY(EOMONTH((AK95-1),0))),1,0))))</f>
        <v/>
      </c>
      <c r="AY95" s="19" t="str">
        <f aca="false">IF(AG95=0,"",IF(OR(AI95&lt;3,AL95&gt;PFYDate),AW95,IF((AL95-1)&lt;AH95,-1,12*(YEAR((AL95-1))-YEAR(AH95))+MONTH((AL95-1))-MONTH(AH95)-IF(DAY((AL95-1))&lt;MIN(DAY(AH95),DAY(EOMONTH((AL95-1),0))),1,0))))</f>
        <v/>
      </c>
      <c r="AZ95" s="19" t="str">
        <f aca="false">IF(AG95=0,"",IF(AP95="FT",IF(AU95&lt;FT_First,0,IF(AU95&lt;FT_Y5,1+INT((AU95-FT_First)/FT_Int1),FT_PreY5+FT_PerYear*INT((AU95-FT_Y5)/12)+FT_AnnivDays+INT(MOD(AU95-FT_Y5,12)/FT_Int2))),IF(AP95="PT",IF(AU95&lt;PT_First,0,1+INT((AU95-PT_First)/PT_Int)),0))+IF(AND(AI95&gt;=2,AK95&lt;=AsOfDate),IF(AQ95="FT",IF(AV95&lt;FT_First,0,IF(AV95&lt;FT_Y5,1+INT((AV95-FT_First)/FT_Int1),FT_PreY5+FT_PerYear*INT((AV95-FT_Y5)/12)+FT_AnnivDays+INT(MOD(AV95-FT_Y5,12)/FT_Int2))),IF(AQ95="PT",IF(AV95&lt;PT_First,0,1+INT((AV95-PT_First)/PT_Int)),0))-IF(AQ95="FT",IF(AU95&lt;FT_First,0,IF(AU95&lt;FT_Y5,1+INT((AU95-FT_First)/FT_Int1),FT_PreY5+FT_PerYear*INT((AU95-FT_Y5)/12)+FT_AnnivDays+INT(MOD(AU95-FT_Y5,12)/FT_Int2))),IF(AQ95="PT",IF(AU95&lt;PT_First,0,1+INT((AU95-PT_First)/PT_Int)),0)),0)+IF(AND(AI95&gt;=3,AL95&lt;=AsOfDate),IF(AR95="FT",IF(AT95&lt;FT_First,0,IF(AT95&lt;FT_Y5,1+INT((AT95-FT_First)/FT_Int1),FT_PreY5+FT_PerYear*INT((AT95-FT_Y5)/12)+FT_AnnivDays+INT(MOD(AT95-FT_Y5,12)/FT_Int2))),IF(AR95="PT",IF(AT95&lt;PT_First,0,1+INT((AT95-PT_First)/PT_Int)),0))-IF(AR95="FT",IF(AV95&lt;FT_First,0,IF(AV95&lt;FT_Y5,1+INT((AV95-FT_First)/FT_Int1),FT_PreY5+FT_PerYear*INT((AV95-FT_Y5)/12)+FT_AnnivDays+INT(MOD(AV95-FT_Y5,12)/FT_Int2))),IF(AR95="PT",IF(AV95&lt;PT_First,0,1+INT((AV95-PT_First)/PT_Int)),0)),0))</f>
        <v/>
      </c>
      <c r="BA95" s="19" t="str">
        <f aca="false">IF(AG95=0,"",IF(AP95="FT",IF(AX95&lt;FT_First,0,IF(AX95&lt;FT_Y5,1+INT((AX95-FT_First)/FT_Int1),FT_PreY5+FT_PerYear*INT((AX95-FT_Y5)/12)+FT_AnnivDays+INT(MOD(AX95-FT_Y5,12)/FT_Int2))),IF(AP95="PT",IF(AX95&lt;PT_First,0,1+INT((AX95-PT_First)/PT_Int)),0))+IF(AND(AI95&gt;=2,AK95&lt;=PFYDate),IF(AQ95="FT",IF(AY95&lt;FT_First,0,IF(AY95&lt;FT_Y5,1+INT((AY95-FT_First)/FT_Int1),FT_PreY5+FT_PerYear*INT((AY95-FT_Y5)/12)+FT_AnnivDays+INT(MOD(AY95-FT_Y5,12)/FT_Int2))),IF(AQ95="PT",IF(AY95&lt;PT_First,0,1+INT((AY95-PT_First)/PT_Int)),0))-IF(AQ95="FT",IF(AX95&lt;FT_First,0,IF(AX95&lt;FT_Y5,1+INT((AX95-FT_First)/FT_Int1),FT_PreY5+FT_PerYear*INT((AX95-FT_Y5)/12)+FT_AnnivDays+INT(MOD(AX95-FT_Y5,12)/FT_Int2))),IF(AQ95="PT",IF(AX95&lt;PT_First,0,1+INT((AX95-PT_First)/PT_Int)),0)),0)+IF(AND(AI95&gt;=3,AL95&lt;=PFYDate),IF(AR95="FT",IF(AW95&lt;FT_First,0,IF(AW95&lt;FT_Y5,1+INT((AW95-FT_First)/FT_Int1),FT_PreY5+FT_PerYear*INT((AW95-FT_Y5)/12)+FT_AnnivDays+INT(MOD(AW95-FT_Y5,12)/FT_Int2))),IF(AR95="PT",IF(AW95&lt;PT_First,0,1+INT((AW95-PT_First)/PT_Int)),0))-IF(AR95="FT",IF(AY95&lt;FT_First,0,IF(AY95&lt;FT_Y5,1+INT((AY95-FT_First)/FT_Int1),FT_PreY5+FT_PerYear*INT((AY95-FT_Y5)/12)+FT_AnnivDays+INT(MOD(AY95-FT_Y5,12)/FT_Int2))),IF(AR95="PT",IF(AY95&lt;PT_First,0,1+INT((AY95-PT_First)/PT_Int)),0)),0))</f>
        <v/>
      </c>
      <c r="BB95" s="19" t="str">
        <f aca="false">IF(AG95=0,"",IF(AS95="FT",IF(AT95&lt;FT_First,FT_First,IF(AT95&lt;FT_Y5,MIN(FT_Y5,FT_First+FT_Int1*(INT((AT95-FT_First)/FT_Int1)+1)),FT_Y5+12*INT((AT95-FT_Y5)/12)+FT_Int2*(INT(MOD(AT95-FT_Y5,12)/FT_Int2)+1))),IF(AS95="PT",IF(AT95&lt;PT_First,PT_First,PT_First+PT_Int*(INT((AT95-PT_First)/PT_Int)+1)),"")))</f>
        <v/>
      </c>
      <c r="BC95" s="19" t="str">
        <f aca="false">IF(AG95=0,"",IF(NOT(LH_Ready),0,COUNTIFS(INDEX(LH_Data,0,LH_ColFirst),$A95,INDEX(LH_Data,0,LH_ColSur),$B95,INDEX(LH_Data,0,LH_ColCat),BonusCat)))</f>
        <v/>
      </c>
      <c r="BD95" s="19" t="str">
        <f aca="false">IF(AG95=0,"",IF(OR(NOT(LH_Ready),BC95=0),0,SUMPRODUCT(MAX((INDEX(LH_Data,0,LH_ColFirst)=$A95)*(INDEX(LH_Data,0,LH_ColSur)=$B95)*(INDEX(LH_Data,0,LH_ColCat)=BonusCat)*ROW(LH_Data)))))</f>
        <v/>
      </c>
      <c r="BE95" s="19" t="str">
        <f aca="false">IF(AG95=0,"",IF(EOMONTH(AsOfDate,-1)&lt;AH95,-1,12*(YEAR(EOMONTH(AsOfDate,-1))-YEAR(AH95))+MONTH(EOMONTH(AsOfDate,-1))-MONTH(AH95)-IF(DAY(EOMONTH(AsOfDate,-1))&lt;MIN(DAY(AH95),DAY(EOMONTH(EOMONTH(AsOfDate,-1),0))),1,0)))</f>
        <v/>
      </c>
      <c r="BF95" s="19" t="str">
        <f aca="false">IF(AG95=0,"",IF(OR(AI95&lt;2,AK95&gt;EOMONTH(AsOfDate,-1)),BE95,IF((AK95-1)&lt;AH95,-1,12*(YEAR((AK95-1))-YEAR(AH95))+MONTH((AK95-1))-MONTH(AH95)-IF(DAY((AK95-1))&lt;MIN(DAY(AH95),DAY(EOMONTH((AK95-1),0))),1,0))))</f>
        <v/>
      </c>
      <c r="BG95" s="19" t="str">
        <f aca="false">IF(AG95=0,"",IF(OR(AI95&lt;3,AL95&gt;EOMONTH(AsOfDate,-1)),BE95,IF((AL95-1)&lt;AH95,-1,12*(YEAR((AL95-1))-YEAR(AH95))+MONTH((AL95-1))-MONTH(AH95)-IF(DAY((AL95-1))&lt;MIN(DAY(AH95),DAY(EOMONTH((AL95-1),0))),1,0))))</f>
        <v/>
      </c>
      <c r="BH95" s="19" t="str">
        <f aca="false">IF(AG95=0,"",IF(AP95="FT",IF(BF95&lt;FT_First,0,IF(BF95&lt;FT_Y5,1+INT((BF95-FT_First)/FT_Int1),FT_PreY5+FT_PerYear*INT((BF95-FT_Y5)/12)+FT_AnnivDays+INT(MOD(BF95-FT_Y5,12)/FT_Int2))),IF(AP95="PT",IF(BF95&lt;PT_First,0,1+INT((BF95-PT_First)/PT_Int)),0))+IF(AND(AI95&gt;=2,AK95&lt;=EOMONTH(AsOfDate,-1)),IF(AQ95="FT",IF(BG95&lt;FT_First,0,IF(BG95&lt;FT_Y5,1+INT((BG95-FT_First)/FT_Int1),FT_PreY5+FT_PerYear*INT((BG95-FT_Y5)/12)+FT_AnnivDays+INT(MOD(BG95-FT_Y5,12)/FT_Int2))),IF(AQ95="PT",IF(BG95&lt;PT_First,0,1+INT((BG95-PT_First)/PT_Int)),0))-IF(AQ95="FT",IF(BF95&lt;FT_First,0,IF(BF95&lt;FT_Y5,1+INT((BF95-FT_First)/FT_Int1),FT_PreY5+FT_PerYear*INT((BF95-FT_Y5)/12)+FT_AnnivDays+INT(MOD(BF95-FT_Y5,12)/FT_Int2))),IF(AQ95="PT",IF(BF95&lt;PT_First,0,1+INT((BF95-PT_First)/PT_Int)),0)),0)+IF(AND(AI95&gt;=3,AL95&lt;=EOMONTH(AsOfDate,-1)),IF(AR95="FT",IF(BE95&lt;FT_First,0,IF(BE95&lt;FT_Y5,1+INT((BE95-FT_First)/FT_Int1),FT_PreY5+FT_PerYear*INT((BE95-FT_Y5)/12)+FT_AnnivDays+INT(MOD(BE95-FT_Y5,12)/FT_Int2))),IF(AR95="PT",IF(BE95&lt;PT_First,0,1+INT((BE95-PT_First)/PT_Int)),0))-IF(AR95="FT",IF(BG95&lt;FT_First,0,IF(BG95&lt;FT_Y5,1+INT((BG95-FT_First)/FT_Int1),FT_PreY5+FT_PerYear*INT((BG95-FT_Y5)/12)+FT_AnnivDays+INT(MOD(BG95-FT_Y5,12)/FT_Int2))),IF(AR95="PT",IF(BG95&lt;PT_First,0,1+INT((BG95-PT_First)/PT_Int)),0)),0))</f>
        <v/>
      </c>
      <c r="BI95" s="19" t="str">
        <f aca="false">IF(AG95=0,"",IF(AS95="FT",IF(AT95&lt;FT_First,"",IF(AT95&lt;FT_Y5,FT_First+FT_Int1*INT((AT95-FT_First)/FT_Int1),FT_Y5+FT_Int2*INT((AT95-FT_Y5)/FT_Int2))),IF(AS95="PT",IF(AT95&lt;PT_First,"",PT_First+PT_Int*INT((AT95-PT_First)/PT_Int)),"")))</f>
        <v/>
      </c>
      <c r="BJ95" s="0" t="str">
        <f aca="false">IF(LEN($A95&amp;$B95)=0,"",$A95&amp;" "&amp;$B95)</f>
        <v/>
      </c>
    </row>
    <row r="96" customFormat="false" ht="15" hidden="false" customHeight="false" outlineLevel="0" collapsed="false">
      <c r="A96" s="15"/>
      <c r="B96" s="15"/>
      <c r="C96" s="15"/>
      <c r="D96" s="16"/>
      <c r="E96" s="17" t="str">
        <f aca="false">IF(OR(AG96=0,$D96=""),"",DATE(YEAR(AsOfDate)+IF(DATE(YEAR(AsOfDate),MONTH($D96),DAY($D96))&lt;=AsOfDate,1,0),MONTH($D96),DAY($D96)))</f>
        <v/>
      </c>
      <c r="F96" s="16"/>
      <c r="G96" s="16"/>
      <c r="H96" s="16"/>
      <c r="I96" s="16"/>
      <c r="J96" s="16"/>
      <c r="K96" s="17" t="str">
        <f aca="false">IF(AG96=0,"",DATE(YEAR(AsOfDate)+IF(DATE(YEAR(AsOfDate),MONTH(AH96),DAY(AH96))&lt;=AsOfDate,1,0),MONTH(AH96),DAY(AH96)))</f>
        <v/>
      </c>
      <c r="L96" s="18" t="str">
        <f aca="false">IF(AG96=0,"",ROUND((AsOfDate-AH96)/365.25,1))</f>
        <v/>
      </c>
      <c r="M96" s="19" t="str">
        <f aca="false">IF(AG96=0,"",IF(AsOfDate&lt;AH96,"-",DATEDIF(AH96,AsOfDate,"y")&amp;"y "&amp;DATEDIF(AH96,AsOfDate,"ym")&amp;"m "&amp;DATEDIF(AH96,AsOfDate,"md")&amp;"d"))</f>
        <v/>
      </c>
      <c r="N96" s="20" t="str">
        <f aca="false">IF(AG96=0,"",O96*HoursPerDay)</f>
        <v/>
      </c>
      <c r="O96" s="20" t="str">
        <f aca="false">IF(AG96=0,"",AZ96)</f>
        <v/>
      </c>
      <c r="P96" s="21"/>
      <c r="Q96" s="19"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19"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7" t="str">
        <f aca="false">IF(AG96=0,"",IF(AS96="None","",EDATE(AH96,BB96)))</f>
        <v/>
      </c>
      <c r="T96" s="20" t="str">
        <f aca="false">IF(AG96=0,"",IF(NOT(LH_Ready),"",IF(AH96&gt;PFYDate,0,IF(LH_ColPeriod=0,W96-U96+V96,SUMIFS(INDEX(LH_Data,0,LH_ColAcc),INDEX(LH_Data,0,LH_ColFirst),$A96,INDEX(LH_Data,0,LH_ColSur),$B96,INDEX(LH_Data,0,LH_ColCat),BonusCat,INDEX(LH_Data,0,LH_ColPeriod),LH_OpenLabel)*UnitFactor))))</f>
        <v/>
      </c>
      <c r="U96" s="20" t="str">
        <f aca="false">IF(AG96=0,"",IF(NOT(LH_Ready),"",SUMIFS(INDEX(LH_Data,0,LH_ColAcc),INDEX(LH_Data,0,LH_ColFirst),$A96,INDEX(LH_Data,0,LH_ColSur),$B96,INDEX(LH_Data,0,LH_ColCat),BonusCat,INDEX(LH_Data,0,LH_ColStart),"&gt;="&amp;AH96)*UnitFactor))</f>
        <v/>
      </c>
      <c r="V96" s="20" t="str">
        <f aca="false">IF(AG96=0,"",IF(NOT(LH_Ready),"",SUMIFS(INDEX(LH_Data,0,LH_ColTaken),INDEX(LH_Data,0,LH_ColFirst),$A96,INDEX(LH_Data,0,LH_ColSur),$B96,INDEX(LH_Data,0,LH_ColCat),BonusCat,INDEX(LH_Data,0,LH_ColStart),"&gt;="&amp;AH96)*UnitFactor))</f>
        <v/>
      </c>
      <c r="W96" s="20" t="str">
        <f aca="false">IF(AG96=0,"",IF(NOT(LH_Ready),"",IF(BD96=0,0,INDEX(INDEX(LH_Data,0,LH_ColClose),BD96-1)*UnitFactor)))</f>
        <v/>
      </c>
      <c r="X96" s="20" t="str">
        <f aca="false">IF(AG96=0,"",(AZ96-BA96)*HoursPerDay)</f>
        <v/>
      </c>
      <c r="Y96" s="20" t="str">
        <f aca="false">IF(AG96=0,"",IF(NOT(LH_Ready),"",IF(BC96=0,N96,IF(PFYDate&lt;$F96,N96-N(T96)-N(U96),X96-N(U96)))))</f>
        <v/>
      </c>
      <c r="Z96" s="19" t="str">
        <f aca="false">IF(OR(AG96=0,Y96=""),"",IF(Y96&gt;0,"Yes","No"))</f>
        <v/>
      </c>
      <c r="AA96" s="19"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20" t="str">
        <f aca="false">IF(OR(AG96=0,T96=""),"",BA96*HoursPerDay-T96)</f>
        <v/>
      </c>
      <c r="AC96" s="19" t="str">
        <f aca="false">IF(AG96=0,"",BC96)</f>
        <v/>
      </c>
      <c r="AD96" s="19"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20" t="str">
        <f aca="false">IF(AG96=0,"",O96-BH96)</f>
        <v/>
      </c>
      <c r="AF96" s="17" t="str">
        <f aca="false">IF(OR(AG96=0,AE96="",N(AE96)=0,BI96=""),"",EDATE(AH96,BI96))</f>
        <v/>
      </c>
      <c r="AG96" s="19" t="n">
        <f aca="false">IF(OR(LEN($A96&amp;$B96)=0,$F96=""),0,1)</f>
        <v>0</v>
      </c>
      <c r="AH96" s="17" t="str">
        <f aca="false">IF(AG96=0,"",IF($J96&lt;&gt;"",$J96,IF(OR(CasualCounts="Yes",COUNT($G96:$I96)=0,COUNT($H96:$I96)=0),$F96,MIN($H96:$I96))))</f>
        <v/>
      </c>
      <c r="AI96" s="19" t="str">
        <f aca="false">IF(AG96=0,"",COUNT($G96:$I96))</f>
        <v/>
      </c>
      <c r="AJ96" s="17" t="str">
        <f aca="false">IF(AG96=0,"",IFERROR(SMALL($G96:$I96,1),""))</f>
        <v/>
      </c>
      <c r="AK96" s="17" t="str">
        <f aca="false">IF(AG96=0,"",IFERROR(SMALL($G96:$I96,2),""))</f>
        <v/>
      </c>
      <c r="AL96" s="17" t="str">
        <f aca="false">IF(AG96=0,"",IFERROR(SMALL($G96:$I96,3),""))</f>
        <v/>
      </c>
      <c r="AM96" s="19" t="str">
        <f aca="false">IF(AG96=0,"",IF(AJ96="","",IF(AJ96=$H96,"Part-Time",IF(AJ96=$I96,"Full-Time","Casual"))))</f>
        <v/>
      </c>
      <c r="AN96" s="19" t="str">
        <f aca="false">IF(AG96=0,"",IF(AK96="","",IF(AK96=$H96,"Part-Time",IF(AK96=$I96,"Full-Time","Casual"))))</f>
        <v/>
      </c>
      <c r="AO96" s="19" t="str">
        <f aca="false">IF(AG96=0,"",IF(AL96="","",IF(AL96=$H96,"Part-Time",IF(AL96=$I96,"Full-Time","Casual"))))</f>
        <v/>
      </c>
      <c r="AP96" s="19"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19" t="str">
        <f aca="false">IF(AG96=0,"",IF(AI96&lt;2,"",IF(OR(ISNUMBER(SEARCH("full",AN96)),UPPER(TRIM(AN96))="FT",UPPER(TRIM(AN96))="FTE"),"FT",IF(AND(OR(ISNUMBER(SEARCH("part",AN96)),UPPER(TRIM(AN96))="PT",UPPER(TRIM(AN96))="PTE"),OR($P96="",N($P96)&gt;=PT_MinHours)),"PT","None"))))</f>
        <v/>
      </c>
      <c r="AR96" s="19" t="str">
        <f aca="false">IF(AG96=0,"",IF(AI96&lt;3,"",IF(OR(ISNUMBER(SEARCH("full",AO96)),UPPER(TRIM(AO96))="FT",UPPER(TRIM(AO96))="FTE"),"FT",IF(AND(OR(ISNUMBER(SEARCH("part",AO96)),UPPER(TRIM(AO96))="PT",UPPER(TRIM(AO96))="PTE"),OR($P96="",N($P96)&gt;=PT_MinHours)),"PT","None"))))</f>
        <v/>
      </c>
      <c r="AS96" s="19" t="str">
        <f aca="false">IF(AG96=0,"",IF(AND(AI96&gt;=3,AL96&lt;=AsOfDate),AR96,IF(AND(AI96&gt;=2,AK96&lt;=AsOfDate),AQ96,AP96)))</f>
        <v/>
      </c>
      <c r="AT96" s="19" t="str">
        <f aca="false">IF(AG96=0,"",IF(AsOfDate&lt;AH96,-1,12*(YEAR(AsOfDate)-YEAR(AH96))+MONTH(AsOfDate)-MONTH(AH96)-IF(DAY(AsOfDate)&lt;MIN(DAY(AH96),DAY(EOMONTH(AsOfDate,0))),1,0)))</f>
        <v/>
      </c>
      <c r="AU96" s="19" t="str">
        <f aca="false">IF(AG96=0,"",IF(OR(AI96&lt;2,AK96&gt;AsOfDate),AT96,IF((AK96-1)&lt;AH96,-1,12*(YEAR((AK96-1))-YEAR(AH96))+MONTH((AK96-1))-MONTH(AH96)-IF(DAY((AK96-1))&lt;MIN(DAY(AH96),DAY(EOMONTH((AK96-1),0))),1,0))))</f>
        <v/>
      </c>
      <c r="AV96" s="19" t="str">
        <f aca="false">IF(AG96=0,"",IF(OR(AI96&lt;3,AL96&gt;AsOfDate),AT96,IF((AL96-1)&lt;AH96,-1,12*(YEAR((AL96-1))-YEAR(AH96))+MONTH((AL96-1))-MONTH(AH96)-IF(DAY((AL96-1))&lt;MIN(DAY(AH96),DAY(EOMONTH((AL96-1),0))),1,0))))</f>
        <v/>
      </c>
      <c r="AW96" s="19" t="str">
        <f aca="false">IF(AG96=0,"",IF(PFYDate&lt;AH96,-1,12*(YEAR(PFYDate)-YEAR(AH96))+MONTH(PFYDate)-MONTH(AH96)-IF(DAY(PFYDate)&lt;MIN(DAY(AH96),DAY(EOMONTH(PFYDate,0))),1,0)))</f>
        <v/>
      </c>
      <c r="AX96" s="19" t="str">
        <f aca="false">IF(AG96=0,"",IF(OR(AI96&lt;2,AK96&gt;PFYDate),AW96,IF((AK96-1)&lt;AH96,-1,12*(YEAR((AK96-1))-YEAR(AH96))+MONTH((AK96-1))-MONTH(AH96)-IF(DAY((AK96-1))&lt;MIN(DAY(AH96),DAY(EOMONTH((AK96-1),0))),1,0))))</f>
        <v/>
      </c>
      <c r="AY96" s="19" t="str">
        <f aca="false">IF(AG96=0,"",IF(OR(AI96&lt;3,AL96&gt;PFYDate),AW96,IF((AL96-1)&lt;AH96,-1,12*(YEAR((AL96-1))-YEAR(AH96))+MONTH((AL96-1))-MONTH(AH96)-IF(DAY((AL96-1))&lt;MIN(DAY(AH96),DAY(EOMONTH((AL96-1),0))),1,0))))</f>
        <v/>
      </c>
      <c r="AZ96" s="19" t="str">
        <f aca="false">IF(AG96=0,"",IF(AP96="FT",IF(AU96&lt;FT_First,0,IF(AU96&lt;FT_Y5,1+INT((AU96-FT_First)/FT_Int1),FT_PreY5+FT_PerYear*INT((AU96-FT_Y5)/12)+FT_AnnivDays+INT(MOD(AU96-FT_Y5,12)/FT_Int2))),IF(AP96="PT",IF(AU96&lt;PT_First,0,1+INT((AU96-PT_First)/PT_Int)),0))+IF(AND(AI96&gt;=2,AK96&lt;=AsOfDate),IF(AQ96="FT",IF(AV96&lt;FT_First,0,IF(AV96&lt;FT_Y5,1+INT((AV96-FT_First)/FT_Int1),FT_PreY5+FT_PerYear*INT((AV96-FT_Y5)/12)+FT_AnnivDays+INT(MOD(AV96-FT_Y5,12)/FT_Int2))),IF(AQ96="PT",IF(AV96&lt;PT_First,0,1+INT((AV96-PT_First)/PT_Int)),0))-IF(AQ96="FT",IF(AU96&lt;FT_First,0,IF(AU96&lt;FT_Y5,1+INT((AU96-FT_First)/FT_Int1),FT_PreY5+FT_PerYear*INT((AU96-FT_Y5)/12)+FT_AnnivDays+INT(MOD(AU96-FT_Y5,12)/FT_Int2))),IF(AQ96="PT",IF(AU96&lt;PT_First,0,1+INT((AU96-PT_First)/PT_Int)),0)),0)+IF(AND(AI96&gt;=3,AL96&lt;=AsOfDate),IF(AR96="FT",IF(AT96&lt;FT_First,0,IF(AT96&lt;FT_Y5,1+INT((AT96-FT_First)/FT_Int1),FT_PreY5+FT_PerYear*INT((AT96-FT_Y5)/12)+FT_AnnivDays+INT(MOD(AT96-FT_Y5,12)/FT_Int2))),IF(AR96="PT",IF(AT96&lt;PT_First,0,1+INT((AT96-PT_First)/PT_Int)),0))-IF(AR96="FT",IF(AV96&lt;FT_First,0,IF(AV96&lt;FT_Y5,1+INT((AV96-FT_First)/FT_Int1),FT_PreY5+FT_PerYear*INT((AV96-FT_Y5)/12)+FT_AnnivDays+INT(MOD(AV96-FT_Y5,12)/FT_Int2))),IF(AR96="PT",IF(AV96&lt;PT_First,0,1+INT((AV96-PT_First)/PT_Int)),0)),0))</f>
        <v/>
      </c>
      <c r="BA96" s="19" t="str">
        <f aca="false">IF(AG96=0,"",IF(AP96="FT",IF(AX96&lt;FT_First,0,IF(AX96&lt;FT_Y5,1+INT((AX96-FT_First)/FT_Int1),FT_PreY5+FT_PerYear*INT((AX96-FT_Y5)/12)+FT_AnnivDays+INT(MOD(AX96-FT_Y5,12)/FT_Int2))),IF(AP96="PT",IF(AX96&lt;PT_First,0,1+INT((AX96-PT_First)/PT_Int)),0))+IF(AND(AI96&gt;=2,AK96&lt;=PFYDate),IF(AQ96="FT",IF(AY96&lt;FT_First,0,IF(AY96&lt;FT_Y5,1+INT((AY96-FT_First)/FT_Int1),FT_PreY5+FT_PerYear*INT((AY96-FT_Y5)/12)+FT_AnnivDays+INT(MOD(AY96-FT_Y5,12)/FT_Int2))),IF(AQ96="PT",IF(AY96&lt;PT_First,0,1+INT((AY96-PT_First)/PT_Int)),0))-IF(AQ96="FT",IF(AX96&lt;FT_First,0,IF(AX96&lt;FT_Y5,1+INT((AX96-FT_First)/FT_Int1),FT_PreY5+FT_PerYear*INT((AX96-FT_Y5)/12)+FT_AnnivDays+INT(MOD(AX96-FT_Y5,12)/FT_Int2))),IF(AQ96="PT",IF(AX96&lt;PT_First,0,1+INT((AX96-PT_First)/PT_Int)),0)),0)+IF(AND(AI96&gt;=3,AL96&lt;=PFYDate),IF(AR96="FT",IF(AW96&lt;FT_First,0,IF(AW96&lt;FT_Y5,1+INT((AW96-FT_First)/FT_Int1),FT_PreY5+FT_PerYear*INT((AW96-FT_Y5)/12)+FT_AnnivDays+INT(MOD(AW96-FT_Y5,12)/FT_Int2))),IF(AR96="PT",IF(AW96&lt;PT_First,0,1+INT((AW96-PT_First)/PT_Int)),0))-IF(AR96="FT",IF(AY96&lt;FT_First,0,IF(AY96&lt;FT_Y5,1+INT((AY96-FT_First)/FT_Int1),FT_PreY5+FT_PerYear*INT((AY96-FT_Y5)/12)+FT_AnnivDays+INT(MOD(AY96-FT_Y5,12)/FT_Int2))),IF(AR96="PT",IF(AY96&lt;PT_First,0,1+INT((AY96-PT_First)/PT_Int)),0)),0))</f>
        <v/>
      </c>
      <c r="BB96" s="19" t="str">
        <f aca="false">IF(AG96=0,"",IF(AS96="FT",IF(AT96&lt;FT_First,FT_First,IF(AT96&lt;FT_Y5,MIN(FT_Y5,FT_First+FT_Int1*(INT((AT96-FT_First)/FT_Int1)+1)),FT_Y5+12*INT((AT96-FT_Y5)/12)+FT_Int2*(INT(MOD(AT96-FT_Y5,12)/FT_Int2)+1))),IF(AS96="PT",IF(AT96&lt;PT_First,PT_First,PT_First+PT_Int*(INT((AT96-PT_First)/PT_Int)+1)),"")))</f>
        <v/>
      </c>
      <c r="BC96" s="19" t="str">
        <f aca="false">IF(AG96=0,"",IF(NOT(LH_Ready),0,COUNTIFS(INDEX(LH_Data,0,LH_ColFirst),$A96,INDEX(LH_Data,0,LH_ColSur),$B96,INDEX(LH_Data,0,LH_ColCat),BonusCat)))</f>
        <v/>
      </c>
      <c r="BD96" s="19" t="str">
        <f aca="false">IF(AG96=0,"",IF(OR(NOT(LH_Ready),BC96=0),0,SUMPRODUCT(MAX((INDEX(LH_Data,0,LH_ColFirst)=$A96)*(INDEX(LH_Data,0,LH_ColSur)=$B96)*(INDEX(LH_Data,0,LH_ColCat)=BonusCat)*ROW(LH_Data)))))</f>
        <v/>
      </c>
      <c r="BE96" s="19" t="str">
        <f aca="false">IF(AG96=0,"",IF(EOMONTH(AsOfDate,-1)&lt;AH96,-1,12*(YEAR(EOMONTH(AsOfDate,-1))-YEAR(AH96))+MONTH(EOMONTH(AsOfDate,-1))-MONTH(AH96)-IF(DAY(EOMONTH(AsOfDate,-1))&lt;MIN(DAY(AH96),DAY(EOMONTH(EOMONTH(AsOfDate,-1),0))),1,0)))</f>
        <v/>
      </c>
      <c r="BF96" s="19" t="str">
        <f aca="false">IF(AG96=0,"",IF(OR(AI96&lt;2,AK96&gt;EOMONTH(AsOfDate,-1)),BE96,IF((AK96-1)&lt;AH96,-1,12*(YEAR((AK96-1))-YEAR(AH96))+MONTH((AK96-1))-MONTH(AH96)-IF(DAY((AK96-1))&lt;MIN(DAY(AH96),DAY(EOMONTH((AK96-1),0))),1,0))))</f>
        <v/>
      </c>
      <c r="BG96" s="19" t="str">
        <f aca="false">IF(AG96=0,"",IF(OR(AI96&lt;3,AL96&gt;EOMONTH(AsOfDate,-1)),BE96,IF((AL96-1)&lt;AH96,-1,12*(YEAR((AL96-1))-YEAR(AH96))+MONTH((AL96-1))-MONTH(AH96)-IF(DAY((AL96-1))&lt;MIN(DAY(AH96),DAY(EOMONTH((AL96-1),0))),1,0))))</f>
        <v/>
      </c>
      <c r="BH96" s="19" t="str">
        <f aca="false">IF(AG96=0,"",IF(AP96="FT",IF(BF96&lt;FT_First,0,IF(BF96&lt;FT_Y5,1+INT((BF96-FT_First)/FT_Int1),FT_PreY5+FT_PerYear*INT((BF96-FT_Y5)/12)+FT_AnnivDays+INT(MOD(BF96-FT_Y5,12)/FT_Int2))),IF(AP96="PT",IF(BF96&lt;PT_First,0,1+INT((BF96-PT_First)/PT_Int)),0))+IF(AND(AI96&gt;=2,AK96&lt;=EOMONTH(AsOfDate,-1)),IF(AQ96="FT",IF(BG96&lt;FT_First,0,IF(BG96&lt;FT_Y5,1+INT((BG96-FT_First)/FT_Int1),FT_PreY5+FT_PerYear*INT((BG96-FT_Y5)/12)+FT_AnnivDays+INT(MOD(BG96-FT_Y5,12)/FT_Int2))),IF(AQ96="PT",IF(BG96&lt;PT_First,0,1+INT((BG96-PT_First)/PT_Int)),0))-IF(AQ96="FT",IF(BF96&lt;FT_First,0,IF(BF96&lt;FT_Y5,1+INT((BF96-FT_First)/FT_Int1),FT_PreY5+FT_PerYear*INT((BF96-FT_Y5)/12)+FT_AnnivDays+INT(MOD(BF96-FT_Y5,12)/FT_Int2))),IF(AQ96="PT",IF(BF96&lt;PT_First,0,1+INT((BF96-PT_First)/PT_Int)),0)),0)+IF(AND(AI96&gt;=3,AL96&lt;=EOMONTH(AsOfDate,-1)),IF(AR96="FT",IF(BE96&lt;FT_First,0,IF(BE96&lt;FT_Y5,1+INT((BE96-FT_First)/FT_Int1),FT_PreY5+FT_PerYear*INT((BE96-FT_Y5)/12)+FT_AnnivDays+INT(MOD(BE96-FT_Y5,12)/FT_Int2))),IF(AR96="PT",IF(BE96&lt;PT_First,0,1+INT((BE96-PT_First)/PT_Int)),0))-IF(AR96="FT",IF(BG96&lt;FT_First,0,IF(BG96&lt;FT_Y5,1+INT((BG96-FT_First)/FT_Int1),FT_PreY5+FT_PerYear*INT((BG96-FT_Y5)/12)+FT_AnnivDays+INT(MOD(BG96-FT_Y5,12)/FT_Int2))),IF(AR96="PT",IF(BG96&lt;PT_First,0,1+INT((BG96-PT_First)/PT_Int)),0)),0))</f>
        <v/>
      </c>
      <c r="BI96" s="19" t="str">
        <f aca="false">IF(AG96=0,"",IF(AS96="FT",IF(AT96&lt;FT_First,"",IF(AT96&lt;FT_Y5,FT_First+FT_Int1*INT((AT96-FT_First)/FT_Int1),FT_Y5+FT_Int2*INT((AT96-FT_Y5)/FT_Int2))),IF(AS96="PT",IF(AT96&lt;PT_First,"",PT_First+PT_Int*INT((AT96-PT_First)/PT_Int)),"")))</f>
        <v/>
      </c>
      <c r="BJ96" s="0" t="str">
        <f aca="false">IF(LEN($A96&amp;$B96)=0,"",$A96&amp;" "&amp;$B96)</f>
        <v/>
      </c>
    </row>
    <row r="97" customFormat="false" ht="15" hidden="false" customHeight="false" outlineLevel="0" collapsed="false">
      <c r="A97" s="15"/>
      <c r="B97" s="15"/>
      <c r="C97" s="15"/>
      <c r="D97" s="16"/>
      <c r="E97" s="17" t="str">
        <f aca="false">IF(OR(AG97=0,$D97=""),"",DATE(YEAR(AsOfDate)+IF(DATE(YEAR(AsOfDate),MONTH($D97),DAY($D97))&lt;=AsOfDate,1,0),MONTH($D97),DAY($D97)))</f>
        <v/>
      </c>
      <c r="F97" s="16"/>
      <c r="G97" s="16"/>
      <c r="H97" s="16"/>
      <c r="I97" s="16"/>
      <c r="J97" s="16"/>
      <c r="K97" s="17" t="str">
        <f aca="false">IF(AG97=0,"",DATE(YEAR(AsOfDate)+IF(DATE(YEAR(AsOfDate),MONTH(AH97),DAY(AH97))&lt;=AsOfDate,1,0),MONTH(AH97),DAY(AH97)))</f>
        <v/>
      </c>
      <c r="L97" s="18" t="str">
        <f aca="false">IF(AG97=0,"",ROUND((AsOfDate-AH97)/365.25,1))</f>
        <v/>
      </c>
      <c r="M97" s="19" t="str">
        <f aca="false">IF(AG97=0,"",IF(AsOfDate&lt;AH97,"-",DATEDIF(AH97,AsOfDate,"y")&amp;"y "&amp;DATEDIF(AH97,AsOfDate,"ym")&amp;"m "&amp;DATEDIF(AH97,AsOfDate,"md")&amp;"d"))</f>
        <v/>
      </c>
      <c r="N97" s="20" t="str">
        <f aca="false">IF(AG97=0,"",O97*HoursPerDay)</f>
        <v/>
      </c>
      <c r="O97" s="20" t="str">
        <f aca="false">IF(AG97=0,"",AZ97)</f>
        <v/>
      </c>
      <c r="P97" s="21"/>
      <c r="Q97" s="19"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19"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7" t="str">
        <f aca="false">IF(AG97=0,"",IF(AS97="None","",EDATE(AH97,BB97)))</f>
        <v/>
      </c>
      <c r="T97" s="20" t="str">
        <f aca="false">IF(AG97=0,"",IF(NOT(LH_Ready),"",IF(AH97&gt;PFYDate,0,IF(LH_ColPeriod=0,W97-U97+V97,SUMIFS(INDEX(LH_Data,0,LH_ColAcc),INDEX(LH_Data,0,LH_ColFirst),$A97,INDEX(LH_Data,0,LH_ColSur),$B97,INDEX(LH_Data,0,LH_ColCat),BonusCat,INDEX(LH_Data,0,LH_ColPeriod),LH_OpenLabel)*UnitFactor))))</f>
        <v/>
      </c>
      <c r="U97" s="20" t="str">
        <f aca="false">IF(AG97=0,"",IF(NOT(LH_Ready),"",SUMIFS(INDEX(LH_Data,0,LH_ColAcc),INDEX(LH_Data,0,LH_ColFirst),$A97,INDEX(LH_Data,0,LH_ColSur),$B97,INDEX(LH_Data,0,LH_ColCat),BonusCat,INDEX(LH_Data,0,LH_ColStart),"&gt;="&amp;AH97)*UnitFactor))</f>
        <v/>
      </c>
      <c r="V97" s="20" t="str">
        <f aca="false">IF(AG97=0,"",IF(NOT(LH_Ready),"",SUMIFS(INDEX(LH_Data,0,LH_ColTaken),INDEX(LH_Data,0,LH_ColFirst),$A97,INDEX(LH_Data,0,LH_ColSur),$B97,INDEX(LH_Data,0,LH_ColCat),BonusCat,INDEX(LH_Data,0,LH_ColStart),"&gt;="&amp;AH97)*UnitFactor))</f>
        <v/>
      </c>
      <c r="W97" s="20" t="str">
        <f aca="false">IF(AG97=0,"",IF(NOT(LH_Ready),"",IF(BD97=0,0,INDEX(INDEX(LH_Data,0,LH_ColClose),BD97-1)*UnitFactor)))</f>
        <v/>
      </c>
      <c r="X97" s="20" t="str">
        <f aca="false">IF(AG97=0,"",(AZ97-BA97)*HoursPerDay)</f>
        <v/>
      </c>
      <c r="Y97" s="20" t="str">
        <f aca="false">IF(AG97=0,"",IF(NOT(LH_Ready),"",IF(BC97=0,N97,IF(PFYDate&lt;$F97,N97-N(T97)-N(U97),X97-N(U97)))))</f>
        <v/>
      </c>
      <c r="Z97" s="19" t="str">
        <f aca="false">IF(OR(AG97=0,Y97=""),"",IF(Y97&gt;0,"Yes","No"))</f>
        <v/>
      </c>
      <c r="AA97" s="19"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20" t="str">
        <f aca="false">IF(OR(AG97=0,T97=""),"",BA97*HoursPerDay-T97)</f>
        <v/>
      </c>
      <c r="AC97" s="19" t="str">
        <f aca="false">IF(AG97=0,"",BC97)</f>
        <v/>
      </c>
      <c r="AD97" s="19"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20" t="str">
        <f aca="false">IF(AG97=0,"",O97-BH97)</f>
        <v/>
      </c>
      <c r="AF97" s="17" t="str">
        <f aca="false">IF(OR(AG97=0,AE97="",N(AE97)=0,BI97=""),"",EDATE(AH97,BI97))</f>
        <v/>
      </c>
      <c r="AG97" s="19" t="n">
        <f aca="false">IF(OR(LEN($A97&amp;$B97)=0,$F97=""),0,1)</f>
        <v>0</v>
      </c>
      <c r="AH97" s="17" t="str">
        <f aca="false">IF(AG97=0,"",IF($J97&lt;&gt;"",$J97,IF(OR(CasualCounts="Yes",COUNT($G97:$I97)=0,COUNT($H97:$I97)=0),$F97,MIN($H97:$I97))))</f>
        <v/>
      </c>
      <c r="AI97" s="19" t="str">
        <f aca="false">IF(AG97=0,"",COUNT($G97:$I97))</f>
        <v/>
      </c>
      <c r="AJ97" s="17" t="str">
        <f aca="false">IF(AG97=0,"",IFERROR(SMALL($G97:$I97,1),""))</f>
        <v/>
      </c>
      <c r="AK97" s="17" t="str">
        <f aca="false">IF(AG97=0,"",IFERROR(SMALL($G97:$I97,2),""))</f>
        <v/>
      </c>
      <c r="AL97" s="17" t="str">
        <f aca="false">IF(AG97=0,"",IFERROR(SMALL($G97:$I97,3),""))</f>
        <v/>
      </c>
      <c r="AM97" s="19" t="str">
        <f aca="false">IF(AG97=0,"",IF(AJ97="","",IF(AJ97=$H97,"Part-Time",IF(AJ97=$I97,"Full-Time","Casual"))))</f>
        <v/>
      </c>
      <c r="AN97" s="19" t="str">
        <f aca="false">IF(AG97=0,"",IF(AK97="","",IF(AK97=$H97,"Part-Time",IF(AK97=$I97,"Full-Time","Casual"))))</f>
        <v/>
      </c>
      <c r="AO97" s="19" t="str">
        <f aca="false">IF(AG97=0,"",IF(AL97="","",IF(AL97=$H97,"Part-Time",IF(AL97=$I97,"Full-Time","Casual"))))</f>
        <v/>
      </c>
      <c r="AP97" s="19"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19" t="str">
        <f aca="false">IF(AG97=0,"",IF(AI97&lt;2,"",IF(OR(ISNUMBER(SEARCH("full",AN97)),UPPER(TRIM(AN97))="FT",UPPER(TRIM(AN97))="FTE"),"FT",IF(AND(OR(ISNUMBER(SEARCH("part",AN97)),UPPER(TRIM(AN97))="PT",UPPER(TRIM(AN97))="PTE"),OR($P97="",N($P97)&gt;=PT_MinHours)),"PT","None"))))</f>
        <v/>
      </c>
      <c r="AR97" s="19" t="str">
        <f aca="false">IF(AG97=0,"",IF(AI97&lt;3,"",IF(OR(ISNUMBER(SEARCH("full",AO97)),UPPER(TRIM(AO97))="FT",UPPER(TRIM(AO97))="FTE"),"FT",IF(AND(OR(ISNUMBER(SEARCH("part",AO97)),UPPER(TRIM(AO97))="PT",UPPER(TRIM(AO97))="PTE"),OR($P97="",N($P97)&gt;=PT_MinHours)),"PT","None"))))</f>
        <v/>
      </c>
      <c r="AS97" s="19" t="str">
        <f aca="false">IF(AG97=0,"",IF(AND(AI97&gt;=3,AL97&lt;=AsOfDate),AR97,IF(AND(AI97&gt;=2,AK97&lt;=AsOfDate),AQ97,AP97)))</f>
        <v/>
      </c>
      <c r="AT97" s="19" t="str">
        <f aca="false">IF(AG97=0,"",IF(AsOfDate&lt;AH97,-1,12*(YEAR(AsOfDate)-YEAR(AH97))+MONTH(AsOfDate)-MONTH(AH97)-IF(DAY(AsOfDate)&lt;MIN(DAY(AH97),DAY(EOMONTH(AsOfDate,0))),1,0)))</f>
        <v/>
      </c>
      <c r="AU97" s="19" t="str">
        <f aca="false">IF(AG97=0,"",IF(OR(AI97&lt;2,AK97&gt;AsOfDate),AT97,IF((AK97-1)&lt;AH97,-1,12*(YEAR((AK97-1))-YEAR(AH97))+MONTH((AK97-1))-MONTH(AH97)-IF(DAY((AK97-1))&lt;MIN(DAY(AH97),DAY(EOMONTH((AK97-1),0))),1,0))))</f>
        <v/>
      </c>
      <c r="AV97" s="19" t="str">
        <f aca="false">IF(AG97=0,"",IF(OR(AI97&lt;3,AL97&gt;AsOfDate),AT97,IF((AL97-1)&lt;AH97,-1,12*(YEAR((AL97-1))-YEAR(AH97))+MONTH((AL97-1))-MONTH(AH97)-IF(DAY((AL97-1))&lt;MIN(DAY(AH97),DAY(EOMONTH((AL97-1),0))),1,0))))</f>
        <v/>
      </c>
      <c r="AW97" s="19" t="str">
        <f aca="false">IF(AG97=0,"",IF(PFYDate&lt;AH97,-1,12*(YEAR(PFYDate)-YEAR(AH97))+MONTH(PFYDate)-MONTH(AH97)-IF(DAY(PFYDate)&lt;MIN(DAY(AH97),DAY(EOMONTH(PFYDate,0))),1,0)))</f>
        <v/>
      </c>
      <c r="AX97" s="19" t="str">
        <f aca="false">IF(AG97=0,"",IF(OR(AI97&lt;2,AK97&gt;PFYDate),AW97,IF((AK97-1)&lt;AH97,-1,12*(YEAR((AK97-1))-YEAR(AH97))+MONTH((AK97-1))-MONTH(AH97)-IF(DAY((AK97-1))&lt;MIN(DAY(AH97),DAY(EOMONTH((AK97-1),0))),1,0))))</f>
        <v/>
      </c>
      <c r="AY97" s="19" t="str">
        <f aca="false">IF(AG97=0,"",IF(OR(AI97&lt;3,AL97&gt;PFYDate),AW97,IF((AL97-1)&lt;AH97,-1,12*(YEAR((AL97-1))-YEAR(AH97))+MONTH((AL97-1))-MONTH(AH97)-IF(DAY((AL97-1))&lt;MIN(DAY(AH97),DAY(EOMONTH((AL97-1),0))),1,0))))</f>
        <v/>
      </c>
      <c r="AZ97" s="19" t="str">
        <f aca="false">IF(AG97=0,"",IF(AP97="FT",IF(AU97&lt;FT_First,0,IF(AU97&lt;FT_Y5,1+INT((AU97-FT_First)/FT_Int1),FT_PreY5+FT_PerYear*INT((AU97-FT_Y5)/12)+FT_AnnivDays+INT(MOD(AU97-FT_Y5,12)/FT_Int2))),IF(AP97="PT",IF(AU97&lt;PT_First,0,1+INT((AU97-PT_First)/PT_Int)),0))+IF(AND(AI97&gt;=2,AK97&lt;=AsOfDate),IF(AQ97="FT",IF(AV97&lt;FT_First,0,IF(AV97&lt;FT_Y5,1+INT((AV97-FT_First)/FT_Int1),FT_PreY5+FT_PerYear*INT((AV97-FT_Y5)/12)+FT_AnnivDays+INT(MOD(AV97-FT_Y5,12)/FT_Int2))),IF(AQ97="PT",IF(AV97&lt;PT_First,0,1+INT((AV97-PT_First)/PT_Int)),0))-IF(AQ97="FT",IF(AU97&lt;FT_First,0,IF(AU97&lt;FT_Y5,1+INT((AU97-FT_First)/FT_Int1),FT_PreY5+FT_PerYear*INT((AU97-FT_Y5)/12)+FT_AnnivDays+INT(MOD(AU97-FT_Y5,12)/FT_Int2))),IF(AQ97="PT",IF(AU97&lt;PT_First,0,1+INT((AU97-PT_First)/PT_Int)),0)),0)+IF(AND(AI97&gt;=3,AL97&lt;=AsOfDate),IF(AR97="FT",IF(AT97&lt;FT_First,0,IF(AT97&lt;FT_Y5,1+INT((AT97-FT_First)/FT_Int1),FT_PreY5+FT_PerYear*INT((AT97-FT_Y5)/12)+FT_AnnivDays+INT(MOD(AT97-FT_Y5,12)/FT_Int2))),IF(AR97="PT",IF(AT97&lt;PT_First,0,1+INT((AT97-PT_First)/PT_Int)),0))-IF(AR97="FT",IF(AV97&lt;FT_First,0,IF(AV97&lt;FT_Y5,1+INT((AV97-FT_First)/FT_Int1),FT_PreY5+FT_PerYear*INT((AV97-FT_Y5)/12)+FT_AnnivDays+INT(MOD(AV97-FT_Y5,12)/FT_Int2))),IF(AR97="PT",IF(AV97&lt;PT_First,0,1+INT((AV97-PT_First)/PT_Int)),0)),0))</f>
        <v/>
      </c>
      <c r="BA97" s="19" t="str">
        <f aca="false">IF(AG97=0,"",IF(AP97="FT",IF(AX97&lt;FT_First,0,IF(AX97&lt;FT_Y5,1+INT((AX97-FT_First)/FT_Int1),FT_PreY5+FT_PerYear*INT((AX97-FT_Y5)/12)+FT_AnnivDays+INT(MOD(AX97-FT_Y5,12)/FT_Int2))),IF(AP97="PT",IF(AX97&lt;PT_First,0,1+INT((AX97-PT_First)/PT_Int)),0))+IF(AND(AI97&gt;=2,AK97&lt;=PFYDate),IF(AQ97="FT",IF(AY97&lt;FT_First,0,IF(AY97&lt;FT_Y5,1+INT((AY97-FT_First)/FT_Int1),FT_PreY5+FT_PerYear*INT((AY97-FT_Y5)/12)+FT_AnnivDays+INT(MOD(AY97-FT_Y5,12)/FT_Int2))),IF(AQ97="PT",IF(AY97&lt;PT_First,0,1+INT((AY97-PT_First)/PT_Int)),0))-IF(AQ97="FT",IF(AX97&lt;FT_First,0,IF(AX97&lt;FT_Y5,1+INT((AX97-FT_First)/FT_Int1),FT_PreY5+FT_PerYear*INT((AX97-FT_Y5)/12)+FT_AnnivDays+INT(MOD(AX97-FT_Y5,12)/FT_Int2))),IF(AQ97="PT",IF(AX97&lt;PT_First,0,1+INT((AX97-PT_First)/PT_Int)),0)),0)+IF(AND(AI97&gt;=3,AL97&lt;=PFYDate),IF(AR97="FT",IF(AW97&lt;FT_First,0,IF(AW97&lt;FT_Y5,1+INT((AW97-FT_First)/FT_Int1),FT_PreY5+FT_PerYear*INT((AW97-FT_Y5)/12)+FT_AnnivDays+INT(MOD(AW97-FT_Y5,12)/FT_Int2))),IF(AR97="PT",IF(AW97&lt;PT_First,0,1+INT((AW97-PT_First)/PT_Int)),0))-IF(AR97="FT",IF(AY97&lt;FT_First,0,IF(AY97&lt;FT_Y5,1+INT((AY97-FT_First)/FT_Int1),FT_PreY5+FT_PerYear*INT((AY97-FT_Y5)/12)+FT_AnnivDays+INT(MOD(AY97-FT_Y5,12)/FT_Int2))),IF(AR97="PT",IF(AY97&lt;PT_First,0,1+INT((AY97-PT_First)/PT_Int)),0)),0))</f>
        <v/>
      </c>
      <c r="BB97" s="19" t="str">
        <f aca="false">IF(AG97=0,"",IF(AS97="FT",IF(AT97&lt;FT_First,FT_First,IF(AT97&lt;FT_Y5,MIN(FT_Y5,FT_First+FT_Int1*(INT((AT97-FT_First)/FT_Int1)+1)),FT_Y5+12*INT((AT97-FT_Y5)/12)+FT_Int2*(INT(MOD(AT97-FT_Y5,12)/FT_Int2)+1))),IF(AS97="PT",IF(AT97&lt;PT_First,PT_First,PT_First+PT_Int*(INT((AT97-PT_First)/PT_Int)+1)),"")))</f>
        <v/>
      </c>
      <c r="BC97" s="19" t="str">
        <f aca="false">IF(AG97=0,"",IF(NOT(LH_Ready),0,COUNTIFS(INDEX(LH_Data,0,LH_ColFirst),$A97,INDEX(LH_Data,0,LH_ColSur),$B97,INDEX(LH_Data,0,LH_ColCat),BonusCat)))</f>
        <v/>
      </c>
      <c r="BD97" s="19" t="str">
        <f aca="false">IF(AG97=0,"",IF(OR(NOT(LH_Ready),BC97=0),0,SUMPRODUCT(MAX((INDEX(LH_Data,0,LH_ColFirst)=$A97)*(INDEX(LH_Data,0,LH_ColSur)=$B97)*(INDEX(LH_Data,0,LH_ColCat)=BonusCat)*ROW(LH_Data)))))</f>
        <v/>
      </c>
      <c r="BE97" s="19" t="str">
        <f aca="false">IF(AG97=0,"",IF(EOMONTH(AsOfDate,-1)&lt;AH97,-1,12*(YEAR(EOMONTH(AsOfDate,-1))-YEAR(AH97))+MONTH(EOMONTH(AsOfDate,-1))-MONTH(AH97)-IF(DAY(EOMONTH(AsOfDate,-1))&lt;MIN(DAY(AH97),DAY(EOMONTH(EOMONTH(AsOfDate,-1),0))),1,0)))</f>
        <v/>
      </c>
      <c r="BF97" s="19" t="str">
        <f aca="false">IF(AG97=0,"",IF(OR(AI97&lt;2,AK97&gt;EOMONTH(AsOfDate,-1)),BE97,IF((AK97-1)&lt;AH97,-1,12*(YEAR((AK97-1))-YEAR(AH97))+MONTH((AK97-1))-MONTH(AH97)-IF(DAY((AK97-1))&lt;MIN(DAY(AH97),DAY(EOMONTH((AK97-1),0))),1,0))))</f>
        <v/>
      </c>
      <c r="BG97" s="19" t="str">
        <f aca="false">IF(AG97=0,"",IF(OR(AI97&lt;3,AL97&gt;EOMONTH(AsOfDate,-1)),BE97,IF((AL97-1)&lt;AH97,-1,12*(YEAR((AL97-1))-YEAR(AH97))+MONTH((AL97-1))-MONTH(AH97)-IF(DAY((AL97-1))&lt;MIN(DAY(AH97),DAY(EOMONTH((AL97-1),0))),1,0))))</f>
        <v/>
      </c>
      <c r="BH97" s="19" t="str">
        <f aca="false">IF(AG97=0,"",IF(AP97="FT",IF(BF97&lt;FT_First,0,IF(BF97&lt;FT_Y5,1+INT((BF97-FT_First)/FT_Int1),FT_PreY5+FT_PerYear*INT((BF97-FT_Y5)/12)+FT_AnnivDays+INT(MOD(BF97-FT_Y5,12)/FT_Int2))),IF(AP97="PT",IF(BF97&lt;PT_First,0,1+INT((BF97-PT_First)/PT_Int)),0))+IF(AND(AI97&gt;=2,AK97&lt;=EOMONTH(AsOfDate,-1)),IF(AQ97="FT",IF(BG97&lt;FT_First,0,IF(BG97&lt;FT_Y5,1+INT((BG97-FT_First)/FT_Int1),FT_PreY5+FT_PerYear*INT((BG97-FT_Y5)/12)+FT_AnnivDays+INT(MOD(BG97-FT_Y5,12)/FT_Int2))),IF(AQ97="PT",IF(BG97&lt;PT_First,0,1+INT((BG97-PT_First)/PT_Int)),0))-IF(AQ97="FT",IF(BF97&lt;FT_First,0,IF(BF97&lt;FT_Y5,1+INT((BF97-FT_First)/FT_Int1),FT_PreY5+FT_PerYear*INT((BF97-FT_Y5)/12)+FT_AnnivDays+INT(MOD(BF97-FT_Y5,12)/FT_Int2))),IF(AQ97="PT",IF(BF97&lt;PT_First,0,1+INT((BF97-PT_First)/PT_Int)),0)),0)+IF(AND(AI97&gt;=3,AL97&lt;=EOMONTH(AsOfDate,-1)),IF(AR97="FT",IF(BE97&lt;FT_First,0,IF(BE97&lt;FT_Y5,1+INT((BE97-FT_First)/FT_Int1),FT_PreY5+FT_PerYear*INT((BE97-FT_Y5)/12)+FT_AnnivDays+INT(MOD(BE97-FT_Y5,12)/FT_Int2))),IF(AR97="PT",IF(BE97&lt;PT_First,0,1+INT((BE97-PT_First)/PT_Int)),0))-IF(AR97="FT",IF(BG97&lt;FT_First,0,IF(BG97&lt;FT_Y5,1+INT((BG97-FT_First)/FT_Int1),FT_PreY5+FT_PerYear*INT((BG97-FT_Y5)/12)+FT_AnnivDays+INT(MOD(BG97-FT_Y5,12)/FT_Int2))),IF(AR97="PT",IF(BG97&lt;PT_First,0,1+INT((BG97-PT_First)/PT_Int)),0)),0))</f>
        <v/>
      </c>
      <c r="BI97" s="19" t="str">
        <f aca="false">IF(AG97=0,"",IF(AS97="FT",IF(AT97&lt;FT_First,"",IF(AT97&lt;FT_Y5,FT_First+FT_Int1*INT((AT97-FT_First)/FT_Int1),FT_Y5+FT_Int2*INT((AT97-FT_Y5)/FT_Int2))),IF(AS97="PT",IF(AT97&lt;PT_First,"",PT_First+PT_Int*INT((AT97-PT_First)/PT_Int)),"")))</f>
        <v/>
      </c>
      <c r="BJ97" s="0" t="str">
        <f aca="false">IF(LEN($A97&amp;$B97)=0,"",$A97&amp;" "&amp;$B97)</f>
        <v/>
      </c>
    </row>
    <row r="98" customFormat="false" ht="15" hidden="false" customHeight="false" outlineLevel="0" collapsed="false">
      <c r="A98" s="15"/>
      <c r="B98" s="15"/>
      <c r="C98" s="15"/>
      <c r="D98" s="16"/>
      <c r="E98" s="17" t="str">
        <f aca="false">IF(OR(AG98=0,$D98=""),"",DATE(YEAR(AsOfDate)+IF(DATE(YEAR(AsOfDate),MONTH($D98),DAY($D98))&lt;=AsOfDate,1,0),MONTH($D98),DAY($D98)))</f>
        <v/>
      </c>
      <c r="F98" s="16"/>
      <c r="G98" s="16"/>
      <c r="H98" s="16"/>
      <c r="I98" s="16"/>
      <c r="J98" s="16"/>
      <c r="K98" s="17" t="str">
        <f aca="false">IF(AG98=0,"",DATE(YEAR(AsOfDate)+IF(DATE(YEAR(AsOfDate),MONTH(AH98),DAY(AH98))&lt;=AsOfDate,1,0),MONTH(AH98),DAY(AH98)))</f>
        <v/>
      </c>
      <c r="L98" s="18" t="str">
        <f aca="false">IF(AG98=0,"",ROUND((AsOfDate-AH98)/365.25,1))</f>
        <v/>
      </c>
      <c r="M98" s="19" t="str">
        <f aca="false">IF(AG98=0,"",IF(AsOfDate&lt;AH98,"-",DATEDIF(AH98,AsOfDate,"y")&amp;"y "&amp;DATEDIF(AH98,AsOfDate,"ym")&amp;"m "&amp;DATEDIF(AH98,AsOfDate,"md")&amp;"d"))</f>
        <v/>
      </c>
      <c r="N98" s="20" t="str">
        <f aca="false">IF(AG98=0,"",O98*HoursPerDay)</f>
        <v/>
      </c>
      <c r="O98" s="20" t="str">
        <f aca="false">IF(AG98=0,"",AZ98)</f>
        <v/>
      </c>
      <c r="P98" s="21"/>
      <c r="Q98" s="19"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19"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7" t="str">
        <f aca="false">IF(AG98=0,"",IF(AS98="None","",EDATE(AH98,BB98)))</f>
        <v/>
      </c>
      <c r="T98" s="20" t="str">
        <f aca="false">IF(AG98=0,"",IF(NOT(LH_Ready),"",IF(AH98&gt;PFYDate,0,IF(LH_ColPeriod=0,W98-U98+V98,SUMIFS(INDEX(LH_Data,0,LH_ColAcc),INDEX(LH_Data,0,LH_ColFirst),$A98,INDEX(LH_Data,0,LH_ColSur),$B98,INDEX(LH_Data,0,LH_ColCat),BonusCat,INDEX(LH_Data,0,LH_ColPeriod),LH_OpenLabel)*UnitFactor))))</f>
        <v/>
      </c>
      <c r="U98" s="20" t="str">
        <f aca="false">IF(AG98=0,"",IF(NOT(LH_Ready),"",SUMIFS(INDEX(LH_Data,0,LH_ColAcc),INDEX(LH_Data,0,LH_ColFirst),$A98,INDEX(LH_Data,0,LH_ColSur),$B98,INDEX(LH_Data,0,LH_ColCat),BonusCat,INDEX(LH_Data,0,LH_ColStart),"&gt;="&amp;AH98)*UnitFactor))</f>
        <v/>
      </c>
      <c r="V98" s="20" t="str">
        <f aca="false">IF(AG98=0,"",IF(NOT(LH_Ready),"",SUMIFS(INDEX(LH_Data,0,LH_ColTaken),INDEX(LH_Data,0,LH_ColFirst),$A98,INDEX(LH_Data,0,LH_ColSur),$B98,INDEX(LH_Data,0,LH_ColCat),BonusCat,INDEX(LH_Data,0,LH_ColStart),"&gt;="&amp;AH98)*UnitFactor))</f>
        <v/>
      </c>
      <c r="W98" s="20" t="str">
        <f aca="false">IF(AG98=0,"",IF(NOT(LH_Ready),"",IF(BD98=0,0,INDEX(INDEX(LH_Data,0,LH_ColClose),BD98-1)*UnitFactor)))</f>
        <v/>
      </c>
      <c r="X98" s="20" t="str">
        <f aca="false">IF(AG98=0,"",(AZ98-BA98)*HoursPerDay)</f>
        <v/>
      </c>
      <c r="Y98" s="20" t="str">
        <f aca="false">IF(AG98=0,"",IF(NOT(LH_Ready),"",IF(BC98=0,N98,IF(PFYDate&lt;$F98,N98-N(T98)-N(U98),X98-N(U98)))))</f>
        <v/>
      </c>
      <c r="Z98" s="19" t="str">
        <f aca="false">IF(OR(AG98=0,Y98=""),"",IF(Y98&gt;0,"Yes","No"))</f>
        <v/>
      </c>
      <c r="AA98" s="19"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20" t="str">
        <f aca="false">IF(OR(AG98=0,T98=""),"",BA98*HoursPerDay-T98)</f>
        <v/>
      </c>
      <c r="AC98" s="19" t="str">
        <f aca="false">IF(AG98=0,"",BC98)</f>
        <v/>
      </c>
      <c r="AD98" s="19"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20" t="str">
        <f aca="false">IF(AG98=0,"",O98-BH98)</f>
        <v/>
      </c>
      <c r="AF98" s="17" t="str">
        <f aca="false">IF(OR(AG98=0,AE98="",N(AE98)=0,BI98=""),"",EDATE(AH98,BI98))</f>
        <v/>
      </c>
      <c r="AG98" s="19" t="n">
        <f aca="false">IF(OR(LEN($A98&amp;$B98)=0,$F98=""),0,1)</f>
        <v>0</v>
      </c>
      <c r="AH98" s="17" t="str">
        <f aca="false">IF(AG98=0,"",IF($J98&lt;&gt;"",$J98,IF(OR(CasualCounts="Yes",COUNT($G98:$I98)=0,COUNT($H98:$I98)=0),$F98,MIN($H98:$I98))))</f>
        <v/>
      </c>
      <c r="AI98" s="19" t="str">
        <f aca="false">IF(AG98=0,"",COUNT($G98:$I98))</f>
        <v/>
      </c>
      <c r="AJ98" s="17" t="str">
        <f aca="false">IF(AG98=0,"",IFERROR(SMALL($G98:$I98,1),""))</f>
        <v/>
      </c>
      <c r="AK98" s="17" t="str">
        <f aca="false">IF(AG98=0,"",IFERROR(SMALL($G98:$I98,2),""))</f>
        <v/>
      </c>
      <c r="AL98" s="17" t="str">
        <f aca="false">IF(AG98=0,"",IFERROR(SMALL($G98:$I98,3),""))</f>
        <v/>
      </c>
      <c r="AM98" s="19" t="str">
        <f aca="false">IF(AG98=0,"",IF(AJ98="","",IF(AJ98=$H98,"Part-Time",IF(AJ98=$I98,"Full-Time","Casual"))))</f>
        <v/>
      </c>
      <c r="AN98" s="19" t="str">
        <f aca="false">IF(AG98=0,"",IF(AK98="","",IF(AK98=$H98,"Part-Time",IF(AK98=$I98,"Full-Time","Casual"))))</f>
        <v/>
      </c>
      <c r="AO98" s="19" t="str">
        <f aca="false">IF(AG98=0,"",IF(AL98="","",IF(AL98=$H98,"Part-Time",IF(AL98=$I98,"Full-Time","Casual"))))</f>
        <v/>
      </c>
      <c r="AP98" s="19"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19" t="str">
        <f aca="false">IF(AG98=0,"",IF(AI98&lt;2,"",IF(OR(ISNUMBER(SEARCH("full",AN98)),UPPER(TRIM(AN98))="FT",UPPER(TRIM(AN98))="FTE"),"FT",IF(AND(OR(ISNUMBER(SEARCH("part",AN98)),UPPER(TRIM(AN98))="PT",UPPER(TRIM(AN98))="PTE"),OR($P98="",N($P98)&gt;=PT_MinHours)),"PT","None"))))</f>
        <v/>
      </c>
      <c r="AR98" s="19" t="str">
        <f aca="false">IF(AG98=0,"",IF(AI98&lt;3,"",IF(OR(ISNUMBER(SEARCH("full",AO98)),UPPER(TRIM(AO98))="FT",UPPER(TRIM(AO98))="FTE"),"FT",IF(AND(OR(ISNUMBER(SEARCH("part",AO98)),UPPER(TRIM(AO98))="PT",UPPER(TRIM(AO98))="PTE"),OR($P98="",N($P98)&gt;=PT_MinHours)),"PT","None"))))</f>
        <v/>
      </c>
      <c r="AS98" s="19" t="str">
        <f aca="false">IF(AG98=0,"",IF(AND(AI98&gt;=3,AL98&lt;=AsOfDate),AR98,IF(AND(AI98&gt;=2,AK98&lt;=AsOfDate),AQ98,AP98)))</f>
        <v/>
      </c>
      <c r="AT98" s="19" t="str">
        <f aca="false">IF(AG98=0,"",IF(AsOfDate&lt;AH98,-1,12*(YEAR(AsOfDate)-YEAR(AH98))+MONTH(AsOfDate)-MONTH(AH98)-IF(DAY(AsOfDate)&lt;MIN(DAY(AH98),DAY(EOMONTH(AsOfDate,0))),1,0)))</f>
        <v/>
      </c>
      <c r="AU98" s="19" t="str">
        <f aca="false">IF(AG98=0,"",IF(OR(AI98&lt;2,AK98&gt;AsOfDate),AT98,IF((AK98-1)&lt;AH98,-1,12*(YEAR((AK98-1))-YEAR(AH98))+MONTH((AK98-1))-MONTH(AH98)-IF(DAY((AK98-1))&lt;MIN(DAY(AH98),DAY(EOMONTH((AK98-1),0))),1,0))))</f>
        <v/>
      </c>
      <c r="AV98" s="19" t="str">
        <f aca="false">IF(AG98=0,"",IF(OR(AI98&lt;3,AL98&gt;AsOfDate),AT98,IF((AL98-1)&lt;AH98,-1,12*(YEAR((AL98-1))-YEAR(AH98))+MONTH((AL98-1))-MONTH(AH98)-IF(DAY((AL98-1))&lt;MIN(DAY(AH98),DAY(EOMONTH((AL98-1),0))),1,0))))</f>
        <v/>
      </c>
      <c r="AW98" s="19" t="str">
        <f aca="false">IF(AG98=0,"",IF(PFYDate&lt;AH98,-1,12*(YEAR(PFYDate)-YEAR(AH98))+MONTH(PFYDate)-MONTH(AH98)-IF(DAY(PFYDate)&lt;MIN(DAY(AH98),DAY(EOMONTH(PFYDate,0))),1,0)))</f>
        <v/>
      </c>
      <c r="AX98" s="19" t="str">
        <f aca="false">IF(AG98=0,"",IF(OR(AI98&lt;2,AK98&gt;PFYDate),AW98,IF((AK98-1)&lt;AH98,-1,12*(YEAR((AK98-1))-YEAR(AH98))+MONTH((AK98-1))-MONTH(AH98)-IF(DAY((AK98-1))&lt;MIN(DAY(AH98),DAY(EOMONTH((AK98-1),0))),1,0))))</f>
        <v/>
      </c>
      <c r="AY98" s="19" t="str">
        <f aca="false">IF(AG98=0,"",IF(OR(AI98&lt;3,AL98&gt;PFYDate),AW98,IF((AL98-1)&lt;AH98,-1,12*(YEAR((AL98-1))-YEAR(AH98))+MONTH((AL98-1))-MONTH(AH98)-IF(DAY((AL98-1))&lt;MIN(DAY(AH98),DAY(EOMONTH((AL98-1),0))),1,0))))</f>
        <v/>
      </c>
      <c r="AZ98" s="19" t="str">
        <f aca="false">IF(AG98=0,"",IF(AP98="FT",IF(AU98&lt;FT_First,0,IF(AU98&lt;FT_Y5,1+INT((AU98-FT_First)/FT_Int1),FT_PreY5+FT_PerYear*INT((AU98-FT_Y5)/12)+FT_AnnivDays+INT(MOD(AU98-FT_Y5,12)/FT_Int2))),IF(AP98="PT",IF(AU98&lt;PT_First,0,1+INT((AU98-PT_First)/PT_Int)),0))+IF(AND(AI98&gt;=2,AK98&lt;=AsOfDate),IF(AQ98="FT",IF(AV98&lt;FT_First,0,IF(AV98&lt;FT_Y5,1+INT((AV98-FT_First)/FT_Int1),FT_PreY5+FT_PerYear*INT((AV98-FT_Y5)/12)+FT_AnnivDays+INT(MOD(AV98-FT_Y5,12)/FT_Int2))),IF(AQ98="PT",IF(AV98&lt;PT_First,0,1+INT((AV98-PT_First)/PT_Int)),0))-IF(AQ98="FT",IF(AU98&lt;FT_First,0,IF(AU98&lt;FT_Y5,1+INT((AU98-FT_First)/FT_Int1),FT_PreY5+FT_PerYear*INT((AU98-FT_Y5)/12)+FT_AnnivDays+INT(MOD(AU98-FT_Y5,12)/FT_Int2))),IF(AQ98="PT",IF(AU98&lt;PT_First,0,1+INT((AU98-PT_First)/PT_Int)),0)),0)+IF(AND(AI98&gt;=3,AL98&lt;=AsOfDate),IF(AR98="FT",IF(AT98&lt;FT_First,0,IF(AT98&lt;FT_Y5,1+INT((AT98-FT_First)/FT_Int1),FT_PreY5+FT_PerYear*INT((AT98-FT_Y5)/12)+FT_AnnivDays+INT(MOD(AT98-FT_Y5,12)/FT_Int2))),IF(AR98="PT",IF(AT98&lt;PT_First,0,1+INT((AT98-PT_First)/PT_Int)),0))-IF(AR98="FT",IF(AV98&lt;FT_First,0,IF(AV98&lt;FT_Y5,1+INT((AV98-FT_First)/FT_Int1),FT_PreY5+FT_PerYear*INT((AV98-FT_Y5)/12)+FT_AnnivDays+INT(MOD(AV98-FT_Y5,12)/FT_Int2))),IF(AR98="PT",IF(AV98&lt;PT_First,0,1+INT((AV98-PT_First)/PT_Int)),0)),0))</f>
        <v/>
      </c>
      <c r="BA98" s="19" t="str">
        <f aca="false">IF(AG98=0,"",IF(AP98="FT",IF(AX98&lt;FT_First,0,IF(AX98&lt;FT_Y5,1+INT((AX98-FT_First)/FT_Int1),FT_PreY5+FT_PerYear*INT((AX98-FT_Y5)/12)+FT_AnnivDays+INT(MOD(AX98-FT_Y5,12)/FT_Int2))),IF(AP98="PT",IF(AX98&lt;PT_First,0,1+INT((AX98-PT_First)/PT_Int)),0))+IF(AND(AI98&gt;=2,AK98&lt;=PFYDate),IF(AQ98="FT",IF(AY98&lt;FT_First,0,IF(AY98&lt;FT_Y5,1+INT((AY98-FT_First)/FT_Int1),FT_PreY5+FT_PerYear*INT((AY98-FT_Y5)/12)+FT_AnnivDays+INT(MOD(AY98-FT_Y5,12)/FT_Int2))),IF(AQ98="PT",IF(AY98&lt;PT_First,0,1+INT((AY98-PT_First)/PT_Int)),0))-IF(AQ98="FT",IF(AX98&lt;FT_First,0,IF(AX98&lt;FT_Y5,1+INT((AX98-FT_First)/FT_Int1),FT_PreY5+FT_PerYear*INT((AX98-FT_Y5)/12)+FT_AnnivDays+INT(MOD(AX98-FT_Y5,12)/FT_Int2))),IF(AQ98="PT",IF(AX98&lt;PT_First,0,1+INT((AX98-PT_First)/PT_Int)),0)),0)+IF(AND(AI98&gt;=3,AL98&lt;=PFYDate),IF(AR98="FT",IF(AW98&lt;FT_First,0,IF(AW98&lt;FT_Y5,1+INT((AW98-FT_First)/FT_Int1),FT_PreY5+FT_PerYear*INT((AW98-FT_Y5)/12)+FT_AnnivDays+INT(MOD(AW98-FT_Y5,12)/FT_Int2))),IF(AR98="PT",IF(AW98&lt;PT_First,0,1+INT((AW98-PT_First)/PT_Int)),0))-IF(AR98="FT",IF(AY98&lt;FT_First,0,IF(AY98&lt;FT_Y5,1+INT((AY98-FT_First)/FT_Int1),FT_PreY5+FT_PerYear*INT((AY98-FT_Y5)/12)+FT_AnnivDays+INT(MOD(AY98-FT_Y5,12)/FT_Int2))),IF(AR98="PT",IF(AY98&lt;PT_First,0,1+INT((AY98-PT_First)/PT_Int)),0)),0))</f>
        <v/>
      </c>
      <c r="BB98" s="19" t="str">
        <f aca="false">IF(AG98=0,"",IF(AS98="FT",IF(AT98&lt;FT_First,FT_First,IF(AT98&lt;FT_Y5,MIN(FT_Y5,FT_First+FT_Int1*(INT((AT98-FT_First)/FT_Int1)+1)),FT_Y5+12*INT((AT98-FT_Y5)/12)+FT_Int2*(INT(MOD(AT98-FT_Y5,12)/FT_Int2)+1))),IF(AS98="PT",IF(AT98&lt;PT_First,PT_First,PT_First+PT_Int*(INT((AT98-PT_First)/PT_Int)+1)),"")))</f>
        <v/>
      </c>
      <c r="BC98" s="19" t="str">
        <f aca="false">IF(AG98=0,"",IF(NOT(LH_Ready),0,COUNTIFS(INDEX(LH_Data,0,LH_ColFirst),$A98,INDEX(LH_Data,0,LH_ColSur),$B98,INDEX(LH_Data,0,LH_ColCat),BonusCat)))</f>
        <v/>
      </c>
      <c r="BD98" s="19" t="str">
        <f aca="false">IF(AG98=0,"",IF(OR(NOT(LH_Ready),BC98=0),0,SUMPRODUCT(MAX((INDEX(LH_Data,0,LH_ColFirst)=$A98)*(INDEX(LH_Data,0,LH_ColSur)=$B98)*(INDEX(LH_Data,0,LH_ColCat)=BonusCat)*ROW(LH_Data)))))</f>
        <v/>
      </c>
      <c r="BE98" s="19" t="str">
        <f aca="false">IF(AG98=0,"",IF(EOMONTH(AsOfDate,-1)&lt;AH98,-1,12*(YEAR(EOMONTH(AsOfDate,-1))-YEAR(AH98))+MONTH(EOMONTH(AsOfDate,-1))-MONTH(AH98)-IF(DAY(EOMONTH(AsOfDate,-1))&lt;MIN(DAY(AH98),DAY(EOMONTH(EOMONTH(AsOfDate,-1),0))),1,0)))</f>
        <v/>
      </c>
      <c r="BF98" s="19" t="str">
        <f aca="false">IF(AG98=0,"",IF(OR(AI98&lt;2,AK98&gt;EOMONTH(AsOfDate,-1)),BE98,IF((AK98-1)&lt;AH98,-1,12*(YEAR((AK98-1))-YEAR(AH98))+MONTH((AK98-1))-MONTH(AH98)-IF(DAY((AK98-1))&lt;MIN(DAY(AH98),DAY(EOMONTH((AK98-1),0))),1,0))))</f>
        <v/>
      </c>
      <c r="BG98" s="19" t="str">
        <f aca="false">IF(AG98=0,"",IF(OR(AI98&lt;3,AL98&gt;EOMONTH(AsOfDate,-1)),BE98,IF((AL98-1)&lt;AH98,-1,12*(YEAR((AL98-1))-YEAR(AH98))+MONTH((AL98-1))-MONTH(AH98)-IF(DAY((AL98-1))&lt;MIN(DAY(AH98),DAY(EOMONTH((AL98-1),0))),1,0))))</f>
        <v/>
      </c>
      <c r="BH98" s="19" t="str">
        <f aca="false">IF(AG98=0,"",IF(AP98="FT",IF(BF98&lt;FT_First,0,IF(BF98&lt;FT_Y5,1+INT((BF98-FT_First)/FT_Int1),FT_PreY5+FT_PerYear*INT((BF98-FT_Y5)/12)+FT_AnnivDays+INT(MOD(BF98-FT_Y5,12)/FT_Int2))),IF(AP98="PT",IF(BF98&lt;PT_First,0,1+INT((BF98-PT_First)/PT_Int)),0))+IF(AND(AI98&gt;=2,AK98&lt;=EOMONTH(AsOfDate,-1)),IF(AQ98="FT",IF(BG98&lt;FT_First,0,IF(BG98&lt;FT_Y5,1+INT((BG98-FT_First)/FT_Int1),FT_PreY5+FT_PerYear*INT((BG98-FT_Y5)/12)+FT_AnnivDays+INT(MOD(BG98-FT_Y5,12)/FT_Int2))),IF(AQ98="PT",IF(BG98&lt;PT_First,0,1+INT((BG98-PT_First)/PT_Int)),0))-IF(AQ98="FT",IF(BF98&lt;FT_First,0,IF(BF98&lt;FT_Y5,1+INT((BF98-FT_First)/FT_Int1),FT_PreY5+FT_PerYear*INT((BF98-FT_Y5)/12)+FT_AnnivDays+INT(MOD(BF98-FT_Y5,12)/FT_Int2))),IF(AQ98="PT",IF(BF98&lt;PT_First,0,1+INT((BF98-PT_First)/PT_Int)),0)),0)+IF(AND(AI98&gt;=3,AL98&lt;=EOMONTH(AsOfDate,-1)),IF(AR98="FT",IF(BE98&lt;FT_First,0,IF(BE98&lt;FT_Y5,1+INT((BE98-FT_First)/FT_Int1),FT_PreY5+FT_PerYear*INT((BE98-FT_Y5)/12)+FT_AnnivDays+INT(MOD(BE98-FT_Y5,12)/FT_Int2))),IF(AR98="PT",IF(BE98&lt;PT_First,0,1+INT((BE98-PT_First)/PT_Int)),0))-IF(AR98="FT",IF(BG98&lt;FT_First,0,IF(BG98&lt;FT_Y5,1+INT((BG98-FT_First)/FT_Int1),FT_PreY5+FT_PerYear*INT((BG98-FT_Y5)/12)+FT_AnnivDays+INT(MOD(BG98-FT_Y5,12)/FT_Int2))),IF(AR98="PT",IF(BG98&lt;PT_First,0,1+INT((BG98-PT_First)/PT_Int)),0)),0))</f>
        <v/>
      </c>
      <c r="BI98" s="19" t="str">
        <f aca="false">IF(AG98=0,"",IF(AS98="FT",IF(AT98&lt;FT_First,"",IF(AT98&lt;FT_Y5,FT_First+FT_Int1*INT((AT98-FT_First)/FT_Int1),FT_Y5+FT_Int2*INT((AT98-FT_Y5)/FT_Int2))),IF(AS98="PT",IF(AT98&lt;PT_First,"",PT_First+PT_Int*INT((AT98-PT_First)/PT_Int)),"")))</f>
        <v/>
      </c>
      <c r="BJ98" s="0" t="str">
        <f aca="false">IF(LEN($A98&amp;$B98)=0,"",$A98&amp;" "&amp;$B98)</f>
        <v/>
      </c>
    </row>
    <row r="99" customFormat="false" ht="15" hidden="false" customHeight="false" outlineLevel="0" collapsed="false">
      <c r="A99" s="15"/>
      <c r="B99" s="15"/>
      <c r="C99" s="15"/>
      <c r="D99" s="16"/>
      <c r="E99" s="17" t="str">
        <f aca="false">IF(OR(AG99=0,$D99=""),"",DATE(YEAR(AsOfDate)+IF(DATE(YEAR(AsOfDate),MONTH($D99),DAY($D99))&lt;=AsOfDate,1,0),MONTH($D99),DAY($D99)))</f>
        <v/>
      </c>
      <c r="F99" s="16"/>
      <c r="G99" s="16"/>
      <c r="H99" s="16"/>
      <c r="I99" s="16"/>
      <c r="J99" s="16"/>
      <c r="K99" s="17" t="str">
        <f aca="false">IF(AG99=0,"",DATE(YEAR(AsOfDate)+IF(DATE(YEAR(AsOfDate),MONTH(AH99),DAY(AH99))&lt;=AsOfDate,1,0),MONTH(AH99),DAY(AH99)))</f>
        <v/>
      </c>
      <c r="L99" s="18" t="str">
        <f aca="false">IF(AG99=0,"",ROUND((AsOfDate-AH99)/365.25,1))</f>
        <v/>
      </c>
      <c r="M99" s="19" t="str">
        <f aca="false">IF(AG99=0,"",IF(AsOfDate&lt;AH99,"-",DATEDIF(AH99,AsOfDate,"y")&amp;"y "&amp;DATEDIF(AH99,AsOfDate,"ym")&amp;"m "&amp;DATEDIF(AH99,AsOfDate,"md")&amp;"d"))</f>
        <v/>
      </c>
      <c r="N99" s="20" t="str">
        <f aca="false">IF(AG99=0,"",O99*HoursPerDay)</f>
        <v/>
      </c>
      <c r="O99" s="20" t="str">
        <f aca="false">IF(AG99=0,"",AZ99)</f>
        <v/>
      </c>
      <c r="P99" s="21"/>
      <c r="Q99" s="19"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19"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7" t="str">
        <f aca="false">IF(AG99=0,"",IF(AS99="None","",EDATE(AH99,BB99)))</f>
        <v/>
      </c>
      <c r="T99" s="20" t="str">
        <f aca="false">IF(AG99=0,"",IF(NOT(LH_Ready),"",IF(AH99&gt;PFYDate,0,IF(LH_ColPeriod=0,W99-U99+V99,SUMIFS(INDEX(LH_Data,0,LH_ColAcc),INDEX(LH_Data,0,LH_ColFirst),$A99,INDEX(LH_Data,0,LH_ColSur),$B99,INDEX(LH_Data,0,LH_ColCat),BonusCat,INDEX(LH_Data,0,LH_ColPeriod),LH_OpenLabel)*UnitFactor))))</f>
        <v/>
      </c>
      <c r="U99" s="20" t="str">
        <f aca="false">IF(AG99=0,"",IF(NOT(LH_Ready),"",SUMIFS(INDEX(LH_Data,0,LH_ColAcc),INDEX(LH_Data,0,LH_ColFirst),$A99,INDEX(LH_Data,0,LH_ColSur),$B99,INDEX(LH_Data,0,LH_ColCat),BonusCat,INDEX(LH_Data,0,LH_ColStart),"&gt;="&amp;AH99)*UnitFactor))</f>
        <v/>
      </c>
      <c r="V99" s="20" t="str">
        <f aca="false">IF(AG99=0,"",IF(NOT(LH_Ready),"",SUMIFS(INDEX(LH_Data,0,LH_ColTaken),INDEX(LH_Data,0,LH_ColFirst),$A99,INDEX(LH_Data,0,LH_ColSur),$B99,INDEX(LH_Data,0,LH_ColCat),BonusCat,INDEX(LH_Data,0,LH_ColStart),"&gt;="&amp;AH99)*UnitFactor))</f>
        <v/>
      </c>
      <c r="W99" s="20" t="str">
        <f aca="false">IF(AG99=0,"",IF(NOT(LH_Ready),"",IF(BD99=0,0,INDEX(INDEX(LH_Data,0,LH_ColClose),BD99-1)*UnitFactor)))</f>
        <v/>
      </c>
      <c r="X99" s="20" t="str">
        <f aca="false">IF(AG99=0,"",(AZ99-BA99)*HoursPerDay)</f>
        <v/>
      </c>
      <c r="Y99" s="20" t="str">
        <f aca="false">IF(AG99=0,"",IF(NOT(LH_Ready),"",IF(BC99=0,N99,IF(PFYDate&lt;$F99,N99-N(T99)-N(U99),X99-N(U99)))))</f>
        <v/>
      </c>
      <c r="Z99" s="19" t="str">
        <f aca="false">IF(OR(AG99=0,Y99=""),"",IF(Y99&gt;0,"Yes","No"))</f>
        <v/>
      </c>
      <c r="AA99" s="19"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20" t="str">
        <f aca="false">IF(OR(AG99=0,T99=""),"",BA99*HoursPerDay-T99)</f>
        <v/>
      </c>
      <c r="AC99" s="19" t="str">
        <f aca="false">IF(AG99=0,"",BC99)</f>
        <v/>
      </c>
      <c r="AD99" s="19"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20" t="str">
        <f aca="false">IF(AG99=0,"",O99-BH99)</f>
        <v/>
      </c>
      <c r="AF99" s="17" t="str">
        <f aca="false">IF(OR(AG99=0,AE99="",N(AE99)=0,BI99=""),"",EDATE(AH99,BI99))</f>
        <v/>
      </c>
      <c r="AG99" s="19" t="n">
        <f aca="false">IF(OR(LEN($A99&amp;$B99)=0,$F99=""),0,1)</f>
        <v>0</v>
      </c>
      <c r="AH99" s="17" t="str">
        <f aca="false">IF(AG99=0,"",IF($J99&lt;&gt;"",$J99,IF(OR(CasualCounts="Yes",COUNT($G99:$I99)=0,COUNT($H99:$I99)=0),$F99,MIN($H99:$I99))))</f>
        <v/>
      </c>
      <c r="AI99" s="19" t="str">
        <f aca="false">IF(AG99=0,"",COUNT($G99:$I99))</f>
        <v/>
      </c>
      <c r="AJ99" s="17" t="str">
        <f aca="false">IF(AG99=0,"",IFERROR(SMALL($G99:$I99,1),""))</f>
        <v/>
      </c>
      <c r="AK99" s="17" t="str">
        <f aca="false">IF(AG99=0,"",IFERROR(SMALL($G99:$I99,2),""))</f>
        <v/>
      </c>
      <c r="AL99" s="17" t="str">
        <f aca="false">IF(AG99=0,"",IFERROR(SMALL($G99:$I99,3),""))</f>
        <v/>
      </c>
      <c r="AM99" s="19" t="str">
        <f aca="false">IF(AG99=0,"",IF(AJ99="","",IF(AJ99=$H99,"Part-Time",IF(AJ99=$I99,"Full-Time","Casual"))))</f>
        <v/>
      </c>
      <c r="AN99" s="19" t="str">
        <f aca="false">IF(AG99=0,"",IF(AK99="","",IF(AK99=$H99,"Part-Time",IF(AK99=$I99,"Full-Time","Casual"))))</f>
        <v/>
      </c>
      <c r="AO99" s="19" t="str">
        <f aca="false">IF(AG99=0,"",IF(AL99="","",IF(AL99=$H99,"Part-Time",IF(AL99=$I99,"Full-Time","Casual"))))</f>
        <v/>
      </c>
      <c r="AP99" s="19"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19" t="str">
        <f aca="false">IF(AG99=0,"",IF(AI99&lt;2,"",IF(OR(ISNUMBER(SEARCH("full",AN99)),UPPER(TRIM(AN99))="FT",UPPER(TRIM(AN99))="FTE"),"FT",IF(AND(OR(ISNUMBER(SEARCH("part",AN99)),UPPER(TRIM(AN99))="PT",UPPER(TRIM(AN99))="PTE"),OR($P99="",N($P99)&gt;=PT_MinHours)),"PT","None"))))</f>
        <v/>
      </c>
      <c r="AR99" s="19" t="str">
        <f aca="false">IF(AG99=0,"",IF(AI99&lt;3,"",IF(OR(ISNUMBER(SEARCH("full",AO99)),UPPER(TRIM(AO99))="FT",UPPER(TRIM(AO99))="FTE"),"FT",IF(AND(OR(ISNUMBER(SEARCH("part",AO99)),UPPER(TRIM(AO99))="PT",UPPER(TRIM(AO99))="PTE"),OR($P99="",N($P99)&gt;=PT_MinHours)),"PT","None"))))</f>
        <v/>
      </c>
      <c r="AS99" s="19" t="str">
        <f aca="false">IF(AG99=0,"",IF(AND(AI99&gt;=3,AL99&lt;=AsOfDate),AR99,IF(AND(AI99&gt;=2,AK99&lt;=AsOfDate),AQ99,AP99)))</f>
        <v/>
      </c>
      <c r="AT99" s="19" t="str">
        <f aca="false">IF(AG99=0,"",IF(AsOfDate&lt;AH99,-1,12*(YEAR(AsOfDate)-YEAR(AH99))+MONTH(AsOfDate)-MONTH(AH99)-IF(DAY(AsOfDate)&lt;MIN(DAY(AH99),DAY(EOMONTH(AsOfDate,0))),1,0)))</f>
        <v/>
      </c>
      <c r="AU99" s="19" t="str">
        <f aca="false">IF(AG99=0,"",IF(OR(AI99&lt;2,AK99&gt;AsOfDate),AT99,IF((AK99-1)&lt;AH99,-1,12*(YEAR((AK99-1))-YEAR(AH99))+MONTH((AK99-1))-MONTH(AH99)-IF(DAY((AK99-1))&lt;MIN(DAY(AH99),DAY(EOMONTH((AK99-1),0))),1,0))))</f>
        <v/>
      </c>
      <c r="AV99" s="19" t="str">
        <f aca="false">IF(AG99=0,"",IF(OR(AI99&lt;3,AL99&gt;AsOfDate),AT99,IF((AL99-1)&lt;AH99,-1,12*(YEAR((AL99-1))-YEAR(AH99))+MONTH((AL99-1))-MONTH(AH99)-IF(DAY((AL99-1))&lt;MIN(DAY(AH99),DAY(EOMONTH((AL99-1),0))),1,0))))</f>
        <v/>
      </c>
      <c r="AW99" s="19" t="str">
        <f aca="false">IF(AG99=0,"",IF(PFYDate&lt;AH99,-1,12*(YEAR(PFYDate)-YEAR(AH99))+MONTH(PFYDate)-MONTH(AH99)-IF(DAY(PFYDate)&lt;MIN(DAY(AH99),DAY(EOMONTH(PFYDate,0))),1,0)))</f>
        <v/>
      </c>
      <c r="AX99" s="19" t="str">
        <f aca="false">IF(AG99=0,"",IF(OR(AI99&lt;2,AK99&gt;PFYDate),AW99,IF((AK99-1)&lt;AH99,-1,12*(YEAR((AK99-1))-YEAR(AH99))+MONTH((AK99-1))-MONTH(AH99)-IF(DAY((AK99-1))&lt;MIN(DAY(AH99),DAY(EOMONTH((AK99-1),0))),1,0))))</f>
        <v/>
      </c>
      <c r="AY99" s="19" t="str">
        <f aca="false">IF(AG99=0,"",IF(OR(AI99&lt;3,AL99&gt;PFYDate),AW99,IF((AL99-1)&lt;AH99,-1,12*(YEAR((AL99-1))-YEAR(AH99))+MONTH((AL99-1))-MONTH(AH99)-IF(DAY((AL99-1))&lt;MIN(DAY(AH99),DAY(EOMONTH((AL99-1),0))),1,0))))</f>
        <v/>
      </c>
      <c r="AZ99" s="19" t="str">
        <f aca="false">IF(AG99=0,"",IF(AP99="FT",IF(AU99&lt;FT_First,0,IF(AU99&lt;FT_Y5,1+INT((AU99-FT_First)/FT_Int1),FT_PreY5+FT_PerYear*INT((AU99-FT_Y5)/12)+FT_AnnivDays+INT(MOD(AU99-FT_Y5,12)/FT_Int2))),IF(AP99="PT",IF(AU99&lt;PT_First,0,1+INT((AU99-PT_First)/PT_Int)),0))+IF(AND(AI99&gt;=2,AK99&lt;=AsOfDate),IF(AQ99="FT",IF(AV99&lt;FT_First,0,IF(AV99&lt;FT_Y5,1+INT((AV99-FT_First)/FT_Int1),FT_PreY5+FT_PerYear*INT((AV99-FT_Y5)/12)+FT_AnnivDays+INT(MOD(AV99-FT_Y5,12)/FT_Int2))),IF(AQ99="PT",IF(AV99&lt;PT_First,0,1+INT((AV99-PT_First)/PT_Int)),0))-IF(AQ99="FT",IF(AU99&lt;FT_First,0,IF(AU99&lt;FT_Y5,1+INT((AU99-FT_First)/FT_Int1),FT_PreY5+FT_PerYear*INT((AU99-FT_Y5)/12)+FT_AnnivDays+INT(MOD(AU99-FT_Y5,12)/FT_Int2))),IF(AQ99="PT",IF(AU99&lt;PT_First,0,1+INT((AU99-PT_First)/PT_Int)),0)),0)+IF(AND(AI99&gt;=3,AL99&lt;=AsOfDate),IF(AR99="FT",IF(AT99&lt;FT_First,0,IF(AT99&lt;FT_Y5,1+INT((AT99-FT_First)/FT_Int1),FT_PreY5+FT_PerYear*INT((AT99-FT_Y5)/12)+FT_AnnivDays+INT(MOD(AT99-FT_Y5,12)/FT_Int2))),IF(AR99="PT",IF(AT99&lt;PT_First,0,1+INT((AT99-PT_First)/PT_Int)),0))-IF(AR99="FT",IF(AV99&lt;FT_First,0,IF(AV99&lt;FT_Y5,1+INT((AV99-FT_First)/FT_Int1),FT_PreY5+FT_PerYear*INT((AV99-FT_Y5)/12)+FT_AnnivDays+INT(MOD(AV99-FT_Y5,12)/FT_Int2))),IF(AR99="PT",IF(AV99&lt;PT_First,0,1+INT((AV99-PT_First)/PT_Int)),0)),0))</f>
        <v/>
      </c>
      <c r="BA99" s="19" t="str">
        <f aca="false">IF(AG99=0,"",IF(AP99="FT",IF(AX99&lt;FT_First,0,IF(AX99&lt;FT_Y5,1+INT((AX99-FT_First)/FT_Int1),FT_PreY5+FT_PerYear*INT((AX99-FT_Y5)/12)+FT_AnnivDays+INT(MOD(AX99-FT_Y5,12)/FT_Int2))),IF(AP99="PT",IF(AX99&lt;PT_First,0,1+INT((AX99-PT_First)/PT_Int)),0))+IF(AND(AI99&gt;=2,AK99&lt;=PFYDate),IF(AQ99="FT",IF(AY99&lt;FT_First,0,IF(AY99&lt;FT_Y5,1+INT((AY99-FT_First)/FT_Int1),FT_PreY5+FT_PerYear*INT((AY99-FT_Y5)/12)+FT_AnnivDays+INT(MOD(AY99-FT_Y5,12)/FT_Int2))),IF(AQ99="PT",IF(AY99&lt;PT_First,0,1+INT((AY99-PT_First)/PT_Int)),0))-IF(AQ99="FT",IF(AX99&lt;FT_First,0,IF(AX99&lt;FT_Y5,1+INT((AX99-FT_First)/FT_Int1),FT_PreY5+FT_PerYear*INT((AX99-FT_Y5)/12)+FT_AnnivDays+INT(MOD(AX99-FT_Y5,12)/FT_Int2))),IF(AQ99="PT",IF(AX99&lt;PT_First,0,1+INT((AX99-PT_First)/PT_Int)),0)),0)+IF(AND(AI99&gt;=3,AL99&lt;=PFYDate),IF(AR99="FT",IF(AW99&lt;FT_First,0,IF(AW99&lt;FT_Y5,1+INT((AW99-FT_First)/FT_Int1),FT_PreY5+FT_PerYear*INT((AW99-FT_Y5)/12)+FT_AnnivDays+INT(MOD(AW99-FT_Y5,12)/FT_Int2))),IF(AR99="PT",IF(AW99&lt;PT_First,0,1+INT((AW99-PT_First)/PT_Int)),0))-IF(AR99="FT",IF(AY99&lt;FT_First,0,IF(AY99&lt;FT_Y5,1+INT((AY99-FT_First)/FT_Int1),FT_PreY5+FT_PerYear*INT((AY99-FT_Y5)/12)+FT_AnnivDays+INT(MOD(AY99-FT_Y5,12)/FT_Int2))),IF(AR99="PT",IF(AY99&lt;PT_First,0,1+INT((AY99-PT_First)/PT_Int)),0)),0))</f>
        <v/>
      </c>
      <c r="BB99" s="19" t="str">
        <f aca="false">IF(AG99=0,"",IF(AS99="FT",IF(AT99&lt;FT_First,FT_First,IF(AT99&lt;FT_Y5,MIN(FT_Y5,FT_First+FT_Int1*(INT((AT99-FT_First)/FT_Int1)+1)),FT_Y5+12*INT((AT99-FT_Y5)/12)+FT_Int2*(INT(MOD(AT99-FT_Y5,12)/FT_Int2)+1))),IF(AS99="PT",IF(AT99&lt;PT_First,PT_First,PT_First+PT_Int*(INT((AT99-PT_First)/PT_Int)+1)),"")))</f>
        <v/>
      </c>
      <c r="BC99" s="19" t="str">
        <f aca="false">IF(AG99=0,"",IF(NOT(LH_Ready),0,COUNTIFS(INDEX(LH_Data,0,LH_ColFirst),$A99,INDEX(LH_Data,0,LH_ColSur),$B99,INDEX(LH_Data,0,LH_ColCat),BonusCat)))</f>
        <v/>
      </c>
      <c r="BD99" s="19" t="str">
        <f aca="false">IF(AG99=0,"",IF(OR(NOT(LH_Ready),BC99=0),0,SUMPRODUCT(MAX((INDEX(LH_Data,0,LH_ColFirst)=$A99)*(INDEX(LH_Data,0,LH_ColSur)=$B99)*(INDEX(LH_Data,0,LH_ColCat)=BonusCat)*ROW(LH_Data)))))</f>
        <v/>
      </c>
      <c r="BE99" s="19" t="str">
        <f aca="false">IF(AG99=0,"",IF(EOMONTH(AsOfDate,-1)&lt;AH99,-1,12*(YEAR(EOMONTH(AsOfDate,-1))-YEAR(AH99))+MONTH(EOMONTH(AsOfDate,-1))-MONTH(AH99)-IF(DAY(EOMONTH(AsOfDate,-1))&lt;MIN(DAY(AH99),DAY(EOMONTH(EOMONTH(AsOfDate,-1),0))),1,0)))</f>
        <v/>
      </c>
      <c r="BF99" s="19" t="str">
        <f aca="false">IF(AG99=0,"",IF(OR(AI99&lt;2,AK99&gt;EOMONTH(AsOfDate,-1)),BE99,IF((AK99-1)&lt;AH99,-1,12*(YEAR((AK99-1))-YEAR(AH99))+MONTH((AK99-1))-MONTH(AH99)-IF(DAY((AK99-1))&lt;MIN(DAY(AH99),DAY(EOMONTH((AK99-1),0))),1,0))))</f>
        <v/>
      </c>
      <c r="BG99" s="19" t="str">
        <f aca="false">IF(AG99=0,"",IF(OR(AI99&lt;3,AL99&gt;EOMONTH(AsOfDate,-1)),BE99,IF((AL99-1)&lt;AH99,-1,12*(YEAR((AL99-1))-YEAR(AH99))+MONTH((AL99-1))-MONTH(AH99)-IF(DAY((AL99-1))&lt;MIN(DAY(AH99),DAY(EOMONTH((AL99-1),0))),1,0))))</f>
        <v/>
      </c>
      <c r="BH99" s="19" t="str">
        <f aca="false">IF(AG99=0,"",IF(AP99="FT",IF(BF99&lt;FT_First,0,IF(BF99&lt;FT_Y5,1+INT((BF99-FT_First)/FT_Int1),FT_PreY5+FT_PerYear*INT((BF99-FT_Y5)/12)+FT_AnnivDays+INT(MOD(BF99-FT_Y5,12)/FT_Int2))),IF(AP99="PT",IF(BF99&lt;PT_First,0,1+INT((BF99-PT_First)/PT_Int)),0))+IF(AND(AI99&gt;=2,AK99&lt;=EOMONTH(AsOfDate,-1)),IF(AQ99="FT",IF(BG99&lt;FT_First,0,IF(BG99&lt;FT_Y5,1+INT((BG99-FT_First)/FT_Int1),FT_PreY5+FT_PerYear*INT((BG99-FT_Y5)/12)+FT_AnnivDays+INT(MOD(BG99-FT_Y5,12)/FT_Int2))),IF(AQ99="PT",IF(BG99&lt;PT_First,0,1+INT((BG99-PT_First)/PT_Int)),0))-IF(AQ99="FT",IF(BF99&lt;FT_First,0,IF(BF99&lt;FT_Y5,1+INT((BF99-FT_First)/FT_Int1),FT_PreY5+FT_PerYear*INT((BF99-FT_Y5)/12)+FT_AnnivDays+INT(MOD(BF99-FT_Y5,12)/FT_Int2))),IF(AQ99="PT",IF(BF99&lt;PT_First,0,1+INT((BF99-PT_First)/PT_Int)),0)),0)+IF(AND(AI99&gt;=3,AL99&lt;=EOMONTH(AsOfDate,-1)),IF(AR99="FT",IF(BE99&lt;FT_First,0,IF(BE99&lt;FT_Y5,1+INT((BE99-FT_First)/FT_Int1),FT_PreY5+FT_PerYear*INT((BE99-FT_Y5)/12)+FT_AnnivDays+INT(MOD(BE99-FT_Y5,12)/FT_Int2))),IF(AR99="PT",IF(BE99&lt;PT_First,0,1+INT((BE99-PT_First)/PT_Int)),0))-IF(AR99="FT",IF(BG99&lt;FT_First,0,IF(BG99&lt;FT_Y5,1+INT((BG99-FT_First)/FT_Int1),FT_PreY5+FT_PerYear*INT((BG99-FT_Y5)/12)+FT_AnnivDays+INT(MOD(BG99-FT_Y5,12)/FT_Int2))),IF(AR99="PT",IF(BG99&lt;PT_First,0,1+INT((BG99-PT_First)/PT_Int)),0)),0))</f>
        <v/>
      </c>
      <c r="BI99" s="19" t="str">
        <f aca="false">IF(AG99=0,"",IF(AS99="FT",IF(AT99&lt;FT_First,"",IF(AT99&lt;FT_Y5,FT_First+FT_Int1*INT((AT99-FT_First)/FT_Int1),FT_Y5+FT_Int2*INT((AT99-FT_Y5)/FT_Int2))),IF(AS99="PT",IF(AT99&lt;PT_First,"",PT_First+PT_Int*INT((AT99-PT_First)/PT_Int)),"")))</f>
        <v/>
      </c>
      <c r="BJ99" s="0" t="str">
        <f aca="false">IF(LEN($A99&amp;$B99)=0,"",$A99&amp;" "&amp;$B99)</f>
        <v/>
      </c>
    </row>
    <row r="100" customFormat="false" ht="15" hidden="false" customHeight="false" outlineLevel="0" collapsed="false">
      <c r="A100" s="15"/>
      <c r="B100" s="15"/>
      <c r="C100" s="15"/>
      <c r="D100" s="16"/>
      <c r="E100" s="17" t="str">
        <f aca="false">IF(OR(AG100=0,$D100=""),"",DATE(YEAR(AsOfDate)+IF(DATE(YEAR(AsOfDate),MONTH($D100),DAY($D100))&lt;=AsOfDate,1,0),MONTH($D100),DAY($D100)))</f>
        <v/>
      </c>
      <c r="F100" s="16"/>
      <c r="G100" s="16"/>
      <c r="H100" s="16"/>
      <c r="I100" s="16"/>
      <c r="J100" s="16"/>
      <c r="K100" s="17" t="str">
        <f aca="false">IF(AG100=0,"",DATE(YEAR(AsOfDate)+IF(DATE(YEAR(AsOfDate),MONTH(AH100),DAY(AH100))&lt;=AsOfDate,1,0),MONTH(AH100),DAY(AH100)))</f>
        <v/>
      </c>
      <c r="L100" s="18" t="str">
        <f aca="false">IF(AG100=0,"",ROUND((AsOfDate-AH100)/365.25,1))</f>
        <v/>
      </c>
      <c r="M100" s="19" t="str">
        <f aca="false">IF(AG100=0,"",IF(AsOfDate&lt;AH100,"-",DATEDIF(AH100,AsOfDate,"y")&amp;"y "&amp;DATEDIF(AH100,AsOfDate,"ym")&amp;"m "&amp;DATEDIF(AH100,AsOfDate,"md")&amp;"d"))</f>
        <v/>
      </c>
      <c r="N100" s="20" t="str">
        <f aca="false">IF(AG100=0,"",O100*HoursPerDay)</f>
        <v/>
      </c>
      <c r="O100" s="20" t="str">
        <f aca="false">IF(AG100=0,"",AZ100)</f>
        <v/>
      </c>
      <c r="P100" s="21"/>
      <c r="Q100" s="19"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19"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7" t="str">
        <f aca="false">IF(AG100=0,"",IF(AS100="None","",EDATE(AH100,BB100)))</f>
        <v/>
      </c>
      <c r="T100" s="20" t="str">
        <f aca="false">IF(AG100=0,"",IF(NOT(LH_Ready),"",IF(AH100&gt;PFYDate,0,IF(LH_ColPeriod=0,W100-U100+V100,SUMIFS(INDEX(LH_Data,0,LH_ColAcc),INDEX(LH_Data,0,LH_ColFirst),$A100,INDEX(LH_Data,0,LH_ColSur),$B100,INDEX(LH_Data,0,LH_ColCat),BonusCat,INDEX(LH_Data,0,LH_ColPeriod),LH_OpenLabel)*UnitFactor))))</f>
        <v/>
      </c>
      <c r="U100" s="20" t="str">
        <f aca="false">IF(AG100=0,"",IF(NOT(LH_Ready),"",SUMIFS(INDEX(LH_Data,0,LH_ColAcc),INDEX(LH_Data,0,LH_ColFirst),$A100,INDEX(LH_Data,0,LH_ColSur),$B100,INDEX(LH_Data,0,LH_ColCat),BonusCat,INDEX(LH_Data,0,LH_ColStart),"&gt;="&amp;AH100)*UnitFactor))</f>
        <v/>
      </c>
      <c r="V100" s="20" t="str">
        <f aca="false">IF(AG100=0,"",IF(NOT(LH_Ready),"",SUMIFS(INDEX(LH_Data,0,LH_ColTaken),INDEX(LH_Data,0,LH_ColFirst),$A100,INDEX(LH_Data,0,LH_ColSur),$B100,INDEX(LH_Data,0,LH_ColCat),BonusCat,INDEX(LH_Data,0,LH_ColStart),"&gt;="&amp;AH100)*UnitFactor))</f>
        <v/>
      </c>
      <c r="W100" s="20" t="str">
        <f aca="false">IF(AG100=0,"",IF(NOT(LH_Ready),"",IF(BD100=0,0,INDEX(INDEX(LH_Data,0,LH_ColClose),BD100-1)*UnitFactor)))</f>
        <v/>
      </c>
      <c r="X100" s="20" t="str">
        <f aca="false">IF(AG100=0,"",(AZ100-BA100)*HoursPerDay)</f>
        <v/>
      </c>
      <c r="Y100" s="20" t="str">
        <f aca="false">IF(AG100=0,"",IF(NOT(LH_Ready),"",IF(BC100=0,N100,IF(PFYDate&lt;$F100,N100-N(T100)-N(U100),X100-N(U100)))))</f>
        <v/>
      </c>
      <c r="Z100" s="19" t="str">
        <f aca="false">IF(OR(AG100=0,Y100=""),"",IF(Y100&gt;0,"Yes","No"))</f>
        <v/>
      </c>
      <c r="AA100" s="19"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20" t="str">
        <f aca="false">IF(OR(AG100=0,T100=""),"",BA100*HoursPerDay-T100)</f>
        <v/>
      </c>
      <c r="AC100" s="19" t="str">
        <f aca="false">IF(AG100=0,"",BC100)</f>
        <v/>
      </c>
      <c r="AD100" s="19"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20" t="str">
        <f aca="false">IF(AG100=0,"",O100-BH100)</f>
        <v/>
      </c>
      <c r="AF100" s="17" t="str">
        <f aca="false">IF(OR(AG100=0,AE100="",N(AE100)=0,BI100=""),"",EDATE(AH100,BI100))</f>
        <v/>
      </c>
      <c r="AG100" s="19" t="n">
        <f aca="false">IF(OR(LEN($A100&amp;$B100)=0,$F100=""),0,1)</f>
        <v>0</v>
      </c>
      <c r="AH100" s="17" t="str">
        <f aca="false">IF(AG100=0,"",IF($J100&lt;&gt;"",$J100,IF(OR(CasualCounts="Yes",COUNT($G100:$I100)=0,COUNT($H100:$I100)=0),$F100,MIN($H100:$I100))))</f>
        <v/>
      </c>
      <c r="AI100" s="19" t="str">
        <f aca="false">IF(AG100=0,"",COUNT($G100:$I100))</f>
        <v/>
      </c>
      <c r="AJ100" s="17" t="str">
        <f aca="false">IF(AG100=0,"",IFERROR(SMALL($G100:$I100,1),""))</f>
        <v/>
      </c>
      <c r="AK100" s="17" t="str">
        <f aca="false">IF(AG100=0,"",IFERROR(SMALL($G100:$I100,2),""))</f>
        <v/>
      </c>
      <c r="AL100" s="17" t="str">
        <f aca="false">IF(AG100=0,"",IFERROR(SMALL($G100:$I100,3),""))</f>
        <v/>
      </c>
      <c r="AM100" s="19" t="str">
        <f aca="false">IF(AG100=0,"",IF(AJ100="","",IF(AJ100=$H100,"Part-Time",IF(AJ100=$I100,"Full-Time","Casual"))))</f>
        <v/>
      </c>
      <c r="AN100" s="19" t="str">
        <f aca="false">IF(AG100=0,"",IF(AK100="","",IF(AK100=$H100,"Part-Time",IF(AK100=$I100,"Full-Time","Casual"))))</f>
        <v/>
      </c>
      <c r="AO100" s="19" t="str">
        <f aca="false">IF(AG100=0,"",IF(AL100="","",IF(AL100=$H100,"Part-Time",IF(AL100=$I100,"Full-Time","Casual"))))</f>
        <v/>
      </c>
      <c r="AP100" s="19"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19" t="str">
        <f aca="false">IF(AG100=0,"",IF(AI100&lt;2,"",IF(OR(ISNUMBER(SEARCH("full",AN100)),UPPER(TRIM(AN100))="FT",UPPER(TRIM(AN100))="FTE"),"FT",IF(AND(OR(ISNUMBER(SEARCH("part",AN100)),UPPER(TRIM(AN100))="PT",UPPER(TRIM(AN100))="PTE"),OR($P100="",N($P100)&gt;=PT_MinHours)),"PT","None"))))</f>
        <v/>
      </c>
      <c r="AR100" s="19" t="str">
        <f aca="false">IF(AG100=0,"",IF(AI100&lt;3,"",IF(OR(ISNUMBER(SEARCH("full",AO100)),UPPER(TRIM(AO100))="FT",UPPER(TRIM(AO100))="FTE"),"FT",IF(AND(OR(ISNUMBER(SEARCH("part",AO100)),UPPER(TRIM(AO100))="PT",UPPER(TRIM(AO100))="PTE"),OR($P100="",N($P100)&gt;=PT_MinHours)),"PT","None"))))</f>
        <v/>
      </c>
      <c r="AS100" s="19" t="str">
        <f aca="false">IF(AG100=0,"",IF(AND(AI100&gt;=3,AL100&lt;=AsOfDate),AR100,IF(AND(AI100&gt;=2,AK100&lt;=AsOfDate),AQ100,AP100)))</f>
        <v/>
      </c>
      <c r="AT100" s="19" t="str">
        <f aca="false">IF(AG100=0,"",IF(AsOfDate&lt;AH100,-1,12*(YEAR(AsOfDate)-YEAR(AH100))+MONTH(AsOfDate)-MONTH(AH100)-IF(DAY(AsOfDate)&lt;MIN(DAY(AH100),DAY(EOMONTH(AsOfDate,0))),1,0)))</f>
        <v/>
      </c>
      <c r="AU100" s="19" t="str">
        <f aca="false">IF(AG100=0,"",IF(OR(AI100&lt;2,AK100&gt;AsOfDate),AT100,IF((AK100-1)&lt;AH100,-1,12*(YEAR((AK100-1))-YEAR(AH100))+MONTH((AK100-1))-MONTH(AH100)-IF(DAY((AK100-1))&lt;MIN(DAY(AH100),DAY(EOMONTH((AK100-1),0))),1,0))))</f>
        <v/>
      </c>
      <c r="AV100" s="19" t="str">
        <f aca="false">IF(AG100=0,"",IF(OR(AI100&lt;3,AL100&gt;AsOfDate),AT100,IF((AL100-1)&lt;AH100,-1,12*(YEAR((AL100-1))-YEAR(AH100))+MONTH((AL100-1))-MONTH(AH100)-IF(DAY((AL100-1))&lt;MIN(DAY(AH100),DAY(EOMONTH((AL100-1),0))),1,0))))</f>
        <v/>
      </c>
      <c r="AW100" s="19" t="str">
        <f aca="false">IF(AG100=0,"",IF(PFYDate&lt;AH100,-1,12*(YEAR(PFYDate)-YEAR(AH100))+MONTH(PFYDate)-MONTH(AH100)-IF(DAY(PFYDate)&lt;MIN(DAY(AH100),DAY(EOMONTH(PFYDate,0))),1,0)))</f>
        <v/>
      </c>
      <c r="AX100" s="19" t="str">
        <f aca="false">IF(AG100=0,"",IF(OR(AI100&lt;2,AK100&gt;PFYDate),AW100,IF((AK100-1)&lt;AH100,-1,12*(YEAR((AK100-1))-YEAR(AH100))+MONTH((AK100-1))-MONTH(AH100)-IF(DAY((AK100-1))&lt;MIN(DAY(AH100),DAY(EOMONTH((AK100-1),0))),1,0))))</f>
        <v/>
      </c>
      <c r="AY100" s="19" t="str">
        <f aca="false">IF(AG100=0,"",IF(OR(AI100&lt;3,AL100&gt;PFYDate),AW100,IF((AL100-1)&lt;AH100,-1,12*(YEAR((AL100-1))-YEAR(AH100))+MONTH((AL100-1))-MONTH(AH100)-IF(DAY((AL100-1))&lt;MIN(DAY(AH100),DAY(EOMONTH((AL100-1),0))),1,0))))</f>
        <v/>
      </c>
      <c r="AZ100" s="19" t="str">
        <f aca="false">IF(AG100=0,"",IF(AP100="FT",IF(AU100&lt;FT_First,0,IF(AU100&lt;FT_Y5,1+INT((AU100-FT_First)/FT_Int1),FT_PreY5+FT_PerYear*INT((AU100-FT_Y5)/12)+FT_AnnivDays+INT(MOD(AU100-FT_Y5,12)/FT_Int2))),IF(AP100="PT",IF(AU100&lt;PT_First,0,1+INT((AU100-PT_First)/PT_Int)),0))+IF(AND(AI100&gt;=2,AK100&lt;=AsOfDate),IF(AQ100="FT",IF(AV100&lt;FT_First,0,IF(AV100&lt;FT_Y5,1+INT((AV100-FT_First)/FT_Int1),FT_PreY5+FT_PerYear*INT((AV100-FT_Y5)/12)+FT_AnnivDays+INT(MOD(AV100-FT_Y5,12)/FT_Int2))),IF(AQ100="PT",IF(AV100&lt;PT_First,0,1+INT((AV100-PT_First)/PT_Int)),0))-IF(AQ100="FT",IF(AU100&lt;FT_First,0,IF(AU100&lt;FT_Y5,1+INT((AU100-FT_First)/FT_Int1),FT_PreY5+FT_PerYear*INT((AU100-FT_Y5)/12)+FT_AnnivDays+INT(MOD(AU100-FT_Y5,12)/FT_Int2))),IF(AQ100="PT",IF(AU100&lt;PT_First,0,1+INT((AU100-PT_First)/PT_Int)),0)),0)+IF(AND(AI100&gt;=3,AL100&lt;=AsOfDate),IF(AR100="FT",IF(AT100&lt;FT_First,0,IF(AT100&lt;FT_Y5,1+INT((AT100-FT_First)/FT_Int1),FT_PreY5+FT_PerYear*INT((AT100-FT_Y5)/12)+FT_AnnivDays+INT(MOD(AT100-FT_Y5,12)/FT_Int2))),IF(AR100="PT",IF(AT100&lt;PT_First,0,1+INT((AT100-PT_First)/PT_Int)),0))-IF(AR100="FT",IF(AV100&lt;FT_First,0,IF(AV100&lt;FT_Y5,1+INT((AV100-FT_First)/FT_Int1),FT_PreY5+FT_PerYear*INT((AV100-FT_Y5)/12)+FT_AnnivDays+INT(MOD(AV100-FT_Y5,12)/FT_Int2))),IF(AR100="PT",IF(AV100&lt;PT_First,0,1+INT((AV100-PT_First)/PT_Int)),0)),0))</f>
        <v/>
      </c>
      <c r="BA100" s="19" t="str">
        <f aca="false">IF(AG100=0,"",IF(AP100="FT",IF(AX100&lt;FT_First,0,IF(AX100&lt;FT_Y5,1+INT((AX100-FT_First)/FT_Int1),FT_PreY5+FT_PerYear*INT((AX100-FT_Y5)/12)+FT_AnnivDays+INT(MOD(AX100-FT_Y5,12)/FT_Int2))),IF(AP100="PT",IF(AX100&lt;PT_First,0,1+INT((AX100-PT_First)/PT_Int)),0))+IF(AND(AI100&gt;=2,AK100&lt;=PFYDate),IF(AQ100="FT",IF(AY100&lt;FT_First,0,IF(AY100&lt;FT_Y5,1+INT((AY100-FT_First)/FT_Int1),FT_PreY5+FT_PerYear*INT((AY100-FT_Y5)/12)+FT_AnnivDays+INT(MOD(AY100-FT_Y5,12)/FT_Int2))),IF(AQ100="PT",IF(AY100&lt;PT_First,0,1+INT((AY100-PT_First)/PT_Int)),0))-IF(AQ100="FT",IF(AX100&lt;FT_First,0,IF(AX100&lt;FT_Y5,1+INT((AX100-FT_First)/FT_Int1),FT_PreY5+FT_PerYear*INT((AX100-FT_Y5)/12)+FT_AnnivDays+INT(MOD(AX100-FT_Y5,12)/FT_Int2))),IF(AQ100="PT",IF(AX100&lt;PT_First,0,1+INT((AX100-PT_First)/PT_Int)),0)),0)+IF(AND(AI100&gt;=3,AL100&lt;=PFYDate),IF(AR100="FT",IF(AW100&lt;FT_First,0,IF(AW100&lt;FT_Y5,1+INT((AW100-FT_First)/FT_Int1),FT_PreY5+FT_PerYear*INT((AW100-FT_Y5)/12)+FT_AnnivDays+INT(MOD(AW100-FT_Y5,12)/FT_Int2))),IF(AR100="PT",IF(AW100&lt;PT_First,0,1+INT((AW100-PT_First)/PT_Int)),0))-IF(AR100="FT",IF(AY100&lt;FT_First,0,IF(AY100&lt;FT_Y5,1+INT((AY100-FT_First)/FT_Int1),FT_PreY5+FT_PerYear*INT((AY100-FT_Y5)/12)+FT_AnnivDays+INT(MOD(AY100-FT_Y5,12)/FT_Int2))),IF(AR100="PT",IF(AY100&lt;PT_First,0,1+INT((AY100-PT_First)/PT_Int)),0)),0))</f>
        <v/>
      </c>
      <c r="BB100" s="19" t="str">
        <f aca="false">IF(AG100=0,"",IF(AS100="FT",IF(AT100&lt;FT_First,FT_First,IF(AT100&lt;FT_Y5,MIN(FT_Y5,FT_First+FT_Int1*(INT((AT100-FT_First)/FT_Int1)+1)),FT_Y5+12*INT((AT100-FT_Y5)/12)+FT_Int2*(INT(MOD(AT100-FT_Y5,12)/FT_Int2)+1))),IF(AS100="PT",IF(AT100&lt;PT_First,PT_First,PT_First+PT_Int*(INT((AT100-PT_First)/PT_Int)+1)),"")))</f>
        <v/>
      </c>
      <c r="BC100" s="19" t="str">
        <f aca="false">IF(AG100=0,"",IF(NOT(LH_Ready),0,COUNTIFS(INDEX(LH_Data,0,LH_ColFirst),$A100,INDEX(LH_Data,0,LH_ColSur),$B100,INDEX(LH_Data,0,LH_ColCat),BonusCat)))</f>
        <v/>
      </c>
      <c r="BD100" s="19" t="str">
        <f aca="false">IF(AG100=0,"",IF(OR(NOT(LH_Ready),BC100=0),0,SUMPRODUCT(MAX((INDEX(LH_Data,0,LH_ColFirst)=$A100)*(INDEX(LH_Data,0,LH_ColSur)=$B100)*(INDEX(LH_Data,0,LH_ColCat)=BonusCat)*ROW(LH_Data)))))</f>
        <v/>
      </c>
      <c r="BE100" s="19" t="str">
        <f aca="false">IF(AG100=0,"",IF(EOMONTH(AsOfDate,-1)&lt;AH100,-1,12*(YEAR(EOMONTH(AsOfDate,-1))-YEAR(AH100))+MONTH(EOMONTH(AsOfDate,-1))-MONTH(AH100)-IF(DAY(EOMONTH(AsOfDate,-1))&lt;MIN(DAY(AH100),DAY(EOMONTH(EOMONTH(AsOfDate,-1),0))),1,0)))</f>
        <v/>
      </c>
      <c r="BF100" s="19" t="str">
        <f aca="false">IF(AG100=0,"",IF(OR(AI100&lt;2,AK100&gt;EOMONTH(AsOfDate,-1)),BE100,IF((AK100-1)&lt;AH100,-1,12*(YEAR((AK100-1))-YEAR(AH100))+MONTH((AK100-1))-MONTH(AH100)-IF(DAY((AK100-1))&lt;MIN(DAY(AH100),DAY(EOMONTH((AK100-1),0))),1,0))))</f>
        <v/>
      </c>
      <c r="BG100" s="19" t="str">
        <f aca="false">IF(AG100=0,"",IF(OR(AI100&lt;3,AL100&gt;EOMONTH(AsOfDate,-1)),BE100,IF((AL100-1)&lt;AH100,-1,12*(YEAR((AL100-1))-YEAR(AH100))+MONTH((AL100-1))-MONTH(AH100)-IF(DAY((AL100-1))&lt;MIN(DAY(AH100),DAY(EOMONTH((AL100-1),0))),1,0))))</f>
        <v/>
      </c>
      <c r="BH100" s="19" t="str">
        <f aca="false">IF(AG100=0,"",IF(AP100="FT",IF(BF100&lt;FT_First,0,IF(BF100&lt;FT_Y5,1+INT((BF100-FT_First)/FT_Int1),FT_PreY5+FT_PerYear*INT((BF100-FT_Y5)/12)+FT_AnnivDays+INT(MOD(BF100-FT_Y5,12)/FT_Int2))),IF(AP100="PT",IF(BF100&lt;PT_First,0,1+INT((BF100-PT_First)/PT_Int)),0))+IF(AND(AI100&gt;=2,AK100&lt;=EOMONTH(AsOfDate,-1)),IF(AQ100="FT",IF(BG100&lt;FT_First,0,IF(BG100&lt;FT_Y5,1+INT((BG100-FT_First)/FT_Int1),FT_PreY5+FT_PerYear*INT((BG100-FT_Y5)/12)+FT_AnnivDays+INT(MOD(BG100-FT_Y5,12)/FT_Int2))),IF(AQ100="PT",IF(BG100&lt;PT_First,0,1+INT((BG100-PT_First)/PT_Int)),0))-IF(AQ100="FT",IF(BF100&lt;FT_First,0,IF(BF100&lt;FT_Y5,1+INT((BF100-FT_First)/FT_Int1),FT_PreY5+FT_PerYear*INT((BF100-FT_Y5)/12)+FT_AnnivDays+INT(MOD(BF100-FT_Y5,12)/FT_Int2))),IF(AQ100="PT",IF(BF100&lt;PT_First,0,1+INT((BF100-PT_First)/PT_Int)),0)),0)+IF(AND(AI100&gt;=3,AL100&lt;=EOMONTH(AsOfDate,-1)),IF(AR100="FT",IF(BE100&lt;FT_First,0,IF(BE100&lt;FT_Y5,1+INT((BE100-FT_First)/FT_Int1),FT_PreY5+FT_PerYear*INT((BE100-FT_Y5)/12)+FT_AnnivDays+INT(MOD(BE100-FT_Y5,12)/FT_Int2))),IF(AR100="PT",IF(BE100&lt;PT_First,0,1+INT((BE100-PT_First)/PT_Int)),0))-IF(AR100="FT",IF(BG100&lt;FT_First,0,IF(BG100&lt;FT_Y5,1+INT((BG100-FT_First)/FT_Int1),FT_PreY5+FT_PerYear*INT((BG100-FT_Y5)/12)+FT_AnnivDays+INT(MOD(BG100-FT_Y5,12)/FT_Int2))),IF(AR100="PT",IF(BG100&lt;PT_First,0,1+INT((BG100-PT_First)/PT_Int)),0)),0))</f>
        <v/>
      </c>
      <c r="BI100" s="19" t="str">
        <f aca="false">IF(AG100=0,"",IF(AS100="FT",IF(AT100&lt;FT_First,"",IF(AT100&lt;FT_Y5,FT_First+FT_Int1*INT((AT100-FT_First)/FT_Int1),FT_Y5+FT_Int2*INT((AT100-FT_Y5)/FT_Int2))),IF(AS100="PT",IF(AT100&lt;PT_First,"",PT_First+PT_Int*INT((AT100-PT_First)/PT_Int)),"")))</f>
        <v/>
      </c>
      <c r="BJ100" s="0" t="str">
        <f aca="false">IF(LEN($A100&amp;$B100)=0,"",$A100&amp;" "&amp;$B100)</f>
        <v/>
      </c>
    </row>
    <row r="101" customFormat="false" ht="15" hidden="false" customHeight="false" outlineLevel="0" collapsed="false">
      <c r="A101" s="15"/>
      <c r="B101" s="15"/>
      <c r="C101" s="15"/>
      <c r="D101" s="16"/>
      <c r="E101" s="17" t="str">
        <f aca="false">IF(OR(AG101=0,$D101=""),"",DATE(YEAR(AsOfDate)+IF(DATE(YEAR(AsOfDate),MONTH($D101),DAY($D101))&lt;=AsOfDate,1,0),MONTH($D101),DAY($D101)))</f>
        <v/>
      </c>
      <c r="F101" s="16"/>
      <c r="G101" s="16"/>
      <c r="H101" s="16"/>
      <c r="I101" s="16"/>
      <c r="J101" s="16"/>
      <c r="K101" s="17" t="str">
        <f aca="false">IF(AG101=0,"",DATE(YEAR(AsOfDate)+IF(DATE(YEAR(AsOfDate),MONTH(AH101),DAY(AH101))&lt;=AsOfDate,1,0),MONTH(AH101),DAY(AH101)))</f>
        <v/>
      </c>
      <c r="L101" s="18" t="str">
        <f aca="false">IF(AG101=0,"",ROUND((AsOfDate-AH101)/365.25,1))</f>
        <v/>
      </c>
      <c r="M101" s="19" t="str">
        <f aca="false">IF(AG101=0,"",IF(AsOfDate&lt;AH101,"-",DATEDIF(AH101,AsOfDate,"y")&amp;"y "&amp;DATEDIF(AH101,AsOfDate,"ym")&amp;"m "&amp;DATEDIF(AH101,AsOfDate,"md")&amp;"d"))</f>
        <v/>
      </c>
      <c r="N101" s="20" t="str">
        <f aca="false">IF(AG101=0,"",O101*HoursPerDay)</f>
        <v/>
      </c>
      <c r="O101" s="20" t="str">
        <f aca="false">IF(AG101=0,"",AZ101)</f>
        <v/>
      </c>
      <c r="P101" s="21"/>
      <c r="Q101" s="19"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19"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7" t="str">
        <f aca="false">IF(AG101=0,"",IF(AS101="None","",EDATE(AH101,BB101)))</f>
        <v/>
      </c>
      <c r="T101" s="20" t="str">
        <f aca="false">IF(AG101=0,"",IF(NOT(LH_Ready),"",IF(AH101&gt;PFYDate,0,IF(LH_ColPeriod=0,W101-U101+V101,SUMIFS(INDEX(LH_Data,0,LH_ColAcc),INDEX(LH_Data,0,LH_ColFirst),$A101,INDEX(LH_Data,0,LH_ColSur),$B101,INDEX(LH_Data,0,LH_ColCat),BonusCat,INDEX(LH_Data,0,LH_ColPeriod),LH_OpenLabel)*UnitFactor))))</f>
        <v/>
      </c>
      <c r="U101" s="20" t="str">
        <f aca="false">IF(AG101=0,"",IF(NOT(LH_Ready),"",SUMIFS(INDEX(LH_Data,0,LH_ColAcc),INDEX(LH_Data,0,LH_ColFirst),$A101,INDEX(LH_Data,0,LH_ColSur),$B101,INDEX(LH_Data,0,LH_ColCat),BonusCat,INDEX(LH_Data,0,LH_ColStart),"&gt;="&amp;AH101)*UnitFactor))</f>
        <v/>
      </c>
      <c r="V101" s="20" t="str">
        <f aca="false">IF(AG101=0,"",IF(NOT(LH_Ready),"",SUMIFS(INDEX(LH_Data,0,LH_ColTaken),INDEX(LH_Data,0,LH_ColFirst),$A101,INDEX(LH_Data,0,LH_ColSur),$B101,INDEX(LH_Data,0,LH_ColCat),BonusCat,INDEX(LH_Data,0,LH_ColStart),"&gt;="&amp;AH101)*UnitFactor))</f>
        <v/>
      </c>
      <c r="W101" s="20" t="str">
        <f aca="false">IF(AG101=0,"",IF(NOT(LH_Ready),"",IF(BD101=0,0,INDEX(INDEX(LH_Data,0,LH_ColClose),BD101-1)*UnitFactor)))</f>
        <v/>
      </c>
      <c r="X101" s="20" t="str">
        <f aca="false">IF(AG101=0,"",(AZ101-BA101)*HoursPerDay)</f>
        <v/>
      </c>
      <c r="Y101" s="20" t="str">
        <f aca="false">IF(AG101=0,"",IF(NOT(LH_Ready),"",IF(BC101=0,N101,IF(PFYDate&lt;$F101,N101-N(T101)-N(U101),X101-N(U101)))))</f>
        <v/>
      </c>
      <c r="Z101" s="19" t="str">
        <f aca="false">IF(OR(AG101=0,Y101=""),"",IF(Y101&gt;0,"Yes","No"))</f>
        <v/>
      </c>
      <c r="AA101" s="19"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20" t="str">
        <f aca="false">IF(OR(AG101=0,T101=""),"",BA101*HoursPerDay-T101)</f>
        <v/>
      </c>
      <c r="AC101" s="19" t="str">
        <f aca="false">IF(AG101=0,"",BC101)</f>
        <v/>
      </c>
      <c r="AD101" s="19"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20" t="str">
        <f aca="false">IF(AG101=0,"",O101-BH101)</f>
        <v/>
      </c>
      <c r="AF101" s="17" t="str">
        <f aca="false">IF(OR(AG101=0,AE101="",N(AE101)=0,BI101=""),"",EDATE(AH101,BI101))</f>
        <v/>
      </c>
      <c r="AG101" s="19" t="n">
        <f aca="false">IF(OR(LEN($A101&amp;$B101)=0,$F101=""),0,1)</f>
        <v>0</v>
      </c>
      <c r="AH101" s="17" t="str">
        <f aca="false">IF(AG101=0,"",IF($J101&lt;&gt;"",$J101,IF(OR(CasualCounts="Yes",COUNT($G101:$I101)=0,COUNT($H101:$I101)=0),$F101,MIN($H101:$I101))))</f>
        <v/>
      </c>
      <c r="AI101" s="19" t="str">
        <f aca="false">IF(AG101=0,"",COUNT($G101:$I101))</f>
        <v/>
      </c>
      <c r="AJ101" s="17" t="str">
        <f aca="false">IF(AG101=0,"",IFERROR(SMALL($G101:$I101,1),""))</f>
        <v/>
      </c>
      <c r="AK101" s="17" t="str">
        <f aca="false">IF(AG101=0,"",IFERROR(SMALL($G101:$I101,2),""))</f>
        <v/>
      </c>
      <c r="AL101" s="17" t="str">
        <f aca="false">IF(AG101=0,"",IFERROR(SMALL($G101:$I101,3),""))</f>
        <v/>
      </c>
      <c r="AM101" s="19" t="str">
        <f aca="false">IF(AG101=0,"",IF(AJ101="","",IF(AJ101=$H101,"Part-Time",IF(AJ101=$I101,"Full-Time","Casual"))))</f>
        <v/>
      </c>
      <c r="AN101" s="19" t="str">
        <f aca="false">IF(AG101=0,"",IF(AK101="","",IF(AK101=$H101,"Part-Time",IF(AK101=$I101,"Full-Time","Casual"))))</f>
        <v/>
      </c>
      <c r="AO101" s="19" t="str">
        <f aca="false">IF(AG101=0,"",IF(AL101="","",IF(AL101=$H101,"Part-Time",IF(AL101=$I101,"Full-Time","Casual"))))</f>
        <v/>
      </c>
      <c r="AP101" s="19"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19" t="str">
        <f aca="false">IF(AG101=0,"",IF(AI101&lt;2,"",IF(OR(ISNUMBER(SEARCH("full",AN101)),UPPER(TRIM(AN101))="FT",UPPER(TRIM(AN101))="FTE"),"FT",IF(AND(OR(ISNUMBER(SEARCH("part",AN101)),UPPER(TRIM(AN101))="PT",UPPER(TRIM(AN101))="PTE"),OR($P101="",N($P101)&gt;=PT_MinHours)),"PT","None"))))</f>
        <v/>
      </c>
      <c r="AR101" s="19" t="str">
        <f aca="false">IF(AG101=0,"",IF(AI101&lt;3,"",IF(OR(ISNUMBER(SEARCH("full",AO101)),UPPER(TRIM(AO101))="FT",UPPER(TRIM(AO101))="FTE"),"FT",IF(AND(OR(ISNUMBER(SEARCH("part",AO101)),UPPER(TRIM(AO101))="PT",UPPER(TRIM(AO101))="PTE"),OR($P101="",N($P101)&gt;=PT_MinHours)),"PT","None"))))</f>
        <v/>
      </c>
      <c r="AS101" s="19" t="str">
        <f aca="false">IF(AG101=0,"",IF(AND(AI101&gt;=3,AL101&lt;=AsOfDate),AR101,IF(AND(AI101&gt;=2,AK101&lt;=AsOfDate),AQ101,AP101)))</f>
        <v/>
      </c>
      <c r="AT101" s="19" t="str">
        <f aca="false">IF(AG101=0,"",IF(AsOfDate&lt;AH101,-1,12*(YEAR(AsOfDate)-YEAR(AH101))+MONTH(AsOfDate)-MONTH(AH101)-IF(DAY(AsOfDate)&lt;MIN(DAY(AH101),DAY(EOMONTH(AsOfDate,0))),1,0)))</f>
        <v/>
      </c>
      <c r="AU101" s="19" t="str">
        <f aca="false">IF(AG101=0,"",IF(OR(AI101&lt;2,AK101&gt;AsOfDate),AT101,IF((AK101-1)&lt;AH101,-1,12*(YEAR((AK101-1))-YEAR(AH101))+MONTH((AK101-1))-MONTH(AH101)-IF(DAY((AK101-1))&lt;MIN(DAY(AH101),DAY(EOMONTH((AK101-1),0))),1,0))))</f>
        <v/>
      </c>
      <c r="AV101" s="19" t="str">
        <f aca="false">IF(AG101=0,"",IF(OR(AI101&lt;3,AL101&gt;AsOfDate),AT101,IF((AL101-1)&lt;AH101,-1,12*(YEAR((AL101-1))-YEAR(AH101))+MONTH((AL101-1))-MONTH(AH101)-IF(DAY((AL101-1))&lt;MIN(DAY(AH101),DAY(EOMONTH((AL101-1),0))),1,0))))</f>
        <v/>
      </c>
      <c r="AW101" s="19" t="str">
        <f aca="false">IF(AG101=0,"",IF(PFYDate&lt;AH101,-1,12*(YEAR(PFYDate)-YEAR(AH101))+MONTH(PFYDate)-MONTH(AH101)-IF(DAY(PFYDate)&lt;MIN(DAY(AH101),DAY(EOMONTH(PFYDate,0))),1,0)))</f>
        <v/>
      </c>
      <c r="AX101" s="19" t="str">
        <f aca="false">IF(AG101=0,"",IF(OR(AI101&lt;2,AK101&gt;PFYDate),AW101,IF((AK101-1)&lt;AH101,-1,12*(YEAR((AK101-1))-YEAR(AH101))+MONTH((AK101-1))-MONTH(AH101)-IF(DAY((AK101-1))&lt;MIN(DAY(AH101),DAY(EOMONTH((AK101-1),0))),1,0))))</f>
        <v/>
      </c>
      <c r="AY101" s="19" t="str">
        <f aca="false">IF(AG101=0,"",IF(OR(AI101&lt;3,AL101&gt;PFYDate),AW101,IF((AL101-1)&lt;AH101,-1,12*(YEAR((AL101-1))-YEAR(AH101))+MONTH((AL101-1))-MONTH(AH101)-IF(DAY((AL101-1))&lt;MIN(DAY(AH101),DAY(EOMONTH((AL101-1),0))),1,0))))</f>
        <v/>
      </c>
      <c r="AZ101" s="19" t="str">
        <f aca="false">IF(AG101=0,"",IF(AP101="FT",IF(AU101&lt;FT_First,0,IF(AU101&lt;FT_Y5,1+INT((AU101-FT_First)/FT_Int1),FT_PreY5+FT_PerYear*INT((AU101-FT_Y5)/12)+FT_AnnivDays+INT(MOD(AU101-FT_Y5,12)/FT_Int2))),IF(AP101="PT",IF(AU101&lt;PT_First,0,1+INT((AU101-PT_First)/PT_Int)),0))+IF(AND(AI101&gt;=2,AK101&lt;=AsOfDate),IF(AQ101="FT",IF(AV101&lt;FT_First,0,IF(AV101&lt;FT_Y5,1+INT((AV101-FT_First)/FT_Int1),FT_PreY5+FT_PerYear*INT((AV101-FT_Y5)/12)+FT_AnnivDays+INT(MOD(AV101-FT_Y5,12)/FT_Int2))),IF(AQ101="PT",IF(AV101&lt;PT_First,0,1+INT((AV101-PT_First)/PT_Int)),0))-IF(AQ101="FT",IF(AU101&lt;FT_First,0,IF(AU101&lt;FT_Y5,1+INT((AU101-FT_First)/FT_Int1),FT_PreY5+FT_PerYear*INT((AU101-FT_Y5)/12)+FT_AnnivDays+INT(MOD(AU101-FT_Y5,12)/FT_Int2))),IF(AQ101="PT",IF(AU101&lt;PT_First,0,1+INT((AU101-PT_First)/PT_Int)),0)),0)+IF(AND(AI101&gt;=3,AL101&lt;=AsOfDate),IF(AR101="FT",IF(AT101&lt;FT_First,0,IF(AT101&lt;FT_Y5,1+INT((AT101-FT_First)/FT_Int1),FT_PreY5+FT_PerYear*INT((AT101-FT_Y5)/12)+FT_AnnivDays+INT(MOD(AT101-FT_Y5,12)/FT_Int2))),IF(AR101="PT",IF(AT101&lt;PT_First,0,1+INT((AT101-PT_First)/PT_Int)),0))-IF(AR101="FT",IF(AV101&lt;FT_First,0,IF(AV101&lt;FT_Y5,1+INT((AV101-FT_First)/FT_Int1),FT_PreY5+FT_PerYear*INT((AV101-FT_Y5)/12)+FT_AnnivDays+INT(MOD(AV101-FT_Y5,12)/FT_Int2))),IF(AR101="PT",IF(AV101&lt;PT_First,0,1+INT((AV101-PT_First)/PT_Int)),0)),0))</f>
        <v/>
      </c>
      <c r="BA101" s="19" t="str">
        <f aca="false">IF(AG101=0,"",IF(AP101="FT",IF(AX101&lt;FT_First,0,IF(AX101&lt;FT_Y5,1+INT((AX101-FT_First)/FT_Int1),FT_PreY5+FT_PerYear*INT((AX101-FT_Y5)/12)+FT_AnnivDays+INT(MOD(AX101-FT_Y5,12)/FT_Int2))),IF(AP101="PT",IF(AX101&lt;PT_First,0,1+INT((AX101-PT_First)/PT_Int)),0))+IF(AND(AI101&gt;=2,AK101&lt;=PFYDate),IF(AQ101="FT",IF(AY101&lt;FT_First,0,IF(AY101&lt;FT_Y5,1+INT((AY101-FT_First)/FT_Int1),FT_PreY5+FT_PerYear*INT((AY101-FT_Y5)/12)+FT_AnnivDays+INT(MOD(AY101-FT_Y5,12)/FT_Int2))),IF(AQ101="PT",IF(AY101&lt;PT_First,0,1+INT((AY101-PT_First)/PT_Int)),0))-IF(AQ101="FT",IF(AX101&lt;FT_First,0,IF(AX101&lt;FT_Y5,1+INT((AX101-FT_First)/FT_Int1),FT_PreY5+FT_PerYear*INT((AX101-FT_Y5)/12)+FT_AnnivDays+INT(MOD(AX101-FT_Y5,12)/FT_Int2))),IF(AQ101="PT",IF(AX101&lt;PT_First,0,1+INT((AX101-PT_First)/PT_Int)),0)),0)+IF(AND(AI101&gt;=3,AL101&lt;=PFYDate),IF(AR101="FT",IF(AW101&lt;FT_First,0,IF(AW101&lt;FT_Y5,1+INT((AW101-FT_First)/FT_Int1),FT_PreY5+FT_PerYear*INT((AW101-FT_Y5)/12)+FT_AnnivDays+INT(MOD(AW101-FT_Y5,12)/FT_Int2))),IF(AR101="PT",IF(AW101&lt;PT_First,0,1+INT((AW101-PT_First)/PT_Int)),0))-IF(AR101="FT",IF(AY101&lt;FT_First,0,IF(AY101&lt;FT_Y5,1+INT((AY101-FT_First)/FT_Int1),FT_PreY5+FT_PerYear*INT((AY101-FT_Y5)/12)+FT_AnnivDays+INT(MOD(AY101-FT_Y5,12)/FT_Int2))),IF(AR101="PT",IF(AY101&lt;PT_First,0,1+INT((AY101-PT_First)/PT_Int)),0)),0))</f>
        <v/>
      </c>
      <c r="BB101" s="19" t="str">
        <f aca="false">IF(AG101=0,"",IF(AS101="FT",IF(AT101&lt;FT_First,FT_First,IF(AT101&lt;FT_Y5,MIN(FT_Y5,FT_First+FT_Int1*(INT((AT101-FT_First)/FT_Int1)+1)),FT_Y5+12*INT((AT101-FT_Y5)/12)+FT_Int2*(INT(MOD(AT101-FT_Y5,12)/FT_Int2)+1))),IF(AS101="PT",IF(AT101&lt;PT_First,PT_First,PT_First+PT_Int*(INT((AT101-PT_First)/PT_Int)+1)),"")))</f>
        <v/>
      </c>
      <c r="BC101" s="19" t="str">
        <f aca="false">IF(AG101=0,"",IF(NOT(LH_Ready),0,COUNTIFS(INDEX(LH_Data,0,LH_ColFirst),$A101,INDEX(LH_Data,0,LH_ColSur),$B101,INDEX(LH_Data,0,LH_ColCat),BonusCat)))</f>
        <v/>
      </c>
      <c r="BD101" s="19" t="str">
        <f aca="false">IF(AG101=0,"",IF(OR(NOT(LH_Ready),BC101=0),0,SUMPRODUCT(MAX((INDEX(LH_Data,0,LH_ColFirst)=$A101)*(INDEX(LH_Data,0,LH_ColSur)=$B101)*(INDEX(LH_Data,0,LH_ColCat)=BonusCat)*ROW(LH_Data)))))</f>
        <v/>
      </c>
      <c r="BE101" s="19" t="str">
        <f aca="false">IF(AG101=0,"",IF(EOMONTH(AsOfDate,-1)&lt;AH101,-1,12*(YEAR(EOMONTH(AsOfDate,-1))-YEAR(AH101))+MONTH(EOMONTH(AsOfDate,-1))-MONTH(AH101)-IF(DAY(EOMONTH(AsOfDate,-1))&lt;MIN(DAY(AH101),DAY(EOMONTH(EOMONTH(AsOfDate,-1),0))),1,0)))</f>
        <v/>
      </c>
      <c r="BF101" s="19" t="str">
        <f aca="false">IF(AG101=0,"",IF(OR(AI101&lt;2,AK101&gt;EOMONTH(AsOfDate,-1)),BE101,IF((AK101-1)&lt;AH101,-1,12*(YEAR((AK101-1))-YEAR(AH101))+MONTH((AK101-1))-MONTH(AH101)-IF(DAY((AK101-1))&lt;MIN(DAY(AH101),DAY(EOMONTH((AK101-1),0))),1,0))))</f>
        <v/>
      </c>
      <c r="BG101" s="19" t="str">
        <f aca="false">IF(AG101=0,"",IF(OR(AI101&lt;3,AL101&gt;EOMONTH(AsOfDate,-1)),BE101,IF((AL101-1)&lt;AH101,-1,12*(YEAR((AL101-1))-YEAR(AH101))+MONTH((AL101-1))-MONTH(AH101)-IF(DAY((AL101-1))&lt;MIN(DAY(AH101),DAY(EOMONTH((AL101-1),0))),1,0))))</f>
        <v/>
      </c>
      <c r="BH101" s="19" t="str">
        <f aca="false">IF(AG101=0,"",IF(AP101="FT",IF(BF101&lt;FT_First,0,IF(BF101&lt;FT_Y5,1+INT((BF101-FT_First)/FT_Int1),FT_PreY5+FT_PerYear*INT((BF101-FT_Y5)/12)+FT_AnnivDays+INT(MOD(BF101-FT_Y5,12)/FT_Int2))),IF(AP101="PT",IF(BF101&lt;PT_First,0,1+INT((BF101-PT_First)/PT_Int)),0))+IF(AND(AI101&gt;=2,AK101&lt;=EOMONTH(AsOfDate,-1)),IF(AQ101="FT",IF(BG101&lt;FT_First,0,IF(BG101&lt;FT_Y5,1+INT((BG101-FT_First)/FT_Int1),FT_PreY5+FT_PerYear*INT((BG101-FT_Y5)/12)+FT_AnnivDays+INT(MOD(BG101-FT_Y5,12)/FT_Int2))),IF(AQ101="PT",IF(BG101&lt;PT_First,0,1+INT((BG101-PT_First)/PT_Int)),0))-IF(AQ101="FT",IF(BF101&lt;FT_First,0,IF(BF101&lt;FT_Y5,1+INT((BF101-FT_First)/FT_Int1),FT_PreY5+FT_PerYear*INT((BF101-FT_Y5)/12)+FT_AnnivDays+INT(MOD(BF101-FT_Y5,12)/FT_Int2))),IF(AQ101="PT",IF(BF101&lt;PT_First,0,1+INT((BF101-PT_First)/PT_Int)),0)),0)+IF(AND(AI101&gt;=3,AL101&lt;=EOMONTH(AsOfDate,-1)),IF(AR101="FT",IF(BE101&lt;FT_First,0,IF(BE101&lt;FT_Y5,1+INT((BE101-FT_First)/FT_Int1),FT_PreY5+FT_PerYear*INT((BE101-FT_Y5)/12)+FT_AnnivDays+INT(MOD(BE101-FT_Y5,12)/FT_Int2))),IF(AR101="PT",IF(BE101&lt;PT_First,0,1+INT((BE101-PT_First)/PT_Int)),0))-IF(AR101="FT",IF(BG101&lt;FT_First,0,IF(BG101&lt;FT_Y5,1+INT((BG101-FT_First)/FT_Int1),FT_PreY5+FT_PerYear*INT((BG101-FT_Y5)/12)+FT_AnnivDays+INT(MOD(BG101-FT_Y5,12)/FT_Int2))),IF(AR101="PT",IF(BG101&lt;PT_First,0,1+INT((BG101-PT_First)/PT_Int)),0)),0))</f>
        <v/>
      </c>
      <c r="BI101" s="19" t="str">
        <f aca="false">IF(AG101=0,"",IF(AS101="FT",IF(AT101&lt;FT_First,"",IF(AT101&lt;FT_Y5,FT_First+FT_Int1*INT((AT101-FT_First)/FT_Int1),FT_Y5+FT_Int2*INT((AT101-FT_Y5)/FT_Int2))),IF(AS101="PT",IF(AT101&lt;PT_First,"",PT_First+PT_Int*INT((AT101-PT_First)/PT_Int)),"")))</f>
        <v/>
      </c>
      <c r="BJ101" s="0" t="str">
        <f aca="false">IF(LEN($A101&amp;$B101)=0,"",$A101&amp;" "&amp;$B101)</f>
        <v/>
      </c>
    </row>
    <row r="102" customFormat="false" ht="15" hidden="false" customHeight="false" outlineLevel="0" collapsed="false">
      <c r="A102" s="15"/>
      <c r="B102" s="15"/>
      <c r="C102" s="15"/>
      <c r="D102" s="16"/>
      <c r="E102" s="17" t="str">
        <f aca="false">IF(OR(AG102=0,$D102=""),"",DATE(YEAR(AsOfDate)+IF(DATE(YEAR(AsOfDate),MONTH($D102),DAY($D102))&lt;=AsOfDate,1,0),MONTH($D102),DAY($D102)))</f>
        <v/>
      </c>
      <c r="F102" s="16"/>
      <c r="G102" s="16"/>
      <c r="H102" s="16"/>
      <c r="I102" s="16"/>
      <c r="J102" s="16"/>
      <c r="K102" s="17" t="str">
        <f aca="false">IF(AG102=0,"",DATE(YEAR(AsOfDate)+IF(DATE(YEAR(AsOfDate),MONTH(AH102),DAY(AH102))&lt;=AsOfDate,1,0),MONTH(AH102),DAY(AH102)))</f>
        <v/>
      </c>
      <c r="L102" s="18" t="str">
        <f aca="false">IF(AG102=0,"",ROUND((AsOfDate-AH102)/365.25,1))</f>
        <v/>
      </c>
      <c r="M102" s="19" t="str">
        <f aca="false">IF(AG102=0,"",IF(AsOfDate&lt;AH102,"-",DATEDIF(AH102,AsOfDate,"y")&amp;"y "&amp;DATEDIF(AH102,AsOfDate,"ym")&amp;"m "&amp;DATEDIF(AH102,AsOfDate,"md")&amp;"d"))</f>
        <v/>
      </c>
      <c r="N102" s="20" t="str">
        <f aca="false">IF(AG102=0,"",O102*HoursPerDay)</f>
        <v/>
      </c>
      <c r="O102" s="20" t="str">
        <f aca="false">IF(AG102=0,"",AZ102)</f>
        <v/>
      </c>
      <c r="P102" s="21"/>
      <c r="Q102" s="19"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19"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7" t="str">
        <f aca="false">IF(AG102=0,"",IF(AS102="None","",EDATE(AH102,BB102)))</f>
        <v/>
      </c>
      <c r="T102" s="20" t="str">
        <f aca="false">IF(AG102=0,"",IF(NOT(LH_Ready),"",IF(AH102&gt;PFYDate,0,IF(LH_ColPeriod=0,W102-U102+V102,SUMIFS(INDEX(LH_Data,0,LH_ColAcc),INDEX(LH_Data,0,LH_ColFirst),$A102,INDEX(LH_Data,0,LH_ColSur),$B102,INDEX(LH_Data,0,LH_ColCat),BonusCat,INDEX(LH_Data,0,LH_ColPeriod),LH_OpenLabel)*UnitFactor))))</f>
        <v/>
      </c>
      <c r="U102" s="20" t="str">
        <f aca="false">IF(AG102=0,"",IF(NOT(LH_Ready),"",SUMIFS(INDEX(LH_Data,0,LH_ColAcc),INDEX(LH_Data,0,LH_ColFirst),$A102,INDEX(LH_Data,0,LH_ColSur),$B102,INDEX(LH_Data,0,LH_ColCat),BonusCat,INDEX(LH_Data,0,LH_ColStart),"&gt;="&amp;AH102)*UnitFactor))</f>
        <v/>
      </c>
      <c r="V102" s="20" t="str">
        <f aca="false">IF(AG102=0,"",IF(NOT(LH_Ready),"",SUMIFS(INDEX(LH_Data,0,LH_ColTaken),INDEX(LH_Data,0,LH_ColFirst),$A102,INDEX(LH_Data,0,LH_ColSur),$B102,INDEX(LH_Data,0,LH_ColCat),BonusCat,INDEX(LH_Data,0,LH_ColStart),"&gt;="&amp;AH102)*UnitFactor))</f>
        <v/>
      </c>
      <c r="W102" s="20" t="str">
        <f aca="false">IF(AG102=0,"",IF(NOT(LH_Ready),"",IF(BD102=0,0,INDEX(INDEX(LH_Data,0,LH_ColClose),BD102-1)*UnitFactor)))</f>
        <v/>
      </c>
      <c r="X102" s="20" t="str">
        <f aca="false">IF(AG102=0,"",(AZ102-BA102)*HoursPerDay)</f>
        <v/>
      </c>
      <c r="Y102" s="20" t="str">
        <f aca="false">IF(AG102=0,"",IF(NOT(LH_Ready),"",IF(BC102=0,N102,IF(PFYDate&lt;$F102,N102-N(T102)-N(U102),X102-N(U102)))))</f>
        <v/>
      </c>
      <c r="Z102" s="19" t="str">
        <f aca="false">IF(OR(AG102=0,Y102=""),"",IF(Y102&gt;0,"Yes","No"))</f>
        <v/>
      </c>
      <c r="AA102" s="19"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20" t="str">
        <f aca="false">IF(OR(AG102=0,T102=""),"",BA102*HoursPerDay-T102)</f>
        <v/>
      </c>
      <c r="AC102" s="19" t="str">
        <f aca="false">IF(AG102=0,"",BC102)</f>
        <v/>
      </c>
      <c r="AD102" s="19"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20" t="str">
        <f aca="false">IF(AG102=0,"",O102-BH102)</f>
        <v/>
      </c>
      <c r="AF102" s="17" t="str">
        <f aca="false">IF(OR(AG102=0,AE102="",N(AE102)=0,BI102=""),"",EDATE(AH102,BI102))</f>
        <v/>
      </c>
      <c r="AG102" s="19" t="n">
        <f aca="false">IF(OR(LEN($A102&amp;$B102)=0,$F102=""),0,1)</f>
        <v>0</v>
      </c>
      <c r="AH102" s="17" t="str">
        <f aca="false">IF(AG102=0,"",IF($J102&lt;&gt;"",$J102,IF(OR(CasualCounts="Yes",COUNT($G102:$I102)=0,COUNT($H102:$I102)=0),$F102,MIN($H102:$I102))))</f>
        <v/>
      </c>
      <c r="AI102" s="19" t="str">
        <f aca="false">IF(AG102=0,"",COUNT($G102:$I102))</f>
        <v/>
      </c>
      <c r="AJ102" s="17" t="str">
        <f aca="false">IF(AG102=0,"",IFERROR(SMALL($G102:$I102,1),""))</f>
        <v/>
      </c>
      <c r="AK102" s="17" t="str">
        <f aca="false">IF(AG102=0,"",IFERROR(SMALL($G102:$I102,2),""))</f>
        <v/>
      </c>
      <c r="AL102" s="17" t="str">
        <f aca="false">IF(AG102=0,"",IFERROR(SMALL($G102:$I102,3),""))</f>
        <v/>
      </c>
      <c r="AM102" s="19" t="str">
        <f aca="false">IF(AG102=0,"",IF(AJ102="","",IF(AJ102=$H102,"Part-Time",IF(AJ102=$I102,"Full-Time","Casual"))))</f>
        <v/>
      </c>
      <c r="AN102" s="19" t="str">
        <f aca="false">IF(AG102=0,"",IF(AK102="","",IF(AK102=$H102,"Part-Time",IF(AK102=$I102,"Full-Time","Casual"))))</f>
        <v/>
      </c>
      <c r="AO102" s="19" t="str">
        <f aca="false">IF(AG102=0,"",IF(AL102="","",IF(AL102=$H102,"Part-Time",IF(AL102=$I102,"Full-Time","Casual"))))</f>
        <v/>
      </c>
      <c r="AP102" s="19"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19" t="str">
        <f aca="false">IF(AG102=0,"",IF(AI102&lt;2,"",IF(OR(ISNUMBER(SEARCH("full",AN102)),UPPER(TRIM(AN102))="FT",UPPER(TRIM(AN102))="FTE"),"FT",IF(AND(OR(ISNUMBER(SEARCH("part",AN102)),UPPER(TRIM(AN102))="PT",UPPER(TRIM(AN102))="PTE"),OR($P102="",N($P102)&gt;=PT_MinHours)),"PT","None"))))</f>
        <v/>
      </c>
      <c r="AR102" s="19" t="str">
        <f aca="false">IF(AG102=0,"",IF(AI102&lt;3,"",IF(OR(ISNUMBER(SEARCH("full",AO102)),UPPER(TRIM(AO102))="FT",UPPER(TRIM(AO102))="FTE"),"FT",IF(AND(OR(ISNUMBER(SEARCH("part",AO102)),UPPER(TRIM(AO102))="PT",UPPER(TRIM(AO102))="PTE"),OR($P102="",N($P102)&gt;=PT_MinHours)),"PT","None"))))</f>
        <v/>
      </c>
      <c r="AS102" s="19" t="str">
        <f aca="false">IF(AG102=0,"",IF(AND(AI102&gt;=3,AL102&lt;=AsOfDate),AR102,IF(AND(AI102&gt;=2,AK102&lt;=AsOfDate),AQ102,AP102)))</f>
        <v/>
      </c>
      <c r="AT102" s="19" t="str">
        <f aca="false">IF(AG102=0,"",IF(AsOfDate&lt;AH102,-1,12*(YEAR(AsOfDate)-YEAR(AH102))+MONTH(AsOfDate)-MONTH(AH102)-IF(DAY(AsOfDate)&lt;MIN(DAY(AH102),DAY(EOMONTH(AsOfDate,0))),1,0)))</f>
        <v/>
      </c>
      <c r="AU102" s="19" t="str">
        <f aca="false">IF(AG102=0,"",IF(OR(AI102&lt;2,AK102&gt;AsOfDate),AT102,IF((AK102-1)&lt;AH102,-1,12*(YEAR((AK102-1))-YEAR(AH102))+MONTH((AK102-1))-MONTH(AH102)-IF(DAY((AK102-1))&lt;MIN(DAY(AH102),DAY(EOMONTH((AK102-1),0))),1,0))))</f>
        <v/>
      </c>
      <c r="AV102" s="19" t="str">
        <f aca="false">IF(AG102=0,"",IF(OR(AI102&lt;3,AL102&gt;AsOfDate),AT102,IF((AL102-1)&lt;AH102,-1,12*(YEAR((AL102-1))-YEAR(AH102))+MONTH((AL102-1))-MONTH(AH102)-IF(DAY((AL102-1))&lt;MIN(DAY(AH102),DAY(EOMONTH((AL102-1),0))),1,0))))</f>
        <v/>
      </c>
      <c r="AW102" s="19" t="str">
        <f aca="false">IF(AG102=0,"",IF(PFYDate&lt;AH102,-1,12*(YEAR(PFYDate)-YEAR(AH102))+MONTH(PFYDate)-MONTH(AH102)-IF(DAY(PFYDate)&lt;MIN(DAY(AH102),DAY(EOMONTH(PFYDate,0))),1,0)))</f>
        <v/>
      </c>
      <c r="AX102" s="19" t="str">
        <f aca="false">IF(AG102=0,"",IF(OR(AI102&lt;2,AK102&gt;PFYDate),AW102,IF((AK102-1)&lt;AH102,-1,12*(YEAR((AK102-1))-YEAR(AH102))+MONTH((AK102-1))-MONTH(AH102)-IF(DAY((AK102-1))&lt;MIN(DAY(AH102),DAY(EOMONTH((AK102-1),0))),1,0))))</f>
        <v/>
      </c>
      <c r="AY102" s="19" t="str">
        <f aca="false">IF(AG102=0,"",IF(OR(AI102&lt;3,AL102&gt;PFYDate),AW102,IF((AL102-1)&lt;AH102,-1,12*(YEAR((AL102-1))-YEAR(AH102))+MONTH((AL102-1))-MONTH(AH102)-IF(DAY((AL102-1))&lt;MIN(DAY(AH102),DAY(EOMONTH((AL102-1),0))),1,0))))</f>
        <v/>
      </c>
      <c r="AZ102" s="19" t="str">
        <f aca="false">IF(AG102=0,"",IF(AP102="FT",IF(AU102&lt;FT_First,0,IF(AU102&lt;FT_Y5,1+INT((AU102-FT_First)/FT_Int1),FT_PreY5+FT_PerYear*INT((AU102-FT_Y5)/12)+FT_AnnivDays+INT(MOD(AU102-FT_Y5,12)/FT_Int2))),IF(AP102="PT",IF(AU102&lt;PT_First,0,1+INT((AU102-PT_First)/PT_Int)),0))+IF(AND(AI102&gt;=2,AK102&lt;=AsOfDate),IF(AQ102="FT",IF(AV102&lt;FT_First,0,IF(AV102&lt;FT_Y5,1+INT((AV102-FT_First)/FT_Int1),FT_PreY5+FT_PerYear*INT((AV102-FT_Y5)/12)+FT_AnnivDays+INT(MOD(AV102-FT_Y5,12)/FT_Int2))),IF(AQ102="PT",IF(AV102&lt;PT_First,0,1+INT((AV102-PT_First)/PT_Int)),0))-IF(AQ102="FT",IF(AU102&lt;FT_First,0,IF(AU102&lt;FT_Y5,1+INT((AU102-FT_First)/FT_Int1),FT_PreY5+FT_PerYear*INT((AU102-FT_Y5)/12)+FT_AnnivDays+INT(MOD(AU102-FT_Y5,12)/FT_Int2))),IF(AQ102="PT",IF(AU102&lt;PT_First,0,1+INT((AU102-PT_First)/PT_Int)),0)),0)+IF(AND(AI102&gt;=3,AL102&lt;=AsOfDate),IF(AR102="FT",IF(AT102&lt;FT_First,0,IF(AT102&lt;FT_Y5,1+INT((AT102-FT_First)/FT_Int1),FT_PreY5+FT_PerYear*INT((AT102-FT_Y5)/12)+FT_AnnivDays+INT(MOD(AT102-FT_Y5,12)/FT_Int2))),IF(AR102="PT",IF(AT102&lt;PT_First,0,1+INT((AT102-PT_First)/PT_Int)),0))-IF(AR102="FT",IF(AV102&lt;FT_First,0,IF(AV102&lt;FT_Y5,1+INT((AV102-FT_First)/FT_Int1),FT_PreY5+FT_PerYear*INT((AV102-FT_Y5)/12)+FT_AnnivDays+INT(MOD(AV102-FT_Y5,12)/FT_Int2))),IF(AR102="PT",IF(AV102&lt;PT_First,0,1+INT((AV102-PT_First)/PT_Int)),0)),0))</f>
        <v/>
      </c>
      <c r="BA102" s="19" t="str">
        <f aca="false">IF(AG102=0,"",IF(AP102="FT",IF(AX102&lt;FT_First,0,IF(AX102&lt;FT_Y5,1+INT((AX102-FT_First)/FT_Int1),FT_PreY5+FT_PerYear*INT((AX102-FT_Y5)/12)+FT_AnnivDays+INT(MOD(AX102-FT_Y5,12)/FT_Int2))),IF(AP102="PT",IF(AX102&lt;PT_First,0,1+INT((AX102-PT_First)/PT_Int)),0))+IF(AND(AI102&gt;=2,AK102&lt;=PFYDate),IF(AQ102="FT",IF(AY102&lt;FT_First,0,IF(AY102&lt;FT_Y5,1+INT((AY102-FT_First)/FT_Int1),FT_PreY5+FT_PerYear*INT((AY102-FT_Y5)/12)+FT_AnnivDays+INT(MOD(AY102-FT_Y5,12)/FT_Int2))),IF(AQ102="PT",IF(AY102&lt;PT_First,0,1+INT((AY102-PT_First)/PT_Int)),0))-IF(AQ102="FT",IF(AX102&lt;FT_First,0,IF(AX102&lt;FT_Y5,1+INT((AX102-FT_First)/FT_Int1),FT_PreY5+FT_PerYear*INT((AX102-FT_Y5)/12)+FT_AnnivDays+INT(MOD(AX102-FT_Y5,12)/FT_Int2))),IF(AQ102="PT",IF(AX102&lt;PT_First,0,1+INT((AX102-PT_First)/PT_Int)),0)),0)+IF(AND(AI102&gt;=3,AL102&lt;=PFYDate),IF(AR102="FT",IF(AW102&lt;FT_First,0,IF(AW102&lt;FT_Y5,1+INT((AW102-FT_First)/FT_Int1),FT_PreY5+FT_PerYear*INT((AW102-FT_Y5)/12)+FT_AnnivDays+INT(MOD(AW102-FT_Y5,12)/FT_Int2))),IF(AR102="PT",IF(AW102&lt;PT_First,0,1+INT((AW102-PT_First)/PT_Int)),0))-IF(AR102="FT",IF(AY102&lt;FT_First,0,IF(AY102&lt;FT_Y5,1+INT((AY102-FT_First)/FT_Int1),FT_PreY5+FT_PerYear*INT((AY102-FT_Y5)/12)+FT_AnnivDays+INT(MOD(AY102-FT_Y5,12)/FT_Int2))),IF(AR102="PT",IF(AY102&lt;PT_First,0,1+INT((AY102-PT_First)/PT_Int)),0)),0))</f>
        <v/>
      </c>
      <c r="BB102" s="19" t="str">
        <f aca="false">IF(AG102=0,"",IF(AS102="FT",IF(AT102&lt;FT_First,FT_First,IF(AT102&lt;FT_Y5,MIN(FT_Y5,FT_First+FT_Int1*(INT((AT102-FT_First)/FT_Int1)+1)),FT_Y5+12*INT((AT102-FT_Y5)/12)+FT_Int2*(INT(MOD(AT102-FT_Y5,12)/FT_Int2)+1))),IF(AS102="PT",IF(AT102&lt;PT_First,PT_First,PT_First+PT_Int*(INT((AT102-PT_First)/PT_Int)+1)),"")))</f>
        <v/>
      </c>
      <c r="BC102" s="19" t="str">
        <f aca="false">IF(AG102=0,"",IF(NOT(LH_Ready),0,COUNTIFS(INDEX(LH_Data,0,LH_ColFirst),$A102,INDEX(LH_Data,0,LH_ColSur),$B102,INDEX(LH_Data,0,LH_ColCat),BonusCat)))</f>
        <v/>
      </c>
      <c r="BD102" s="19" t="str">
        <f aca="false">IF(AG102=0,"",IF(OR(NOT(LH_Ready),BC102=0),0,SUMPRODUCT(MAX((INDEX(LH_Data,0,LH_ColFirst)=$A102)*(INDEX(LH_Data,0,LH_ColSur)=$B102)*(INDEX(LH_Data,0,LH_ColCat)=BonusCat)*ROW(LH_Data)))))</f>
        <v/>
      </c>
      <c r="BE102" s="19" t="str">
        <f aca="false">IF(AG102=0,"",IF(EOMONTH(AsOfDate,-1)&lt;AH102,-1,12*(YEAR(EOMONTH(AsOfDate,-1))-YEAR(AH102))+MONTH(EOMONTH(AsOfDate,-1))-MONTH(AH102)-IF(DAY(EOMONTH(AsOfDate,-1))&lt;MIN(DAY(AH102),DAY(EOMONTH(EOMONTH(AsOfDate,-1),0))),1,0)))</f>
        <v/>
      </c>
      <c r="BF102" s="19" t="str">
        <f aca="false">IF(AG102=0,"",IF(OR(AI102&lt;2,AK102&gt;EOMONTH(AsOfDate,-1)),BE102,IF((AK102-1)&lt;AH102,-1,12*(YEAR((AK102-1))-YEAR(AH102))+MONTH((AK102-1))-MONTH(AH102)-IF(DAY((AK102-1))&lt;MIN(DAY(AH102),DAY(EOMONTH((AK102-1),0))),1,0))))</f>
        <v/>
      </c>
      <c r="BG102" s="19" t="str">
        <f aca="false">IF(AG102=0,"",IF(OR(AI102&lt;3,AL102&gt;EOMONTH(AsOfDate,-1)),BE102,IF((AL102-1)&lt;AH102,-1,12*(YEAR((AL102-1))-YEAR(AH102))+MONTH((AL102-1))-MONTH(AH102)-IF(DAY((AL102-1))&lt;MIN(DAY(AH102),DAY(EOMONTH((AL102-1),0))),1,0))))</f>
        <v/>
      </c>
      <c r="BH102" s="19" t="str">
        <f aca="false">IF(AG102=0,"",IF(AP102="FT",IF(BF102&lt;FT_First,0,IF(BF102&lt;FT_Y5,1+INT((BF102-FT_First)/FT_Int1),FT_PreY5+FT_PerYear*INT((BF102-FT_Y5)/12)+FT_AnnivDays+INT(MOD(BF102-FT_Y5,12)/FT_Int2))),IF(AP102="PT",IF(BF102&lt;PT_First,0,1+INT((BF102-PT_First)/PT_Int)),0))+IF(AND(AI102&gt;=2,AK102&lt;=EOMONTH(AsOfDate,-1)),IF(AQ102="FT",IF(BG102&lt;FT_First,0,IF(BG102&lt;FT_Y5,1+INT((BG102-FT_First)/FT_Int1),FT_PreY5+FT_PerYear*INT((BG102-FT_Y5)/12)+FT_AnnivDays+INT(MOD(BG102-FT_Y5,12)/FT_Int2))),IF(AQ102="PT",IF(BG102&lt;PT_First,0,1+INT((BG102-PT_First)/PT_Int)),0))-IF(AQ102="FT",IF(BF102&lt;FT_First,0,IF(BF102&lt;FT_Y5,1+INT((BF102-FT_First)/FT_Int1),FT_PreY5+FT_PerYear*INT((BF102-FT_Y5)/12)+FT_AnnivDays+INT(MOD(BF102-FT_Y5,12)/FT_Int2))),IF(AQ102="PT",IF(BF102&lt;PT_First,0,1+INT((BF102-PT_First)/PT_Int)),0)),0)+IF(AND(AI102&gt;=3,AL102&lt;=EOMONTH(AsOfDate,-1)),IF(AR102="FT",IF(BE102&lt;FT_First,0,IF(BE102&lt;FT_Y5,1+INT((BE102-FT_First)/FT_Int1),FT_PreY5+FT_PerYear*INT((BE102-FT_Y5)/12)+FT_AnnivDays+INT(MOD(BE102-FT_Y5,12)/FT_Int2))),IF(AR102="PT",IF(BE102&lt;PT_First,0,1+INT((BE102-PT_First)/PT_Int)),0))-IF(AR102="FT",IF(BG102&lt;FT_First,0,IF(BG102&lt;FT_Y5,1+INT((BG102-FT_First)/FT_Int1),FT_PreY5+FT_PerYear*INT((BG102-FT_Y5)/12)+FT_AnnivDays+INT(MOD(BG102-FT_Y5,12)/FT_Int2))),IF(AR102="PT",IF(BG102&lt;PT_First,0,1+INT((BG102-PT_First)/PT_Int)),0)),0))</f>
        <v/>
      </c>
      <c r="BI102" s="19" t="str">
        <f aca="false">IF(AG102=0,"",IF(AS102="FT",IF(AT102&lt;FT_First,"",IF(AT102&lt;FT_Y5,FT_First+FT_Int1*INT((AT102-FT_First)/FT_Int1),FT_Y5+FT_Int2*INT((AT102-FT_Y5)/FT_Int2))),IF(AS102="PT",IF(AT102&lt;PT_First,"",PT_First+PT_Int*INT((AT102-PT_First)/PT_Int)),"")))</f>
        <v/>
      </c>
      <c r="BJ102" s="0" t="str">
        <f aca="false">IF(LEN($A102&amp;$B102)=0,"",$A102&amp;" "&amp;$B102)</f>
        <v/>
      </c>
    </row>
    <row r="103" customFormat="false" ht="15" hidden="false" customHeight="false" outlineLevel="0" collapsed="false">
      <c r="A103" s="15"/>
      <c r="B103" s="15"/>
      <c r="C103" s="15"/>
      <c r="D103" s="16"/>
      <c r="E103" s="17" t="str">
        <f aca="false">IF(OR(AG103=0,$D103=""),"",DATE(YEAR(AsOfDate)+IF(DATE(YEAR(AsOfDate),MONTH($D103),DAY($D103))&lt;=AsOfDate,1,0),MONTH($D103),DAY($D103)))</f>
        <v/>
      </c>
      <c r="F103" s="16"/>
      <c r="G103" s="16"/>
      <c r="H103" s="16"/>
      <c r="I103" s="16"/>
      <c r="J103" s="16"/>
      <c r="K103" s="17" t="str">
        <f aca="false">IF(AG103=0,"",DATE(YEAR(AsOfDate)+IF(DATE(YEAR(AsOfDate),MONTH(AH103),DAY(AH103))&lt;=AsOfDate,1,0),MONTH(AH103),DAY(AH103)))</f>
        <v/>
      </c>
      <c r="L103" s="18" t="str">
        <f aca="false">IF(AG103=0,"",ROUND((AsOfDate-AH103)/365.25,1))</f>
        <v/>
      </c>
      <c r="M103" s="19" t="str">
        <f aca="false">IF(AG103=0,"",IF(AsOfDate&lt;AH103,"-",DATEDIF(AH103,AsOfDate,"y")&amp;"y "&amp;DATEDIF(AH103,AsOfDate,"ym")&amp;"m "&amp;DATEDIF(AH103,AsOfDate,"md")&amp;"d"))</f>
        <v/>
      </c>
      <c r="N103" s="20" t="str">
        <f aca="false">IF(AG103=0,"",O103*HoursPerDay)</f>
        <v/>
      </c>
      <c r="O103" s="20" t="str">
        <f aca="false">IF(AG103=0,"",AZ103)</f>
        <v/>
      </c>
      <c r="P103" s="21"/>
      <c r="Q103" s="19"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19"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7" t="str">
        <f aca="false">IF(AG103=0,"",IF(AS103="None","",EDATE(AH103,BB103)))</f>
        <v/>
      </c>
      <c r="T103" s="20" t="str">
        <f aca="false">IF(AG103=0,"",IF(NOT(LH_Ready),"",IF(AH103&gt;PFYDate,0,IF(LH_ColPeriod=0,W103-U103+V103,SUMIFS(INDEX(LH_Data,0,LH_ColAcc),INDEX(LH_Data,0,LH_ColFirst),$A103,INDEX(LH_Data,0,LH_ColSur),$B103,INDEX(LH_Data,0,LH_ColCat),BonusCat,INDEX(LH_Data,0,LH_ColPeriod),LH_OpenLabel)*UnitFactor))))</f>
        <v/>
      </c>
      <c r="U103" s="20" t="str">
        <f aca="false">IF(AG103=0,"",IF(NOT(LH_Ready),"",SUMIFS(INDEX(LH_Data,0,LH_ColAcc),INDEX(LH_Data,0,LH_ColFirst),$A103,INDEX(LH_Data,0,LH_ColSur),$B103,INDEX(LH_Data,0,LH_ColCat),BonusCat,INDEX(LH_Data,0,LH_ColStart),"&gt;="&amp;AH103)*UnitFactor))</f>
        <v/>
      </c>
      <c r="V103" s="20" t="str">
        <f aca="false">IF(AG103=0,"",IF(NOT(LH_Ready),"",SUMIFS(INDEX(LH_Data,0,LH_ColTaken),INDEX(LH_Data,0,LH_ColFirst),$A103,INDEX(LH_Data,0,LH_ColSur),$B103,INDEX(LH_Data,0,LH_ColCat),BonusCat,INDEX(LH_Data,0,LH_ColStart),"&gt;="&amp;AH103)*UnitFactor))</f>
        <v/>
      </c>
      <c r="W103" s="20" t="str">
        <f aca="false">IF(AG103=0,"",IF(NOT(LH_Ready),"",IF(BD103=0,0,INDEX(INDEX(LH_Data,0,LH_ColClose),BD103-1)*UnitFactor)))</f>
        <v/>
      </c>
      <c r="X103" s="20" t="str">
        <f aca="false">IF(AG103=0,"",(AZ103-BA103)*HoursPerDay)</f>
        <v/>
      </c>
      <c r="Y103" s="20" t="str">
        <f aca="false">IF(AG103=0,"",IF(NOT(LH_Ready),"",IF(BC103=0,N103,IF(PFYDate&lt;$F103,N103-N(T103)-N(U103),X103-N(U103)))))</f>
        <v/>
      </c>
      <c r="Z103" s="19" t="str">
        <f aca="false">IF(OR(AG103=0,Y103=""),"",IF(Y103&gt;0,"Yes","No"))</f>
        <v/>
      </c>
      <c r="AA103" s="19"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20" t="str">
        <f aca="false">IF(OR(AG103=0,T103=""),"",BA103*HoursPerDay-T103)</f>
        <v/>
      </c>
      <c r="AC103" s="19" t="str">
        <f aca="false">IF(AG103=0,"",BC103)</f>
        <v/>
      </c>
      <c r="AD103" s="19"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20" t="str">
        <f aca="false">IF(AG103=0,"",O103-BH103)</f>
        <v/>
      </c>
      <c r="AF103" s="17" t="str">
        <f aca="false">IF(OR(AG103=0,AE103="",N(AE103)=0,BI103=""),"",EDATE(AH103,BI103))</f>
        <v/>
      </c>
      <c r="AG103" s="19" t="n">
        <f aca="false">IF(OR(LEN($A103&amp;$B103)=0,$F103=""),0,1)</f>
        <v>0</v>
      </c>
      <c r="AH103" s="17" t="str">
        <f aca="false">IF(AG103=0,"",IF($J103&lt;&gt;"",$J103,IF(OR(CasualCounts="Yes",COUNT($G103:$I103)=0,COUNT($H103:$I103)=0),$F103,MIN($H103:$I103))))</f>
        <v/>
      </c>
      <c r="AI103" s="19" t="str">
        <f aca="false">IF(AG103=0,"",COUNT($G103:$I103))</f>
        <v/>
      </c>
      <c r="AJ103" s="17" t="str">
        <f aca="false">IF(AG103=0,"",IFERROR(SMALL($G103:$I103,1),""))</f>
        <v/>
      </c>
      <c r="AK103" s="17" t="str">
        <f aca="false">IF(AG103=0,"",IFERROR(SMALL($G103:$I103,2),""))</f>
        <v/>
      </c>
      <c r="AL103" s="17" t="str">
        <f aca="false">IF(AG103=0,"",IFERROR(SMALL($G103:$I103,3),""))</f>
        <v/>
      </c>
      <c r="AM103" s="19" t="str">
        <f aca="false">IF(AG103=0,"",IF(AJ103="","",IF(AJ103=$H103,"Part-Time",IF(AJ103=$I103,"Full-Time","Casual"))))</f>
        <v/>
      </c>
      <c r="AN103" s="19" t="str">
        <f aca="false">IF(AG103=0,"",IF(AK103="","",IF(AK103=$H103,"Part-Time",IF(AK103=$I103,"Full-Time","Casual"))))</f>
        <v/>
      </c>
      <c r="AO103" s="19" t="str">
        <f aca="false">IF(AG103=0,"",IF(AL103="","",IF(AL103=$H103,"Part-Time",IF(AL103=$I103,"Full-Time","Casual"))))</f>
        <v/>
      </c>
      <c r="AP103" s="19"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19" t="str">
        <f aca="false">IF(AG103=0,"",IF(AI103&lt;2,"",IF(OR(ISNUMBER(SEARCH("full",AN103)),UPPER(TRIM(AN103))="FT",UPPER(TRIM(AN103))="FTE"),"FT",IF(AND(OR(ISNUMBER(SEARCH("part",AN103)),UPPER(TRIM(AN103))="PT",UPPER(TRIM(AN103))="PTE"),OR($P103="",N($P103)&gt;=PT_MinHours)),"PT","None"))))</f>
        <v/>
      </c>
      <c r="AR103" s="19" t="str">
        <f aca="false">IF(AG103=0,"",IF(AI103&lt;3,"",IF(OR(ISNUMBER(SEARCH("full",AO103)),UPPER(TRIM(AO103))="FT",UPPER(TRIM(AO103))="FTE"),"FT",IF(AND(OR(ISNUMBER(SEARCH("part",AO103)),UPPER(TRIM(AO103))="PT",UPPER(TRIM(AO103))="PTE"),OR($P103="",N($P103)&gt;=PT_MinHours)),"PT","None"))))</f>
        <v/>
      </c>
      <c r="AS103" s="19" t="str">
        <f aca="false">IF(AG103=0,"",IF(AND(AI103&gt;=3,AL103&lt;=AsOfDate),AR103,IF(AND(AI103&gt;=2,AK103&lt;=AsOfDate),AQ103,AP103)))</f>
        <v/>
      </c>
      <c r="AT103" s="19" t="str">
        <f aca="false">IF(AG103=0,"",IF(AsOfDate&lt;AH103,-1,12*(YEAR(AsOfDate)-YEAR(AH103))+MONTH(AsOfDate)-MONTH(AH103)-IF(DAY(AsOfDate)&lt;MIN(DAY(AH103),DAY(EOMONTH(AsOfDate,0))),1,0)))</f>
        <v/>
      </c>
      <c r="AU103" s="19" t="str">
        <f aca="false">IF(AG103=0,"",IF(OR(AI103&lt;2,AK103&gt;AsOfDate),AT103,IF((AK103-1)&lt;AH103,-1,12*(YEAR((AK103-1))-YEAR(AH103))+MONTH((AK103-1))-MONTH(AH103)-IF(DAY((AK103-1))&lt;MIN(DAY(AH103),DAY(EOMONTH((AK103-1),0))),1,0))))</f>
        <v/>
      </c>
      <c r="AV103" s="19" t="str">
        <f aca="false">IF(AG103=0,"",IF(OR(AI103&lt;3,AL103&gt;AsOfDate),AT103,IF((AL103-1)&lt;AH103,-1,12*(YEAR((AL103-1))-YEAR(AH103))+MONTH((AL103-1))-MONTH(AH103)-IF(DAY((AL103-1))&lt;MIN(DAY(AH103),DAY(EOMONTH((AL103-1),0))),1,0))))</f>
        <v/>
      </c>
      <c r="AW103" s="19" t="str">
        <f aca="false">IF(AG103=0,"",IF(PFYDate&lt;AH103,-1,12*(YEAR(PFYDate)-YEAR(AH103))+MONTH(PFYDate)-MONTH(AH103)-IF(DAY(PFYDate)&lt;MIN(DAY(AH103),DAY(EOMONTH(PFYDate,0))),1,0)))</f>
        <v/>
      </c>
      <c r="AX103" s="19" t="str">
        <f aca="false">IF(AG103=0,"",IF(OR(AI103&lt;2,AK103&gt;PFYDate),AW103,IF((AK103-1)&lt;AH103,-1,12*(YEAR((AK103-1))-YEAR(AH103))+MONTH((AK103-1))-MONTH(AH103)-IF(DAY((AK103-1))&lt;MIN(DAY(AH103),DAY(EOMONTH((AK103-1),0))),1,0))))</f>
        <v/>
      </c>
      <c r="AY103" s="19" t="str">
        <f aca="false">IF(AG103=0,"",IF(OR(AI103&lt;3,AL103&gt;PFYDate),AW103,IF((AL103-1)&lt;AH103,-1,12*(YEAR((AL103-1))-YEAR(AH103))+MONTH((AL103-1))-MONTH(AH103)-IF(DAY((AL103-1))&lt;MIN(DAY(AH103),DAY(EOMONTH((AL103-1),0))),1,0))))</f>
        <v/>
      </c>
      <c r="AZ103" s="19" t="str">
        <f aca="false">IF(AG103=0,"",IF(AP103="FT",IF(AU103&lt;FT_First,0,IF(AU103&lt;FT_Y5,1+INT((AU103-FT_First)/FT_Int1),FT_PreY5+FT_PerYear*INT((AU103-FT_Y5)/12)+FT_AnnivDays+INT(MOD(AU103-FT_Y5,12)/FT_Int2))),IF(AP103="PT",IF(AU103&lt;PT_First,0,1+INT((AU103-PT_First)/PT_Int)),0))+IF(AND(AI103&gt;=2,AK103&lt;=AsOfDate),IF(AQ103="FT",IF(AV103&lt;FT_First,0,IF(AV103&lt;FT_Y5,1+INT((AV103-FT_First)/FT_Int1),FT_PreY5+FT_PerYear*INT((AV103-FT_Y5)/12)+FT_AnnivDays+INT(MOD(AV103-FT_Y5,12)/FT_Int2))),IF(AQ103="PT",IF(AV103&lt;PT_First,0,1+INT((AV103-PT_First)/PT_Int)),0))-IF(AQ103="FT",IF(AU103&lt;FT_First,0,IF(AU103&lt;FT_Y5,1+INT((AU103-FT_First)/FT_Int1),FT_PreY5+FT_PerYear*INT((AU103-FT_Y5)/12)+FT_AnnivDays+INT(MOD(AU103-FT_Y5,12)/FT_Int2))),IF(AQ103="PT",IF(AU103&lt;PT_First,0,1+INT((AU103-PT_First)/PT_Int)),0)),0)+IF(AND(AI103&gt;=3,AL103&lt;=AsOfDate),IF(AR103="FT",IF(AT103&lt;FT_First,0,IF(AT103&lt;FT_Y5,1+INT((AT103-FT_First)/FT_Int1),FT_PreY5+FT_PerYear*INT((AT103-FT_Y5)/12)+FT_AnnivDays+INT(MOD(AT103-FT_Y5,12)/FT_Int2))),IF(AR103="PT",IF(AT103&lt;PT_First,0,1+INT((AT103-PT_First)/PT_Int)),0))-IF(AR103="FT",IF(AV103&lt;FT_First,0,IF(AV103&lt;FT_Y5,1+INT((AV103-FT_First)/FT_Int1),FT_PreY5+FT_PerYear*INT((AV103-FT_Y5)/12)+FT_AnnivDays+INT(MOD(AV103-FT_Y5,12)/FT_Int2))),IF(AR103="PT",IF(AV103&lt;PT_First,0,1+INT((AV103-PT_First)/PT_Int)),0)),0))</f>
        <v/>
      </c>
      <c r="BA103" s="19" t="str">
        <f aca="false">IF(AG103=0,"",IF(AP103="FT",IF(AX103&lt;FT_First,0,IF(AX103&lt;FT_Y5,1+INT((AX103-FT_First)/FT_Int1),FT_PreY5+FT_PerYear*INT((AX103-FT_Y5)/12)+FT_AnnivDays+INT(MOD(AX103-FT_Y5,12)/FT_Int2))),IF(AP103="PT",IF(AX103&lt;PT_First,0,1+INT((AX103-PT_First)/PT_Int)),0))+IF(AND(AI103&gt;=2,AK103&lt;=PFYDate),IF(AQ103="FT",IF(AY103&lt;FT_First,0,IF(AY103&lt;FT_Y5,1+INT((AY103-FT_First)/FT_Int1),FT_PreY5+FT_PerYear*INT((AY103-FT_Y5)/12)+FT_AnnivDays+INT(MOD(AY103-FT_Y5,12)/FT_Int2))),IF(AQ103="PT",IF(AY103&lt;PT_First,0,1+INT((AY103-PT_First)/PT_Int)),0))-IF(AQ103="FT",IF(AX103&lt;FT_First,0,IF(AX103&lt;FT_Y5,1+INT((AX103-FT_First)/FT_Int1),FT_PreY5+FT_PerYear*INT((AX103-FT_Y5)/12)+FT_AnnivDays+INT(MOD(AX103-FT_Y5,12)/FT_Int2))),IF(AQ103="PT",IF(AX103&lt;PT_First,0,1+INT((AX103-PT_First)/PT_Int)),0)),0)+IF(AND(AI103&gt;=3,AL103&lt;=PFYDate),IF(AR103="FT",IF(AW103&lt;FT_First,0,IF(AW103&lt;FT_Y5,1+INT((AW103-FT_First)/FT_Int1),FT_PreY5+FT_PerYear*INT((AW103-FT_Y5)/12)+FT_AnnivDays+INT(MOD(AW103-FT_Y5,12)/FT_Int2))),IF(AR103="PT",IF(AW103&lt;PT_First,0,1+INT((AW103-PT_First)/PT_Int)),0))-IF(AR103="FT",IF(AY103&lt;FT_First,0,IF(AY103&lt;FT_Y5,1+INT((AY103-FT_First)/FT_Int1),FT_PreY5+FT_PerYear*INT((AY103-FT_Y5)/12)+FT_AnnivDays+INT(MOD(AY103-FT_Y5,12)/FT_Int2))),IF(AR103="PT",IF(AY103&lt;PT_First,0,1+INT((AY103-PT_First)/PT_Int)),0)),0))</f>
        <v/>
      </c>
      <c r="BB103" s="19" t="str">
        <f aca="false">IF(AG103=0,"",IF(AS103="FT",IF(AT103&lt;FT_First,FT_First,IF(AT103&lt;FT_Y5,MIN(FT_Y5,FT_First+FT_Int1*(INT((AT103-FT_First)/FT_Int1)+1)),FT_Y5+12*INT((AT103-FT_Y5)/12)+FT_Int2*(INT(MOD(AT103-FT_Y5,12)/FT_Int2)+1))),IF(AS103="PT",IF(AT103&lt;PT_First,PT_First,PT_First+PT_Int*(INT((AT103-PT_First)/PT_Int)+1)),"")))</f>
        <v/>
      </c>
      <c r="BC103" s="19" t="str">
        <f aca="false">IF(AG103=0,"",IF(NOT(LH_Ready),0,COUNTIFS(INDEX(LH_Data,0,LH_ColFirst),$A103,INDEX(LH_Data,0,LH_ColSur),$B103,INDEX(LH_Data,0,LH_ColCat),BonusCat)))</f>
        <v/>
      </c>
      <c r="BD103" s="19" t="str">
        <f aca="false">IF(AG103=0,"",IF(OR(NOT(LH_Ready),BC103=0),0,SUMPRODUCT(MAX((INDEX(LH_Data,0,LH_ColFirst)=$A103)*(INDEX(LH_Data,0,LH_ColSur)=$B103)*(INDEX(LH_Data,0,LH_ColCat)=BonusCat)*ROW(LH_Data)))))</f>
        <v/>
      </c>
      <c r="BE103" s="19" t="str">
        <f aca="false">IF(AG103=0,"",IF(EOMONTH(AsOfDate,-1)&lt;AH103,-1,12*(YEAR(EOMONTH(AsOfDate,-1))-YEAR(AH103))+MONTH(EOMONTH(AsOfDate,-1))-MONTH(AH103)-IF(DAY(EOMONTH(AsOfDate,-1))&lt;MIN(DAY(AH103),DAY(EOMONTH(EOMONTH(AsOfDate,-1),0))),1,0)))</f>
        <v/>
      </c>
      <c r="BF103" s="19" t="str">
        <f aca="false">IF(AG103=0,"",IF(OR(AI103&lt;2,AK103&gt;EOMONTH(AsOfDate,-1)),BE103,IF((AK103-1)&lt;AH103,-1,12*(YEAR((AK103-1))-YEAR(AH103))+MONTH((AK103-1))-MONTH(AH103)-IF(DAY((AK103-1))&lt;MIN(DAY(AH103),DAY(EOMONTH((AK103-1),0))),1,0))))</f>
        <v/>
      </c>
      <c r="BG103" s="19" t="str">
        <f aca="false">IF(AG103=0,"",IF(OR(AI103&lt;3,AL103&gt;EOMONTH(AsOfDate,-1)),BE103,IF((AL103-1)&lt;AH103,-1,12*(YEAR((AL103-1))-YEAR(AH103))+MONTH((AL103-1))-MONTH(AH103)-IF(DAY((AL103-1))&lt;MIN(DAY(AH103),DAY(EOMONTH((AL103-1),0))),1,0))))</f>
        <v/>
      </c>
      <c r="BH103" s="19" t="str">
        <f aca="false">IF(AG103=0,"",IF(AP103="FT",IF(BF103&lt;FT_First,0,IF(BF103&lt;FT_Y5,1+INT((BF103-FT_First)/FT_Int1),FT_PreY5+FT_PerYear*INT((BF103-FT_Y5)/12)+FT_AnnivDays+INT(MOD(BF103-FT_Y5,12)/FT_Int2))),IF(AP103="PT",IF(BF103&lt;PT_First,0,1+INT((BF103-PT_First)/PT_Int)),0))+IF(AND(AI103&gt;=2,AK103&lt;=EOMONTH(AsOfDate,-1)),IF(AQ103="FT",IF(BG103&lt;FT_First,0,IF(BG103&lt;FT_Y5,1+INT((BG103-FT_First)/FT_Int1),FT_PreY5+FT_PerYear*INT((BG103-FT_Y5)/12)+FT_AnnivDays+INT(MOD(BG103-FT_Y5,12)/FT_Int2))),IF(AQ103="PT",IF(BG103&lt;PT_First,0,1+INT((BG103-PT_First)/PT_Int)),0))-IF(AQ103="FT",IF(BF103&lt;FT_First,0,IF(BF103&lt;FT_Y5,1+INT((BF103-FT_First)/FT_Int1),FT_PreY5+FT_PerYear*INT((BF103-FT_Y5)/12)+FT_AnnivDays+INT(MOD(BF103-FT_Y5,12)/FT_Int2))),IF(AQ103="PT",IF(BF103&lt;PT_First,0,1+INT((BF103-PT_First)/PT_Int)),0)),0)+IF(AND(AI103&gt;=3,AL103&lt;=EOMONTH(AsOfDate,-1)),IF(AR103="FT",IF(BE103&lt;FT_First,0,IF(BE103&lt;FT_Y5,1+INT((BE103-FT_First)/FT_Int1),FT_PreY5+FT_PerYear*INT((BE103-FT_Y5)/12)+FT_AnnivDays+INT(MOD(BE103-FT_Y5,12)/FT_Int2))),IF(AR103="PT",IF(BE103&lt;PT_First,0,1+INT((BE103-PT_First)/PT_Int)),0))-IF(AR103="FT",IF(BG103&lt;FT_First,0,IF(BG103&lt;FT_Y5,1+INT((BG103-FT_First)/FT_Int1),FT_PreY5+FT_PerYear*INT((BG103-FT_Y5)/12)+FT_AnnivDays+INT(MOD(BG103-FT_Y5,12)/FT_Int2))),IF(AR103="PT",IF(BG103&lt;PT_First,0,1+INT((BG103-PT_First)/PT_Int)),0)),0))</f>
        <v/>
      </c>
      <c r="BI103" s="19" t="str">
        <f aca="false">IF(AG103=0,"",IF(AS103="FT",IF(AT103&lt;FT_First,"",IF(AT103&lt;FT_Y5,FT_First+FT_Int1*INT((AT103-FT_First)/FT_Int1),FT_Y5+FT_Int2*INT((AT103-FT_Y5)/FT_Int2))),IF(AS103="PT",IF(AT103&lt;PT_First,"",PT_First+PT_Int*INT((AT103-PT_First)/PT_Int)),"")))</f>
        <v/>
      </c>
      <c r="BJ103" s="0" t="str">
        <f aca="false">IF(LEN($A103&amp;$B103)=0,"",$A103&amp;" "&amp;$B103)</f>
        <v/>
      </c>
    </row>
    <row r="104" customFormat="false" ht="15" hidden="false" customHeight="false" outlineLevel="0" collapsed="false">
      <c r="A104" s="15"/>
      <c r="B104" s="15"/>
      <c r="C104" s="15"/>
      <c r="D104" s="16"/>
      <c r="E104" s="17" t="str">
        <f aca="false">IF(OR(AG104=0,$D104=""),"",DATE(YEAR(AsOfDate)+IF(DATE(YEAR(AsOfDate),MONTH($D104),DAY($D104))&lt;=AsOfDate,1,0),MONTH($D104),DAY($D104)))</f>
        <v/>
      </c>
      <c r="F104" s="16"/>
      <c r="G104" s="16"/>
      <c r="H104" s="16"/>
      <c r="I104" s="16"/>
      <c r="J104" s="16"/>
      <c r="K104" s="17" t="str">
        <f aca="false">IF(AG104=0,"",DATE(YEAR(AsOfDate)+IF(DATE(YEAR(AsOfDate),MONTH(AH104),DAY(AH104))&lt;=AsOfDate,1,0),MONTH(AH104),DAY(AH104)))</f>
        <v/>
      </c>
      <c r="L104" s="18" t="str">
        <f aca="false">IF(AG104=0,"",ROUND((AsOfDate-AH104)/365.25,1))</f>
        <v/>
      </c>
      <c r="M104" s="19" t="str">
        <f aca="false">IF(AG104=0,"",IF(AsOfDate&lt;AH104,"-",DATEDIF(AH104,AsOfDate,"y")&amp;"y "&amp;DATEDIF(AH104,AsOfDate,"ym")&amp;"m "&amp;DATEDIF(AH104,AsOfDate,"md")&amp;"d"))</f>
        <v/>
      </c>
      <c r="N104" s="20" t="str">
        <f aca="false">IF(AG104=0,"",O104*HoursPerDay)</f>
        <v/>
      </c>
      <c r="O104" s="20" t="str">
        <f aca="false">IF(AG104=0,"",AZ104)</f>
        <v/>
      </c>
      <c r="P104" s="21"/>
      <c r="Q104" s="19"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19"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7" t="str">
        <f aca="false">IF(AG104=0,"",IF(AS104="None","",EDATE(AH104,BB104)))</f>
        <v/>
      </c>
      <c r="T104" s="20" t="str">
        <f aca="false">IF(AG104=0,"",IF(NOT(LH_Ready),"",IF(AH104&gt;PFYDate,0,IF(LH_ColPeriod=0,W104-U104+V104,SUMIFS(INDEX(LH_Data,0,LH_ColAcc),INDEX(LH_Data,0,LH_ColFirst),$A104,INDEX(LH_Data,0,LH_ColSur),$B104,INDEX(LH_Data,0,LH_ColCat),BonusCat,INDEX(LH_Data,0,LH_ColPeriod),LH_OpenLabel)*UnitFactor))))</f>
        <v/>
      </c>
      <c r="U104" s="20" t="str">
        <f aca="false">IF(AG104=0,"",IF(NOT(LH_Ready),"",SUMIFS(INDEX(LH_Data,0,LH_ColAcc),INDEX(LH_Data,0,LH_ColFirst),$A104,INDEX(LH_Data,0,LH_ColSur),$B104,INDEX(LH_Data,0,LH_ColCat),BonusCat,INDEX(LH_Data,0,LH_ColStart),"&gt;="&amp;AH104)*UnitFactor))</f>
        <v/>
      </c>
      <c r="V104" s="20" t="str">
        <f aca="false">IF(AG104=0,"",IF(NOT(LH_Ready),"",SUMIFS(INDEX(LH_Data,0,LH_ColTaken),INDEX(LH_Data,0,LH_ColFirst),$A104,INDEX(LH_Data,0,LH_ColSur),$B104,INDEX(LH_Data,0,LH_ColCat),BonusCat,INDEX(LH_Data,0,LH_ColStart),"&gt;="&amp;AH104)*UnitFactor))</f>
        <v/>
      </c>
      <c r="W104" s="20" t="str">
        <f aca="false">IF(AG104=0,"",IF(NOT(LH_Ready),"",IF(BD104=0,0,INDEX(INDEX(LH_Data,0,LH_ColClose),BD104-1)*UnitFactor)))</f>
        <v/>
      </c>
      <c r="X104" s="20" t="str">
        <f aca="false">IF(AG104=0,"",(AZ104-BA104)*HoursPerDay)</f>
        <v/>
      </c>
      <c r="Y104" s="20" t="str">
        <f aca="false">IF(AG104=0,"",IF(NOT(LH_Ready),"",IF(BC104=0,N104,IF(PFYDate&lt;$F104,N104-N(T104)-N(U104),X104-N(U104)))))</f>
        <v/>
      </c>
      <c r="Z104" s="19" t="str">
        <f aca="false">IF(OR(AG104=0,Y104=""),"",IF(Y104&gt;0,"Yes","No"))</f>
        <v/>
      </c>
      <c r="AA104" s="19"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20" t="str">
        <f aca="false">IF(OR(AG104=0,T104=""),"",BA104*HoursPerDay-T104)</f>
        <v/>
      </c>
      <c r="AC104" s="19" t="str">
        <f aca="false">IF(AG104=0,"",BC104)</f>
        <v/>
      </c>
      <c r="AD104" s="19"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20" t="str">
        <f aca="false">IF(AG104=0,"",O104-BH104)</f>
        <v/>
      </c>
      <c r="AF104" s="17" t="str">
        <f aca="false">IF(OR(AG104=0,AE104="",N(AE104)=0,BI104=""),"",EDATE(AH104,BI104))</f>
        <v/>
      </c>
      <c r="AG104" s="19" t="n">
        <f aca="false">IF(OR(LEN($A104&amp;$B104)=0,$F104=""),0,1)</f>
        <v>0</v>
      </c>
      <c r="AH104" s="17" t="str">
        <f aca="false">IF(AG104=0,"",IF($J104&lt;&gt;"",$J104,IF(OR(CasualCounts="Yes",COUNT($G104:$I104)=0,COUNT($H104:$I104)=0),$F104,MIN($H104:$I104))))</f>
        <v/>
      </c>
      <c r="AI104" s="19" t="str">
        <f aca="false">IF(AG104=0,"",COUNT($G104:$I104))</f>
        <v/>
      </c>
      <c r="AJ104" s="17" t="str">
        <f aca="false">IF(AG104=0,"",IFERROR(SMALL($G104:$I104,1),""))</f>
        <v/>
      </c>
      <c r="AK104" s="17" t="str">
        <f aca="false">IF(AG104=0,"",IFERROR(SMALL($G104:$I104,2),""))</f>
        <v/>
      </c>
      <c r="AL104" s="17" t="str">
        <f aca="false">IF(AG104=0,"",IFERROR(SMALL($G104:$I104,3),""))</f>
        <v/>
      </c>
      <c r="AM104" s="19" t="str">
        <f aca="false">IF(AG104=0,"",IF(AJ104="","",IF(AJ104=$H104,"Part-Time",IF(AJ104=$I104,"Full-Time","Casual"))))</f>
        <v/>
      </c>
      <c r="AN104" s="19" t="str">
        <f aca="false">IF(AG104=0,"",IF(AK104="","",IF(AK104=$H104,"Part-Time",IF(AK104=$I104,"Full-Time","Casual"))))</f>
        <v/>
      </c>
      <c r="AO104" s="19" t="str">
        <f aca="false">IF(AG104=0,"",IF(AL104="","",IF(AL104=$H104,"Part-Time",IF(AL104=$I104,"Full-Time","Casual"))))</f>
        <v/>
      </c>
      <c r="AP104" s="19"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19" t="str">
        <f aca="false">IF(AG104=0,"",IF(AI104&lt;2,"",IF(OR(ISNUMBER(SEARCH("full",AN104)),UPPER(TRIM(AN104))="FT",UPPER(TRIM(AN104))="FTE"),"FT",IF(AND(OR(ISNUMBER(SEARCH("part",AN104)),UPPER(TRIM(AN104))="PT",UPPER(TRIM(AN104))="PTE"),OR($P104="",N($P104)&gt;=PT_MinHours)),"PT","None"))))</f>
        <v/>
      </c>
      <c r="AR104" s="19" t="str">
        <f aca="false">IF(AG104=0,"",IF(AI104&lt;3,"",IF(OR(ISNUMBER(SEARCH("full",AO104)),UPPER(TRIM(AO104))="FT",UPPER(TRIM(AO104))="FTE"),"FT",IF(AND(OR(ISNUMBER(SEARCH("part",AO104)),UPPER(TRIM(AO104))="PT",UPPER(TRIM(AO104))="PTE"),OR($P104="",N($P104)&gt;=PT_MinHours)),"PT","None"))))</f>
        <v/>
      </c>
      <c r="AS104" s="19" t="str">
        <f aca="false">IF(AG104=0,"",IF(AND(AI104&gt;=3,AL104&lt;=AsOfDate),AR104,IF(AND(AI104&gt;=2,AK104&lt;=AsOfDate),AQ104,AP104)))</f>
        <v/>
      </c>
      <c r="AT104" s="19" t="str">
        <f aca="false">IF(AG104=0,"",IF(AsOfDate&lt;AH104,-1,12*(YEAR(AsOfDate)-YEAR(AH104))+MONTH(AsOfDate)-MONTH(AH104)-IF(DAY(AsOfDate)&lt;MIN(DAY(AH104),DAY(EOMONTH(AsOfDate,0))),1,0)))</f>
        <v/>
      </c>
      <c r="AU104" s="19" t="str">
        <f aca="false">IF(AG104=0,"",IF(OR(AI104&lt;2,AK104&gt;AsOfDate),AT104,IF((AK104-1)&lt;AH104,-1,12*(YEAR((AK104-1))-YEAR(AH104))+MONTH((AK104-1))-MONTH(AH104)-IF(DAY((AK104-1))&lt;MIN(DAY(AH104),DAY(EOMONTH((AK104-1),0))),1,0))))</f>
        <v/>
      </c>
      <c r="AV104" s="19" t="str">
        <f aca="false">IF(AG104=0,"",IF(OR(AI104&lt;3,AL104&gt;AsOfDate),AT104,IF((AL104-1)&lt;AH104,-1,12*(YEAR((AL104-1))-YEAR(AH104))+MONTH((AL104-1))-MONTH(AH104)-IF(DAY((AL104-1))&lt;MIN(DAY(AH104),DAY(EOMONTH((AL104-1),0))),1,0))))</f>
        <v/>
      </c>
      <c r="AW104" s="19" t="str">
        <f aca="false">IF(AG104=0,"",IF(PFYDate&lt;AH104,-1,12*(YEAR(PFYDate)-YEAR(AH104))+MONTH(PFYDate)-MONTH(AH104)-IF(DAY(PFYDate)&lt;MIN(DAY(AH104),DAY(EOMONTH(PFYDate,0))),1,0)))</f>
        <v/>
      </c>
      <c r="AX104" s="19" t="str">
        <f aca="false">IF(AG104=0,"",IF(OR(AI104&lt;2,AK104&gt;PFYDate),AW104,IF((AK104-1)&lt;AH104,-1,12*(YEAR((AK104-1))-YEAR(AH104))+MONTH((AK104-1))-MONTH(AH104)-IF(DAY((AK104-1))&lt;MIN(DAY(AH104),DAY(EOMONTH((AK104-1),0))),1,0))))</f>
        <v/>
      </c>
      <c r="AY104" s="19" t="str">
        <f aca="false">IF(AG104=0,"",IF(OR(AI104&lt;3,AL104&gt;PFYDate),AW104,IF((AL104-1)&lt;AH104,-1,12*(YEAR((AL104-1))-YEAR(AH104))+MONTH((AL104-1))-MONTH(AH104)-IF(DAY((AL104-1))&lt;MIN(DAY(AH104),DAY(EOMONTH((AL104-1),0))),1,0))))</f>
        <v/>
      </c>
      <c r="AZ104" s="19" t="str">
        <f aca="false">IF(AG104=0,"",IF(AP104="FT",IF(AU104&lt;FT_First,0,IF(AU104&lt;FT_Y5,1+INT((AU104-FT_First)/FT_Int1),FT_PreY5+FT_PerYear*INT((AU104-FT_Y5)/12)+FT_AnnivDays+INT(MOD(AU104-FT_Y5,12)/FT_Int2))),IF(AP104="PT",IF(AU104&lt;PT_First,0,1+INT((AU104-PT_First)/PT_Int)),0))+IF(AND(AI104&gt;=2,AK104&lt;=AsOfDate),IF(AQ104="FT",IF(AV104&lt;FT_First,0,IF(AV104&lt;FT_Y5,1+INT((AV104-FT_First)/FT_Int1),FT_PreY5+FT_PerYear*INT((AV104-FT_Y5)/12)+FT_AnnivDays+INT(MOD(AV104-FT_Y5,12)/FT_Int2))),IF(AQ104="PT",IF(AV104&lt;PT_First,0,1+INT((AV104-PT_First)/PT_Int)),0))-IF(AQ104="FT",IF(AU104&lt;FT_First,0,IF(AU104&lt;FT_Y5,1+INT((AU104-FT_First)/FT_Int1),FT_PreY5+FT_PerYear*INT((AU104-FT_Y5)/12)+FT_AnnivDays+INT(MOD(AU104-FT_Y5,12)/FT_Int2))),IF(AQ104="PT",IF(AU104&lt;PT_First,0,1+INT((AU104-PT_First)/PT_Int)),0)),0)+IF(AND(AI104&gt;=3,AL104&lt;=AsOfDate),IF(AR104="FT",IF(AT104&lt;FT_First,0,IF(AT104&lt;FT_Y5,1+INT((AT104-FT_First)/FT_Int1),FT_PreY5+FT_PerYear*INT((AT104-FT_Y5)/12)+FT_AnnivDays+INT(MOD(AT104-FT_Y5,12)/FT_Int2))),IF(AR104="PT",IF(AT104&lt;PT_First,0,1+INT((AT104-PT_First)/PT_Int)),0))-IF(AR104="FT",IF(AV104&lt;FT_First,0,IF(AV104&lt;FT_Y5,1+INT((AV104-FT_First)/FT_Int1),FT_PreY5+FT_PerYear*INT((AV104-FT_Y5)/12)+FT_AnnivDays+INT(MOD(AV104-FT_Y5,12)/FT_Int2))),IF(AR104="PT",IF(AV104&lt;PT_First,0,1+INT((AV104-PT_First)/PT_Int)),0)),0))</f>
        <v/>
      </c>
      <c r="BA104" s="19" t="str">
        <f aca="false">IF(AG104=0,"",IF(AP104="FT",IF(AX104&lt;FT_First,0,IF(AX104&lt;FT_Y5,1+INT((AX104-FT_First)/FT_Int1),FT_PreY5+FT_PerYear*INT((AX104-FT_Y5)/12)+FT_AnnivDays+INT(MOD(AX104-FT_Y5,12)/FT_Int2))),IF(AP104="PT",IF(AX104&lt;PT_First,0,1+INT((AX104-PT_First)/PT_Int)),0))+IF(AND(AI104&gt;=2,AK104&lt;=PFYDate),IF(AQ104="FT",IF(AY104&lt;FT_First,0,IF(AY104&lt;FT_Y5,1+INT((AY104-FT_First)/FT_Int1),FT_PreY5+FT_PerYear*INT((AY104-FT_Y5)/12)+FT_AnnivDays+INT(MOD(AY104-FT_Y5,12)/FT_Int2))),IF(AQ104="PT",IF(AY104&lt;PT_First,0,1+INT((AY104-PT_First)/PT_Int)),0))-IF(AQ104="FT",IF(AX104&lt;FT_First,0,IF(AX104&lt;FT_Y5,1+INT((AX104-FT_First)/FT_Int1),FT_PreY5+FT_PerYear*INT((AX104-FT_Y5)/12)+FT_AnnivDays+INT(MOD(AX104-FT_Y5,12)/FT_Int2))),IF(AQ104="PT",IF(AX104&lt;PT_First,0,1+INT((AX104-PT_First)/PT_Int)),0)),0)+IF(AND(AI104&gt;=3,AL104&lt;=PFYDate),IF(AR104="FT",IF(AW104&lt;FT_First,0,IF(AW104&lt;FT_Y5,1+INT((AW104-FT_First)/FT_Int1),FT_PreY5+FT_PerYear*INT((AW104-FT_Y5)/12)+FT_AnnivDays+INT(MOD(AW104-FT_Y5,12)/FT_Int2))),IF(AR104="PT",IF(AW104&lt;PT_First,0,1+INT((AW104-PT_First)/PT_Int)),0))-IF(AR104="FT",IF(AY104&lt;FT_First,0,IF(AY104&lt;FT_Y5,1+INT((AY104-FT_First)/FT_Int1),FT_PreY5+FT_PerYear*INT((AY104-FT_Y5)/12)+FT_AnnivDays+INT(MOD(AY104-FT_Y5,12)/FT_Int2))),IF(AR104="PT",IF(AY104&lt;PT_First,0,1+INT((AY104-PT_First)/PT_Int)),0)),0))</f>
        <v/>
      </c>
      <c r="BB104" s="19" t="str">
        <f aca="false">IF(AG104=0,"",IF(AS104="FT",IF(AT104&lt;FT_First,FT_First,IF(AT104&lt;FT_Y5,MIN(FT_Y5,FT_First+FT_Int1*(INT((AT104-FT_First)/FT_Int1)+1)),FT_Y5+12*INT((AT104-FT_Y5)/12)+FT_Int2*(INT(MOD(AT104-FT_Y5,12)/FT_Int2)+1))),IF(AS104="PT",IF(AT104&lt;PT_First,PT_First,PT_First+PT_Int*(INT((AT104-PT_First)/PT_Int)+1)),"")))</f>
        <v/>
      </c>
      <c r="BC104" s="19" t="str">
        <f aca="false">IF(AG104=0,"",IF(NOT(LH_Ready),0,COUNTIFS(INDEX(LH_Data,0,LH_ColFirst),$A104,INDEX(LH_Data,0,LH_ColSur),$B104,INDEX(LH_Data,0,LH_ColCat),BonusCat)))</f>
        <v/>
      </c>
      <c r="BD104" s="19" t="str">
        <f aca="false">IF(AG104=0,"",IF(OR(NOT(LH_Ready),BC104=0),0,SUMPRODUCT(MAX((INDEX(LH_Data,0,LH_ColFirst)=$A104)*(INDEX(LH_Data,0,LH_ColSur)=$B104)*(INDEX(LH_Data,0,LH_ColCat)=BonusCat)*ROW(LH_Data)))))</f>
        <v/>
      </c>
      <c r="BE104" s="19" t="str">
        <f aca="false">IF(AG104=0,"",IF(EOMONTH(AsOfDate,-1)&lt;AH104,-1,12*(YEAR(EOMONTH(AsOfDate,-1))-YEAR(AH104))+MONTH(EOMONTH(AsOfDate,-1))-MONTH(AH104)-IF(DAY(EOMONTH(AsOfDate,-1))&lt;MIN(DAY(AH104),DAY(EOMONTH(EOMONTH(AsOfDate,-1),0))),1,0)))</f>
        <v/>
      </c>
      <c r="BF104" s="19" t="str">
        <f aca="false">IF(AG104=0,"",IF(OR(AI104&lt;2,AK104&gt;EOMONTH(AsOfDate,-1)),BE104,IF((AK104-1)&lt;AH104,-1,12*(YEAR((AK104-1))-YEAR(AH104))+MONTH((AK104-1))-MONTH(AH104)-IF(DAY((AK104-1))&lt;MIN(DAY(AH104),DAY(EOMONTH((AK104-1),0))),1,0))))</f>
        <v/>
      </c>
      <c r="BG104" s="19" t="str">
        <f aca="false">IF(AG104=0,"",IF(OR(AI104&lt;3,AL104&gt;EOMONTH(AsOfDate,-1)),BE104,IF((AL104-1)&lt;AH104,-1,12*(YEAR((AL104-1))-YEAR(AH104))+MONTH((AL104-1))-MONTH(AH104)-IF(DAY((AL104-1))&lt;MIN(DAY(AH104),DAY(EOMONTH((AL104-1),0))),1,0))))</f>
        <v/>
      </c>
      <c r="BH104" s="19" t="str">
        <f aca="false">IF(AG104=0,"",IF(AP104="FT",IF(BF104&lt;FT_First,0,IF(BF104&lt;FT_Y5,1+INT((BF104-FT_First)/FT_Int1),FT_PreY5+FT_PerYear*INT((BF104-FT_Y5)/12)+FT_AnnivDays+INT(MOD(BF104-FT_Y5,12)/FT_Int2))),IF(AP104="PT",IF(BF104&lt;PT_First,0,1+INT((BF104-PT_First)/PT_Int)),0))+IF(AND(AI104&gt;=2,AK104&lt;=EOMONTH(AsOfDate,-1)),IF(AQ104="FT",IF(BG104&lt;FT_First,0,IF(BG104&lt;FT_Y5,1+INT((BG104-FT_First)/FT_Int1),FT_PreY5+FT_PerYear*INT((BG104-FT_Y5)/12)+FT_AnnivDays+INT(MOD(BG104-FT_Y5,12)/FT_Int2))),IF(AQ104="PT",IF(BG104&lt;PT_First,0,1+INT((BG104-PT_First)/PT_Int)),0))-IF(AQ104="FT",IF(BF104&lt;FT_First,0,IF(BF104&lt;FT_Y5,1+INT((BF104-FT_First)/FT_Int1),FT_PreY5+FT_PerYear*INT((BF104-FT_Y5)/12)+FT_AnnivDays+INT(MOD(BF104-FT_Y5,12)/FT_Int2))),IF(AQ104="PT",IF(BF104&lt;PT_First,0,1+INT((BF104-PT_First)/PT_Int)),0)),0)+IF(AND(AI104&gt;=3,AL104&lt;=EOMONTH(AsOfDate,-1)),IF(AR104="FT",IF(BE104&lt;FT_First,0,IF(BE104&lt;FT_Y5,1+INT((BE104-FT_First)/FT_Int1),FT_PreY5+FT_PerYear*INT((BE104-FT_Y5)/12)+FT_AnnivDays+INT(MOD(BE104-FT_Y5,12)/FT_Int2))),IF(AR104="PT",IF(BE104&lt;PT_First,0,1+INT((BE104-PT_First)/PT_Int)),0))-IF(AR104="FT",IF(BG104&lt;FT_First,0,IF(BG104&lt;FT_Y5,1+INT((BG104-FT_First)/FT_Int1),FT_PreY5+FT_PerYear*INT((BG104-FT_Y5)/12)+FT_AnnivDays+INT(MOD(BG104-FT_Y5,12)/FT_Int2))),IF(AR104="PT",IF(BG104&lt;PT_First,0,1+INT((BG104-PT_First)/PT_Int)),0)),0))</f>
        <v/>
      </c>
      <c r="BI104" s="19" t="str">
        <f aca="false">IF(AG104=0,"",IF(AS104="FT",IF(AT104&lt;FT_First,"",IF(AT104&lt;FT_Y5,FT_First+FT_Int1*INT((AT104-FT_First)/FT_Int1),FT_Y5+FT_Int2*INT((AT104-FT_Y5)/FT_Int2))),IF(AS104="PT",IF(AT104&lt;PT_First,"",PT_First+PT_Int*INT((AT104-PT_First)/PT_Int)),"")))</f>
        <v/>
      </c>
      <c r="BJ104" s="0" t="str">
        <f aca="false">IF(LEN($A104&amp;$B104)=0,"",$A104&amp;" "&amp;$B104)</f>
        <v/>
      </c>
    </row>
    <row r="105" customFormat="false" ht="15" hidden="false" customHeight="false" outlineLevel="0" collapsed="false">
      <c r="A105" s="15"/>
      <c r="B105" s="15"/>
      <c r="C105" s="15"/>
      <c r="D105" s="16"/>
      <c r="E105" s="17" t="str">
        <f aca="false">IF(OR(AG105=0,$D105=""),"",DATE(YEAR(AsOfDate)+IF(DATE(YEAR(AsOfDate),MONTH($D105),DAY($D105))&lt;=AsOfDate,1,0),MONTH($D105),DAY($D105)))</f>
        <v/>
      </c>
      <c r="F105" s="16"/>
      <c r="G105" s="16"/>
      <c r="H105" s="16"/>
      <c r="I105" s="16"/>
      <c r="J105" s="16"/>
      <c r="K105" s="17" t="str">
        <f aca="false">IF(AG105=0,"",DATE(YEAR(AsOfDate)+IF(DATE(YEAR(AsOfDate),MONTH(AH105),DAY(AH105))&lt;=AsOfDate,1,0),MONTH(AH105),DAY(AH105)))</f>
        <v/>
      </c>
      <c r="L105" s="18" t="str">
        <f aca="false">IF(AG105=0,"",ROUND((AsOfDate-AH105)/365.25,1))</f>
        <v/>
      </c>
      <c r="M105" s="19" t="str">
        <f aca="false">IF(AG105=0,"",IF(AsOfDate&lt;AH105,"-",DATEDIF(AH105,AsOfDate,"y")&amp;"y "&amp;DATEDIF(AH105,AsOfDate,"ym")&amp;"m "&amp;DATEDIF(AH105,AsOfDate,"md")&amp;"d"))</f>
        <v/>
      </c>
      <c r="N105" s="20" t="str">
        <f aca="false">IF(AG105=0,"",O105*HoursPerDay)</f>
        <v/>
      </c>
      <c r="O105" s="20" t="str">
        <f aca="false">IF(AG105=0,"",AZ105)</f>
        <v/>
      </c>
      <c r="P105" s="21"/>
      <c r="Q105" s="19"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19"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7" t="str">
        <f aca="false">IF(AG105=0,"",IF(AS105="None","",EDATE(AH105,BB105)))</f>
        <v/>
      </c>
      <c r="T105" s="20" t="str">
        <f aca="false">IF(AG105=0,"",IF(NOT(LH_Ready),"",IF(AH105&gt;PFYDate,0,IF(LH_ColPeriod=0,W105-U105+V105,SUMIFS(INDEX(LH_Data,0,LH_ColAcc),INDEX(LH_Data,0,LH_ColFirst),$A105,INDEX(LH_Data,0,LH_ColSur),$B105,INDEX(LH_Data,0,LH_ColCat),BonusCat,INDEX(LH_Data,0,LH_ColPeriod),LH_OpenLabel)*UnitFactor))))</f>
        <v/>
      </c>
      <c r="U105" s="20" t="str">
        <f aca="false">IF(AG105=0,"",IF(NOT(LH_Ready),"",SUMIFS(INDEX(LH_Data,0,LH_ColAcc),INDEX(LH_Data,0,LH_ColFirst),$A105,INDEX(LH_Data,0,LH_ColSur),$B105,INDEX(LH_Data,0,LH_ColCat),BonusCat,INDEX(LH_Data,0,LH_ColStart),"&gt;="&amp;AH105)*UnitFactor))</f>
        <v/>
      </c>
      <c r="V105" s="20" t="str">
        <f aca="false">IF(AG105=0,"",IF(NOT(LH_Ready),"",SUMIFS(INDEX(LH_Data,0,LH_ColTaken),INDEX(LH_Data,0,LH_ColFirst),$A105,INDEX(LH_Data,0,LH_ColSur),$B105,INDEX(LH_Data,0,LH_ColCat),BonusCat,INDEX(LH_Data,0,LH_ColStart),"&gt;="&amp;AH105)*UnitFactor))</f>
        <v/>
      </c>
      <c r="W105" s="20" t="str">
        <f aca="false">IF(AG105=0,"",IF(NOT(LH_Ready),"",IF(BD105=0,0,INDEX(INDEX(LH_Data,0,LH_ColClose),BD105-1)*UnitFactor)))</f>
        <v/>
      </c>
      <c r="X105" s="20" t="str">
        <f aca="false">IF(AG105=0,"",(AZ105-BA105)*HoursPerDay)</f>
        <v/>
      </c>
      <c r="Y105" s="20" t="str">
        <f aca="false">IF(AG105=0,"",IF(NOT(LH_Ready),"",IF(BC105=0,N105,IF(PFYDate&lt;$F105,N105-N(T105)-N(U105),X105-N(U105)))))</f>
        <v/>
      </c>
      <c r="Z105" s="19" t="str">
        <f aca="false">IF(OR(AG105=0,Y105=""),"",IF(Y105&gt;0,"Yes","No"))</f>
        <v/>
      </c>
      <c r="AA105" s="19"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20" t="str">
        <f aca="false">IF(OR(AG105=0,T105=""),"",BA105*HoursPerDay-T105)</f>
        <v/>
      </c>
      <c r="AC105" s="19" t="str">
        <f aca="false">IF(AG105=0,"",BC105)</f>
        <v/>
      </c>
      <c r="AD105" s="19"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20" t="str">
        <f aca="false">IF(AG105=0,"",O105-BH105)</f>
        <v/>
      </c>
      <c r="AF105" s="17" t="str">
        <f aca="false">IF(OR(AG105=0,AE105="",N(AE105)=0,BI105=""),"",EDATE(AH105,BI105))</f>
        <v/>
      </c>
      <c r="AG105" s="19" t="n">
        <f aca="false">IF(OR(LEN($A105&amp;$B105)=0,$F105=""),0,1)</f>
        <v>0</v>
      </c>
      <c r="AH105" s="17" t="str">
        <f aca="false">IF(AG105=0,"",IF($J105&lt;&gt;"",$J105,IF(OR(CasualCounts="Yes",COUNT($G105:$I105)=0,COUNT($H105:$I105)=0),$F105,MIN($H105:$I105))))</f>
        <v/>
      </c>
      <c r="AI105" s="19" t="str">
        <f aca="false">IF(AG105=0,"",COUNT($G105:$I105))</f>
        <v/>
      </c>
      <c r="AJ105" s="17" t="str">
        <f aca="false">IF(AG105=0,"",IFERROR(SMALL($G105:$I105,1),""))</f>
        <v/>
      </c>
      <c r="AK105" s="17" t="str">
        <f aca="false">IF(AG105=0,"",IFERROR(SMALL($G105:$I105,2),""))</f>
        <v/>
      </c>
      <c r="AL105" s="17" t="str">
        <f aca="false">IF(AG105=0,"",IFERROR(SMALL($G105:$I105,3),""))</f>
        <v/>
      </c>
      <c r="AM105" s="19" t="str">
        <f aca="false">IF(AG105=0,"",IF(AJ105="","",IF(AJ105=$H105,"Part-Time",IF(AJ105=$I105,"Full-Time","Casual"))))</f>
        <v/>
      </c>
      <c r="AN105" s="19" t="str">
        <f aca="false">IF(AG105=0,"",IF(AK105="","",IF(AK105=$H105,"Part-Time",IF(AK105=$I105,"Full-Time","Casual"))))</f>
        <v/>
      </c>
      <c r="AO105" s="19" t="str">
        <f aca="false">IF(AG105=0,"",IF(AL105="","",IF(AL105=$H105,"Part-Time",IF(AL105=$I105,"Full-Time","Casual"))))</f>
        <v/>
      </c>
      <c r="AP105" s="19"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19" t="str">
        <f aca="false">IF(AG105=0,"",IF(AI105&lt;2,"",IF(OR(ISNUMBER(SEARCH("full",AN105)),UPPER(TRIM(AN105))="FT",UPPER(TRIM(AN105))="FTE"),"FT",IF(AND(OR(ISNUMBER(SEARCH("part",AN105)),UPPER(TRIM(AN105))="PT",UPPER(TRIM(AN105))="PTE"),OR($P105="",N($P105)&gt;=PT_MinHours)),"PT","None"))))</f>
        <v/>
      </c>
      <c r="AR105" s="19" t="str">
        <f aca="false">IF(AG105=0,"",IF(AI105&lt;3,"",IF(OR(ISNUMBER(SEARCH("full",AO105)),UPPER(TRIM(AO105))="FT",UPPER(TRIM(AO105))="FTE"),"FT",IF(AND(OR(ISNUMBER(SEARCH("part",AO105)),UPPER(TRIM(AO105))="PT",UPPER(TRIM(AO105))="PTE"),OR($P105="",N($P105)&gt;=PT_MinHours)),"PT","None"))))</f>
        <v/>
      </c>
      <c r="AS105" s="19" t="str">
        <f aca="false">IF(AG105=0,"",IF(AND(AI105&gt;=3,AL105&lt;=AsOfDate),AR105,IF(AND(AI105&gt;=2,AK105&lt;=AsOfDate),AQ105,AP105)))</f>
        <v/>
      </c>
      <c r="AT105" s="19" t="str">
        <f aca="false">IF(AG105=0,"",IF(AsOfDate&lt;AH105,-1,12*(YEAR(AsOfDate)-YEAR(AH105))+MONTH(AsOfDate)-MONTH(AH105)-IF(DAY(AsOfDate)&lt;MIN(DAY(AH105),DAY(EOMONTH(AsOfDate,0))),1,0)))</f>
        <v/>
      </c>
      <c r="AU105" s="19" t="str">
        <f aca="false">IF(AG105=0,"",IF(OR(AI105&lt;2,AK105&gt;AsOfDate),AT105,IF((AK105-1)&lt;AH105,-1,12*(YEAR((AK105-1))-YEAR(AH105))+MONTH((AK105-1))-MONTH(AH105)-IF(DAY((AK105-1))&lt;MIN(DAY(AH105),DAY(EOMONTH((AK105-1),0))),1,0))))</f>
        <v/>
      </c>
      <c r="AV105" s="19" t="str">
        <f aca="false">IF(AG105=0,"",IF(OR(AI105&lt;3,AL105&gt;AsOfDate),AT105,IF((AL105-1)&lt;AH105,-1,12*(YEAR((AL105-1))-YEAR(AH105))+MONTH((AL105-1))-MONTH(AH105)-IF(DAY((AL105-1))&lt;MIN(DAY(AH105),DAY(EOMONTH((AL105-1),0))),1,0))))</f>
        <v/>
      </c>
      <c r="AW105" s="19" t="str">
        <f aca="false">IF(AG105=0,"",IF(PFYDate&lt;AH105,-1,12*(YEAR(PFYDate)-YEAR(AH105))+MONTH(PFYDate)-MONTH(AH105)-IF(DAY(PFYDate)&lt;MIN(DAY(AH105),DAY(EOMONTH(PFYDate,0))),1,0)))</f>
        <v/>
      </c>
      <c r="AX105" s="19" t="str">
        <f aca="false">IF(AG105=0,"",IF(OR(AI105&lt;2,AK105&gt;PFYDate),AW105,IF((AK105-1)&lt;AH105,-1,12*(YEAR((AK105-1))-YEAR(AH105))+MONTH((AK105-1))-MONTH(AH105)-IF(DAY((AK105-1))&lt;MIN(DAY(AH105),DAY(EOMONTH((AK105-1),0))),1,0))))</f>
        <v/>
      </c>
      <c r="AY105" s="19" t="str">
        <f aca="false">IF(AG105=0,"",IF(OR(AI105&lt;3,AL105&gt;PFYDate),AW105,IF((AL105-1)&lt;AH105,-1,12*(YEAR((AL105-1))-YEAR(AH105))+MONTH((AL105-1))-MONTH(AH105)-IF(DAY((AL105-1))&lt;MIN(DAY(AH105),DAY(EOMONTH((AL105-1),0))),1,0))))</f>
        <v/>
      </c>
      <c r="AZ105" s="19" t="str">
        <f aca="false">IF(AG105=0,"",IF(AP105="FT",IF(AU105&lt;FT_First,0,IF(AU105&lt;FT_Y5,1+INT((AU105-FT_First)/FT_Int1),FT_PreY5+FT_PerYear*INT((AU105-FT_Y5)/12)+FT_AnnivDays+INT(MOD(AU105-FT_Y5,12)/FT_Int2))),IF(AP105="PT",IF(AU105&lt;PT_First,0,1+INT((AU105-PT_First)/PT_Int)),0))+IF(AND(AI105&gt;=2,AK105&lt;=AsOfDate),IF(AQ105="FT",IF(AV105&lt;FT_First,0,IF(AV105&lt;FT_Y5,1+INT((AV105-FT_First)/FT_Int1),FT_PreY5+FT_PerYear*INT((AV105-FT_Y5)/12)+FT_AnnivDays+INT(MOD(AV105-FT_Y5,12)/FT_Int2))),IF(AQ105="PT",IF(AV105&lt;PT_First,0,1+INT((AV105-PT_First)/PT_Int)),0))-IF(AQ105="FT",IF(AU105&lt;FT_First,0,IF(AU105&lt;FT_Y5,1+INT((AU105-FT_First)/FT_Int1),FT_PreY5+FT_PerYear*INT((AU105-FT_Y5)/12)+FT_AnnivDays+INT(MOD(AU105-FT_Y5,12)/FT_Int2))),IF(AQ105="PT",IF(AU105&lt;PT_First,0,1+INT((AU105-PT_First)/PT_Int)),0)),0)+IF(AND(AI105&gt;=3,AL105&lt;=AsOfDate),IF(AR105="FT",IF(AT105&lt;FT_First,0,IF(AT105&lt;FT_Y5,1+INT((AT105-FT_First)/FT_Int1),FT_PreY5+FT_PerYear*INT((AT105-FT_Y5)/12)+FT_AnnivDays+INT(MOD(AT105-FT_Y5,12)/FT_Int2))),IF(AR105="PT",IF(AT105&lt;PT_First,0,1+INT((AT105-PT_First)/PT_Int)),0))-IF(AR105="FT",IF(AV105&lt;FT_First,0,IF(AV105&lt;FT_Y5,1+INT((AV105-FT_First)/FT_Int1),FT_PreY5+FT_PerYear*INT((AV105-FT_Y5)/12)+FT_AnnivDays+INT(MOD(AV105-FT_Y5,12)/FT_Int2))),IF(AR105="PT",IF(AV105&lt;PT_First,0,1+INT((AV105-PT_First)/PT_Int)),0)),0))</f>
        <v/>
      </c>
      <c r="BA105" s="19" t="str">
        <f aca="false">IF(AG105=0,"",IF(AP105="FT",IF(AX105&lt;FT_First,0,IF(AX105&lt;FT_Y5,1+INT((AX105-FT_First)/FT_Int1),FT_PreY5+FT_PerYear*INT((AX105-FT_Y5)/12)+FT_AnnivDays+INT(MOD(AX105-FT_Y5,12)/FT_Int2))),IF(AP105="PT",IF(AX105&lt;PT_First,0,1+INT((AX105-PT_First)/PT_Int)),0))+IF(AND(AI105&gt;=2,AK105&lt;=PFYDate),IF(AQ105="FT",IF(AY105&lt;FT_First,0,IF(AY105&lt;FT_Y5,1+INT((AY105-FT_First)/FT_Int1),FT_PreY5+FT_PerYear*INT((AY105-FT_Y5)/12)+FT_AnnivDays+INT(MOD(AY105-FT_Y5,12)/FT_Int2))),IF(AQ105="PT",IF(AY105&lt;PT_First,0,1+INT((AY105-PT_First)/PT_Int)),0))-IF(AQ105="FT",IF(AX105&lt;FT_First,0,IF(AX105&lt;FT_Y5,1+INT((AX105-FT_First)/FT_Int1),FT_PreY5+FT_PerYear*INT((AX105-FT_Y5)/12)+FT_AnnivDays+INT(MOD(AX105-FT_Y5,12)/FT_Int2))),IF(AQ105="PT",IF(AX105&lt;PT_First,0,1+INT((AX105-PT_First)/PT_Int)),0)),0)+IF(AND(AI105&gt;=3,AL105&lt;=PFYDate),IF(AR105="FT",IF(AW105&lt;FT_First,0,IF(AW105&lt;FT_Y5,1+INT((AW105-FT_First)/FT_Int1),FT_PreY5+FT_PerYear*INT((AW105-FT_Y5)/12)+FT_AnnivDays+INT(MOD(AW105-FT_Y5,12)/FT_Int2))),IF(AR105="PT",IF(AW105&lt;PT_First,0,1+INT((AW105-PT_First)/PT_Int)),0))-IF(AR105="FT",IF(AY105&lt;FT_First,0,IF(AY105&lt;FT_Y5,1+INT((AY105-FT_First)/FT_Int1),FT_PreY5+FT_PerYear*INT((AY105-FT_Y5)/12)+FT_AnnivDays+INT(MOD(AY105-FT_Y5,12)/FT_Int2))),IF(AR105="PT",IF(AY105&lt;PT_First,0,1+INT((AY105-PT_First)/PT_Int)),0)),0))</f>
        <v/>
      </c>
      <c r="BB105" s="19" t="str">
        <f aca="false">IF(AG105=0,"",IF(AS105="FT",IF(AT105&lt;FT_First,FT_First,IF(AT105&lt;FT_Y5,MIN(FT_Y5,FT_First+FT_Int1*(INT((AT105-FT_First)/FT_Int1)+1)),FT_Y5+12*INT((AT105-FT_Y5)/12)+FT_Int2*(INT(MOD(AT105-FT_Y5,12)/FT_Int2)+1))),IF(AS105="PT",IF(AT105&lt;PT_First,PT_First,PT_First+PT_Int*(INT((AT105-PT_First)/PT_Int)+1)),"")))</f>
        <v/>
      </c>
      <c r="BC105" s="19" t="str">
        <f aca="false">IF(AG105=0,"",IF(NOT(LH_Ready),0,COUNTIFS(INDEX(LH_Data,0,LH_ColFirst),$A105,INDEX(LH_Data,0,LH_ColSur),$B105,INDEX(LH_Data,0,LH_ColCat),BonusCat)))</f>
        <v/>
      </c>
      <c r="BD105" s="19" t="str">
        <f aca="false">IF(AG105=0,"",IF(OR(NOT(LH_Ready),BC105=0),0,SUMPRODUCT(MAX((INDEX(LH_Data,0,LH_ColFirst)=$A105)*(INDEX(LH_Data,0,LH_ColSur)=$B105)*(INDEX(LH_Data,0,LH_ColCat)=BonusCat)*ROW(LH_Data)))))</f>
        <v/>
      </c>
      <c r="BE105" s="19" t="str">
        <f aca="false">IF(AG105=0,"",IF(EOMONTH(AsOfDate,-1)&lt;AH105,-1,12*(YEAR(EOMONTH(AsOfDate,-1))-YEAR(AH105))+MONTH(EOMONTH(AsOfDate,-1))-MONTH(AH105)-IF(DAY(EOMONTH(AsOfDate,-1))&lt;MIN(DAY(AH105),DAY(EOMONTH(EOMONTH(AsOfDate,-1),0))),1,0)))</f>
        <v/>
      </c>
      <c r="BF105" s="19" t="str">
        <f aca="false">IF(AG105=0,"",IF(OR(AI105&lt;2,AK105&gt;EOMONTH(AsOfDate,-1)),BE105,IF((AK105-1)&lt;AH105,-1,12*(YEAR((AK105-1))-YEAR(AH105))+MONTH((AK105-1))-MONTH(AH105)-IF(DAY((AK105-1))&lt;MIN(DAY(AH105),DAY(EOMONTH((AK105-1),0))),1,0))))</f>
        <v/>
      </c>
      <c r="BG105" s="19" t="str">
        <f aca="false">IF(AG105=0,"",IF(OR(AI105&lt;3,AL105&gt;EOMONTH(AsOfDate,-1)),BE105,IF((AL105-1)&lt;AH105,-1,12*(YEAR((AL105-1))-YEAR(AH105))+MONTH((AL105-1))-MONTH(AH105)-IF(DAY((AL105-1))&lt;MIN(DAY(AH105),DAY(EOMONTH((AL105-1),0))),1,0))))</f>
        <v/>
      </c>
      <c r="BH105" s="19" t="str">
        <f aca="false">IF(AG105=0,"",IF(AP105="FT",IF(BF105&lt;FT_First,0,IF(BF105&lt;FT_Y5,1+INT((BF105-FT_First)/FT_Int1),FT_PreY5+FT_PerYear*INT((BF105-FT_Y5)/12)+FT_AnnivDays+INT(MOD(BF105-FT_Y5,12)/FT_Int2))),IF(AP105="PT",IF(BF105&lt;PT_First,0,1+INT((BF105-PT_First)/PT_Int)),0))+IF(AND(AI105&gt;=2,AK105&lt;=EOMONTH(AsOfDate,-1)),IF(AQ105="FT",IF(BG105&lt;FT_First,0,IF(BG105&lt;FT_Y5,1+INT((BG105-FT_First)/FT_Int1),FT_PreY5+FT_PerYear*INT((BG105-FT_Y5)/12)+FT_AnnivDays+INT(MOD(BG105-FT_Y5,12)/FT_Int2))),IF(AQ105="PT",IF(BG105&lt;PT_First,0,1+INT((BG105-PT_First)/PT_Int)),0))-IF(AQ105="FT",IF(BF105&lt;FT_First,0,IF(BF105&lt;FT_Y5,1+INT((BF105-FT_First)/FT_Int1),FT_PreY5+FT_PerYear*INT((BF105-FT_Y5)/12)+FT_AnnivDays+INT(MOD(BF105-FT_Y5,12)/FT_Int2))),IF(AQ105="PT",IF(BF105&lt;PT_First,0,1+INT((BF105-PT_First)/PT_Int)),0)),0)+IF(AND(AI105&gt;=3,AL105&lt;=EOMONTH(AsOfDate,-1)),IF(AR105="FT",IF(BE105&lt;FT_First,0,IF(BE105&lt;FT_Y5,1+INT((BE105-FT_First)/FT_Int1),FT_PreY5+FT_PerYear*INT((BE105-FT_Y5)/12)+FT_AnnivDays+INT(MOD(BE105-FT_Y5,12)/FT_Int2))),IF(AR105="PT",IF(BE105&lt;PT_First,0,1+INT((BE105-PT_First)/PT_Int)),0))-IF(AR105="FT",IF(BG105&lt;FT_First,0,IF(BG105&lt;FT_Y5,1+INT((BG105-FT_First)/FT_Int1),FT_PreY5+FT_PerYear*INT((BG105-FT_Y5)/12)+FT_AnnivDays+INT(MOD(BG105-FT_Y5,12)/FT_Int2))),IF(AR105="PT",IF(BG105&lt;PT_First,0,1+INT((BG105-PT_First)/PT_Int)),0)),0))</f>
        <v/>
      </c>
      <c r="BI105" s="19" t="str">
        <f aca="false">IF(AG105=0,"",IF(AS105="FT",IF(AT105&lt;FT_First,"",IF(AT105&lt;FT_Y5,FT_First+FT_Int1*INT((AT105-FT_First)/FT_Int1),FT_Y5+FT_Int2*INT((AT105-FT_Y5)/FT_Int2))),IF(AS105="PT",IF(AT105&lt;PT_First,"",PT_First+PT_Int*INT((AT105-PT_First)/PT_Int)),"")))</f>
        <v/>
      </c>
      <c r="BJ105" s="0" t="str">
        <f aca="false">IF(LEN($A105&amp;$B105)=0,"",$A105&amp;" "&amp;$B105)</f>
        <v/>
      </c>
    </row>
    <row r="106" customFormat="false" ht="15" hidden="false" customHeight="false" outlineLevel="0" collapsed="false">
      <c r="A106" s="15"/>
      <c r="B106" s="15"/>
      <c r="C106" s="15"/>
      <c r="D106" s="16"/>
      <c r="E106" s="17" t="str">
        <f aca="false">IF(OR(AG106=0,$D106=""),"",DATE(YEAR(AsOfDate)+IF(DATE(YEAR(AsOfDate),MONTH($D106),DAY($D106))&lt;=AsOfDate,1,0),MONTH($D106),DAY($D106)))</f>
        <v/>
      </c>
      <c r="F106" s="16"/>
      <c r="G106" s="16"/>
      <c r="H106" s="16"/>
      <c r="I106" s="16"/>
      <c r="J106" s="16"/>
      <c r="K106" s="17" t="str">
        <f aca="false">IF(AG106=0,"",DATE(YEAR(AsOfDate)+IF(DATE(YEAR(AsOfDate),MONTH(AH106),DAY(AH106))&lt;=AsOfDate,1,0),MONTH(AH106),DAY(AH106)))</f>
        <v/>
      </c>
      <c r="L106" s="18" t="str">
        <f aca="false">IF(AG106=0,"",ROUND((AsOfDate-AH106)/365.25,1))</f>
        <v/>
      </c>
      <c r="M106" s="19" t="str">
        <f aca="false">IF(AG106=0,"",IF(AsOfDate&lt;AH106,"-",DATEDIF(AH106,AsOfDate,"y")&amp;"y "&amp;DATEDIF(AH106,AsOfDate,"ym")&amp;"m "&amp;DATEDIF(AH106,AsOfDate,"md")&amp;"d"))</f>
        <v/>
      </c>
      <c r="N106" s="20" t="str">
        <f aca="false">IF(AG106=0,"",O106*HoursPerDay)</f>
        <v/>
      </c>
      <c r="O106" s="20" t="str">
        <f aca="false">IF(AG106=0,"",AZ106)</f>
        <v/>
      </c>
      <c r="P106" s="21"/>
      <c r="Q106" s="19"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19"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7" t="str">
        <f aca="false">IF(AG106=0,"",IF(AS106="None","",EDATE(AH106,BB106)))</f>
        <v/>
      </c>
      <c r="T106" s="20" t="str">
        <f aca="false">IF(AG106=0,"",IF(NOT(LH_Ready),"",IF(AH106&gt;PFYDate,0,IF(LH_ColPeriod=0,W106-U106+V106,SUMIFS(INDEX(LH_Data,0,LH_ColAcc),INDEX(LH_Data,0,LH_ColFirst),$A106,INDEX(LH_Data,0,LH_ColSur),$B106,INDEX(LH_Data,0,LH_ColCat),BonusCat,INDEX(LH_Data,0,LH_ColPeriod),LH_OpenLabel)*UnitFactor))))</f>
        <v/>
      </c>
      <c r="U106" s="20" t="str">
        <f aca="false">IF(AG106=0,"",IF(NOT(LH_Ready),"",SUMIFS(INDEX(LH_Data,0,LH_ColAcc),INDEX(LH_Data,0,LH_ColFirst),$A106,INDEX(LH_Data,0,LH_ColSur),$B106,INDEX(LH_Data,0,LH_ColCat),BonusCat,INDEX(LH_Data,0,LH_ColStart),"&gt;="&amp;AH106)*UnitFactor))</f>
        <v/>
      </c>
      <c r="V106" s="20" t="str">
        <f aca="false">IF(AG106=0,"",IF(NOT(LH_Ready),"",SUMIFS(INDEX(LH_Data,0,LH_ColTaken),INDEX(LH_Data,0,LH_ColFirst),$A106,INDEX(LH_Data,0,LH_ColSur),$B106,INDEX(LH_Data,0,LH_ColCat),BonusCat,INDEX(LH_Data,0,LH_ColStart),"&gt;="&amp;AH106)*UnitFactor))</f>
        <v/>
      </c>
      <c r="W106" s="20" t="str">
        <f aca="false">IF(AG106=0,"",IF(NOT(LH_Ready),"",IF(BD106=0,0,INDEX(INDEX(LH_Data,0,LH_ColClose),BD106-1)*UnitFactor)))</f>
        <v/>
      </c>
      <c r="X106" s="20" t="str">
        <f aca="false">IF(AG106=0,"",(AZ106-BA106)*HoursPerDay)</f>
        <v/>
      </c>
      <c r="Y106" s="20" t="str">
        <f aca="false">IF(AG106=0,"",IF(NOT(LH_Ready),"",IF(BC106=0,N106,IF(PFYDate&lt;$F106,N106-N(T106)-N(U106),X106-N(U106)))))</f>
        <v/>
      </c>
      <c r="Z106" s="19" t="str">
        <f aca="false">IF(OR(AG106=0,Y106=""),"",IF(Y106&gt;0,"Yes","No"))</f>
        <v/>
      </c>
      <c r="AA106" s="19"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20" t="str">
        <f aca="false">IF(OR(AG106=0,T106=""),"",BA106*HoursPerDay-T106)</f>
        <v/>
      </c>
      <c r="AC106" s="19" t="str">
        <f aca="false">IF(AG106=0,"",BC106)</f>
        <v/>
      </c>
      <c r="AD106" s="19"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20" t="str">
        <f aca="false">IF(AG106=0,"",O106-BH106)</f>
        <v/>
      </c>
      <c r="AF106" s="17" t="str">
        <f aca="false">IF(OR(AG106=0,AE106="",N(AE106)=0,BI106=""),"",EDATE(AH106,BI106))</f>
        <v/>
      </c>
      <c r="AG106" s="19" t="n">
        <f aca="false">IF(OR(LEN($A106&amp;$B106)=0,$F106=""),0,1)</f>
        <v>0</v>
      </c>
      <c r="AH106" s="17" t="str">
        <f aca="false">IF(AG106=0,"",IF($J106&lt;&gt;"",$J106,IF(OR(CasualCounts="Yes",COUNT($G106:$I106)=0,COUNT($H106:$I106)=0),$F106,MIN($H106:$I106))))</f>
        <v/>
      </c>
      <c r="AI106" s="19" t="str">
        <f aca="false">IF(AG106=0,"",COUNT($G106:$I106))</f>
        <v/>
      </c>
      <c r="AJ106" s="17" t="str">
        <f aca="false">IF(AG106=0,"",IFERROR(SMALL($G106:$I106,1),""))</f>
        <v/>
      </c>
      <c r="AK106" s="17" t="str">
        <f aca="false">IF(AG106=0,"",IFERROR(SMALL($G106:$I106,2),""))</f>
        <v/>
      </c>
      <c r="AL106" s="17" t="str">
        <f aca="false">IF(AG106=0,"",IFERROR(SMALL($G106:$I106,3),""))</f>
        <v/>
      </c>
      <c r="AM106" s="19" t="str">
        <f aca="false">IF(AG106=0,"",IF(AJ106="","",IF(AJ106=$H106,"Part-Time",IF(AJ106=$I106,"Full-Time","Casual"))))</f>
        <v/>
      </c>
      <c r="AN106" s="19" t="str">
        <f aca="false">IF(AG106=0,"",IF(AK106="","",IF(AK106=$H106,"Part-Time",IF(AK106=$I106,"Full-Time","Casual"))))</f>
        <v/>
      </c>
      <c r="AO106" s="19" t="str">
        <f aca="false">IF(AG106=0,"",IF(AL106="","",IF(AL106=$H106,"Part-Time",IF(AL106=$I106,"Full-Time","Casual"))))</f>
        <v/>
      </c>
      <c r="AP106" s="19"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19" t="str">
        <f aca="false">IF(AG106=0,"",IF(AI106&lt;2,"",IF(OR(ISNUMBER(SEARCH("full",AN106)),UPPER(TRIM(AN106))="FT",UPPER(TRIM(AN106))="FTE"),"FT",IF(AND(OR(ISNUMBER(SEARCH("part",AN106)),UPPER(TRIM(AN106))="PT",UPPER(TRIM(AN106))="PTE"),OR($P106="",N($P106)&gt;=PT_MinHours)),"PT","None"))))</f>
        <v/>
      </c>
      <c r="AR106" s="19" t="str">
        <f aca="false">IF(AG106=0,"",IF(AI106&lt;3,"",IF(OR(ISNUMBER(SEARCH("full",AO106)),UPPER(TRIM(AO106))="FT",UPPER(TRIM(AO106))="FTE"),"FT",IF(AND(OR(ISNUMBER(SEARCH("part",AO106)),UPPER(TRIM(AO106))="PT",UPPER(TRIM(AO106))="PTE"),OR($P106="",N($P106)&gt;=PT_MinHours)),"PT","None"))))</f>
        <v/>
      </c>
      <c r="AS106" s="19" t="str">
        <f aca="false">IF(AG106=0,"",IF(AND(AI106&gt;=3,AL106&lt;=AsOfDate),AR106,IF(AND(AI106&gt;=2,AK106&lt;=AsOfDate),AQ106,AP106)))</f>
        <v/>
      </c>
      <c r="AT106" s="19" t="str">
        <f aca="false">IF(AG106=0,"",IF(AsOfDate&lt;AH106,-1,12*(YEAR(AsOfDate)-YEAR(AH106))+MONTH(AsOfDate)-MONTH(AH106)-IF(DAY(AsOfDate)&lt;MIN(DAY(AH106),DAY(EOMONTH(AsOfDate,0))),1,0)))</f>
        <v/>
      </c>
      <c r="AU106" s="19" t="str">
        <f aca="false">IF(AG106=0,"",IF(OR(AI106&lt;2,AK106&gt;AsOfDate),AT106,IF((AK106-1)&lt;AH106,-1,12*(YEAR((AK106-1))-YEAR(AH106))+MONTH((AK106-1))-MONTH(AH106)-IF(DAY((AK106-1))&lt;MIN(DAY(AH106),DAY(EOMONTH((AK106-1),0))),1,0))))</f>
        <v/>
      </c>
      <c r="AV106" s="19" t="str">
        <f aca="false">IF(AG106=0,"",IF(OR(AI106&lt;3,AL106&gt;AsOfDate),AT106,IF((AL106-1)&lt;AH106,-1,12*(YEAR((AL106-1))-YEAR(AH106))+MONTH((AL106-1))-MONTH(AH106)-IF(DAY((AL106-1))&lt;MIN(DAY(AH106),DAY(EOMONTH((AL106-1),0))),1,0))))</f>
        <v/>
      </c>
      <c r="AW106" s="19" t="str">
        <f aca="false">IF(AG106=0,"",IF(PFYDate&lt;AH106,-1,12*(YEAR(PFYDate)-YEAR(AH106))+MONTH(PFYDate)-MONTH(AH106)-IF(DAY(PFYDate)&lt;MIN(DAY(AH106),DAY(EOMONTH(PFYDate,0))),1,0)))</f>
        <v/>
      </c>
      <c r="AX106" s="19" t="str">
        <f aca="false">IF(AG106=0,"",IF(OR(AI106&lt;2,AK106&gt;PFYDate),AW106,IF((AK106-1)&lt;AH106,-1,12*(YEAR((AK106-1))-YEAR(AH106))+MONTH((AK106-1))-MONTH(AH106)-IF(DAY((AK106-1))&lt;MIN(DAY(AH106),DAY(EOMONTH((AK106-1),0))),1,0))))</f>
        <v/>
      </c>
      <c r="AY106" s="19" t="str">
        <f aca="false">IF(AG106=0,"",IF(OR(AI106&lt;3,AL106&gt;PFYDate),AW106,IF((AL106-1)&lt;AH106,-1,12*(YEAR((AL106-1))-YEAR(AH106))+MONTH((AL106-1))-MONTH(AH106)-IF(DAY((AL106-1))&lt;MIN(DAY(AH106),DAY(EOMONTH((AL106-1),0))),1,0))))</f>
        <v/>
      </c>
      <c r="AZ106" s="19" t="str">
        <f aca="false">IF(AG106=0,"",IF(AP106="FT",IF(AU106&lt;FT_First,0,IF(AU106&lt;FT_Y5,1+INT((AU106-FT_First)/FT_Int1),FT_PreY5+FT_PerYear*INT((AU106-FT_Y5)/12)+FT_AnnivDays+INT(MOD(AU106-FT_Y5,12)/FT_Int2))),IF(AP106="PT",IF(AU106&lt;PT_First,0,1+INT((AU106-PT_First)/PT_Int)),0))+IF(AND(AI106&gt;=2,AK106&lt;=AsOfDate),IF(AQ106="FT",IF(AV106&lt;FT_First,0,IF(AV106&lt;FT_Y5,1+INT((AV106-FT_First)/FT_Int1),FT_PreY5+FT_PerYear*INT((AV106-FT_Y5)/12)+FT_AnnivDays+INT(MOD(AV106-FT_Y5,12)/FT_Int2))),IF(AQ106="PT",IF(AV106&lt;PT_First,0,1+INT((AV106-PT_First)/PT_Int)),0))-IF(AQ106="FT",IF(AU106&lt;FT_First,0,IF(AU106&lt;FT_Y5,1+INT((AU106-FT_First)/FT_Int1),FT_PreY5+FT_PerYear*INT((AU106-FT_Y5)/12)+FT_AnnivDays+INT(MOD(AU106-FT_Y5,12)/FT_Int2))),IF(AQ106="PT",IF(AU106&lt;PT_First,0,1+INT((AU106-PT_First)/PT_Int)),0)),0)+IF(AND(AI106&gt;=3,AL106&lt;=AsOfDate),IF(AR106="FT",IF(AT106&lt;FT_First,0,IF(AT106&lt;FT_Y5,1+INT((AT106-FT_First)/FT_Int1),FT_PreY5+FT_PerYear*INT((AT106-FT_Y5)/12)+FT_AnnivDays+INT(MOD(AT106-FT_Y5,12)/FT_Int2))),IF(AR106="PT",IF(AT106&lt;PT_First,0,1+INT((AT106-PT_First)/PT_Int)),0))-IF(AR106="FT",IF(AV106&lt;FT_First,0,IF(AV106&lt;FT_Y5,1+INT((AV106-FT_First)/FT_Int1),FT_PreY5+FT_PerYear*INT((AV106-FT_Y5)/12)+FT_AnnivDays+INT(MOD(AV106-FT_Y5,12)/FT_Int2))),IF(AR106="PT",IF(AV106&lt;PT_First,0,1+INT((AV106-PT_First)/PT_Int)),0)),0))</f>
        <v/>
      </c>
      <c r="BA106" s="19" t="str">
        <f aca="false">IF(AG106=0,"",IF(AP106="FT",IF(AX106&lt;FT_First,0,IF(AX106&lt;FT_Y5,1+INT((AX106-FT_First)/FT_Int1),FT_PreY5+FT_PerYear*INT((AX106-FT_Y5)/12)+FT_AnnivDays+INT(MOD(AX106-FT_Y5,12)/FT_Int2))),IF(AP106="PT",IF(AX106&lt;PT_First,0,1+INT((AX106-PT_First)/PT_Int)),0))+IF(AND(AI106&gt;=2,AK106&lt;=PFYDate),IF(AQ106="FT",IF(AY106&lt;FT_First,0,IF(AY106&lt;FT_Y5,1+INT((AY106-FT_First)/FT_Int1),FT_PreY5+FT_PerYear*INT((AY106-FT_Y5)/12)+FT_AnnivDays+INT(MOD(AY106-FT_Y5,12)/FT_Int2))),IF(AQ106="PT",IF(AY106&lt;PT_First,0,1+INT((AY106-PT_First)/PT_Int)),0))-IF(AQ106="FT",IF(AX106&lt;FT_First,0,IF(AX106&lt;FT_Y5,1+INT((AX106-FT_First)/FT_Int1),FT_PreY5+FT_PerYear*INT((AX106-FT_Y5)/12)+FT_AnnivDays+INT(MOD(AX106-FT_Y5,12)/FT_Int2))),IF(AQ106="PT",IF(AX106&lt;PT_First,0,1+INT((AX106-PT_First)/PT_Int)),0)),0)+IF(AND(AI106&gt;=3,AL106&lt;=PFYDate),IF(AR106="FT",IF(AW106&lt;FT_First,0,IF(AW106&lt;FT_Y5,1+INT((AW106-FT_First)/FT_Int1),FT_PreY5+FT_PerYear*INT((AW106-FT_Y5)/12)+FT_AnnivDays+INT(MOD(AW106-FT_Y5,12)/FT_Int2))),IF(AR106="PT",IF(AW106&lt;PT_First,0,1+INT((AW106-PT_First)/PT_Int)),0))-IF(AR106="FT",IF(AY106&lt;FT_First,0,IF(AY106&lt;FT_Y5,1+INT((AY106-FT_First)/FT_Int1),FT_PreY5+FT_PerYear*INT((AY106-FT_Y5)/12)+FT_AnnivDays+INT(MOD(AY106-FT_Y5,12)/FT_Int2))),IF(AR106="PT",IF(AY106&lt;PT_First,0,1+INT((AY106-PT_First)/PT_Int)),0)),0))</f>
        <v/>
      </c>
      <c r="BB106" s="19" t="str">
        <f aca="false">IF(AG106=0,"",IF(AS106="FT",IF(AT106&lt;FT_First,FT_First,IF(AT106&lt;FT_Y5,MIN(FT_Y5,FT_First+FT_Int1*(INT((AT106-FT_First)/FT_Int1)+1)),FT_Y5+12*INT((AT106-FT_Y5)/12)+FT_Int2*(INT(MOD(AT106-FT_Y5,12)/FT_Int2)+1))),IF(AS106="PT",IF(AT106&lt;PT_First,PT_First,PT_First+PT_Int*(INT((AT106-PT_First)/PT_Int)+1)),"")))</f>
        <v/>
      </c>
      <c r="BC106" s="19" t="str">
        <f aca="false">IF(AG106=0,"",IF(NOT(LH_Ready),0,COUNTIFS(INDEX(LH_Data,0,LH_ColFirst),$A106,INDEX(LH_Data,0,LH_ColSur),$B106,INDEX(LH_Data,0,LH_ColCat),BonusCat)))</f>
        <v/>
      </c>
      <c r="BD106" s="19" t="str">
        <f aca="false">IF(AG106=0,"",IF(OR(NOT(LH_Ready),BC106=0),0,SUMPRODUCT(MAX((INDEX(LH_Data,0,LH_ColFirst)=$A106)*(INDEX(LH_Data,0,LH_ColSur)=$B106)*(INDEX(LH_Data,0,LH_ColCat)=BonusCat)*ROW(LH_Data)))))</f>
        <v/>
      </c>
      <c r="BE106" s="19" t="str">
        <f aca="false">IF(AG106=0,"",IF(EOMONTH(AsOfDate,-1)&lt;AH106,-1,12*(YEAR(EOMONTH(AsOfDate,-1))-YEAR(AH106))+MONTH(EOMONTH(AsOfDate,-1))-MONTH(AH106)-IF(DAY(EOMONTH(AsOfDate,-1))&lt;MIN(DAY(AH106),DAY(EOMONTH(EOMONTH(AsOfDate,-1),0))),1,0)))</f>
        <v/>
      </c>
      <c r="BF106" s="19" t="str">
        <f aca="false">IF(AG106=0,"",IF(OR(AI106&lt;2,AK106&gt;EOMONTH(AsOfDate,-1)),BE106,IF((AK106-1)&lt;AH106,-1,12*(YEAR((AK106-1))-YEAR(AH106))+MONTH((AK106-1))-MONTH(AH106)-IF(DAY((AK106-1))&lt;MIN(DAY(AH106),DAY(EOMONTH((AK106-1),0))),1,0))))</f>
        <v/>
      </c>
      <c r="BG106" s="19" t="str">
        <f aca="false">IF(AG106=0,"",IF(OR(AI106&lt;3,AL106&gt;EOMONTH(AsOfDate,-1)),BE106,IF((AL106-1)&lt;AH106,-1,12*(YEAR((AL106-1))-YEAR(AH106))+MONTH((AL106-1))-MONTH(AH106)-IF(DAY((AL106-1))&lt;MIN(DAY(AH106),DAY(EOMONTH((AL106-1),0))),1,0))))</f>
        <v/>
      </c>
      <c r="BH106" s="19" t="str">
        <f aca="false">IF(AG106=0,"",IF(AP106="FT",IF(BF106&lt;FT_First,0,IF(BF106&lt;FT_Y5,1+INT((BF106-FT_First)/FT_Int1),FT_PreY5+FT_PerYear*INT((BF106-FT_Y5)/12)+FT_AnnivDays+INT(MOD(BF106-FT_Y5,12)/FT_Int2))),IF(AP106="PT",IF(BF106&lt;PT_First,0,1+INT((BF106-PT_First)/PT_Int)),0))+IF(AND(AI106&gt;=2,AK106&lt;=EOMONTH(AsOfDate,-1)),IF(AQ106="FT",IF(BG106&lt;FT_First,0,IF(BG106&lt;FT_Y5,1+INT((BG106-FT_First)/FT_Int1),FT_PreY5+FT_PerYear*INT((BG106-FT_Y5)/12)+FT_AnnivDays+INT(MOD(BG106-FT_Y5,12)/FT_Int2))),IF(AQ106="PT",IF(BG106&lt;PT_First,0,1+INT((BG106-PT_First)/PT_Int)),0))-IF(AQ106="FT",IF(BF106&lt;FT_First,0,IF(BF106&lt;FT_Y5,1+INT((BF106-FT_First)/FT_Int1),FT_PreY5+FT_PerYear*INT((BF106-FT_Y5)/12)+FT_AnnivDays+INT(MOD(BF106-FT_Y5,12)/FT_Int2))),IF(AQ106="PT",IF(BF106&lt;PT_First,0,1+INT((BF106-PT_First)/PT_Int)),0)),0)+IF(AND(AI106&gt;=3,AL106&lt;=EOMONTH(AsOfDate,-1)),IF(AR106="FT",IF(BE106&lt;FT_First,0,IF(BE106&lt;FT_Y5,1+INT((BE106-FT_First)/FT_Int1),FT_PreY5+FT_PerYear*INT((BE106-FT_Y5)/12)+FT_AnnivDays+INT(MOD(BE106-FT_Y5,12)/FT_Int2))),IF(AR106="PT",IF(BE106&lt;PT_First,0,1+INT((BE106-PT_First)/PT_Int)),0))-IF(AR106="FT",IF(BG106&lt;FT_First,0,IF(BG106&lt;FT_Y5,1+INT((BG106-FT_First)/FT_Int1),FT_PreY5+FT_PerYear*INT((BG106-FT_Y5)/12)+FT_AnnivDays+INT(MOD(BG106-FT_Y5,12)/FT_Int2))),IF(AR106="PT",IF(BG106&lt;PT_First,0,1+INT((BG106-PT_First)/PT_Int)),0)),0))</f>
        <v/>
      </c>
      <c r="BI106" s="19" t="str">
        <f aca="false">IF(AG106=0,"",IF(AS106="FT",IF(AT106&lt;FT_First,"",IF(AT106&lt;FT_Y5,FT_First+FT_Int1*INT((AT106-FT_First)/FT_Int1),FT_Y5+FT_Int2*INT((AT106-FT_Y5)/FT_Int2))),IF(AS106="PT",IF(AT106&lt;PT_First,"",PT_First+PT_Int*INT((AT106-PT_First)/PT_Int)),"")))</f>
        <v/>
      </c>
      <c r="BJ106" s="0" t="str">
        <f aca="false">IF(LEN($A106&amp;$B106)=0,"",$A106&amp;" "&amp;$B106)</f>
        <v/>
      </c>
    </row>
    <row r="107" customFormat="false" ht="15" hidden="false" customHeight="false" outlineLevel="0" collapsed="false">
      <c r="A107" s="15"/>
      <c r="B107" s="15"/>
      <c r="C107" s="15"/>
      <c r="D107" s="16"/>
      <c r="E107" s="17" t="str">
        <f aca="false">IF(OR(AG107=0,$D107=""),"",DATE(YEAR(AsOfDate)+IF(DATE(YEAR(AsOfDate),MONTH($D107),DAY($D107))&lt;=AsOfDate,1,0),MONTH($D107),DAY($D107)))</f>
        <v/>
      </c>
      <c r="F107" s="16"/>
      <c r="G107" s="16"/>
      <c r="H107" s="16"/>
      <c r="I107" s="16"/>
      <c r="J107" s="16"/>
      <c r="K107" s="17" t="str">
        <f aca="false">IF(AG107=0,"",DATE(YEAR(AsOfDate)+IF(DATE(YEAR(AsOfDate),MONTH(AH107),DAY(AH107))&lt;=AsOfDate,1,0),MONTH(AH107),DAY(AH107)))</f>
        <v/>
      </c>
      <c r="L107" s="18" t="str">
        <f aca="false">IF(AG107=0,"",ROUND((AsOfDate-AH107)/365.25,1))</f>
        <v/>
      </c>
      <c r="M107" s="19" t="str">
        <f aca="false">IF(AG107=0,"",IF(AsOfDate&lt;AH107,"-",DATEDIF(AH107,AsOfDate,"y")&amp;"y "&amp;DATEDIF(AH107,AsOfDate,"ym")&amp;"m "&amp;DATEDIF(AH107,AsOfDate,"md")&amp;"d"))</f>
        <v/>
      </c>
      <c r="N107" s="20" t="str">
        <f aca="false">IF(AG107=0,"",O107*HoursPerDay)</f>
        <v/>
      </c>
      <c r="O107" s="20" t="str">
        <f aca="false">IF(AG107=0,"",AZ107)</f>
        <v/>
      </c>
      <c r="P107" s="21"/>
      <c r="Q107" s="19"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19"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7" t="str">
        <f aca="false">IF(AG107=0,"",IF(AS107="None","",EDATE(AH107,BB107)))</f>
        <v/>
      </c>
      <c r="T107" s="20" t="str">
        <f aca="false">IF(AG107=0,"",IF(NOT(LH_Ready),"",IF(AH107&gt;PFYDate,0,IF(LH_ColPeriod=0,W107-U107+V107,SUMIFS(INDEX(LH_Data,0,LH_ColAcc),INDEX(LH_Data,0,LH_ColFirst),$A107,INDEX(LH_Data,0,LH_ColSur),$B107,INDEX(LH_Data,0,LH_ColCat),BonusCat,INDEX(LH_Data,0,LH_ColPeriod),LH_OpenLabel)*UnitFactor))))</f>
        <v/>
      </c>
      <c r="U107" s="20" t="str">
        <f aca="false">IF(AG107=0,"",IF(NOT(LH_Ready),"",SUMIFS(INDEX(LH_Data,0,LH_ColAcc),INDEX(LH_Data,0,LH_ColFirst),$A107,INDEX(LH_Data,0,LH_ColSur),$B107,INDEX(LH_Data,0,LH_ColCat),BonusCat,INDEX(LH_Data,0,LH_ColStart),"&gt;="&amp;AH107)*UnitFactor))</f>
        <v/>
      </c>
      <c r="V107" s="20" t="str">
        <f aca="false">IF(AG107=0,"",IF(NOT(LH_Ready),"",SUMIFS(INDEX(LH_Data,0,LH_ColTaken),INDEX(LH_Data,0,LH_ColFirst),$A107,INDEX(LH_Data,0,LH_ColSur),$B107,INDEX(LH_Data,0,LH_ColCat),BonusCat,INDEX(LH_Data,0,LH_ColStart),"&gt;="&amp;AH107)*UnitFactor))</f>
        <v/>
      </c>
      <c r="W107" s="20" t="str">
        <f aca="false">IF(AG107=0,"",IF(NOT(LH_Ready),"",IF(BD107=0,0,INDEX(INDEX(LH_Data,0,LH_ColClose),BD107-1)*UnitFactor)))</f>
        <v/>
      </c>
      <c r="X107" s="20" t="str">
        <f aca="false">IF(AG107=0,"",(AZ107-BA107)*HoursPerDay)</f>
        <v/>
      </c>
      <c r="Y107" s="20" t="str">
        <f aca="false">IF(AG107=0,"",IF(NOT(LH_Ready),"",IF(BC107=0,N107,IF(PFYDate&lt;$F107,N107-N(T107)-N(U107),X107-N(U107)))))</f>
        <v/>
      </c>
      <c r="Z107" s="19" t="str">
        <f aca="false">IF(OR(AG107=0,Y107=""),"",IF(Y107&gt;0,"Yes","No"))</f>
        <v/>
      </c>
      <c r="AA107" s="19"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20" t="str">
        <f aca="false">IF(OR(AG107=0,T107=""),"",BA107*HoursPerDay-T107)</f>
        <v/>
      </c>
      <c r="AC107" s="19" t="str">
        <f aca="false">IF(AG107=0,"",BC107)</f>
        <v/>
      </c>
      <c r="AD107" s="19"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20" t="str">
        <f aca="false">IF(AG107=0,"",O107-BH107)</f>
        <v/>
      </c>
      <c r="AF107" s="17" t="str">
        <f aca="false">IF(OR(AG107=0,AE107="",N(AE107)=0,BI107=""),"",EDATE(AH107,BI107))</f>
        <v/>
      </c>
      <c r="AG107" s="19" t="n">
        <f aca="false">IF(OR(LEN($A107&amp;$B107)=0,$F107=""),0,1)</f>
        <v>0</v>
      </c>
      <c r="AH107" s="17" t="str">
        <f aca="false">IF(AG107=0,"",IF($J107&lt;&gt;"",$J107,IF(OR(CasualCounts="Yes",COUNT($G107:$I107)=0,COUNT($H107:$I107)=0),$F107,MIN($H107:$I107))))</f>
        <v/>
      </c>
      <c r="AI107" s="19" t="str">
        <f aca="false">IF(AG107=0,"",COUNT($G107:$I107))</f>
        <v/>
      </c>
      <c r="AJ107" s="17" t="str">
        <f aca="false">IF(AG107=0,"",IFERROR(SMALL($G107:$I107,1),""))</f>
        <v/>
      </c>
      <c r="AK107" s="17" t="str">
        <f aca="false">IF(AG107=0,"",IFERROR(SMALL($G107:$I107,2),""))</f>
        <v/>
      </c>
      <c r="AL107" s="17" t="str">
        <f aca="false">IF(AG107=0,"",IFERROR(SMALL($G107:$I107,3),""))</f>
        <v/>
      </c>
      <c r="AM107" s="19" t="str">
        <f aca="false">IF(AG107=0,"",IF(AJ107="","",IF(AJ107=$H107,"Part-Time",IF(AJ107=$I107,"Full-Time","Casual"))))</f>
        <v/>
      </c>
      <c r="AN107" s="19" t="str">
        <f aca="false">IF(AG107=0,"",IF(AK107="","",IF(AK107=$H107,"Part-Time",IF(AK107=$I107,"Full-Time","Casual"))))</f>
        <v/>
      </c>
      <c r="AO107" s="19" t="str">
        <f aca="false">IF(AG107=0,"",IF(AL107="","",IF(AL107=$H107,"Part-Time",IF(AL107=$I107,"Full-Time","Casual"))))</f>
        <v/>
      </c>
      <c r="AP107" s="19"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19" t="str">
        <f aca="false">IF(AG107=0,"",IF(AI107&lt;2,"",IF(OR(ISNUMBER(SEARCH("full",AN107)),UPPER(TRIM(AN107))="FT",UPPER(TRIM(AN107))="FTE"),"FT",IF(AND(OR(ISNUMBER(SEARCH("part",AN107)),UPPER(TRIM(AN107))="PT",UPPER(TRIM(AN107))="PTE"),OR($P107="",N($P107)&gt;=PT_MinHours)),"PT","None"))))</f>
        <v/>
      </c>
      <c r="AR107" s="19" t="str">
        <f aca="false">IF(AG107=0,"",IF(AI107&lt;3,"",IF(OR(ISNUMBER(SEARCH("full",AO107)),UPPER(TRIM(AO107))="FT",UPPER(TRIM(AO107))="FTE"),"FT",IF(AND(OR(ISNUMBER(SEARCH("part",AO107)),UPPER(TRIM(AO107))="PT",UPPER(TRIM(AO107))="PTE"),OR($P107="",N($P107)&gt;=PT_MinHours)),"PT","None"))))</f>
        <v/>
      </c>
      <c r="AS107" s="19" t="str">
        <f aca="false">IF(AG107=0,"",IF(AND(AI107&gt;=3,AL107&lt;=AsOfDate),AR107,IF(AND(AI107&gt;=2,AK107&lt;=AsOfDate),AQ107,AP107)))</f>
        <v/>
      </c>
      <c r="AT107" s="19" t="str">
        <f aca="false">IF(AG107=0,"",IF(AsOfDate&lt;AH107,-1,12*(YEAR(AsOfDate)-YEAR(AH107))+MONTH(AsOfDate)-MONTH(AH107)-IF(DAY(AsOfDate)&lt;MIN(DAY(AH107),DAY(EOMONTH(AsOfDate,0))),1,0)))</f>
        <v/>
      </c>
      <c r="AU107" s="19" t="str">
        <f aca="false">IF(AG107=0,"",IF(OR(AI107&lt;2,AK107&gt;AsOfDate),AT107,IF((AK107-1)&lt;AH107,-1,12*(YEAR((AK107-1))-YEAR(AH107))+MONTH((AK107-1))-MONTH(AH107)-IF(DAY((AK107-1))&lt;MIN(DAY(AH107),DAY(EOMONTH((AK107-1),0))),1,0))))</f>
        <v/>
      </c>
      <c r="AV107" s="19" t="str">
        <f aca="false">IF(AG107=0,"",IF(OR(AI107&lt;3,AL107&gt;AsOfDate),AT107,IF((AL107-1)&lt;AH107,-1,12*(YEAR((AL107-1))-YEAR(AH107))+MONTH((AL107-1))-MONTH(AH107)-IF(DAY((AL107-1))&lt;MIN(DAY(AH107),DAY(EOMONTH((AL107-1),0))),1,0))))</f>
        <v/>
      </c>
      <c r="AW107" s="19" t="str">
        <f aca="false">IF(AG107=0,"",IF(PFYDate&lt;AH107,-1,12*(YEAR(PFYDate)-YEAR(AH107))+MONTH(PFYDate)-MONTH(AH107)-IF(DAY(PFYDate)&lt;MIN(DAY(AH107),DAY(EOMONTH(PFYDate,0))),1,0)))</f>
        <v/>
      </c>
      <c r="AX107" s="19" t="str">
        <f aca="false">IF(AG107=0,"",IF(OR(AI107&lt;2,AK107&gt;PFYDate),AW107,IF((AK107-1)&lt;AH107,-1,12*(YEAR((AK107-1))-YEAR(AH107))+MONTH((AK107-1))-MONTH(AH107)-IF(DAY((AK107-1))&lt;MIN(DAY(AH107),DAY(EOMONTH((AK107-1),0))),1,0))))</f>
        <v/>
      </c>
      <c r="AY107" s="19" t="str">
        <f aca="false">IF(AG107=0,"",IF(OR(AI107&lt;3,AL107&gt;PFYDate),AW107,IF((AL107-1)&lt;AH107,-1,12*(YEAR((AL107-1))-YEAR(AH107))+MONTH((AL107-1))-MONTH(AH107)-IF(DAY((AL107-1))&lt;MIN(DAY(AH107),DAY(EOMONTH((AL107-1),0))),1,0))))</f>
        <v/>
      </c>
      <c r="AZ107" s="19" t="str">
        <f aca="false">IF(AG107=0,"",IF(AP107="FT",IF(AU107&lt;FT_First,0,IF(AU107&lt;FT_Y5,1+INT((AU107-FT_First)/FT_Int1),FT_PreY5+FT_PerYear*INT((AU107-FT_Y5)/12)+FT_AnnivDays+INT(MOD(AU107-FT_Y5,12)/FT_Int2))),IF(AP107="PT",IF(AU107&lt;PT_First,0,1+INT((AU107-PT_First)/PT_Int)),0))+IF(AND(AI107&gt;=2,AK107&lt;=AsOfDate),IF(AQ107="FT",IF(AV107&lt;FT_First,0,IF(AV107&lt;FT_Y5,1+INT((AV107-FT_First)/FT_Int1),FT_PreY5+FT_PerYear*INT((AV107-FT_Y5)/12)+FT_AnnivDays+INT(MOD(AV107-FT_Y5,12)/FT_Int2))),IF(AQ107="PT",IF(AV107&lt;PT_First,0,1+INT((AV107-PT_First)/PT_Int)),0))-IF(AQ107="FT",IF(AU107&lt;FT_First,0,IF(AU107&lt;FT_Y5,1+INT((AU107-FT_First)/FT_Int1),FT_PreY5+FT_PerYear*INT((AU107-FT_Y5)/12)+FT_AnnivDays+INT(MOD(AU107-FT_Y5,12)/FT_Int2))),IF(AQ107="PT",IF(AU107&lt;PT_First,0,1+INT((AU107-PT_First)/PT_Int)),0)),0)+IF(AND(AI107&gt;=3,AL107&lt;=AsOfDate),IF(AR107="FT",IF(AT107&lt;FT_First,0,IF(AT107&lt;FT_Y5,1+INT((AT107-FT_First)/FT_Int1),FT_PreY5+FT_PerYear*INT((AT107-FT_Y5)/12)+FT_AnnivDays+INT(MOD(AT107-FT_Y5,12)/FT_Int2))),IF(AR107="PT",IF(AT107&lt;PT_First,0,1+INT((AT107-PT_First)/PT_Int)),0))-IF(AR107="FT",IF(AV107&lt;FT_First,0,IF(AV107&lt;FT_Y5,1+INT((AV107-FT_First)/FT_Int1),FT_PreY5+FT_PerYear*INT((AV107-FT_Y5)/12)+FT_AnnivDays+INT(MOD(AV107-FT_Y5,12)/FT_Int2))),IF(AR107="PT",IF(AV107&lt;PT_First,0,1+INT((AV107-PT_First)/PT_Int)),0)),0))</f>
        <v/>
      </c>
      <c r="BA107" s="19" t="str">
        <f aca="false">IF(AG107=0,"",IF(AP107="FT",IF(AX107&lt;FT_First,0,IF(AX107&lt;FT_Y5,1+INT((AX107-FT_First)/FT_Int1),FT_PreY5+FT_PerYear*INT((AX107-FT_Y5)/12)+FT_AnnivDays+INT(MOD(AX107-FT_Y5,12)/FT_Int2))),IF(AP107="PT",IF(AX107&lt;PT_First,0,1+INT((AX107-PT_First)/PT_Int)),0))+IF(AND(AI107&gt;=2,AK107&lt;=PFYDate),IF(AQ107="FT",IF(AY107&lt;FT_First,0,IF(AY107&lt;FT_Y5,1+INT((AY107-FT_First)/FT_Int1),FT_PreY5+FT_PerYear*INT((AY107-FT_Y5)/12)+FT_AnnivDays+INT(MOD(AY107-FT_Y5,12)/FT_Int2))),IF(AQ107="PT",IF(AY107&lt;PT_First,0,1+INT((AY107-PT_First)/PT_Int)),0))-IF(AQ107="FT",IF(AX107&lt;FT_First,0,IF(AX107&lt;FT_Y5,1+INT((AX107-FT_First)/FT_Int1),FT_PreY5+FT_PerYear*INT((AX107-FT_Y5)/12)+FT_AnnivDays+INT(MOD(AX107-FT_Y5,12)/FT_Int2))),IF(AQ107="PT",IF(AX107&lt;PT_First,0,1+INT((AX107-PT_First)/PT_Int)),0)),0)+IF(AND(AI107&gt;=3,AL107&lt;=PFYDate),IF(AR107="FT",IF(AW107&lt;FT_First,0,IF(AW107&lt;FT_Y5,1+INT((AW107-FT_First)/FT_Int1),FT_PreY5+FT_PerYear*INT((AW107-FT_Y5)/12)+FT_AnnivDays+INT(MOD(AW107-FT_Y5,12)/FT_Int2))),IF(AR107="PT",IF(AW107&lt;PT_First,0,1+INT((AW107-PT_First)/PT_Int)),0))-IF(AR107="FT",IF(AY107&lt;FT_First,0,IF(AY107&lt;FT_Y5,1+INT((AY107-FT_First)/FT_Int1),FT_PreY5+FT_PerYear*INT((AY107-FT_Y5)/12)+FT_AnnivDays+INT(MOD(AY107-FT_Y5,12)/FT_Int2))),IF(AR107="PT",IF(AY107&lt;PT_First,0,1+INT((AY107-PT_First)/PT_Int)),0)),0))</f>
        <v/>
      </c>
      <c r="BB107" s="19" t="str">
        <f aca="false">IF(AG107=0,"",IF(AS107="FT",IF(AT107&lt;FT_First,FT_First,IF(AT107&lt;FT_Y5,MIN(FT_Y5,FT_First+FT_Int1*(INT((AT107-FT_First)/FT_Int1)+1)),FT_Y5+12*INT((AT107-FT_Y5)/12)+FT_Int2*(INT(MOD(AT107-FT_Y5,12)/FT_Int2)+1))),IF(AS107="PT",IF(AT107&lt;PT_First,PT_First,PT_First+PT_Int*(INT((AT107-PT_First)/PT_Int)+1)),"")))</f>
        <v/>
      </c>
      <c r="BC107" s="19" t="str">
        <f aca="false">IF(AG107=0,"",IF(NOT(LH_Ready),0,COUNTIFS(INDEX(LH_Data,0,LH_ColFirst),$A107,INDEX(LH_Data,0,LH_ColSur),$B107,INDEX(LH_Data,0,LH_ColCat),BonusCat)))</f>
        <v/>
      </c>
      <c r="BD107" s="19" t="str">
        <f aca="false">IF(AG107=0,"",IF(OR(NOT(LH_Ready),BC107=0),0,SUMPRODUCT(MAX((INDEX(LH_Data,0,LH_ColFirst)=$A107)*(INDEX(LH_Data,0,LH_ColSur)=$B107)*(INDEX(LH_Data,0,LH_ColCat)=BonusCat)*ROW(LH_Data)))))</f>
        <v/>
      </c>
      <c r="BE107" s="19" t="str">
        <f aca="false">IF(AG107=0,"",IF(EOMONTH(AsOfDate,-1)&lt;AH107,-1,12*(YEAR(EOMONTH(AsOfDate,-1))-YEAR(AH107))+MONTH(EOMONTH(AsOfDate,-1))-MONTH(AH107)-IF(DAY(EOMONTH(AsOfDate,-1))&lt;MIN(DAY(AH107),DAY(EOMONTH(EOMONTH(AsOfDate,-1),0))),1,0)))</f>
        <v/>
      </c>
      <c r="BF107" s="19" t="str">
        <f aca="false">IF(AG107=0,"",IF(OR(AI107&lt;2,AK107&gt;EOMONTH(AsOfDate,-1)),BE107,IF((AK107-1)&lt;AH107,-1,12*(YEAR((AK107-1))-YEAR(AH107))+MONTH((AK107-1))-MONTH(AH107)-IF(DAY((AK107-1))&lt;MIN(DAY(AH107),DAY(EOMONTH((AK107-1),0))),1,0))))</f>
        <v/>
      </c>
      <c r="BG107" s="19" t="str">
        <f aca="false">IF(AG107=0,"",IF(OR(AI107&lt;3,AL107&gt;EOMONTH(AsOfDate,-1)),BE107,IF((AL107-1)&lt;AH107,-1,12*(YEAR((AL107-1))-YEAR(AH107))+MONTH((AL107-1))-MONTH(AH107)-IF(DAY((AL107-1))&lt;MIN(DAY(AH107),DAY(EOMONTH((AL107-1),0))),1,0))))</f>
        <v/>
      </c>
      <c r="BH107" s="19" t="str">
        <f aca="false">IF(AG107=0,"",IF(AP107="FT",IF(BF107&lt;FT_First,0,IF(BF107&lt;FT_Y5,1+INT((BF107-FT_First)/FT_Int1),FT_PreY5+FT_PerYear*INT((BF107-FT_Y5)/12)+FT_AnnivDays+INT(MOD(BF107-FT_Y5,12)/FT_Int2))),IF(AP107="PT",IF(BF107&lt;PT_First,0,1+INT((BF107-PT_First)/PT_Int)),0))+IF(AND(AI107&gt;=2,AK107&lt;=EOMONTH(AsOfDate,-1)),IF(AQ107="FT",IF(BG107&lt;FT_First,0,IF(BG107&lt;FT_Y5,1+INT((BG107-FT_First)/FT_Int1),FT_PreY5+FT_PerYear*INT((BG107-FT_Y5)/12)+FT_AnnivDays+INT(MOD(BG107-FT_Y5,12)/FT_Int2))),IF(AQ107="PT",IF(BG107&lt;PT_First,0,1+INT((BG107-PT_First)/PT_Int)),0))-IF(AQ107="FT",IF(BF107&lt;FT_First,0,IF(BF107&lt;FT_Y5,1+INT((BF107-FT_First)/FT_Int1),FT_PreY5+FT_PerYear*INT((BF107-FT_Y5)/12)+FT_AnnivDays+INT(MOD(BF107-FT_Y5,12)/FT_Int2))),IF(AQ107="PT",IF(BF107&lt;PT_First,0,1+INT((BF107-PT_First)/PT_Int)),0)),0)+IF(AND(AI107&gt;=3,AL107&lt;=EOMONTH(AsOfDate,-1)),IF(AR107="FT",IF(BE107&lt;FT_First,0,IF(BE107&lt;FT_Y5,1+INT((BE107-FT_First)/FT_Int1),FT_PreY5+FT_PerYear*INT((BE107-FT_Y5)/12)+FT_AnnivDays+INT(MOD(BE107-FT_Y5,12)/FT_Int2))),IF(AR107="PT",IF(BE107&lt;PT_First,0,1+INT((BE107-PT_First)/PT_Int)),0))-IF(AR107="FT",IF(BG107&lt;FT_First,0,IF(BG107&lt;FT_Y5,1+INT((BG107-FT_First)/FT_Int1),FT_PreY5+FT_PerYear*INT((BG107-FT_Y5)/12)+FT_AnnivDays+INT(MOD(BG107-FT_Y5,12)/FT_Int2))),IF(AR107="PT",IF(BG107&lt;PT_First,0,1+INT((BG107-PT_First)/PT_Int)),0)),0))</f>
        <v/>
      </c>
      <c r="BI107" s="19" t="str">
        <f aca="false">IF(AG107=0,"",IF(AS107="FT",IF(AT107&lt;FT_First,"",IF(AT107&lt;FT_Y5,FT_First+FT_Int1*INT((AT107-FT_First)/FT_Int1),FT_Y5+FT_Int2*INT((AT107-FT_Y5)/FT_Int2))),IF(AS107="PT",IF(AT107&lt;PT_First,"",PT_First+PT_Int*INT((AT107-PT_First)/PT_Int)),"")))</f>
        <v/>
      </c>
      <c r="BJ107" s="0" t="str">
        <f aca="false">IF(LEN($A107&amp;$B107)=0,"",$A107&amp;" "&amp;$B107)</f>
        <v/>
      </c>
    </row>
    <row r="108" customFormat="false" ht="15" hidden="false" customHeight="false" outlineLevel="0" collapsed="false">
      <c r="A108" s="15"/>
      <c r="B108" s="15"/>
      <c r="C108" s="15"/>
      <c r="D108" s="16"/>
      <c r="E108" s="17" t="str">
        <f aca="false">IF(OR(AG108=0,$D108=""),"",DATE(YEAR(AsOfDate)+IF(DATE(YEAR(AsOfDate),MONTH($D108),DAY($D108))&lt;=AsOfDate,1,0),MONTH($D108),DAY($D108)))</f>
        <v/>
      </c>
      <c r="F108" s="16"/>
      <c r="G108" s="16"/>
      <c r="H108" s="16"/>
      <c r="I108" s="16"/>
      <c r="J108" s="16"/>
      <c r="K108" s="17" t="str">
        <f aca="false">IF(AG108=0,"",DATE(YEAR(AsOfDate)+IF(DATE(YEAR(AsOfDate),MONTH(AH108),DAY(AH108))&lt;=AsOfDate,1,0),MONTH(AH108),DAY(AH108)))</f>
        <v/>
      </c>
      <c r="L108" s="18" t="str">
        <f aca="false">IF(AG108=0,"",ROUND((AsOfDate-AH108)/365.25,1))</f>
        <v/>
      </c>
      <c r="M108" s="19" t="str">
        <f aca="false">IF(AG108=0,"",IF(AsOfDate&lt;AH108,"-",DATEDIF(AH108,AsOfDate,"y")&amp;"y "&amp;DATEDIF(AH108,AsOfDate,"ym")&amp;"m "&amp;DATEDIF(AH108,AsOfDate,"md")&amp;"d"))</f>
        <v/>
      </c>
      <c r="N108" s="20" t="str">
        <f aca="false">IF(AG108=0,"",O108*HoursPerDay)</f>
        <v/>
      </c>
      <c r="O108" s="20" t="str">
        <f aca="false">IF(AG108=0,"",AZ108)</f>
        <v/>
      </c>
      <c r="P108" s="21"/>
      <c r="Q108" s="19"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19"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7" t="str">
        <f aca="false">IF(AG108=0,"",IF(AS108="None","",EDATE(AH108,BB108)))</f>
        <v/>
      </c>
      <c r="T108" s="20" t="str">
        <f aca="false">IF(AG108=0,"",IF(NOT(LH_Ready),"",IF(AH108&gt;PFYDate,0,IF(LH_ColPeriod=0,W108-U108+V108,SUMIFS(INDEX(LH_Data,0,LH_ColAcc),INDEX(LH_Data,0,LH_ColFirst),$A108,INDEX(LH_Data,0,LH_ColSur),$B108,INDEX(LH_Data,0,LH_ColCat),BonusCat,INDEX(LH_Data,0,LH_ColPeriod),LH_OpenLabel)*UnitFactor))))</f>
        <v/>
      </c>
      <c r="U108" s="20" t="str">
        <f aca="false">IF(AG108=0,"",IF(NOT(LH_Ready),"",SUMIFS(INDEX(LH_Data,0,LH_ColAcc),INDEX(LH_Data,0,LH_ColFirst),$A108,INDEX(LH_Data,0,LH_ColSur),$B108,INDEX(LH_Data,0,LH_ColCat),BonusCat,INDEX(LH_Data,0,LH_ColStart),"&gt;="&amp;AH108)*UnitFactor))</f>
        <v/>
      </c>
      <c r="V108" s="20" t="str">
        <f aca="false">IF(AG108=0,"",IF(NOT(LH_Ready),"",SUMIFS(INDEX(LH_Data,0,LH_ColTaken),INDEX(LH_Data,0,LH_ColFirst),$A108,INDEX(LH_Data,0,LH_ColSur),$B108,INDEX(LH_Data,0,LH_ColCat),BonusCat,INDEX(LH_Data,0,LH_ColStart),"&gt;="&amp;AH108)*UnitFactor))</f>
        <v/>
      </c>
      <c r="W108" s="20" t="str">
        <f aca="false">IF(AG108=0,"",IF(NOT(LH_Ready),"",IF(BD108=0,0,INDEX(INDEX(LH_Data,0,LH_ColClose),BD108-1)*UnitFactor)))</f>
        <v/>
      </c>
      <c r="X108" s="20" t="str">
        <f aca="false">IF(AG108=0,"",(AZ108-BA108)*HoursPerDay)</f>
        <v/>
      </c>
      <c r="Y108" s="20" t="str">
        <f aca="false">IF(AG108=0,"",IF(NOT(LH_Ready),"",IF(BC108=0,N108,IF(PFYDate&lt;$F108,N108-N(T108)-N(U108),X108-N(U108)))))</f>
        <v/>
      </c>
      <c r="Z108" s="19" t="str">
        <f aca="false">IF(OR(AG108=0,Y108=""),"",IF(Y108&gt;0,"Yes","No"))</f>
        <v/>
      </c>
      <c r="AA108" s="19"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20" t="str">
        <f aca="false">IF(OR(AG108=0,T108=""),"",BA108*HoursPerDay-T108)</f>
        <v/>
      </c>
      <c r="AC108" s="19" t="str">
        <f aca="false">IF(AG108=0,"",BC108)</f>
        <v/>
      </c>
      <c r="AD108" s="19"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20" t="str">
        <f aca="false">IF(AG108=0,"",O108-BH108)</f>
        <v/>
      </c>
      <c r="AF108" s="17" t="str">
        <f aca="false">IF(OR(AG108=0,AE108="",N(AE108)=0,BI108=""),"",EDATE(AH108,BI108))</f>
        <v/>
      </c>
      <c r="AG108" s="19" t="n">
        <f aca="false">IF(OR(LEN($A108&amp;$B108)=0,$F108=""),0,1)</f>
        <v>0</v>
      </c>
      <c r="AH108" s="17" t="str">
        <f aca="false">IF(AG108=0,"",IF($J108&lt;&gt;"",$J108,IF(OR(CasualCounts="Yes",COUNT($G108:$I108)=0,COUNT($H108:$I108)=0),$F108,MIN($H108:$I108))))</f>
        <v/>
      </c>
      <c r="AI108" s="19" t="str">
        <f aca="false">IF(AG108=0,"",COUNT($G108:$I108))</f>
        <v/>
      </c>
      <c r="AJ108" s="17" t="str">
        <f aca="false">IF(AG108=0,"",IFERROR(SMALL($G108:$I108,1),""))</f>
        <v/>
      </c>
      <c r="AK108" s="17" t="str">
        <f aca="false">IF(AG108=0,"",IFERROR(SMALL($G108:$I108,2),""))</f>
        <v/>
      </c>
      <c r="AL108" s="17" t="str">
        <f aca="false">IF(AG108=0,"",IFERROR(SMALL($G108:$I108,3),""))</f>
        <v/>
      </c>
      <c r="AM108" s="19" t="str">
        <f aca="false">IF(AG108=0,"",IF(AJ108="","",IF(AJ108=$H108,"Part-Time",IF(AJ108=$I108,"Full-Time","Casual"))))</f>
        <v/>
      </c>
      <c r="AN108" s="19" t="str">
        <f aca="false">IF(AG108=0,"",IF(AK108="","",IF(AK108=$H108,"Part-Time",IF(AK108=$I108,"Full-Time","Casual"))))</f>
        <v/>
      </c>
      <c r="AO108" s="19" t="str">
        <f aca="false">IF(AG108=0,"",IF(AL108="","",IF(AL108=$H108,"Part-Time",IF(AL108=$I108,"Full-Time","Casual"))))</f>
        <v/>
      </c>
      <c r="AP108" s="19"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19" t="str">
        <f aca="false">IF(AG108=0,"",IF(AI108&lt;2,"",IF(OR(ISNUMBER(SEARCH("full",AN108)),UPPER(TRIM(AN108))="FT",UPPER(TRIM(AN108))="FTE"),"FT",IF(AND(OR(ISNUMBER(SEARCH("part",AN108)),UPPER(TRIM(AN108))="PT",UPPER(TRIM(AN108))="PTE"),OR($P108="",N($P108)&gt;=PT_MinHours)),"PT","None"))))</f>
        <v/>
      </c>
      <c r="AR108" s="19" t="str">
        <f aca="false">IF(AG108=0,"",IF(AI108&lt;3,"",IF(OR(ISNUMBER(SEARCH("full",AO108)),UPPER(TRIM(AO108))="FT",UPPER(TRIM(AO108))="FTE"),"FT",IF(AND(OR(ISNUMBER(SEARCH("part",AO108)),UPPER(TRIM(AO108))="PT",UPPER(TRIM(AO108))="PTE"),OR($P108="",N($P108)&gt;=PT_MinHours)),"PT","None"))))</f>
        <v/>
      </c>
      <c r="AS108" s="19" t="str">
        <f aca="false">IF(AG108=0,"",IF(AND(AI108&gt;=3,AL108&lt;=AsOfDate),AR108,IF(AND(AI108&gt;=2,AK108&lt;=AsOfDate),AQ108,AP108)))</f>
        <v/>
      </c>
      <c r="AT108" s="19" t="str">
        <f aca="false">IF(AG108=0,"",IF(AsOfDate&lt;AH108,-1,12*(YEAR(AsOfDate)-YEAR(AH108))+MONTH(AsOfDate)-MONTH(AH108)-IF(DAY(AsOfDate)&lt;MIN(DAY(AH108),DAY(EOMONTH(AsOfDate,0))),1,0)))</f>
        <v/>
      </c>
      <c r="AU108" s="19" t="str">
        <f aca="false">IF(AG108=0,"",IF(OR(AI108&lt;2,AK108&gt;AsOfDate),AT108,IF((AK108-1)&lt;AH108,-1,12*(YEAR((AK108-1))-YEAR(AH108))+MONTH((AK108-1))-MONTH(AH108)-IF(DAY((AK108-1))&lt;MIN(DAY(AH108),DAY(EOMONTH((AK108-1),0))),1,0))))</f>
        <v/>
      </c>
      <c r="AV108" s="19" t="str">
        <f aca="false">IF(AG108=0,"",IF(OR(AI108&lt;3,AL108&gt;AsOfDate),AT108,IF((AL108-1)&lt;AH108,-1,12*(YEAR((AL108-1))-YEAR(AH108))+MONTH((AL108-1))-MONTH(AH108)-IF(DAY((AL108-1))&lt;MIN(DAY(AH108),DAY(EOMONTH((AL108-1),0))),1,0))))</f>
        <v/>
      </c>
      <c r="AW108" s="19" t="str">
        <f aca="false">IF(AG108=0,"",IF(PFYDate&lt;AH108,-1,12*(YEAR(PFYDate)-YEAR(AH108))+MONTH(PFYDate)-MONTH(AH108)-IF(DAY(PFYDate)&lt;MIN(DAY(AH108),DAY(EOMONTH(PFYDate,0))),1,0)))</f>
        <v/>
      </c>
      <c r="AX108" s="19" t="str">
        <f aca="false">IF(AG108=0,"",IF(OR(AI108&lt;2,AK108&gt;PFYDate),AW108,IF((AK108-1)&lt;AH108,-1,12*(YEAR((AK108-1))-YEAR(AH108))+MONTH((AK108-1))-MONTH(AH108)-IF(DAY((AK108-1))&lt;MIN(DAY(AH108),DAY(EOMONTH((AK108-1),0))),1,0))))</f>
        <v/>
      </c>
      <c r="AY108" s="19" t="str">
        <f aca="false">IF(AG108=0,"",IF(OR(AI108&lt;3,AL108&gt;PFYDate),AW108,IF((AL108-1)&lt;AH108,-1,12*(YEAR((AL108-1))-YEAR(AH108))+MONTH((AL108-1))-MONTH(AH108)-IF(DAY((AL108-1))&lt;MIN(DAY(AH108),DAY(EOMONTH((AL108-1),0))),1,0))))</f>
        <v/>
      </c>
      <c r="AZ108" s="19" t="str">
        <f aca="false">IF(AG108=0,"",IF(AP108="FT",IF(AU108&lt;FT_First,0,IF(AU108&lt;FT_Y5,1+INT((AU108-FT_First)/FT_Int1),FT_PreY5+FT_PerYear*INT((AU108-FT_Y5)/12)+FT_AnnivDays+INT(MOD(AU108-FT_Y5,12)/FT_Int2))),IF(AP108="PT",IF(AU108&lt;PT_First,0,1+INT((AU108-PT_First)/PT_Int)),0))+IF(AND(AI108&gt;=2,AK108&lt;=AsOfDate),IF(AQ108="FT",IF(AV108&lt;FT_First,0,IF(AV108&lt;FT_Y5,1+INT((AV108-FT_First)/FT_Int1),FT_PreY5+FT_PerYear*INT((AV108-FT_Y5)/12)+FT_AnnivDays+INT(MOD(AV108-FT_Y5,12)/FT_Int2))),IF(AQ108="PT",IF(AV108&lt;PT_First,0,1+INT((AV108-PT_First)/PT_Int)),0))-IF(AQ108="FT",IF(AU108&lt;FT_First,0,IF(AU108&lt;FT_Y5,1+INT((AU108-FT_First)/FT_Int1),FT_PreY5+FT_PerYear*INT((AU108-FT_Y5)/12)+FT_AnnivDays+INT(MOD(AU108-FT_Y5,12)/FT_Int2))),IF(AQ108="PT",IF(AU108&lt;PT_First,0,1+INT((AU108-PT_First)/PT_Int)),0)),0)+IF(AND(AI108&gt;=3,AL108&lt;=AsOfDate),IF(AR108="FT",IF(AT108&lt;FT_First,0,IF(AT108&lt;FT_Y5,1+INT((AT108-FT_First)/FT_Int1),FT_PreY5+FT_PerYear*INT((AT108-FT_Y5)/12)+FT_AnnivDays+INT(MOD(AT108-FT_Y5,12)/FT_Int2))),IF(AR108="PT",IF(AT108&lt;PT_First,0,1+INT((AT108-PT_First)/PT_Int)),0))-IF(AR108="FT",IF(AV108&lt;FT_First,0,IF(AV108&lt;FT_Y5,1+INT((AV108-FT_First)/FT_Int1),FT_PreY5+FT_PerYear*INT((AV108-FT_Y5)/12)+FT_AnnivDays+INT(MOD(AV108-FT_Y5,12)/FT_Int2))),IF(AR108="PT",IF(AV108&lt;PT_First,0,1+INT((AV108-PT_First)/PT_Int)),0)),0))</f>
        <v/>
      </c>
      <c r="BA108" s="19" t="str">
        <f aca="false">IF(AG108=0,"",IF(AP108="FT",IF(AX108&lt;FT_First,0,IF(AX108&lt;FT_Y5,1+INT((AX108-FT_First)/FT_Int1),FT_PreY5+FT_PerYear*INT((AX108-FT_Y5)/12)+FT_AnnivDays+INT(MOD(AX108-FT_Y5,12)/FT_Int2))),IF(AP108="PT",IF(AX108&lt;PT_First,0,1+INT((AX108-PT_First)/PT_Int)),0))+IF(AND(AI108&gt;=2,AK108&lt;=PFYDate),IF(AQ108="FT",IF(AY108&lt;FT_First,0,IF(AY108&lt;FT_Y5,1+INT((AY108-FT_First)/FT_Int1),FT_PreY5+FT_PerYear*INT((AY108-FT_Y5)/12)+FT_AnnivDays+INT(MOD(AY108-FT_Y5,12)/FT_Int2))),IF(AQ108="PT",IF(AY108&lt;PT_First,0,1+INT((AY108-PT_First)/PT_Int)),0))-IF(AQ108="FT",IF(AX108&lt;FT_First,0,IF(AX108&lt;FT_Y5,1+INT((AX108-FT_First)/FT_Int1),FT_PreY5+FT_PerYear*INT((AX108-FT_Y5)/12)+FT_AnnivDays+INT(MOD(AX108-FT_Y5,12)/FT_Int2))),IF(AQ108="PT",IF(AX108&lt;PT_First,0,1+INT((AX108-PT_First)/PT_Int)),0)),0)+IF(AND(AI108&gt;=3,AL108&lt;=PFYDate),IF(AR108="FT",IF(AW108&lt;FT_First,0,IF(AW108&lt;FT_Y5,1+INT((AW108-FT_First)/FT_Int1),FT_PreY5+FT_PerYear*INT((AW108-FT_Y5)/12)+FT_AnnivDays+INT(MOD(AW108-FT_Y5,12)/FT_Int2))),IF(AR108="PT",IF(AW108&lt;PT_First,0,1+INT((AW108-PT_First)/PT_Int)),0))-IF(AR108="FT",IF(AY108&lt;FT_First,0,IF(AY108&lt;FT_Y5,1+INT((AY108-FT_First)/FT_Int1),FT_PreY5+FT_PerYear*INT((AY108-FT_Y5)/12)+FT_AnnivDays+INT(MOD(AY108-FT_Y5,12)/FT_Int2))),IF(AR108="PT",IF(AY108&lt;PT_First,0,1+INT((AY108-PT_First)/PT_Int)),0)),0))</f>
        <v/>
      </c>
      <c r="BB108" s="19" t="str">
        <f aca="false">IF(AG108=0,"",IF(AS108="FT",IF(AT108&lt;FT_First,FT_First,IF(AT108&lt;FT_Y5,MIN(FT_Y5,FT_First+FT_Int1*(INT((AT108-FT_First)/FT_Int1)+1)),FT_Y5+12*INT((AT108-FT_Y5)/12)+FT_Int2*(INT(MOD(AT108-FT_Y5,12)/FT_Int2)+1))),IF(AS108="PT",IF(AT108&lt;PT_First,PT_First,PT_First+PT_Int*(INT((AT108-PT_First)/PT_Int)+1)),"")))</f>
        <v/>
      </c>
      <c r="BC108" s="19" t="str">
        <f aca="false">IF(AG108=0,"",IF(NOT(LH_Ready),0,COUNTIFS(INDEX(LH_Data,0,LH_ColFirst),$A108,INDEX(LH_Data,0,LH_ColSur),$B108,INDEX(LH_Data,0,LH_ColCat),BonusCat)))</f>
        <v/>
      </c>
      <c r="BD108" s="19" t="str">
        <f aca="false">IF(AG108=0,"",IF(OR(NOT(LH_Ready),BC108=0),0,SUMPRODUCT(MAX((INDEX(LH_Data,0,LH_ColFirst)=$A108)*(INDEX(LH_Data,0,LH_ColSur)=$B108)*(INDEX(LH_Data,0,LH_ColCat)=BonusCat)*ROW(LH_Data)))))</f>
        <v/>
      </c>
      <c r="BE108" s="19" t="str">
        <f aca="false">IF(AG108=0,"",IF(EOMONTH(AsOfDate,-1)&lt;AH108,-1,12*(YEAR(EOMONTH(AsOfDate,-1))-YEAR(AH108))+MONTH(EOMONTH(AsOfDate,-1))-MONTH(AH108)-IF(DAY(EOMONTH(AsOfDate,-1))&lt;MIN(DAY(AH108),DAY(EOMONTH(EOMONTH(AsOfDate,-1),0))),1,0)))</f>
        <v/>
      </c>
      <c r="BF108" s="19" t="str">
        <f aca="false">IF(AG108=0,"",IF(OR(AI108&lt;2,AK108&gt;EOMONTH(AsOfDate,-1)),BE108,IF((AK108-1)&lt;AH108,-1,12*(YEAR((AK108-1))-YEAR(AH108))+MONTH((AK108-1))-MONTH(AH108)-IF(DAY((AK108-1))&lt;MIN(DAY(AH108),DAY(EOMONTH((AK108-1),0))),1,0))))</f>
        <v/>
      </c>
      <c r="BG108" s="19" t="str">
        <f aca="false">IF(AG108=0,"",IF(OR(AI108&lt;3,AL108&gt;EOMONTH(AsOfDate,-1)),BE108,IF((AL108-1)&lt;AH108,-1,12*(YEAR((AL108-1))-YEAR(AH108))+MONTH((AL108-1))-MONTH(AH108)-IF(DAY((AL108-1))&lt;MIN(DAY(AH108),DAY(EOMONTH((AL108-1),0))),1,0))))</f>
        <v/>
      </c>
      <c r="BH108" s="19" t="str">
        <f aca="false">IF(AG108=0,"",IF(AP108="FT",IF(BF108&lt;FT_First,0,IF(BF108&lt;FT_Y5,1+INT((BF108-FT_First)/FT_Int1),FT_PreY5+FT_PerYear*INT((BF108-FT_Y5)/12)+FT_AnnivDays+INT(MOD(BF108-FT_Y5,12)/FT_Int2))),IF(AP108="PT",IF(BF108&lt;PT_First,0,1+INT((BF108-PT_First)/PT_Int)),0))+IF(AND(AI108&gt;=2,AK108&lt;=EOMONTH(AsOfDate,-1)),IF(AQ108="FT",IF(BG108&lt;FT_First,0,IF(BG108&lt;FT_Y5,1+INT((BG108-FT_First)/FT_Int1),FT_PreY5+FT_PerYear*INT((BG108-FT_Y5)/12)+FT_AnnivDays+INT(MOD(BG108-FT_Y5,12)/FT_Int2))),IF(AQ108="PT",IF(BG108&lt;PT_First,0,1+INT((BG108-PT_First)/PT_Int)),0))-IF(AQ108="FT",IF(BF108&lt;FT_First,0,IF(BF108&lt;FT_Y5,1+INT((BF108-FT_First)/FT_Int1),FT_PreY5+FT_PerYear*INT((BF108-FT_Y5)/12)+FT_AnnivDays+INT(MOD(BF108-FT_Y5,12)/FT_Int2))),IF(AQ108="PT",IF(BF108&lt;PT_First,0,1+INT((BF108-PT_First)/PT_Int)),0)),0)+IF(AND(AI108&gt;=3,AL108&lt;=EOMONTH(AsOfDate,-1)),IF(AR108="FT",IF(BE108&lt;FT_First,0,IF(BE108&lt;FT_Y5,1+INT((BE108-FT_First)/FT_Int1),FT_PreY5+FT_PerYear*INT((BE108-FT_Y5)/12)+FT_AnnivDays+INT(MOD(BE108-FT_Y5,12)/FT_Int2))),IF(AR108="PT",IF(BE108&lt;PT_First,0,1+INT((BE108-PT_First)/PT_Int)),0))-IF(AR108="FT",IF(BG108&lt;FT_First,0,IF(BG108&lt;FT_Y5,1+INT((BG108-FT_First)/FT_Int1),FT_PreY5+FT_PerYear*INT((BG108-FT_Y5)/12)+FT_AnnivDays+INT(MOD(BG108-FT_Y5,12)/FT_Int2))),IF(AR108="PT",IF(BG108&lt;PT_First,0,1+INT((BG108-PT_First)/PT_Int)),0)),0))</f>
        <v/>
      </c>
      <c r="BI108" s="19" t="str">
        <f aca="false">IF(AG108=0,"",IF(AS108="FT",IF(AT108&lt;FT_First,"",IF(AT108&lt;FT_Y5,FT_First+FT_Int1*INT((AT108-FT_First)/FT_Int1),FT_Y5+FT_Int2*INT((AT108-FT_Y5)/FT_Int2))),IF(AS108="PT",IF(AT108&lt;PT_First,"",PT_First+PT_Int*INT((AT108-PT_First)/PT_Int)),"")))</f>
        <v/>
      </c>
      <c r="BJ108" s="0" t="str">
        <f aca="false">IF(LEN($A108&amp;$B108)=0,"",$A108&amp;" "&amp;$B108)</f>
        <v/>
      </c>
    </row>
    <row r="109" customFormat="false" ht="15" hidden="false" customHeight="false" outlineLevel="0" collapsed="false">
      <c r="A109" s="15"/>
      <c r="B109" s="15"/>
      <c r="C109" s="15"/>
      <c r="D109" s="16"/>
      <c r="E109" s="17" t="str">
        <f aca="false">IF(OR(AG109=0,$D109=""),"",DATE(YEAR(AsOfDate)+IF(DATE(YEAR(AsOfDate),MONTH($D109),DAY($D109))&lt;=AsOfDate,1,0),MONTH($D109),DAY($D109)))</f>
        <v/>
      </c>
      <c r="F109" s="16"/>
      <c r="G109" s="16"/>
      <c r="H109" s="16"/>
      <c r="I109" s="16"/>
      <c r="J109" s="16"/>
      <c r="K109" s="17" t="str">
        <f aca="false">IF(AG109=0,"",DATE(YEAR(AsOfDate)+IF(DATE(YEAR(AsOfDate),MONTH(AH109),DAY(AH109))&lt;=AsOfDate,1,0),MONTH(AH109),DAY(AH109)))</f>
        <v/>
      </c>
      <c r="L109" s="18" t="str">
        <f aca="false">IF(AG109=0,"",ROUND((AsOfDate-AH109)/365.25,1))</f>
        <v/>
      </c>
      <c r="M109" s="19" t="str">
        <f aca="false">IF(AG109=0,"",IF(AsOfDate&lt;AH109,"-",DATEDIF(AH109,AsOfDate,"y")&amp;"y "&amp;DATEDIF(AH109,AsOfDate,"ym")&amp;"m "&amp;DATEDIF(AH109,AsOfDate,"md")&amp;"d"))</f>
        <v/>
      </c>
      <c r="N109" s="20" t="str">
        <f aca="false">IF(AG109=0,"",O109*HoursPerDay)</f>
        <v/>
      </c>
      <c r="O109" s="20" t="str">
        <f aca="false">IF(AG109=0,"",AZ109)</f>
        <v/>
      </c>
      <c r="P109" s="21"/>
      <c r="Q109" s="19"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19"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7" t="str">
        <f aca="false">IF(AG109=0,"",IF(AS109="None","",EDATE(AH109,BB109)))</f>
        <v/>
      </c>
      <c r="T109" s="20" t="str">
        <f aca="false">IF(AG109=0,"",IF(NOT(LH_Ready),"",IF(AH109&gt;PFYDate,0,IF(LH_ColPeriod=0,W109-U109+V109,SUMIFS(INDEX(LH_Data,0,LH_ColAcc),INDEX(LH_Data,0,LH_ColFirst),$A109,INDEX(LH_Data,0,LH_ColSur),$B109,INDEX(LH_Data,0,LH_ColCat),BonusCat,INDEX(LH_Data,0,LH_ColPeriod),LH_OpenLabel)*UnitFactor))))</f>
        <v/>
      </c>
      <c r="U109" s="20" t="str">
        <f aca="false">IF(AG109=0,"",IF(NOT(LH_Ready),"",SUMIFS(INDEX(LH_Data,0,LH_ColAcc),INDEX(LH_Data,0,LH_ColFirst),$A109,INDEX(LH_Data,0,LH_ColSur),$B109,INDEX(LH_Data,0,LH_ColCat),BonusCat,INDEX(LH_Data,0,LH_ColStart),"&gt;="&amp;AH109)*UnitFactor))</f>
        <v/>
      </c>
      <c r="V109" s="20" t="str">
        <f aca="false">IF(AG109=0,"",IF(NOT(LH_Ready),"",SUMIFS(INDEX(LH_Data,0,LH_ColTaken),INDEX(LH_Data,0,LH_ColFirst),$A109,INDEX(LH_Data,0,LH_ColSur),$B109,INDEX(LH_Data,0,LH_ColCat),BonusCat,INDEX(LH_Data,0,LH_ColStart),"&gt;="&amp;AH109)*UnitFactor))</f>
        <v/>
      </c>
      <c r="W109" s="20" t="str">
        <f aca="false">IF(AG109=0,"",IF(NOT(LH_Ready),"",IF(BD109=0,0,INDEX(INDEX(LH_Data,0,LH_ColClose),BD109-1)*UnitFactor)))</f>
        <v/>
      </c>
      <c r="X109" s="20" t="str">
        <f aca="false">IF(AG109=0,"",(AZ109-BA109)*HoursPerDay)</f>
        <v/>
      </c>
      <c r="Y109" s="20" t="str">
        <f aca="false">IF(AG109=0,"",IF(NOT(LH_Ready),"",IF(BC109=0,N109,IF(PFYDate&lt;$F109,N109-N(T109)-N(U109),X109-N(U109)))))</f>
        <v/>
      </c>
      <c r="Z109" s="19" t="str">
        <f aca="false">IF(OR(AG109=0,Y109=""),"",IF(Y109&gt;0,"Yes","No"))</f>
        <v/>
      </c>
      <c r="AA109" s="19"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20" t="str">
        <f aca="false">IF(OR(AG109=0,T109=""),"",BA109*HoursPerDay-T109)</f>
        <v/>
      </c>
      <c r="AC109" s="19" t="str">
        <f aca="false">IF(AG109=0,"",BC109)</f>
        <v/>
      </c>
      <c r="AD109" s="19"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20" t="str">
        <f aca="false">IF(AG109=0,"",O109-BH109)</f>
        <v/>
      </c>
      <c r="AF109" s="17" t="str">
        <f aca="false">IF(OR(AG109=0,AE109="",N(AE109)=0,BI109=""),"",EDATE(AH109,BI109))</f>
        <v/>
      </c>
      <c r="AG109" s="19" t="n">
        <f aca="false">IF(OR(LEN($A109&amp;$B109)=0,$F109=""),0,1)</f>
        <v>0</v>
      </c>
      <c r="AH109" s="17" t="str">
        <f aca="false">IF(AG109=0,"",IF($J109&lt;&gt;"",$J109,IF(OR(CasualCounts="Yes",COUNT($G109:$I109)=0,COUNT($H109:$I109)=0),$F109,MIN($H109:$I109))))</f>
        <v/>
      </c>
      <c r="AI109" s="19" t="str">
        <f aca="false">IF(AG109=0,"",COUNT($G109:$I109))</f>
        <v/>
      </c>
      <c r="AJ109" s="17" t="str">
        <f aca="false">IF(AG109=0,"",IFERROR(SMALL($G109:$I109,1),""))</f>
        <v/>
      </c>
      <c r="AK109" s="17" t="str">
        <f aca="false">IF(AG109=0,"",IFERROR(SMALL($G109:$I109,2),""))</f>
        <v/>
      </c>
      <c r="AL109" s="17" t="str">
        <f aca="false">IF(AG109=0,"",IFERROR(SMALL($G109:$I109,3),""))</f>
        <v/>
      </c>
      <c r="AM109" s="19" t="str">
        <f aca="false">IF(AG109=0,"",IF(AJ109="","",IF(AJ109=$H109,"Part-Time",IF(AJ109=$I109,"Full-Time","Casual"))))</f>
        <v/>
      </c>
      <c r="AN109" s="19" t="str">
        <f aca="false">IF(AG109=0,"",IF(AK109="","",IF(AK109=$H109,"Part-Time",IF(AK109=$I109,"Full-Time","Casual"))))</f>
        <v/>
      </c>
      <c r="AO109" s="19" t="str">
        <f aca="false">IF(AG109=0,"",IF(AL109="","",IF(AL109=$H109,"Part-Time",IF(AL109=$I109,"Full-Time","Casual"))))</f>
        <v/>
      </c>
      <c r="AP109" s="19"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19" t="str">
        <f aca="false">IF(AG109=0,"",IF(AI109&lt;2,"",IF(OR(ISNUMBER(SEARCH("full",AN109)),UPPER(TRIM(AN109))="FT",UPPER(TRIM(AN109))="FTE"),"FT",IF(AND(OR(ISNUMBER(SEARCH("part",AN109)),UPPER(TRIM(AN109))="PT",UPPER(TRIM(AN109))="PTE"),OR($P109="",N($P109)&gt;=PT_MinHours)),"PT","None"))))</f>
        <v/>
      </c>
      <c r="AR109" s="19" t="str">
        <f aca="false">IF(AG109=0,"",IF(AI109&lt;3,"",IF(OR(ISNUMBER(SEARCH("full",AO109)),UPPER(TRIM(AO109))="FT",UPPER(TRIM(AO109))="FTE"),"FT",IF(AND(OR(ISNUMBER(SEARCH("part",AO109)),UPPER(TRIM(AO109))="PT",UPPER(TRIM(AO109))="PTE"),OR($P109="",N($P109)&gt;=PT_MinHours)),"PT","None"))))</f>
        <v/>
      </c>
      <c r="AS109" s="19" t="str">
        <f aca="false">IF(AG109=0,"",IF(AND(AI109&gt;=3,AL109&lt;=AsOfDate),AR109,IF(AND(AI109&gt;=2,AK109&lt;=AsOfDate),AQ109,AP109)))</f>
        <v/>
      </c>
      <c r="AT109" s="19" t="str">
        <f aca="false">IF(AG109=0,"",IF(AsOfDate&lt;AH109,-1,12*(YEAR(AsOfDate)-YEAR(AH109))+MONTH(AsOfDate)-MONTH(AH109)-IF(DAY(AsOfDate)&lt;MIN(DAY(AH109),DAY(EOMONTH(AsOfDate,0))),1,0)))</f>
        <v/>
      </c>
      <c r="AU109" s="19" t="str">
        <f aca="false">IF(AG109=0,"",IF(OR(AI109&lt;2,AK109&gt;AsOfDate),AT109,IF((AK109-1)&lt;AH109,-1,12*(YEAR((AK109-1))-YEAR(AH109))+MONTH((AK109-1))-MONTH(AH109)-IF(DAY((AK109-1))&lt;MIN(DAY(AH109),DAY(EOMONTH((AK109-1),0))),1,0))))</f>
        <v/>
      </c>
      <c r="AV109" s="19" t="str">
        <f aca="false">IF(AG109=0,"",IF(OR(AI109&lt;3,AL109&gt;AsOfDate),AT109,IF((AL109-1)&lt;AH109,-1,12*(YEAR((AL109-1))-YEAR(AH109))+MONTH((AL109-1))-MONTH(AH109)-IF(DAY((AL109-1))&lt;MIN(DAY(AH109),DAY(EOMONTH((AL109-1),0))),1,0))))</f>
        <v/>
      </c>
      <c r="AW109" s="19" t="str">
        <f aca="false">IF(AG109=0,"",IF(PFYDate&lt;AH109,-1,12*(YEAR(PFYDate)-YEAR(AH109))+MONTH(PFYDate)-MONTH(AH109)-IF(DAY(PFYDate)&lt;MIN(DAY(AH109),DAY(EOMONTH(PFYDate,0))),1,0)))</f>
        <v/>
      </c>
      <c r="AX109" s="19" t="str">
        <f aca="false">IF(AG109=0,"",IF(OR(AI109&lt;2,AK109&gt;PFYDate),AW109,IF((AK109-1)&lt;AH109,-1,12*(YEAR((AK109-1))-YEAR(AH109))+MONTH((AK109-1))-MONTH(AH109)-IF(DAY((AK109-1))&lt;MIN(DAY(AH109),DAY(EOMONTH((AK109-1),0))),1,0))))</f>
        <v/>
      </c>
      <c r="AY109" s="19" t="str">
        <f aca="false">IF(AG109=0,"",IF(OR(AI109&lt;3,AL109&gt;PFYDate),AW109,IF((AL109-1)&lt;AH109,-1,12*(YEAR((AL109-1))-YEAR(AH109))+MONTH((AL109-1))-MONTH(AH109)-IF(DAY((AL109-1))&lt;MIN(DAY(AH109),DAY(EOMONTH((AL109-1),0))),1,0))))</f>
        <v/>
      </c>
      <c r="AZ109" s="19" t="str">
        <f aca="false">IF(AG109=0,"",IF(AP109="FT",IF(AU109&lt;FT_First,0,IF(AU109&lt;FT_Y5,1+INT((AU109-FT_First)/FT_Int1),FT_PreY5+FT_PerYear*INT((AU109-FT_Y5)/12)+FT_AnnivDays+INT(MOD(AU109-FT_Y5,12)/FT_Int2))),IF(AP109="PT",IF(AU109&lt;PT_First,0,1+INT((AU109-PT_First)/PT_Int)),0))+IF(AND(AI109&gt;=2,AK109&lt;=AsOfDate),IF(AQ109="FT",IF(AV109&lt;FT_First,0,IF(AV109&lt;FT_Y5,1+INT((AV109-FT_First)/FT_Int1),FT_PreY5+FT_PerYear*INT((AV109-FT_Y5)/12)+FT_AnnivDays+INT(MOD(AV109-FT_Y5,12)/FT_Int2))),IF(AQ109="PT",IF(AV109&lt;PT_First,0,1+INT((AV109-PT_First)/PT_Int)),0))-IF(AQ109="FT",IF(AU109&lt;FT_First,0,IF(AU109&lt;FT_Y5,1+INT((AU109-FT_First)/FT_Int1),FT_PreY5+FT_PerYear*INT((AU109-FT_Y5)/12)+FT_AnnivDays+INT(MOD(AU109-FT_Y5,12)/FT_Int2))),IF(AQ109="PT",IF(AU109&lt;PT_First,0,1+INT((AU109-PT_First)/PT_Int)),0)),0)+IF(AND(AI109&gt;=3,AL109&lt;=AsOfDate),IF(AR109="FT",IF(AT109&lt;FT_First,0,IF(AT109&lt;FT_Y5,1+INT((AT109-FT_First)/FT_Int1),FT_PreY5+FT_PerYear*INT((AT109-FT_Y5)/12)+FT_AnnivDays+INT(MOD(AT109-FT_Y5,12)/FT_Int2))),IF(AR109="PT",IF(AT109&lt;PT_First,0,1+INT((AT109-PT_First)/PT_Int)),0))-IF(AR109="FT",IF(AV109&lt;FT_First,0,IF(AV109&lt;FT_Y5,1+INT((AV109-FT_First)/FT_Int1),FT_PreY5+FT_PerYear*INT((AV109-FT_Y5)/12)+FT_AnnivDays+INT(MOD(AV109-FT_Y5,12)/FT_Int2))),IF(AR109="PT",IF(AV109&lt;PT_First,0,1+INT((AV109-PT_First)/PT_Int)),0)),0))</f>
        <v/>
      </c>
      <c r="BA109" s="19" t="str">
        <f aca="false">IF(AG109=0,"",IF(AP109="FT",IF(AX109&lt;FT_First,0,IF(AX109&lt;FT_Y5,1+INT((AX109-FT_First)/FT_Int1),FT_PreY5+FT_PerYear*INT((AX109-FT_Y5)/12)+FT_AnnivDays+INT(MOD(AX109-FT_Y5,12)/FT_Int2))),IF(AP109="PT",IF(AX109&lt;PT_First,0,1+INT((AX109-PT_First)/PT_Int)),0))+IF(AND(AI109&gt;=2,AK109&lt;=PFYDate),IF(AQ109="FT",IF(AY109&lt;FT_First,0,IF(AY109&lt;FT_Y5,1+INT((AY109-FT_First)/FT_Int1),FT_PreY5+FT_PerYear*INT((AY109-FT_Y5)/12)+FT_AnnivDays+INT(MOD(AY109-FT_Y5,12)/FT_Int2))),IF(AQ109="PT",IF(AY109&lt;PT_First,0,1+INT((AY109-PT_First)/PT_Int)),0))-IF(AQ109="FT",IF(AX109&lt;FT_First,0,IF(AX109&lt;FT_Y5,1+INT((AX109-FT_First)/FT_Int1),FT_PreY5+FT_PerYear*INT((AX109-FT_Y5)/12)+FT_AnnivDays+INT(MOD(AX109-FT_Y5,12)/FT_Int2))),IF(AQ109="PT",IF(AX109&lt;PT_First,0,1+INT((AX109-PT_First)/PT_Int)),0)),0)+IF(AND(AI109&gt;=3,AL109&lt;=PFYDate),IF(AR109="FT",IF(AW109&lt;FT_First,0,IF(AW109&lt;FT_Y5,1+INT((AW109-FT_First)/FT_Int1),FT_PreY5+FT_PerYear*INT((AW109-FT_Y5)/12)+FT_AnnivDays+INT(MOD(AW109-FT_Y5,12)/FT_Int2))),IF(AR109="PT",IF(AW109&lt;PT_First,0,1+INT((AW109-PT_First)/PT_Int)),0))-IF(AR109="FT",IF(AY109&lt;FT_First,0,IF(AY109&lt;FT_Y5,1+INT((AY109-FT_First)/FT_Int1),FT_PreY5+FT_PerYear*INT((AY109-FT_Y5)/12)+FT_AnnivDays+INT(MOD(AY109-FT_Y5,12)/FT_Int2))),IF(AR109="PT",IF(AY109&lt;PT_First,0,1+INT((AY109-PT_First)/PT_Int)),0)),0))</f>
        <v/>
      </c>
      <c r="BB109" s="19" t="str">
        <f aca="false">IF(AG109=0,"",IF(AS109="FT",IF(AT109&lt;FT_First,FT_First,IF(AT109&lt;FT_Y5,MIN(FT_Y5,FT_First+FT_Int1*(INT((AT109-FT_First)/FT_Int1)+1)),FT_Y5+12*INT((AT109-FT_Y5)/12)+FT_Int2*(INT(MOD(AT109-FT_Y5,12)/FT_Int2)+1))),IF(AS109="PT",IF(AT109&lt;PT_First,PT_First,PT_First+PT_Int*(INT((AT109-PT_First)/PT_Int)+1)),"")))</f>
        <v/>
      </c>
      <c r="BC109" s="19" t="str">
        <f aca="false">IF(AG109=0,"",IF(NOT(LH_Ready),0,COUNTIFS(INDEX(LH_Data,0,LH_ColFirst),$A109,INDEX(LH_Data,0,LH_ColSur),$B109,INDEX(LH_Data,0,LH_ColCat),BonusCat)))</f>
        <v/>
      </c>
      <c r="BD109" s="19" t="str">
        <f aca="false">IF(AG109=0,"",IF(OR(NOT(LH_Ready),BC109=0),0,SUMPRODUCT(MAX((INDEX(LH_Data,0,LH_ColFirst)=$A109)*(INDEX(LH_Data,0,LH_ColSur)=$B109)*(INDEX(LH_Data,0,LH_ColCat)=BonusCat)*ROW(LH_Data)))))</f>
        <v/>
      </c>
      <c r="BE109" s="19" t="str">
        <f aca="false">IF(AG109=0,"",IF(EOMONTH(AsOfDate,-1)&lt;AH109,-1,12*(YEAR(EOMONTH(AsOfDate,-1))-YEAR(AH109))+MONTH(EOMONTH(AsOfDate,-1))-MONTH(AH109)-IF(DAY(EOMONTH(AsOfDate,-1))&lt;MIN(DAY(AH109),DAY(EOMONTH(EOMONTH(AsOfDate,-1),0))),1,0)))</f>
        <v/>
      </c>
      <c r="BF109" s="19" t="str">
        <f aca="false">IF(AG109=0,"",IF(OR(AI109&lt;2,AK109&gt;EOMONTH(AsOfDate,-1)),BE109,IF((AK109-1)&lt;AH109,-1,12*(YEAR((AK109-1))-YEAR(AH109))+MONTH((AK109-1))-MONTH(AH109)-IF(DAY((AK109-1))&lt;MIN(DAY(AH109),DAY(EOMONTH((AK109-1),0))),1,0))))</f>
        <v/>
      </c>
      <c r="BG109" s="19" t="str">
        <f aca="false">IF(AG109=0,"",IF(OR(AI109&lt;3,AL109&gt;EOMONTH(AsOfDate,-1)),BE109,IF((AL109-1)&lt;AH109,-1,12*(YEAR((AL109-1))-YEAR(AH109))+MONTH((AL109-1))-MONTH(AH109)-IF(DAY((AL109-1))&lt;MIN(DAY(AH109),DAY(EOMONTH((AL109-1),0))),1,0))))</f>
        <v/>
      </c>
      <c r="BH109" s="19" t="str">
        <f aca="false">IF(AG109=0,"",IF(AP109="FT",IF(BF109&lt;FT_First,0,IF(BF109&lt;FT_Y5,1+INT((BF109-FT_First)/FT_Int1),FT_PreY5+FT_PerYear*INT((BF109-FT_Y5)/12)+FT_AnnivDays+INT(MOD(BF109-FT_Y5,12)/FT_Int2))),IF(AP109="PT",IF(BF109&lt;PT_First,0,1+INT((BF109-PT_First)/PT_Int)),0))+IF(AND(AI109&gt;=2,AK109&lt;=EOMONTH(AsOfDate,-1)),IF(AQ109="FT",IF(BG109&lt;FT_First,0,IF(BG109&lt;FT_Y5,1+INT((BG109-FT_First)/FT_Int1),FT_PreY5+FT_PerYear*INT((BG109-FT_Y5)/12)+FT_AnnivDays+INT(MOD(BG109-FT_Y5,12)/FT_Int2))),IF(AQ109="PT",IF(BG109&lt;PT_First,0,1+INT((BG109-PT_First)/PT_Int)),0))-IF(AQ109="FT",IF(BF109&lt;FT_First,0,IF(BF109&lt;FT_Y5,1+INT((BF109-FT_First)/FT_Int1),FT_PreY5+FT_PerYear*INT((BF109-FT_Y5)/12)+FT_AnnivDays+INT(MOD(BF109-FT_Y5,12)/FT_Int2))),IF(AQ109="PT",IF(BF109&lt;PT_First,0,1+INT((BF109-PT_First)/PT_Int)),0)),0)+IF(AND(AI109&gt;=3,AL109&lt;=EOMONTH(AsOfDate,-1)),IF(AR109="FT",IF(BE109&lt;FT_First,0,IF(BE109&lt;FT_Y5,1+INT((BE109-FT_First)/FT_Int1),FT_PreY5+FT_PerYear*INT((BE109-FT_Y5)/12)+FT_AnnivDays+INT(MOD(BE109-FT_Y5,12)/FT_Int2))),IF(AR109="PT",IF(BE109&lt;PT_First,0,1+INT((BE109-PT_First)/PT_Int)),0))-IF(AR109="FT",IF(BG109&lt;FT_First,0,IF(BG109&lt;FT_Y5,1+INT((BG109-FT_First)/FT_Int1),FT_PreY5+FT_PerYear*INT((BG109-FT_Y5)/12)+FT_AnnivDays+INT(MOD(BG109-FT_Y5,12)/FT_Int2))),IF(AR109="PT",IF(BG109&lt;PT_First,0,1+INT((BG109-PT_First)/PT_Int)),0)),0))</f>
        <v/>
      </c>
      <c r="BI109" s="19" t="str">
        <f aca="false">IF(AG109=0,"",IF(AS109="FT",IF(AT109&lt;FT_First,"",IF(AT109&lt;FT_Y5,FT_First+FT_Int1*INT((AT109-FT_First)/FT_Int1),FT_Y5+FT_Int2*INT((AT109-FT_Y5)/FT_Int2))),IF(AS109="PT",IF(AT109&lt;PT_First,"",PT_First+PT_Int*INT((AT109-PT_First)/PT_Int)),"")))</f>
        <v/>
      </c>
      <c r="BJ109" s="0" t="str">
        <f aca="false">IF(LEN($A109&amp;$B109)=0,"",$A109&amp;" "&amp;$B109)</f>
        <v/>
      </c>
    </row>
    <row r="110" customFormat="false" ht="15" hidden="false" customHeight="false" outlineLevel="0" collapsed="false">
      <c r="A110" s="15"/>
      <c r="B110" s="15"/>
      <c r="C110" s="15"/>
      <c r="D110" s="16"/>
      <c r="E110" s="17" t="str">
        <f aca="false">IF(OR(AG110=0,$D110=""),"",DATE(YEAR(AsOfDate)+IF(DATE(YEAR(AsOfDate),MONTH($D110),DAY($D110))&lt;=AsOfDate,1,0),MONTH($D110),DAY($D110)))</f>
        <v/>
      </c>
      <c r="F110" s="16"/>
      <c r="G110" s="16"/>
      <c r="H110" s="16"/>
      <c r="I110" s="16"/>
      <c r="J110" s="16"/>
      <c r="K110" s="17" t="str">
        <f aca="false">IF(AG110=0,"",DATE(YEAR(AsOfDate)+IF(DATE(YEAR(AsOfDate),MONTH(AH110),DAY(AH110))&lt;=AsOfDate,1,0),MONTH(AH110),DAY(AH110)))</f>
        <v/>
      </c>
      <c r="L110" s="18" t="str">
        <f aca="false">IF(AG110=0,"",ROUND((AsOfDate-AH110)/365.25,1))</f>
        <v/>
      </c>
      <c r="M110" s="19" t="str">
        <f aca="false">IF(AG110=0,"",IF(AsOfDate&lt;AH110,"-",DATEDIF(AH110,AsOfDate,"y")&amp;"y "&amp;DATEDIF(AH110,AsOfDate,"ym")&amp;"m "&amp;DATEDIF(AH110,AsOfDate,"md")&amp;"d"))</f>
        <v/>
      </c>
      <c r="N110" s="20" t="str">
        <f aca="false">IF(AG110=0,"",O110*HoursPerDay)</f>
        <v/>
      </c>
      <c r="O110" s="20" t="str">
        <f aca="false">IF(AG110=0,"",AZ110)</f>
        <v/>
      </c>
      <c r="P110" s="21"/>
      <c r="Q110" s="19"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19"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7" t="str">
        <f aca="false">IF(AG110=0,"",IF(AS110="None","",EDATE(AH110,BB110)))</f>
        <v/>
      </c>
      <c r="T110" s="20" t="str">
        <f aca="false">IF(AG110=0,"",IF(NOT(LH_Ready),"",IF(AH110&gt;PFYDate,0,IF(LH_ColPeriod=0,W110-U110+V110,SUMIFS(INDEX(LH_Data,0,LH_ColAcc),INDEX(LH_Data,0,LH_ColFirst),$A110,INDEX(LH_Data,0,LH_ColSur),$B110,INDEX(LH_Data,0,LH_ColCat),BonusCat,INDEX(LH_Data,0,LH_ColPeriod),LH_OpenLabel)*UnitFactor))))</f>
        <v/>
      </c>
      <c r="U110" s="20" t="str">
        <f aca="false">IF(AG110=0,"",IF(NOT(LH_Ready),"",SUMIFS(INDEX(LH_Data,0,LH_ColAcc),INDEX(LH_Data,0,LH_ColFirst),$A110,INDEX(LH_Data,0,LH_ColSur),$B110,INDEX(LH_Data,0,LH_ColCat),BonusCat,INDEX(LH_Data,0,LH_ColStart),"&gt;="&amp;AH110)*UnitFactor))</f>
        <v/>
      </c>
      <c r="V110" s="20" t="str">
        <f aca="false">IF(AG110=0,"",IF(NOT(LH_Ready),"",SUMIFS(INDEX(LH_Data,0,LH_ColTaken),INDEX(LH_Data,0,LH_ColFirst),$A110,INDEX(LH_Data,0,LH_ColSur),$B110,INDEX(LH_Data,0,LH_ColCat),BonusCat,INDEX(LH_Data,0,LH_ColStart),"&gt;="&amp;AH110)*UnitFactor))</f>
        <v/>
      </c>
      <c r="W110" s="20" t="str">
        <f aca="false">IF(AG110=0,"",IF(NOT(LH_Ready),"",IF(BD110=0,0,INDEX(INDEX(LH_Data,0,LH_ColClose),BD110-1)*UnitFactor)))</f>
        <v/>
      </c>
      <c r="X110" s="20" t="str">
        <f aca="false">IF(AG110=0,"",(AZ110-BA110)*HoursPerDay)</f>
        <v/>
      </c>
      <c r="Y110" s="20" t="str">
        <f aca="false">IF(AG110=0,"",IF(NOT(LH_Ready),"",IF(BC110=0,N110,IF(PFYDate&lt;$F110,N110-N(T110)-N(U110),X110-N(U110)))))</f>
        <v/>
      </c>
      <c r="Z110" s="19" t="str">
        <f aca="false">IF(OR(AG110=0,Y110=""),"",IF(Y110&gt;0,"Yes","No"))</f>
        <v/>
      </c>
      <c r="AA110" s="19"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20" t="str">
        <f aca="false">IF(OR(AG110=0,T110=""),"",BA110*HoursPerDay-T110)</f>
        <v/>
      </c>
      <c r="AC110" s="19" t="str">
        <f aca="false">IF(AG110=0,"",BC110)</f>
        <v/>
      </c>
      <c r="AD110" s="19"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20" t="str">
        <f aca="false">IF(AG110=0,"",O110-BH110)</f>
        <v/>
      </c>
      <c r="AF110" s="17" t="str">
        <f aca="false">IF(OR(AG110=0,AE110="",N(AE110)=0,BI110=""),"",EDATE(AH110,BI110))</f>
        <v/>
      </c>
      <c r="AG110" s="19" t="n">
        <f aca="false">IF(OR(LEN($A110&amp;$B110)=0,$F110=""),0,1)</f>
        <v>0</v>
      </c>
      <c r="AH110" s="17" t="str">
        <f aca="false">IF(AG110=0,"",IF($J110&lt;&gt;"",$J110,IF(OR(CasualCounts="Yes",COUNT($G110:$I110)=0,COUNT($H110:$I110)=0),$F110,MIN($H110:$I110))))</f>
        <v/>
      </c>
      <c r="AI110" s="19" t="str">
        <f aca="false">IF(AG110=0,"",COUNT($G110:$I110))</f>
        <v/>
      </c>
      <c r="AJ110" s="17" t="str">
        <f aca="false">IF(AG110=0,"",IFERROR(SMALL($G110:$I110,1),""))</f>
        <v/>
      </c>
      <c r="AK110" s="17" t="str">
        <f aca="false">IF(AG110=0,"",IFERROR(SMALL($G110:$I110,2),""))</f>
        <v/>
      </c>
      <c r="AL110" s="17" t="str">
        <f aca="false">IF(AG110=0,"",IFERROR(SMALL($G110:$I110,3),""))</f>
        <v/>
      </c>
      <c r="AM110" s="19" t="str">
        <f aca="false">IF(AG110=0,"",IF(AJ110="","",IF(AJ110=$H110,"Part-Time",IF(AJ110=$I110,"Full-Time","Casual"))))</f>
        <v/>
      </c>
      <c r="AN110" s="19" t="str">
        <f aca="false">IF(AG110=0,"",IF(AK110="","",IF(AK110=$H110,"Part-Time",IF(AK110=$I110,"Full-Time","Casual"))))</f>
        <v/>
      </c>
      <c r="AO110" s="19" t="str">
        <f aca="false">IF(AG110=0,"",IF(AL110="","",IF(AL110=$H110,"Part-Time",IF(AL110=$I110,"Full-Time","Casual"))))</f>
        <v/>
      </c>
      <c r="AP110" s="19"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19" t="str">
        <f aca="false">IF(AG110=0,"",IF(AI110&lt;2,"",IF(OR(ISNUMBER(SEARCH("full",AN110)),UPPER(TRIM(AN110))="FT",UPPER(TRIM(AN110))="FTE"),"FT",IF(AND(OR(ISNUMBER(SEARCH("part",AN110)),UPPER(TRIM(AN110))="PT",UPPER(TRIM(AN110))="PTE"),OR($P110="",N($P110)&gt;=PT_MinHours)),"PT","None"))))</f>
        <v/>
      </c>
      <c r="AR110" s="19" t="str">
        <f aca="false">IF(AG110=0,"",IF(AI110&lt;3,"",IF(OR(ISNUMBER(SEARCH("full",AO110)),UPPER(TRIM(AO110))="FT",UPPER(TRIM(AO110))="FTE"),"FT",IF(AND(OR(ISNUMBER(SEARCH("part",AO110)),UPPER(TRIM(AO110))="PT",UPPER(TRIM(AO110))="PTE"),OR($P110="",N($P110)&gt;=PT_MinHours)),"PT","None"))))</f>
        <v/>
      </c>
      <c r="AS110" s="19" t="str">
        <f aca="false">IF(AG110=0,"",IF(AND(AI110&gt;=3,AL110&lt;=AsOfDate),AR110,IF(AND(AI110&gt;=2,AK110&lt;=AsOfDate),AQ110,AP110)))</f>
        <v/>
      </c>
      <c r="AT110" s="19" t="str">
        <f aca="false">IF(AG110=0,"",IF(AsOfDate&lt;AH110,-1,12*(YEAR(AsOfDate)-YEAR(AH110))+MONTH(AsOfDate)-MONTH(AH110)-IF(DAY(AsOfDate)&lt;MIN(DAY(AH110),DAY(EOMONTH(AsOfDate,0))),1,0)))</f>
        <v/>
      </c>
      <c r="AU110" s="19" t="str">
        <f aca="false">IF(AG110=0,"",IF(OR(AI110&lt;2,AK110&gt;AsOfDate),AT110,IF((AK110-1)&lt;AH110,-1,12*(YEAR((AK110-1))-YEAR(AH110))+MONTH((AK110-1))-MONTH(AH110)-IF(DAY((AK110-1))&lt;MIN(DAY(AH110),DAY(EOMONTH((AK110-1),0))),1,0))))</f>
        <v/>
      </c>
      <c r="AV110" s="19" t="str">
        <f aca="false">IF(AG110=0,"",IF(OR(AI110&lt;3,AL110&gt;AsOfDate),AT110,IF((AL110-1)&lt;AH110,-1,12*(YEAR((AL110-1))-YEAR(AH110))+MONTH((AL110-1))-MONTH(AH110)-IF(DAY((AL110-1))&lt;MIN(DAY(AH110),DAY(EOMONTH((AL110-1),0))),1,0))))</f>
        <v/>
      </c>
      <c r="AW110" s="19" t="str">
        <f aca="false">IF(AG110=0,"",IF(PFYDate&lt;AH110,-1,12*(YEAR(PFYDate)-YEAR(AH110))+MONTH(PFYDate)-MONTH(AH110)-IF(DAY(PFYDate)&lt;MIN(DAY(AH110),DAY(EOMONTH(PFYDate,0))),1,0)))</f>
        <v/>
      </c>
      <c r="AX110" s="19" t="str">
        <f aca="false">IF(AG110=0,"",IF(OR(AI110&lt;2,AK110&gt;PFYDate),AW110,IF((AK110-1)&lt;AH110,-1,12*(YEAR((AK110-1))-YEAR(AH110))+MONTH((AK110-1))-MONTH(AH110)-IF(DAY((AK110-1))&lt;MIN(DAY(AH110),DAY(EOMONTH((AK110-1),0))),1,0))))</f>
        <v/>
      </c>
      <c r="AY110" s="19" t="str">
        <f aca="false">IF(AG110=0,"",IF(OR(AI110&lt;3,AL110&gt;PFYDate),AW110,IF((AL110-1)&lt;AH110,-1,12*(YEAR((AL110-1))-YEAR(AH110))+MONTH((AL110-1))-MONTH(AH110)-IF(DAY((AL110-1))&lt;MIN(DAY(AH110),DAY(EOMONTH((AL110-1),0))),1,0))))</f>
        <v/>
      </c>
      <c r="AZ110" s="19" t="str">
        <f aca="false">IF(AG110=0,"",IF(AP110="FT",IF(AU110&lt;FT_First,0,IF(AU110&lt;FT_Y5,1+INT((AU110-FT_First)/FT_Int1),FT_PreY5+FT_PerYear*INT((AU110-FT_Y5)/12)+FT_AnnivDays+INT(MOD(AU110-FT_Y5,12)/FT_Int2))),IF(AP110="PT",IF(AU110&lt;PT_First,0,1+INT((AU110-PT_First)/PT_Int)),0))+IF(AND(AI110&gt;=2,AK110&lt;=AsOfDate),IF(AQ110="FT",IF(AV110&lt;FT_First,0,IF(AV110&lt;FT_Y5,1+INT((AV110-FT_First)/FT_Int1),FT_PreY5+FT_PerYear*INT((AV110-FT_Y5)/12)+FT_AnnivDays+INT(MOD(AV110-FT_Y5,12)/FT_Int2))),IF(AQ110="PT",IF(AV110&lt;PT_First,0,1+INT((AV110-PT_First)/PT_Int)),0))-IF(AQ110="FT",IF(AU110&lt;FT_First,0,IF(AU110&lt;FT_Y5,1+INT((AU110-FT_First)/FT_Int1),FT_PreY5+FT_PerYear*INT((AU110-FT_Y5)/12)+FT_AnnivDays+INT(MOD(AU110-FT_Y5,12)/FT_Int2))),IF(AQ110="PT",IF(AU110&lt;PT_First,0,1+INT((AU110-PT_First)/PT_Int)),0)),0)+IF(AND(AI110&gt;=3,AL110&lt;=AsOfDate),IF(AR110="FT",IF(AT110&lt;FT_First,0,IF(AT110&lt;FT_Y5,1+INT((AT110-FT_First)/FT_Int1),FT_PreY5+FT_PerYear*INT((AT110-FT_Y5)/12)+FT_AnnivDays+INT(MOD(AT110-FT_Y5,12)/FT_Int2))),IF(AR110="PT",IF(AT110&lt;PT_First,0,1+INT((AT110-PT_First)/PT_Int)),0))-IF(AR110="FT",IF(AV110&lt;FT_First,0,IF(AV110&lt;FT_Y5,1+INT((AV110-FT_First)/FT_Int1),FT_PreY5+FT_PerYear*INT((AV110-FT_Y5)/12)+FT_AnnivDays+INT(MOD(AV110-FT_Y5,12)/FT_Int2))),IF(AR110="PT",IF(AV110&lt;PT_First,0,1+INT((AV110-PT_First)/PT_Int)),0)),0))</f>
        <v/>
      </c>
      <c r="BA110" s="19" t="str">
        <f aca="false">IF(AG110=0,"",IF(AP110="FT",IF(AX110&lt;FT_First,0,IF(AX110&lt;FT_Y5,1+INT((AX110-FT_First)/FT_Int1),FT_PreY5+FT_PerYear*INT((AX110-FT_Y5)/12)+FT_AnnivDays+INT(MOD(AX110-FT_Y5,12)/FT_Int2))),IF(AP110="PT",IF(AX110&lt;PT_First,0,1+INT((AX110-PT_First)/PT_Int)),0))+IF(AND(AI110&gt;=2,AK110&lt;=PFYDate),IF(AQ110="FT",IF(AY110&lt;FT_First,0,IF(AY110&lt;FT_Y5,1+INT((AY110-FT_First)/FT_Int1),FT_PreY5+FT_PerYear*INT((AY110-FT_Y5)/12)+FT_AnnivDays+INT(MOD(AY110-FT_Y5,12)/FT_Int2))),IF(AQ110="PT",IF(AY110&lt;PT_First,0,1+INT((AY110-PT_First)/PT_Int)),0))-IF(AQ110="FT",IF(AX110&lt;FT_First,0,IF(AX110&lt;FT_Y5,1+INT((AX110-FT_First)/FT_Int1),FT_PreY5+FT_PerYear*INT((AX110-FT_Y5)/12)+FT_AnnivDays+INT(MOD(AX110-FT_Y5,12)/FT_Int2))),IF(AQ110="PT",IF(AX110&lt;PT_First,0,1+INT((AX110-PT_First)/PT_Int)),0)),0)+IF(AND(AI110&gt;=3,AL110&lt;=PFYDate),IF(AR110="FT",IF(AW110&lt;FT_First,0,IF(AW110&lt;FT_Y5,1+INT((AW110-FT_First)/FT_Int1),FT_PreY5+FT_PerYear*INT((AW110-FT_Y5)/12)+FT_AnnivDays+INT(MOD(AW110-FT_Y5,12)/FT_Int2))),IF(AR110="PT",IF(AW110&lt;PT_First,0,1+INT((AW110-PT_First)/PT_Int)),0))-IF(AR110="FT",IF(AY110&lt;FT_First,0,IF(AY110&lt;FT_Y5,1+INT((AY110-FT_First)/FT_Int1),FT_PreY5+FT_PerYear*INT((AY110-FT_Y5)/12)+FT_AnnivDays+INT(MOD(AY110-FT_Y5,12)/FT_Int2))),IF(AR110="PT",IF(AY110&lt;PT_First,0,1+INT((AY110-PT_First)/PT_Int)),0)),0))</f>
        <v/>
      </c>
      <c r="BB110" s="19" t="str">
        <f aca="false">IF(AG110=0,"",IF(AS110="FT",IF(AT110&lt;FT_First,FT_First,IF(AT110&lt;FT_Y5,MIN(FT_Y5,FT_First+FT_Int1*(INT((AT110-FT_First)/FT_Int1)+1)),FT_Y5+12*INT((AT110-FT_Y5)/12)+FT_Int2*(INT(MOD(AT110-FT_Y5,12)/FT_Int2)+1))),IF(AS110="PT",IF(AT110&lt;PT_First,PT_First,PT_First+PT_Int*(INT((AT110-PT_First)/PT_Int)+1)),"")))</f>
        <v/>
      </c>
      <c r="BC110" s="19" t="str">
        <f aca="false">IF(AG110=0,"",IF(NOT(LH_Ready),0,COUNTIFS(INDEX(LH_Data,0,LH_ColFirst),$A110,INDEX(LH_Data,0,LH_ColSur),$B110,INDEX(LH_Data,0,LH_ColCat),BonusCat)))</f>
        <v/>
      </c>
      <c r="BD110" s="19" t="str">
        <f aca="false">IF(AG110=0,"",IF(OR(NOT(LH_Ready),BC110=0),0,SUMPRODUCT(MAX((INDEX(LH_Data,0,LH_ColFirst)=$A110)*(INDEX(LH_Data,0,LH_ColSur)=$B110)*(INDEX(LH_Data,0,LH_ColCat)=BonusCat)*ROW(LH_Data)))))</f>
        <v/>
      </c>
      <c r="BE110" s="19" t="str">
        <f aca="false">IF(AG110=0,"",IF(EOMONTH(AsOfDate,-1)&lt;AH110,-1,12*(YEAR(EOMONTH(AsOfDate,-1))-YEAR(AH110))+MONTH(EOMONTH(AsOfDate,-1))-MONTH(AH110)-IF(DAY(EOMONTH(AsOfDate,-1))&lt;MIN(DAY(AH110),DAY(EOMONTH(EOMONTH(AsOfDate,-1),0))),1,0)))</f>
        <v/>
      </c>
      <c r="BF110" s="19" t="str">
        <f aca="false">IF(AG110=0,"",IF(OR(AI110&lt;2,AK110&gt;EOMONTH(AsOfDate,-1)),BE110,IF((AK110-1)&lt;AH110,-1,12*(YEAR((AK110-1))-YEAR(AH110))+MONTH((AK110-1))-MONTH(AH110)-IF(DAY((AK110-1))&lt;MIN(DAY(AH110),DAY(EOMONTH((AK110-1),0))),1,0))))</f>
        <v/>
      </c>
      <c r="BG110" s="19" t="str">
        <f aca="false">IF(AG110=0,"",IF(OR(AI110&lt;3,AL110&gt;EOMONTH(AsOfDate,-1)),BE110,IF((AL110-1)&lt;AH110,-1,12*(YEAR((AL110-1))-YEAR(AH110))+MONTH((AL110-1))-MONTH(AH110)-IF(DAY((AL110-1))&lt;MIN(DAY(AH110),DAY(EOMONTH((AL110-1),0))),1,0))))</f>
        <v/>
      </c>
      <c r="BH110" s="19" t="str">
        <f aca="false">IF(AG110=0,"",IF(AP110="FT",IF(BF110&lt;FT_First,0,IF(BF110&lt;FT_Y5,1+INT((BF110-FT_First)/FT_Int1),FT_PreY5+FT_PerYear*INT((BF110-FT_Y5)/12)+FT_AnnivDays+INT(MOD(BF110-FT_Y5,12)/FT_Int2))),IF(AP110="PT",IF(BF110&lt;PT_First,0,1+INT((BF110-PT_First)/PT_Int)),0))+IF(AND(AI110&gt;=2,AK110&lt;=EOMONTH(AsOfDate,-1)),IF(AQ110="FT",IF(BG110&lt;FT_First,0,IF(BG110&lt;FT_Y5,1+INT((BG110-FT_First)/FT_Int1),FT_PreY5+FT_PerYear*INT((BG110-FT_Y5)/12)+FT_AnnivDays+INT(MOD(BG110-FT_Y5,12)/FT_Int2))),IF(AQ110="PT",IF(BG110&lt;PT_First,0,1+INT((BG110-PT_First)/PT_Int)),0))-IF(AQ110="FT",IF(BF110&lt;FT_First,0,IF(BF110&lt;FT_Y5,1+INT((BF110-FT_First)/FT_Int1),FT_PreY5+FT_PerYear*INT((BF110-FT_Y5)/12)+FT_AnnivDays+INT(MOD(BF110-FT_Y5,12)/FT_Int2))),IF(AQ110="PT",IF(BF110&lt;PT_First,0,1+INT((BF110-PT_First)/PT_Int)),0)),0)+IF(AND(AI110&gt;=3,AL110&lt;=EOMONTH(AsOfDate,-1)),IF(AR110="FT",IF(BE110&lt;FT_First,0,IF(BE110&lt;FT_Y5,1+INT((BE110-FT_First)/FT_Int1),FT_PreY5+FT_PerYear*INT((BE110-FT_Y5)/12)+FT_AnnivDays+INT(MOD(BE110-FT_Y5,12)/FT_Int2))),IF(AR110="PT",IF(BE110&lt;PT_First,0,1+INT((BE110-PT_First)/PT_Int)),0))-IF(AR110="FT",IF(BG110&lt;FT_First,0,IF(BG110&lt;FT_Y5,1+INT((BG110-FT_First)/FT_Int1),FT_PreY5+FT_PerYear*INT((BG110-FT_Y5)/12)+FT_AnnivDays+INT(MOD(BG110-FT_Y5,12)/FT_Int2))),IF(AR110="PT",IF(BG110&lt;PT_First,0,1+INT((BG110-PT_First)/PT_Int)),0)),0))</f>
        <v/>
      </c>
      <c r="BI110" s="19" t="str">
        <f aca="false">IF(AG110=0,"",IF(AS110="FT",IF(AT110&lt;FT_First,"",IF(AT110&lt;FT_Y5,FT_First+FT_Int1*INT((AT110-FT_First)/FT_Int1),FT_Y5+FT_Int2*INT((AT110-FT_Y5)/FT_Int2))),IF(AS110="PT",IF(AT110&lt;PT_First,"",PT_First+PT_Int*INT((AT110-PT_First)/PT_Int)),"")))</f>
        <v/>
      </c>
      <c r="BJ110" s="0" t="str">
        <f aca="false">IF(LEN($A110&amp;$B110)=0,"",$A110&amp;" "&amp;$B110)</f>
        <v/>
      </c>
    </row>
    <row r="111" customFormat="false" ht="15" hidden="false" customHeight="false" outlineLevel="0" collapsed="false">
      <c r="A111" s="15"/>
      <c r="B111" s="15"/>
      <c r="C111" s="15"/>
      <c r="D111" s="16"/>
      <c r="E111" s="17" t="str">
        <f aca="false">IF(OR(AG111=0,$D111=""),"",DATE(YEAR(AsOfDate)+IF(DATE(YEAR(AsOfDate),MONTH($D111),DAY($D111))&lt;=AsOfDate,1,0),MONTH($D111),DAY($D111)))</f>
        <v/>
      </c>
      <c r="F111" s="16"/>
      <c r="G111" s="16"/>
      <c r="H111" s="16"/>
      <c r="I111" s="16"/>
      <c r="J111" s="16"/>
      <c r="K111" s="17" t="str">
        <f aca="false">IF(AG111=0,"",DATE(YEAR(AsOfDate)+IF(DATE(YEAR(AsOfDate),MONTH(AH111),DAY(AH111))&lt;=AsOfDate,1,0),MONTH(AH111),DAY(AH111)))</f>
        <v/>
      </c>
      <c r="L111" s="18" t="str">
        <f aca="false">IF(AG111=0,"",ROUND((AsOfDate-AH111)/365.25,1))</f>
        <v/>
      </c>
      <c r="M111" s="19" t="str">
        <f aca="false">IF(AG111=0,"",IF(AsOfDate&lt;AH111,"-",DATEDIF(AH111,AsOfDate,"y")&amp;"y "&amp;DATEDIF(AH111,AsOfDate,"ym")&amp;"m "&amp;DATEDIF(AH111,AsOfDate,"md")&amp;"d"))</f>
        <v/>
      </c>
      <c r="N111" s="20" t="str">
        <f aca="false">IF(AG111=0,"",O111*HoursPerDay)</f>
        <v/>
      </c>
      <c r="O111" s="20" t="str">
        <f aca="false">IF(AG111=0,"",AZ111)</f>
        <v/>
      </c>
      <c r="P111" s="21"/>
      <c r="Q111" s="19"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19"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7" t="str">
        <f aca="false">IF(AG111=0,"",IF(AS111="None","",EDATE(AH111,BB111)))</f>
        <v/>
      </c>
      <c r="T111" s="20" t="str">
        <f aca="false">IF(AG111=0,"",IF(NOT(LH_Ready),"",IF(AH111&gt;PFYDate,0,IF(LH_ColPeriod=0,W111-U111+V111,SUMIFS(INDEX(LH_Data,0,LH_ColAcc),INDEX(LH_Data,0,LH_ColFirst),$A111,INDEX(LH_Data,0,LH_ColSur),$B111,INDEX(LH_Data,0,LH_ColCat),BonusCat,INDEX(LH_Data,0,LH_ColPeriod),LH_OpenLabel)*UnitFactor))))</f>
        <v/>
      </c>
      <c r="U111" s="20" t="str">
        <f aca="false">IF(AG111=0,"",IF(NOT(LH_Ready),"",SUMIFS(INDEX(LH_Data,0,LH_ColAcc),INDEX(LH_Data,0,LH_ColFirst),$A111,INDEX(LH_Data,0,LH_ColSur),$B111,INDEX(LH_Data,0,LH_ColCat),BonusCat,INDEX(LH_Data,0,LH_ColStart),"&gt;="&amp;AH111)*UnitFactor))</f>
        <v/>
      </c>
      <c r="V111" s="20" t="str">
        <f aca="false">IF(AG111=0,"",IF(NOT(LH_Ready),"",SUMIFS(INDEX(LH_Data,0,LH_ColTaken),INDEX(LH_Data,0,LH_ColFirst),$A111,INDEX(LH_Data,0,LH_ColSur),$B111,INDEX(LH_Data,0,LH_ColCat),BonusCat,INDEX(LH_Data,0,LH_ColStart),"&gt;="&amp;AH111)*UnitFactor))</f>
        <v/>
      </c>
      <c r="W111" s="20" t="str">
        <f aca="false">IF(AG111=0,"",IF(NOT(LH_Ready),"",IF(BD111=0,0,INDEX(INDEX(LH_Data,0,LH_ColClose),BD111-1)*UnitFactor)))</f>
        <v/>
      </c>
      <c r="X111" s="20" t="str">
        <f aca="false">IF(AG111=0,"",(AZ111-BA111)*HoursPerDay)</f>
        <v/>
      </c>
      <c r="Y111" s="20" t="str">
        <f aca="false">IF(AG111=0,"",IF(NOT(LH_Ready),"",IF(BC111=0,N111,IF(PFYDate&lt;$F111,N111-N(T111)-N(U111),X111-N(U111)))))</f>
        <v/>
      </c>
      <c r="Z111" s="19" t="str">
        <f aca="false">IF(OR(AG111=0,Y111=""),"",IF(Y111&gt;0,"Yes","No"))</f>
        <v/>
      </c>
      <c r="AA111" s="19"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20" t="str">
        <f aca="false">IF(OR(AG111=0,T111=""),"",BA111*HoursPerDay-T111)</f>
        <v/>
      </c>
      <c r="AC111" s="19" t="str">
        <f aca="false">IF(AG111=0,"",BC111)</f>
        <v/>
      </c>
      <c r="AD111" s="19"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20" t="str">
        <f aca="false">IF(AG111=0,"",O111-BH111)</f>
        <v/>
      </c>
      <c r="AF111" s="17" t="str">
        <f aca="false">IF(OR(AG111=0,AE111="",N(AE111)=0,BI111=""),"",EDATE(AH111,BI111))</f>
        <v/>
      </c>
      <c r="AG111" s="19" t="n">
        <f aca="false">IF(OR(LEN($A111&amp;$B111)=0,$F111=""),0,1)</f>
        <v>0</v>
      </c>
      <c r="AH111" s="17" t="str">
        <f aca="false">IF(AG111=0,"",IF($J111&lt;&gt;"",$J111,IF(OR(CasualCounts="Yes",COUNT($G111:$I111)=0,COUNT($H111:$I111)=0),$F111,MIN($H111:$I111))))</f>
        <v/>
      </c>
      <c r="AI111" s="19" t="str">
        <f aca="false">IF(AG111=0,"",COUNT($G111:$I111))</f>
        <v/>
      </c>
      <c r="AJ111" s="17" t="str">
        <f aca="false">IF(AG111=0,"",IFERROR(SMALL($G111:$I111,1),""))</f>
        <v/>
      </c>
      <c r="AK111" s="17" t="str">
        <f aca="false">IF(AG111=0,"",IFERROR(SMALL($G111:$I111,2),""))</f>
        <v/>
      </c>
      <c r="AL111" s="17" t="str">
        <f aca="false">IF(AG111=0,"",IFERROR(SMALL($G111:$I111,3),""))</f>
        <v/>
      </c>
      <c r="AM111" s="19" t="str">
        <f aca="false">IF(AG111=0,"",IF(AJ111="","",IF(AJ111=$H111,"Part-Time",IF(AJ111=$I111,"Full-Time","Casual"))))</f>
        <v/>
      </c>
      <c r="AN111" s="19" t="str">
        <f aca="false">IF(AG111=0,"",IF(AK111="","",IF(AK111=$H111,"Part-Time",IF(AK111=$I111,"Full-Time","Casual"))))</f>
        <v/>
      </c>
      <c r="AO111" s="19" t="str">
        <f aca="false">IF(AG111=0,"",IF(AL111="","",IF(AL111=$H111,"Part-Time",IF(AL111=$I111,"Full-Time","Casual"))))</f>
        <v/>
      </c>
      <c r="AP111" s="19"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19" t="str">
        <f aca="false">IF(AG111=0,"",IF(AI111&lt;2,"",IF(OR(ISNUMBER(SEARCH("full",AN111)),UPPER(TRIM(AN111))="FT",UPPER(TRIM(AN111))="FTE"),"FT",IF(AND(OR(ISNUMBER(SEARCH("part",AN111)),UPPER(TRIM(AN111))="PT",UPPER(TRIM(AN111))="PTE"),OR($P111="",N($P111)&gt;=PT_MinHours)),"PT","None"))))</f>
        <v/>
      </c>
      <c r="AR111" s="19" t="str">
        <f aca="false">IF(AG111=0,"",IF(AI111&lt;3,"",IF(OR(ISNUMBER(SEARCH("full",AO111)),UPPER(TRIM(AO111))="FT",UPPER(TRIM(AO111))="FTE"),"FT",IF(AND(OR(ISNUMBER(SEARCH("part",AO111)),UPPER(TRIM(AO111))="PT",UPPER(TRIM(AO111))="PTE"),OR($P111="",N($P111)&gt;=PT_MinHours)),"PT","None"))))</f>
        <v/>
      </c>
      <c r="AS111" s="19" t="str">
        <f aca="false">IF(AG111=0,"",IF(AND(AI111&gt;=3,AL111&lt;=AsOfDate),AR111,IF(AND(AI111&gt;=2,AK111&lt;=AsOfDate),AQ111,AP111)))</f>
        <v/>
      </c>
      <c r="AT111" s="19" t="str">
        <f aca="false">IF(AG111=0,"",IF(AsOfDate&lt;AH111,-1,12*(YEAR(AsOfDate)-YEAR(AH111))+MONTH(AsOfDate)-MONTH(AH111)-IF(DAY(AsOfDate)&lt;MIN(DAY(AH111),DAY(EOMONTH(AsOfDate,0))),1,0)))</f>
        <v/>
      </c>
      <c r="AU111" s="19" t="str">
        <f aca="false">IF(AG111=0,"",IF(OR(AI111&lt;2,AK111&gt;AsOfDate),AT111,IF((AK111-1)&lt;AH111,-1,12*(YEAR((AK111-1))-YEAR(AH111))+MONTH((AK111-1))-MONTH(AH111)-IF(DAY((AK111-1))&lt;MIN(DAY(AH111),DAY(EOMONTH((AK111-1),0))),1,0))))</f>
        <v/>
      </c>
      <c r="AV111" s="19" t="str">
        <f aca="false">IF(AG111=0,"",IF(OR(AI111&lt;3,AL111&gt;AsOfDate),AT111,IF((AL111-1)&lt;AH111,-1,12*(YEAR((AL111-1))-YEAR(AH111))+MONTH((AL111-1))-MONTH(AH111)-IF(DAY((AL111-1))&lt;MIN(DAY(AH111),DAY(EOMONTH((AL111-1),0))),1,0))))</f>
        <v/>
      </c>
      <c r="AW111" s="19" t="str">
        <f aca="false">IF(AG111=0,"",IF(PFYDate&lt;AH111,-1,12*(YEAR(PFYDate)-YEAR(AH111))+MONTH(PFYDate)-MONTH(AH111)-IF(DAY(PFYDate)&lt;MIN(DAY(AH111),DAY(EOMONTH(PFYDate,0))),1,0)))</f>
        <v/>
      </c>
      <c r="AX111" s="19" t="str">
        <f aca="false">IF(AG111=0,"",IF(OR(AI111&lt;2,AK111&gt;PFYDate),AW111,IF((AK111-1)&lt;AH111,-1,12*(YEAR((AK111-1))-YEAR(AH111))+MONTH((AK111-1))-MONTH(AH111)-IF(DAY((AK111-1))&lt;MIN(DAY(AH111),DAY(EOMONTH((AK111-1),0))),1,0))))</f>
        <v/>
      </c>
      <c r="AY111" s="19" t="str">
        <f aca="false">IF(AG111=0,"",IF(OR(AI111&lt;3,AL111&gt;PFYDate),AW111,IF((AL111-1)&lt;AH111,-1,12*(YEAR((AL111-1))-YEAR(AH111))+MONTH((AL111-1))-MONTH(AH111)-IF(DAY((AL111-1))&lt;MIN(DAY(AH111),DAY(EOMONTH((AL111-1),0))),1,0))))</f>
        <v/>
      </c>
      <c r="AZ111" s="19" t="str">
        <f aca="false">IF(AG111=0,"",IF(AP111="FT",IF(AU111&lt;FT_First,0,IF(AU111&lt;FT_Y5,1+INT((AU111-FT_First)/FT_Int1),FT_PreY5+FT_PerYear*INT((AU111-FT_Y5)/12)+FT_AnnivDays+INT(MOD(AU111-FT_Y5,12)/FT_Int2))),IF(AP111="PT",IF(AU111&lt;PT_First,0,1+INT((AU111-PT_First)/PT_Int)),0))+IF(AND(AI111&gt;=2,AK111&lt;=AsOfDate),IF(AQ111="FT",IF(AV111&lt;FT_First,0,IF(AV111&lt;FT_Y5,1+INT((AV111-FT_First)/FT_Int1),FT_PreY5+FT_PerYear*INT((AV111-FT_Y5)/12)+FT_AnnivDays+INT(MOD(AV111-FT_Y5,12)/FT_Int2))),IF(AQ111="PT",IF(AV111&lt;PT_First,0,1+INT((AV111-PT_First)/PT_Int)),0))-IF(AQ111="FT",IF(AU111&lt;FT_First,0,IF(AU111&lt;FT_Y5,1+INT((AU111-FT_First)/FT_Int1),FT_PreY5+FT_PerYear*INT((AU111-FT_Y5)/12)+FT_AnnivDays+INT(MOD(AU111-FT_Y5,12)/FT_Int2))),IF(AQ111="PT",IF(AU111&lt;PT_First,0,1+INT((AU111-PT_First)/PT_Int)),0)),0)+IF(AND(AI111&gt;=3,AL111&lt;=AsOfDate),IF(AR111="FT",IF(AT111&lt;FT_First,0,IF(AT111&lt;FT_Y5,1+INT((AT111-FT_First)/FT_Int1),FT_PreY5+FT_PerYear*INT((AT111-FT_Y5)/12)+FT_AnnivDays+INT(MOD(AT111-FT_Y5,12)/FT_Int2))),IF(AR111="PT",IF(AT111&lt;PT_First,0,1+INT((AT111-PT_First)/PT_Int)),0))-IF(AR111="FT",IF(AV111&lt;FT_First,0,IF(AV111&lt;FT_Y5,1+INT((AV111-FT_First)/FT_Int1),FT_PreY5+FT_PerYear*INT((AV111-FT_Y5)/12)+FT_AnnivDays+INT(MOD(AV111-FT_Y5,12)/FT_Int2))),IF(AR111="PT",IF(AV111&lt;PT_First,0,1+INT((AV111-PT_First)/PT_Int)),0)),0))</f>
        <v/>
      </c>
      <c r="BA111" s="19" t="str">
        <f aca="false">IF(AG111=0,"",IF(AP111="FT",IF(AX111&lt;FT_First,0,IF(AX111&lt;FT_Y5,1+INT((AX111-FT_First)/FT_Int1),FT_PreY5+FT_PerYear*INT((AX111-FT_Y5)/12)+FT_AnnivDays+INT(MOD(AX111-FT_Y5,12)/FT_Int2))),IF(AP111="PT",IF(AX111&lt;PT_First,0,1+INT((AX111-PT_First)/PT_Int)),0))+IF(AND(AI111&gt;=2,AK111&lt;=PFYDate),IF(AQ111="FT",IF(AY111&lt;FT_First,0,IF(AY111&lt;FT_Y5,1+INT((AY111-FT_First)/FT_Int1),FT_PreY5+FT_PerYear*INT((AY111-FT_Y5)/12)+FT_AnnivDays+INT(MOD(AY111-FT_Y5,12)/FT_Int2))),IF(AQ111="PT",IF(AY111&lt;PT_First,0,1+INT((AY111-PT_First)/PT_Int)),0))-IF(AQ111="FT",IF(AX111&lt;FT_First,0,IF(AX111&lt;FT_Y5,1+INT((AX111-FT_First)/FT_Int1),FT_PreY5+FT_PerYear*INT((AX111-FT_Y5)/12)+FT_AnnivDays+INT(MOD(AX111-FT_Y5,12)/FT_Int2))),IF(AQ111="PT",IF(AX111&lt;PT_First,0,1+INT((AX111-PT_First)/PT_Int)),0)),0)+IF(AND(AI111&gt;=3,AL111&lt;=PFYDate),IF(AR111="FT",IF(AW111&lt;FT_First,0,IF(AW111&lt;FT_Y5,1+INT((AW111-FT_First)/FT_Int1),FT_PreY5+FT_PerYear*INT((AW111-FT_Y5)/12)+FT_AnnivDays+INT(MOD(AW111-FT_Y5,12)/FT_Int2))),IF(AR111="PT",IF(AW111&lt;PT_First,0,1+INT((AW111-PT_First)/PT_Int)),0))-IF(AR111="FT",IF(AY111&lt;FT_First,0,IF(AY111&lt;FT_Y5,1+INT((AY111-FT_First)/FT_Int1),FT_PreY5+FT_PerYear*INT((AY111-FT_Y5)/12)+FT_AnnivDays+INT(MOD(AY111-FT_Y5,12)/FT_Int2))),IF(AR111="PT",IF(AY111&lt;PT_First,0,1+INT((AY111-PT_First)/PT_Int)),0)),0))</f>
        <v/>
      </c>
      <c r="BB111" s="19" t="str">
        <f aca="false">IF(AG111=0,"",IF(AS111="FT",IF(AT111&lt;FT_First,FT_First,IF(AT111&lt;FT_Y5,MIN(FT_Y5,FT_First+FT_Int1*(INT((AT111-FT_First)/FT_Int1)+1)),FT_Y5+12*INT((AT111-FT_Y5)/12)+FT_Int2*(INT(MOD(AT111-FT_Y5,12)/FT_Int2)+1))),IF(AS111="PT",IF(AT111&lt;PT_First,PT_First,PT_First+PT_Int*(INT((AT111-PT_First)/PT_Int)+1)),"")))</f>
        <v/>
      </c>
      <c r="BC111" s="19" t="str">
        <f aca="false">IF(AG111=0,"",IF(NOT(LH_Ready),0,COUNTIFS(INDEX(LH_Data,0,LH_ColFirst),$A111,INDEX(LH_Data,0,LH_ColSur),$B111,INDEX(LH_Data,0,LH_ColCat),BonusCat)))</f>
        <v/>
      </c>
      <c r="BD111" s="19" t="str">
        <f aca="false">IF(AG111=0,"",IF(OR(NOT(LH_Ready),BC111=0),0,SUMPRODUCT(MAX((INDEX(LH_Data,0,LH_ColFirst)=$A111)*(INDEX(LH_Data,0,LH_ColSur)=$B111)*(INDEX(LH_Data,0,LH_ColCat)=BonusCat)*ROW(LH_Data)))))</f>
        <v/>
      </c>
      <c r="BE111" s="19" t="str">
        <f aca="false">IF(AG111=0,"",IF(EOMONTH(AsOfDate,-1)&lt;AH111,-1,12*(YEAR(EOMONTH(AsOfDate,-1))-YEAR(AH111))+MONTH(EOMONTH(AsOfDate,-1))-MONTH(AH111)-IF(DAY(EOMONTH(AsOfDate,-1))&lt;MIN(DAY(AH111),DAY(EOMONTH(EOMONTH(AsOfDate,-1),0))),1,0)))</f>
        <v/>
      </c>
      <c r="BF111" s="19" t="str">
        <f aca="false">IF(AG111=0,"",IF(OR(AI111&lt;2,AK111&gt;EOMONTH(AsOfDate,-1)),BE111,IF((AK111-1)&lt;AH111,-1,12*(YEAR((AK111-1))-YEAR(AH111))+MONTH((AK111-1))-MONTH(AH111)-IF(DAY((AK111-1))&lt;MIN(DAY(AH111),DAY(EOMONTH((AK111-1),0))),1,0))))</f>
        <v/>
      </c>
      <c r="BG111" s="19" t="str">
        <f aca="false">IF(AG111=0,"",IF(OR(AI111&lt;3,AL111&gt;EOMONTH(AsOfDate,-1)),BE111,IF((AL111-1)&lt;AH111,-1,12*(YEAR((AL111-1))-YEAR(AH111))+MONTH((AL111-1))-MONTH(AH111)-IF(DAY((AL111-1))&lt;MIN(DAY(AH111),DAY(EOMONTH((AL111-1),0))),1,0))))</f>
        <v/>
      </c>
      <c r="BH111" s="19" t="str">
        <f aca="false">IF(AG111=0,"",IF(AP111="FT",IF(BF111&lt;FT_First,0,IF(BF111&lt;FT_Y5,1+INT((BF111-FT_First)/FT_Int1),FT_PreY5+FT_PerYear*INT((BF111-FT_Y5)/12)+FT_AnnivDays+INT(MOD(BF111-FT_Y5,12)/FT_Int2))),IF(AP111="PT",IF(BF111&lt;PT_First,0,1+INT((BF111-PT_First)/PT_Int)),0))+IF(AND(AI111&gt;=2,AK111&lt;=EOMONTH(AsOfDate,-1)),IF(AQ111="FT",IF(BG111&lt;FT_First,0,IF(BG111&lt;FT_Y5,1+INT((BG111-FT_First)/FT_Int1),FT_PreY5+FT_PerYear*INT((BG111-FT_Y5)/12)+FT_AnnivDays+INT(MOD(BG111-FT_Y5,12)/FT_Int2))),IF(AQ111="PT",IF(BG111&lt;PT_First,0,1+INT((BG111-PT_First)/PT_Int)),0))-IF(AQ111="FT",IF(BF111&lt;FT_First,0,IF(BF111&lt;FT_Y5,1+INT((BF111-FT_First)/FT_Int1),FT_PreY5+FT_PerYear*INT((BF111-FT_Y5)/12)+FT_AnnivDays+INT(MOD(BF111-FT_Y5,12)/FT_Int2))),IF(AQ111="PT",IF(BF111&lt;PT_First,0,1+INT((BF111-PT_First)/PT_Int)),0)),0)+IF(AND(AI111&gt;=3,AL111&lt;=EOMONTH(AsOfDate,-1)),IF(AR111="FT",IF(BE111&lt;FT_First,0,IF(BE111&lt;FT_Y5,1+INT((BE111-FT_First)/FT_Int1),FT_PreY5+FT_PerYear*INT((BE111-FT_Y5)/12)+FT_AnnivDays+INT(MOD(BE111-FT_Y5,12)/FT_Int2))),IF(AR111="PT",IF(BE111&lt;PT_First,0,1+INT((BE111-PT_First)/PT_Int)),0))-IF(AR111="FT",IF(BG111&lt;FT_First,0,IF(BG111&lt;FT_Y5,1+INT((BG111-FT_First)/FT_Int1),FT_PreY5+FT_PerYear*INT((BG111-FT_Y5)/12)+FT_AnnivDays+INT(MOD(BG111-FT_Y5,12)/FT_Int2))),IF(AR111="PT",IF(BG111&lt;PT_First,0,1+INT((BG111-PT_First)/PT_Int)),0)),0))</f>
        <v/>
      </c>
      <c r="BI111" s="19" t="str">
        <f aca="false">IF(AG111=0,"",IF(AS111="FT",IF(AT111&lt;FT_First,"",IF(AT111&lt;FT_Y5,FT_First+FT_Int1*INT((AT111-FT_First)/FT_Int1),FT_Y5+FT_Int2*INT((AT111-FT_Y5)/FT_Int2))),IF(AS111="PT",IF(AT111&lt;PT_First,"",PT_First+PT_Int*INT((AT111-PT_First)/PT_Int)),"")))</f>
        <v/>
      </c>
      <c r="BJ111" s="0" t="str">
        <f aca="false">IF(LEN($A111&amp;$B111)=0,"",$A111&amp;" "&amp;$B111)</f>
        <v/>
      </c>
    </row>
    <row r="112" customFormat="false" ht="15" hidden="false" customHeight="false" outlineLevel="0" collapsed="false">
      <c r="A112" s="15"/>
      <c r="B112" s="15"/>
      <c r="C112" s="15"/>
      <c r="D112" s="16"/>
      <c r="E112" s="17" t="str">
        <f aca="false">IF(OR(AG112=0,$D112=""),"",DATE(YEAR(AsOfDate)+IF(DATE(YEAR(AsOfDate),MONTH($D112),DAY($D112))&lt;=AsOfDate,1,0),MONTH($D112),DAY($D112)))</f>
        <v/>
      </c>
      <c r="F112" s="16"/>
      <c r="G112" s="16"/>
      <c r="H112" s="16"/>
      <c r="I112" s="16"/>
      <c r="J112" s="16"/>
      <c r="K112" s="17" t="str">
        <f aca="false">IF(AG112=0,"",DATE(YEAR(AsOfDate)+IF(DATE(YEAR(AsOfDate),MONTH(AH112),DAY(AH112))&lt;=AsOfDate,1,0),MONTH(AH112),DAY(AH112)))</f>
        <v/>
      </c>
      <c r="L112" s="18" t="str">
        <f aca="false">IF(AG112=0,"",ROUND((AsOfDate-AH112)/365.25,1))</f>
        <v/>
      </c>
      <c r="M112" s="19" t="str">
        <f aca="false">IF(AG112=0,"",IF(AsOfDate&lt;AH112,"-",DATEDIF(AH112,AsOfDate,"y")&amp;"y "&amp;DATEDIF(AH112,AsOfDate,"ym")&amp;"m "&amp;DATEDIF(AH112,AsOfDate,"md")&amp;"d"))</f>
        <v/>
      </c>
      <c r="N112" s="20" t="str">
        <f aca="false">IF(AG112=0,"",O112*HoursPerDay)</f>
        <v/>
      </c>
      <c r="O112" s="20" t="str">
        <f aca="false">IF(AG112=0,"",AZ112)</f>
        <v/>
      </c>
      <c r="P112" s="21"/>
      <c r="Q112" s="19"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19"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7" t="str">
        <f aca="false">IF(AG112=0,"",IF(AS112="None","",EDATE(AH112,BB112)))</f>
        <v/>
      </c>
      <c r="T112" s="20" t="str">
        <f aca="false">IF(AG112=0,"",IF(NOT(LH_Ready),"",IF(AH112&gt;PFYDate,0,IF(LH_ColPeriod=0,W112-U112+V112,SUMIFS(INDEX(LH_Data,0,LH_ColAcc),INDEX(LH_Data,0,LH_ColFirst),$A112,INDEX(LH_Data,0,LH_ColSur),$B112,INDEX(LH_Data,0,LH_ColCat),BonusCat,INDEX(LH_Data,0,LH_ColPeriod),LH_OpenLabel)*UnitFactor))))</f>
        <v/>
      </c>
      <c r="U112" s="20" t="str">
        <f aca="false">IF(AG112=0,"",IF(NOT(LH_Ready),"",SUMIFS(INDEX(LH_Data,0,LH_ColAcc),INDEX(LH_Data,0,LH_ColFirst),$A112,INDEX(LH_Data,0,LH_ColSur),$B112,INDEX(LH_Data,0,LH_ColCat),BonusCat,INDEX(LH_Data,0,LH_ColStart),"&gt;="&amp;AH112)*UnitFactor))</f>
        <v/>
      </c>
      <c r="V112" s="20" t="str">
        <f aca="false">IF(AG112=0,"",IF(NOT(LH_Ready),"",SUMIFS(INDEX(LH_Data,0,LH_ColTaken),INDEX(LH_Data,0,LH_ColFirst),$A112,INDEX(LH_Data,0,LH_ColSur),$B112,INDEX(LH_Data,0,LH_ColCat),BonusCat,INDEX(LH_Data,0,LH_ColStart),"&gt;="&amp;AH112)*UnitFactor))</f>
        <v/>
      </c>
      <c r="W112" s="20" t="str">
        <f aca="false">IF(AG112=0,"",IF(NOT(LH_Ready),"",IF(BD112=0,0,INDEX(INDEX(LH_Data,0,LH_ColClose),BD112-1)*UnitFactor)))</f>
        <v/>
      </c>
      <c r="X112" s="20" t="str">
        <f aca="false">IF(AG112=0,"",(AZ112-BA112)*HoursPerDay)</f>
        <v/>
      </c>
      <c r="Y112" s="20" t="str">
        <f aca="false">IF(AG112=0,"",IF(NOT(LH_Ready),"",IF(BC112=0,N112,IF(PFYDate&lt;$F112,N112-N(T112)-N(U112),X112-N(U112)))))</f>
        <v/>
      </c>
      <c r="Z112" s="19" t="str">
        <f aca="false">IF(OR(AG112=0,Y112=""),"",IF(Y112&gt;0,"Yes","No"))</f>
        <v/>
      </c>
      <c r="AA112" s="19"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20" t="str">
        <f aca="false">IF(OR(AG112=0,T112=""),"",BA112*HoursPerDay-T112)</f>
        <v/>
      </c>
      <c r="AC112" s="19" t="str">
        <f aca="false">IF(AG112=0,"",BC112)</f>
        <v/>
      </c>
      <c r="AD112" s="19"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20" t="str">
        <f aca="false">IF(AG112=0,"",O112-BH112)</f>
        <v/>
      </c>
      <c r="AF112" s="17" t="str">
        <f aca="false">IF(OR(AG112=0,AE112="",N(AE112)=0,BI112=""),"",EDATE(AH112,BI112))</f>
        <v/>
      </c>
      <c r="AG112" s="19" t="n">
        <f aca="false">IF(OR(LEN($A112&amp;$B112)=0,$F112=""),0,1)</f>
        <v>0</v>
      </c>
      <c r="AH112" s="17" t="str">
        <f aca="false">IF(AG112=0,"",IF($J112&lt;&gt;"",$J112,IF(OR(CasualCounts="Yes",COUNT($G112:$I112)=0,COUNT($H112:$I112)=0),$F112,MIN($H112:$I112))))</f>
        <v/>
      </c>
      <c r="AI112" s="19" t="str">
        <f aca="false">IF(AG112=0,"",COUNT($G112:$I112))</f>
        <v/>
      </c>
      <c r="AJ112" s="17" t="str">
        <f aca="false">IF(AG112=0,"",IFERROR(SMALL($G112:$I112,1),""))</f>
        <v/>
      </c>
      <c r="AK112" s="17" t="str">
        <f aca="false">IF(AG112=0,"",IFERROR(SMALL($G112:$I112,2),""))</f>
        <v/>
      </c>
      <c r="AL112" s="17" t="str">
        <f aca="false">IF(AG112=0,"",IFERROR(SMALL($G112:$I112,3),""))</f>
        <v/>
      </c>
      <c r="AM112" s="19" t="str">
        <f aca="false">IF(AG112=0,"",IF(AJ112="","",IF(AJ112=$H112,"Part-Time",IF(AJ112=$I112,"Full-Time","Casual"))))</f>
        <v/>
      </c>
      <c r="AN112" s="19" t="str">
        <f aca="false">IF(AG112=0,"",IF(AK112="","",IF(AK112=$H112,"Part-Time",IF(AK112=$I112,"Full-Time","Casual"))))</f>
        <v/>
      </c>
      <c r="AO112" s="19" t="str">
        <f aca="false">IF(AG112=0,"",IF(AL112="","",IF(AL112=$H112,"Part-Time",IF(AL112=$I112,"Full-Time","Casual"))))</f>
        <v/>
      </c>
      <c r="AP112" s="19"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19" t="str">
        <f aca="false">IF(AG112=0,"",IF(AI112&lt;2,"",IF(OR(ISNUMBER(SEARCH("full",AN112)),UPPER(TRIM(AN112))="FT",UPPER(TRIM(AN112))="FTE"),"FT",IF(AND(OR(ISNUMBER(SEARCH("part",AN112)),UPPER(TRIM(AN112))="PT",UPPER(TRIM(AN112))="PTE"),OR($P112="",N($P112)&gt;=PT_MinHours)),"PT","None"))))</f>
        <v/>
      </c>
      <c r="AR112" s="19" t="str">
        <f aca="false">IF(AG112=0,"",IF(AI112&lt;3,"",IF(OR(ISNUMBER(SEARCH("full",AO112)),UPPER(TRIM(AO112))="FT",UPPER(TRIM(AO112))="FTE"),"FT",IF(AND(OR(ISNUMBER(SEARCH("part",AO112)),UPPER(TRIM(AO112))="PT",UPPER(TRIM(AO112))="PTE"),OR($P112="",N($P112)&gt;=PT_MinHours)),"PT","None"))))</f>
        <v/>
      </c>
      <c r="AS112" s="19" t="str">
        <f aca="false">IF(AG112=0,"",IF(AND(AI112&gt;=3,AL112&lt;=AsOfDate),AR112,IF(AND(AI112&gt;=2,AK112&lt;=AsOfDate),AQ112,AP112)))</f>
        <v/>
      </c>
      <c r="AT112" s="19" t="str">
        <f aca="false">IF(AG112=0,"",IF(AsOfDate&lt;AH112,-1,12*(YEAR(AsOfDate)-YEAR(AH112))+MONTH(AsOfDate)-MONTH(AH112)-IF(DAY(AsOfDate)&lt;MIN(DAY(AH112),DAY(EOMONTH(AsOfDate,0))),1,0)))</f>
        <v/>
      </c>
      <c r="AU112" s="19" t="str">
        <f aca="false">IF(AG112=0,"",IF(OR(AI112&lt;2,AK112&gt;AsOfDate),AT112,IF((AK112-1)&lt;AH112,-1,12*(YEAR((AK112-1))-YEAR(AH112))+MONTH((AK112-1))-MONTH(AH112)-IF(DAY((AK112-1))&lt;MIN(DAY(AH112),DAY(EOMONTH((AK112-1),0))),1,0))))</f>
        <v/>
      </c>
      <c r="AV112" s="19" t="str">
        <f aca="false">IF(AG112=0,"",IF(OR(AI112&lt;3,AL112&gt;AsOfDate),AT112,IF((AL112-1)&lt;AH112,-1,12*(YEAR((AL112-1))-YEAR(AH112))+MONTH((AL112-1))-MONTH(AH112)-IF(DAY((AL112-1))&lt;MIN(DAY(AH112),DAY(EOMONTH((AL112-1),0))),1,0))))</f>
        <v/>
      </c>
      <c r="AW112" s="19" t="str">
        <f aca="false">IF(AG112=0,"",IF(PFYDate&lt;AH112,-1,12*(YEAR(PFYDate)-YEAR(AH112))+MONTH(PFYDate)-MONTH(AH112)-IF(DAY(PFYDate)&lt;MIN(DAY(AH112),DAY(EOMONTH(PFYDate,0))),1,0)))</f>
        <v/>
      </c>
      <c r="AX112" s="19" t="str">
        <f aca="false">IF(AG112=0,"",IF(OR(AI112&lt;2,AK112&gt;PFYDate),AW112,IF((AK112-1)&lt;AH112,-1,12*(YEAR((AK112-1))-YEAR(AH112))+MONTH((AK112-1))-MONTH(AH112)-IF(DAY((AK112-1))&lt;MIN(DAY(AH112),DAY(EOMONTH((AK112-1),0))),1,0))))</f>
        <v/>
      </c>
      <c r="AY112" s="19" t="str">
        <f aca="false">IF(AG112=0,"",IF(OR(AI112&lt;3,AL112&gt;PFYDate),AW112,IF((AL112-1)&lt;AH112,-1,12*(YEAR((AL112-1))-YEAR(AH112))+MONTH((AL112-1))-MONTH(AH112)-IF(DAY((AL112-1))&lt;MIN(DAY(AH112),DAY(EOMONTH((AL112-1),0))),1,0))))</f>
        <v/>
      </c>
      <c r="AZ112" s="19" t="str">
        <f aca="false">IF(AG112=0,"",IF(AP112="FT",IF(AU112&lt;FT_First,0,IF(AU112&lt;FT_Y5,1+INT((AU112-FT_First)/FT_Int1),FT_PreY5+FT_PerYear*INT((AU112-FT_Y5)/12)+FT_AnnivDays+INT(MOD(AU112-FT_Y5,12)/FT_Int2))),IF(AP112="PT",IF(AU112&lt;PT_First,0,1+INT((AU112-PT_First)/PT_Int)),0))+IF(AND(AI112&gt;=2,AK112&lt;=AsOfDate),IF(AQ112="FT",IF(AV112&lt;FT_First,0,IF(AV112&lt;FT_Y5,1+INT((AV112-FT_First)/FT_Int1),FT_PreY5+FT_PerYear*INT((AV112-FT_Y5)/12)+FT_AnnivDays+INT(MOD(AV112-FT_Y5,12)/FT_Int2))),IF(AQ112="PT",IF(AV112&lt;PT_First,0,1+INT((AV112-PT_First)/PT_Int)),0))-IF(AQ112="FT",IF(AU112&lt;FT_First,0,IF(AU112&lt;FT_Y5,1+INT((AU112-FT_First)/FT_Int1),FT_PreY5+FT_PerYear*INT((AU112-FT_Y5)/12)+FT_AnnivDays+INT(MOD(AU112-FT_Y5,12)/FT_Int2))),IF(AQ112="PT",IF(AU112&lt;PT_First,0,1+INT((AU112-PT_First)/PT_Int)),0)),0)+IF(AND(AI112&gt;=3,AL112&lt;=AsOfDate),IF(AR112="FT",IF(AT112&lt;FT_First,0,IF(AT112&lt;FT_Y5,1+INT((AT112-FT_First)/FT_Int1),FT_PreY5+FT_PerYear*INT((AT112-FT_Y5)/12)+FT_AnnivDays+INT(MOD(AT112-FT_Y5,12)/FT_Int2))),IF(AR112="PT",IF(AT112&lt;PT_First,0,1+INT((AT112-PT_First)/PT_Int)),0))-IF(AR112="FT",IF(AV112&lt;FT_First,0,IF(AV112&lt;FT_Y5,1+INT((AV112-FT_First)/FT_Int1),FT_PreY5+FT_PerYear*INT((AV112-FT_Y5)/12)+FT_AnnivDays+INT(MOD(AV112-FT_Y5,12)/FT_Int2))),IF(AR112="PT",IF(AV112&lt;PT_First,0,1+INT((AV112-PT_First)/PT_Int)),0)),0))</f>
        <v/>
      </c>
      <c r="BA112" s="19" t="str">
        <f aca="false">IF(AG112=0,"",IF(AP112="FT",IF(AX112&lt;FT_First,0,IF(AX112&lt;FT_Y5,1+INT((AX112-FT_First)/FT_Int1),FT_PreY5+FT_PerYear*INT((AX112-FT_Y5)/12)+FT_AnnivDays+INT(MOD(AX112-FT_Y5,12)/FT_Int2))),IF(AP112="PT",IF(AX112&lt;PT_First,0,1+INT((AX112-PT_First)/PT_Int)),0))+IF(AND(AI112&gt;=2,AK112&lt;=PFYDate),IF(AQ112="FT",IF(AY112&lt;FT_First,0,IF(AY112&lt;FT_Y5,1+INT((AY112-FT_First)/FT_Int1),FT_PreY5+FT_PerYear*INT((AY112-FT_Y5)/12)+FT_AnnivDays+INT(MOD(AY112-FT_Y5,12)/FT_Int2))),IF(AQ112="PT",IF(AY112&lt;PT_First,0,1+INT((AY112-PT_First)/PT_Int)),0))-IF(AQ112="FT",IF(AX112&lt;FT_First,0,IF(AX112&lt;FT_Y5,1+INT((AX112-FT_First)/FT_Int1),FT_PreY5+FT_PerYear*INT((AX112-FT_Y5)/12)+FT_AnnivDays+INT(MOD(AX112-FT_Y5,12)/FT_Int2))),IF(AQ112="PT",IF(AX112&lt;PT_First,0,1+INT((AX112-PT_First)/PT_Int)),0)),0)+IF(AND(AI112&gt;=3,AL112&lt;=PFYDate),IF(AR112="FT",IF(AW112&lt;FT_First,0,IF(AW112&lt;FT_Y5,1+INT((AW112-FT_First)/FT_Int1),FT_PreY5+FT_PerYear*INT((AW112-FT_Y5)/12)+FT_AnnivDays+INT(MOD(AW112-FT_Y5,12)/FT_Int2))),IF(AR112="PT",IF(AW112&lt;PT_First,0,1+INT((AW112-PT_First)/PT_Int)),0))-IF(AR112="FT",IF(AY112&lt;FT_First,0,IF(AY112&lt;FT_Y5,1+INT((AY112-FT_First)/FT_Int1),FT_PreY5+FT_PerYear*INT((AY112-FT_Y5)/12)+FT_AnnivDays+INT(MOD(AY112-FT_Y5,12)/FT_Int2))),IF(AR112="PT",IF(AY112&lt;PT_First,0,1+INT((AY112-PT_First)/PT_Int)),0)),0))</f>
        <v/>
      </c>
      <c r="BB112" s="19" t="str">
        <f aca="false">IF(AG112=0,"",IF(AS112="FT",IF(AT112&lt;FT_First,FT_First,IF(AT112&lt;FT_Y5,MIN(FT_Y5,FT_First+FT_Int1*(INT((AT112-FT_First)/FT_Int1)+1)),FT_Y5+12*INT((AT112-FT_Y5)/12)+FT_Int2*(INT(MOD(AT112-FT_Y5,12)/FT_Int2)+1))),IF(AS112="PT",IF(AT112&lt;PT_First,PT_First,PT_First+PT_Int*(INT((AT112-PT_First)/PT_Int)+1)),"")))</f>
        <v/>
      </c>
      <c r="BC112" s="19" t="str">
        <f aca="false">IF(AG112=0,"",IF(NOT(LH_Ready),0,COUNTIFS(INDEX(LH_Data,0,LH_ColFirst),$A112,INDEX(LH_Data,0,LH_ColSur),$B112,INDEX(LH_Data,0,LH_ColCat),BonusCat)))</f>
        <v/>
      </c>
      <c r="BD112" s="19" t="str">
        <f aca="false">IF(AG112=0,"",IF(OR(NOT(LH_Ready),BC112=0),0,SUMPRODUCT(MAX((INDEX(LH_Data,0,LH_ColFirst)=$A112)*(INDEX(LH_Data,0,LH_ColSur)=$B112)*(INDEX(LH_Data,0,LH_ColCat)=BonusCat)*ROW(LH_Data)))))</f>
        <v/>
      </c>
      <c r="BE112" s="19" t="str">
        <f aca="false">IF(AG112=0,"",IF(EOMONTH(AsOfDate,-1)&lt;AH112,-1,12*(YEAR(EOMONTH(AsOfDate,-1))-YEAR(AH112))+MONTH(EOMONTH(AsOfDate,-1))-MONTH(AH112)-IF(DAY(EOMONTH(AsOfDate,-1))&lt;MIN(DAY(AH112),DAY(EOMONTH(EOMONTH(AsOfDate,-1),0))),1,0)))</f>
        <v/>
      </c>
      <c r="BF112" s="19" t="str">
        <f aca="false">IF(AG112=0,"",IF(OR(AI112&lt;2,AK112&gt;EOMONTH(AsOfDate,-1)),BE112,IF((AK112-1)&lt;AH112,-1,12*(YEAR((AK112-1))-YEAR(AH112))+MONTH((AK112-1))-MONTH(AH112)-IF(DAY((AK112-1))&lt;MIN(DAY(AH112),DAY(EOMONTH((AK112-1),0))),1,0))))</f>
        <v/>
      </c>
      <c r="BG112" s="19" t="str">
        <f aca="false">IF(AG112=0,"",IF(OR(AI112&lt;3,AL112&gt;EOMONTH(AsOfDate,-1)),BE112,IF((AL112-1)&lt;AH112,-1,12*(YEAR((AL112-1))-YEAR(AH112))+MONTH((AL112-1))-MONTH(AH112)-IF(DAY((AL112-1))&lt;MIN(DAY(AH112),DAY(EOMONTH((AL112-1),0))),1,0))))</f>
        <v/>
      </c>
      <c r="BH112" s="19" t="str">
        <f aca="false">IF(AG112=0,"",IF(AP112="FT",IF(BF112&lt;FT_First,0,IF(BF112&lt;FT_Y5,1+INT((BF112-FT_First)/FT_Int1),FT_PreY5+FT_PerYear*INT((BF112-FT_Y5)/12)+FT_AnnivDays+INT(MOD(BF112-FT_Y5,12)/FT_Int2))),IF(AP112="PT",IF(BF112&lt;PT_First,0,1+INT((BF112-PT_First)/PT_Int)),0))+IF(AND(AI112&gt;=2,AK112&lt;=EOMONTH(AsOfDate,-1)),IF(AQ112="FT",IF(BG112&lt;FT_First,0,IF(BG112&lt;FT_Y5,1+INT((BG112-FT_First)/FT_Int1),FT_PreY5+FT_PerYear*INT((BG112-FT_Y5)/12)+FT_AnnivDays+INT(MOD(BG112-FT_Y5,12)/FT_Int2))),IF(AQ112="PT",IF(BG112&lt;PT_First,0,1+INT((BG112-PT_First)/PT_Int)),0))-IF(AQ112="FT",IF(BF112&lt;FT_First,0,IF(BF112&lt;FT_Y5,1+INT((BF112-FT_First)/FT_Int1),FT_PreY5+FT_PerYear*INT((BF112-FT_Y5)/12)+FT_AnnivDays+INT(MOD(BF112-FT_Y5,12)/FT_Int2))),IF(AQ112="PT",IF(BF112&lt;PT_First,0,1+INT((BF112-PT_First)/PT_Int)),0)),0)+IF(AND(AI112&gt;=3,AL112&lt;=EOMONTH(AsOfDate,-1)),IF(AR112="FT",IF(BE112&lt;FT_First,0,IF(BE112&lt;FT_Y5,1+INT((BE112-FT_First)/FT_Int1),FT_PreY5+FT_PerYear*INT((BE112-FT_Y5)/12)+FT_AnnivDays+INT(MOD(BE112-FT_Y5,12)/FT_Int2))),IF(AR112="PT",IF(BE112&lt;PT_First,0,1+INT((BE112-PT_First)/PT_Int)),0))-IF(AR112="FT",IF(BG112&lt;FT_First,0,IF(BG112&lt;FT_Y5,1+INT((BG112-FT_First)/FT_Int1),FT_PreY5+FT_PerYear*INT((BG112-FT_Y5)/12)+FT_AnnivDays+INT(MOD(BG112-FT_Y5,12)/FT_Int2))),IF(AR112="PT",IF(BG112&lt;PT_First,0,1+INT((BG112-PT_First)/PT_Int)),0)),0))</f>
        <v/>
      </c>
      <c r="BI112" s="19" t="str">
        <f aca="false">IF(AG112=0,"",IF(AS112="FT",IF(AT112&lt;FT_First,"",IF(AT112&lt;FT_Y5,FT_First+FT_Int1*INT((AT112-FT_First)/FT_Int1),FT_Y5+FT_Int2*INT((AT112-FT_Y5)/FT_Int2))),IF(AS112="PT",IF(AT112&lt;PT_First,"",PT_First+PT_Int*INT((AT112-PT_First)/PT_Int)),"")))</f>
        <v/>
      </c>
      <c r="BJ112" s="0" t="str">
        <f aca="false">IF(LEN($A112&amp;$B112)=0,"",$A112&amp;" "&amp;$B112)</f>
        <v/>
      </c>
    </row>
    <row r="113" customFormat="false" ht="15" hidden="false" customHeight="false" outlineLevel="0" collapsed="false">
      <c r="A113" s="15"/>
      <c r="B113" s="15"/>
      <c r="C113" s="15"/>
      <c r="D113" s="16"/>
      <c r="E113" s="17" t="str">
        <f aca="false">IF(OR(AG113=0,$D113=""),"",DATE(YEAR(AsOfDate)+IF(DATE(YEAR(AsOfDate),MONTH($D113),DAY($D113))&lt;=AsOfDate,1,0),MONTH($D113),DAY($D113)))</f>
        <v/>
      </c>
      <c r="F113" s="16"/>
      <c r="G113" s="16"/>
      <c r="H113" s="16"/>
      <c r="I113" s="16"/>
      <c r="J113" s="16"/>
      <c r="K113" s="17" t="str">
        <f aca="false">IF(AG113=0,"",DATE(YEAR(AsOfDate)+IF(DATE(YEAR(AsOfDate),MONTH(AH113),DAY(AH113))&lt;=AsOfDate,1,0),MONTH(AH113),DAY(AH113)))</f>
        <v/>
      </c>
      <c r="L113" s="18" t="str">
        <f aca="false">IF(AG113=0,"",ROUND((AsOfDate-AH113)/365.25,1))</f>
        <v/>
      </c>
      <c r="M113" s="19" t="str">
        <f aca="false">IF(AG113=0,"",IF(AsOfDate&lt;AH113,"-",DATEDIF(AH113,AsOfDate,"y")&amp;"y "&amp;DATEDIF(AH113,AsOfDate,"ym")&amp;"m "&amp;DATEDIF(AH113,AsOfDate,"md")&amp;"d"))</f>
        <v/>
      </c>
      <c r="N113" s="20" t="str">
        <f aca="false">IF(AG113=0,"",O113*HoursPerDay)</f>
        <v/>
      </c>
      <c r="O113" s="20" t="str">
        <f aca="false">IF(AG113=0,"",AZ113)</f>
        <v/>
      </c>
      <c r="P113" s="21"/>
      <c r="Q113" s="19"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19"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7" t="str">
        <f aca="false">IF(AG113=0,"",IF(AS113="None","",EDATE(AH113,BB113)))</f>
        <v/>
      </c>
      <c r="T113" s="20" t="str">
        <f aca="false">IF(AG113=0,"",IF(NOT(LH_Ready),"",IF(AH113&gt;PFYDate,0,IF(LH_ColPeriod=0,W113-U113+V113,SUMIFS(INDEX(LH_Data,0,LH_ColAcc),INDEX(LH_Data,0,LH_ColFirst),$A113,INDEX(LH_Data,0,LH_ColSur),$B113,INDEX(LH_Data,0,LH_ColCat),BonusCat,INDEX(LH_Data,0,LH_ColPeriod),LH_OpenLabel)*UnitFactor))))</f>
        <v/>
      </c>
      <c r="U113" s="20" t="str">
        <f aca="false">IF(AG113=0,"",IF(NOT(LH_Ready),"",SUMIFS(INDEX(LH_Data,0,LH_ColAcc),INDEX(LH_Data,0,LH_ColFirst),$A113,INDEX(LH_Data,0,LH_ColSur),$B113,INDEX(LH_Data,0,LH_ColCat),BonusCat,INDEX(LH_Data,0,LH_ColStart),"&gt;="&amp;AH113)*UnitFactor))</f>
        <v/>
      </c>
      <c r="V113" s="20" t="str">
        <f aca="false">IF(AG113=0,"",IF(NOT(LH_Ready),"",SUMIFS(INDEX(LH_Data,0,LH_ColTaken),INDEX(LH_Data,0,LH_ColFirst),$A113,INDEX(LH_Data,0,LH_ColSur),$B113,INDEX(LH_Data,0,LH_ColCat),BonusCat,INDEX(LH_Data,0,LH_ColStart),"&gt;="&amp;AH113)*UnitFactor))</f>
        <v/>
      </c>
      <c r="W113" s="20" t="str">
        <f aca="false">IF(AG113=0,"",IF(NOT(LH_Ready),"",IF(BD113=0,0,INDEX(INDEX(LH_Data,0,LH_ColClose),BD113-1)*UnitFactor)))</f>
        <v/>
      </c>
      <c r="X113" s="20" t="str">
        <f aca="false">IF(AG113=0,"",(AZ113-BA113)*HoursPerDay)</f>
        <v/>
      </c>
      <c r="Y113" s="20" t="str">
        <f aca="false">IF(AG113=0,"",IF(NOT(LH_Ready),"",IF(BC113=0,N113,IF(PFYDate&lt;$F113,N113-N(T113)-N(U113),X113-N(U113)))))</f>
        <v/>
      </c>
      <c r="Z113" s="19" t="str">
        <f aca="false">IF(OR(AG113=0,Y113=""),"",IF(Y113&gt;0,"Yes","No"))</f>
        <v/>
      </c>
      <c r="AA113" s="19"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20" t="str">
        <f aca="false">IF(OR(AG113=0,T113=""),"",BA113*HoursPerDay-T113)</f>
        <v/>
      </c>
      <c r="AC113" s="19" t="str">
        <f aca="false">IF(AG113=0,"",BC113)</f>
        <v/>
      </c>
      <c r="AD113" s="19"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20" t="str">
        <f aca="false">IF(AG113=0,"",O113-BH113)</f>
        <v/>
      </c>
      <c r="AF113" s="17" t="str">
        <f aca="false">IF(OR(AG113=0,AE113="",N(AE113)=0,BI113=""),"",EDATE(AH113,BI113))</f>
        <v/>
      </c>
      <c r="AG113" s="19" t="n">
        <f aca="false">IF(OR(LEN($A113&amp;$B113)=0,$F113=""),0,1)</f>
        <v>0</v>
      </c>
      <c r="AH113" s="17" t="str">
        <f aca="false">IF(AG113=0,"",IF($J113&lt;&gt;"",$J113,IF(OR(CasualCounts="Yes",COUNT($G113:$I113)=0,COUNT($H113:$I113)=0),$F113,MIN($H113:$I113))))</f>
        <v/>
      </c>
      <c r="AI113" s="19" t="str">
        <f aca="false">IF(AG113=0,"",COUNT($G113:$I113))</f>
        <v/>
      </c>
      <c r="AJ113" s="17" t="str">
        <f aca="false">IF(AG113=0,"",IFERROR(SMALL($G113:$I113,1),""))</f>
        <v/>
      </c>
      <c r="AK113" s="17" t="str">
        <f aca="false">IF(AG113=0,"",IFERROR(SMALL($G113:$I113,2),""))</f>
        <v/>
      </c>
      <c r="AL113" s="17" t="str">
        <f aca="false">IF(AG113=0,"",IFERROR(SMALL($G113:$I113,3),""))</f>
        <v/>
      </c>
      <c r="AM113" s="19" t="str">
        <f aca="false">IF(AG113=0,"",IF(AJ113="","",IF(AJ113=$H113,"Part-Time",IF(AJ113=$I113,"Full-Time","Casual"))))</f>
        <v/>
      </c>
      <c r="AN113" s="19" t="str">
        <f aca="false">IF(AG113=0,"",IF(AK113="","",IF(AK113=$H113,"Part-Time",IF(AK113=$I113,"Full-Time","Casual"))))</f>
        <v/>
      </c>
      <c r="AO113" s="19" t="str">
        <f aca="false">IF(AG113=0,"",IF(AL113="","",IF(AL113=$H113,"Part-Time",IF(AL113=$I113,"Full-Time","Casual"))))</f>
        <v/>
      </c>
      <c r="AP113" s="19"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19" t="str">
        <f aca="false">IF(AG113=0,"",IF(AI113&lt;2,"",IF(OR(ISNUMBER(SEARCH("full",AN113)),UPPER(TRIM(AN113))="FT",UPPER(TRIM(AN113))="FTE"),"FT",IF(AND(OR(ISNUMBER(SEARCH("part",AN113)),UPPER(TRIM(AN113))="PT",UPPER(TRIM(AN113))="PTE"),OR($P113="",N($P113)&gt;=PT_MinHours)),"PT","None"))))</f>
        <v/>
      </c>
      <c r="AR113" s="19" t="str">
        <f aca="false">IF(AG113=0,"",IF(AI113&lt;3,"",IF(OR(ISNUMBER(SEARCH("full",AO113)),UPPER(TRIM(AO113))="FT",UPPER(TRIM(AO113))="FTE"),"FT",IF(AND(OR(ISNUMBER(SEARCH("part",AO113)),UPPER(TRIM(AO113))="PT",UPPER(TRIM(AO113))="PTE"),OR($P113="",N($P113)&gt;=PT_MinHours)),"PT","None"))))</f>
        <v/>
      </c>
      <c r="AS113" s="19" t="str">
        <f aca="false">IF(AG113=0,"",IF(AND(AI113&gt;=3,AL113&lt;=AsOfDate),AR113,IF(AND(AI113&gt;=2,AK113&lt;=AsOfDate),AQ113,AP113)))</f>
        <v/>
      </c>
      <c r="AT113" s="19" t="str">
        <f aca="false">IF(AG113=0,"",IF(AsOfDate&lt;AH113,-1,12*(YEAR(AsOfDate)-YEAR(AH113))+MONTH(AsOfDate)-MONTH(AH113)-IF(DAY(AsOfDate)&lt;MIN(DAY(AH113),DAY(EOMONTH(AsOfDate,0))),1,0)))</f>
        <v/>
      </c>
      <c r="AU113" s="19" t="str">
        <f aca="false">IF(AG113=0,"",IF(OR(AI113&lt;2,AK113&gt;AsOfDate),AT113,IF((AK113-1)&lt;AH113,-1,12*(YEAR((AK113-1))-YEAR(AH113))+MONTH((AK113-1))-MONTH(AH113)-IF(DAY((AK113-1))&lt;MIN(DAY(AH113),DAY(EOMONTH((AK113-1),0))),1,0))))</f>
        <v/>
      </c>
      <c r="AV113" s="19" t="str">
        <f aca="false">IF(AG113=0,"",IF(OR(AI113&lt;3,AL113&gt;AsOfDate),AT113,IF((AL113-1)&lt;AH113,-1,12*(YEAR((AL113-1))-YEAR(AH113))+MONTH((AL113-1))-MONTH(AH113)-IF(DAY((AL113-1))&lt;MIN(DAY(AH113),DAY(EOMONTH((AL113-1),0))),1,0))))</f>
        <v/>
      </c>
      <c r="AW113" s="19" t="str">
        <f aca="false">IF(AG113=0,"",IF(PFYDate&lt;AH113,-1,12*(YEAR(PFYDate)-YEAR(AH113))+MONTH(PFYDate)-MONTH(AH113)-IF(DAY(PFYDate)&lt;MIN(DAY(AH113),DAY(EOMONTH(PFYDate,0))),1,0)))</f>
        <v/>
      </c>
      <c r="AX113" s="19" t="str">
        <f aca="false">IF(AG113=0,"",IF(OR(AI113&lt;2,AK113&gt;PFYDate),AW113,IF((AK113-1)&lt;AH113,-1,12*(YEAR((AK113-1))-YEAR(AH113))+MONTH((AK113-1))-MONTH(AH113)-IF(DAY((AK113-1))&lt;MIN(DAY(AH113),DAY(EOMONTH((AK113-1),0))),1,0))))</f>
        <v/>
      </c>
      <c r="AY113" s="19" t="str">
        <f aca="false">IF(AG113=0,"",IF(OR(AI113&lt;3,AL113&gt;PFYDate),AW113,IF((AL113-1)&lt;AH113,-1,12*(YEAR((AL113-1))-YEAR(AH113))+MONTH((AL113-1))-MONTH(AH113)-IF(DAY((AL113-1))&lt;MIN(DAY(AH113),DAY(EOMONTH((AL113-1),0))),1,0))))</f>
        <v/>
      </c>
      <c r="AZ113" s="19" t="str">
        <f aca="false">IF(AG113=0,"",IF(AP113="FT",IF(AU113&lt;FT_First,0,IF(AU113&lt;FT_Y5,1+INT((AU113-FT_First)/FT_Int1),FT_PreY5+FT_PerYear*INT((AU113-FT_Y5)/12)+FT_AnnivDays+INT(MOD(AU113-FT_Y5,12)/FT_Int2))),IF(AP113="PT",IF(AU113&lt;PT_First,0,1+INT((AU113-PT_First)/PT_Int)),0))+IF(AND(AI113&gt;=2,AK113&lt;=AsOfDate),IF(AQ113="FT",IF(AV113&lt;FT_First,0,IF(AV113&lt;FT_Y5,1+INT((AV113-FT_First)/FT_Int1),FT_PreY5+FT_PerYear*INT((AV113-FT_Y5)/12)+FT_AnnivDays+INT(MOD(AV113-FT_Y5,12)/FT_Int2))),IF(AQ113="PT",IF(AV113&lt;PT_First,0,1+INT((AV113-PT_First)/PT_Int)),0))-IF(AQ113="FT",IF(AU113&lt;FT_First,0,IF(AU113&lt;FT_Y5,1+INT((AU113-FT_First)/FT_Int1),FT_PreY5+FT_PerYear*INT((AU113-FT_Y5)/12)+FT_AnnivDays+INT(MOD(AU113-FT_Y5,12)/FT_Int2))),IF(AQ113="PT",IF(AU113&lt;PT_First,0,1+INT((AU113-PT_First)/PT_Int)),0)),0)+IF(AND(AI113&gt;=3,AL113&lt;=AsOfDate),IF(AR113="FT",IF(AT113&lt;FT_First,0,IF(AT113&lt;FT_Y5,1+INT((AT113-FT_First)/FT_Int1),FT_PreY5+FT_PerYear*INT((AT113-FT_Y5)/12)+FT_AnnivDays+INT(MOD(AT113-FT_Y5,12)/FT_Int2))),IF(AR113="PT",IF(AT113&lt;PT_First,0,1+INT((AT113-PT_First)/PT_Int)),0))-IF(AR113="FT",IF(AV113&lt;FT_First,0,IF(AV113&lt;FT_Y5,1+INT((AV113-FT_First)/FT_Int1),FT_PreY5+FT_PerYear*INT((AV113-FT_Y5)/12)+FT_AnnivDays+INT(MOD(AV113-FT_Y5,12)/FT_Int2))),IF(AR113="PT",IF(AV113&lt;PT_First,0,1+INT((AV113-PT_First)/PT_Int)),0)),0))</f>
        <v/>
      </c>
      <c r="BA113" s="19" t="str">
        <f aca="false">IF(AG113=0,"",IF(AP113="FT",IF(AX113&lt;FT_First,0,IF(AX113&lt;FT_Y5,1+INT((AX113-FT_First)/FT_Int1),FT_PreY5+FT_PerYear*INT((AX113-FT_Y5)/12)+FT_AnnivDays+INT(MOD(AX113-FT_Y5,12)/FT_Int2))),IF(AP113="PT",IF(AX113&lt;PT_First,0,1+INT((AX113-PT_First)/PT_Int)),0))+IF(AND(AI113&gt;=2,AK113&lt;=PFYDate),IF(AQ113="FT",IF(AY113&lt;FT_First,0,IF(AY113&lt;FT_Y5,1+INT((AY113-FT_First)/FT_Int1),FT_PreY5+FT_PerYear*INT((AY113-FT_Y5)/12)+FT_AnnivDays+INT(MOD(AY113-FT_Y5,12)/FT_Int2))),IF(AQ113="PT",IF(AY113&lt;PT_First,0,1+INT((AY113-PT_First)/PT_Int)),0))-IF(AQ113="FT",IF(AX113&lt;FT_First,0,IF(AX113&lt;FT_Y5,1+INT((AX113-FT_First)/FT_Int1),FT_PreY5+FT_PerYear*INT((AX113-FT_Y5)/12)+FT_AnnivDays+INT(MOD(AX113-FT_Y5,12)/FT_Int2))),IF(AQ113="PT",IF(AX113&lt;PT_First,0,1+INT((AX113-PT_First)/PT_Int)),0)),0)+IF(AND(AI113&gt;=3,AL113&lt;=PFYDate),IF(AR113="FT",IF(AW113&lt;FT_First,0,IF(AW113&lt;FT_Y5,1+INT((AW113-FT_First)/FT_Int1),FT_PreY5+FT_PerYear*INT((AW113-FT_Y5)/12)+FT_AnnivDays+INT(MOD(AW113-FT_Y5,12)/FT_Int2))),IF(AR113="PT",IF(AW113&lt;PT_First,0,1+INT((AW113-PT_First)/PT_Int)),0))-IF(AR113="FT",IF(AY113&lt;FT_First,0,IF(AY113&lt;FT_Y5,1+INT((AY113-FT_First)/FT_Int1),FT_PreY5+FT_PerYear*INT((AY113-FT_Y5)/12)+FT_AnnivDays+INT(MOD(AY113-FT_Y5,12)/FT_Int2))),IF(AR113="PT",IF(AY113&lt;PT_First,0,1+INT((AY113-PT_First)/PT_Int)),0)),0))</f>
        <v/>
      </c>
      <c r="BB113" s="19" t="str">
        <f aca="false">IF(AG113=0,"",IF(AS113="FT",IF(AT113&lt;FT_First,FT_First,IF(AT113&lt;FT_Y5,MIN(FT_Y5,FT_First+FT_Int1*(INT((AT113-FT_First)/FT_Int1)+1)),FT_Y5+12*INT((AT113-FT_Y5)/12)+FT_Int2*(INT(MOD(AT113-FT_Y5,12)/FT_Int2)+1))),IF(AS113="PT",IF(AT113&lt;PT_First,PT_First,PT_First+PT_Int*(INT((AT113-PT_First)/PT_Int)+1)),"")))</f>
        <v/>
      </c>
      <c r="BC113" s="19" t="str">
        <f aca="false">IF(AG113=0,"",IF(NOT(LH_Ready),0,COUNTIFS(INDEX(LH_Data,0,LH_ColFirst),$A113,INDEX(LH_Data,0,LH_ColSur),$B113,INDEX(LH_Data,0,LH_ColCat),BonusCat)))</f>
        <v/>
      </c>
      <c r="BD113" s="19" t="str">
        <f aca="false">IF(AG113=0,"",IF(OR(NOT(LH_Ready),BC113=0),0,SUMPRODUCT(MAX((INDEX(LH_Data,0,LH_ColFirst)=$A113)*(INDEX(LH_Data,0,LH_ColSur)=$B113)*(INDEX(LH_Data,0,LH_ColCat)=BonusCat)*ROW(LH_Data)))))</f>
        <v/>
      </c>
      <c r="BE113" s="19" t="str">
        <f aca="false">IF(AG113=0,"",IF(EOMONTH(AsOfDate,-1)&lt;AH113,-1,12*(YEAR(EOMONTH(AsOfDate,-1))-YEAR(AH113))+MONTH(EOMONTH(AsOfDate,-1))-MONTH(AH113)-IF(DAY(EOMONTH(AsOfDate,-1))&lt;MIN(DAY(AH113),DAY(EOMONTH(EOMONTH(AsOfDate,-1),0))),1,0)))</f>
        <v/>
      </c>
      <c r="BF113" s="19" t="str">
        <f aca="false">IF(AG113=0,"",IF(OR(AI113&lt;2,AK113&gt;EOMONTH(AsOfDate,-1)),BE113,IF((AK113-1)&lt;AH113,-1,12*(YEAR((AK113-1))-YEAR(AH113))+MONTH((AK113-1))-MONTH(AH113)-IF(DAY((AK113-1))&lt;MIN(DAY(AH113),DAY(EOMONTH((AK113-1),0))),1,0))))</f>
        <v/>
      </c>
      <c r="BG113" s="19" t="str">
        <f aca="false">IF(AG113=0,"",IF(OR(AI113&lt;3,AL113&gt;EOMONTH(AsOfDate,-1)),BE113,IF((AL113-1)&lt;AH113,-1,12*(YEAR((AL113-1))-YEAR(AH113))+MONTH((AL113-1))-MONTH(AH113)-IF(DAY((AL113-1))&lt;MIN(DAY(AH113),DAY(EOMONTH((AL113-1),0))),1,0))))</f>
        <v/>
      </c>
      <c r="BH113" s="19" t="str">
        <f aca="false">IF(AG113=0,"",IF(AP113="FT",IF(BF113&lt;FT_First,0,IF(BF113&lt;FT_Y5,1+INT((BF113-FT_First)/FT_Int1),FT_PreY5+FT_PerYear*INT((BF113-FT_Y5)/12)+FT_AnnivDays+INT(MOD(BF113-FT_Y5,12)/FT_Int2))),IF(AP113="PT",IF(BF113&lt;PT_First,0,1+INT((BF113-PT_First)/PT_Int)),0))+IF(AND(AI113&gt;=2,AK113&lt;=EOMONTH(AsOfDate,-1)),IF(AQ113="FT",IF(BG113&lt;FT_First,0,IF(BG113&lt;FT_Y5,1+INT((BG113-FT_First)/FT_Int1),FT_PreY5+FT_PerYear*INT((BG113-FT_Y5)/12)+FT_AnnivDays+INT(MOD(BG113-FT_Y5,12)/FT_Int2))),IF(AQ113="PT",IF(BG113&lt;PT_First,0,1+INT((BG113-PT_First)/PT_Int)),0))-IF(AQ113="FT",IF(BF113&lt;FT_First,0,IF(BF113&lt;FT_Y5,1+INT((BF113-FT_First)/FT_Int1),FT_PreY5+FT_PerYear*INT((BF113-FT_Y5)/12)+FT_AnnivDays+INT(MOD(BF113-FT_Y5,12)/FT_Int2))),IF(AQ113="PT",IF(BF113&lt;PT_First,0,1+INT((BF113-PT_First)/PT_Int)),0)),0)+IF(AND(AI113&gt;=3,AL113&lt;=EOMONTH(AsOfDate,-1)),IF(AR113="FT",IF(BE113&lt;FT_First,0,IF(BE113&lt;FT_Y5,1+INT((BE113-FT_First)/FT_Int1),FT_PreY5+FT_PerYear*INT((BE113-FT_Y5)/12)+FT_AnnivDays+INT(MOD(BE113-FT_Y5,12)/FT_Int2))),IF(AR113="PT",IF(BE113&lt;PT_First,0,1+INT((BE113-PT_First)/PT_Int)),0))-IF(AR113="FT",IF(BG113&lt;FT_First,0,IF(BG113&lt;FT_Y5,1+INT((BG113-FT_First)/FT_Int1),FT_PreY5+FT_PerYear*INT((BG113-FT_Y5)/12)+FT_AnnivDays+INT(MOD(BG113-FT_Y5,12)/FT_Int2))),IF(AR113="PT",IF(BG113&lt;PT_First,0,1+INT((BG113-PT_First)/PT_Int)),0)),0))</f>
        <v/>
      </c>
      <c r="BI113" s="19" t="str">
        <f aca="false">IF(AG113=0,"",IF(AS113="FT",IF(AT113&lt;FT_First,"",IF(AT113&lt;FT_Y5,FT_First+FT_Int1*INT((AT113-FT_First)/FT_Int1),FT_Y5+FT_Int2*INT((AT113-FT_Y5)/FT_Int2))),IF(AS113="PT",IF(AT113&lt;PT_First,"",PT_First+PT_Int*INT((AT113-PT_First)/PT_Int)),"")))</f>
        <v/>
      </c>
      <c r="BJ113" s="0" t="str">
        <f aca="false">IF(LEN($A113&amp;$B113)=0,"",$A113&amp;" "&amp;$B113)</f>
        <v/>
      </c>
    </row>
    <row r="114" customFormat="false" ht="15" hidden="false" customHeight="false" outlineLevel="0" collapsed="false">
      <c r="A114" s="15"/>
      <c r="B114" s="15"/>
      <c r="C114" s="15"/>
      <c r="D114" s="16"/>
      <c r="E114" s="17" t="str">
        <f aca="false">IF(OR(AG114=0,$D114=""),"",DATE(YEAR(AsOfDate)+IF(DATE(YEAR(AsOfDate),MONTH($D114),DAY($D114))&lt;=AsOfDate,1,0),MONTH($D114),DAY($D114)))</f>
        <v/>
      </c>
      <c r="F114" s="16"/>
      <c r="G114" s="16"/>
      <c r="H114" s="16"/>
      <c r="I114" s="16"/>
      <c r="J114" s="16"/>
      <c r="K114" s="17" t="str">
        <f aca="false">IF(AG114=0,"",DATE(YEAR(AsOfDate)+IF(DATE(YEAR(AsOfDate),MONTH(AH114),DAY(AH114))&lt;=AsOfDate,1,0),MONTH(AH114),DAY(AH114)))</f>
        <v/>
      </c>
      <c r="L114" s="18" t="str">
        <f aca="false">IF(AG114=0,"",ROUND((AsOfDate-AH114)/365.25,1))</f>
        <v/>
      </c>
      <c r="M114" s="19" t="str">
        <f aca="false">IF(AG114=0,"",IF(AsOfDate&lt;AH114,"-",DATEDIF(AH114,AsOfDate,"y")&amp;"y "&amp;DATEDIF(AH114,AsOfDate,"ym")&amp;"m "&amp;DATEDIF(AH114,AsOfDate,"md")&amp;"d"))</f>
        <v/>
      </c>
      <c r="N114" s="20" t="str">
        <f aca="false">IF(AG114=0,"",O114*HoursPerDay)</f>
        <v/>
      </c>
      <c r="O114" s="20" t="str">
        <f aca="false">IF(AG114=0,"",AZ114)</f>
        <v/>
      </c>
      <c r="P114" s="21"/>
      <c r="Q114" s="19"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19"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7" t="str">
        <f aca="false">IF(AG114=0,"",IF(AS114="None","",EDATE(AH114,BB114)))</f>
        <v/>
      </c>
      <c r="T114" s="20" t="str">
        <f aca="false">IF(AG114=0,"",IF(NOT(LH_Ready),"",IF(AH114&gt;PFYDate,0,IF(LH_ColPeriod=0,W114-U114+V114,SUMIFS(INDEX(LH_Data,0,LH_ColAcc),INDEX(LH_Data,0,LH_ColFirst),$A114,INDEX(LH_Data,0,LH_ColSur),$B114,INDEX(LH_Data,0,LH_ColCat),BonusCat,INDEX(LH_Data,0,LH_ColPeriod),LH_OpenLabel)*UnitFactor))))</f>
        <v/>
      </c>
      <c r="U114" s="20" t="str">
        <f aca="false">IF(AG114=0,"",IF(NOT(LH_Ready),"",SUMIFS(INDEX(LH_Data,0,LH_ColAcc),INDEX(LH_Data,0,LH_ColFirst),$A114,INDEX(LH_Data,0,LH_ColSur),$B114,INDEX(LH_Data,0,LH_ColCat),BonusCat,INDEX(LH_Data,0,LH_ColStart),"&gt;="&amp;AH114)*UnitFactor))</f>
        <v/>
      </c>
      <c r="V114" s="20" t="str">
        <f aca="false">IF(AG114=0,"",IF(NOT(LH_Ready),"",SUMIFS(INDEX(LH_Data,0,LH_ColTaken),INDEX(LH_Data,0,LH_ColFirst),$A114,INDEX(LH_Data,0,LH_ColSur),$B114,INDEX(LH_Data,0,LH_ColCat),BonusCat,INDEX(LH_Data,0,LH_ColStart),"&gt;="&amp;AH114)*UnitFactor))</f>
        <v/>
      </c>
      <c r="W114" s="20" t="str">
        <f aca="false">IF(AG114=0,"",IF(NOT(LH_Ready),"",IF(BD114=0,0,INDEX(INDEX(LH_Data,0,LH_ColClose),BD114-1)*UnitFactor)))</f>
        <v/>
      </c>
      <c r="X114" s="20" t="str">
        <f aca="false">IF(AG114=0,"",(AZ114-BA114)*HoursPerDay)</f>
        <v/>
      </c>
      <c r="Y114" s="20" t="str">
        <f aca="false">IF(AG114=0,"",IF(NOT(LH_Ready),"",IF(BC114=0,N114,IF(PFYDate&lt;$F114,N114-N(T114)-N(U114),X114-N(U114)))))</f>
        <v/>
      </c>
      <c r="Z114" s="19" t="str">
        <f aca="false">IF(OR(AG114=0,Y114=""),"",IF(Y114&gt;0,"Yes","No"))</f>
        <v/>
      </c>
      <c r="AA114" s="19"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20" t="str">
        <f aca="false">IF(OR(AG114=0,T114=""),"",BA114*HoursPerDay-T114)</f>
        <v/>
      </c>
      <c r="AC114" s="19" t="str">
        <f aca="false">IF(AG114=0,"",BC114)</f>
        <v/>
      </c>
      <c r="AD114" s="19"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20" t="str">
        <f aca="false">IF(AG114=0,"",O114-BH114)</f>
        <v/>
      </c>
      <c r="AF114" s="17" t="str">
        <f aca="false">IF(OR(AG114=0,AE114="",N(AE114)=0,BI114=""),"",EDATE(AH114,BI114))</f>
        <v/>
      </c>
      <c r="AG114" s="19" t="n">
        <f aca="false">IF(OR(LEN($A114&amp;$B114)=0,$F114=""),0,1)</f>
        <v>0</v>
      </c>
      <c r="AH114" s="17" t="str">
        <f aca="false">IF(AG114=0,"",IF($J114&lt;&gt;"",$J114,IF(OR(CasualCounts="Yes",COUNT($G114:$I114)=0,COUNT($H114:$I114)=0),$F114,MIN($H114:$I114))))</f>
        <v/>
      </c>
      <c r="AI114" s="19" t="str">
        <f aca="false">IF(AG114=0,"",COUNT($G114:$I114))</f>
        <v/>
      </c>
      <c r="AJ114" s="17" t="str">
        <f aca="false">IF(AG114=0,"",IFERROR(SMALL($G114:$I114,1),""))</f>
        <v/>
      </c>
      <c r="AK114" s="17" t="str">
        <f aca="false">IF(AG114=0,"",IFERROR(SMALL($G114:$I114,2),""))</f>
        <v/>
      </c>
      <c r="AL114" s="17" t="str">
        <f aca="false">IF(AG114=0,"",IFERROR(SMALL($G114:$I114,3),""))</f>
        <v/>
      </c>
      <c r="AM114" s="19" t="str">
        <f aca="false">IF(AG114=0,"",IF(AJ114="","",IF(AJ114=$H114,"Part-Time",IF(AJ114=$I114,"Full-Time","Casual"))))</f>
        <v/>
      </c>
      <c r="AN114" s="19" t="str">
        <f aca="false">IF(AG114=0,"",IF(AK114="","",IF(AK114=$H114,"Part-Time",IF(AK114=$I114,"Full-Time","Casual"))))</f>
        <v/>
      </c>
      <c r="AO114" s="19" t="str">
        <f aca="false">IF(AG114=0,"",IF(AL114="","",IF(AL114=$H114,"Part-Time",IF(AL114=$I114,"Full-Time","Casual"))))</f>
        <v/>
      </c>
      <c r="AP114" s="19"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19" t="str">
        <f aca="false">IF(AG114=0,"",IF(AI114&lt;2,"",IF(OR(ISNUMBER(SEARCH("full",AN114)),UPPER(TRIM(AN114))="FT",UPPER(TRIM(AN114))="FTE"),"FT",IF(AND(OR(ISNUMBER(SEARCH("part",AN114)),UPPER(TRIM(AN114))="PT",UPPER(TRIM(AN114))="PTE"),OR($P114="",N($P114)&gt;=PT_MinHours)),"PT","None"))))</f>
        <v/>
      </c>
      <c r="AR114" s="19" t="str">
        <f aca="false">IF(AG114=0,"",IF(AI114&lt;3,"",IF(OR(ISNUMBER(SEARCH("full",AO114)),UPPER(TRIM(AO114))="FT",UPPER(TRIM(AO114))="FTE"),"FT",IF(AND(OR(ISNUMBER(SEARCH("part",AO114)),UPPER(TRIM(AO114))="PT",UPPER(TRIM(AO114))="PTE"),OR($P114="",N($P114)&gt;=PT_MinHours)),"PT","None"))))</f>
        <v/>
      </c>
      <c r="AS114" s="19" t="str">
        <f aca="false">IF(AG114=0,"",IF(AND(AI114&gt;=3,AL114&lt;=AsOfDate),AR114,IF(AND(AI114&gt;=2,AK114&lt;=AsOfDate),AQ114,AP114)))</f>
        <v/>
      </c>
      <c r="AT114" s="19" t="str">
        <f aca="false">IF(AG114=0,"",IF(AsOfDate&lt;AH114,-1,12*(YEAR(AsOfDate)-YEAR(AH114))+MONTH(AsOfDate)-MONTH(AH114)-IF(DAY(AsOfDate)&lt;MIN(DAY(AH114),DAY(EOMONTH(AsOfDate,0))),1,0)))</f>
        <v/>
      </c>
      <c r="AU114" s="19" t="str">
        <f aca="false">IF(AG114=0,"",IF(OR(AI114&lt;2,AK114&gt;AsOfDate),AT114,IF((AK114-1)&lt;AH114,-1,12*(YEAR((AK114-1))-YEAR(AH114))+MONTH((AK114-1))-MONTH(AH114)-IF(DAY((AK114-1))&lt;MIN(DAY(AH114),DAY(EOMONTH((AK114-1),0))),1,0))))</f>
        <v/>
      </c>
      <c r="AV114" s="19" t="str">
        <f aca="false">IF(AG114=0,"",IF(OR(AI114&lt;3,AL114&gt;AsOfDate),AT114,IF((AL114-1)&lt;AH114,-1,12*(YEAR((AL114-1))-YEAR(AH114))+MONTH((AL114-1))-MONTH(AH114)-IF(DAY((AL114-1))&lt;MIN(DAY(AH114),DAY(EOMONTH((AL114-1),0))),1,0))))</f>
        <v/>
      </c>
      <c r="AW114" s="19" t="str">
        <f aca="false">IF(AG114=0,"",IF(PFYDate&lt;AH114,-1,12*(YEAR(PFYDate)-YEAR(AH114))+MONTH(PFYDate)-MONTH(AH114)-IF(DAY(PFYDate)&lt;MIN(DAY(AH114),DAY(EOMONTH(PFYDate,0))),1,0)))</f>
        <v/>
      </c>
      <c r="AX114" s="19" t="str">
        <f aca="false">IF(AG114=0,"",IF(OR(AI114&lt;2,AK114&gt;PFYDate),AW114,IF((AK114-1)&lt;AH114,-1,12*(YEAR((AK114-1))-YEAR(AH114))+MONTH((AK114-1))-MONTH(AH114)-IF(DAY((AK114-1))&lt;MIN(DAY(AH114),DAY(EOMONTH((AK114-1),0))),1,0))))</f>
        <v/>
      </c>
      <c r="AY114" s="19" t="str">
        <f aca="false">IF(AG114=0,"",IF(OR(AI114&lt;3,AL114&gt;PFYDate),AW114,IF((AL114-1)&lt;AH114,-1,12*(YEAR((AL114-1))-YEAR(AH114))+MONTH((AL114-1))-MONTH(AH114)-IF(DAY((AL114-1))&lt;MIN(DAY(AH114),DAY(EOMONTH((AL114-1),0))),1,0))))</f>
        <v/>
      </c>
      <c r="AZ114" s="19" t="str">
        <f aca="false">IF(AG114=0,"",IF(AP114="FT",IF(AU114&lt;FT_First,0,IF(AU114&lt;FT_Y5,1+INT((AU114-FT_First)/FT_Int1),FT_PreY5+FT_PerYear*INT((AU114-FT_Y5)/12)+FT_AnnivDays+INT(MOD(AU114-FT_Y5,12)/FT_Int2))),IF(AP114="PT",IF(AU114&lt;PT_First,0,1+INT((AU114-PT_First)/PT_Int)),0))+IF(AND(AI114&gt;=2,AK114&lt;=AsOfDate),IF(AQ114="FT",IF(AV114&lt;FT_First,0,IF(AV114&lt;FT_Y5,1+INT((AV114-FT_First)/FT_Int1),FT_PreY5+FT_PerYear*INT((AV114-FT_Y5)/12)+FT_AnnivDays+INT(MOD(AV114-FT_Y5,12)/FT_Int2))),IF(AQ114="PT",IF(AV114&lt;PT_First,0,1+INT((AV114-PT_First)/PT_Int)),0))-IF(AQ114="FT",IF(AU114&lt;FT_First,0,IF(AU114&lt;FT_Y5,1+INT((AU114-FT_First)/FT_Int1),FT_PreY5+FT_PerYear*INT((AU114-FT_Y5)/12)+FT_AnnivDays+INT(MOD(AU114-FT_Y5,12)/FT_Int2))),IF(AQ114="PT",IF(AU114&lt;PT_First,0,1+INT((AU114-PT_First)/PT_Int)),0)),0)+IF(AND(AI114&gt;=3,AL114&lt;=AsOfDate),IF(AR114="FT",IF(AT114&lt;FT_First,0,IF(AT114&lt;FT_Y5,1+INT((AT114-FT_First)/FT_Int1),FT_PreY5+FT_PerYear*INT((AT114-FT_Y5)/12)+FT_AnnivDays+INT(MOD(AT114-FT_Y5,12)/FT_Int2))),IF(AR114="PT",IF(AT114&lt;PT_First,0,1+INT((AT114-PT_First)/PT_Int)),0))-IF(AR114="FT",IF(AV114&lt;FT_First,0,IF(AV114&lt;FT_Y5,1+INT((AV114-FT_First)/FT_Int1),FT_PreY5+FT_PerYear*INT((AV114-FT_Y5)/12)+FT_AnnivDays+INT(MOD(AV114-FT_Y5,12)/FT_Int2))),IF(AR114="PT",IF(AV114&lt;PT_First,0,1+INT((AV114-PT_First)/PT_Int)),0)),0))</f>
        <v/>
      </c>
      <c r="BA114" s="19" t="str">
        <f aca="false">IF(AG114=0,"",IF(AP114="FT",IF(AX114&lt;FT_First,0,IF(AX114&lt;FT_Y5,1+INT((AX114-FT_First)/FT_Int1),FT_PreY5+FT_PerYear*INT((AX114-FT_Y5)/12)+FT_AnnivDays+INT(MOD(AX114-FT_Y5,12)/FT_Int2))),IF(AP114="PT",IF(AX114&lt;PT_First,0,1+INT((AX114-PT_First)/PT_Int)),0))+IF(AND(AI114&gt;=2,AK114&lt;=PFYDate),IF(AQ114="FT",IF(AY114&lt;FT_First,0,IF(AY114&lt;FT_Y5,1+INT((AY114-FT_First)/FT_Int1),FT_PreY5+FT_PerYear*INT((AY114-FT_Y5)/12)+FT_AnnivDays+INT(MOD(AY114-FT_Y5,12)/FT_Int2))),IF(AQ114="PT",IF(AY114&lt;PT_First,0,1+INT((AY114-PT_First)/PT_Int)),0))-IF(AQ114="FT",IF(AX114&lt;FT_First,0,IF(AX114&lt;FT_Y5,1+INT((AX114-FT_First)/FT_Int1),FT_PreY5+FT_PerYear*INT((AX114-FT_Y5)/12)+FT_AnnivDays+INT(MOD(AX114-FT_Y5,12)/FT_Int2))),IF(AQ114="PT",IF(AX114&lt;PT_First,0,1+INT((AX114-PT_First)/PT_Int)),0)),0)+IF(AND(AI114&gt;=3,AL114&lt;=PFYDate),IF(AR114="FT",IF(AW114&lt;FT_First,0,IF(AW114&lt;FT_Y5,1+INT((AW114-FT_First)/FT_Int1),FT_PreY5+FT_PerYear*INT((AW114-FT_Y5)/12)+FT_AnnivDays+INT(MOD(AW114-FT_Y5,12)/FT_Int2))),IF(AR114="PT",IF(AW114&lt;PT_First,0,1+INT((AW114-PT_First)/PT_Int)),0))-IF(AR114="FT",IF(AY114&lt;FT_First,0,IF(AY114&lt;FT_Y5,1+INT((AY114-FT_First)/FT_Int1),FT_PreY5+FT_PerYear*INT((AY114-FT_Y5)/12)+FT_AnnivDays+INT(MOD(AY114-FT_Y5,12)/FT_Int2))),IF(AR114="PT",IF(AY114&lt;PT_First,0,1+INT((AY114-PT_First)/PT_Int)),0)),0))</f>
        <v/>
      </c>
      <c r="BB114" s="19" t="str">
        <f aca="false">IF(AG114=0,"",IF(AS114="FT",IF(AT114&lt;FT_First,FT_First,IF(AT114&lt;FT_Y5,MIN(FT_Y5,FT_First+FT_Int1*(INT((AT114-FT_First)/FT_Int1)+1)),FT_Y5+12*INT((AT114-FT_Y5)/12)+FT_Int2*(INT(MOD(AT114-FT_Y5,12)/FT_Int2)+1))),IF(AS114="PT",IF(AT114&lt;PT_First,PT_First,PT_First+PT_Int*(INT((AT114-PT_First)/PT_Int)+1)),"")))</f>
        <v/>
      </c>
      <c r="BC114" s="19" t="str">
        <f aca="false">IF(AG114=0,"",IF(NOT(LH_Ready),0,COUNTIFS(INDEX(LH_Data,0,LH_ColFirst),$A114,INDEX(LH_Data,0,LH_ColSur),$B114,INDEX(LH_Data,0,LH_ColCat),BonusCat)))</f>
        <v/>
      </c>
      <c r="BD114" s="19" t="str">
        <f aca="false">IF(AG114=0,"",IF(OR(NOT(LH_Ready),BC114=0),0,SUMPRODUCT(MAX((INDEX(LH_Data,0,LH_ColFirst)=$A114)*(INDEX(LH_Data,0,LH_ColSur)=$B114)*(INDEX(LH_Data,0,LH_ColCat)=BonusCat)*ROW(LH_Data)))))</f>
        <v/>
      </c>
      <c r="BE114" s="19" t="str">
        <f aca="false">IF(AG114=0,"",IF(EOMONTH(AsOfDate,-1)&lt;AH114,-1,12*(YEAR(EOMONTH(AsOfDate,-1))-YEAR(AH114))+MONTH(EOMONTH(AsOfDate,-1))-MONTH(AH114)-IF(DAY(EOMONTH(AsOfDate,-1))&lt;MIN(DAY(AH114),DAY(EOMONTH(EOMONTH(AsOfDate,-1),0))),1,0)))</f>
        <v/>
      </c>
      <c r="BF114" s="19" t="str">
        <f aca="false">IF(AG114=0,"",IF(OR(AI114&lt;2,AK114&gt;EOMONTH(AsOfDate,-1)),BE114,IF((AK114-1)&lt;AH114,-1,12*(YEAR((AK114-1))-YEAR(AH114))+MONTH((AK114-1))-MONTH(AH114)-IF(DAY((AK114-1))&lt;MIN(DAY(AH114),DAY(EOMONTH((AK114-1),0))),1,0))))</f>
        <v/>
      </c>
      <c r="BG114" s="19" t="str">
        <f aca="false">IF(AG114=0,"",IF(OR(AI114&lt;3,AL114&gt;EOMONTH(AsOfDate,-1)),BE114,IF((AL114-1)&lt;AH114,-1,12*(YEAR((AL114-1))-YEAR(AH114))+MONTH((AL114-1))-MONTH(AH114)-IF(DAY((AL114-1))&lt;MIN(DAY(AH114),DAY(EOMONTH((AL114-1),0))),1,0))))</f>
        <v/>
      </c>
      <c r="BH114" s="19" t="str">
        <f aca="false">IF(AG114=0,"",IF(AP114="FT",IF(BF114&lt;FT_First,0,IF(BF114&lt;FT_Y5,1+INT((BF114-FT_First)/FT_Int1),FT_PreY5+FT_PerYear*INT((BF114-FT_Y5)/12)+FT_AnnivDays+INT(MOD(BF114-FT_Y5,12)/FT_Int2))),IF(AP114="PT",IF(BF114&lt;PT_First,0,1+INT((BF114-PT_First)/PT_Int)),0))+IF(AND(AI114&gt;=2,AK114&lt;=EOMONTH(AsOfDate,-1)),IF(AQ114="FT",IF(BG114&lt;FT_First,0,IF(BG114&lt;FT_Y5,1+INT((BG114-FT_First)/FT_Int1),FT_PreY5+FT_PerYear*INT((BG114-FT_Y5)/12)+FT_AnnivDays+INT(MOD(BG114-FT_Y5,12)/FT_Int2))),IF(AQ114="PT",IF(BG114&lt;PT_First,0,1+INT((BG114-PT_First)/PT_Int)),0))-IF(AQ114="FT",IF(BF114&lt;FT_First,0,IF(BF114&lt;FT_Y5,1+INT((BF114-FT_First)/FT_Int1),FT_PreY5+FT_PerYear*INT((BF114-FT_Y5)/12)+FT_AnnivDays+INT(MOD(BF114-FT_Y5,12)/FT_Int2))),IF(AQ114="PT",IF(BF114&lt;PT_First,0,1+INT((BF114-PT_First)/PT_Int)),0)),0)+IF(AND(AI114&gt;=3,AL114&lt;=EOMONTH(AsOfDate,-1)),IF(AR114="FT",IF(BE114&lt;FT_First,0,IF(BE114&lt;FT_Y5,1+INT((BE114-FT_First)/FT_Int1),FT_PreY5+FT_PerYear*INT((BE114-FT_Y5)/12)+FT_AnnivDays+INT(MOD(BE114-FT_Y5,12)/FT_Int2))),IF(AR114="PT",IF(BE114&lt;PT_First,0,1+INT((BE114-PT_First)/PT_Int)),0))-IF(AR114="FT",IF(BG114&lt;FT_First,0,IF(BG114&lt;FT_Y5,1+INT((BG114-FT_First)/FT_Int1),FT_PreY5+FT_PerYear*INT((BG114-FT_Y5)/12)+FT_AnnivDays+INT(MOD(BG114-FT_Y5,12)/FT_Int2))),IF(AR114="PT",IF(BG114&lt;PT_First,0,1+INT((BG114-PT_First)/PT_Int)),0)),0))</f>
        <v/>
      </c>
      <c r="BI114" s="19" t="str">
        <f aca="false">IF(AG114=0,"",IF(AS114="FT",IF(AT114&lt;FT_First,"",IF(AT114&lt;FT_Y5,FT_First+FT_Int1*INT((AT114-FT_First)/FT_Int1),FT_Y5+FT_Int2*INT((AT114-FT_Y5)/FT_Int2))),IF(AS114="PT",IF(AT114&lt;PT_First,"",PT_First+PT_Int*INT((AT114-PT_First)/PT_Int)),"")))</f>
        <v/>
      </c>
      <c r="BJ114" s="0" t="str">
        <f aca="false">IF(LEN($A114&amp;$B114)=0,"",$A114&amp;" "&amp;$B114)</f>
        <v/>
      </c>
    </row>
    <row r="115" customFormat="false" ht="15" hidden="false" customHeight="false" outlineLevel="0" collapsed="false">
      <c r="A115" s="15"/>
      <c r="B115" s="15"/>
      <c r="C115" s="15"/>
      <c r="D115" s="16"/>
      <c r="E115" s="17" t="str">
        <f aca="false">IF(OR(AG115=0,$D115=""),"",DATE(YEAR(AsOfDate)+IF(DATE(YEAR(AsOfDate),MONTH($D115),DAY($D115))&lt;=AsOfDate,1,0),MONTH($D115),DAY($D115)))</f>
        <v/>
      </c>
      <c r="F115" s="16"/>
      <c r="G115" s="16"/>
      <c r="H115" s="16"/>
      <c r="I115" s="16"/>
      <c r="J115" s="16"/>
      <c r="K115" s="17" t="str">
        <f aca="false">IF(AG115=0,"",DATE(YEAR(AsOfDate)+IF(DATE(YEAR(AsOfDate),MONTH(AH115),DAY(AH115))&lt;=AsOfDate,1,0),MONTH(AH115),DAY(AH115)))</f>
        <v/>
      </c>
      <c r="L115" s="18" t="str">
        <f aca="false">IF(AG115=0,"",ROUND((AsOfDate-AH115)/365.25,1))</f>
        <v/>
      </c>
      <c r="M115" s="19" t="str">
        <f aca="false">IF(AG115=0,"",IF(AsOfDate&lt;AH115,"-",DATEDIF(AH115,AsOfDate,"y")&amp;"y "&amp;DATEDIF(AH115,AsOfDate,"ym")&amp;"m "&amp;DATEDIF(AH115,AsOfDate,"md")&amp;"d"))</f>
        <v/>
      </c>
      <c r="N115" s="20" t="str">
        <f aca="false">IF(AG115=0,"",O115*HoursPerDay)</f>
        <v/>
      </c>
      <c r="O115" s="20" t="str">
        <f aca="false">IF(AG115=0,"",AZ115)</f>
        <v/>
      </c>
      <c r="P115" s="21"/>
      <c r="Q115" s="19"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19"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7" t="str">
        <f aca="false">IF(AG115=0,"",IF(AS115="None","",EDATE(AH115,BB115)))</f>
        <v/>
      </c>
      <c r="T115" s="20" t="str">
        <f aca="false">IF(AG115=0,"",IF(NOT(LH_Ready),"",IF(AH115&gt;PFYDate,0,IF(LH_ColPeriod=0,W115-U115+V115,SUMIFS(INDEX(LH_Data,0,LH_ColAcc),INDEX(LH_Data,0,LH_ColFirst),$A115,INDEX(LH_Data,0,LH_ColSur),$B115,INDEX(LH_Data,0,LH_ColCat),BonusCat,INDEX(LH_Data,0,LH_ColPeriod),LH_OpenLabel)*UnitFactor))))</f>
        <v/>
      </c>
      <c r="U115" s="20" t="str">
        <f aca="false">IF(AG115=0,"",IF(NOT(LH_Ready),"",SUMIFS(INDEX(LH_Data,0,LH_ColAcc),INDEX(LH_Data,0,LH_ColFirst),$A115,INDEX(LH_Data,0,LH_ColSur),$B115,INDEX(LH_Data,0,LH_ColCat),BonusCat,INDEX(LH_Data,0,LH_ColStart),"&gt;="&amp;AH115)*UnitFactor))</f>
        <v/>
      </c>
      <c r="V115" s="20" t="str">
        <f aca="false">IF(AG115=0,"",IF(NOT(LH_Ready),"",SUMIFS(INDEX(LH_Data,0,LH_ColTaken),INDEX(LH_Data,0,LH_ColFirst),$A115,INDEX(LH_Data,0,LH_ColSur),$B115,INDEX(LH_Data,0,LH_ColCat),BonusCat,INDEX(LH_Data,0,LH_ColStart),"&gt;="&amp;AH115)*UnitFactor))</f>
        <v/>
      </c>
      <c r="W115" s="20" t="str">
        <f aca="false">IF(AG115=0,"",IF(NOT(LH_Ready),"",IF(BD115=0,0,INDEX(INDEX(LH_Data,0,LH_ColClose),BD115-1)*UnitFactor)))</f>
        <v/>
      </c>
      <c r="X115" s="20" t="str">
        <f aca="false">IF(AG115=0,"",(AZ115-BA115)*HoursPerDay)</f>
        <v/>
      </c>
      <c r="Y115" s="20" t="str">
        <f aca="false">IF(AG115=0,"",IF(NOT(LH_Ready),"",IF(BC115=0,N115,IF(PFYDate&lt;$F115,N115-N(T115)-N(U115),X115-N(U115)))))</f>
        <v/>
      </c>
      <c r="Z115" s="19" t="str">
        <f aca="false">IF(OR(AG115=0,Y115=""),"",IF(Y115&gt;0,"Yes","No"))</f>
        <v/>
      </c>
      <c r="AA115" s="19"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20" t="str">
        <f aca="false">IF(OR(AG115=0,T115=""),"",BA115*HoursPerDay-T115)</f>
        <v/>
      </c>
      <c r="AC115" s="19" t="str">
        <f aca="false">IF(AG115=0,"",BC115)</f>
        <v/>
      </c>
      <c r="AD115" s="19"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20" t="str">
        <f aca="false">IF(AG115=0,"",O115-BH115)</f>
        <v/>
      </c>
      <c r="AF115" s="17" t="str">
        <f aca="false">IF(OR(AG115=0,AE115="",N(AE115)=0,BI115=""),"",EDATE(AH115,BI115))</f>
        <v/>
      </c>
      <c r="AG115" s="19" t="n">
        <f aca="false">IF(OR(LEN($A115&amp;$B115)=0,$F115=""),0,1)</f>
        <v>0</v>
      </c>
      <c r="AH115" s="17" t="str">
        <f aca="false">IF(AG115=0,"",IF($J115&lt;&gt;"",$J115,IF(OR(CasualCounts="Yes",COUNT($G115:$I115)=0,COUNT($H115:$I115)=0),$F115,MIN($H115:$I115))))</f>
        <v/>
      </c>
      <c r="AI115" s="19" t="str">
        <f aca="false">IF(AG115=0,"",COUNT($G115:$I115))</f>
        <v/>
      </c>
      <c r="AJ115" s="17" t="str">
        <f aca="false">IF(AG115=0,"",IFERROR(SMALL($G115:$I115,1),""))</f>
        <v/>
      </c>
      <c r="AK115" s="17" t="str">
        <f aca="false">IF(AG115=0,"",IFERROR(SMALL($G115:$I115,2),""))</f>
        <v/>
      </c>
      <c r="AL115" s="17" t="str">
        <f aca="false">IF(AG115=0,"",IFERROR(SMALL($G115:$I115,3),""))</f>
        <v/>
      </c>
      <c r="AM115" s="19" t="str">
        <f aca="false">IF(AG115=0,"",IF(AJ115="","",IF(AJ115=$H115,"Part-Time",IF(AJ115=$I115,"Full-Time","Casual"))))</f>
        <v/>
      </c>
      <c r="AN115" s="19" t="str">
        <f aca="false">IF(AG115=0,"",IF(AK115="","",IF(AK115=$H115,"Part-Time",IF(AK115=$I115,"Full-Time","Casual"))))</f>
        <v/>
      </c>
      <c r="AO115" s="19" t="str">
        <f aca="false">IF(AG115=0,"",IF(AL115="","",IF(AL115=$H115,"Part-Time",IF(AL115=$I115,"Full-Time","Casual"))))</f>
        <v/>
      </c>
      <c r="AP115" s="19"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19" t="str">
        <f aca="false">IF(AG115=0,"",IF(AI115&lt;2,"",IF(OR(ISNUMBER(SEARCH("full",AN115)),UPPER(TRIM(AN115))="FT",UPPER(TRIM(AN115))="FTE"),"FT",IF(AND(OR(ISNUMBER(SEARCH("part",AN115)),UPPER(TRIM(AN115))="PT",UPPER(TRIM(AN115))="PTE"),OR($P115="",N($P115)&gt;=PT_MinHours)),"PT","None"))))</f>
        <v/>
      </c>
      <c r="AR115" s="19" t="str">
        <f aca="false">IF(AG115=0,"",IF(AI115&lt;3,"",IF(OR(ISNUMBER(SEARCH("full",AO115)),UPPER(TRIM(AO115))="FT",UPPER(TRIM(AO115))="FTE"),"FT",IF(AND(OR(ISNUMBER(SEARCH("part",AO115)),UPPER(TRIM(AO115))="PT",UPPER(TRIM(AO115))="PTE"),OR($P115="",N($P115)&gt;=PT_MinHours)),"PT","None"))))</f>
        <v/>
      </c>
      <c r="AS115" s="19" t="str">
        <f aca="false">IF(AG115=0,"",IF(AND(AI115&gt;=3,AL115&lt;=AsOfDate),AR115,IF(AND(AI115&gt;=2,AK115&lt;=AsOfDate),AQ115,AP115)))</f>
        <v/>
      </c>
      <c r="AT115" s="19" t="str">
        <f aca="false">IF(AG115=0,"",IF(AsOfDate&lt;AH115,-1,12*(YEAR(AsOfDate)-YEAR(AH115))+MONTH(AsOfDate)-MONTH(AH115)-IF(DAY(AsOfDate)&lt;MIN(DAY(AH115),DAY(EOMONTH(AsOfDate,0))),1,0)))</f>
        <v/>
      </c>
      <c r="AU115" s="19" t="str">
        <f aca="false">IF(AG115=0,"",IF(OR(AI115&lt;2,AK115&gt;AsOfDate),AT115,IF((AK115-1)&lt;AH115,-1,12*(YEAR((AK115-1))-YEAR(AH115))+MONTH((AK115-1))-MONTH(AH115)-IF(DAY((AK115-1))&lt;MIN(DAY(AH115),DAY(EOMONTH((AK115-1),0))),1,0))))</f>
        <v/>
      </c>
      <c r="AV115" s="19" t="str">
        <f aca="false">IF(AG115=0,"",IF(OR(AI115&lt;3,AL115&gt;AsOfDate),AT115,IF((AL115-1)&lt;AH115,-1,12*(YEAR((AL115-1))-YEAR(AH115))+MONTH((AL115-1))-MONTH(AH115)-IF(DAY((AL115-1))&lt;MIN(DAY(AH115),DAY(EOMONTH((AL115-1),0))),1,0))))</f>
        <v/>
      </c>
      <c r="AW115" s="19" t="str">
        <f aca="false">IF(AG115=0,"",IF(PFYDate&lt;AH115,-1,12*(YEAR(PFYDate)-YEAR(AH115))+MONTH(PFYDate)-MONTH(AH115)-IF(DAY(PFYDate)&lt;MIN(DAY(AH115),DAY(EOMONTH(PFYDate,0))),1,0)))</f>
        <v/>
      </c>
      <c r="AX115" s="19" t="str">
        <f aca="false">IF(AG115=0,"",IF(OR(AI115&lt;2,AK115&gt;PFYDate),AW115,IF((AK115-1)&lt;AH115,-1,12*(YEAR((AK115-1))-YEAR(AH115))+MONTH((AK115-1))-MONTH(AH115)-IF(DAY((AK115-1))&lt;MIN(DAY(AH115),DAY(EOMONTH((AK115-1),0))),1,0))))</f>
        <v/>
      </c>
      <c r="AY115" s="19" t="str">
        <f aca="false">IF(AG115=0,"",IF(OR(AI115&lt;3,AL115&gt;PFYDate),AW115,IF((AL115-1)&lt;AH115,-1,12*(YEAR((AL115-1))-YEAR(AH115))+MONTH((AL115-1))-MONTH(AH115)-IF(DAY((AL115-1))&lt;MIN(DAY(AH115),DAY(EOMONTH((AL115-1),0))),1,0))))</f>
        <v/>
      </c>
      <c r="AZ115" s="19" t="str">
        <f aca="false">IF(AG115=0,"",IF(AP115="FT",IF(AU115&lt;FT_First,0,IF(AU115&lt;FT_Y5,1+INT((AU115-FT_First)/FT_Int1),FT_PreY5+FT_PerYear*INT((AU115-FT_Y5)/12)+FT_AnnivDays+INT(MOD(AU115-FT_Y5,12)/FT_Int2))),IF(AP115="PT",IF(AU115&lt;PT_First,0,1+INT((AU115-PT_First)/PT_Int)),0))+IF(AND(AI115&gt;=2,AK115&lt;=AsOfDate),IF(AQ115="FT",IF(AV115&lt;FT_First,0,IF(AV115&lt;FT_Y5,1+INT((AV115-FT_First)/FT_Int1),FT_PreY5+FT_PerYear*INT((AV115-FT_Y5)/12)+FT_AnnivDays+INT(MOD(AV115-FT_Y5,12)/FT_Int2))),IF(AQ115="PT",IF(AV115&lt;PT_First,0,1+INT((AV115-PT_First)/PT_Int)),0))-IF(AQ115="FT",IF(AU115&lt;FT_First,0,IF(AU115&lt;FT_Y5,1+INT((AU115-FT_First)/FT_Int1),FT_PreY5+FT_PerYear*INT((AU115-FT_Y5)/12)+FT_AnnivDays+INT(MOD(AU115-FT_Y5,12)/FT_Int2))),IF(AQ115="PT",IF(AU115&lt;PT_First,0,1+INT((AU115-PT_First)/PT_Int)),0)),0)+IF(AND(AI115&gt;=3,AL115&lt;=AsOfDate),IF(AR115="FT",IF(AT115&lt;FT_First,0,IF(AT115&lt;FT_Y5,1+INT((AT115-FT_First)/FT_Int1),FT_PreY5+FT_PerYear*INT((AT115-FT_Y5)/12)+FT_AnnivDays+INT(MOD(AT115-FT_Y5,12)/FT_Int2))),IF(AR115="PT",IF(AT115&lt;PT_First,0,1+INT((AT115-PT_First)/PT_Int)),0))-IF(AR115="FT",IF(AV115&lt;FT_First,0,IF(AV115&lt;FT_Y5,1+INT((AV115-FT_First)/FT_Int1),FT_PreY5+FT_PerYear*INT((AV115-FT_Y5)/12)+FT_AnnivDays+INT(MOD(AV115-FT_Y5,12)/FT_Int2))),IF(AR115="PT",IF(AV115&lt;PT_First,0,1+INT((AV115-PT_First)/PT_Int)),0)),0))</f>
        <v/>
      </c>
      <c r="BA115" s="19" t="str">
        <f aca="false">IF(AG115=0,"",IF(AP115="FT",IF(AX115&lt;FT_First,0,IF(AX115&lt;FT_Y5,1+INT((AX115-FT_First)/FT_Int1),FT_PreY5+FT_PerYear*INT((AX115-FT_Y5)/12)+FT_AnnivDays+INT(MOD(AX115-FT_Y5,12)/FT_Int2))),IF(AP115="PT",IF(AX115&lt;PT_First,0,1+INT((AX115-PT_First)/PT_Int)),0))+IF(AND(AI115&gt;=2,AK115&lt;=PFYDate),IF(AQ115="FT",IF(AY115&lt;FT_First,0,IF(AY115&lt;FT_Y5,1+INT((AY115-FT_First)/FT_Int1),FT_PreY5+FT_PerYear*INT((AY115-FT_Y5)/12)+FT_AnnivDays+INT(MOD(AY115-FT_Y5,12)/FT_Int2))),IF(AQ115="PT",IF(AY115&lt;PT_First,0,1+INT((AY115-PT_First)/PT_Int)),0))-IF(AQ115="FT",IF(AX115&lt;FT_First,0,IF(AX115&lt;FT_Y5,1+INT((AX115-FT_First)/FT_Int1),FT_PreY5+FT_PerYear*INT((AX115-FT_Y5)/12)+FT_AnnivDays+INT(MOD(AX115-FT_Y5,12)/FT_Int2))),IF(AQ115="PT",IF(AX115&lt;PT_First,0,1+INT((AX115-PT_First)/PT_Int)),0)),0)+IF(AND(AI115&gt;=3,AL115&lt;=PFYDate),IF(AR115="FT",IF(AW115&lt;FT_First,0,IF(AW115&lt;FT_Y5,1+INT((AW115-FT_First)/FT_Int1),FT_PreY5+FT_PerYear*INT((AW115-FT_Y5)/12)+FT_AnnivDays+INT(MOD(AW115-FT_Y5,12)/FT_Int2))),IF(AR115="PT",IF(AW115&lt;PT_First,0,1+INT((AW115-PT_First)/PT_Int)),0))-IF(AR115="FT",IF(AY115&lt;FT_First,0,IF(AY115&lt;FT_Y5,1+INT((AY115-FT_First)/FT_Int1),FT_PreY5+FT_PerYear*INT((AY115-FT_Y5)/12)+FT_AnnivDays+INT(MOD(AY115-FT_Y5,12)/FT_Int2))),IF(AR115="PT",IF(AY115&lt;PT_First,0,1+INT((AY115-PT_First)/PT_Int)),0)),0))</f>
        <v/>
      </c>
      <c r="BB115" s="19" t="str">
        <f aca="false">IF(AG115=0,"",IF(AS115="FT",IF(AT115&lt;FT_First,FT_First,IF(AT115&lt;FT_Y5,MIN(FT_Y5,FT_First+FT_Int1*(INT((AT115-FT_First)/FT_Int1)+1)),FT_Y5+12*INT((AT115-FT_Y5)/12)+FT_Int2*(INT(MOD(AT115-FT_Y5,12)/FT_Int2)+1))),IF(AS115="PT",IF(AT115&lt;PT_First,PT_First,PT_First+PT_Int*(INT((AT115-PT_First)/PT_Int)+1)),"")))</f>
        <v/>
      </c>
      <c r="BC115" s="19" t="str">
        <f aca="false">IF(AG115=0,"",IF(NOT(LH_Ready),0,COUNTIFS(INDEX(LH_Data,0,LH_ColFirst),$A115,INDEX(LH_Data,0,LH_ColSur),$B115,INDEX(LH_Data,0,LH_ColCat),BonusCat)))</f>
        <v/>
      </c>
      <c r="BD115" s="19" t="str">
        <f aca="false">IF(AG115=0,"",IF(OR(NOT(LH_Ready),BC115=0),0,SUMPRODUCT(MAX((INDEX(LH_Data,0,LH_ColFirst)=$A115)*(INDEX(LH_Data,0,LH_ColSur)=$B115)*(INDEX(LH_Data,0,LH_ColCat)=BonusCat)*ROW(LH_Data)))))</f>
        <v/>
      </c>
      <c r="BE115" s="19" t="str">
        <f aca="false">IF(AG115=0,"",IF(EOMONTH(AsOfDate,-1)&lt;AH115,-1,12*(YEAR(EOMONTH(AsOfDate,-1))-YEAR(AH115))+MONTH(EOMONTH(AsOfDate,-1))-MONTH(AH115)-IF(DAY(EOMONTH(AsOfDate,-1))&lt;MIN(DAY(AH115),DAY(EOMONTH(EOMONTH(AsOfDate,-1),0))),1,0)))</f>
        <v/>
      </c>
      <c r="BF115" s="19" t="str">
        <f aca="false">IF(AG115=0,"",IF(OR(AI115&lt;2,AK115&gt;EOMONTH(AsOfDate,-1)),BE115,IF((AK115-1)&lt;AH115,-1,12*(YEAR((AK115-1))-YEAR(AH115))+MONTH((AK115-1))-MONTH(AH115)-IF(DAY((AK115-1))&lt;MIN(DAY(AH115),DAY(EOMONTH((AK115-1),0))),1,0))))</f>
        <v/>
      </c>
      <c r="BG115" s="19" t="str">
        <f aca="false">IF(AG115=0,"",IF(OR(AI115&lt;3,AL115&gt;EOMONTH(AsOfDate,-1)),BE115,IF((AL115-1)&lt;AH115,-1,12*(YEAR((AL115-1))-YEAR(AH115))+MONTH((AL115-1))-MONTH(AH115)-IF(DAY((AL115-1))&lt;MIN(DAY(AH115),DAY(EOMONTH((AL115-1),0))),1,0))))</f>
        <v/>
      </c>
      <c r="BH115" s="19" t="str">
        <f aca="false">IF(AG115=0,"",IF(AP115="FT",IF(BF115&lt;FT_First,0,IF(BF115&lt;FT_Y5,1+INT((BF115-FT_First)/FT_Int1),FT_PreY5+FT_PerYear*INT((BF115-FT_Y5)/12)+FT_AnnivDays+INT(MOD(BF115-FT_Y5,12)/FT_Int2))),IF(AP115="PT",IF(BF115&lt;PT_First,0,1+INT((BF115-PT_First)/PT_Int)),0))+IF(AND(AI115&gt;=2,AK115&lt;=EOMONTH(AsOfDate,-1)),IF(AQ115="FT",IF(BG115&lt;FT_First,0,IF(BG115&lt;FT_Y5,1+INT((BG115-FT_First)/FT_Int1),FT_PreY5+FT_PerYear*INT((BG115-FT_Y5)/12)+FT_AnnivDays+INT(MOD(BG115-FT_Y5,12)/FT_Int2))),IF(AQ115="PT",IF(BG115&lt;PT_First,0,1+INT((BG115-PT_First)/PT_Int)),0))-IF(AQ115="FT",IF(BF115&lt;FT_First,0,IF(BF115&lt;FT_Y5,1+INT((BF115-FT_First)/FT_Int1),FT_PreY5+FT_PerYear*INT((BF115-FT_Y5)/12)+FT_AnnivDays+INT(MOD(BF115-FT_Y5,12)/FT_Int2))),IF(AQ115="PT",IF(BF115&lt;PT_First,0,1+INT((BF115-PT_First)/PT_Int)),0)),0)+IF(AND(AI115&gt;=3,AL115&lt;=EOMONTH(AsOfDate,-1)),IF(AR115="FT",IF(BE115&lt;FT_First,0,IF(BE115&lt;FT_Y5,1+INT((BE115-FT_First)/FT_Int1),FT_PreY5+FT_PerYear*INT((BE115-FT_Y5)/12)+FT_AnnivDays+INT(MOD(BE115-FT_Y5,12)/FT_Int2))),IF(AR115="PT",IF(BE115&lt;PT_First,0,1+INT((BE115-PT_First)/PT_Int)),0))-IF(AR115="FT",IF(BG115&lt;FT_First,0,IF(BG115&lt;FT_Y5,1+INT((BG115-FT_First)/FT_Int1),FT_PreY5+FT_PerYear*INT((BG115-FT_Y5)/12)+FT_AnnivDays+INT(MOD(BG115-FT_Y5,12)/FT_Int2))),IF(AR115="PT",IF(BG115&lt;PT_First,0,1+INT((BG115-PT_First)/PT_Int)),0)),0))</f>
        <v/>
      </c>
      <c r="BI115" s="19" t="str">
        <f aca="false">IF(AG115=0,"",IF(AS115="FT",IF(AT115&lt;FT_First,"",IF(AT115&lt;FT_Y5,FT_First+FT_Int1*INT((AT115-FT_First)/FT_Int1),FT_Y5+FT_Int2*INT((AT115-FT_Y5)/FT_Int2))),IF(AS115="PT",IF(AT115&lt;PT_First,"",PT_First+PT_Int*INT((AT115-PT_First)/PT_Int)),"")))</f>
        <v/>
      </c>
      <c r="BJ115" s="0" t="str">
        <f aca="false">IF(LEN($A115&amp;$B115)=0,"",$A115&amp;" "&amp;$B115)</f>
        <v/>
      </c>
    </row>
    <row r="116" customFormat="false" ht="15" hidden="false" customHeight="false" outlineLevel="0" collapsed="false">
      <c r="A116" s="15"/>
      <c r="B116" s="15"/>
      <c r="C116" s="15"/>
      <c r="D116" s="16"/>
      <c r="E116" s="17" t="str">
        <f aca="false">IF(OR(AG116=0,$D116=""),"",DATE(YEAR(AsOfDate)+IF(DATE(YEAR(AsOfDate),MONTH($D116),DAY($D116))&lt;=AsOfDate,1,0),MONTH($D116),DAY($D116)))</f>
        <v/>
      </c>
      <c r="F116" s="16"/>
      <c r="G116" s="16"/>
      <c r="H116" s="16"/>
      <c r="I116" s="16"/>
      <c r="J116" s="16"/>
      <c r="K116" s="17" t="str">
        <f aca="false">IF(AG116=0,"",DATE(YEAR(AsOfDate)+IF(DATE(YEAR(AsOfDate),MONTH(AH116),DAY(AH116))&lt;=AsOfDate,1,0),MONTH(AH116),DAY(AH116)))</f>
        <v/>
      </c>
      <c r="L116" s="18" t="str">
        <f aca="false">IF(AG116=0,"",ROUND((AsOfDate-AH116)/365.25,1))</f>
        <v/>
      </c>
      <c r="M116" s="19" t="str">
        <f aca="false">IF(AG116=0,"",IF(AsOfDate&lt;AH116,"-",DATEDIF(AH116,AsOfDate,"y")&amp;"y "&amp;DATEDIF(AH116,AsOfDate,"ym")&amp;"m "&amp;DATEDIF(AH116,AsOfDate,"md")&amp;"d"))</f>
        <v/>
      </c>
      <c r="N116" s="20" t="str">
        <f aca="false">IF(AG116=0,"",O116*HoursPerDay)</f>
        <v/>
      </c>
      <c r="O116" s="20" t="str">
        <f aca="false">IF(AG116=0,"",AZ116)</f>
        <v/>
      </c>
      <c r="P116" s="21"/>
      <c r="Q116" s="19"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19"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7" t="str">
        <f aca="false">IF(AG116=0,"",IF(AS116="None","",EDATE(AH116,BB116)))</f>
        <v/>
      </c>
      <c r="T116" s="20" t="str">
        <f aca="false">IF(AG116=0,"",IF(NOT(LH_Ready),"",IF(AH116&gt;PFYDate,0,IF(LH_ColPeriod=0,W116-U116+V116,SUMIFS(INDEX(LH_Data,0,LH_ColAcc),INDEX(LH_Data,0,LH_ColFirst),$A116,INDEX(LH_Data,0,LH_ColSur),$B116,INDEX(LH_Data,0,LH_ColCat),BonusCat,INDEX(LH_Data,0,LH_ColPeriod),LH_OpenLabel)*UnitFactor))))</f>
        <v/>
      </c>
      <c r="U116" s="20" t="str">
        <f aca="false">IF(AG116=0,"",IF(NOT(LH_Ready),"",SUMIFS(INDEX(LH_Data,0,LH_ColAcc),INDEX(LH_Data,0,LH_ColFirst),$A116,INDEX(LH_Data,0,LH_ColSur),$B116,INDEX(LH_Data,0,LH_ColCat),BonusCat,INDEX(LH_Data,0,LH_ColStart),"&gt;="&amp;AH116)*UnitFactor))</f>
        <v/>
      </c>
      <c r="V116" s="20" t="str">
        <f aca="false">IF(AG116=0,"",IF(NOT(LH_Ready),"",SUMIFS(INDEX(LH_Data,0,LH_ColTaken),INDEX(LH_Data,0,LH_ColFirst),$A116,INDEX(LH_Data,0,LH_ColSur),$B116,INDEX(LH_Data,0,LH_ColCat),BonusCat,INDEX(LH_Data,0,LH_ColStart),"&gt;="&amp;AH116)*UnitFactor))</f>
        <v/>
      </c>
      <c r="W116" s="20" t="str">
        <f aca="false">IF(AG116=0,"",IF(NOT(LH_Ready),"",IF(BD116=0,0,INDEX(INDEX(LH_Data,0,LH_ColClose),BD116-1)*UnitFactor)))</f>
        <v/>
      </c>
      <c r="X116" s="20" t="str">
        <f aca="false">IF(AG116=0,"",(AZ116-BA116)*HoursPerDay)</f>
        <v/>
      </c>
      <c r="Y116" s="20" t="str">
        <f aca="false">IF(AG116=0,"",IF(NOT(LH_Ready),"",IF(BC116=0,N116,IF(PFYDate&lt;$F116,N116-N(T116)-N(U116),X116-N(U116)))))</f>
        <v/>
      </c>
      <c r="Z116" s="19" t="str">
        <f aca="false">IF(OR(AG116=0,Y116=""),"",IF(Y116&gt;0,"Yes","No"))</f>
        <v/>
      </c>
      <c r="AA116" s="19"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20" t="str">
        <f aca="false">IF(OR(AG116=0,T116=""),"",BA116*HoursPerDay-T116)</f>
        <v/>
      </c>
      <c r="AC116" s="19" t="str">
        <f aca="false">IF(AG116=0,"",BC116)</f>
        <v/>
      </c>
      <c r="AD116" s="19"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20" t="str">
        <f aca="false">IF(AG116=0,"",O116-BH116)</f>
        <v/>
      </c>
      <c r="AF116" s="17" t="str">
        <f aca="false">IF(OR(AG116=0,AE116="",N(AE116)=0,BI116=""),"",EDATE(AH116,BI116))</f>
        <v/>
      </c>
      <c r="AG116" s="19" t="n">
        <f aca="false">IF(OR(LEN($A116&amp;$B116)=0,$F116=""),0,1)</f>
        <v>0</v>
      </c>
      <c r="AH116" s="17" t="str">
        <f aca="false">IF(AG116=0,"",IF($J116&lt;&gt;"",$J116,IF(OR(CasualCounts="Yes",COUNT($G116:$I116)=0,COUNT($H116:$I116)=0),$F116,MIN($H116:$I116))))</f>
        <v/>
      </c>
      <c r="AI116" s="19" t="str">
        <f aca="false">IF(AG116=0,"",COUNT($G116:$I116))</f>
        <v/>
      </c>
      <c r="AJ116" s="17" t="str">
        <f aca="false">IF(AG116=0,"",IFERROR(SMALL($G116:$I116,1),""))</f>
        <v/>
      </c>
      <c r="AK116" s="17" t="str">
        <f aca="false">IF(AG116=0,"",IFERROR(SMALL($G116:$I116,2),""))</f>
        <v/>
      </c>
      <c r="AL116" s="17" t="str">
        <f aca="false">IF(AG116=0,"",IFERROR(SMALL($G116:$I116,3),""))</f>
        <v/>
      </c>
      <c r="AM116" s="19" t="str">
        <f aca="false">IF(AG116=0,"",IF(AJ116="","",IF(AJ116=$H116,"Part-Time",IF(AJ116=$I116,"Full-Time","Casual"))))</f>
        <v/>
      </c>
      <c r="AN116" s="19" t="str">
        <f aca="false">IF(AG116=0,"",IF(AK116="","",IF(AK116=$H116,"Part-Time",IF(AK116=$I116,"Full-Time","Casual"))))</f>
        <v/>
      </c>
      <c r="AO116" s="19" t="str">
        <f aca="false">IF(AG116=0,"",IF(AL116="","",IF(AL116=$H116,"Part-Time",IF(AL116=$I116,"Full-Time","Casual"))))</f>
        <v/>
      </c>
      <c r="AP116" s="19"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19" t="str">
        <f aca="false">IF(AG116=0,"",IF(AI116&lt;2,"",IF(OR(ISNUMBER(SEARCH("full",AN116)),UPPER(TRIM(AN116))="FT",UPPER(TRIM(AN116))="FTE"),"FT",IF(AND(OR(ISNUMBER(SEARCH("part",AN116)),UPPER(TRIM(AN116))="PT",UPPER(TRIM(AN116))="PTE"),OR($P116="",N($P116)&gt;=PT_MinHours)),"PT","None"))))</f>
        <v/>
      </c>
      <c r="AR116" s="19" t="str">
        <f aca="false">IF(AG116=0,"",IF(AI116&lt;3,"",IF(OR(ISNUMBER(SEARCH("full",AO116)),UPPER(TRIM(AO116))="FT",UPPER(TRIM(AO116))="FTE"),"FT",IF(AND(OR(ISNUMBER(SEARCH("part",AO116)),UPPER(TRIM(AO116))="PT",UPPER(TRIM(AO116))="PTE"),OR($P116="",N($P116)&gt;=PT_MinHours)),"PT","None"))))</f>
        <v/>
      </c>
      <c r="AS116" s="19" t="str">
        <f aca="false">IF(AG116=0,"",IF(AND(AI116&gt;=3,AL116&lt;=AsOfDate),AR116,IF(AND(AI116&gt;=2,AK116&lt;=AsOfDate),AQ116,AP116)))</f>
        <v/>
      </c>
      <c r="AT116" s="19" t="str">
        <f aca="false">IF(AG116=0,"",IF(AsOfDate&lt;AH116,-1,12*(YEAR(AsOfDate)-YEAR(AH116))+MONTH(AsOfDate)-MONTH(AH116)-IF(DAY(AsOfDate)&lt;MIN(DAY(AH116),DAY(EOMONTH(AsOfDate,0))),1,0)))</f>
        <v/>
      </c>
      <c r="AU116" s="19" t="str">
        <f aca="false">IF(AG116=0,"",IF(OR(AI116&lt;2,AK116&gt;AsOfDate),AT116,IF((AK116-1)&lt;AH116,-1,12*(YEAR((AK116-1))-YEAR(AH116))+MONTH((AK116-1))-MONTH(AH116)-IF(DAY((AK116-1))&lt;MIN(DAY(AH116),DAY(EOMONTH((AK116-1),0))),1,0))))</f>
        <v/>
      </c>
      <c r="AV116" s="19" t="str">
        <f aca="false">IF(AG116=0,"",IF(OR(AI116&lt;3,AL116&gt;AsOfDate),AT116,IF((AL116-1)&lt;AH116,-1,12*(YEAR((AL116-1))-YEAR(AH116))+MONTH((AL116-1))-MONTH(AH116)-IF(DAY((AL116-1))&lt;MIN(DAY(AH116),DAY(EOMONTH((AL116-1),0))),1,0))))</f>
        <v/>
      </c>
      <c r="AW116" s="19" t="str">
        <f aca="false">IF(AG116=0,"",IF(PFYDate&lt;AH116,-1,12*(YEAR(PFYDate)-YEAR(AH116))+MONTH(PFYDate)-MONTH(AH116)-IF(DAY(PFYDate)&lt;MIN(DAY(AH116),DAY(EOMONTH(PFYDate,0))),1,0)))</f>
        <v/>
      </c>
      <c r="AX116" s="19" t="str">
        <f aca="false">IF(AG116=0,"",IF(OR(AI116&lt;2,AK116&gt;PFYDate),AW116,IF((AK116-1)&lt;AH116,-1,12*(YEAR((AK116-1))-YEAR(AH116))+MONTH((AK116-1))-MONTH(AH116)-IF(DAY((AK116-1))&lt;MIN(DAY(AH116),DAY(EOMONTH((AK116-1),0))),1,0))))</f>
        <v/>
      </c>
      <c r="AY116" s="19" t="str">
        <f aca="false">IF(AG116=0,"",IF(OR(AI116&lt;3,AL116&gt;PFYDate),AW116,IF((AL116-1)&lt;AH116,-1,12*(YEAR((AL116-1))-YEAR(AH116))+MONTH((AL116-1))-MONTH(AH116)-IF(DAY((AL116-1))&lt;MIN(DAY(AH116),DAY(EOMONTH((AL116-1),0))),1,0))))</f>
        <v/>
      </c>
      <c r="AZ116" s="19" t="str">
        <f aca="false">IF(AG116=0,"",IF(AP116="FT",IF(AU116&lt;FT_First,0,IF(AU116&lt;FT_Y5,1+INT((AU116-FT_First)/FT_Int1),FT_PreY5+FT_PerYear*INT((AU116-FT_Y5)/12)+FT_AnnivDays+INT(MOD(AU116-FT_Y5,12)/FT_Int2))),IF(AP116="PT",IF(AU116&lt;PT_First,0,1+INT((AU116-PT_First)/PT_Int)),0))+IF(AND(AI116&gt;=2,AK116&lt;=AsOfDate),IF(AQ116="FT",IF(AV116&lt;FT_First,0,IF(AV116&lt;FT_Y5,1+INT((AV116-FT_First)/FT_Int1),FT_PreY5+FT_PerYear*INT((AV116-FT_Y5)/12)+FT_AnnivDays+INT(MOD(AV116-FT_Y5,12)/FT_Int2))),IF(AQ116="PT",IF(AV116&lt;PT_First,0,1+INT((AV116-PT_First)/PT_Int)),0))-IF(AQ116="FT",IF(AU116&lt;FT_First,0,IF(AU116&lt;FT_Y5,1+INT((AU116-FT_First)/FT_Int1),FT_PreY5+FT_PerYear*INT((AU116-FT_Y5)/12)+FT_AnnivDays+INT(MOD(AU116-FT_Y5,12)/FT_Int2))),IF(AQ116="PT",IF(AU116&lt;PT_First,0,1+INT((AU116-PT_First)/PT_Int)),0)),0)+IF(AND(AI116&gt;=3,AL116&lt;=AsOfDate),IF(AR116="FT",IF(AT116&lt;FT_First,0,IF(AT116&lt;FT_Y5,1+INT((AT116-FT_First)/FT_Int1),FT_PreY5+FT_PerYear*INT((AT116-FT_Y5)/12)+FT_AnnivDays+INT(MOD(AT116-FT_Y5,12)/FT_Int2))),IF(AR116="PT",IF(AT116&lt;PT_First,0,1+INT((AT116-PT_First)/PT_Int)),0))-IF(AR116="FT",IF(AV116&lt;FT_First,0,IF(AV116&lt;FT_Y5,1+INT((AV116-FT_First)/FT_Int1),FT_PreY5+FT_PerYear*INT((AV116-FT_Y5)/12)+FT_AnnivDays+INT(MOD(AV116-FT_Y5,12)/FT_Int2))),IF(AR116="PT",IF(AV116&lt;PT_First,0,1+INT((AV116-PT_First)/PT_Int)),0)),0))</f>
        <v/>
      </c>
      <c r="BA116" s="19" t="str">
        <f aca="false">IF(AG116=0,"",IF(AP116="FT",IF(AX116&lt;FT_First,0,IF(AX116&lt;FT_Y5,1+INT((AX116-FT_First)/FT_Int1),FT_PreY5+FT_PerYear*INT((AX116-FT_Y5)/12)+FT_AnnivDays+INT(MOD(AX116-FT_Y5,12)/FT_Int2))),IF(AP116="PT",IF(AX116&lt;PT_First,0,1+INT((AX116-PT_First)/PT_Int)),0))+IF(AND(AI116&gt;=2,AK116&lt;=PFYDate),IF(AQ116="FT",IF(AY116&lt;FT_First,0,IF(AY116&lt;FT_Y5,1+INT((AY116-FT_First)/FT_Int1),FT_PreY5+FT_PerYear*INT((AY116-FT_Y5)/12)+FT_AnnivDays+INT(MOD(AY116-FT_Y5,12)/FT_Int2))),IF(AQ116="PT",IF(AY116&lt;PT_First,0,1+INT((AY116-PT_First)/PT_Int)),0))-IF(AQ116="FT",IF(AX116&lt;FT_First,0,IF(AX116&lt;FT_Y5,1+INT((AX116-FT_First)/FT_Int1),FT_PreY5+FT_PerYear*INT((AX116-FT_Y5)/12)+FT_AnnivDays+INT(MOD(AX116-FT_Y5,12)/FT_Int2))),IF(AQ116="PT",IF(AX116&lt;PT_First,0,1+INT((AX116-PT_First)/PT_Int)),0)),0)+IF(AND(AI116&gt;=3,AL116&lt;=PFYDate),IF(AR116="FT",IF(AW116&lt;FT_First,0,IF(AW116&lt;FT_Y5,1+INT((AW116-FT_First)/FT_Int1),FT_PreY5+FT_PerYear*INT((AW116-FT_Y5)/12)+FT_AnnivDays+INT(MOD(AW116-FT_Y5,12)/FT_Int2))),IF(AR116="PT",IF(AW116&lt;PT_First,0,1+INT((AW116-PT_First)/PT_Int)),0))-IF(AR116="FT",IF(AY116&lt;FT_First,0,IF(AY116&lt;FT_Y5,1+INT((AY116-FT_First)/FT_Int1),FT_PreY5+FT_PerYear*INT((AY116-FT_Y5)/12)+FT_AnnivDays+INT(MOD(AY116-FT_Y5,12)/FT_Int2))),IF(AR116="PT",IF(AY116&lt;PT_First,0,1+INT((AY116-PT_First)/PT_Int)),0)),0))</f>
        <v/>
      </c>
      <c r="BB116" s="19" t="str">
        <f aca="false">IF(AG116=0,"",IF(AS116="FT",IF(AT116&lt;FT_First,FT_First,IF(AT116&lt;FT_Y5,MIN(FT_Y5,FT_First+FT_Int1*(INT((AT116-FT_First)/FT_Int1)+1)),FT_Y5+12*INT((AT116-FT_Y5)/12)+FT_Int2*(INT(MOD(AT116-FT_Y5,12)/FT_Int2)+1))),IF(AS116="PT",IF(AT116&lt;PT_First,PT_First,PT_First+PT_Int*(INT((AT116-PT_First)/PT_Int)+1)),"")))</f>
        <v/>
      </c>
      <c r="BC116" s="19" t="str">
        <f aca="false">IF(AG116=0,"",IF(NOT(LH_Ready),0,COUNTIFS(INDEX(LH_Data,0,LH_ColFirst),$A116,INDEX(LH_Data,0,LH_ColSur),$B116,INDEX(LH_Data,0,LH_ColCat),BonusCat)))</f>
        <v/>
      </c>
      <c r="BD116" s="19" t="str">
        <f aca="false">IF(AG116=0,"",IF(OR(NOT(LH_Ready),BC116=0),0,SUMPRODUCT(MAX((INDEX(LH_Data,0,LH_ColFirst)=$A116)*(INDEX(LH_Data,0,LH_ColSur)=$B116)*(INDEX(LH_Data,0,LH_ColCat)=BonusCat)*ROW(LH_Data)))))</f>
        <v/>
      </c>
      <c r="BE116" s="19" t="str">
        <f aca="false">IF(AG116=0,"",IF(EOMONTH(AsOfDate,-1)&lt;AH116,-1,12*(YEAR(EOMONTH(AsOfDate,-1))-YEAR(AH116))+MONTH(EOMONTH(AsOfDate,-1))-MONTH(AH116)-IF(DAY(EOMONTH(AsOfDate,-1))&lt;MIN(DAY(AH116),DAY(EOMONTH(EOMONTH(AsOfDate,-1),0))),1,0)))</f>
        <v/>
      </c>
      <c r="BF116" s="19" t="str">
        <f aca="false">IF(AG116=0,"",IF(OR(AI116&lt;2,AK116&gt;EOMONTH(AsOfDate,-1)),BE116,IF((AK116-1)&lt;AH116,-1,12*(YEAR((AK116-1))-YEAR(AH116))+MONTH((AK116-1))-MONTH(AH116)-IF(DAY((AK116-1))&lt;MIN(DAY(AH116),DAY(EOMONTH((AK116-1),0))),1,0))))</f>
        <v/>
      </c>
      <c r="BG116" s="19" t="str">
        <f aca="false">IF(AG116=0,"",IF(OR(AI116&lt;3,AL116&gt;EOMONTH(AsOfDate,-1)),BE116,IF((AL116-1)&lt;AH116,-1,12*(YEAR((AL116-1))-YEAR(AH116))+MONTH((AL116-1))-MONTH(AH116)-IF(DAY((AL116-1))&lt;MIN(DAY(AH116),DAY(EOMONTH((AL116-1),0))),1,0))))</f>
        <v/>
      </c>
      <c r="BH116" s="19" t="str">
        <f aca="false">IF(AG116=0,"",IF(AP116="FT",IF(BF116&lt;FT_First,0,IF(BF116&lt;FT_Y5,1+INT((BF116-FT_First)/FT_Int1),FT_PreY5+FT_PerYear*INT((BF116-FT_Y5)/12)+FT_AnnivDays+INT(MOD(BF116-FT_Y5,12)/FT_Int2))),IF(AP116="PT",IF(BF116&lt;PT_First,0,1+INT((BF116-PT_First)/PT_Int)),0))+IF(AND(AI116&gt;=2,AK116&lt;=EOMONTH(AsOfDate,-1)),IF(AQ116="FT",IF(BG116&lt;FT_First,0,IF(BG116&lt;FT_Y5,1+INT((BG116-FT_First)/FT_Int1),FT_PreY5+FT_PerYear*INT((BG116-FT_Y5)/12)+FT_AnnivDays+INT(MOD(BG116-FT_Y5,12)/FT_Int2))),IF(AQ116="PT",IF(BG116&lt;PT_First,0,1+INT((BG116-PT_First)/PT_Int)),0))-IF(AQ116="FT",IF(BF116&lt;FT_First,0,IF(BF116&lt;FT_Y5,1+INT((BF116-FT_First)/FT_Int1),FT_PreY5+FT_PerYear*INT((BF116-FT_Y5)/12)+FT_AnnivDays+INT(MOD(BF116-FT_Y5,12)/FT_Int2))),IF(AQ116="PT",IF(BF116&lt;PT_First,0,1+INT((BF116-PT_First)/PT_Int)),0)),0)+IF(AND(AI116&gt;=3,AL116&lt;=EOMONTH(AsOfDate,-1)),IF(AR116="FT",IF(BE116&lt;FT_First,0,IF(BE116&lt;FT_Y5,1+INT((BE116-FT_First)/FT_Int1),FT_PreY5+FT_PerYear*INT((BE116-FT_Y5)/12)+FT_AnnivDays+INT(MOD(BE116-FT_Y5,12)/FT_Int2))),IF(AR116="PT",IF(BE116&lt;PT_First,0,1+INT((BE116-PT_First)/PT_Int)),0))-IF(AR116="FT",IF(BG116&lt;FT_First,0,IF(BG116&lt;FT_Y5,1+INT((BG116-FT_First)/FT_Int1),FT_PreY5+FT_PerYear*INT((BG116-FT_Y5)/12)+FT_AnnivDays+INT(MOD(BG116-FT_Y5,12)/FT_Int2))),IF(AR116="PT",IF(BG116&lt;PT_First,0,1+INT((BG116-PT_First)/PT_Int)),0)),0))</f>
        <v/>
      </c>
      <c r="BI116" s="19" t="str">
        <f aca="false">IF(AG116=0,"",IF(AS116="FT",IF(AT116&lt;FT_First,"",IF(AT116&lt;FT_Y5,FT_First+FT_Int1*INT((AT116-FT_First)/FT_Int1),FT_Y5+FT_Int2*INT((AT116-FT_Y5)/FT_Int2))),IF(AS116="PT",IF(AT116&lt;PT_First,"",PT_First+PT_Int*INT((AT116-PT_First)/PT_Int)),"")))</f>
        <v/>
      </c>
      <c r="BJ116" s="0" t="str">
        <f aca="false">IF(LEN($A116&amp;$B116)=0,"",$A116&amp;" "&amp;$B116)</f>
        <v/>
      </c>
    </row>
    <row r="117" customFormat="false" ht="15" hidden="false" customHeight="false" outlineLevel="0" collapsed="false">
      <c r="A117" s="15"/>
      <c r="B117" s="15"/>
      <c r="C117" s="15"/>
      <c r="D117" s="16"/>
      <c r="E117" s="17" t="str">
        <f aca="false">IF(OR(AG117=0,$D117=""),"",DATE(YEAR(AsOfDate)+IF(DATE(YEAR(AsOfDate),MONTH($D117),DAY($D117))&lt;=AsOfDate,1,0),MONTH($D117),DAY($D117)))</f>
        <v/>
      </c>
      <c r="F117" s="16"/>
      <c r="G117" s="16"/>
      <c r="H117" s="16"/>
      <c r="I117" s="16"/>
      <c r="J117" s="16"/>
      <c r="K117" s="17" t="str">
        <f aca="false">IF(AG117=0,"",DATE(YEAR(AsOfDate)+IF(DATE(YEAR(AsOfDate),MONTH(AH117),DAY(AH117))&lt;=AsOfDate,1,0),MONTH(AH117),DAY(AH117)))</f>
        <v/>
      </c>
      <c r="L117" s="18" t="str">
        <f aca="false">IF(AG117=0,"",ROUND((AsOfDate-AH117)/365.25,1))</f>
        <v/>
      </c>
      <c r="M117" s="19" t="str">
        <f aca="false">IF(AG117=0,"",IF(AsOfDate&lt;AH117,"-",DATEDIF(AH117,AsOfDate,"y")&amp;"y "&amp;DATEDIF(AH117,AsOfDate,"ym")&amp;"m "&amp;DATEDIF(AH117,AsOfDate,"md")&amp;"d"))</f>
        <v/>
      </c>
      <c r="N117" s="20" t="str">
        <f aca="false">IF(AG117=0,"",O117*HoursPerDay)</f>
        <v/>
      </c>
      <c r="O117" s="20" t="str">
        <f aca="false">IF(AG117=0,"",AZ117)</f>
        <v/>
      </c>
      <c r="P117" s="21"/>
      <c r="Q117" s="19"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19"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7" t="str">
        <f aca="false">IF(AG117=0,"",IF(AS117="None","",EDATE(AH117,BB117)))</f>
        <v/>
      </c>
      <c r="T117" s="20" t="str">
        <f aca="false">IF(AG117=0,"",IF(NOT(LH_Ready),"",IF(AH117&gt;PFYDate,0,IF(LH_ColPeriod=0,W117-U117+V117,SUMIFS(INDEX(LH_Data,0,LH_ColAcc),INDEX(LH_Data,0,LH_ColFirst),$A117,INDEX(LH_Data,0,LH_ColSur),$B117,INDEX(LH_Data,0,LH_ColCat),BonusCat,INDEX(LH_Data,0,LH_ColPeriod),LH_OpenLabel)*UnitFactor))))</f>
        <v/>
      </c>
      <c r="U117" s="20" t="str">
        <f aca="false">IF(AG117=0,"",IF(NOT(LH_Ready),"",SUMIFS(INDEX(LH_Data,0,LH_ColAcc),INDEX(LH_Data,0,LH_ColFirst),$A117,INDEX(LH_Data,0,LH_ColSur),$B117,INDEX(LH_Data,0,LH_ColCat),BonusCat,INDEX(LH_Data,0,LH_ColStart),"&gt;="&amp;AH117)*UnitFactor))</f>
        <v/>
      </c>
      <c r="V117" s="20" t="str">
        <f aca="false">IF(AG117=0,"",IF(NOT(LH_Ready),"",SUMIFS(INDEX(LH_Data,0,LH_ColTaken),INDEX(LH_Data,0,LH_ColFirst),$A117,INDEX(LH_Data,0,LH_ColSur),$B117,INDEX(LH_Data,0,LH_ColCat),BonusCat,INDEX(LH_Data,0,LH_ColStart),"&gt;="&amp;AH117)*UnitFactor))</f>
        <v/>
      </c>
      <c r="W117" s="20" t="str">
        <f aca="false">IF(AG117=0,"",IF(NOT(LH_Ready),"",IF(BD117=0,0,INDEX(INDEX(LH_Data,0,LH_ColClose),BD117-1)*UnitFactor)))</f>
        <v/>
      </c>
      <c r="X117" s="20" t="str">
        <f aca="false">IF(AG117=0,"",(AZ117-BA117)*HoursPerDay)</f>
        <v/>
      </c>
      <c r="Y117" s="20" t="str">
        <f aca="false">IF(AG117=0,"",IF(NOT(LH_Ready),"",IF(BC117=0,N117,IF(PFYDate&lt;$F117,N117-N(T117)-N(U117),X117-N(U117)))))</f>
        <v/>
      </c>
      <c r="Z117" s="19" t="str">
        <f aca="false">IF(OR(AG117=0,Y117=""),"",IF(Y117&gt;0,"Yes","No"))</f>
        <v/>
      </c>
      <c r="AA117" s="19"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20" t="str">
        <f aca="false">IF(OR(AG117=0,T117=""),"",BA117*HoursPerDay-T117)</f>
        <v/>
      </c>
      <c r="AC117" s="19" t="str">
        <f aca="false">IF(AG117=0,"",BC117)</f>
        <v/>
      </c>
      <c r="AD117" s="19"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20" t="str">
        <f aca="false">IF(AG117=0,"",O117-BH117)</f>
        <v/>
      </c>
      <c r="AF117" s="17" t="str">
        <f aca="false">IF(OR(AG117=0,AE117="",N(AE117)=0,BI117=""),"",EDATE(AH117,BI117))</f>
        <v/>
      </c>
      <c r="AG117" s="19" t="n">
        <f aca="false">IF(OR(LEN($A117&amp;$B117)=0,$F117=""),0,1)</f>
        <v>0</v>
      </c>
      <c r="AH117" s="17" t="str">
        <f aca="false">IF(AG117=0,"",IF($J117&lt;&gt;"",$J117,IF(OR(CasualCounts="Yes",COUNT($G117:$I117)=0,COUNT($H117:$I117)=0),$F117,MIN($H117:$I117))))</f>
        <v/>
      </c>
      <c r="AI117" s="19" t="str">
        <f aca="false">IF(AG117=0,"",COUNT($G117:$I117))</f>
        <v/>
      </c>
      <c r="AJ117" s="17" t="str">
        <f aca="false">IF(AG117=0,"",IFERROR(SMALL($G117:$I117,1),""))</f>
        <v/>
      </c>
      <c r="AK117" s="17" t="str">
        <f aca="false">IF(AG117=0,"",IFERROR(SMALL($G117:$I117,2),""))</f>
        <v/>
      </c>
      <c r="AL117" s="17" t="str">
        <f aca="false">IF(AG117=0,"",IFERROR(SMALL($G117:$I117,3),""))</f>
        <v/>
      </c>
      <c r="AM117" s="19" t="str">
        <f aca="false">IF(AG117=0,"",IF(AJ117="","",IF(AJ117=$H117,"Part-Time",IF(AJ117=$I117,"Full-Time","Casual"))))</f>
        <v/>
      </c>
      <c r="AN117" s="19" t="str">
        <f aca="false">IF(AG117=0,"",IF(AK117="","",IF(AK117=$H117,"Part-Time",IF(AK117=$I117,"Full-Time","Casual"))))</f>
        <v/>
      </c>
      <c r="AO117" s="19" t="str">
        <f aca="false">IF(AG117=0,"",IF(AL117="","",IF(AL117=$H117,"Part-Time",IF(AL117=$I117,"Full-Time","Casual"))))</f>
        <v/>
      </c>
      <c r="AP117" s="19"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19" t="str">
        <f aca="false">IF(AG117=0,"",IF(AI117&lt;2,"",IF(OR(ISNUMBER(SEARCH("full",AN117)),UPPER(TRIM(AN117))="FT",UPPER(TRIM(AN117))="FTE"),"FT",IF(AND(OR(ISNUMBER(SEARCH("part",AN117)),UPPER(TRIM(AN117))="PT",UPPER(TRIM(AN117))="PTE"),OR($P117="",N($P117)&gt;=PT_MinHours)),"PT","None"))))</f>
        <v/>
      </c>
      <c r="AR117" s="19" t="str">
        <f aca="false">IF(AG117=0,"",IF(AI117&lt;3,"",IF(OR(ISNUMBER(SEARCH("full",AO117)),UPPER(TRIM(AO117))="FT",UPPER(TRIM(AO117))="FTE"),"FT",IF(AND(OR(ISNUMBER(SEARCH("part",AO117)),UPPER(TRIM(AO117))="PT",UPPER(TRIM(AO117))="PTE"),OR($P117="",N($P117)&gt;=PT_MinHours)),"PT","None"))))</f>
        <v/>
      </c>
      <c r="AS117" s="19" t="str">
        <f aca="false">IF(AG117=0,"",IF(AND(AI117&gt;=3,AL117&lt;=AsOfDate),AR117,IF(AND(AI117&gt;=2,AK117&lt;=AsOfDate),AQ117,AP117)))</f>
        <v/>
      </c>
      <c r="AT117" s="19" t="str">
        <f aca="false">IF(AG117=0,"",IF(AsOfDate&lt;AH117,-1,12*(YEAR(AsOfDate)-YEAR(AH117))+MONTH(AsOfDate)-MONTH(AH117)-IF(DAY(AsOfDate)&lt;MIN(DAY(AH117),DAY(EOMONTH(AsOfDate,0))),1,0)))</f>
        <v/>
      </c>
      <c r="AU117" s="19" t="str">
        <f aca="false">IF(AG117=0,"",IF(OR(AI117&lt;2,AK117&gt;AsOfDate),AT117,IF((AK117-1)&lt;AH117,-1,12*(YEAR((AK117-1))-YEAR(AH117))+MONTH((AK117-1))-MONTH(AH117)-IF(DAY((AK117-1))&lt;MIN(DAY(AH117),DAY(EOMONTH((AK117-1),0))),1,0))))</f>
        <v/>
      </c>
      <c r="AV117" s="19" t="str">
        <f aca="false">IF(AG117=0,"",IF(OR(AI117&lt;3,AL117&gt;AsOfDate),AT117,IF((AL117-1)&lt;AH117,-1,12*(YEAR((AL117-1))-YEAR(AH117))+MONTH((AL117-1))-MONTH(AH117)-IF(DAY((AL117-1))&lt;MIN(DAY(AH117),DAY(EOMONTH((AL117-1),0))),1,0))))</f>
        <v/>
      </c>
      <c r="AW117" s="19" t="str">
        <f aca="false">IF(AG117=0,"",IF(PFYDate&lt;AH117,-1,12*(YEAR(PFYDate)-YEAR(AH117))+MONTH(PFYDate)-MONTH(AH117)-IF(DAY(PFYDate)&lt;MIN(DAY(AH117),DAY(EOMONTH(PFYDate,0))),1,0)))</f>
        <v/>
      </c>
      <c r="AX117" s="19" t="str">
        <f aca="false">IF(AG117=0,"",IF(OR(AI117&lt;2,AK117&gt;PFYDate),AW117,IF((AK117-1)&lt;AH117,-1,12*(YEAR((AK117-1))-YEAR(AH117))+MONTH((AK117-1))-MONTH(AH117)-IF(DAY((AK117-1))&lt;MIN(DAY(AH117),DAY(EOMONTH((AK117-1),0))),1,0))))</f>
        <v/>
      </c>
      <c r="AY117" s="19" t="str">
        <f aca="false">IF(AG117=0,"",IF(OR(AI117&lt;3,AL117&gt;PFYDate),AW117,IF((AL117-1)&lt;AH117,-1,12*(YEAR((AL117-1))-YEAR(AH117))+MONTH((AL117-1))-MONTH(AH117)-IF(DAY((AL117-1))&lt;MIN(DAY(AH117),DAY(EOMONTH((AL117-1),0))),1,0))))</f>
        <v/>
      </c>
      <c r="AZ117" s="19" t="str">
        <f aca="false">IF(AG117=0,"",IF(AP117="FT",IF(AU117&lt;FT_First,0,IF(AU117&lt;FT_Y5,1+INT((AU117-FT_First)/FT_Int1),FT_PreY5+FT_PerYear*INT((AU117-FT_Y5)/12)+FT_AnnivDays+INT(MOD(AU117-FT_Y5,12)/FT_Int2))),IF(AP117="PT",IF(AU117&lt;PT_First,0,1+INT((AU117-PT_First)/PT_Int)),0))+IF(AND(AI117&gt;=2,AK117&lt;=AsOfDate),IF(AQ117="FT",IF(AV117&lt;FT_First,0,IF(AV117&lt;FT_Y5,1+INT((AV117-FT_First)/FT_Int1),FT_PreY5+FT_PerYear*INT((AV117-FT_Y5)/12)+FT_AnnivDays+INT(MOD(AV117-FT_Y5,12)/FT_Int2))),IF(AQ117="PT",IF(AV117&lt;PT_First,0,1+INT((AV117-PT_First)/PT_Int)),0))-IF(AQ117="FT",IF(AU117&lt;FT_First,0,IF(AU117&lt;FT_Y5,1+INT((AU117-FT_First)/FT_Int1),FT_PreY5+FT_PerYear*INT((AU117-FT_Y5)/12)+FT_AnnivDays+INT(MOD(AU117-FT_Y5,12)/FT_Int2))),IF(AQ117="PT",IF(AU117&lt;PT_First,0,1+INT((AU117-PT_First)/PT_Int)),0)),0)+IF(AND(AI117&gt;=3,AL117&lt;=AsOfDate),IF(AR117="FT",IF(AT117&lt;FT_First,0,IF(AT117&lt;FT_Y5,1+INT((AT117-FT_First)/FT_Int1),FT_PreY5+FT_PerYear*INT((AT117-FT_Y5)/12)+FT_AnnivDays+INT(MOD(AT117-FT_Y5,12)/FT_Int2))),IF(AR117="PT",IF(AT117&lt;PT_First,0,1+INT((AT117-PT_First)/PT_Int)),0))-IF(AR117="FT",IF(AV117&lt;FT_First,0,IF(AV117&lt;FT_Y5,1+INT((AV117-FT_First)/FT_Int1),FT_PreY5+FT_PerYear*INT((AV117-FT_Y5)/12)+FT_AnnivDays+INT(MOD(AV117-FT_Y5,12)/FT_Int2))),IF(AR117="PT",IF(AV117&lt;PT_First,0,1+INT((AV117-PT_First)/PT_Int)),0)),0))</f>
        <v/>
      </c>
      <c r="BA117" s="19" t="str">
        <f aca="false">IF(AG117=0,"",IF(AP117="FT",IF(AX117&lt;FT_First,0,IF(AX117&lt;FT_Y5,1+INT((AX117-FT_First)/FT_Int1),FT_PreY5+FT_PerYear*INT((AX117-FT_Y5)/12)+FT_AnnivDays+INT(MOD(AX117-FT_Y5,12)/FT_Int2))),IF(AP117="PT",IF(AX117&lt;PT_First,0,1+INT((AX117-PT_First)/PT_Int)),0))+IF(AND(AI117&gt;=2,AK117&lt;=PFYDate),IF(AQ117="FT",IF(AY117&lt;FT_First,0,IF(AY117&lt;FT_Y5,1+INT((AY117-FT_First)/FT_Int1),FT_PreY5+FT_PerYear*INT((AY117-FT_Y5)/12)+FT_AnnivDays+INT(MOD(AY117-FT_Y5,12)/FT_Int2))),IF(AQ117="PT",IF(AY117&lt;PT_First,0,1+INT((AY117-PT_First)/PT_Int)),0))-IF(AQ117="FT",IF(AX117&lt;FT_First,0,IF(AX117&lt;FT_Y5,1+INT((AX117-FT_First)/FT_Int1),FT_PreY5+FT_PerYear*INT((AX117-FT_Y5)/12)+FT_AnnivDays+INT(MOD(AX117-FT_Y5,12)/FT_Int2))),IF(AQ117="PT",IF(AX117&lt;PT_First,0,1+INT((AX117-PT_First)/PT_Int)),0)),0)+IF(AND(AI117&gt;=3,AL117&lt;=PFYDate),IF(AR117="FT",IF(AW117&lt;FT_First,0,IF(AW117&lt;FT_Y5,1+INT((AW117-FT_First)/FT_Int1),FT_PreY5+FT_PerYear*INT((AW117-FT_Y5)/12)+FT_AnnivDays+INT(MOD(AW117-FT_Y5,12)/FT_Int2))),IF(AR117="PT",IF(AW117&lt;PT_First,0,1+INT((AW117-PT_First)/PT_Int)),0))-IF(AR117="FT",IF(AY117&lt;FT_First,0,IF(AY117&lt;FT_Y5,1+INT((AY117-FT_First)/FT_Int1),FT_PreY5+FT_PerYear*INT((AY117-FT_Y5)/12)+FT_AnnivDays+INT(MOD(AY117-FT_Y5,12)/FT_Int2))),IF(AR117="PT",IF(AY117&lt;PT_First,0,1+INT((AY117-PT_First)/PT_Int)),0)),0))</f>
        <v/>
      </c>
      <c r="BB117" s="19" t="str">
        <f aca="false">IF(AG117=0,"",IF(AS117="FT",IF(AT117&lt;FT_First,FT_First,IF(AT117&lt;FT_Y5,MIN(FT_Y5,FT_First+FT_Int1*(INT((AT117-FT_First)/FT_Int1)+1)),FT_Y5+12*INT((AT117-FT_Y5)/12)+FT_Int2*(INT(MOD(AT117-FT_Y5,12)/FT_Int2)+1))),IF(AS117="PT",IF(AT117&lt;PT_First,PT_First,PT_First+PT_Int*(INT((AT117-PT_First)/PT_Int)+1)),"")))</f>
        <v/>
      </c>
      <c r="BC117" s="19" t="str">
        <f aca="false">IF(AG117=0,"",IF(NOT(LH_Ready),0,COUNTIFS(INDEX(LH_Data,0,LH_ColFirst),$A117,INDEX(LH_Data,0,LH_ColSur),$B117,INDEX(LH_Data,0,LH_ColCat),BonusCat)))</f>
        <v/>
      </c>
      <c r="BD117" s="19" t="str">
        <f aca="false">IF(AG117=0,"",IF(OR(NOT(LH_Ready),BC117=0),0,SUMPRODUCT(MAX((INDEX(LH_Data,0,LH_ColFirst)=$A117)*(INDEX(LH_Data,0,LH_ColSur)=$B117)*(INDEX(LH_Data,0,LH_ColCat)=BonusCat)*ROW(LH_Data)))))</f>
        <v/>
      </c>
      <c r="BE117" s="19" t="str">
        <f aca="false">IF(AG117=0,"",IF(EOMONTH(AsOfDate,-1)&lt;AH117,-1,12*(YEAR(EOMONTH(AsOfDate,-1))-YEAR(AH117))+MONTH(EOMONTH(AsOfDate,-1))-MONTH(AH117)-IF(DAY(EOMONTH(AsOfDate,-1))&lt;MIN(DAY(AH117),DAY(EOMONTH(EOMONTH(AsOfDate,-1),0))),1,0)))</f>
        <v/>
      </c>
      <c r="BF117" s="19" t="str">
        <f aca="false">IF(AG117=0,"",IF(OR(AI117&lt;2,AK117&gt;EOMONTH(AsOfDate,-1)),BE117,IF((AK117-1)&lt;AH117,-1,12*(YEAR((AK117-1))-YEAR(AH117))+MONTH((AK117-1))-MONTH(AH117)-IF(DAY((AK117-1))&lt;MIN(DAY(AH117),DAY(EOMONTH((AK117-1),0))),1,0))))</f>
        <v/>
      </c>
      <c r="BG117" s="19" t="str">
        <f aca="false">IF(AG117=0,"",IF(OR(AI117&lt;3,AL117&gt;EOMONTH(AsOfDate,-1)),BE117,IF((AL117-1)&lt;AH117,-1,12*(YEAR((AL117-1))-YEAR(AH117))+MONTH((AL117-1))-MONTH(AH117)-IF(DAY((AL117-1))&lt;MIN(DAY(AH117),DAY(EOMONTH((AL117-1),0))),1,0))))</f>
        <v/>
      </c>
      <c r="BH117" s="19" t="str">
        <f aca="false">IF(AG117=0,"",IF(AP117="FT",IF(BF117&lt;FT_First,0,IF(BF117&lt;FT_Y5,1+INT((BF117-FT_First)/FT_Int1),FT_PreY5+FT_PerYear*INT((BF117-FT_Y5)/12)+FT_AnnivDays+INT(MOD(BF117-FT_Y5,12)/FT_Int2))),IF(AP117="PT",IF(BF117&lt;PT_First,0,1+INT((BF117-PT_First)/PT_Int)),0))+IF(AND(AI117&gt;=2,AK117&lt;=EOMONTH(AsOfDate,-1)),IF(AQ117="FT",IF(BG117&lt;FT_First,0,IF(BG117&lt;FT_Y5,1+INT((BG117-FT_First)/FT_Int1),FT_PreY5+FT_PerYear*INT((BG117-FT_Y5)/12)+FT_AnnivDays+INT(MOD(BG117-FT_Y5,12)/FT_Int2))),IF(AQ117="PT",IF(BG117&lt;PT_First,0,1+INT((BG117-PT_First)/PT_Int)),0))-IF(AQ117="FT",IF(BF117&lt;FT_First,0,IF(BF117&lt;FT_Y5,1+INT((BF117-FT_First)/FT_Int1),FT_PreY5+FT_PerYear*INT((BF117-FT_Y5)/12)+FT_AnnivDays+INT(MOD(BF117-FT_Y5,12)/FT_Int2))),IF(AQ117="PT",IF(BF117&lt;PT_First,0,1+INT((BF117-PT_First)/PT_Int)),0)),0)+IF(AND(AI117&gt;=3,AL117&lt;=EOMONTH(AsOfDate,-1)),IF(AR117="FT",IF(BE117&lt;FT_First,0,IF(BE117&lt;FT_Y5,1+INT((BE117-FT_First)/FT_Int1),FT_PreY5+FT_PerYear*INT((BE117-FT_Y5)/12)+FT_AnnivDays+INT(MOD(BE117-FT_Y5,12)/FT_Int2))),IF(AR117="PT",IF(BE117&lt;PT_First,0,1+INT((BE117-PT_First)/PT_Int)),0))-IF(AR117="FT",IF(BG117&lt;FT_First,0,IF(BG117&lt;FT_Y5,1+INT((BG117-FT_First)/FT_Int1),FT_PreY5+FT_PerYear*INT((BG117-FT_Y5)/12)+FT_AnnivDays+INT(MOD(BG117-FT_Y5,12)/FT_Int2))),IF(AR117="PT",IF(BG117&lt;PT_First,0,1+INT((BG117-PT_First)/PT_Int)),0)),0))</f>
        <v/>
      </c>
      <c r="BI117" s="19" t="str">
        <f aca="false">IF(AG117=0,"",IF(AS117="FT",IF(AT117&lt;FT_First,"",IF(AT117&lt;FT_Y5,FT_First+FT_Int1*INT((AT117-FT_First)/FT_Int1),FT_Y5+FT_Int2*INT((AT117-FT_Y5)/FT_Int2))),IF(AS117="PT",IF(AT117&lt;PT_First,"",PT_First+PT_Int*INT((AT117-PT_First)/PT_Int)),"")))</f>
        <v/>
      </c>
      <c r="BJ117" s="0" t="str">
        <f aca="false">IF(LEN($A117&amp;$B117)=0,"",$A117&amp;" "&amp;$B117)</f>
        <v/>
      </c>
    </row>
    <row r="118" customFormat="false" ht="15" hidden="false" customHeight="false" outlineLevel="0" collapsed="false">
      <c r="A118" s="15"/>
      <c r="B118" s="15"/>
      <c r="C118" s="15"/>
      <c r="D118" s="16"/>
      <c r="E118" s="17" t="str">
        <f aca="false">IF(OR(AG118=0,$D118=""),"",DATE(YEAR(AsOfDate)+IF(DATE(YEAR(AsOfDate),MONTH($D118),DAY($D118))&lt;=AsOfDate,1,0),MONTH($D118),DAY($D118)))</f>
        <v/>
      </c>
      <c r="F118" s="16"/>
      <c r="G118" s="16"/>
      <c r="H118" s="16"/>
      <c r="I118" s="16"/>
      <c r="J118" s="16"/>
      <c r="K118" s="17" t="str">
        <f aca="false">IF(AG118=0,"",DATE(YEAR(AsOfDate)+IF(DATE(YEAR(AsOfDate),MONTH(AH118),DAY(AH118))&lt;=AsOfDate,1,0),MONTH(AH118),DAY(AH118)))</f>
        <v/>
      </c>
      <c r="L118" s="18" t="str">
        <f aca="false">IF(AG118=0,"",ROUND((AsOfDate-AH118)/365.25,1))</f>
        <v/>
      </c>
      <c r="M118" s="19" t="str">
        <f aca="false">IF(AG118=0,"",IF(AsOfDate&lt;AH118,"-",DATEDIF(AH118,AsOfDate,"y")&amp;"y "&amp;DATEDIF(AH118,AsOfDate,"ym")&amp;"m "&amp;DATEDIF(AH118,AsOfDate,"md")&amp;"d"))</f>
        <v/>
      </c>
      <c r="N118" s="20" t="str">
        <f aca="false">IF(AG118=0,"",O118*HoursPerDay)</f>
        <v/>
      </c>
      <c r="O118" s="20" t="str">
        <f aca="false">IF(AG118=0,"",AZ118)</f>
        <v/>
      </c>
      <c r="P118" s="21"/>
      <c r="Q118" s="19"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19"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7" t="str">
        <f aca="false">IF(AG118=0,"",IF(AS118="None","",EDATE(AH118,BB118)))</f>
        <v/>
      </c>
      <c r="T118" s="20" t="str">
        <f aca="false">IF(AG118=0,"",IF(NOT(LH_Ready),"",IF(AH118&gt;PFYDate,0,IF(LH_ColPeriod=0,W118-U118+V118,SUMIFS(INDEX(LH_Data,0,LH_ColAcc),INDEX(LH_Data,0,LH_ColFirst),$A118,INDEX(LH_Data,0,LH_ColSur),$B118,INDEX(LH_Data,0,LH_ColCat),BonusCat,INDEX(LH_Data,0,LH_ColPeriod),LH_OpenLabel)*UnitFactor))))</f>
        <v/>
      </c>
      <c r="U118" s="20" t="str">
        <f aca="false">IF(AG118=0,"",IF(NOT(LH_Ready),"",SUMIFS(INDEX(LH_Data,0,LH_ColAcc),INDEX(LH_Data,0,LH_ColFirst),$A118,INDEX(LH_Data,0,LH_ColSur),$B118,INDEX(LH_Data,0,LH_ColCat),BonusCat,INDEX(LH_Data,0,LH_ColStart),"&gt;="&amp;AH118)*UnitFactor))</f>
        <v/>
      </c>
      <c r="V118" s="20" t="str">
        <f aca="false">IF(AG118=0,"",IF(NOT(LH_Ready),"",SUMIFS(INDEX(LH_Data,0,LH_ColTaken),INDEX(LH_Data,0,LH_ColFirst),$A118,INDEX(LH_Data,0,LH_ColSur),$B118,INDEX(LH_Data,0,LH_ColCat),BonusCat,INDEX(LH_Data,0,LH_ColStart),"&gt;="&amp;AH118)*UnitFactor))</f>
        <v/>
      </c>
      <c r="W118" s="20" t="str">
        <f aca="false">IF(AG118=0,"",IF(NOT(LH_Ready),"",IF(BD118=0,0,INDEX(INDEX(LH_Data,0,LH_ColClose),BD118-1)*UnitFactor)))</f>
        <v/>
      </c>
      <c r="X118" s="20" t="str">
        <f aca="false">IF(AG118=0,"",(AZ118-BA118)*HoursPerDay)</f>
        <v/>
      </c>
      <c r="Y118" s="20" t="str">
        <f aca="false">IF(AG118=0,"",IF(NOT(LH_Ready),"",IF(BC118=0,N118,IF(PFYDate&lt;$F118,N118-N(T118)-N(U118),X118-N(U118)))))</f>
        <v/>
      </c>
      <c r="Z118" s="19" t="str">
        <f aca="false">IF(OR(AG118=0,Y118=""),"",IF(Y118&gt;0,"Yes","No"))</f>
        <v/>
      </c>
      <c r="AA118" s="19"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20" t="str">
        <f aca="false">IF(OR(AG118=0,T118=""),"",BA118*HoursPerDay-T118)</f>
        <v/>
      </c>
      <c r="AC118" s="19" t="str">
        <f aca="false">IF(AG118=0,"",BC118)</f>
        <v/>
      </c>
      <c r="AD118" s="19"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20" t="str">
        <f aca="false">IF(AG118=0,"",O118-BH118)</f>
        <v/>
      </c>
      <c r="AF118" s="17" t="str">
        <f aca="false">IF(OR(AG118=0,AE118="",N(AE118)=0,BI118=""),"",EDATE(AH118,BI118))</f>
        <v/>
      </c>
      <c r="AG118" s="19" t="n">
        <f aca="false">IF(OR(LEN($A118&amp;$B118)=0,$F118=""),0,1)</f>
        <v>0</v>
      </c>
      <c r="AH118" s="17" t="str">
        <f aca="false">IF(AG118=0,"",IF($J118&lt;&gt;"",$J118,IF(OR(CasualCounts="Yes",COUNT($G118:$I118)=0,COUNT($H118:$I118)=0),$F118,MIN($H118:$I118))))</f>
        <v/>
      </c>
      <c r="AI118" s="19" t="str">
        <f aca="false">IF(AG118=0,"",COUNT($G118:$I118))</f>
        <v/>
      </c>
      <c r="AJ118" s="17" t="str">
        <f aca="false">IF(AG118=0,"",IFERROR(SMALL($G118:$I118,1),""))</f>
        <v/>
      </c>
      <c r="AK118" s="17" t="str">
        <f aca="false">IF(AG118=0,"",IFERROR(SMALL($G118:$I118,2),""))</f>
        <v/>
      </c>
      <c r="AL118" s="17" t="str">
        <f aca="false">IF(AG118=0,"",IFERROR(SMALL($G118:$I118,3),""))</f>
        <v/>
      </c>
      <c r="AM118" s="19" t="str">
        <f aca="false">IF(AG118=0,"",IF(AJ118="","",IF(AJ118=$H118,"Part-Time",IF(AJ118=$I118,"Full-Time","Casual"))))</f>
        <v/>
      </c>
      <c r="AN118" s="19" t="str">
        <f aca="false">IF(AG118=0,"",IF(AK118="","",IF(AK118=$H118,"Part-Time",IF(AK118=$I118,"Full-Time","Casual"))))</f>
        <v/>
      </c>
      <c r="AO118" s="19" t="str">
        <f aca="false">IF(AG118=0,"",IF(AL118="","",IF(AL118=$H118,"Part-Time",IF(AL118=$I118,"Full-Time","Casual"))))</f>
        <v/>
      </c>
      <c r="AP118" s="19"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19" t="str">
        <f aca="false">IF(AG118=0,"",IF(AI118&lt;2,"",IF(OR(ISNUMBER(SEARCH("full",AN118)),UPPER(TRIM(AN118))="FT",UPPER(TRIM(AN118))="FTE"),"FT",IF(AND(OR(ISNUMBER(SEARCH("part",AN118)),UPPER(TRIM(AN118))="PT",UPPER(TRIM(AN118))="PTE"),OR($P118="",N($P118)&gt;=PT_MinHours)),"PT","None"))))</f>
        <v/>
      </c>
      <c r="AR118" s="19" t="str">
        <f aca="false">IF(AG118=0,"",IF(AI118&lt;3,"",IF(OR(ISNUMBER(SEARCH("full",AO118)),UPPER(TRIM(AO118))="FT",UPPER(TRIM(AO118))="FTE"),"FT",IF(AND(OR(ISNUMBER(SEARCH("part",AO118)),UPPER(TRIM(AO118))="PT",UPPER(TRIM(AO118))="PTE"),OR($P118="",N($P118)&gt;=PT_MinHours)),"PT","None"))))</f>
        <v/>
      </c>
      <c r="AS118" s="19" t="str">
        <f aca="false">IF(AG118=0,"",IF(AND(AI118&gt;=3,AL118&lt;=AsOfDate),AR118,IF(AND(AI118&gt;=2,AK118&lt;=AsOfDate),AQ118,AP118)))</f>
        <v/>
      </c>
      <c r="AT118" s="19" t="str">
        <f aca="false">IF(AG118=0,"",IF(AsOfDate&lt;AH118,-1,12*(YEAR(AsOfDate)-YEAR(AH118))+MONTH(AsOfDate)-MONTH(AH118)-IF(DAY(AsOfDate)&lt;MIN(DAY(AH118),DAY(EOMONTH(AsOfDate,0))),1,0)))</f>
        <v/>
      </c>
      <c r="AU118" s="19" t="str">
        <f aca="false">IF(AG118=0,"",IF(OR(AI118&lt;2,AK118&gt;AsOfDate),AT118,IF((AK118-1)&lt;AH118,-1,12*(YEAR((AK118-1))-YEAR(AH118))+MONTH((AK118-1))-MONTH(AH118)-IF(DAY((AK118-1))&lt;MIN(DAY(AH118),DAY(EOMONTH((AK118-1),0))),1,0))))</f>
        <v/>
      </c>
      <c r="AV118" s="19" t="str">
        <f aca="false">IF(AG118=0,"",IF(OR(AI118&lt;3,AL118&gt;AsOfDate),AT118,IF((AL118-1)&lt;AH118,-1,12*(YEAR((AL118-1))-YEAR(AH118))+MONTH((AL118-1))-MONTH(AH118)-IF(DAY((AL118-1))&lt;MIN(DAY(AH118),DAY(EOMONTH((AL118-1),0))),1,0))))</f>
        <v/>
      </c>
      <c r="AW118" s="19" t="str">
        <f aca="false">IF(AG118=0,"",IF(PFYDate&lt;AH118,-1,12*(YEAR(PFYDate)-YEAR(AH118))+MONTH(PFYDate)-MONTH(AH118)-IF(DAY(PFYDate)&lt;MIN(DAY(AH118),DAY(EOMONTH(PFYDate,0))),1,0)))</f>
        <v/>
      </c>
      <c r="AX118" s="19" t="str">
        <f aca="false">IF(AG118=0,"",IF(OR(AI118&lt;2,AK118&gt;PFYDate),AW118,IF((AK118-1)&lt;AH118,-1,12*(YEAR((AK118-1))-YEAR(AH118))+MONTH((AK118-1))-MONTH(AH118)-IF(DAY((AK118-1))&lt;MIN(DAY(AH118),DAY(EOMONTH((AK118-1),0))),1,0))))</f>
        <v/>
      </c>
      <c r="AY118" s="19" t="str">
        <f aca="false">IF(AG118=0,"",IF(OR(AI118&lt;3,AL118&gt;PFYDate),AW118,IF((AL118-1)&lt;AH118,-1,12*(YEAR((AL118-1))-YEAR(AH118))+MONTH((AL118-1))-MONTH(AH118)-IF(DAY((AL118-1))&lt;MIN(DAY(AH118),DAY(EOMONTH((AL118-1),0))),1,0))))</f>
        <v/>
      </c>
      <c r="AZ118" s="19" t="str">
        <f aca="false">IF(AG118=0,"",IF(AP118="FT",IF(AU118&lt;FT_First,0,IF(AU118&lt;FT_Y5,1+INT((AU118-FT_First)/FT_Int1),FT_PreY5+FT_PerYear*INT((AU118-FT_Y5)/12)+FT_AnnivDays+INT(MOD(AU118-FT_Y5,12)/FT_Int2))),IF(AP118="PT",IF(AU118&lt;PT_First,0,1+INT((AU118-PT_First)/PT_Int)),0))+IF(AND(AI118&gt;=2,AK118&lt;=AsOfDate),IF(AQ118="FT",IF(AV118&lt;FT_First,0,IF(AV118&lt;FT_Y5,1+INT((AV118-FT_First)/FT_Int1),FT_PreY5+FT_PerYear*INT((AV118-FT_Y5)/12)+FT_AnnivDays+INT(MOD(AV118-FT_Y5,12)/FT_Int2))),IF(AQ118="PT",IF(AV118&lt;PT_First,0,1+INT((AV118-PT_First)/PT_Int)),0))-IF(AQ118="FT",IF(AU118&lt;FT_First,0,IF(AU118&lt;FT_Y5,1+INT((AU118-FT_First)/FT_Int1),FT_PreY5+FT_PerYear*INT((AU118-FT_Y5)/12)+FT_AnnivDays+INT(MOD(AU118-FT_Y5,12)/FT_Int2))),IF(AQ118="PT",IF(AU118&lt;PT_First,0,1+INT((AU118-PT_First)/PT_Int)),0)),0)+IF(AND(AI118&gt;=3,AL118&lt;=AsOfDate),IF(AR118="FT",IF(AT118&lt;FT_First,0,IF(AT118&lt;FT_Y5,1+INT((AT118-FT_First)/FT_Int1),FT_PreY5+FT_PerYear*INT((AT118-FT_Y5)/12)+FT_AnnivDays+INT(MOD(AT118-FT_Y5,12)/FT_Int2))),IF(AR118="PT",IF(AT118&lt;PT_First,0,1+INT((AT118-PT_First)/PT_Int)),0))-IF(AR118="FT",IF(AV118&lt;FT_First,0,IF(AV118&lt;FT_Y5,1+INT((AV118-FT_First)/FT_Int1),FT_PreY5+FT_PerYear*INT((AV118-FT_Y5)/12)+FT_AnnivDays+INT(MOD(AV118-FT_Y5,12)/FT_Int2))),IF(AR118="PT",IF(AV118&lt;PT_First,0,1+INT((AV118-PT_First)/PT_Int)),0)),0))</f>
        <v/>
      </c>
      <c r="BA118" s="19" t="str">
        <f aca="false">IF(AG118=0,"",IF(AP118="FT",IF(AX118&lt;FT_First,0,IF(AX118&lt;FT_Y5,1+INT((AX118-FT_First)/FT_Int1),FT_PreY5+FT_PerYear*INT((AX118-FT_Y5)/12)+FT_AnnivDays+INT(MOD(AX118-FT_Y5,12)/FT_Int2))),IF(AP118="PT",IF(AX118&lt;PT_First,0,1+INT((AX118-PT_First)/PT_Int)),0))+IF(AND(AI118&gt;=2,AK118&lt;=PFYDate),IF(AQ118="FT",IF(AY118&lt;FT_First,0,IF(AY118&lt;FT_Y5,1+INT((AY118-FT_First)/FT_Int1),FT_PreY5+FT_PerYear*INT((AY118-FT_Y5)/12)+FT_AnnivDays+INT(MOD(AY118-FT_Y5,12)/FT_Int2))),IF(AQ118="PT",IF(AY118&lt;PT_First,0,1+INT((AY118-PT_First)/PT_Int)),0))-IF(AQ118="FT",IF(AX118&lt;FT_First,0,IF(AX118&lt;FT_Y5,1+INT((AX118-FT_First)/FT_Int1),FT_PreY5+FT_PerYear*INT((AX118-FT_Y5)/12)+FT_AnnivDays+INT(MOD(AX118-FT_Y5,12)/FT_Int2))),IF(AQ118="PT",IF(AX118&lt;PT_First,0,1+INT((AX118-PT_First)/PT_Int)),0)),0)+IF(AND(AI118&gt;=3,AL118&lt;=PFYDate),IF(AR118="FT",IF(AW118&lt;FT_First,0,IF(AW118&lt;FT_Y5,1+INT((AW118-FT_First)/FT_Int1),FT_PreY5+FT_PerYear*INT((AW118-FT_Y5)/12)+FT_AnnivDays+INT(MOD(AW118-FT_Y5,12)/FT_Int2))),IF(AR118="PT",IF(AW118&lt;PT_First,0,1+INT((AW118-PT_First)/PT_Int)),0))-IF(AR118="FT",IF(AY118&lt;FT_First,0,IF(AY118&lt;FT_Y5,1+INT((AY118-FT_First)/FT_Int1),FT_PreY5+FT_PerYear*INT((AY118-FT_Y5)/12)+FT_AnnivDays+INT(MOD(AY118-FT_Y5,12)/FT_Int2))),IF(AR118="PT",IF(AY118&lt;PT_First,0,1+INT((AY118-PT_First)/PT_Int)),0)),0))</f>
        <v/>
      </c>
      <c r="BB118" s="19" t="str">
        <f aca="false">IF(AG118=0,"",IF(AS118="FT",IF(AT118&lt;FT_First,FT_First,IF(AT118&lt;FT_Y5,MIN(FT_Y5,FT_First+FT_Int1*(INT((AT118-FT_First)/FT_Int1)+1)),FT_Y5+12*INT((AT118-FT_Y5)/12)+FT_Int2*(INT(MOD(AT118-FT_Y5,12)/FT_Int2)+1))),IF(AS118="PT",IF(AT118&lt;PT_First,PT_First,PT_First+PT_Int*(INT((AT118-PT_First)/PT_Int)+1)),"")))</f>
        <v/>
      </c>
      <c r="BC118" s="19" t="str">
        <f aca="false">IF(AG118=0,"",IF(NOT(LH_Ready),0,COUNTIFS(INDEX(LH_Data,0,LH_ColFirst),$A118,INDEX(LH_Data,0,LH_ColSur),$B118,INDEX(LH_Data,0,LH_ColCat),BonusCat)))</f>
        <v/>
      </c>
      <c r="BD118" s="19" t="str">
        <f aca="false">IF(AG118=0,"",IF(OR(NOT(LH_Ready),BC118=0),0,SUMPRODUCT(MAX((INDEX(LH_Data,0,LH_ColFirst)=$A118)*(INDEX(LH_Data,0,LH_ColSur)=$B118)*(INDEX(LH_Data,0,LH_ColCat)=BonusCat)*ROW(LH_Data)))))</f>
        <v/>
      </c>
      <c r="BE118" s="19" t="str">
        <f aca="false">IF(AG118=0,"",IF(EOMONTH(AsOfDate,-1)&lt;AH118,-1,12*(YEAR(EOMONTH(AsOfDate,-1))-YEAR(AH118))+MONTH(EOMONTH(AsOfDate,-1))-MONTH(AH118)-IF(DAY(EOMONTH(AsOfDate,-1))&lt;MIN(DAY(AH118),DAY(EOMONTH(EOMONTH(AsOfDate,-1),0))),1,0)))</f>
        <v/>
      </c>
      <c r="BF118" s="19" t="str">
        <f aca="false">IF(AG118=0,"",IF(OR(AI118&lt;2,AK118&gt;EOMONTH(AsOfDate,-1)),BE118,IF((AK118-1)&lt;AH118,-1,12*(YEAR((AK118-1))-YEAR(AH118))+MONTH((AK118-1))-MONTH(AH118)-IF(DAY((AK118-1))&lt;MIN(DAY(AH118),DAY(EOMONTH((AK118-1),0))),1,0))))</f>
        <v/>
      </c>
      <c r="BG118" s="19" t="str">
        <f aca="false">IF(AG118=0,"",IF(OR(AI118&lt;3,AL118&gt;EOMONTH(AsOfDate,-1)),BE118,IF((AL118-1)&lt;AH118,-1,12*(YEAR((AL118-1))-YEAR(AH118))+MONTH((AL118-1))-MONTH(AH118)-IF(DAY((AL118-1))&lt;MIN(DAY(AH118),DAY(EOMONTH((AL118-1),0))),1,0))))</f>
        <v/>
      </c>
      <c r="BH118" s="19" t="str">
        <f aca="false">IF(AG118=0,"",IF(AP118="FT",IF(BF118&lt;FT_First,0,IF(BF118&lt;FT_Y5,1+INT((BF118-FT_First)/FT_Int1),FT_PreY5+FT_PerYear*INT((BF118-FT_Y5)/12)+FT_AnnivDays+INT(MOD(BF118-FT_Y5,12)/FT_Int2))),IF(AP118="PT",IF(BF118&lt;PT_First,0,1+INT((BF118-PT_First)/PT_Int)),0))+IF(AND(AI118&gt;=2,AK118&lt;=EOMONTH(AsOfDate,-1)),IF(AQ118="FT",IF(BG118&lt;FT_First,0,IF(BG118&lt;FT_Y5,1+INT((BG118-FT_First)/FT_Int1),FT_PreY5+FT_PerYear*INT((BG118-FT_Y5)/12)+FT_AnnivDays+INT(MOD(BG118-FT_Y5,12)/FT_Int2))),IF(AQ118="PT",IF(BG118&lt;PT_First,0,1+INT((BG118-PT_First)/PT_Int)),0))-IF(AQ118="FT",IF(BF118&lt;FT_First,0,IF(BF118&lt;FT_Y5,1+INT((BF118-FT_First)/FT_Int1),FT_PreY5+FT_PerYear*INT((BF118-FT_Y5)/12)+FT_AnnivDays+INT(MOD(BF118-FT_Y5,12)/FT_Int2))),IF(AQ118="PT",IF(BF118&lt;PT_First,0,1+INT((BF118-PT_First)/PT_Int)),0)),0)+IF(AND(AI118&gt;=3,AL118&lt;=EOMONTH(AsOfDate,-1)),IF(AR118="FT",IF(BE118&lt;FT_First,0,IF(BE118&lt;FT_Y5,1+INT((BE118-FT_First)/FT_Int1),FT_PreY5+FT_PerYear*INT((BE118-FT_Y5)/12)+FT_AnnivDays+INT(MOD(BE118-FT_Y5,12)/FT_Int2))),IF(AR118="PT",IF(BE118&lt;PT_First,0,1+INT((BE118-PT_First)/PT_Int)),0))-IF(AR118="FT",IF(BG118&lt;FT_First,0,IF(BG118&lt;FT_Y5,1+INT((BG118-FT_First)/FT_Int1),FT_PreY5+FT_PerYear*INT((BG118-FT_Y5)/12)+FT_AnnivDays+INT(MOD(BG118-FT_Y5,12)/FT_Int2))),IF(AR118="PT",IF(BG118&lt;PT_First,0,1+INT((BG118-PT_First)/PT_Int)),0)),0))</f>
        <v/>
      </c>
      <c r="BI118" s="19" t="str">
        <f aca="false">IF(AG118=0,"",IF(AS118="FT",IF(AT118&lt;FT_First,"",IF(AT118&lt;FT_Y5,FT_First+FT_Int1*INT((AT118-FT_First)/FT_Int1),FT_Y5+FT_Int2*INT((AT118-FT_Y5)/FT_Int2))),IF(AS118="PT",IF(AT118&lt;PT_First,"",PT_First+PT_Int*INT((AT118-PT_First)/PT_Int)),"")))</f>
        <v/>
      </c>
      <c r="BJ118" s="0" t="str">
        <f aca="false">IF(LEN($A118&amp;$B118)=0,"",$A118&amp;" "&amp;$B118)</f>
        <v/>
      </c>
    </row>
    <row r="119" customFormat="false" ht="15" hidden="false" customHeight="false" outlineLevel="0" collapsed="false">
      <c r="A119" s="15"/>
      <c r="B119" s="15"/>
      <c r="C119" s="15"/>
      <c r="D119" s="16"/>
      <c r="E119" s="17" t="str">
        <f aca="false">IF(OR(AG119=0,$D119=""),"",DATE(YEAR(AsOfDate)+IF(DATE(YEAR(AsOfDate),MONTH($D119),DAY($D119))&lt;=AsOfDate,1,0),MONTH($D119),DAY($D119)))</f>
        <v/>
      </c>
      <c r="F119" s="16"/>
      <c r="G119" s="16"/>
      <c r="H119" s="16"/>
      <c r="I119" s="16"/>
      <c r="J119" s="16"/>
      <c r="K119" s="17" t="str">
        <f aca="false">IF(AG119=0,"",DATE(YEAR(AsOfDate)+IF(DATE(YEAR(AsOfDate),MONTH(AH119),DAY(AH119))&lt;=AsOfDate,1,0),MONTH(AH119),DAY(AH119)))</f>
        <v/>
      </c>
      <c r="L119" s="18" t="str">
        <f aca="false">IF(AG119=0,"",ROUND((AsOfDate-AH119)/365.25,1))</f>
        <v/>
      </c>
      <c r="M119" s="19" t="str">
        <f aca="false">IF(AG119=0,"",IF(AsOfDate&lt;AH119,"-",DATEDIF(AH119,AsOfDate,"y")&amp;"y "&amp;DATEDIF(AH119,AsOfDate,"ym")&amp;"m "&amp;DATEDIF(AH119,AsOfDate,"md")&amp;"d"))</f>
        <v/>
      </c>
      <c r="N119" s="20" t="str">
        <f aca="false">IF(AG119=0,"",O119*HoursPerDay)</f>
        <v/>
      </c>
      <c r="O119" s="20" t="str">
        <f aca="false">IF(AG119=0,"",AZ119)</f>
        <v/>
      </c>
      <c r="P119" s="21"/>
      <c r="Q119" s="19"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19"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7" t="str">
        <f aca="false">IF(AG119=0,"",IF(AS119="None","",EDATE(AH119,BB119)))</f>
        <v/>
      </c>
      <c r="T119" s="20" t="str">
        <f aca="false">IF(AG119=0,"",IF(NOT(LH_Ready),"",IF(AH119&gt;PFYDate,0,IF(LH_ColPeriod=0,W119-U119+V119,SUMIFS(INDEX(LH_Data,0,LH_ColAcc),INDEX(LH_Data,0,LH_ColFirst),$A119,INDEX(LH_Data,0,LH_ColSur),$B119,INDEX(LH_Data,0,LH_ColCat),BonusCat,INDEX(LH_Data,0,LH_ColPeriod),LH_OpenLabel)*UnitFactor))))</f>
        <v/>
      </c>
      <c r="U119" s="20" t="str">
        <f aca="false">IF(AG119=0,"",IF(NOT(LH_Ready),"",SUMIFS(INDEX(LH_Data,0,LH_ColAcc),INDEX(LH_Data,0,LH_ColFirst),$A119,INDEX(LH_Data,0,LH_ColSur),$B119,INDEX(LH_Data,0,LH_ColCat),BonusCat,INDEX(LH_Data,0,LH_ColStart),"&gt;="&amp;AH119)*UnitFactor))</f>
        <v/>
      </c>
      <c r="V119" s="20" t="str">
        <f aca="false">IF(AG119=0,"",IF(NOT(LH_Ready),"",SUMIFS(INDEX(LH_Data,0,LH_ColTaken),INDEX(LH_Data,0,LH_ColFirst),$A119,INDEX(LH_Data,0,LH_ColSur),$B119,INDEX(LH_Data,0,LH_ColCat),BonusCat,INDEX(LH_Data,0,LH_ColStart),"&gt;="&amp;AH119)*UnitFactor))</f>
        <v/>
      </c>
      <c r="W119" s="20" t="str">
        <f aca="false">IF(AG119=0,"",IF(NOT(LH_Ready),"",IF(BD119=0,0,INDEX(INDEX(LH_Data,0,LH_ColClose),BD119-1)*UnitFactor)))</f>
        <v/>
      </c>
      <c r="X119" s="20" t="str">
        <f aca="false">IF(AG119=0,"",(AZ119-BA119)*HoursPerDay)</f>
        <v/>
      </c>
      <c r="Y119" s="20" t="str">
        <f aca="false">IF(AG119=0,"",IF(NOT(LH_Ready),"",IF(BC119=0,N119,IF(PFYDate&lt;$F119,N119-N(T119)-N(U119),X119-N(U119)))))</f>
        <v/>
      </c>
      <c r="Z119" s="19" t="str">
        <f aca="false">IF(OR(AG119=0,Y119=""),"",IF(Y119&gt;0,"Yes","No"))</f>
        <v/>
      </c>
      <c r="AA119" s="19"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20" t="str">
        <f aca="false">IF(OR(AG119=0,T119=""),"",BA119*HoursPerDay-T119)</f>
        <v/>
      </c>
      <c r="AC119" s="19" t="str">
        <f aca="false">IF(AG119=0,"",BC119)</f>
        <v/>
      </c>
      <c r="AD119" s="19"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20" t="str">
        <f aca="false">IF(AG119=0,"",O119-BH119)</f>
        <v/>
      </c>
      <c r="AF119" s="17" t="str">
        <f aca="false">IF(OR(AG119=0,AE119="",N(AE119)=0,BI119=""),"",EDATE(AH119,BI119))</f>
        <v/>
      </c>
      <c r="AG119" s="19" t="n">
        <f aca="false">IF(OR(LEN($A119&amp;$B119)=0,$F119=""),0,1)</f>
        <v>0</v>
      </c>
      <c r="AH119" s="17" t="str">
        <f aca="false">IF(AG119=0,"",IF($J119&lt;&gt;"",$J119,IF(OR(CasualCounts="Yes",COUNT($G119:$I119)=0,COUNT($H119:$I119)=0),$F119,MIN($H119:$I119))))</f>
        <v/>
      </c>
      <c r="AI119" s="19" t="str">
        <f aca="false">IF(AG119=0,"",COUNT($G119:$I119))</f>
        <v/>
      </c>
      <c r="AJ119" s="17" t="str">
        <f aca="false">IF(AG119=0,"",IFERROR(SMALL($G119:$I119,1),""))</f>
        <v/>
      </c>
      <c r="AK119" s="17" t="str">
        <f aca="false">IF(AG119=0,"",IFERROR(SMALL($G119:$I119,2),""))</f>
        <v/>
      </c>
      <c r="AL119" s="17" t="str">
        <f aca="false">IF(AG119=0,"",IFERROR(SMALL($G119:$I119,3),""))</f>
        <v/>
      </c>
      <c r="AM119" s="19" t="str">
        <f aca="false">IF(AG119=0,"",IF(AJ119="","",IF(AJ119=$H119,"Part-Time",IF(AJ119=$I119,"Full-Time","Casual"))))</f>
        <v/>
      </c>
      <c r="AN119" s="19" t="str">
        <f aca="false">IF(AG119=0,"",IF(AK119="","",IF(AK119=$H119,"Part-Time",IF(AK119=$I119,"Full-Time","Casual"))))</f>
        <v/>
      </c>
      <c r="AO119" s="19" t="str">
        <f aca="false">IF(AG119=0,"",IF(AL119="","",IF(AL119=$H119,"Part-Time",IF(AL119=$I119,"Full-Time","Casual"))))</f>
        <v/>
      </c>
      <c r="AP119" s="19"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19" t="str">
        <f aca="false">IF(AG119=0,"",IF(AI119&lt;2,"",IF(OR(ISNUMBER(SEARCH("full",AN119)),UPPER(TRIM(AN119))="FT",UPPER(TRIM(AN119))="FTE"),"FT",IF(AND(OR(ISNUMBER(SEARCH("part",AN119)),UPPER(TRIM(AN119))="PT",UPPER(TRIM(AN119))="PTE"),OR($P119="",N($P119)&gt;=PT_MinHours)),"PT","None"))))</f>
        <v/>
      </c>
      <c r="AR119" s="19" t="str">
        <f aca="false">IF(AG119=0,"",IF(AI119&lt;3,"",IF(OR(ISNUMBER(SEARCH("full",AO119)),UPPER(TRIM(AO119))="FT",UPPER(TRIM(AO119))="FTE"),"FT",IF(AND(OR(ISNUMBER(SEARCH("part",AO119)),UPPER(TRIM(AO119))="PT",UPPER(TRIM(AO119))="PTE"),OR($P119="",N($P119)&gt;=PT_MinHours)),"PT","None"))))</f>
        <v/>
      </c>
      <c r="AS119" s="19" t="str">
        <f aca="false">IF(AG119=0,"",IF(AND(AI119&gt;=3,AL119&lt;=AsOfDate),AR119,IF(AND(AI119&gt;=2,AK119&lt;=AsOfDate),AQ119,AP119)))</f>
        <v/>
      </c>
      <c r="AT119" s="19" t="str">
        <f aca="false">IF(AG119=0,"",IF(AsOfDate&lt;AH119,-1,12*(YEAR(AsOfDate)-YEAR(AH119))+MONTH(AsOfDate)-MONTH(AH119)-IF(DAY(AsOfDate)&lt;MIN(DAY(AH119),DAY(EOMONTH(AsOfDate,0))),1,0)))</f>
        <v/>
      </c>
      <c r="AU119" s="19" t="str">
        <f aca="false">IF(AG119=0,"",IF(OR(AI119&lt;2,AK119&gt;AsOfDate),AT119,IF((AK119-1)&lt;AH119,-1,12*(YEAR((AK119-1))-YEAR(AH119))+MONTH((AK119-1))-MONTH(AH119)-IF(DAY((AK119-1))&lt;MIN(DAY(AH119),DAY(EOMONTH((AK119-1),0))),1,0))))</f>
        <v/>
      </c>
      <c r="AV119" s="19" t="str">
        <f aca="false">IF(AG119=0,"",IF(OR(AI119&lt;3,AL119&gt;AsOfDate),AT119,IF((AL119-1)&lt;AH119,-1,12*(YEAR((AL119-1))-YEAR(AH119))+MONTH((AL119-1))-MONTH(AH119)-IF(DAY((AL119-1))&lt;MIN(DAY(AH119),DAY(EOMONTH((AL119-1),0))),1,0))))</f>
        <v/>
      </c>
      <c r="AW119" s="19" t="str">
        <f aca="false">IF(AG119=0,"",IF(PFYDate&lt;AH119,-1,12*(YEAR(PFYDate)-YEAR(AH119))+MONTH(PFYDate)-MONTH(AH119)-IF(DAY(PFYDate)&lt;MIN(DAY(AH119),DAY(EOMONTH(PFYDate,0))),1,0)))</f>
        <v/>
      </c>
      <c r="AX119" s="19" t="str">
        <f aca="false">IF(AG119=0,"",IF(OR(AI119&lt;2,AK119&gt;PFYDate),AW119,IF((AK119-1)&lt;AH119,-1,12*(YEAR((AK119-1))-YEAR(AH119))+MONTH((AK119-1))-MONTH(AH119)-IF(DAY((AK119-1))&lt;MIN(DAY(AH119),DAY(EOMONTH((AK119-1),0))),1,0))))</f>
        <v/>
      </c>
      <c r="AY119" s="19" t="str">
        <f aca="false">IF(AG119=0,"",IF(OR(AI119&lt;3,AL119&gt;PFYDate),AW119,IF((AL119-1)&lt;AH119,-1,12*(YEAR((AL119-1))-YEAR(AH119))+MONTH((AL119-1))-MONTH(AH119)-IF(DAY((AL119-1))&lt;MIN(DAY(AH119),DAY(EOMONTH((AL119-1),0))),1,0))))</f>
        <v/>
      </c>
      <c r="AZ119" s="19" t="str">
        <f aca="false">IF(AG119=0,"",IF(AP119="FT",IF(AU119&lt;FT_First,0,IF(AU119&lt;FT_Y5,1+INT((AU119-FT_First)/FT_Int1),FT_PreY5+FT_PerYear*INT((AU119-FT_Y5)/12)+FT_AnnivDays+INT(MOD(AU119-FT_Y5,12)/FT_Int2))),IF(AP119="PT",IF(AU119&lt;PT_First,0,1+INT((AU119-PT_First)/PT_Int)),0))+IF(AND(AI119&gt;=2,AK119&lt;=AsOfDate),IF(AQ119="FT",IF(AV119&lt;FT_First,0,IF(AV119&lt;FT_Y5,1+INT((AV119-FT_First)/FT_Int1),FT_PreY5+FT_PerYear*INT((AV119-FT_Y5)/12)+FT_AnnivDays+INT(MOD(AV119-FT_Y5,12)/FT_Int2))),IF(AQ119="PT",IF(AV119&lt;PT_First,0,1+INT((AV119-PT_First)/PT_Int)),0))-IF(AQ119="FT",IF(AU119&lt;FT_First,0,IF(AU119&lt;FT_Y5,1+INT((AU119-FT_First)/FT_Int1),FT_PreY5+FT_PerYear*INT((AU119-FT_Y5)/12)+FT_AnnivDays+INT(MOD(AU119-FT_Y5,12)/FT_Int2))),IF(AQ119="PT",IF(AU119&lt;PT_First,0,1+INT((AU119-PT_First)/PT_Int)),0)),0)+IF(AND(AI119&gt;=3,AL119&lt;=AsOfDate),IF(AR119="FT",IF(AT119&lt;FT_First,0,IF(AT119&lt;FT_Y5,1+INT((AT119-FT_First)/FT_Int1),FT_PreY5+FT_PerYear*INT((AT119-FT_Y5)/12)+FT_AnnivDays+INT(MOD(AT119-FT_Y5,12)/FT_Int2))),IF(AR119="PT",IF(AT119&lt;PT_First,0,1+INT((AT119-PT_First)/PT_Int)),0))-IF(AR119="FT",IF(AV119&lt;FT_First,0,IF(AV119&lt;FT_Y5,1+INT((AV119-FT_First)/FT_Int1),FT_PreY5+FT_PerYear*INT((AV119-FT_Y5)/12)+FT_AnnivDays+INT(MOD(AV119-FT_Y5,12)/FT_Int2))),IF(AR119="PT",IF(AV119&lt;PT_First,0,1+INT((AV119-PT_First)/PT_Int)),0)),0))</f>
        <v/>
      </c>
      <c r="BA119" s="19" t="str">
        <f aca="false">IF(AG119=0,"",IF(AP119="FT",IF(AX119&lt;FT_First,0,IF(AX119&lt;FT_Y5,1+INT((AX119-FT_First)/FT_Int1),FT_PreY5+FT_PerYear*INT((AX119-FT_Y5)/12)+FT_AnnivDays+INT(MOD(AX119-FT_Y5,12)/FT_Int2))),IF(AP119="PT",IF(AX119&lt;PT_First,0,1+INT((AX119-PT_First)/PT_Int)),0))+IF(AND(AI119&gt;=2,AK119&lt;=PFYDate),IF(AQ119="FT",IF(AY119&lt;FT_First,0,IF(AY119&lt;FT_Y5,1+INT((AY119-FT_First)/FT_Int1),FT_PreY5+FT_PerYear*INT((AY119-FT_Y5)/12)+FT_AnnivDays+INT(MOD(AY119-FT_Y5,12)/FT_Int2))),IF(AQ119="PT",IF(AY119&lt;PT_First,0,1+INT((AY119-PT_First)/PT_Int)),0))-IF(AQ119="FT",IF(AX119&lt;FT_First,0,IF(AX119&lt;FT_Y5,1+INT((AX119-FT_First)/FT_Int1),FT_PreY5+FT_PerYear*INT((AX119-FT_Y5)/12)+FT_AnnivDays+INT(MOD(AX119-FT_Y5,12)/FT_Int2))),IF(AQ119="PT",IF(AX119&lt;PT_First,0,1+INT((AX119-PT_First)/PT_Int)),0)),0)+IF(AND(AI119&gt;=3,AL119&lt;=PFYDate),IF(AR119="FT",IF(AW119&lt;FT_First,0,IF(AW119&lt;FT_Y5,1+INT((AW119-FT_First)/FT_Int1),FT_PreY5+FT_PerYear*INT((AW119-FT_Y5)/12)+FT_AnnivDays+INT(MOD(AW119-FT_Y5,12)/FT_Int2))),IF(AR119="PT",IF(AW119&lt;PT_First,0,1+INT((AW119-PT_First)/PT_Int)),0))-IF(AR119="FT",IF(AY119&lt;FT_First,0,IF(AY119&lt;FT_Y5,1+INT((AY119-FT_First)/FT_Int1),FT_PreY5+FT_PerYear*INT((AY119-FT_Y5)/12)+FT_AnnivDays+INT(MOD(AY119-FT_Y5,12)/FT_Int2))),IF(AR119="PT",IF(AY119&lt;PT_First,0,1+INT((AY119-PT_First)/PT_Int)),0)),0))</f>
        <v/>
      </c>
      <c r="BB119" s="19" t="str">
        <f aca="false">IF(AG119=0,"",IF(AS119="FT",IF(AT119&lt;FT_First,FT_First,IF(AT119&lt;FT_Y5,MIN(FT_Y5,FT_First+FT_Int1*(INT((AT119-FT_First)/FT_Int1)+1)),FT_Y5+12*INT((AT119-FT_Y5)/12)+FT_Int2*(INT(MOD(AT119-FT_Y5,12)/FT_Int2)+1))),IF(AS119="PT",IF(AT119&lt;PT_First,PT_First,PT_First+PT_Int*(INT((AT119-PT_First)/PT_Int)+1)),"")))</f>
        <v/>
      </c>
      <c r="BC119" s="19" t="str">
        <f aca="false">IF(AG119=0,"",IF(NOT(LH_Ready),0,COUNTIFS(INDEX(LH_Data,0,LH_ColFirst),$A119,INDEX(LH_Data,0,LH_ColSur),$B119,INDEX(LH_Data,0,LH_ColCat),BonusCat)))</f>
        <v/>
      </c>
      <c r="BD119" s="19" t="str">
        <f aca="false">IF(AG119=0,"",IF(OR(NOT(LH_Ready),BC119=0),0,SUMPRODUCT(MAX((INDEX(LH_Data,0,LH_ColFirst)=$A119)*(INDEX(LH_Data,0,LH_ColSur)=$B119)*(INDEX(LH_Data,0,LH_ColCat)=BonusCat)*ROW(LH_Data)))))</f>
        <v/>
      </c>
      <c r="BE119" s="19" t="str">
        <f aca="false">IF(AG119=0,"",IF(EOMONTH(AsOfDate,-1)&lt;AH119,-1,12*(YEAR(EOMONTH(AsOfDate,-1))-YEAR(AH119))+MONTH(EOMONTH(AsOfDate,-1))-MONTH(AH119)-IF(DAY(EOMONTH(AsOfDate,-1))&lt;MIN(DAY(AH119),DAY(EOMONTH(EOMONTH(AsOfDate,-1),0))),1,0)))</f>
        <v/>
      </c>
      <c r="BF119" s="19" t="str">
        <f aca="false">IF(AG119=0,"",IF(OR(AI119&lt;2,AK119&gt;EOMONTH(AsOfDate,-1)),BE119,IF((AK119-1)&lt;AH119,-1,12*(YEAR((AK119-1))-YEAR(AH119))+MONTH((AK119-1))-MONTH(AH119)-IF(DAY((AK119-1))&lt;MIN(DAY(AH119),DAY(EOMONTH((AK119-1),0))),1,0))))</f>
        <v/>
      </c>
      <c r="BG119" s="19" t="str">
        <f aca="false">IF(AG119=0,"",IF(OR(AI119&lt;3,AL119&gt;EOMONTH(AsOfDate,-1)),BE119,IF((AL119-1)&lt;AH119,-1,12*(YEAR((AL119-1))-YEAR(AH119))+MONTH((AL119-1))-MONTH(AH119)-IF(DAY((AL119-1))&lt;MIN(DAY(AH119),DAY(EOMONTH((AL119-1),0))),1,0))))</f>
        <v/>
      </c>
      <c r="BH119" s="19" t="str">
        <f aca="false">IF(AG119=0,"",IF(AP119="FT",IF(BF119&lt;FT_First,0,IF(BF119&lt;FT_Y5,1+INT((BF119-FT_First)/FT_Int1),FT_PreY5+FT_PerYear*INT((BF119-FT_Y5)/12)+FT_AnnivDays+INT(MOD(BF119-FT_Y5,12)/FT_Int2))),IF(AP119="PT",IF(BF119&lt;PT_First,0,1+INT((BF119-PT_First)/PT_Int)),0))+IF(AND(AI119&gt;=2,AK119&lt;=EOMONTH(AsOfDate,-1)),IF(AQ119="FT",IF(BG119&lt;FT_First,0,IF(BG119&lt;FT_Y5,1+INT((BG119-FT_First)/FT_Int1),FT_PreY5+FT_PerYear*INT((BG119-FT_Y5)/12)+FT_AnnivDays+INT(MOD(BG119-FT_Y5,12)/FT_Int2))),IF(AQ119="PT",IF(BG119&lt;PT_First,0,1+INT((BG119-PT_First)/PT_Int)),0))-IF(AQ119="FT",IF(BF119&lt;FT_First,0,IF(BF119&lt;FT_Y5,1+INT((BF119-FT_First)/FT_Int1),FT_PreY5+FT_PerYear*INT((BF119-FT_Y5)/12)+FT_AnnivDays+INT(MOD(BF119-FT_Y5,12)/FT_Int2))),IF(AQ119="PT",IF(BF119&lt;PT_First,0,1+INT((BF119-PT_First)/PT_Int)),0)),0)+IF(AND(AI119&gt;=3,AL119&lt;=EOMONTH(AsOfDate,-1)),IF(AR119="FT",IF(BE119&lt;FT_First,0,IF(BE119&lt;FT_Y5,1+INT((BE119-FT_First)/FT_Int1),FT_PreY5+FT_PerYear*INT((BE119-FT_Y5)/12)+FT_AnnivDays+INT(MOD(BE119-FT_Y5,12)/FT_Int2))),IF(AR119="PT",IF(BE119&lt;PT_First,0,1+INT((BE119-PT_First)/PT_Int)),0))-IF(AR119="FT",IF(BG119&lt;FT_First,0,IF(BG119&lt;FT_Y5,1+INT((BG119-FT_First)/FT_Int1),FT_PreY5+FT_PerYear*INT((BG119-FT_Y5)/12)+FT_AnnivDays+INT(MOD(BG119-FT_Y5,12)/FT_Int2))),IF(AR119="PT",IF(BG119&lt;PT_First,0,1+INT((BG119-PT_First)/PT_Int)),0)),0))</f>
        <v/>
      </c>
      <c r="BI119" s="19" t="str">
        <f aca="false">IF(AG119=0,"",IF(AS119="FT",IF(AT119&lt;FT_First,"",IF(AT119&lt;FT_Y5,FT_First+FT_Int1*INT((AT119-FT_First)/FT_Int1),FT_Y5+FT_Int2*INT((AT119-FT_Y5)/FT_Int2))),IF(AS119="PT",IF(AT119&lt;PT_First,"",PT_First+PT_Int*INT((AT119-PT_First)/PT_Int)),"")))</f>
        <v/>
      </c>
      <c r="BJ119" s="0" t="str">
        <f aca="false">IF(LEN($A119&amp;$B119)=0,"",$A119&amp;" "&amp;$B119)</f>
        <v/>
      </c>
    </row>
    <row r="120" customFormat="false" ht="15" hidden="false" customHeight="false" outlineLevel="0" collapsed="false">
      <c r="A120" s="15"/>
      <c r="B120" s="15"/>
      <c r="C120" s="15"/>
      <c r="D120" s="16"/>
      <c r="E120" s="17" t="str">
        <f aca="false">IF(OR(AG120=0,$D120=""),"",DATE(YEAR(AsOfDate)+IF(DATE(YEAR(AsOfDate),MONTH($D120),DAY($D120))&lt;=AsOfDate,1,0),MONTH($D120),DAY($D120)))</f>
        <v/>
      </c>
      <c r="F120" s="16"/>
      <c r="G120" s="16"/>
      <c r="H120" s="16"/>
      <c r="I120" s="16"/>
      <c r="J120" s="16"/>
      <c r="K120" s="17" t="str">
        <f aca="false">IF(AG120=0,"",DATE(YEAR(AsOfDate)+IF(DATE(YEAR(AsOfDate),MONTH(AH120),DAY(AH120))&lt;=AsOfDate,1,0),MONTH(AH120),DAY(AH120)))</f>
        <v/>
      </c>
      <c r="L120" s="18" t="str">
        <f aca="false">IF(AG120=0,"",ROUND((AsOfDate-AH120)/365.25,1))</f>
        <v/>
      </c>
      <c r="M120" s="19" t="str">
        <f aca="false">IF(AG120=0,"",IF(AsOfDate&lt;AH120,"-",DATEDIF(AH120,AsOfDate,"y")&amp;"y "&amp;DATEDIF(AH120,AsOfDate,"ym")&amp;"m "&amp;DATEDIF(AH120,AsOfDate,"md")&amp;"d"))</f>
        <v/>
      </c>
      <c r="N120" s="20" t="str">
        <f aca="false">IF(AG120=0,"",O120*HoursPerDay)</f>
        <v/>
      </c>
      <c r="O120" s="20" t="str">
        <f aca="false">IF(AG120=0,"",AZ120)</f>
        <v/>
      </c>
      <c r="P120" s="21"/>
      <c r="Q120" s="19"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19"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7" t="str">
        <f aca="false">IF(AG120=0,"",IF(AS120="None","",EDATE(AH120,BB120)))</f>
        <v/>
      </c>
      <c r="T120" s="20" t="str">
        <f aca="false">IF(AG120=0,"",IF(NOT(LH_Ready),"",IF(AH120&gt;PFYDate,0,IF(LH_ColPeriod=0,W120-U120+V120,SUMIFS(INDEX(LH_Data,0,LH_ColAcc),INDEX(LH_Data,0,LH_ColFirst),$A120,INDEX(LH_Data,0,LH_ColSur),$B120,INDEX(LH_Data,0,LH_ColCat),BonusCat,INDEX(LH_Data,0,LH_ColPeriod),LH_OpenLabel)*UnitFactor))))</f>
        <v/>
      </c>
      <c r="U120" s="20" t="str">
        <f aca="false">IF(AG120=0,"",IF(NOT(LH_Ready),"",SUMIFS(INDEX(LH_Data,0,LH_ColAcc),INDEX(LH_Data,0,LH_ColFirst),$A120,INDEX(LH_Data,0,LH_ColSur),$B120,INDEX(LH_Data,0,LH_ColCat),BonusCat,INDEX(LH_Data,0,LH_ColStart),"&gt;="&amp;AH120)*UnitFactor))</f>
        <v/>
      </c>
      <c r="V120" s="20" t="str">
        <f aca="false">IF(AG120=0,"",IF(NOT(LH_Ready),"",SUMIFS(INDEX(LH_Data,0,LH_ColTaken),INDEX(LH_Data,0,LH_ColFirst),$A120,INDEX(LH_Data,0,LH_ColSur),$B120,INDEX(LH_Data,0,LH_ColCat),BonusCat,INDEX(LH_Data,0,LH_ColStart),"&gt;="&amp;AH120)*UnitFactor))</f>
        <v/>
      </c>
      <c r="W120" s="20" t="str">
        <f aca="false">IF(AG120=0,"",IF(NOT(LH_Ready),"",IF(BD120=0,0,INDEX(INDEX(LH_Data,0,LH_ColClose),BD120-1)*UnitFactor)))</f>
        <v/>
      </c>
      <c r="X120" s="20" t="str">
        <f aca="false">IF(AG120=0,"",(AZ120-BA120)*HoursPerDay)</f>
        <v/>
      </c>
      <c r="Y120" s="20" t="str">
        <f aca="false">IF(AG120=0,"",IF(NOT(LH_Ready),"",IF(BC120=0,N120,IF(PFYDate&lt;$F120,N120-N(T120)-N(U120),X120-N(U120)))))</f>
        <v/>
      </c>
      <c r="Z120" s="19" t="str">
        <f aca="false">IF(OR(AG120=0,Y120=""),"",IF(Y120&gt;0,"Yes","No"))</f>
        <v/>
      </c>
      <c r="AA120" s="19"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20" t="str">
        <f aca="false">IF(OR(AG120=0,T120=""),"",BA120*HoursPerDay-T120)</f>
        <v/>
      </c>
      <c r="AC120" s="19" t="str">
        <f aca="false">IF(AG120=0,"",BC120)</f>
        <v/>
      </c>
      <c r="AD120" s="19"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20" t="str">
        <f aca="false">IF(AG120=0,"",O120-BH120)</f>
        <v/>
      </c>
      <c r="AF120" s="17" t="str">
        <f aca="false">IF(OR(AG120=0,AE120="",N(AE120)=0,BI120=""),"",EDATE(AH120,BI120))</f>
        <v/>
      </c>
      <c r="AG120" s="19" t="n">
        <f aca="false">IF(OR(LEN($A120&amp;$B120)=0,$F120=""),0,1)</f>
        <v>0</v>
      </c>
      <c r="AH120" s="17" t="str">
        <f aca="false">IF(AG120=0,"",IF($J120&lt;&gt;"",$J120,IF(OR(CasualCounts="Yes",COUNT($G120:$I120)=0,COUNT($H120:$I120)=0),$F120,MIN($H120:$I120))))</f>
        <v/>
      </c>
      <c r="AI120" s="19" t="str">
        <f aca="false">IF(AG120=0,"",COUNT($G120:$I120))</f>
        <v/>
      </c>
      <c r="AJ120" s="17" t="str">
        <f aca="false">IF(AG120=0,"",IFERROR(SMALL($G120:$I120,1),""))</f>
        <v/>
      </c>
      <c r="AK120" s="17" t="str">
        <f aca="false">IF(AG120=0,"",IFERROR(SMALL($G120:$I120,2),""))</f>
        <v/>
      </c>
      <c r="AL120" s="17" t="str">
        <f aca="false">IF(AG120=0,"",IFERROR(SMALL($G120:$I120,3),""))</f>
        <v/>
      </c>
      <c r="AM120" s="19" t="str">
        <f aca="false">IF(AG120=0,"",IF(AJ120="","",IF(AJ120=$H120,"Part-Time",IF(AJ120=$I120,"Full-Time","Casual"))))</f>
        <v/>
      </c>
      <c r="AN120" s="19" t="str">
        <f aca="false">IF(AG120=0,"",IF(AK120="","",IF(AK120=$H120,"Part-Time",IF(AK120=$I120,"Full-Time","Casual"))))</f>
        <v/>
      </c>
      <c r="AO120" s="19" t="str">
        <f aca="false">IF(AG120=0,"",IF(AL120="","",IF(AL120=$H120,"Part-Time",IF(AL120=$I120,"Full-Time","Casual"))))</f>
        <v/>
      </c>
      <c r="AP120" s="19"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19" t="str">
        <f aca="false">IF(AG120=0,"",IF(AI120&lt;2,"",IF(OR(ISNUMBER(SEARCH("full",AN120)),UPPER(TRIM(AN120))="FT",UPPER(TRIM(AN120))="FTE"),"FT",IF(AND(OR(ISNUMBER(SEARCH("part",AN120)),UPPER(TRIM(AN120))="PT",UPPER(TRIM(AN120))="PTE"),OR($P120="",N($P120)&gt;=PT_MinHours)),"PT","None"))))</f>
        <v/>
      </c>
      <c r="AR120" s="19" t="str">
        <f aca="false">IF(AG120=0,"",IF(AI120&lt;3,"",IF(OR(ISNUMBER(SEARCH("full",AO120)),UPPER(TRIM(AO120))="FT",UPPER(TRIM(AO120))="FTE"),"FT",IF(AND(OR(ISNUMBER(SEARCH("part",AO120)),UPPER(TRIM(AO120))="PT",UPPER(TRIM(AO120))="PTE"),OR($P120="",N($P120)&gt;=PT_MinHours)),"PT","None"))))</f>
        <v/>
      </c>
      <c r="AS120" s="19" t="str">
        <f aca="false">IF(AG120=0,"",IF(AND(AI120&gt;=3,AL120&lt;=AsOfDate),AR120,IF(AND(AI120&gt;=2,AK120&lt;=AsOfDate),AQ120,AP120)))</f>
        <v/>
      </c>
      <c r="AT120" s="19" t="str">
        <f aca="false">IF(AG120=0,"",IF(AsOfDate&lt;AH120,-1,12*(YEAR(AsOfDate)-YEAR(AH120))+MONTH(AsOfDate)-MONTH(AH120)-IF(DAY(AsOfDate)&lt;MIN(DAY(AH120),DAY(EOMONTH(AsOfDate,0))),1,0)))</f>
        <v/>
      </c>
      <c r="AU120" s="19" t="str">
        <f aca="false">IF(AG120=0,"",IF(OR(AI120&lt;2,AK120&gt;AsOfDate),AT120,IF((AK120-1)&lt;AH120,-1,12*(YEAR((AK120-1))-YEAR(AH120))+MONTH((AK120-1))-MONTH(AH120)-IF(DAY((AK120-1))&lt;MIN(DAY(AH120),DAY(EOMONTH((AK120-1),0))),1,0))))</f>
        <v/>
      </c>
      <c r="AV120" s="19" t="str">
        <f aca="false">IF(AG120=0,"",IF(OR(AI120&lt;3,AL120&gt;AsOfDate),AT120,IF((AL120-1)&lt;AH120,-1,12*(YEAR((AL120-1))-YEAR(AH120))+MONTH((AL120-1))-MONTH(AH120)-IF(DAY((AL120-1))&lt;MIN(DAY(AH120),DAY(EOMONTH((AL120-1),0))),1,0))))</f>
        <v/>
      </c>
      <c r="AW120" s="19" t="str">
        <f aca="false">IF(AG120=0,"",IF(PFYDate&lt;AH120,-1,12*(YEAR(PFYDate)-YEAR(AH120))+MONTH(PFYDate)-MONTH(AH120)-IF(DAY(PFYDate)&lt;MIN(DAY(AH120),DAY(EOMONTH(PFYDate,0))),1,0)))</f>
        <v/>
      </c>
      <c r="AX120" s="19" t="str">
        <f aca="false">IF(AG120=0,"",IF(OR(AI120&lt;2,AK120&gt;PFYDate),AW120,IF((AK120-1)&lt;AH120,-1,12*(YEAR((AK120-1))-YEAR(AH120))+MONTH((AK120-1))-MONTH(AH120)-IF(DAY((AK120-1))&lt;MIN(DAY(AH120),DAY(EOMONTH((AK120-1),0))),1,0))))</f>
        <v/>
      </c>
      <c r="AY120" s="19" t="str">
        <f aca="false">IF(AG120=0,"",IF(OR(AI120&lt;3,AL120&gt;PFYDate),AW120,IF((AL120-1)&lt;AH120,-1,12*(YEAR((AL120-1))-YEAR(AH120))+MONTH((AL120-1))-MONTH(AH120)-IF(DAY((AL120-1))&lt;MIN(DAY(AH120),DAY(EOMONTH((AL120-1),0))),1,0))))</f>
        <v/>
      </c>
      <c r="AZ120" s="19" t="str">
        <f aca="false">IF(AG120=0,"",IF(AP120="FT",IF(AU120&lt;FT_First,0,IF(AU120&lt;FT_Y5,1+INT((AU120-FT_First)/FT_Int1),FT_PreY5+FT_PerYear*INT((AU120-FT_Y5)/12)+FT_AnnivDays+INT(MOD(AU120-FT_Y5,12)/FT_Int2))),IF(AP120="PT",IF(AU120&lt;PT_First,0,1+INT((AU120-PT_First)/PT_Int)),0))+IF(AND(AI120&gt;=2,AK120&lt;=AsOfDate),IF(AQ120="FT",IF(AV120&lt;FT_First,0,IF(AV120&lt;FT_Y5,1+INT((AV120-FT_First)/FT_Int1),FT_PreY5+FT_PerYear*INT((AV120-FT_Y5)/12)+FT_AnnivDays+INT(MOD(AV120-FT_Y5,12)/FT_Int2))),IF(AQ120="PT",IF(AV120&lt;PT_First,0,1+INT((AV120-PT_First)/PT_Int)),0))-IF(AQ120="FT",IF(AU120&lt;FT_First,0,IF(AU120&lt;FT_Y5,1+INT((AU120-FT_First)/FT_Int1),FT_PreY5+FT_PerYear*INT((AU120-FT_Y5)/12)+FT_AnnivDays+INT(MOD(AU120-FT_Y5,12)/FT_Int2))),IF(AQ120="PT",IF(AU120&lt;PT_First,0,1+INT((AU120-PT_First)/PT_Int)),0)),0)+IF(AND(AI120&gt;=3,AL120&lt;=AsOfDate),IF(AR120="FT",IF(AT120&lt;FT_First,0,IF(AT120&lt;FT_Y5,1+INT((AT120-FT_First)/FT_Int1),FT_PreY5+FT_PerYear*INT((AT120-FT_Y5)/12)+FT_AnnivDays+INT(MOD(AT120-FT_Y5,12)/FT_Int2))),IF(AR120="PT",IF(AT120&lt;PT_First,0,1+INT((AT120-PT_First)/PT_Int)),0))-IF(AR120="FT",IF(AV120&lt;FT_First,0,IF(AV120&lt;FT_Y5,1+INT((AV120-FT_First)/FT_Int1),FT_PreY5+FT_PerYear*INT((AV120-FT_Y5)/12)+FT_AnnivDays+INT(MOD(AV120-FT_Y5,12)/FT_Int2))),IF(AR120="PT",IF(AV120&lt;PT_First,0,1+INT((AV120-PT_First)/PT_Int)),0)),0))</f>
        <v/>
      </c>
      <c r="BA120" s="19" t="str">
        <f aca="false">IF(AG120=0,"",IF(AP120="FT",IF(AX120&lt;FT_First,0,IF(AX120&lt;FT_Y5,1+INT((AX120-FT_First)/FT_Int1),FT_PreY5+FT_PerYear*INT((AX120-FT_Y5)/12)+FT_AnnivDays+INT(MOD(AX120-FT_Y5,12)/FT_Int2))),IF(AP120="PT",IF(AX120&lt;PT_First,0,1+INT((AX120-PT_First)/PT_Int)),0))+IF(AND(AI120&gt;=2,AK120&lt;=PFYDate),IF(AQ120="FT",IF(AY120&lt;FT_First,0,IF(AY120&lt;FT_Y5,1+INT((AY120-FT_First)/FT_Int1),FT_PreY5+FT_PerYear*INT((AY120-FT_Y5)/12)+FT_AnnivDays+INT(MOD(AY120-FT_Y5,12)/FT_Int2))),IF(AQ120="PT",IF(AY120&lt;PT_First,0,1+INT((AY120-PT_First)/PT_Int)),0))-IF(AQ120="FT",IF(AX120&lt;FT_First,0,IF(AX120&lt;FT_Y5,1+INT((AX120-FT_First)/FT_Int1),FT_PreY5+FT_PerYear*INT((AX120-FT_Y5)/12)+FT_AnnivDays+INT(MOD(AX120-FT_Y5,12)/FT_Int2))),IF(AQ120="PT",IF(AX120&lt;PT_First,0,1+INT((AX120-PT_First)/PT_Int)),0)),0)+IF(AND(AI120&gt;=3,AL120&lt;=PFYDate),IF(AR120="FT",IF(AW120&lt;FT_First,0,IF(AW120&lt;FT_Y5,1+INT((AW120-FT_First)/FT_Int1),FT_PreY5+FT_PerYear*INT((AW120-FT_Y5)/12)+FT_AnnivDays+INT(MOD(AW120-FT_Y5,12)/FT_Int2))),IF(AR120="PT",IF(AW120&lt;PT_First,0,1+INT((AW120-PT_First)/PT_Int)),0))-IF(AR120="FT",IF(AY120&lt;FT_First,0,IF(AY120&lt;FT_Y5,1+INT((AY120-FT_First)/FT_Int1),FT_PreY5+FT_PerYear*INT((AY120-FT_Y5)/12)+FT_AnnivDays+INT(MOD(AY120-FT_Y5,12)/FT_Int2))),IF(AR120="PT",IF(AY120&lt;PT_First,0,1+INT((AY120-PT_First)/PT_Int)),0)),0))</f>
        <v/>
      </c>
      <c r="BB120" s="19" t="str">
        <f aca="false">IF(AG120=0,"",IF(AS120="FT",IF(AT120&lt;FT_First,FT_First,IF(AT120&lt;FT_Y5,MIN(FT_Y5,FT_First+FT_Int1*(INT((AT120-FT_First)/FT_Int1)+1)),FT_Y5+12*INT((AT120-FT_Y5)/12)+FT_Int2*(INT(MOD(AT120-FT_Y5,12)/FT_Int2)+1))),IF(AS120="PT",IF(AT120&lt;PT_First,PT_First,PT_First+PT_Int*(INT((AT120-PT_First)/PT_Int)+1)),"")))</f>
        <v/>
      </c>
      <c r="BC120" s="19" t="str">
        <f aca="false">IF(AG120=0,"",IF(NOT(LH_Ready),0,COUNTIFS(INDEX(LH_Data,0,LH_ColFirst),$A120,INDEX(LH_Data,0,LH_ColSur),$B120,INDEX(LH_Data,0,LH_ColCat),BonusCat)))</f>
        <v/>
      </c>
      <c r="BD120" s="19" t="str">
        <f aca="false">IF(AG120=0,"",IF(OR(NOT(LH_Ready),BC120=0),0,SUMPRODUCT(MAX((INDEX(LH_Data,0,LH_ColFirst)=$A120)*(INDEX(LH_Data,0,LH_ColSur)=$B120)*(INDEX(LH_Data,0,LH_ColCat)=BonusCat)*ROW(LH_Data)))))</f>
        <v/>
      </c>
      <c r="BE120" s="19" t="str">
        <f aca="false">IF(AG120=0,"",IF(EOMONTH(AsOfDate,-1)&lt;AH120,-1,12*(YEAR(EOMONTH(AsOfDate,-1))-YEAR(AH120))+MONTH(EOMONTH(AsOfDate,-1))-MONTH(AH120)-IF(DAY(EOMONTH(AsOfDate,-1))&lt;MIN(DAY(AH120),DAY(EOMONTH(EOMONTH(AsOfDate,-1),0))),1,0)))</f>
        <v/>
      </c>
      <c r="BF120" s="19" t="str">
        <f aca="false">IF(AG120=0,"",IF(OR(AI120&lt;2,AK120&gt;EOMONTH(AsOfDate,-1)),BE120,IF((AK120-1)&lt;AH120,-1,12*(YEAR((AK120-1))-YEAR(AH120))+MONTH((AK120-1))-MONTH(AH120)-IF(DAY((AK120-1))&lt;MIN(DAY(AH120),DAY(EOMONTH((AK120-1),0))),1,0))))</f>
        <v/>
      </c>
      <c r="BG120" s="19" t="str">
        <f aca="false">IF(AG120=0,"",IF(OR(AI120&lt;3,AL120&gt;EOMONTH(AsOfDate,-1)),BE120,IF((AL120-1)&lt;AH120,-1,12*(YEAR((AL120-1))-YEAR(AH120))+MONTH((AL120-1))-MONTH(AH120)-IF(DAY((AL120-1))&lt;MIN(DAY(AH120),DAY(EOMONTH((AL120-1),0))),1,0))))</f>
        <v/>
      </c>
      <c r="BH120" s="19" t="str">
        <f aca="false">IF(AG120=0,"",IF(AP120="FT",IF(BF120&lt;FT_First,0,IF(BF120&lt;FT_Y5,1+INT((BF120-FT_First)/FT_Int1),FT_PreY5+FT_PerYear*INT((BF120-FT_Y5)/12)+FT_AnnivDays+INT(MOD(BF120-FT_Y5,12)/FT_Int2))),IF(AP120="PT",IF(BF120&lt;PT_First,0,1+INT((BF120-PT_First)/PT_Int)),0))+IF(AND(AI120&gt;=2,AK120&lt;=EOMONTH(AsOfDate,-1)),IF(AQ120="FT",IF(BG120&lt;FT_First,0,IF(BG120&lt;FT_Y5,1+INT((BG120-FT_First)/FT_Int1),FT_PreY5+FT_PerYear*INT((BG120-FT_Y5)/12)+FT_AnnivDays+INT(MOD(BG120-FT_Y5,12)/FT_Int2))),IF(AQ120="PT",IF(BG120&lt;PT_First,0,1+INT((BG120-PT_First)/PT_Int)),0))-IF(AQ120="FT",IF(BF120&lt;FT_First,0,IF(BF120&lt;FT_Y5,1+INT((BF120-FT_First)/FT_Int1),FT_PreY5+FT_PerYear*INT((BF120-FT_Y5)/12)+FT_AnnivDays+INT(MOD(BF120-FT_Y5,12)/FT_Int2))),IF(AQ120="PT",IF(BF120&lt;PT_First,0,1+INT((BF120-PT_First)/PT_Int)),0)),0)+IF(AND(AI120&gt;=3,AL120&lt;=EOMONTH(AsOfDate,-1)),IF(AR120="FT",IF(BE120&lt;FT_First,0,IF(BE120&lt;FT_Y5,1+INT((BE120-FT_First)/FT_Int1),FT_PreY5+FT_PerYear*INT((BE120-FT_Y5)/12)+FT_AnnivDays+INT(MOD(BE120-FT_Y5,12)/FT_Int2))),IF(AR120="PT",IF(BE120&lt;PT_First,0,1+INT((BE120-PT_First)/PT_Int)),0))-IF(AR120="FT",IF(BG120&lt;FT_First,0,IF(BG120&lt;FT_Y5,1+INT((BG120-FT_First)/FT_Int1),FT_PreY5+FT_PerYear*INT((BG120-FT_Y5)/12)+FT_AnnivDays+INT(MOD(BG120-FT_Y5,12)/FT_Int2))),IF(AR120="PT",IF(BG120&lt;PT_First,0,1+INT((BG120-PT_First)/PT_Int)),0)),0))</f>
        <v/>
      </c>
      <c r="BI120" s="19" t="str">
        <f aca="false">IF(AG120=0,"",IF(AS120="FT",IF(AT120&lt;FT_First,"",IF(AT120&lt;FT_Y5,FT_First+FT_Int1*INT((AT120-FT_First)/FT_Int1),FT_Y5+FT_Int2*INT((AT120-FT_Y5)/FT_Int2))),IF(AS120="PT",IF(AT120&lt;PT_First,"",PT_First+PT_Int*INT((AT120-PT_First)/PT_Int)),"")))</f>
        <v/>
      </c>
      <c r="BJ120" s="0" t="str">
        <f aca="false">IF(LEN($A120&amp;$B120)=0,"",$A120&amp;" "&amp;$B120)</f>
        <v/>
      </c>
    </row>
    <row r="121" customFormat="false" ht="15" hidden="false" customHeight="false" outlineLevel="0" collapsed="false">
      <c r="A121" s="15"/>
      <c r="B121" s="15"/>
      <c r="C121" s="15"/>
      <c r="D121" s="16"/>
      <c r="E121" s="17" t="str">
        <f aca="false">IF(OR(AG121=0,$D121=""),"",DATE(YEAR(AsOfDate)+IF(DATE(YEAR(AsOfDate),MONTH($D121),DAY($D121))&lt;=AsOfDate,1,0),MONTH($D121),DAY($D121)))</f>
        <v/>
      </c>
      <c r="F121" s="16"/>
      <c r="G121" s="16"/>
      <c r="H121" s="16"/>
      <c r="I121" s="16"/>
      <c r="J121" s="16"/>
      <c r="K121" s="17" t="str">
        <f aca="false">IF(AG121=0,"",DATE(YEAR(AsOfDate)+IF(DATE(YEAR(AsOfDate),MONTH(AH121),DAY(AH121))&lt;=AsOfDate,1,0),MONTH(AH121),DAY(AH121)))</f>
        <v/>
      </c>
      <c r="L121" s="18" t="str">
        <f aca="false">IF(AG121=0,"",ROUND((AsOfDate-AH121)/365.25,1))</f>
        <v/>
      </c>
      <c r="M121" s="19" t="str">
        <f aca="false">IF(AG121=0,"",IF(AsOfDate&lt;AH121,"-",DATEDIF(AH121,AsOfDate,"y")&amp;"y "&amp;DATEDIF(AH121,AsOfDate,"ym")&amp;"m "&amp;DATEDIF(AH121,AsOfDate,"md")&amp;"d"))</f>
        <v/>
      </c>
      <c r="N121" s="20" t="str">
        <f aca="false">IF(AG121=0,"",O121*HoursPerDay)</f>
        <v/>
      </c>
      <c r="O121" s="20" t="str">
        <f aca="false">IF(AG121=0,"",AZ121)</f>
        <v/>
      </c>
      <c r="P121" s="21"/>
      <c r="Q121" s="19"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19"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7" t="str">
        <f aca="false">IF(AG121=0,"",IF(AS121="None","",EDATE(AH121,BB121)))</f>
        <v/>
      </c>
      <c r="T121" s="20" t="str">
        <f aca="false">IF(AG121=0,"",IF(NOT(LH_Ready),"",IF(AH121&gt;PFYDate,0,IF(LH_ColPeriod=0,W121-U121+V121,SUMIFS(INDEX(LH_Data,0,LH_ColAcc),INDEX(LH_Data,0,LH_ColFirst),$A121,INDEX(LH_Data,0,LH_ColSur),$B121,INDEX(LH_Data,0,LH_ColCat),BonusCat,INDEX(LH_Data,0,LH_ColPeriod),LH_OpenLabel)*UnitFactor))))</f>
        <v/>
      </c>
      <c r="U121" s="20" t="str">
        <f aca="false">IF(AG121=0,"",IF(NOT(LH_Ready),"",SUMIFS(INDEX(LH_Data,0,LH_ColAcc),INDEX(LH_Data,0,LH_ColFirst),$A121,INDEX(LH_Data,0,LH_ColSur),$B121,INDEX(LH_Data,0,LH_ColCat),BonusCat,INDEX(LH_Data,0,LH_ColStart),"&gt;="&amp;AH121)*UnitFactor))</f>
        <v/>
      </c>
      <c r="V121" s="20" t="str">
        <f aca="false">IF(AG121=0,"",IF(NOT(LH_Ready),"",SUMIFS(INDEX(LH_Data,0,LH_ColTaken),INDEX(LH_Data,0,LH_ColFirst),$A121,INDEX(LH_Data,0,LH_ColSur),$B121,INDEX(LH_Data,0,LH_ColCat),BonusCat,INDEX(LH_Data,0,LH_ColStart),"&gt;="&amp;AH121)*UnitFactor))</f>
        <v/>
      </c>
      <c r="W121" s="20" t="str">
        <f aca="false">IF(AG121=0,"",IF(NOT(LH_Ready),"",IF(BD121=0,0,INDEX(INDEX(LH_Data,0,LH_ColClose),BD121-1)*UnitFactor)))</f>
        <v/>
      </c>
      <c r="X121" s="20" t="str">
        <f aca="false">IF(AG121=0,"",(AZ121-BA121)*HoursPerDay)</f>
        <v/>
      </c>
      <c r="Y121" s="20" t="str">
        <f aca="false">IF(AG121=0,"",IF(NOT(LH_Ready),"",IF(BC121=0,N121,IF(PFYDate&lt;$F121,N121-N(T121)-N(U121),X121-N(U121)))))</f>
        <v/>
      </c>
      <c r="Z121" s="19" t="str">
        <f aca="false">IF(OR(AG121=0,Y121=""),"",IF(Y121&gt;0,"Yes","No"))</f>
        <v/>
      </c>
      <c r="AA121" s="19"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20" t="str">
        <f aca="false">IF(OR(AG121=0,T121=""),"",BA121*HoursPerDay-T121)</f>
        <v/>
      </c>
      <c r="AC121" s="19" t="str">
        <f aca="false">IF(AG121=0,"",BC121)</f>
        <v/>
      </c>
      <c r="AD121" s="19"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20" t="str">
        <f aca="false">IF(AG121=0,"",O121-BH121)</f>
        <v/>
      </c>
      <c r="AF121" s="17" t="str">
        <f aca="false">IF(OR(AG121=0,AE121="",N(AE121)=0,BI121=""),"",EDATE(AH121,BI121))</f>
        <v/>
      </c>
      <c r="AG121" s="19" t="n">
        <f aca="false">IF(OR(LEN($A121&amp;$B121)=0,$F121=""),0,1)</f>
        <v>0</v>
      </c>
      <c r="AH121" s="17" t="str">
        <f aca="false">IF(AG121=0,"",IF($J121&lt;&gt;"",$J121,IF(OR(CasualCounts="Yes",COUNT($G121:$I121)=0,COUNT($H121:$I121)=0),$F121,MIN($H121:$I121))))</f>
        <v/>
      </c>
      <c r="AI121" s="19" t="str">
        <f aca="false">IF(AG121=0,"",COUNT($G121:$I121))</f>
        <v/>
      </c>
      <c r="AJ121" s="17" t="str">
        <f aca="false">IF(AG121=0,"",IFERROR(SMALL($G121:$I121,1),""))</f>
        <v/>
      </c>
      <c r="AK121" s="17" t="str">
        <f aca="false">IF(AG121=0,"",IFERROR(SMALL($G121:$I121,2),""))</f>
        <v/>
      </c>
      <c r="AL121" s="17" t="str">
        <f aca="false">IF(AG121=0,"",IFERROR(SMALL($G121:$I121,3),""))</f>
        <v/>
      </c>
      <c r="AM121" s="19" t="str">
        <f aca="false">IF(AG121=0,"",IF(AJ121="","",IF(AJ121=$H121,"Part-Time",IF(AJ121=$I121,"Full-Time","Casual"))))</f>
        <v/>
      </c>
      <c r="AN121" s="19" t="str">
        <f aca="false">IF(AG121=0,"",IF(AK121="","",IF(AK121=$H121,"Part-Time",IF(AK121=$I121,"Full-Time","Casual"))))</f>
        <v/>
      </c>
      <c r="AO121" s="19" t="str">
        <f aca="false">IF(AG121=0,"",IF(AL121="","",IF(AL121=$H121,"Part-Time",IF(AL121=$I121,"Full-Time","Casual"))))</f>
        <v/>
      </c>
      <c r="AP121" s="19"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19" t="str">
        <f aca="false">IF(AG121=0,"",IF(AI121&lt;2,"",IF(OR(ISNUMBER(SEARCH("full",AN121)),UPPER(TRIM(AN121))="FT",UPPER(TRIM(AN121))="FTE"),"FT",IF(AND(OR(ISNUMBER(SEARCH("part",AN121)),UPPER(TRIM(AN121))="PT",UPPER(TRIM(AN121))="PTE"),OR($P121="",N($P121)&gt;=PT_MinHours)),"PT","None"))))</f>
        <v/>
      </c>
      <c r="AR121" s="19" t="str">
        <f aca="false">IF(AG121=0,"",IF(AI121&lt;3,"",IF(OR(ISNUMBER(SEARCH("full",AO121)),UPPER(TRIM(AO121))="FT",UPPER(TRIM(AO121))="FTE"),"FT",IF(AND(OR(ISNUMBER(SEARCH("part",AO121)),UPPER(TRIM(AO121))="PT",UPPER(TRIM(AO121))="PTE"),OR($P121="",N($P121)&gt;=PT_MinHours)),"PT","None"))))</f>
        <v/>
      </c>
      <c r="AS121" s="19" t="str">
        <f aca="false">IF(AG121=0,"",IF(AND(AI121&gt;=3,AL121&lt;=AsOfDate),AR121,IF(AND(AI121&gt;=2,AK121&lt;=AsOfDate),AQ121,AP121)))</f>
        <v/>
      </c>
      <c r="AT121" s="19" t="str">
        <f aca="false">IF(AG121=0,"",IF(AsOfDate&lt;AH121,-1,12*(YEAR(AsOfDate)-YEAR(AH121))+MONTH(AsOfDate)-MONTH(AH121)-IF(DAY(AsOfDate)&lt;MIN(DAY(AH121),DAY(EOMONTH(AsOfDate,0))),1,0)))</f>
        <v/>
      </c>
      <c r="AU121" s="19" t="str">
        <f aca="false">IF(AG121=0,"",IF(OR(AI121&lt;2,AK121&gt;AsOfDate),AT121,IF((AK121-1)&lt;AH121,-1,12*(YEAR((AK121-1))-YEAR(AH121))+MONTH((AK121-1))-MONTH(AH121)-IF(DAY((AK121-1))&lt;MIN(DAY(AH121),DAY(EOMONTH((AK121-1),0))),1,0))))</f>
        <v/>
      </c>
      <c r="AV121" s="19" t="str">
        <f aca="false">IF(AG121=0,"",IF(OR(AI121&lt;3,AL121&gt;AsOfDate),AT121,IF((AL121-1)&lt;AH121,-1,12*(YEAR((AL121-1))-YEAR(AH121))+MONTH((AL121-1))-MONTH(AH121)-IF(DAY((AL121-1))&lt;MIN(DAY(AH121),DAY(EOMONTH((AL121-1),0))),1,0))))</f>
        <v/>
      </c>
      <c r="AW121" s="19" t="str">
        <f aca="false">IF(AG121=0,"",IF(PFYDate&lt;AH121,-1,12*(YEAR(PFYDate)-YEAR(AH121))+MONTH(PFYDate)-MONTH(AH121)-IF(DAY(PFYDate)&lt;MIN(DAY(AH121),DAY(EOMONTH(PFYDate,0))),1,0)))</f>
        <v/>
      </c>
      <c r="AX121" s="19" t="str">
        <f aca="false">IF(AG121=0,"",IF(OR(AI121&lt;2,AK121&gt;PFYDate),AW121,IF((AK121-1)&lt;AH121,-1,12*(YEAR((AK121-1))-YEAR(AH121))+MONTH((AK121-1))-MONTH(AH121)-IF(DAY((AK121-1))&lt;MIN(DAY(AH121),DAY(EOMONTH((AK121-1),0))),1,0))))</f>
        <v/>
      </c>
      <c r="AY121" s="19" t="str">
        <f aca="false">IF(AG121=0,"",IF(OR(AI121&lt;3,AL121&gt;PFYDate),AW121,IF((AL121-1)&lt;AH121,-1,12*(YEAR((AL121-1))-YEAR(AH121))+MONTH((AL121-1))-MONTH(AH121)-IF(DAY((AL121-1))&lt;MIN(DAY(AH121),DAY(EOMONTH((AL121-1),0))),1,0))))</f>
        <v/>
      </c>
      <c r="AZ121" s="19" t="str">
        <f aca="false">IF(AG121=0,"",IF(AP121="FT",IF(AU121&lt;FT_First,0,IF(AU121&lt;FT_Y5,1+INT((AU121-FT_First)/FT_Int1),FT_PreY5+FT_PerYear*INT((AU121-FT_Y5)/12)+FT_AnnivDays+INT(MOD(AU121-FT_Y5,12)/FT_Int2))),IF(AP121="PT",IF(AU121&lt;PT_First,0,1+INT((AU121-PT_First)/PT_Int)),0))+IF(AND(AI121&gt;=2,AK121&lt;=AsOfDate),IF(AQ121="FT",IF(AV121&lt;FT_First,0,IF(AV121&lt;FT_Y5,1+INT((AV121-FT_First)/FT_Int1),FT_PreY5+FT_PerYear*INT((AV121-FT_Y5)/12)+FT_AnnivDays+INT(MOD(AV121-FT_Y5,12)/FT_Int2))),IF(AQ121="PT",IF(AV121&lt;PT_First,0,1+INT((AV121-PT_First)/PT_Int)),0))-IF(AQ121="FT",IF(AU121&lt;FT_First,0,IF(AU121&lt;FT_Y5,1+INT((AU121-FT_First)/FT_Int1),FT_PreY5+FT_PerYear*INT((AU121-FT_Y5)/12)+FT_AnnivDays+INT(MOD(AU121-FT_Y5,12)/FT_Int2))),IF(AQ121="PT",IF(AU121&lt;PT_First,0,1+INT((AU121-PT_First)/PT_Int)),0)),0)+IF(AND(AI121&gt;=3,AL121&lt;=AsOfDate),IF(AR121="FT",IF(AT121&lt;FT_First,0,IF(AT121&lt;FT_Y5,1+INT((AT121-FT_First)/FT_Int1),FT_PreY5+FT_PerYear*INT((AT121-FT_Y5)/12)+FT_AnnivDays+INT(MOD(AT121-FT_Y5,12)/FT_Int2))),IF(AR121="PT",IF(AT121&lt;PT_First,0,1+INT((AT121-PT_First)/PT_Int)),0))-IF(AR121="FT",IF(AV121&lt;FT_First,0,IF(AV121&lt;FT_Y5,1+INT((AV121-FT_First)/FT_Int1),FT_PreY5+FT_PerYear*INT((AV121-FT_Y5)/12)+FT_AnnivDays+INT(MOD(AV121-FT_Y5,12)/FT_Int2))),IF(AR121="PT",IF(AV121&lt;PT_First,0,1+INT((AV121-PT_First)/PT_Int)),0)),0))</f>
        <v/>
      </c>
      <c r="BA121" s="19" t="str">
        <f aca="false">IF(AG121=0,"",IF(AP121="FT",IF(AX121&lt;FT_First,0,IF(AX121&lt;FT_Y5,1+INT((AX121-FT_First)/FT_Int1),FT_PreY5+FT_PerYear*INT((AX121-FT_Y5)/12)+FT_AnnivDays+INT(MOD(AX121-FT_Y5,12)/FT_Int2))),IF(AP121="PT",IF(AX121&lt;PT_First,0,1+INT((AX121-PT_First)/PT_Int)),0))+IF(AND(AI121&gt;=2,AK121&lt;=PFYDate),IF(AQ121="FT",IF(AY121&lt;FT_First,0,IF(AY121&lt;FT_Y5,1+INT((AY121-FT_First)/FT_Int1),FT_PreY5+FT_PerYear*INT((AY121-FT_Y5)/12)+FT_AnnivDays+INT(MOD(AY121-FT_Y5,12)/FT_Int2))),IF(AQ121="PT",IF(AY121&lt;PT_First,0,1+INT((AY121-PT_First)/PT_Int)),0))-IF(AQ121="FT",IF(AX121&lt;FT_First,0,IF(AX121&lt;FT_Y5,1+INT((AX121-FT_First)/FT_Int1),FT_PreY5+FT_PerYear*INT((AX121-FT_Y5)/12)+FT_AnnivDays+INT(MOD(AX121-FT_Y5,12)/FT_Int2))),IF(AQ121="PT",IF(AX121&lt;PT_First,0,1+INT((AX121-PT_First)/PT_Int)),0)),0)+IF(AND(AI121&gt;=3,AL121&lt;=PFYDate),IF(AR121="FT",IF(AW121&lt;FT_First,0,IF(AW121&lt;FT_Y5,1+INT((AW121-FT_First)/FT_Int1),FT_PreY5+FT_PerYear*INT((AW121-FT_Y5)/12)+FT_AnnivDays+INT(MOD(AW121-FT_Y5,12)/FT_Int2))),IF(AR121="PT",IF(AW121&lt;PT_First,0,1+INT((AW121-PT_First)/PT_Int)),0))-IF(AR121="FT",IF(AY121&lt;FT_First,0,IF(AY121&lt;FT_Y5,1+INT((AY121-FT_First)/FT_Int1),FT_PreY5+FT_PerYear*INT((AY121-FT_Y5)/12)+FT_AnnivDays+INT(MOD(AY121-FT_Y5,12)/FT_Int2))),IF(AR121="PT",IF(AY121&lt;PT_First,0,1+INT((AY121-PT_First)/PT_Int)),0)),0))</f>
        <v/>
      </c>
      <c r="BB121" s="19" t="str">
        <f aca="false">IF(AG121=0,"",IF(AS121="FT",IF(AT121&lt;FT_First,FT_First,IF(AT121&lt;FT_Y5,MIN(FT_Y5,FT_First+FT_Int1*(INT((AT121-FT_First)/FT_Int1)+1)),FT_Y5+12*INT((AT121-FT_Y5)/12)+FT_Int2*(INT(MOD(AT121-FT_Y5,12)/FT_Int2)+1))),IF(AS121="PT",IF(AT121&lt;PT_First,PT_First,PT_First+PT_Int*(INT((AT121-PT_First)/PT_Int)+1)),"")))</f>
        <v/>
      </c>
      <c r="BC121" s="19" t="str">
        <f aca="false">IF(AG121=0,"",IF(NOT(LH_Ready),0,COUNTIFS(INDEX(LH_Data,0,LH_ColFirst),$A121,INDEX(LH_Data,0,LH_ColSur),$B121,INDEX(LH_Data,0,LH_ColCat),BonusCat)))</f>
        <v/>
      </c>
      <c r="BD121" s="19" t="str">
        <f aca="false">IF(AG121=0,"",IF(OR(NOT(LH_Ready),BC121=0),0,SUMPRODUCT(MAX((INDEX(LH_Data,0,LH_ColFirst)=$A121)*(INDEX(LH_Data,0,LH_ColSur)=$B121)*(INDEX(LH_Data,0,LH_ColCat)=BonusCat)*ROW(LH_Data)))))</f>
        <v/>
      </c>
      <c r="BE121" s="19" t="str">
        <f aca="false">IF(AG121=0,"",IF(EOMONTH(AsOfDate,-1)&lt;AH121,-1,12*(YEAR(EOMONTH(AsOfDate,-1))-YEAR(AH121))+MONTH(EOMONTH(AsOfDate,-1))-MONTH(AH121)-IF(DAY(EOMONTH(AsOfDate,-1))&lt;MIN(DAY(AH121),DAY(EOMONTH(EOMONTH(AsOfDate,-1),0))),1,0)))</f>
        <v/>
      </c>
      <c r="BF121" s="19" t="str">
        <f aca="false">IF(AG121=0,"",IF(OR(AI121&lt;2,AK121&gt;EOMONTH(AsOfDate,-1)),BE121,IF((AK121-1)&lt;AH121,-1,12*(YEAR((AK121-1))-YEAR(AH121))+MONTH((AK121-1))-MONTH(AH121)-IF(DAY((AK121-1))&lt;MIN(DAY(AH121),DAY(EOMONTH((AK121-1),0))),1,0))))</f>
        <v/>
      </c>
      <c r="BG121" s="19" t="str">
        <f aca="false">IF(AG121=0,"",IF(OR(AI121&lt;3,AL121&gt;EOMONTH(AsOfDate,-1)),BE121,IF((AL121-1)&lt;AH121,-1,12*(YEAR((AL121-1))-YEAR(AH121))+MONTH((AL121-1))-MONTH(AH121)-IF(DAY((AL121-1))&lt;MIN(DAY(AH121),DAY(EOMONTH((AL121-1),0))),1,0))))</f>
        <v/>
      </c>
      <c r="BH121" s="19" t="str">
        <f aca="false">IF(AG121=0,"",IF(AP121="FT",IF(BF121&lt;FT_First,0,IF(BF121&lt;FT_Y5,1+INT((BF121-FT_First)/FT_Int1),FT_PreY5+FT_PerYear*INT((BF121-FT_Y5)/12)+FT_AnnivDays+INT(MOD(BF121-FT_Y5,12)/FT_Int2))),IF(AP121="PT",IF(BF121&lt;PT_First,0,1+INT((BF121-PT_First)/PT_Int)),0))+IF(AND(AI121&gt;=2,AK121&lt;=EOMONTH(AsOfDate,-1)),IF(AQ121="FT",IF(BG121&lt;FT_First,0,IF(BG121&lt;FT_Y5,1+INT((BG121-FT_First)/FT_Int1),FT_PreY5+FT_PerYear*INT((BG121-FT_Y5)/12)+FT_AnnivDays+INT(MOD(BG121-FT_Y5,12)/FT_Int2))),IF(AQ121="PT",IF(BG121&lt;PT_First,0,1+INT((BG121-PT_First)/PT_Int)),0))-IF(AQ121="FT",IF(BF121&lt;FT_First,0,IF(BF121&lt;FT_Y5,1+INT((BF121-FT_First)/FT_Int1),FT_PreY5+FT_PerYear*INT((BF121-FT_Y5)/12)+FT_AnnivDays+INT(MOD(BF121-FT_Y5,12)/FT_Int2))),IF(AQ121="PT",IF(BF121&lt;PT_First,0,1+INT((BF121-PT_First)/PT_Int)),0)),0)+IF(AND(AI121&gt;=3,AL121&lt;=EOMONTH(AsOfDate,-1)),IF(AR121="FT",IF(BE121&lt;FT_First,0,IF(BE121&lt;FT_Y5,1+INT((BE121-FT_First)/FT_Int1),FT_PreY5+FT_PerYear*INT((BE121-FT_Y5)/12)+FT_AnnivDays+INT(MOD(BE121-FT_Y5,12)/FT_Int2))),IF(AR121="PT",IF(BE121&lt;PT_First,0,1+INT((BE121-PT_First)/PT_Int)),0))-IF(AR121="FT",IF(BG121&lt;FT_First,0,IF(BG121&lt;FT_Y5,1+INT((BG121-FT_First)/FT_Int1),FT_PreY5+FT_PerYear*INT((BG121-FT_Y5)/12)+FT_AnnivDays+INT(MOD(BG121-FT_Y5,12)/FT_Int2))),IF(AR121="PT",IF(BG121&lt;PT_First,0,1+INT((BG121-PT_First)/PT_Int)),0)),0))</f>
        <v/>
      </c>
      <c r="BI121" s="19" t="str">
        <f aca="false">IF(AG121=0,"",IF(AS121="FT",IF(AT121&lt;FT_First,"",IF(AT121&lt;FT_Y5,FT_First+FT_Int1*INT((AT121-FT_First)/FT_Int1),FT_Y5+FT_Int2*INT((AT121-FT_Y5)/FT_Int2))),IF(AS121="PT",IF(AT121&lt;PT_First,"",PT_First+PT_Int*INT((AT121-PT_First)/PT_Int)),"")))</f>
        <v/>
      </c>
      <c r="BJ121" s="0" t="str">
        <f aca="false">IF(LEN($A121&amp;$B121)=0,"",$A121&amp;" "&amp;$B121)</f>
        <v/>
      </c>
    </row>
    <row r="122" customFormat="false" ht="15" hidden="false" customHeight="false" outlineLevel="0" collapsed="false">
      <c r="A122" s="15"/>
      <c r="B122" s="15"/>
      <c r="C122" s="15"/>
      <c r="D122" s="16"/>
      <c r="E122" s="17" t="str">
        <f aca="false">IF(OR(AG122=0,$D122=""),"",DATE(YEAR(AsOfDate)+IF(DATE(YEAR(AsOfDate),MONTH($D122),DAY($D122))&lt;=AsOfDate,1,0),MONTH($D122),DAY($D122)))</f>
        <v/>
      </c>
      <c r="F122" s="16"/>
      <c r="G122" s="16"/>
      <c r="H122" s="16"/>
      <c r="I122" s="16"/>
      <c r="J122" s="16"/>
      <c r="K122" s="17" t="str">
        <f aca="false">IF(AG122=0,"",DATE(YEAR(AsOfDate)+IF(DATE(YEAR(AsOfDate),MONTH(AH122),DAY(AH122))&lt;=AsOfDate,1,0),MONTH(AH122),DAY(AH122)))</f>
        <v/>
      </c>
      <c r="L122" s="18" t="str">
        <f aca="false">IF(AG122=0,"",ROUND((AsOfDate-AH122)/365.25,1))</f>
        <v/>
      </c>
      <c r="M122" s="19" t="str">
        <f aca="false">IF(AG122=0,"",IF(AsOfDate&lt;AH122,"-",DATEDIF(AH122,AsOfDate,"y")&amp;"y "&amp;DATEDIF(AH122,AsOfDate,"ym")&amp;"m "&amp;DATEDIF(AH122,AsOfDate,"md")&amp;"d"))</f>
        <v/>
      </c>
      <c r="N122" s="20" t="str">
        <f aca="false">IF(AG122=0,"",O122*HoursPerDay)</f>
        <v/>
      </c>
      <c r="O122" s="20" t="str">
        <f aca="false">IF(AG122=0,"",AZ122)</f>
        <v/>
      </c>
      <c r="P122" s="21"/>
      <c r="Q122" s="19"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19"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7" t="str">
        <f aca="false">IF(AG122=0,"",IF(AS122="None","",EDATE(AH122,BB122)))</f>
        <v/>
      </c>
      <c r="T122" s="20" t="str">
        <f aca="false">IF(AG122=0,"",IF(NOT(LH_Ready),"",IF(AH122&gt;PFYDate,0,IF(LH_ColPeriod=0,W122-U122+V122,SUMIFS(INDEX(LH_Data,0,LH_ColAcc),INDEX(LH_Data,0,LH_ColFirst),$A122,INDEX(LH_Data,0,LH_ColSur),$B122,INDEX(LH_Data,0,LH_ColCat),BonusCat,INDEX(LH_Data,0,LH_ColPeriod),LH_OpenLabel)*UnitFactor))))</f>
        <v/>
      </c>
      <c r="U122" s="20" t="str">
        <f aca="false">IF(AG122=0,"",IF(NOT(LH_Ready),"",SUMIFS(INDEX(LH_Data,0,LH_ColAcc),INDEX(LH_Data,0,LH_ColFirst),$A122,INDEX(LH_Data,0,LH_ColSur),$B122,INDEX(LH_Data,0,LH_ColCat),BonusCat,INDEX(LH_Data,0,LH_ColStart),"&gt;="&amp;AH122)*UnitFactor))</f>
        <v/>
      </c>
      <c r="V122" s="20" t="str">
        <f aca="false">IF(AG122=0,"",IF(NOT(LH_Ready),"",SUMIFS(INDEX(LH_Data,0,LH_ColTaken),INDEX(LH_Data,0,LH_ColFirst),$A122,INDEX(LH_Data,0,LH_ColSur),$B122,INDEX(LH_Data,0,LH_ColCat),BonusCat,INDEX(LH_Data,0,LH_ColStart),"&gt;="&amp;AH122)*UnitFactor))</f>
        <v/>
      </c>
      <c r="W122" s="20" t="str">
        <f aca="false">IF(AG122=0,"",IF(NOT(LH_Ready),"",IF(BD122=0,0,INDEX(INDEX(LH_Data,0,LH_ColClose),BD122-1)*UnitFactor)))</f>
        <v/>
      </c>
      <c r="X122" s="20" t="str">
        <f aca="false">IF(AG122=0,"",(AZ122-BA122)*HoursPerDay)</f>
        <v/>
      </c>
      <c r="Y122" s="20" t="str">
        <f aca="false">IF(AG122=0,"",IF(NOT(LH_Ready),"",IF(BC122=0,N122,IF(PFYDate&lt;$F122,N122-N(T122)-N(U122),X122-N(U122)))))</f>
        <v/>
      </c>
      <c r="Z122" s="19" t="str">
        <f aca="false">IF(OR(AG122=0,Y122=""),"",IF(Y122&gt;0,"Yes","No"))</f>
        <v/>
      </c>
      <c r="AA122" s="19"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20" t="str">
        <f aca="false">IF(OR(AG122=0,T122=""),"",BA122*HoursPerDay-T122)</f>
        <v/>
      </c>
      <c r="AC122" s="19" t="str">
        <f aca="false">IF(AG122=0,"",BC122)</f>
        <v/>
      </c>
      <c r="AD122" s="19"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20" t="str">
        <f aca="false">IF(AG122=0,"",O122-BH122)</f>
        <v/>
      </c>
      <c r="AF122" s="17" t="str">
        <f aca="false">IF(OR(AG122=0,AE122="",N(AE122)=0,BI122=""),"",EDATE(AH122,BI122))</f>
        <v/>
      </c>
      <c r="AG122" s="19" t="n">
        <f aca="false">IF(OR(LEN($A122&amp;$B122)=0,$F122=""),0,1)</f>
        <v>0</v>
      </c>
      <c r="AH122" s="17" t="str">
        <f aca="false">IF(AG122=0,"",IF($J122&lt;&gt;"",$J122,IF(OR(CasualCounts="Yes",COUNT($G122:$I122)=0,COUNT($H122:$I122)=0),$F122,MIN($H122:$I122))))</f>
        <v/>
      </c>
      <c r="AI122" s="19" t="str">
        <f aca="false">IF(AG122=0,"",COUNT($G122:$I122))</f>
        <v/>
      </c>
      <c r="AJ122" s="17" t="str">
        <f aca="false">IF(AG122=0,"",IFERROR(SMALL($G122:$I122,1),""))</f>
        <v/>
      </c>
      <c r="AK122" s="17" t="str">
        <f aca="false">IF(AG122=0,"",IFERROR(SMALL($G122:$I122,2),""))</f>
        <v/>
      </c>
      <c r="AL122" s="17" t="str">
        <f aca="false">IF(AG122=0,"",IFERROR(SMALL($G122:$I122,3),""))</f>
        <v/>
      </c>
      <c r="AM122" s="19" t="str">
        <f aca="false">IF(AG122=0,"",IF(AJ122="","",IF(AJ122=$H122,"Part-Time",IF(AJ122=$I122,"Full-Time","Casual"))))</f>
        <v/>
      </c>
      <c r="AN122" s="19" t="str">
        <f aca="false">IF(AG122=0,"",IF(AK122="","",IF(AK122=$H122,"Part-Time",IF(AK122=$I122,"Full-Time","Casual"))))</f>
        <v/>
      </c>
      <c r="AO122" s="19" t="str">
        <f aca="false">IF(AG122=0,"",IF(AL122="","",IF(AL122=$H122,"Part-Time",IF(AL122=$I122,"Full-Time","Casual"))))</f>
        <v/>
      </c>
      <c r="AP122" s="19"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19" t="str">
        <f aca="false">IF(AG122=0,"",IF(AI122&lt;2,"",IF(OR(ISNUMBER(SEARCH("full",AN122)),UPPER(TRIM(AN122))="FT",UPPER(TRIM(AN122))="FTE"),"FT",IF(AND(OR(ISNUMBER(SEARCH("part",AN122)),UPPER(TRIM(AN122))="PT",UPPER(TRIM(AN122))="PTE"),OR($P122="",N($P122)&gt;=PT_MinHours)),"PT","None"))))</f>
        <v/>
      </c>
      <c r="AR122" s="19" t="str">
        <f aca="false">IF(AG122=0,"",IF(AI122&lt;3,"",IF(OR(ISNUMBER(SEARCH("full",AO122)),UPPER(TRIM(AO122))="FT",UPPER(TRIM(AO122))="FTE"),"FT",IF(AND(OR(ISNUMBER(SEARCH("part",AO122)),UPPER(TRIM(AO122))="PT",UPPER(TRIM(AO122))="PTE"),OR($P122="",N($P122)&gt;=PT_MinHours)),"PT","None"))))</f>
        <v/>
      </c>
      <c r="AS122" s="19" t="str">
        <f aca="false">IF(AG122=0,"",IF(AND(AI122&gt;=3,AL122&lt;=AsOfDate),AR122,IF(AND(AI122&gt;=2,AK122&lt;=AsOfDate),AQ122,AP122)))</f>
        <v/>
      </c>
      <c r="AT122" s="19" t="str">
        <f aca="false">IF(AG122=0,"",IF(AsOfDate&lt;AH122,-1,12*(YEAR(AsOfDate)-YEAR(AH122))+MONTH(AsOfDate)-MONTH(AH122)-IF(DAY(AsOfDate)&lt;MIN(DAY(AH122),DAY(EOMONTH(AsOfDate,0))),1,0)))</f>
        <v/>
      </c>
      <c r="AU122" s="19" t="str">
        <f aca="false">IF(AG122=0,"",IF(OR(AI122&lt;2,AK122&gt;AsOfDate),AT122,IF((AK122-1)&lt;AH122,-1,12*(YEAR((AK122-1))-YEAR(AH122))+MONTH((AK122-1))-MONTH(AH122)-IF(DAY((AK122-1))&lt;MIN(DAY(AH122),DAY(EOMONTH((AK122-1),0))),1,0))))</f>
        <v/>
      </c>
      <c r="AV122" s="19" t="str">
        <f aca="false">IF(AG122=0,"",IF(OR(AI122&lt;3,AL122&gt;AsOfDate),AT122,IF((AL122-1)&lt;AH122,-1,12*(YEAR((AL122-1))-YEAR(AH122))+MONTH((AL122-1))-MONTH(AH122)-IF(DAY((AL122-1))&lt;MIN(DAY(AH122),DAY(EOMONTH((AL122-1),0))),1,0))))</f>
        <v/>
      </c>
      <c r="AW122" s="19" t="str">
        <f aca="false">IF(AG122=0,"",IF(PFYDate&lt;AH122,-1,12*(YEAR(PFYDate)-YEAR(AH122))+MONTH(PFYDate)-MONTH(AH122)-IF(DAY(PFYDate)&lt;MIN(DAY(AH122),DAY(EOMONTH(PFYDate,0))),1,0)))</f>
        <v/>
      </c>
      <c r="AX122" s="19" t="str">
        <f aca="false">IF(AG122=0,"",IF(OR(AI122&lt;2,AK122&gt;PFYDate),AW122,IF((AK122-1)&lt;AH122,-1,12*(YEAR((AK122-1))-YEAR(AH122))+MONTH((AK122-1))-MONTH(AH122)-IF(DAY((AK122-1))&lt;MIN(DAY(AH122),DAY(EOMONTH((AK122-1),0))),1,0))))</f>
        <v/>
      </c>
      <c r="AY122" s="19" t="str">
        <f aca="false">IF(AG122=0,"",IF(OR(AI122&lt;3,AL122&gt;PFYDate),AW122,IF((AL122-1)&lt;AH122,-1,12*(YEAR((AL122-1))-YEAR(AH122))+MONTH((AL122-1))-MONTH(AH122)-IF(DAY((AL122-1))&lt;MIN(DAY(AH122),DAY(EOMONTH((AL122-1),0))),1,0))))</f>
        <v/>
      </c>
      <c r="AZ122" s="19" t="str">
        <f aca="false">IF(AG122=0,"",IF(AP122="FT",IF(AU122&lt;FT_First,0,IF(AU122&lt;FT_Y5,1+INT((AU122-FT_First)/FT_Int1),FT_PreY5+FT_PerYear*INT((AU122-FT_Y5)/12)+FT_AnnivDays+INT(MOD(AU122-FT_Y5,12)/FT_Int2))),IF(AP122="PT",IF(AU122&lt;PT_First,0,1+INT((AU122-PT_First)/PT_Int)),0))+IF(AND(AI122&gt;=2,AK122&lt;=AsOfDate),IF(AQ122="FT",IF(AV122&lt;FT_First,0,IF(AV122&lt;FT_Y5,1+INT((AV122-FT_First)/FT_Int1),FT_PreY5+FT_PerYear*INT((AV122-FT_Y5)/12)+FT_AnnivDays+INT(MOD(AV122-FT_Y5,12)/FT_Int2))),IF(AQ122="PT",IF(AV122&lt;PT_First,0,1+INT((AV122-PT_First)/PT_Int)),0))-IF(AQ122="FT",IF(AU122&lt;FT_First,0,IF(AU122&lt;FT_Y5,1+INT((AU122-FT_First)/FT_Int1),FT_PreY5+FT_PerYear*INT((AU122-FT_Y5)/12)+FT_AnnivDays+INT(MOD(AU122-FT_Y5,12)/FT_Int2))),IF(AQ122="PT",IF(AU122&lt;PT_First,0,1+INT((AU122-PT_First)/PT_Int)),0)),0)+IF(AND(AI122&gt;=3,AL122&lt;=AsOfDate),IF(AR122="FT",IF(AT122&lt;FT_First,0,IF(AT122&lt;FT_Y5,1+INT((AT122-FT_First)/FT_Int1),FT_PreY5+FT_PerYear*INT((AT122-FT_Y5)/12)+FT_AnnivDays+INT(MOD(AT122-FT_Y5,12)/FT_Int2))),IF(AR122="PT",IF(AT122&lt;PT_First,0,1+INT((AT122-PT_First)/PT_Int)),0))-IF(AR122="FT",IF(AV122&lt;FT_First,0,IF(AV122&lt;FT_Y5,1+INT((AV122-FT_First)/FT_Int1),FT_PreY5+FT_PerYear*INT((AV122-FT_Y5)/12)+FT_AnnivDays+INT(MOD(AV122-FT_Y5,12)/FT_Int2))),IF(AR122="PT",IF(AV122&lt;PT_First,0,1+INT((AV122-PT_First)/PT_Int)),0)),0))</f>
        <v/>
      </c>
      <c r="BA122" s="19" t="str">
        <f aca="false">IF(AG122=0,"",IF(AP122="FT",IF(AX122&lt;FT_First,0,IF(AX122&lt;FT_Y5,1+INT((AX122-FT_First)/FT_Int1),FT_PreY5+FT_PerYear*INT((AX122-FT_Y5)/12)+FT_AnnivDays+INT(MOD(AX122-FT_Y5,12)/FT_Int2))),IF(AP122="PT",IF(AX122&lt;PT_First,0,1+INT((AX122-PT_First)/PT_Int)),0))+IF(AND(AI122&gt;=2,AK122&lt;=PFYDate),IF(AQ122="FT",IF(AY122&lt;FT_First,0,IF(AY122&lt;FT_Y5,1+INT((AY122-FT_First)/FT_Int1),FT_PreY5+FT_PerYear*INT((AY122-FT_Y5)/12)+FT_AnnivDays+INT(MOD(AY122-FT_Y5,12)/FT_Int2))),IF(AQ122="PT",IF(AY122&lt;PT_First,0,1+INT((AY122-PT_First)/PT_Int)),0))-IF(AQ122="FT",IF(AX122&lt;FT_First,0,IF(AX122&lt;FT_Y5,1+INT((AX122-FT_First)/FT_Int1),FT_PreY5+FT_PerYear*INT((AX122-FT_Y5)/12)+FT_AnnivDays+INT(MOD(AX122-FT_Y5,12)/FT_Int2))),IF(AQ122="PT",IF(AX122&lt;PT_First,0,1+INT((AX122-PT_First)/PT_Int)),0)),0)+IF(AND(AI122&gt;=3,AL122&lt;=PFYDate),IF(AR122="FT",IF(AW122&lt;FT_First,0,IF(AW122&lt;FT_Y5,1+INT((AW122-FT_First)/FT_Int1),FT_PreY5+FT_PerYear*INT((AW122-FT_Y5)/12)+FT_AnnivDays+INT(MOD(AW122-FT_Y5,12)/FT_Int2))),IF(AR122="PT",IF(AW122&lt;PT_First,0,1+INT((AW122-PT_First)/PT_Int)),0))-IF(AR122="FT",IF(AY122&lt;FT_First,0,IF(AY122&lt;FT_Y5,1+INT((AY122-FT_First)/FT_Int1),FT_PreY5+FT_PerYear*INT((AY122-FT_Y5)/12)+FT_AnnivDays+INT(MOD(AY122-FT_Y5,12)/FT_Int2))),IF(AR122="PT",IF(AY122&lt;PT_First,0,1+INT((AY122-PT_First)/PT_Int)),0)),0))</f>
        <v/>
      </c>
      <c r="BB122" s="19" t="str">
        <f aca="false">IF(AG122=0,"",IF(AS122="FT",IF(AT122&lt;FT_First,FT_First,IF(AT122&lt;FT_Y5,MIN(FT_Y5,FT_First+FT_Int1*(INT((AT122-FT_First)/FT_Int1)+1)),FT_Y5+12*INT((AT122-FT_Y5)/12)+FT_Int2*(INT(MOD(AT122-FT_Y5,12)/FT_Int2)+1))),IF(AS122="PT",IF(AT122&lt;PT_First,PT_First,PT_First+PT_Int*(INT((AT122-PT_First)/PT_Int)+1)),"")))</f>
        <v/>
      </c>
      <c r="BC122" s="19" t="str">
        <f aca="false">IF(AG122=0,"",IF(NOT(LH_Ready),0,COUNTIFS(INDEX(LH_Data,0,LH_ColFirst),$A122,INDEX(LH_Data,0,LH_ColSur),$B122,INDEX(LH_Data,0,LH_ColCat),BonusCat)))</f>
        <v/>
      </c>
      <c r="BD122" s="19" t="str">
        <f aca="false">IF(AG122=0,"",IF(OR(NOT(LH_Ready),BC122=0),0,SUMPRODUCT(MAX((INDEX(LH_Data,0,LH_ColFirst)=$A122)*(INDEX(LH_Data,0,LH_ColSur)=$B122)*(INDEX(LH_Data,0,LH_ColCat)=BonusCat)*ROW(LH_Data)))))</f>
        <v/>
      </c>
      <c r="BE122" s="19" t="str">
        <f aca="false">IF(AG122=0,"",IF(EOMONTH(AsOfDate,-1)&lt;AH122,-1,12*(YEAR(EOMONTH(AsOfDate,-1))-YEAR(AH122))+MONTH(EOMONTH(AsOfDate,-1))-MONTH(AH122)-IF(DAY(EOMONTH(AsOfDate,-1))&lt;MIN(DAY(AH122),DAY(EOMONTH(EOMONTH(AsOfDate,-1),0))),1,0)))</f>
        <v/>
      </c>
      <c r="BF122" s="19" t="str">
        <f aca="false">IF(AG122=0,"",IF(OR(AI122&lt;2,AK122&gt;EOMONTH(AsOfDate,-1)),BE122,IF((AK122-1)&lt;AH122,-1,12*(YEAR((AK122-1))-YEAR(AH122))+MONTH((AK122-1))-MONTH(AH122)-IF(DAY((AK122-1))&lt;MIN(DAY(AH122),DAY(EOMONTH((AK122-1),0))),1,0))))</f>
        <v/>
      </c>
      <c r="BG122" s="19" t="str">
        <f aca="false">IF(AG122=0,"",IF(OR(AI122&lt;3,AL122&gt;EOMONTH(AsOfDate,-1)),BE122,IF((AL122-1)&lt;AH122,-1,12*(YEAR((AL122-1))-YEAR(AH122))+MONTH((AL122-1))-MONTH(AH122)-IF(DAY((AL122-1))&lt;MIN(DAY(AH122),DAY(EOMONTH((AL122-1),0))),1,0))))</f>
        <v/>
      </c>
      <c r="BH122" s="19" t="str">
        <f aca="false">IF(AG122=0,"",IF(AP122="FT",IF(BF122&lt;FT_First,0,IF(BF122&lt;FT_Y5,1+INT((BF122-FT_First)/FT_Int1),FT_PreY5+FT_PerYear*INT((BF122-FT_Y5)/12)+FT_AnnivDays+INT(MOD(BF122-FT_Y5,12)/FT_Int2))),IF(AP122="PT",IF(BF122&lt;PT_First,0,1+INT((BF122-PT_First)/PT_Int)),0))+IF(AND(AI122&gt;=2,AK122&lt;=EOMONTH(AsOfDate,-1)),IF(AQ122="FT",IF(BG122&lt;FT_First,0,IF(BG122&lt;FT_Y5,1+INT((BG122-FT_First)/FT_Int1),FT_PreY5+FT_PerYear*INT((BG122-FT_Y5)/12)+FT_AnnivDays+INT(MOD(BG122-FT_Y5,12)/FT_Int2))),IF(AQ122="PT",IF(BG122&lt;PT_First,0,1+INT((BG122-PT_First)/PT_Int)),0))-IF(AQ122="FT",IF(BF122&lt;FT_First,0,IF(BF122&lt;FT_Y5,1+INT((BF122-FT_First)/FT_Int1),FT_PreY5+FT_PerYear*INT((BF122-FT_Y5)/12)+FT_AnnivDays+INT(MOD(BF122-FT_Y5,12)/FT_Int2))),IF(AQ122="PT",IF(BF122&lt;PT_First,0,1+INT((BF122-PT_First)/PT_Int)),0)),0)+IF(AND(AI122&gt;=3,AL122&lt;=EOMONTH(AsOfDate,-1)),IF(AR122="FT",IF(BE122&lt;FT_First,0,IF(BE122&lt;FT_Y5,1+INT((BE122-FT_First)/FT_Int1),FT_PreY5+FT_PerYear*INT((BE122-FT_Y5)/12)+FT_AnnivDays+INT(MOD(BE122-FT_Y5,12)/FT_Int2))),IF(AR122="PT",IF(BE122&lt;PT_First,0,1+INT((BE122-PT_First)/PT_Int)),0))-IF(AR122="FT",IF(BG122&lt;FT_First,0,IF(BG122&lt;FT_Y5,1+INT((BG122-FT_First)/FT_Int1),FT_PreY5+FT_PerYear*INT((BG122-FT_Y5)/12)+FT_AnnivDays+INT(MOD(BG122-FT_Y5,12)/FT_Int2))),IF(AR122="PT",IF(BG122&lt;PT_First,0,1+INT((BG122-PT_First)/PT_Int)),0)),0))</f>
        <v/>
      </c>
      <c r="BI122" s="19" t="str">
        <f aca="false">IF(AG122=0,"",IF(AS122="FT",IF(AT122&lt;FT_First,"",IF(AT122&lt;FT_Y5,FT_First+FT_Int1*INT((AT122-FT_First)/FT_Int1),FT_Y5+FT_Int2*INT((AT122-FT_Y5)/FT_Int2))),IF(AS122="PT",IF(AT122&lt;PT_First,"",PT_First+PT_Int*INT((AT122-PT_First)/PT_Int)),"")))</f>
        <v/>
      </c>
      <c r="BJ122" s="0" t="str">
        <f aca="false">IF(LEN($A122&amp;$B122)=0,"",$A122&amp;" "&amp;$B122)</f>
        <v/>
      </c>
    </row>
    <row r="123" customFormat="false" ht="15" hidden="false" customHeight="false" outlineLevel="0" collapsed="false">
      <c r="A123" s="15"/>
      <c r="B123" s="15"/>
      <c r="C123" s="15"/>
      <c r="D123" s="16"/>
      <c r="E123" s="17" t="str">
        <f aca="false">IF(OR(AG123=0,$D123=""),"",DATE(YEAR(AsOfDate)+IF(DATE(YEAR(AsOfDate),MONTH($D123),DAY($D123))&lt;=AsOfDate,1,0),MONTH($D123),DAY($D123)))</f>
        <v/>
      </c>
      <c r="F123" s="16"/>
      <c r="G123" s="16"/>
      <c r="H123" s="16"/>
      <c r="I123" s="16"/>
      <c r="J123" s="16"/>
      <c r="K123" s="17" t="str">
        <f aca="false">IF(AG123=0,"",DATE(YEAR(AsOfDate)+IF(DATE(YEAR(AsOfDate),MONTH(AH123),DAY(AH123))&lt;=AsOfDate,1,0),MONTH(AH123),DAY(AH123)))</f>
        <v/>
      </c>
      <c r="L123" s="18" t="str">
        <f aca="false">IF(AG123=0,"",ROUND((AsOfDate-AH123)/365.25,1))</f>
        <v/>
      </c>
      <c r="M123" s="19" t="str">
        <f aca="false">IF(AG123=0,"",IF(AsOfDate&lt;AH123,"-",DATEDIF(AH123,AsOfDate,"y")&amp;"y "&amp;DATEDIF(AH123,AsOfDate,"ym")&amp;"m "&amp;DATEDIF(AH123,AsOfDate,"md")&amp;"d"))</f>
        <v/>
      </c>
      <c r="N123" s="20" t="str">
        <f aca="false">IF(AG123=0,"",O123*HoursPerDay)</f>
        <v/>
      </c>
      <c r="O123" s="20" t="str">
        <f aca="false">IF(AG123=0,"",AZ123)</f>
        <v/>
      </c>
      <c r="P123" s="21"/>
      <c r="Q123" s="19"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19"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7" t="str">
        <f aca="false">IF(AG123=0,"",IF(AS123="None","",EDATE(AH123,BB123)))</f>
        <v/>
      </c>
      <c r="T123" s="20" t="str">
        <f aca="false">IF(AG123=0,"",IF(NOT(LH_Ready),"",IF(AH123&gt;PFYDate,0,IF(LH_ColPeriod=0,W123-U123+V123,SUMIFS(INDEX(LH_Data,0,LH_ColAcc),INDEX(LH_Data,0,LH_ColFirst),$A123,INDEX(LH_Data,0,LH_ColSur),$B123,INDEX(LH_Data,0,LH_ColCat),BonusCat,INDEX(LH_Data,0,LH_ColPeriod),LH_OpenLabel)*UnitFactor))))</f>
        <v/>
      </c>
      <c r="U123" s="20" t="str">
        <f aca="false">IF(AG123=0,"",IF(NOT(LH_Ready),"",SUMIFS(INDEX(LH_Data,0,LH_ColAcc),INDEX(LH_Data,0,LH_ColFirst),$A123,INDEX(LH_Data,0,LH_ColSur),$B123,INDEX(LH_Data,0,LH_ColCat),BonusCat,INDEX(LH_Data,0,LH_ColStart),"&gt;="&amp;AH123)*UnitFactor))</f>
        <v/>
      </c>
      <c r="V123" s="20" t="str">
        <f aca="false">IF(AG123=0,"",IF(NOT(LH_Ready),"",SUMIFS(INDEX(LH_Data,0,LH_ColTaken),INDEX(LH_Data,0,LH_ColFirst),$A123,INDEX(LH_Data,0,LH_ColSur),$B123,INDEX(LH_Data,0,LH_ColCat),BonusCat,INDEX(LH_Data,0,LH_ColStart),"&gt;="&amp;AH123)*UnitFactor))</f>
        <v/>
      </c>
      <c r="W123" s="20" t="str">
        <f aca="false">IF(AG123=0,"",IF(NOT(LH_Ready),"",IF(BD123=0,0,INDEX(INDEX(LH_Data,0,LH_ColClose),BD123-1)*UnitFactor)))</f>
        <v/>
      </c>
      <c r="X123" s="20" t="str">
        <f aca="false">IF(AG123=0,"",(AZ123-BA123)*HoursPerDay)</f>
        <v/>
      </c>
      <c r="Y123" s="20" t="str">
        <f aca="false">IF(AG123=0,"",IF(NOT(LH_Ready),"",IF(BC123=0,N123,IF(PFYDate&lt;$F123,N123-N(T123)-N(U123),X123-N(U123)))))</f>
        <v/>
      </c>
      <c r="Z123" s="19" t="str">
        <f aca="false">IF(OR(AG123=0,Y123=""),"",IF(Y123&gt;0,"Yes","No"))</f>
        <v/>
      </c>
      <c r="AA123" s="19"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20" t="str">
        <f aca="false">IF(OR(AG123=0,T123=""),"",BA123*HoursPerDay-T123)</f>
        <v/>
      </c>
      <c r="AC123" s="19" t="str">
        <f aca="false">IF(AG123=0,"",BC123)</f>
        <v/>
      </c>
      <c r="AD123" s="19"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20" t="str">
        <f aca="false">IF(AG123=0,"",O123-BH123)</f>
        <v/>
      </c>
      <c r="AF123" s="17" t="str">
        <f aca="false">IF(OR(AG123=0,AE123="",N(AE123)=0,BI123=""),"",EDATE(AH123,BI123))</f>
        <v/>
      </c>
      <c r="AG123" s="19" t="n">
        <f aca="false">IF(OR(LEN($A123&amp;$B123)=0,$F123=""),0,1)</f>
        <v>0</v>
      </c>
      <c r="AH123" s="17" t="str">
        <f aca="false">IF(AG123=0,"",IF($J123&lt;&gt;"",$J123,IF(OR(CasualCounts="Yes",COUNT($G123:$I123)=0,COUNT($H123:$I123)=0),$F123,MIN($H123:$I123))))</f>
        <v/>
      </c>
      <c r="AI123" s="19" t="str">
        <f aca="false">IF(AG123=0,"",COUNT($G123:$I123))</f>
        <v/>
      </c>
      <c r="AJ123" s="17" t="str">
        <f aca="false">IF(AG123=0,"",IFERROR(SMALL($G123:$I123,1),""))</f>
        <v/>
      </c>
      <c r="AK123" s="17" t="str">
        <f aca="false">IF(AG123=0,"",IFERROR(SMALL($G123:$I123,2),""))</f>
        <v/>
      </c>
      <c r="AL123" s="17" t="str">
        <f aca="false">IF(AG123=0,"",IFERROR(SMALL($G123:$I123,3),""))</f>
        <v/>
      </c>
      <c r="AM123" s="19" t="str">
        <f aca="false">IF(AG123=0,"",IF(AJ123="","",IF(AJ123=$H123,"Part-Time",IF(AJ123=$I123,"Full-Time","Casual"))))</f>
        <v/>
      </c>
      <c r="AN123" s="19" t="str">
        <f aca="false">IF(AG123=0,"",IF(AK123="","",IF(AK123=$H123,"Part-Time",IF(AK123=$I123,"Full-Time","Casual"))))</f>
        <v/>
      </c>
      <c r="AO123" s="19" t="str">
        <f aca="false">IF(AG123=0,"",IF(AL123="","",IF(AL123=$H123,"Part-Time",IF(AL123=$I123,"Full-Time","Casual"))))</f>
        <v/>
      </c>
      <c r="AP123" s="19"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19" t="str">
        <f aca="false">IF(AG123=0,"",IF(AI123&lt;2,"",IF(OR(ISNUMBER(SEARCH("full",AN123)),UPPER(TRIM(AN123))="FT",UPPER(TRIM(AN123))="FTE"),"FT",IF(AND(OR(ISNUMBER(SEARCH("part",AN123)),UPPER(TRIM(AN123))="PT",UPPER(TRIM(AN123))="PTE"),OR($P123="",N($P123)&gt;=PT_MinHours)),"PT","None"))))</f>
        <v/>
      </c>
      <c r="AR123" s="19" t="str">
        <f aca="false">IF(AG123=0,"",IF(AI123&lt;3,"",IF(OR(ISNUMBER(SEARCH("full",AO123)),UPPER(TRIM(AO123))="FT",UPPER(TRIM(AO123))="FTE"),"FT",IF(AND(OR(ISNUMBER(SEARCH("part",AO123)),UPPER(TRIM(AO123))="PT",UPPER(TRIM(AO123))="PTE"),OR($P123="",N($P123)&gt;=PT_MinHours)),"PT","None"))))</f>
        <v/>
      </c>
      <c r="AS123" s="19" t="str">
        <f aca="false">IF(AG123=0,"",IF(AND(AI123&gt;=3,AL123&lt;=AsOfDate),AR123,IF(AND(AI123&gt;=2,AK123&lt;=AsOfDate),AQ123,AP123)))</f>
        <v/>
      </c>
      <c r="AT123" s="19" t="str">
        <f aca="false">IF(AG123=0,"",IF(AsOfDate&lt;AH123,-1,12*(YEAR(AsOfDate)-YEAR(AH123))+MONTH(AsOfDate)-MONTH(AH123)-IF(DAY(AsOfDate)&lt;MIN(DAY(AH123),DAY(EOMONTH(AsOfDate,0))),1,0)))</f>
        <v/>
      </c>
      <c r="AU123" s="19" t="str">
        <f aca="false">IF(AG123=0,"",IF(OR(AI123&lt;2,AK123&gt;AsOfDate),AT123,IF((AK123-1)&lt;AH123,-1,12*(YEAR((AK123-1))-YEAR(AH123))+MONTH((AK123-1))-MONTH(AH123)-IF(DAY((AK123-1))&lt;MIN(DAY(AH123),DAY(EOMONTH((AK123-1),0))),1,0))))</f>
        <v/>
      </c>
      <c r="AV123" s="19" t="str">
        <f aca="false">IF(AG123=0,"",IF(OR(AI123&lt;3,AL123&gt;AsOfDate),AT123,IF((AL123-1)&lt;AH123,-1,12*(YEAR((AL123-1))-YEAR(AH123))+MONTH((AL123-1))-MONTH(AH123)-IF(DAY((AL123-1))&lt;MIN(DAY(AH123),DAY(EOMONTH((AL123-1),0))),1,0))))</f>
        <v/>
      </c>
      <c r="AW123" s="19" t="str">
        <f aca="false">IF(AG123=0,"",IF(PFYDate&lt;AH123,-1,12*(YEAR(PFYDate)-YEAR(AH123))+MONTH(PFYDate)-MONTH(AH123)-IF(DAY(PFYDate)&lt;MIN(DAY(AH123),DAY(EOMONTH(PFYDate,0))),1,0)))</f>
        <v/>
      </c>
      <c r="AX123" s="19" t="str">
        <f aca="false">IF(AG123=0,"",IF(OR(AI123&lt;2,AK123&gt;PFYDate),AW123,IF((AK123-1)&lt;AH123,-1,12*(YEAR((AK123-1))-YEAR(AH123))+MONTH((AK123-1))-MONTH(AH123)-IF(DAY((AK123-1))&lt;MIN(DAY(AH123),DAY(EOMONTH((AK123-1),0))),1,0))))</f>
        <v/>
      </c>
      <c r="AY123" s="19" t="str">
        <f aca="false">IF(AG123=0,"",IF(OR(AI123&lt;3,AL123&gt;PFYDate),AW123,IF((AL123-1)&lt;AH123,-1,12*(YEAR((AL123-1))-YEAR(AH123))+MONTH((AL123-1))-MONTH(AH123)-IF(DAY((AL123-1))&lt;MIN(DAY(AH123),DAY(EOMONTH((AL123-1),0))),1,0))))</f>
        <v/>
      </c>
      <c r="AZ123" s="19" t="str">
        <f aca="false">IF(AG123=0,"",IF(AP123="FT",IF(AU123&lt;FT_First,0,IF(AU123&lt;FT_Y5,1+INT((AU123-FT_First)/FT_Int1),FT_PreY5+FT_PerYear*INT((AU123-FT_Y5)/12)+FT_AnnivDays+INT(MOD(AU123-FT_Y5,12)/FT_Int2))),IF(AP123="PT",IF(AU123&lt;PT_First,0,1+INT((AU123-PT_First)/PT_Int)),0))+IF(AND(AI123&gt;=2,AK123&lt;=AsOfDate),IF(AQ123="FT",IF(AV123&lt;FT_First,0,IF(AV123&lt;FT_Y5,1+INT((AV123-FT_First)/FT_Int1),FT_PreY5+FT_PerYear*INT((AV123-FT_Y5)/12)+FT_AnnivDays+INT(MOD(AV123-FT_Y5,12)/FT_Int2))),IF(AQ123="PT",IF(AV123&lt;PT_First,0,1+INT((AV123-PT_First)/PT_Int)),0))-IF(AQ123="FT",IF(AU123&lt;FT_First,0,IF(AU123&lt;FT_Y5,1+INT((AU123-FT_First)/FT_Int1),FT_PreY5+FT_PerYear*INT((AU123-FT_Y5)/12)+FT_AnnivDays+INT(MOD(AU123-FT_Y5,12)/FT_Int2))),IF(AQ123="PT",IF(AU123&lt;PT_First,0,1+INT((AU123-PT_First)/PT_Int)),0)),0)+IF(AND(AI123&gt;=3,AL123&lt;=AsOfDate),IF(AR123="FT",IF(AT123&lt;FT_First,0,IF(AT123&lt;FT_Y5,1+INT((AT123-FT_First)/FT_Int1),FT_PreY5+FT_PerYear*INT((AT123-FT_Y5)/12)+FT_AnnivDays+INT(MOD(AT123-FT_Y5,12)/FT_Int2))),IF(AR123="PT",IF(AT123&lt;PT_First,0,1+INT((AT123-PT_First)/PT_Int)),0))-IF(AR123="FT",IF(AV123&lt;FT_First,0,IF(AV123&lt;FT_Y5,1+INT((AV123-FT_First)/FT_Int1),FT_PreY5+FT_PerYear*INT((AV123-FT_Y5)/12)+FT_AnnivDays+INT(MOD(AV123-FT_Y5,12)/FT_Int2))),IF(AR123="PT",IF(AV123&lt;PT_First,0,1+INT((AV123-PT_First)/PT_Int)),0)),0))</f>
        <v/>
      </c>
      <c r="BA123" s="19" t="str">
        <f aca="false">IF(AG123=0,"",IF(AP123="FT",IF(AX123&lt;FT_First,0,IF(AX123&lt;FT_Y5,1+INT((AX123-FT_First)/FT_Int1),FT_PreY5+FT_PerYear*INT((AX123-FT_Y5)/12)+FT_AnnivDays+INT(MOD(AX123-FT_Y5,12)/FT_Int2))),IF(AP123="PT",IF(AX123&lt;PT_First,0,1+INT((AX123-PT_First)/PT_Int)),0))+IF(AND(AI123&gt;=2,AK123&lt;=PFYDate),IF(AQ123="FT",IF(AY123&lt;FT_First,0,IF(AY123&lt;FT_Y5,1+INT((AY123-FT_First)/FT_Int1),FT_PreY5+FT_PerYear*INT((AY123-FT_Y5)/12)+FT_AnnivDays+INT(MOD(AY123-FT_Y5,12)/FT_Int2))),IF(AQ123="PT",IF(AY123&lt;PT_First,0,1+INT((AY123-PT_First)/PT_Int)),0))-IF(AQ123="FT",IF(AX123&lt;FT_First,0,IF(AX123&lt;FT_Y5,1+INT((AX123-FT_First)/FT_Int1),FT_PreY5+FT_PerYear*INT((AX123-FT_Y5)/12)+FT_AnnivDays+INT(MOD(AX123-FT_Y5,12)/FT_Int2))),IF(AQ123="PT",IF(AX123&lt;PT_First,0,1+INT((AX123-PT_First)/PT_Int)),0)),0)+IF(AND(AI123&gt;=3,AL123&lt;=PFYDate),IF(AR123="FT",IF(AW123&lt;FT_First,0,IF(AW123&lt;FT_Y5,1+INT((AW123-FT_First)/FT_Int1),FT_PreY5+FT_PerYear*INT((AW123-FT_Y5)/12)+FT_AnnivDays+INT(MOD(AW123-FT_Y5,12)/FT_Int2))),IF(AR123="PT",IF(AW123&lt;PT_First,0,1+INT((AW123-PT_First)/PT_Int)),0))-IF(AR123="FT",IF(AY123&lt;FT_First,0,IF(AY123&lt;FT_Y5,1+INT((AY123-FT_First)/FT_Int1),FT_PreY5+FT_PerYear*INT((AY123-FT_Y5)/12)+FT_AnnivDays+INT(MOD(AY123-FT_Y5,12)/FT_Int2))),IF(AR123="PT",IF(AY123&lt;PT_First,0,1+INT((AY123-PT_First)/PT_Int)),0)),0))</f>
        <v/>
      </c>
      <c r="BB123" s="19" t="str">
        <f aca="false">IF(AG123=0,"",IF(AS123="FT",IF(AT123&lt;FT_First,FT_First,IF(AT123&lt;FT_Y5,MIN(FT_Y5,FT_First+FT_Int1*(INT((AT123-FT_First)/FT_Int1)+1)),FT_Y5+12*INT((AT123-FT_Y5)/12)+FT_Int2*(INT(MOD(AT123-FT_Y5,12)/FT_Int2)+1))),IF(AS123="PT",IF(AT123&lt;PT_First,PT_First,PT_First+PT_Int*(INT((AT123-PT_First)/PT_Int)+1)),"")))</f>
        <v/>
      </c>
      <c r="BC123" s="19" t="str">
        <f aca="false">IF(AG123=0,"",IF(NOT(LH_Ready),0,COUNTIFS(INDEX(LH_Data,0,LH_ColFirst),$A123,INDEX(LH_Data,0,LH_ColSur),$B123,INDEX(LH_Data,0,LH_ColCat),BonusCat)))</f>
        <v/>
      </c>
      <c r="BD123" s="19" t="str">
        <f aca="false">IF(AG123=0,"",IF(OR(NOT(LH_Ready),BC123=0),0,SUMPRODUCT(MAX((INDEX(LH_Data,0,LH_ColFirst)=$A123)*(INDEX(LH_Data,0,LH_ColSur)=$B123)*(INDEX(LH_Data,0,LH_ColCat)=BonusCat)*ROW(LH_Data)))))</f>
        <v/>
      </c>
      <c r="BE123" s="19" t="str">
        <f aca="false">IF(AG123=0,"",IF(EOMONTH(AsOfDate,-1)&lt;AH123,-1,12*(YEAR(EOMONTH(AsOfDate,-1))-YEAR(AH123))+MONTH(EOMONTH(AsOfDate,-1))-MONTH(AH123)-IF(DAY(EOMONTH(AsOfDate,-1))&lt;MIN(DAY(AH123),DAY(EOMONTH(EOMONTH(AsOfDate,-1),0))),1,0)))</f>
        <v/>
      </c>
      <c r="BF123" s="19" t="str">
        <f aca="false">IF(AG123=0,"",IF(OR(AI123&lt;2,AK123&gt;EOMONTH(AsOfDate,-1)),BE123,IF((AK123-1)&lt;AH123,-1,12*(YEAR((AK123-1))-YEAR(AH123))+MONTH((AK123-1))-MONTH(AH123)-IF(DAY((AK123-1))&lt;MIN(DAY(AH123),DAY(EOMONTH((AK123-1),0))),1,0))))</f>
        <v/>
      </c>
      <c r="BG123" s="19" t="str">
        <f aca="false">IF(AG123=0,"",IF(OR(AI123&lt;3,AL123&gt;EOMONTH(AsOfDate,-1)),BE123,IF((AL123-1)&lt;AH123,-1,12*(YEAR((AL123-1))-YEAR(AH123))+MONTH((AL123-1))-MONTH(AH123)-IF(DAY((AL123-1))&lt;MIN(DAY(AH123),DAY(EOMONTH((AL123-1),0))),1,0))))</f>
        <v/>
      </c>
      <c r="BH123" s="19" t="str">
        <f aca="false">IF(AG123=0,"",IF(AP123="FT",IF(BF123&lt;FT_First,0,IF(BF123&lt;FT_Y5,1+INT((BF123-FT_First)/FT_Int1),FT_PreY5+FT_PerYear*INT((BF123-FT_Y5)/12)+FT_AnnivDays+INT(MOD(BF123-FT_Y5,12)/FT_Int2))),IF(AP123="PT",IF(BF123&lt;PT_First,0,1+INT((BF123-PT_First)/PT_Int)),0))+IF(AND(AI123&gt;=2,AK123&lt;=EOMONTH(AsOfDate,-1)),IF(AQ123="FT",IF(BG123&lt;FT_First,0,IF(BG123&lt;FT_Y5,1+INT((BG123-FT_First)/FT_Int1),FT_PreY5+FT_PerYear*INT((BG123-FT_Y5)/12)+FT_AnnivDays+INT(MOD(BG123-FT_Y5,12)/FT_Int2))),IF(AQ123="PT",IF(BG123&lt;PT_First,0,1+INT((BG123-PT_First)/PT_Int)),0))-IF(AQ123="FT",IF(BF123&lt;FT_First,0,IF(BF123&lt;FT_Y5,1+INT((BF123-FT_First)/FT_Int1),FT_PreY5+FT_PerYear*INT((BF123-FT_Y5)/12)+FT_AnnivDays+INT(MOD(BF123-FT_Y5,12)/FT_Int2))),IF(AQ123="PT",IF(BF123&lt;PT_First,0,1+INT((BF123-PT_First)/PT_Int)),0)),0)+IF(AND(AI123&gt;=3,AL123&lt;=EOMONTH(AsOfDate,-1)),IF(AR123="FT",IF(BE123&lt;FT_First,0,IF(BE123&lt;FT_Y5,1+INT((BE123-FT_First)/FT_Int1),FT_PreY5+FT_PerYear*INT((BE123-FT_Y5)/12)+FT_AnnivDays+INT(MOD(BE123-FT_Y5,12)/FT_Int2))),IF(AR123="PT",IF(BE123&lt;PT_First,0,1+INT((BE123-PT_First)/PT_Int)),0))-IF(AR123="FT",IF(BG123&lt;FT_First,0,IF(BG123&lt;FT_Y5,1+INT((BG123-FT_First)/FT_Int1),FT_PreY5+FT_PerYear*INT((BG123-FT_Y5)/12)+FT_AnnivDays+INT(MOD(BG123-FT_Y5,12)/FT_Int2))),IF(AR123="PT",IF(BG123&lt;PT_First,0,1+INT((BG123-PT_First)/PT_Int)),0)),0))</f>
        <v/>
      </c>
      <c r="BI123" s="19" t="str">
        <f aca="false">IF(AG123=0,"",IF(AS123="FT",IF(AT123&lt;FT_First,"",IF(AT123&lt;FT_Y5,FT_First+FT_Int1*INT((AT123-FT_First)/FT_Int1),FT_Y5+FT_Int2*INT((AT123-FT_Y5)/FT_Int2))),IF(AS123="PT",IF(AT123&lt;PT_First,"",PT_First+PT_Int*INT((AT123-PT_First)/PT_Int)),"")))</f>
        <v/>
      </c>
      <c r="BJ123" s="0" t="str">
        <f aca="false">IF(LEN($A123&amp;$B123)=0,"",$A123&amp;" "&amp;$B123)</f>
        <v/>
      </c>
    </row>
    <row r="124" customFormat="false" ht="15" hidden="false" customHeight="false" outlineLevel="0" collapsed="false">
      <c r="A124" s="15"/>
      <c r="B124" s="15"/>
      <c r="C124" s="15"/>
      <c r="D124" s="16"/>
      <c r="E124" s="17" t="str">
        <f aca="false">IF(OR(AG124=0,$D124=""),"",DATE(YEAR(AsOfDate)+IF(DATE(YEAR(AsOfDate),MONTH($D124),DAY($D124))&lt;=AsOfDate,1,0),MONTH($D124),DAY($D124)))</f>
        <v/>
      </c>
      <c r="F124" s="16"/>
      <c r="G124" s="16"/>
      <c r="H124" s="16"/>
      <c r="I124" s="16"/>
      <c r="J124" s="16"/>
      <c r="K124" s="17" t="str">
        <f aca="false">IF(AG124=0,"",DATE(YEAR(AsOfDate)+IF(DATE(YEAR(AsOfDate),MONTH(AH124),DAY(AH124))&lt;=AsOfDate,1,0),MONTH(AH124),DAY(AH124)))</f>
        <v/>
      </c>
      <c r="L124" s="18" t="str">
        <f aca="false">IF(AG124=0,"",ROUND((AsOfDate-AH124)/365.25,1))</f>
        <v/>
      </c>
      <c r="M124" s="19" t="str">
        <f aca="false">IF(AG124=0,"",IF(AsOfDate&lt;AH124,"-",DATEDIF(AH124,AsOfDate,"y")&amp;"y "&amp;DATEDIF(AH124,AsOfDate,"ym")&amp;"m "&amp;DATEDIF(AH124,AsOfDate,"md")&amp;"d"))</f>
        <v/>
      </c>
      <c r="N124" s="20" t="str">
        <f aca="false">IF(AG124=0,"",O124*HoursPerDay)</f>
        <v/>
      </c>
      <c r="O124" s="20" t="str">
        <f aca="false">IF(AG124=0,"",AZ124)</f>
        <v/>
      </c>
      <c r="P124" s="21"/>
      <c r="Q124" s="19"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19"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7" t="str">
        <f aca="false">IF(AG124=0,"",IF(AS124="None","",EDATE(AH124,BB124)))</f>
        <v/>
      </c>
      <c r="T124" s="20" t="str">
        <f aca="false">IF(AG124=0,"",IF(NOT(LH_Ready),"",IF(AH124&gt;PFYDate,0,IF(LH_ColPeriod=0,W124-U124+V124,SUMIFS(INDEX(LH_Data,0,LH_ColAcc),INDEX(LH_Data,0,LH_ColFirst),$A124,INDEX(LH_Data,0,LH_ColSur),$B124,INDEX(LH_Data,0,LH_ColCat),BonusCat,INDEX(LH_Data,0,LH_ColPeriod),LH_OpenLabel)*UnitFactor))))</f>
        <v/>
      </c>
      <c r="U124" s="20" t="str">
        <f aca="false">IF(AG124=0,"",IF(NOT(LH_Ready),"",SUMIFS(INDEX(LH_Data,0,LH_ColAcc),INDEX(LH_Data,0,LH_ColFirst),$A124,INDEX(LH_Data,0,LH_ColSur),$B124,INDEX(LH_Data,0,LH_ColCat),BonusCat,INDEX(LH_Data,0,LH_ColStart),"&gt;="&amp;AH124)*UnitFactor))</f>
        <v/>
      </c>
      <c r="V124" s="20" t="str">
        <f aca="false">IF(AG124=0,"",IF(NOT(LH_Ready),"",SUMIFS(INDEX(LH_Data,0,LH_ColTaken),INDEX(LH_Data,0,LH_ColFirst),$A124,INDEX(LH_Data,0,LH_ColSur),$B124,INDEX(LH_Data,0,LH_ColCat),BonusCat,INDEX(LH_Data,0,LH_ColStart),"&gt;="&amp;AH124)*UnitFactor))</f>
        <v/>
      </c>
      <c r="W124" s="20" t="str">
        <f aca="false">IF(AG124=0,"",IF(NOT(LH_Ready),"",IF(BD124=0,0,INDEX(INDEX(LH_Data,0,LH_ColClose),BD124-1)*UnitFactor)))</f>
        <v/>
      </c>
      <c r="X124" s="20" t="str">
        <f aca="false">IF(AG124=0,"",(AZ124-BA124)*HoursPerDay)</f>
        <v/>
      </c>
      <c r="Y124" s="20" t="str">
        <f aca="false">IF(AG124=0,"",IF(NOT(LH_Ready),"",IF(BC124=0,N124,IF(PFYDate&lt;$F124,N124-N(T124)-N(U124),X124-N(U124)))))</f>
        <v/>
      </c>
      <c r="Z124" s="19" t="str">
        <f aca="false">IF(OR(AG124=0,Y124=""),"",IF(Y124&gt;0,"Yes","No"))</f>
        <v/>
      </c>
      <c r="AA124" s="19"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20" t="str">
        <f aca="false">IF(OR(AG124=0,T124=""),"",BA124*HoursPerDay-T124)</f>
        <v/>
      </c>
      <c r="AC124" s="19" t="str">
        <f aca="false">IF(AG124=0,"",BC124)</f>
        <v/>
      </c>
      <c r="AD124" s="19"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20" t="str">
        <f aca="false">IF(AG124=0,"",O124-BH124)</f>
        <v/>
      </c>
      <c r="AF124" s="17" t="str">
        <f aca="false">IF(OR(AG124=0,AE124="",N(AE124)=0,BI124=""),"",EDATE(AH124,BI124))</f>
        <v/>
      </c>
      <c r="AG124" s="19" t="n">
        <f aca="false">IF(OR(LEN($A124&amp;$B124)=0,$F124=""),0,1)</f>
        <v>0</v>
      </c>
      <c r="AH124" s="17" t="str">
        <f aca="false">IF(AG124=0,"",IF($J124&lt;&gt;"",$J124,IF(OR(CasualCounts="Yes",COUNT($G124:$I124)=0,COUNT($H124:$I124)=0),$F124,MIN($H124:$I124))))</f>
        <v/>
      </c>
      <c r="AI124" s="19" t="str">
        <f aca="false">IF(AG124=0,"",COUNT($G124:$I124))</f>
        <v/>
      </c>
      <c r="AJ124" s="17" t="str">
        <f aca="false">IF(AG124=0,"",IFERROR(SMALL($G124:$I124,1),""))</f>
        <v/>
      </c>
      <c r="AK124" s="17" t="str">
        <f aca="false">IF(AG124=0,"",IFERROR(SMALL($G124:$I124,2),""))</f>
        <v/>
      </c>
      <c r="AL124" s="17" t="str">
        <f aca="false">IF(AG124=0,"",IFERROR(SMALL($G124:$I124,3),""))</f>
        <v/>
      </c>
      <c r="AM124" s="19" t="str">
        <f aca="false">IF(AG124=0,"",IF(AJ124="","",IF(AJ124=$H124,"Part-Time",IF(AJ124=$I124,"Full-Time","Casual"))))</f>
        <v/>
      </c>
      <c r="AN124" s="19" t="str">
        <f aca="false">IF(AG124=0,"",IF(AK124="","",IF(AK124=$H124,"Part-Time",IF(AK124=$I124,"Full-Time","Casual"))))</f>
        <v/>
      </c>
      <c r="AO124" s="19" t="str">
        <f aca="false">IF(AG124=0,"",IF(AL124="","",IF(AL124=$H124,"Part-Time",IF(AL124=$I124,"Full-Time","Casual"))))</f>
        <v/>
      </c>
      <c r="AP124" s="19"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19" t="str">
        <f aca="false">IF(AG124=0,"",IF(AI124&lt;2,"",IF(OR(ISNUMBER(SEARCH("full",AN124)),UPPER(TRIM(AN124))="FT",UPPER(TRIM(AN124))="FTE"),"FT",IF(AND(OR(ISNUMBER(SEARCH("part",AN124)),UPPER(TRIM(AN124))="PT",UPPER(TRIM(AN124))="PTE"),OR($P124="",N($P124)&gt;=PT_MinHours)),"PT","None"))))</f>
        <v/>
      </c>
      <c r="AR124" s="19" t="str">
        <f aca="false">IF(AG124=0,"",IF(AI124&lt;3,"",IF(OR(ISNUMBER(SEARCH("full",AO124)),UPPER(TRIM(AO124))="FT",UPPER(TRIM(AO124))="FTE"),"FT",IF(AND(OR(ISNUMBER(SEARCH("part",AO124)),UPPER(TRIM(AO124))="PT",UPPER(TRIM(AO124))="PTE"),OR($P124="",N($P124)&gt;=PT_MinHours)),"PT","None"))))</f>
        <v/>
      </c>
      <c r="AS124" s="19" t="str">
        <f aca="false">IF(AG124=0,"",IF(AND(AI124&gt;=3,AL124&lt;=AsOfDate),AR124,IF(AND(AI124&gt;=2,AK124&lt;=AsOfDate),AQ124,AP124)))</f>
        <v/>
      </c>
      <c r="AT124" s="19" t="str">
        <f aca="false">IF(AG124=0,"",IF(AsOfDate&lt;AH124,-1,12*(YEAR(AsOfDate)-YEAR(AH124))+MONTH(AsOfDate)-MONTH(AH124)-IF(DAY(AsOfDate)&lt;MIN(DAY(AH124),DAY(EOMONTH(AsOfDate,0))),1,0)))</f>
        <v/>
      </c>
      <c r="AU124" s="19" t="str">
        <f aca="false">IF(AG124=0,"",IF(OR(AI124&lt;2,AK124&gt;AsOfDate),AT124,IF((AK124-1)&lt;AH124,-1,12*(YEAR((AK124-1))-YEAR(AH124))+MONTH((AK124-1))-MONTH(AH124)-IF(DAY((AK124-1))&lt;MIN(DAY(AH124),DAY(EOMONTH((AK124-1),0))),1,0))))</f>
        <v/>
      </c>
      <c r="AV124" s="19" t="str">
        <f aca="false">IF(AG124=0,"",IF(OR(AI124&lt;3,AL124&gt;AsOfDate),AT124,IF((AL124-1)&lt;AH124,-1,12*(YEAR((AL124-1))-YEAR(AH124))+MONTH((AL124-1))-MONTH(AH124)-IF(DAY((AL124-1))&lt;MIN(DAY(AH124),DAY(EOMONTH((AL124-1),0))),1,0))))</f>
        <v/>
      </c>
      <c r="AW124" s="19" t="str">
        <f aca="false">IF(AG124=0,"",IF(PFYDate&lt;AH124,-1,12*(YEAR(PFYDate)-YEAR(AH124))+MONTH(PFYDate)-MONTH(AH124)-IF(DAY(PFYDate)&lt;MIN(DAY(AH124),DAY(EOMONTH(PFYDate,0))),1,0)))</f>
        <v/>
      </c>
      <c r="AX124" s="19" t="str">
        <f aca="false">IF(AG124=0,"",IF(OR(AI124&lt;2,AK124&gt;PFYDate),AW124,IF((AK124-1)&lt;AH124,-1,12*(YEAR((AK124-1))-YEAR(AH124))+MONTH((AK124-1))-MONTH(AH124)-IF(DAY((AK124-1))&lt;MIN(DAY(AH124),DAY(EOMONTH((AK124-1),0))),1,0))))</f>
        <v/>
      </c>
      <c r="AY124" s="19" t="str">
        <f aca="false">IF(AG124=0,"",IF(OR(AI124&lt;3,AL124&gt;PFYDate),AW124,IF((AL124-1)&lt;AH124,-1,12*(YEAR((AL124-1))-YEAR(AH124))+MONTH((AL124-1))-MONTH(AH124)-IF(DAY((AL124-1))&lt;MIN(DAY(AH124),DAY(EOMONTH((AL124-1),0))),1,0))))</f>
        <v/>
      </c>
      <c r="AZ124" s="19" t="str">
        <f aca="false">IF(AG124=0,"",IF(AP124="FT",IF(AU124&lt;FT_First,0,IF(AU124&lt;FT_Y5,1+INT((AU124-FT_First)/FT_Int1),FT_PreY5+FT_PerYear*INT((AU124-FT_Y5)/12)+FT_AnnivDays+INT(MOD(AU124-FT_Y5,12)/FT_Int2))),IF(AP124="PT",IF(AU124&lt;PT_First,0,1+INT((AU124-PT_First)/PT_Int)),0))+IF(AND(AI124&gt;=2,AK124&lt;=AsOfDate),IF(AQ124="FT",IF(AV124&lt;FT_First,0,IF(AV124&lt;FT_Y5,1+INT((AV124-FT_First)/FT_Int1),FT_PreY5+FT_PerYear*INT((AV124-FT_Y5)/12)+FT_AnnivDays+INT(MOD(AV124-FT_Y5,12)/FT_Int2))),IF(AQ124="PT",IF(AV124&lt;PT_First,0,1+INT((AV124-PT_First)/PT_Int)),0))-IF(AQ124="FT",IF(AU124&lt;FT_First,0,IF(AU124&lt;FT_Y5,1+INT((AU124-FT_First)/FT_Int1),FT_PreY5+FT_PerYear*INT((AU124-FT_Y5)/12)+FT_AnnivDays+INT(MOD(AU124-FT_Y5,12)/FT_Int2))),IF(AQ124="PT",IF(AU124&lt;PT_First,0,1+INT((AU124-PT_First)/PT_Int)),0)),0)+IF(AND(AI124&gt;=3,AL124&lt;=AsOfDate),IF(AR124="FT",IF(AT124&lt;FT_First,0,IF(AT124&lt;FT_Y5,1+INT((AT124-FT_First)/FT_Int1),FT_PreY5+FT_PerYear*INT((AT124-FT_Y5)/12)+FT_AnnivDays+INT(MOD(AT124-FT_Y5,12)/FT_Int2))),IF(AR124="PT",IF(AT124&lt;PT_First,0,1+INT((AT124-PT_First)/PT_Int)),0))-IF(AR124="FT",IF(AV124&lt;FT_First,0,IF(AV124&lt;FT_Y5,1+INT((AV124-FT_First)/FT_Int1),FT_PreY5+FT_PerYear*INT((AV124-FT_Y5)/12)+FT_AnnivDays+INT(MOD(AV124-FT_Y5,12)/FT_Int2))),IF(AR124="PT",IF(AV124&lt;PT_First,0,1+INT((AV124-PT_First)/PT_Int)),0)),0))</f>
        <v/>
      </c>
      <c r="BA124" s="19" t="str">
        <f aca="false">IF(AG124=0,"",IF(AP124="FT",IF(AX124&lt;FT_First,0,IF(AX124&lt;FT_Y5,1+INT((AX124-FT_First)/FT_Int1),FT_PreY5+FT_PerYear*INT((AX124-FT_Y5)/12)+FT_AnnivDays+INT(MOD(AX124-FT_Y5,12)/FT_Int2))),IF(AP124="PT",IF(AX124&lt;PT_First,0,1+INT((AX124-PT_First)/PT_Int)),0))+IF(AND(AI124&gt;=2,AK124&lt;=PFYDate),IF(AQ124="FT",IF(AY124&lt;FT_First,0,IF(AY124&lt;FT_Y5,1+INT((AY124-FT_First)/FT_Int1),FT_PreY5+FT_PerYear*INT((AY124-FT_Y5)/12)+FT_AnnivDays+INT(MOD(AY124-FT_Y5,12)/FT_Int2))),IF(AQ124="PT",IF(AY124&lt;PT_First,0,1+INT((AY124-PT_First)/PT_Int)),0))-IF(AQ124="FT",IF(AX124&lt;FT_First,0,IF(AX124&lt;FT_Y5,1+INT((AX124-FT_First)/FT_Int1),FT_PreY5+FT_PerYear*INT((AX124-FT_Y5)/12)+FT_AnnivDays+INT(MOD(AX124-FT_Y5,12)/FT_Int2))),IF(AQ124="PT",IF(AX124&lt;PT_First,0,1+INT((AX124-PT_First)/PT_Int)),0)),0)+IF(AND(AI124&gt;=3,AL124&lt;=PFYDate),IF(AR124="FT",IF(AW124&lt;FT_First,0,IF(AW124&lt;FT_Y5,1+INT((AW124-FT_First)/FT_Int1),FT_PreY5+FT_PerYear*INT((AW124-FT_Y5)/12)+FT_AnnivDays+INT(MOD(AW124-FT_Y5,12)/FT_Int2))),IF(AR124="PT",IF(AW124&lt;PT_First,0,1+INT((AW124-PT_First)/PT_Int)),0))-IF(AR124="FT",IF(AY124&lt;FT_First,0,IF(AY124&lt;FT_Y5,1+INT((AY124-FT_First)/FT_Int1),FT_PreY5+FT_PerYear*INT((AY124-FT_Y5)/12)+FT_AnnivDays+INT(MOD(AY124-FT_Y5,12)/FT_Int2))),IF(AR124="PT",IF(AY124&lt;PT_First,0,1+INT((AY124-PT_First)/PT_Int)),0)),0))</f>
        <v/>
      </c>
      <c r="BB124" s="19" t="str">
        <f aca="false">IF(AG124=0,"",IF(AS124="FT",IF(AT124&lt;FT_First,FT_First,IF(AT124&lt;FT_Y5,MIN(FT_Y5,FT_First+FT_Int1*(INT((AT124-FT_First)/FT_Int1)+1)),FT_Y5+12*INT((AT124-FT_Y5)/12)+FT_Int2*(INT(MOD(AT124-FT_Y5,12)/FT_Int2)+1))),IF(AS124="PT",IF(AT124&lt;PT_First,PT_First,PT_First+PT_Int*(INT((AT124-PT_First)/PT_Int)+1)),"")))</f>
        <v/>
      </c>
      <c r="BC124" s="19" t="str">
        <f aca="false">IF(AG124=0,"",IF(NOT(LH_Ready),0,COUNTIFS(INDEX(LH_Data,0,LH_ColFirst),$A124,INDEX(LH_Data,0,LH_ColSur),$B124,INDEX(LH_Data,0,LH_ColCat),BonusCat)))</f>
        <v/>
      </c>
      <c r="BD124" s="19" t="str">
        <f aca="false">IF(AG124=0,"",IF(OR(NOT(LH_Ready),BC124=0),0,SUMPRODUCT(MAX((INDEX(LH_Data,0,LH_ColFirst)=$A124)*(INDEX(LH_Data,0,LH_ColSur)=$B124)*(INDEX(LH_Data,0,LH_ColCat)=BonusCat)*ROW(LH_Data)))))</f>
        <v/>
      </c>
      <c r="BE124" s="19" t="str">
        <f aca="false">IF(AG124=0,"",IF(EOMONTH(AsOfDate,-1)&lt;AH124,-1,12*(YEAR(EOMONTH(AsOfDate,-1))-YEAR(AH124))+MONTH(EOMONTH(AsOfDate,-1))-MONTH(AH124)-IF(DAY(EOMONTH(AsOfDate,-1))&lt;MIN(DAY(AH124),DAY(EOMONTH(EOMONTH(AsOfDate,-1),0))),1,0)))</f>
        <v/>
      </c>
      <c r="BF124" s="19" t="str">
        <f aca="false">IF(AG124=0,"",IF(OR(AI124&lt;2,AK124&gt;EOMONTH(AsOfDate,-1)),BE124,IF((AK124-1)&lt;AH124,-1,12*(YEAR((AK124-1))-YEAR(AH124))+MONTH((AK124-1))-MONTH(AH124)-IF(DAY((AK124-1))&lt;MIN(DAY(AH124),DAY(EOMONTH((AK124-1),0))),1,0))))</f>
        <v/>
      </c>
      <c r="BG124" s="19" t="str">
        <f aca="false">IF(AG124=0,"",IF(OR(AI124&lt;3,AL124&gt;EOMONTH(AsOfDate,-1)),BE124,IF((AL124-1)&lt;AH124,-1,12*(YEAR((AL124-1))-YEAR(AH124))+MONTH((AL124-1))-MONTH(AH124)-IF(DAY((AL124-1))&lt;MIN(DAY(AH124),DAY(EOMONTH((AL124-1),0))),1,0))))</f>
        <v/>
      </c>
      <c r="BH124" s="19" t="str">
        <f aca="false">IF(AG124=0,"",IF(AP124="FT",IF(BF124&lt;FT_First,0,IF(BF124&lt;FT_Y5,1+INT((BF124-FT_First)/FT_Int1),FT_PreY5+FT_PerYear*INT((BF124-FT_Y5)/12)+FT_AnnivDays+INT(MOD(BF124-FT_Y5,12)/FT_Int2))),IF(AP124="PT",IF(BF124&lt;PT_First,0,1+INT((BF124-PT_First)/PT_Int)),0))+IF(AND(AI124&gt;=2,AK124&lt;=EOMONTH(AsOfDate,-1)),IF(AQ124="FT",IF(BG124&lt;FT_First,0,IF(BG124&lt;FT_Y5,1+INT((BG124-FT_First)/FT_Int1),FT_PreY5+FT_PerYear*INT((BG124-FT_Y5)/12)+FT_AnnivDays+INT(MOD(BG124-FT_Y5,12)/FT_Int2))),IF(AQ124="PT",IF(BG124&lt;PT_First,0,1+INT((BG124-PT_First)/PT_Int)),0))-IF(AQ124="FT",IF(BF124&lt;FT_First,0,IF(BF124&lt;FT_Y5,1+INT((BF124-FT_First)/FT_Int1),FT_PreY5+FT_PerYear*INT((BF124-FT_Y5)/12)+FT_AnnivDays+INT(MOD(BF124-FT_Y5,12)/FT_Int2))),IF(AQ124="PT",IF(BF124&lt;PT_First,0,1+INT((BF124-PT_First)/PT_Int)),0)),0)+IF(AND(AI124&gt;=3,AL124&lt;=EOMONTH(AsOfDate,-1)),IF(AR124="FT",IF(BE124&lt;FT_First,0,IF(BE124&lt;FT_Y5,1+INT((BE124-FT_First)/FT_Int1),FT_PreY5+FT_PerYear*INT((BE124-FT_Y5)/12)+FT_AnnivDays+INT(MOD(BE124-FT_Y5,12)/FT_Int2))),IF(AR124="PT",IF(BE124&lt;PT_First,0,1+INT((BE124-PT_First)/PT_Int)),0))-IF(AR124="FT",IF(BG124&lt;FT_First,0,IF(BG124&lt;FT_Y5,1+INT((BG124-FT_First)/FT_Int1),FT_PreY5+FT_PerYear*INT((BG124-FT_Y5)/12)+FT_AnnivDays+INT(MOD(BG124-FT_Y5,12)/FT_Int2))),IF(AR124="PT",IF(BG124&lt;PT_First,0,1+INT((BG124-PT_First)/PT_Int)),0)),0))</f>
        <v/>
      </c>
      <c r="BI124" s="19" t="str">
        <f aca="false">IF(AG124=0,"",IF(AS124="FT",IF(AT124&lt;FT_First,"",IF(AT124&lt;FT_Y5,FT_First+FT_Int1*INT((AT124-FT_First)/FT_Int1),FT_Y5+FT_Int2*INT((AT124-FT_Y5)/FT_Int2))),IF(AS124="PT",IF(AT124&lt;PT_First,"",PT_First+PT_Int*INT((AT124-PT_First)/PT_Int)),"")))</f>
        <v/>
      </c>
      <c r="BJ124" s="0" t="str">
        <f aca="false">IF(LEN($A124&amp;$B124)=0,"",$A124&amp;" "&amp;$B124)</f>
        <v/>
      </c>
    </row>
    <row r="125" customFormat="false" ht="15" hidden="false" customHeight="false" outlineLevel="0" collapsed="false">
      <c r="A125" s="15"/>
      <c r="B125" s="15"/>
      <c r="C125" s="15"/>
      <c r="D125" s="16"/>
      <c r="E125" s="17" t="str">
        <f aca="false">IF(OR(AG125=0,$D125=""),"",DATE(YEAR(AsOfDate)+IF(DATE(YEAR(AsOfDate),MONTH($D125),DAY($D125))&lt;=AsOfDate,1,0),MONTH($D125),DAY($D125)))</f>
        <v/>
      </c>
      <c r="F125" s="16"/>
      <c r="G125" s="16"/>
      <c r="H125" s="16"/>
      <c r="I125" s="16"/>
      <c r="J125" s="16"/>
      <c r="K125" s="17" t="str">
        <f aca="false">IF(AG125=0,"",DATE(YEAR(AsOfDate)+IF(DATE(YEAR(AsOfDate),MONTH(AH125),DAY(AH125))&lt;=AsOfDate,1,0),MONTH(AH125),DAY(AH125)))</f>
        <v/>
      </c>
      <c r="L125" s="18" t="str">
        <f aca="false">IF(AG125=0,"",ROUND((AsOfDate-AH125)/365.25,1))</f>
        <v/>
      </c>
      <c r="M125" s="19" t="str">
        <f aca="false">IF(AG125=0,"",IF(AsOfDate&lt;AH125,"-",DATEDIF(AH125,AsOfDate,"y")&amp;"y "&amp;DATEDIF(AH125,AsOfDate,"ym")&amp;"m "&amp;DATEDIF(AH125,AsOfDate,"md")&amp;"d"))</f>
        <v/>
      </c>
      <c r="N125" s="20" t="str">
        <f aca="false">IF(AG125=0,"",O125*HoursPerDay)</f>
        <v/>
      </c>
      <c r="O125" s="20" t="str">
        <f aca="false">IF(AG125=0,"",AZ125)</f>
        <v/>
      </c>
      <c r="P125" s="21"/>
      <c r="Q125" s="19"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19"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7" t="str">
        <f aca="false">IF(AG125=0,"",IF(AS125="None","",EDATE(AH125,BB125)))</f>
        <v/>
      </c>
      <c r="T125" s="20" t="str">
        <f aca="false">IF(AG125=0,"",IF(NOT(LH_Ready),"",IF(AH125&gt;PFYDate,0,IF(LH_ColPeriod=0,W125-U125+V125,SUMIFS(INDEX(LH_Data,0,LH_ColAcc),INDEX(LH_Data,0,LH_ColFirst),$A125,INDEX(LH_Data,0,LH_ColSur),$B125,INDEX(LH_Data,0,LH_ColCat),BonusCat,INDEX(LH_Data,0,LH_ColPeriod),LH_OpenLabel)*UnitFactor))))</f>
        <v/>
      </c>
      <c r="U125" s="20" t="str">
        <f aca="false">IF(AG125=0,"",IF(NOT(LH_Ready),"",SUMIFS(INDEX(LH_Data,0,LH_ColAcc),INDEX(LH_Data,0,LH_ColFirst),$A125,INDEX(LH_Data,0,LH_ColSur),$B125,INDEX(LH_Data,0,LH_ColCat),BonusCat,INDEX(LH_Data,0,LH_ColStart),"&gt;="&amp;AH125)*UnitFactor))</f>
        <v/>
      </c>
      <c r="V125" s="20" t="str">
        <f aca="false">IF(AG125=0,"",IF(NOT(LH_Ready),"",SUMIFS(INDEX(LH_Data,0,LH_ColTaken),INDEX(LH_Data,0,LH_ColFirst),$A125,INDEX(LH_Data,0,LH_ColSur),$B125,INDEX(LH_Data,0,LH_ColCat),BonusCat,INDEX(LH_Data,0,LH_ColStart),"&gt;="&amp;AH125)*UnitFactor))</f>
        <v/>
      </c>
      <c r="W125" s="20" t="str">
        <f aca="false">IF(AG125=0,"",IF(NOT(LH_Ready),"",IF(BD125=0,0,INDEX(INDEX(LH_Data,0,LH_ColClose),BD125-1)*UnitFactor)))</f>
        <v/>
      </c>
      <c r="X125" s="20" t="str">
        <f aca="false">IF(AG125=0,"",(AZ125-BA125)*HoursPerDay)</f>
        <v/>
      </c>
      <c r="Y125" s="20" t="str">
        <f aca="false">IF(AG125=0,"",IF(NOT(LH_Ready),"",IF(BC125=0,N125,IF(PFYDate&lt;$F125,N125-N(T125)-N(U125),X125-N(U125)))))</f>
        <v/>
      </c>
      <c r="Z125" s="19" t="str">
        <f aca="false">IF(OR(AG125=0,Y125=""),"",IF(Y125&gt;0,"Yes","No"))</f>
        <v/>
      </c>
      <c r="AA125" s="19"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20" t="str">
        <f aca="false">IF(OR(AG125=0,T125=""),"",BA125*HoursPerDay-T125)</f>
        <v/>
      </c>
      <c r="AC125" s="19" t="str">
        <f aca="false">IF(AG125=0,"",BC125)</f>
        <v/>
      </c>
      <c r="AD125" s="19"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20" t="str">
        <f aca="false">IF(AG125=0,"",O125-BH125)</f>
        <v/>
      </c>
      <c r="AF125" s="17" t="str">
        <f aca="false">IF(OR(AG125=0,AE125="",N(AE125)=0,BI125=""),"",EDATE(AH125,BI125))</f>
        <v/>
      </c>
      <c r="AG125" s="19" t="n">
        <f aca="false">IF(OR(LEN($A125&amp;$B125)=0,$F125=""),0,1)</f>
        <v>0</v>
      </c>
      <c r="AH125" s="17" t="str">
        <f aca="false">IF(AG125=0,"",IF($J125&lt;&gt;"",$J125,IF(OR(CasualCounts="Yes",COUNT($G125:$I125)=0,COUNT($H125:$I125)=0),$F125,MIN($H125:$I125))))</f>
        <v/>
      </c>
      <c r="AI125" s="19" t="str">
        <f aca="false">IF(AG125=0,"",COUNT($G125:$I125))</f>
        <v/>
      </c>
      <c r="AJ125" s="17" t="str">
        <f aca="false">IF(AG125=0,"",IFERROR(SMALL($G125:$I125,1),""))</f>
        <v/>
      </c>
      <c r="AK125" s="17" t="str">
        <f aca="false">IF(AG125=0,"",IFERROR(SMALL($G125:$I125,2),""))</f>
        <v/>
      </c>
      <c r="AL125" s="17" t="str">
        <f aca="false">IF(AG125=0,"",IFERROR(SMALL($G125:$I125,3),""))</f>
        <v/>
      </c>
      <c r="AM125" s="19" t="str">
        <f aca="false">IF(AG125=0,"",IF(AJ125="","",IF(AJ125=$H125,"Part-Time",IF(AJ125=$I125,"Full-Time","Casual"))))</f>
        <v/>
      </c>
      <c r="AN125" s="19" t="str">
        <f aca="false">IF(AG125=0,"",IF(AK125="","",IF(AK125=$H125,"Part-Time",IF(AK125=$I125,"Full-Time","Casual"))))</f>
        <v/>
      </c>
      <c r="AO125" s="19" t="str">
        <f aca="false">IF(AG125=0,"",IF(AL125="","",IF(AL125=$H125,"Part-Time",IF(AL125=$I125,"Full-Time","Casual"))))</f>
        <v/>
      </c>
      <c r="AP125" s="19"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19" t="str">
        <f aca="false">IF(AG125=0,"",IF(AI125&lt;2,"",IF(OR(ISNUMBER(SEARCH("full",AN125)),UPPER(TRIM(AN125))="FT",UPPER(TRIM(AN125))="FTE"),"FT",IF(AND(OR(ISNUMBER(SEARCH("part",AN125)),UPPER(TRIM(AN125))="PT",UPPER(TRIM(AN125))="PTE"),OR($P125="",N($P125)&gt;=PT_MinHours)),"PT","None"))))</f>
        <v/>
      </c>
      <c r="AR125" s="19" t="str">
        <f aca="false">IF(AG125=0,"",IF(AI125&lt;3,"",IF(OR(ISNUMBER(SEARCH("full",AO125)),UPPER(TRIM(AO125))="FT",UPPER(TRIM(AO125))="FTE"),"FT",IF(AND(OR(ISNUMBER(SEARCH("part",AO125)),UPPER(TRIM(AO125))="PT",UPPER(TRIM(AO125))="PTE"),OR($P125="",N($P125)&gt;=PT_MinHours)),"PT","None"))))</f>
        <v/>
      </c>
      <c r="AS125" s="19" t="str">
        <f aca="false">IF(AG125=0,"",IF(AND(AI125&gt;=3,AL125&lt;=AsOfDate),AR125,IF(AND(AI125&gt;=2,AK125&lt;=AsOfDate),AQ125,AP125)))</f>
        <v/>
      </c>
      <c r="AT125" s="19" t="str">
        <f aca="false">IF(AG125=0,"",IF(AsOfDate&lt;AH125,-1,12*(YEAR(AsOfDate)-YEAR(AH125))+MONTH(AsOfDate)-MONTH(AH125)-IF(DAY(AsOfDate)&lt;MIN(DAY(AH125),DAY(EOMONTH(AsOfDate,0))),1,0)))</f>
        <v/>
      </c>
      <c r="AU125" s="19" t="str">
        <f aca="false">IF(AG125=0,"",IF(OR(AI125&lt;2,AK125&gt;AsOfDate),AT125,IF((AK125-1)&lt;AH125,-1,12*(YEAR((AK125-1))-YEAR(AH125))+MONTH((AK125-1))-MONTH(AH125)-IF(DAY((AK125-1))&lt;MIN(DAY(AH125),DAY(EOMONTH((AK125-1),0))),1,0))))</f>
        <v/>
      </c>
      <c r="AV125" s="19" t="str">
        <f aca="false">IF(AG125=0,"",IF(OR(AI125&lt;3,AL125&gt;AsOfDate),AT125,IF((AL125-1)&lt;AH125,-1,12*(YEAR((AL125-1))-YEAR(AH125))+MONTH((AL125-1))-MONTH(AH125)-IF(DAY((AL125-1))&lt;MIN(DAY(AH125),DAY(EOMONTH((AL125-1),0))),1,0))))</f>
        <v/>
      </c>
      <c r="AW125" s="19" t="str">
        <f aca="false">IF(AG125=0,"",IF(PFYDate&lt;AH125,-1,12*(YEAR(PFYDate)-YEAR(AH125))+MONTH(PFYDate)-MONTH(AH125)-IF(DAY(PFYDate)&lt;MIN(DAY(AH125),DAY(EOMONTH(PFYDate,0))),1,0)))</f>
        <v/>
      </c>
      <c r="AX125" s="19" t="str">
        <f aca="false">IF(AG125=0,"",IF(OR(AI125&lt;2,AK125&gt;PFYDate),AW125,IF((AK125-1)&lt;AH125,-1,12*(YEAR((AK125-1))-YEAR(AH125))+MONTH((AK125-1))-MONTH(AH125)-IF(DAY((AK125-1))&lt;MIN(DAY(AH125),DAY(EOMONTH((AK125-1),0))),1,0))))</f>
        <v/>
      </c>
      <c r="AY125" s="19" t="str">
        <f aca="false">IF(AG125=0,"",IF(OR(AI125&lt;3,AL125&gt;PFYDate),AW125,IF((AL125-1)&lt;AH125,-1,12*(YEAR((AL125-1))-YEAR(AH125))+MONTH((AL125-1))-MONTH(AH125)-IF(DAY((AL125-1))&lt;MIN(DAY(AH125),DAY(EOMONTH((AL125-1),0))),1,0))))</f>
        <v/>
      </c>
      <c r="AZ125" s="19" t="str">
        <f aca="false">IF(AG125=0,"",IF(AP125="FT",IF(AU125&lt;FT_First,0,IF(AU125&lt;FT_Y5,1+INT((AU125-FT_First)/FT_Int1),FT_PreY5+FT_PerYear*INT((AU125-FT_Y5)/12)+FT_AnnivDays+INT(MOD(AU125-FT_Y5,12)/FT_Int2))),IF(AP125="PT",IF(AU125&lt;PT_First,0,1+INT((AU125-PT_First)/PT_Int)),0))+IF(AND(AI125&gt;=2,AK125&lt;=AsOfDate),IF(AQ125="FT",IF(AV125&lt;FT_First,0,IF(AV125&lt;FT_Y5,1+INT((AV125-FT_First)/FT_Int1),FT_PreY5+FT_PerYear*INT((AV125-FT_Y5)/12)+FT_AnnivDays+INT(MOD(AV125-FT_Y5,12)/FT_Int2))),IF(AQ125="PT",IF(AV125&lt;PT_First,0,1+INT((AV125-PT_First)/PT_Int)),0))-IF(AQ125="FT",IF(AU125&lt;FT_First,0,IF(AU125&lt;FT_Y5,1+INT((AU125-FT_First)/FT_Int1),FT_PreY5+FT_PerYear*INT((AU125-FT_Y5)/12)+FT_AnnivDays+INT(MOD(AU125-FT_Y5,12)/FT_Int2))),IF(AQ125="PT",IF(AU125&lt;PT_First,0,1+INT((AU125-PT_First)/PT_Int)),0)),0)+IF(AND(AI125&gt;=3,AL125&lt;=AsOfDate),IF(AR125="FT",IF(AT125&lt;FT_First,0,IF(AT125&lt;FT_Y5,1+INT((AT125-FT_First)/FT_Int1),FT_PreY5+FT_PerYear*INT((AT125-FT_Y5)/12)+FT_AnnivDays+INT(MOD(AT125-FT_Y5,12)/FT_Int2))),IF(AR125="PT",IF(AT125&lt;PT_First,0,1+INT((AT125-PT_First)/PT_Int)),0))-IF(AR125="FT",IF(AV125&lt;FT_First,0,IF(AV125&lt;FT_Y5,1+INT((AV125-FT_First)/FT_Int1),FT_PreY5+FT_PerYear*INT((AV125-FT_Y5)/12)+FT_AnnivDays+INT(MOD(AV125-FT_Y5,12)/FT_Int2))),IF(AR125="PT",IF(AV125&lt;PT_First,0,1+INT((AV125-PT_First)/PT_Int)),0)),0))</f>
        <v/>
      </c>
      <c r="BA125" s="19" t="str">
        <f aca="false">IF(AG125=0,"",IF(AP125="FT",IF(AX125&lt;FT_First,0,IF(AX125&lt;FT_Y5,1+INT((AX125-FT_First)/FT_Int1),FT_PreY5+FT_PerYear*INT((AX125-FT_Y5)/12)+FT_AnnivDays+INT(MOD(AX125-FT_Y5,12)/FT_Int2))),IF(AP125="PT",IF(AX125&lt;PT_First,0,1+INT((AX125-PT_First)/PT_Int)),0))+IF(AND(AI125&gt;=2,AK125&lt;=PFYDate),IF(AQ125="FT",IF(AY125&lt;FT_First,0,IF(AY125&lt;FT_Y5,1+INT((AY125-FT_First)/FT_Int1),FT_PreY5+FT_PerYear*INT((AY125-FT_Y5)/12)+FT_AnnivDays+INT(MOD(AY125-FT_Y5,12)/FT_Int2))),IF(AQ125="PT",IF(AY125&lt;PT_First,0,1+INT((AY125-PT_First)/PT_Int)),0))-IF(AQ125="FT",IF(AX125&lt;FT_First,0,IF(AX125&lt;FT_Y5,1+INT((AX125-FT_First)/FT_Int1),FT_PreY5+FT_PerYear*INT((AX125-FT_Y5)/12)+FT_AnnivDays+INT(MOD(AX125-FT_Y5,12)/FT_Int2))),IF(AQ125="PT",IF(AX125&lt;PT_First,0,1+INT((AX125-PT_First)/PT_Int)),0)),0)+IF(AND(AI125&gt;=3,AL125&lt;=PFYDate),IF(AR125="FT",IF(AW125&lt;FT_First,0,IF(AW125&lt;FT_Y5,1+INT((AW125-FT_First)/FT_Int1),FT_PreY5+FT_PerYear*INT((AW125-FT_Y5)/12)+FT_AnnivDays+INT(MOD(AW125-FT_Y5,12)/FT_Int2))),IF(AR125="PT",IF(AW125&lt;PT_First,0,1+INT((AW125-PT_First)/PT_Int)),0))-IF(AR125="FT",IF(AY125&lt;FT_First,0,IF(AY125&lt;FT_Y5,1+INT((AY125-FT_First)/FT_Int1),FT_PreY5+FT_PerYear*INT((AY125-FT_Y5)/12)+FT_AnnivDays+INT(MOD(AY125-FT_Y5,12)/FT_Int2))),IF(AR125="PT",IF(AY125&lt;PT_First,0,1+INT((AY125-PT_First)/PT_Int)),0)),0))</f>
        <v/>
      </c>
      <c r="BB125" s="19" t="str">
        <f aca="false">IF(AG125=0,"",IF(AS125="FT",IF(AT125&lt;FT_First,FT_First,IF(AT125&lt;FT_Y5,MIN(FT_Y5,FT_First+FT_Int1*(INT((AT125-FT_First)/FT_Int1)+1)),FT_Y5+12*INT((AT125-FT_Y5)/12)+FT_Int2*(INT(MOD(AT125-FT_Y5,12)/FT_Int2)+1))),IF(AS125="PT",IF(AT125&lt;PT_First,PT_First,PT_First+PT_Int*(INT((AT125-PT_First)/PT_Int)+1)),"")))</f>
        <v/>
      </c>
      <c r="BC125" s="19" t="str">
        <f aca="false">IF(AG125=0,"",IF(NOT(LH_Ready),0,COUNTIFS(INDEX(LH_Data,0,LH_ColFirst),$A125,INDEX(LH_Data,0,LH_ColSur),$B125,INDEX(LH_Data,0,LH_ColCat),BonusCat)))</f>
        <v/>
      </c>
      <c r="BD125" s="19" t="str">
        <f aca="false">IF(AG125=0,"",IF(OR(NOT(LH_Ready),BC125=0),0,SUMPRODUCT(MAX((INDEX(LH_Data,0,LH_ColFirst)=$A125)*(INDEX(LH_Data,0,LH_ColSur)=$B125)*(INDEX(LH_Data,0,LH_ColCat)=BonusCat)*ROW(LH_Data)))))</f>
        <v/>
      </c>
      <c r="BE125" s="19" t="str">
        <f aca="false">IF(AG125=0,"",IF(EOMONTH(AsOfDate,-1)&lt;AH125,-1,12*(YEAR(EOMONTH(AsOfDate,-1))-YEAR(AH125))+MONTH(EOMONTH(AsOfDate,-1))-MONTH(AH125)-IF(DAY(EOMONTH(AsOfDate,-1))&lt;MIN(DAY(AH125),DAY(EOMONTH(EOMONTH(AsOfDate,-1),0))),1,0)))</f>
        <v/>
      </c>
      <c r="BF125" s="19" t="str">
        <f aca="false">IF(AG125=0,"",IF(OR(AI125&lt;2,AK125&gt;EOMONTH(AsOfDate,-1)),BE125,IF((AK125-1)&lt;AH125,-1,12*(YEAR((AK125-1))-YEAR(AH125))+MONTH((AK125-1))-MONTH(AH125)-IF(DAY((AK125-1))&lt;MIN(DAY(AH125),DAY(EOMONTH((AK125-1),0))),1,0))))</f>
        <v/>
      </c>
      <c r="BG125" s="19" t="str">
        <f aca="false">IF(AG125=0,"",IF(OR(AI125&lt;3,AL125&gt;EOMONTH(AsOfDate,-1)),BE125,IF((AL125-1)&lt;AH125,-1,12*(YEAR((AL125-1))-YEAR(AH125))+MONTH((AL125-1))-MONTH(AH125)-IF(DAY((AL125-1))&lt;MIN(DAY(AH125),DAY(EOMONTH((AL125-1),0))),1,0))))</f>
        <v/>
      </c>
      <c r="BH125" s="19" t="str">
        <f aca="false">IF(AG125=0,"",IF(AP125="FT",IF(BF125&lt;FT_First,0,IF(BF125&lt;FT_Y5,1+INT((BF125-FT_First)/FT_Int1),FT_PreY5+FT_PerYear*INT((BF125-FT_Y5)/12)+FT_AnnivDays+INT(MOD(BF125-FT_Y5,12)/FT_Int2))),IF(AP125="PT",IF(BF125&lt;PT_First,0,1+INT((BF125-PT_First)/PT_Int)),0))+IF(AND(AI125&gt;=2,AK125&lt;=EOMONTH(AsOfDate,-1)),IF(AQ125="FT",IF(BG125&lt;FT_First,0,IF(BG125&lt;FT_Y5,1+INT((BG125-FT_First)/FT_Int1),FT_PreY5+FT_PerYear*INT((BG125-FT_Y5)/12)+FT_AnnivDays+INT(MOD(BG125-FT_Y5,12)/FT_Int2))),IF(AQ125="PT",IF(BG125&lt;PT_First,0,1+INT((BG125-PT_First)/PT_Int)),0))-IF(AQ125="FT",IF(BF125&lt;FT_First,0,IF(BF125&lt;FT_Y5,1+INT((BF125-FT_First)/FT_Int1),FT_PreY5+FT_PerYear*INT((BF125-FT_Y5)/12)+FT_AnnivDays+INT(MOD(BF125-FT_Y5,12)/FT_Int2))),IF(AQ125="PT",IF(BF125&lt;PT_First,0,1+INT((BF125-PT_First)/PT_Int)),0)),0)+IF(AND(AI125&gt;=3,AL125&lt;=EOMONTH(AsOfDate,-1)),IF(AR125="FT",IF(BE125&lt;FT_First,0,IF(BE125&lt;FT_Y5,1+INT((BE125-FT_First)/FT_Int1),FT_PreY5+FT_PerYear*INT((BE125-FT_Y5)/12)+FT_AnnivDays+INT(MOD(BE125-FT_Y5,12)/FT_Int2))),IF(AR125="PT",IF(BE125&lt;PT_First,0,1+INT((BE125-PT_First)/PT_Int)),0))-IF(AR125="FT",IF(BG125&lt;FT_First,0,IF(BG125&lt;FT_Y5,1+INT((BG125-FT_First)/FT_Int1),FT_PreY5+FT_PerYear*INT((BG125-FT_Y5)/12)+FT_AnnivDays+INT(MOD(BG125-FT_Y5,12)/FT_Int2))),IF(AR125="PT",IF(BG125&lt;PT_First,0,1+INT((BG125-PT_First)/PT_Int)),0)),0))</f>
        <v/>
      </c>
      <c r="BI125" s="19" t="str">
        <f aca="false">IF(AG125=0,"",IF(AS125="FT",IF(AT125&lt;FT_First,"",IF(AT125&lt;FT_Y5,FT_First+FT_Int1*INT((AT125-FT_First)/FT_Int1),FT_Y5+FT_Int2*INT((AT125-FT_Y5)/FT_Int2))),IF(AS125="PT",IF(AT125&lt;PT_First,"",PT_First+PT_Int*INT((AT125-PT_First)/PT_Int)),"")))</f>
        <v/>
      </c>
      <c r="BJ125" s="0" t="str">
        <f aca="false">IF(LEN($A125&amp;$B125)=0,"",$A125&amp;" "&amp;$B125)</f>
        <v/>
      </c>
    </row>
    <row r="126" customFormat="false" ht="15" hidden="false" customHeight="false" outlineLevel="0" collapsed="false">
      <c r="A126" s="15"/>
      <c r="B126" s="15"/>
      <c r="C126" s="15"/>
      <c r="D126" s="16"/>
      <c r="E126" s="17" t="str">
        <f aca="false">IF(OR(AG126=0,$D126=""),"",DATE(YEAR(AsOfDate)+IF(DATE(YEAR(AsOfDate),MONTH($D126),DAY($D126))&lt;=AsOfDate,1,0),MONTH($D126),DAY($D126)))</f>
        <v/>
      </c>
      <c r="F126" s="16"/>
      <c r="G126" s="16"/>
      <c r="H126" s="16"/>
      <c r="I126" s="16"/>
      <c r="J126" s="16"/>
      <c r="K126" s="17" t="str">
        <f aca="false">IF(AG126=0,"",DATE(YEAR(AsOfDate)+IF(DATE(YEAR(AsOfDate),MONTH(AH126),DAY(AH126))&lt;=AsOfDate,1,0),MONTH(AH126),DAY(AH126)))</f>
        <v/>
      </c>
      <c r="L126" s="18" t="str">
        <f aca="false">IF(AG126=0,"",ROUND((AsOfDate-AH126)/365.25,1))</f>
        <v/>
      </c>
      <c r="M126" s="19" t="str">
        <f aca="false">IF(AG126=0,"",IF(AsOfDate&lt;AH126,"-",DATEDIF(AH126,AsOfDate,"y")&amp;"y "&amp;DATEDIF(AH126,AsOfDate,"ym")&amp;"m "&amp;DATEDIF(AH126,AsOfDate,"md")&amp;"d"))</f>
        <v/>
      </c>
      <c r="N126" s="20" t="str">
        <f aca="false">IF(AG126=0,"",O126*HoursPerDay)</f>
        <v/>
      </c>
      <c r="O126" s="20" t="str">
        <f aca="false">IF(AG126=0,"",AZ126)</f>
        <v/>
      </c>
      <c r="P126" s="21"/>
      <c r="Q126" s="19"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19"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7" t="str">
        <f aca="false">IF(AG126=0,"",IF(AS126="None","",EDATE(AH126,BB126)))</f>
        <v/>
      </c>
      <c r="T126" s="20" t="str">
        <f aca="false">IF(AG126=0,"",IF(NOT(LH_Ready),"",IF(AH126&gt;PFYDate,0,IF(LH_ColPeriod=0,W126-U126+V126,SUMIFS(INDEX(LH_Data,0,LH_ColAcc),INDEX(LH_Data,0,LH_ColFirst),$A126,INDEX(LH_Data,0,LH_ColSur),$B126,INDEX(LH_Data,0,LH_ColCat),BonusCat,INDEX(LH_Data,0,LH_ColPeriod),LH_OpenLabel)*UnitFactor))))</f>
        <v/>
      </c>
      <c r="U126" s="20" t="str">
        <f aca="false">IF(AG126=0,"",IF(NOT(LH_Ready),"",SUMIFS(INDEX(LH_Data,0,LH_ColAcc),INDEX(LH_Data,0,LH_ColFirst),$A126,INDEX(LH_Data,0,LH_ColSur),$B126,INDEX(LH_Data,0,LH_ColCat),BonusCat,INDEX(LH_Data,0,LH_ColStart),"&gt;="&amp;AH126)*UnitFactor))</f>
        <v/>
      </c>
      <c r="V126" s="20" t="str">
        <f aca="false">IF(AG126=0,"",IF(NOT(LH_Ready),"",SUMIFS(INDEX(LH_Data,0,LH_ColTaken),INDEX(LH_Data,0,LH_ColFirst),$A126,INDEX(LH_Data,0,LH_ColSur),$B126,INDEX(LH_Data,0,LH_ColCat),BonusCat,INDEX(LH_Data,0,LH_ColStart),"&gt;="&amp;AH126)*UnitFactor))</f>
        <v/>
      </c>
      <c r="W126" s="20" t="str">
        <f aca="false">IF(AG126=0,"",IF(NOT(LH_Ready),"",IF(BD126=0,0,INDEX(INDEX(LH_Data,0,LH_ColClose),BD126-1)*UnitFactor)))</f>
        <v/>
      </c>
      <c r="X126" s="20" t="str">
        <f aca="false">IF(AG126=0,"",(AZ126-BA126)*HoursPerDay)</f>
        <v/>
      </c>
      <c r="Y126" s="20" t="str">
        <f aca="false">IF(AG126=0,"",IF(NOT(LH_Ready),"",IF(BC126=0,N126,IF(PFYDate&lt;$F126,N126-N(T126)-N(U126),X126-N(U126)))))</f>
        <v/>
      </c>
      <c r="Z126" s="19" t="str">
        <f aca="false">IF(OR(AG126=0,Y126=""),"",IF(Y126&gt;0,"Yes","No"))</f>
        <v/>
      </c>
      <c r="AA126" s="19"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20" t="str">
        <f aca="false">IF(OR(AG126=0,T126=""),"",BA126*HoursPerDay-T126)</f>
        <v/>
      </c>
      <c r="AC126" s="19" t="str">
        <f aca="false">IF(AG126=0,"",BC126)</f>
        <v/>
      </c>
      <c r="AD126" s="19"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20" t="str">
        <f aca="false">IF(AG126=0,"",O126-BH126)</f>
        <v/>
      </c>
      <c r="AF126" s="17" t="str">
        <f aca="false">IF(OR(AG126=0,AE126="",N(AE126)=0,BI126=""),"",EDATE(AH126,BI126))</f>
        <v/>
      </c>
      <c r="AG126" s="19" t="n">
        <f aca="false">IF(OR(LEN($A126&amp;$B126)=0,$F126=""),0,1)</f>
        <v>0</v>
      </c>
      <c r="AH126" s="17" t="str">
        <f aca="false">IF(AG126=0,"",IF($J126&lt;&gt;"",$J126,IF(OR(CasualCounts="Yes",COUNT($G126:$I126)=0,COUNT($H126:$I126)=0),$F126,MIN($H126:$I126))))</f>
        <v/>
      </c>
      <c r="AI126" s="19" t="str">
        <f aca="false">IF(AG126=0,"",COUNT($G126:$I126))</f>
        <v/>
      </c>
      <c r="AJ126" s="17" t="str">
        <f aca="false">IF(AG126=0,"",IFERROR(SMALL($G126:$I126,1),""))</f>
        <v/>
      </c>
      <c r="AK126" s="17" t="str">
        <f aca="false">IF(AG126=0,"",IFERROR(SMALL($G126:$I126,2),""))</f>
        <v/>
      </c>
      <c r="AL126" s="17" t="str">
        <f aca="false">IF(AG126=0,"",IFERROR(SMALL($G126:$I126,3),""))</f>
        <v/>
      </c>
      <c r="AM126" s="19" t="str">
        <f aca="false">IF(AG126=0,"",IF(AJ126="","",IF(AJ126=$H126,"Part-Time",IF(AJ126=$I126,"Full-Time","Casual"))))</f>
        <v/>
      </c>
      <c r="AN126" s="19" t="str">
        <f aca="false">IF(AG126=0,"",IF(AK126="","",IF(AK126=$H126,"Part-Time",IF(AK126=$I126,"Full-Time","Casual"))))</f>
        <v/>
      </c>
      <c r="AO126" s="19" t="str">
        <f aca="false">IF(AG126=0,"",IF(AL126="","",IF(AL126=$H126,"Part-Time",IF(AL126=$I126,"Full-Time","Casual"))))</f>
        <v/>
      </c>
      <c r="AP126" s="19"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19" t="str">
        <f aca="false">IF(AG126=0,"",IF(AI126&lt;2,"",IF(OR(ISNUMBER(SEARCH("full",AN126)),UPPER(TRIM(AN126))="FT",UPPER(TRIM(AN126))="FTE"),"FT",IF(AND(OR(ISNUMBER(SEARCH("part",AN126)),UPPER(TRIM(AN126))="PT",UPPER(TRIM(AN126))="PTE"),OR($P126="",N($P126)&gt;=PT_MinHours)),"PT","None"))))</f>
        <v/>
      </c>
      <c r="AR126" s="19" t="str">
        <f aca="false">IF(AG126=0,"",IF(AI126&lt;3,"",IF(OR(ISNUMBER(SEARCH("full",AO126)),UPPER(TRIM(AO126))="FT",UPPER(TRIM(AO126))="FTE"),"FT",IF(AND(OR(ISNUMBER(SEARCH("part",AO126)),UPPER(TRIM(AO126))="PT",UPPER(TRIM(AO126))="PTE"),OR($P126="",N($P126)&gt;=PT_MinHours)),"PT","None"))))</f>
        <v/>
      </c>
      <c r="AS126" s="19" t="str">
        <f aca="false">IF(AG126=0,"",IF(AND(AI126&gt;=3,AL126&lt;=AsOfDate),AR126,IF(AND(AI126&gt;=2,AK126&lt;=AsOfDate),AQ126,AP126)))</f>
        <v/>
      </c>
      <c r="AT126" s="19" t="str">
        <f aca="false">IF(AG126=0,"",IF(AsOfDate&lt;AH126,-1,12*(YEAR(AsOfDate)-YEAR(AH126))+MONTH(AsOfDate)-MONTH(AH126)-IF(DAY(AsOfDate)&lt;MIN(DAY(AH126),DAY(EOMONTH(AsOfDate,0))),1,0)))</f>
        <v/>
      </c>
      <c r="AU126" s="19" t="str">
        <f aca="false">IF(AG126=0,"",IF(OR(AI126&lt;2,AK126&gt;AsOfDate),AT126,IF((AK126-1)&lt;AH126,-1,12*(YEAR((AK126-1))-YEAR(AH126))+MONTH((AK126-1))-MONTH(AH126)-IF(DAY((AK126-1))&lt;MIN(DAY(AH126),DAY(EOMONTH((AK126-1),0))),1,0))))</f>
        <v/>
      </c>
      <c r="AV126" s="19" t="str">
        <f aca="false">IF(AG126=0,"",IF(OR(AI126&lt;3,AL126&gt;AsOfDate),AT126,IF((AL126-1)&lt;AH126,-1,12*(YEAR((AL126-1))-YEAR(AH126))+MONTH((AL126-1))-MONTH(AH126)-IF(DAY((AL126-1))&lt;MIN(DAY(AH126),DAY(EOMONTH((AL126-1),0))),1,0))))</f>
        <v/>
      </c>
      <c r="AW126" s="19" t="str">
        <f aca="false">IF(AG126=0,"",IF(PFYDate&lt;AH126,-1,12*(YEAR(PFYDate)-YEAR(AH126))+MONTH(PFYDate)-MONTH(AH126)-IF(DAY(PFYDate)&lt;MIN(DAY(AH126),DAY(EOMONTH(PFYDate,0))),1,0)))</f>
        <v/>
      </c>
      <c r="AX126" s="19" t="str">
        <f aca="false">IF(AG126=0,"",IF(OR(AI126&lt;2,AK126&gt;PFYDate),AW126,IF((AK126-1)&lt;AH126,-1,12*(YEAR((AK126-1))-YEAR(AH126))+MONTH((AK126-1))-MONTH(AH126)-IF(DAY((AK126-1))&lt;MIN(DAY(AH126),DAY(EOMONTH((AK126-1),0))),1,0))))</f>
        <v/>
      </c>
      <c r="AY126" s="19" t="str">
        <f aca="false">IF(AG126=0,"",IF(OR(AI126&lt;3,AL126&gt;PFYDate),AW126,IF((AL126-1)&lt;AH126,-1,12*(YEAR((AL126-1))-YEAR(AH126))+MONTH((AL126-1))-MONTH(AH126)-IF(DAY((AL126-1))&lt;MIN(DAY(AH126),DAY(EOMONTH((AL126-1),0))),1,0))))</f>
        <v/>
      </c>
      <c r="AZ126" s="19" t="str">
        <f aca="false">IF(AG126=0,"",IF(AP126="FT",IF(AU126&lt;FT_First,0,IF(AU126&lt;FT_Y5,1+INT((AU126-FT_First)/FT_Int1),FT_PreY5+FT_PerYear*INT((AU126-FT_Y5)/12)+FT_AnnivDays+INT(MOD(AU126-FT_Y5,12)/FT_Int2))),IF(AP126="PT",IF(AU126&lt;PT_First,0,1+INT((AU126-PT_First)/PT_Int)),0))+IF(AND(AI126&gt;=2,AK126&lt;=AsOfDate),IF(AQ126="FT",IF(AV126&lt;FT_First,0,IF(AV126&lt;FT_Y5,1+INT((AV126-FT_First)/FT_Int1),FT_PreY5+FT_PerYear*INT((AV126-FT_Y5)/12)+FT_AnnivDays+INT(MOD(AV126-FT_Y5,12)/FT_Int2))),IF(AQ126="PT",IF(AV126&lt;PT_First,0,1+INT((AV126-PT_First)/PT_Int)),0))-IF(AQ126="FT",IF(AU126&lt;FT_First,0,IF(AU126&lt;FT_Y5,1+INT((AU126-FT_First)/FT_Int1),FT_PreY5+FT_PerYear*INT((AU126-FT_Y5)/12)+FT_AnnivDays+INT(MOD(AU126-FT_Y5,12)/FT_Int2))),IF(AQ126="PT",IF(AU126&lt;PT_First,0,1+INT((AU126-PT_First)/PT_Int)),0)),0)+IF(AND(AI126&gt;=3,AL126&lt;=AsOfDate),IF(AR126="FT",IF(AT126&lt;FT_First,0,IF(AT126&lt;FT_Y5,1+INT((AT126-FT_First)/FT_Int1),FT_PreY5+FT_PerYear*INT((AT126-FT_Y5)/12)+FT_AnnivDays+INT(MOD(AT126-FT_Y5,12)/FT_Int2))),IF(AR126="PT",IF(AT126&lt;PT_First,0,1+INT((AT126-PT_First)/PT_Int)),0))-IF(AR126="FT",IF(AV126&lt;FT_First,0,IF(AV126&lt;FT_Y5,1+INT((AV126-FT_First)/FT_Int1),FT_PreY5+FT_PerYear*INT((AV126-FT_Y5)/12)+FT_AnnivDays+INT(MOD(AV126-FT_Y5,12)/FT_Int2))),IF(AR126="PT",IF(AV126&lt;PT_First,0,1+INT((AV126-PT_First)/PT_Int)),0)),0))</f>
        <v/>
      </c>
      <c r="BA126" s="19" t="str">
        <f aca="false">IF(AG126=0,"",IF(AP126="FT",IF(AX126&lt;FT_First,0,IF(AX126&lt;FT_Y5,1+INT((AX126-FT_First)/FT_Int1),FT_PreY5+FT_PerYear*INT((AX126-FT_Y5)/12)+FT_AnnivDays+INT(MOD(AX126-FT_Y5,12)/FT_Int2))),IF(AP126="PT",IF(AX126&lt;PT_First,0,1+INT((AX126-PT_First)/PT_Int)),0))+IF(AND(AI126&gt;=2,AK126&lt;=PFYDate),IF(AQ126="FT",IF(AY126&lt;FT_First,0,IF(AY126&lt;FT_Y5,1+INT((AY126-FT_First)/FT_Int1),FT_PreY5+FT_PerYear*INT((AY126-FT_Y5)/12)+FT_AnnivDays+INT(MOD(AY126-FT_Y5,12)/FT_Int2))),IF(AQ126="PT",IF(AY126&lt;PT_First,0,1+INT((AY126-PT_First)/PT_Int)),0))-IF(AQ126="FT",IF(AX126&lt;FT_First,0,IF(AX126&lt;FT_Y5,1+INT((AX126-FT_First)/FT_Int1),FT_PreY5+FT_PerYear*INT((AX126-FT_Y5)/12)+FT_AnnivDays+INT(MOD(AX126-FT_Y5,12)/FT_Int2))),IF(AQ126="PT",IF(AX126&lt;PT_First,0,1+INT((AX126-PT_First)/PT_Int)),0)),0)+IF(AND(AI126&gt;=3,AL126&lt;=PFYDate),IF(AR126="FT",IF(AW126&lt;FT_First,0,IF(AW126&lt;FT_Y5,1+INT((AW126-FT_First)/FT_Int1),FT_PreY5+FT_PerYear*INT((AW126-FT_Y5)/12)+FT_AnnivDays+INT(MOD(AW126-FT_Y5,12)/FT_Int2))),IF(AR126="PT",IF(AW126&lt;PT_First,0,1+INT((AW126-PT_First)/PT_Int)),0))-IF(AR126="FT",IF(AY126&lt;FT_First,0,IF(AY126&lt;FT_Y5,1+INT((AY126-FT_First)/FT_Int1),FT_PreY5+FT_PerYear*INT((AY126-FT_Y5)/12)+FT_AnnivDays+INT(MOD(AY126-FT_Y5,12)/FT_Int2))),IF(AR126="PT",IF(AY126&lt;PT_First,0,1+INT((AY126-PT_First)/PT_Int)),0)),0))</f>
        <v/>
      </c>
      <c r="BB126" s="19" t="str">
        <f aca="false">IF(AG126=0,"",IF(AS126="FT",IF(AT126&lt;FT_First,FT_First,IF(AT126&lt;FT_Y5,MIN(FT_Y5,FT_First+FT_Int1*(INT((AT126-FT_First)/FT_Int1)+1)),FT_Y5+12*INT((AT126-FT_Y5)/12)+FT_Int2*(INT(MOD(AT126-FT_Y5,12)/FT_Int2)+1))),IF(AS126="PT",IF(AT126&lt;PT_First,PT_First,PT_First+PT_Int*(INT((AT126-PT_First)/PT_Int)+1)),"")))</f>
        <v/>
      </c>
      <c r="BC126" s="19" t="str">
        <f aca="false">IF(AG126=0,"",IF(NOT(LH_Ready),0,COUNTIFS(INDEX(LH_Data,0,LH_ColFirst),$A126,INDEX(LH_Data,0,LH_ColSur),$B126,INDEX(LH_Data,0,LH_ColCat),BonusCat)))</f>
        <v/>
      </c>
      <c r="BD126" s="19" t="str">
        <f aca="false">IF(AG126=0,"",IF(OR(NOT(LH_Ready),BC126=0),0,SUMPRODUCT(MAX((INDEX(LH_Data,0,LH_ColFirst)=$A126)*(INDEX(LH_Data,0,LH_ColSur)=$B126)*(INDEX(LH_Data,0,LH_ColCat)=BonusCat)*ROW(LH_Data)))))</f>
        <v/>
      </c>
      <c r="BE126" s="19" t="str">
        <f aca="false">IF(AG126=0,"",IF(EOMONTH(AsOfDate,-1)&lt;AH126,-1,12*(YEAR(EOMONTH(AsOfDate,-1))-YEAR(AH126))+MONTH(EOMONTH(AsOfDate,-1))-MONTH(AH126)-IF(DAY(EOMONTH(AsOfDate,-1))&lt;MIN(DAY(AH126),DAY(EOMONTH(EOMONTH(AsOfDate,-1),0))),1,0)))</f>
        <v/>
      </c>
      <c r="BF126" s="19" t="str">
        <f aca="false">IF(AG126=0,"",IF(OR(AI126&lt;2,AK126&gt;EOMONTH(AsOfDate,-1)),BE126,IF((AK126-1)&lt;AH126,-1,12*(YEAR((AK126-1))-YEAR(AH126))+MONTH((AK126-1))-MONTH(AH126)-IF(DAY((AK126-1))&lt;MIN(DAY(AH126),DAY(EOMONTH((AK126-1),0))),1,0))))</f>
        <v/>
      </c>
      <c r="BG126" s="19" t="str">
        <f aca="false">IF(AG126=0,"",IF(OR(AI126&lt;3,AL126&gt;EOMONTH(AsOfDate,-1)),BE126,IF((AL126-1)&lt;AH126,-1,12*(YEAR((AL126-1))-YEAR(AH126))+MONTH((AL126-1))-MONTH(AH126)-IF(DAY((AL126-1))&lt;MIN(DAY(AH126),DAY(EOMONTH((AL126-1),0))),1,0))))</f>
        <v/>
      </c>
      <c r="BH126" s="19" t="str">
        <f aca="false">IF(AG126=0,"",IF(AP126="FT",IF(BF126&lt;FT_First,0,IF(BF126&lt;FT_Y5,1+INT((BF126-FT_First)/FT_Int1),FT_PreY5+FT_PerYear*INT((BF126-FT_Y5)/12)+FT_AnnivDays+INT(MOD(BF126-FT_Y5,12)/FT_Int2))),IF(AP126="PT",IF(BF126&lt;PT_First,0,1+INT((BF126-PT_First)/PT_Int)),0))+IF(AND(AI126&gt;=2,AK126&lt;=EOMONTH(AsOfDate,-1)),IF(AQ126="FT",IF(BG126&lt;FT_First,0,IF(BG126&lt;FT_Y5,1+INT((BG126-FT_First)/FT_Int1),FT_PreY5+FT_PerYear*INT((BG126-FT_Y5)/12)+FT_AnnivDays+INT(MOD(BG126-FT_Y5,12)/FT_Int2))),IF(AQ126="PT",IF(BG126&lt;PT_First,0,1+INT((BG126-PT_First)/PT_Int)),0))-IF(AQ126="FT",IF(BF126&lt;FT_First,0,IF(BF126&lt;FT_Y5,1+INT((BF126-FT_First)/FT_Int1),FT_PreY5+FT_PerYear*INT((BF126-FT_Y5)/12)+FT_AnnivDays+INT(MOD(BF126-FT_Y5,12)/FT_Int2))),IF(AQ126="PT",IF(BF126&lt;PT_First,0,1+INT((BF126-PT_First)/PT_Int)),0)),0)+IF(AND(AI126&gt;=3,AL126&lt;=EOMONTH(AsOfDate,-1)),IF(AR126="FT",IF(BE126&lt;FT_First,0,IF(BE126&lt;FT_Y5,1+INT((BE126-FT_First)/FT_Int1),FT_PreY5+FT_PerYear*INT((BE126-FT_Y5)/12)+FT_AnnivDays+INT(MOD(BE126-FT_Y5,12)/FT_Int2))),IF(AR126="PT",IF(BE126&lt;PT_First,0,1+INT((BE126-PT_First)/PT_Int)),0))-IF(AR126="FT",IF(BG126&lt;FT_First,0,IF(BG126&lt;FT_Y5,1+INT((BG126-FT_First)/FT_Int1),FT_PreY5+FT_PerYear*INT((BG126-FT_Y5)/12)+FT_AnnivDays+INT(MOD(BG126-FT_Y5,12)/FT_Int2))),IF(AR126="PT",IF(BG126&lt;PT_First,0,1+INT((BG126-PT_First)/PT_Int)),0)),0))</f>
        <v/>
      </c>
      <c r="BI126" s="19" t="str">
        <f aca="false">IF(AG126=0,"",IF(AS126="FT",IF(AT126&lt;FT_First,"",IF(AT126&lt;FT_Y5,FT_First+FT_Int1*INT((AT126-FT_First)/FT_Int1),FT_Y5+FT_Int2*INT((AT126-FT_Y5)/FT_Int2))),IF(AS126="PT",IF(AT126&lt;PT_First,"",PT_First+PT_Int*INT((AT126-PT_First)/PT_Int)),"")))</f>
        <v/>
      </c>
      <c r="BJ126" s="0" t="str">
        <f aca="false">IF(LEN($A126&amp;$B126)=0,"",$A126&amp;" "&amp;$B126)</f>
        <v/>
      </c>
    </row>
    <row r="127" customFormat="false" ht="15" hidden="false" customHeight="false" outlineLevel="0" collapsed="false">
      <c r="A127" s="15"/>
      <c r="B127" s="15"/>
      <c r="C127" s="15"/>
      <c r="D127" s="16"/>
      <c r="E127" s="17" t="str">
        <f aca="false">IF(OR(AG127=0,$D127=""),"",DATE(YEAR(AsOfDate)+IF(DATE(YEAR(AsOfDate),MONTH($D127),DAY($D127))&lt;=AsOfDate,1,0),MONTH($D127),DAY($D127)))</f>
        <v/>
      </c>
      <c r="F127" s="16"/>
      <c r="G127" s="16"/>
      <c r="H127" s="16"/>
      <c r="I127" s="16"/>
      <c r="J127" s="16"/>
      <c r="K127" s="17" t="str">
        <f aca="false">IF(AG127=0,"",DATE(YEAR(AsOfDate)+IF(DATE(YEAR(AsOfDate),MONTH(AH127),DAY(AH127))&lt;=AsOfDate,1,0),MONTH(AH127),DAY(AH127)))</f>
        <v/>
      </c>
      <c r="L127" s="18" t="str">
        <f aca="false">IF(AG127=0,"",ROUND((AsOfDate-AH127)/365.25,1))</f>
        <v/>
      </c>
      <c r="M127" s="19" t="str">
        <f aca="false">IF(AG127=0,"",IF(AsOfDate&lt;AH127,"-",DATEDIF(AH127,AsOfDate,"y")&amp;"y "&amp;DATEDIF(AH127,AsOfDate,"ym")&amp;"m "&amp;DATEDIF(AH127,AsOfDate,"md")&amp;"d"))</f>
        <v/>
      </c>
      <c r="N127" s="20" t="str">
        <f aca="false">IF(AG127=0,"",O127*HoursPerDay)</f>
        <v/>
      </c>
      <c r="O127" s="20" t="str">
        <f aca="false">IF(AG127=0,"",AZ127)</f>
        <v/>
      </c>
      <c r="P127" s="21"/>
      <c r="Q127" s="19"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19"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7" t="str">
        <f aca="false">IF(AG127=0,"",IF(AS127="None","",EDATE(AH127,BB127)))</f>
        <v/>
      </c>
      <c r="T127" s="20" t="str">
        <f aca="false">IF(AG127=0,"",IF(NOT(LH_Ready),"",IF(AH127&gt;PFYDate,0,IF(LH_ColPeriod=0,W127-U127+V127,SUMIFS(INDEX(LH_Data,0,LH_ColAcc),INDEX(LH_Data,0,LH_ColFirst),$A127,INDEX(LH_Data,0,LH_ColSur),$B127,INDEX(LH_Data,0,LH_ColCat),BonusCat,INDEX(LH_Data,0,LH_ColPeriod),LH_OpenLabel)*UnitFactor))))</f>
        <v/>
      </c>
      <c r="U127" s="20" t="str">
        <f aca="false">IF(AG127=0,"",IF(NOT(LH_Ready),"",SUMIFS(INDEX(LH_Data,0,LH_ColAcc),INDEX(LH_Data,0,LH_ColFirst),$A127,INDEX(LH_Data,0,LH_ColSur),$B127,INDEX(LH_Data,0,LH_ColCat),BonusCat,INDEX(LH_Data,0,LH_ColStart),"&gt;="&amp;AH127)*UnitFactor))</f>
        <v/>
      </c>
      <c r="V127" s="20" t="str">
        <f aca="false">IF(AG127=0,"",IF(NOT(LH_Ready),"",SUMIFS(INDEX(LH_Data,0,LH_ColTaken),INDEX(LH_Data,0,LH_ColFirst),$A127,INDEX(LH_Data,0,LH_ColSur),$B127,INDEX(LH_Data,0,LH_ColCat),BonusCat,INDEX(LH_Data,0,LH_ColStart),"&gt;="&amp;AH127)*UnitFactor))</f>
        <v/>
      </c>
      <c r="W127" s="20" t="str">
        <f aca="false">IF(AG127=0,"",IF(NOT(LH_Ready),"",IF(BD127=0,0,INDEX(INDEX(LH_Data,0,LH_ColClose),BD127-1)*UnitFactor)))</f>
        <v/>
      </c>
      <c r="X127" s="20" t="str">
        <f aca="false">IF(AG127=0,"",(AZ127-BA127)*HoursPerDay)</f>
        <v/>
      </c>
      <c r="Y127" s="20" t="str">
        <f aca="false">IF(AG127=0,"",IF(NOT(LH_Ready),"",IF(BC127=0,N127,IF(PFYDate&lt;$F127,N127-N(T127)-N(U127),X127-N(U127)))))</f>
        <v/>
      </c>
      <c r="Z127" s="19" t="str">
        <f aca="false">IF(OR(AG127=0,Y127=""),"",IF(Y127&gt;0,"Yes","No"))</f>
        <v/>
      </c>
      <c r="AA127" s="19"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20" t="str">
        <f aca="false">IF(OR(AG127=0,T127=""),"",BA127*HoursPerDay-T127)</f>
        <v/>
      </c>
      <c r="AC127" s="19" t="str">
        <f aca="false">IF(AG127=0,"",BC127)</f>
        <v/>
      </c>
      <c r="AD127" s="19"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20" t="str">
        <f aca="false">IF(AG127=0,"",O127-BH127)</f>
        <v/>
      </c>
      <c r="AF127" s="17" t="str">
        <f aca="false">IF(OR(AG127=0,AE127="",N(AE127)=0,BI127=""),"",EDATE(AH127,BI127))</f>
        <v/>
      </c>
      <c r="AG127" s="19" t="n">
        <f aca="false">IF(OR(LEN($A127&amp;$B127)=0,$F127=""),0,1)</f>
        <v>0</v>
      </c>
      <c r="AH127" s="17" t="str">
        <f aca="false">IF(AG127=0,"",IF($J127&lt;&gt;"",$J127,IF(OR(CasualCounts="Yes",COUNT($G127:$I127)=0,COUNT($H127:$I127)=0),$F127,MIN($H127:$I127))))</f>
        <v/>
      </c>
      <c r="AI127" s="19" t="str">
        <f aca="false">IF(AG127=0,"",COUNT($G127:$I127))</f>
        <v/>
      </c>
      <c r="AJ127" s="17" t="str">
        <f aca="false">IF(AG127=0,"",IFERROR(SMALL($G127:$I127,1),""))</f>
        <v/>
      </c>
      <c r="AK127" s="17" t="str">
        <f aca="false">IF(AG127=0,"",IFERROR(SMALL($G127:$I127,2),""))</f>
        <v/>
      </c>
      <c r="AL127" s="17" t="str">
        <f aca="false">IF(AG127=0,"",IFERROR(SMALL($G127:$I127,3),""))</f>
        <v/>
      </c>
      <c r="AM127" s="19" t="str">
        <f aca="false">IF(AG127=0,"",IF(AJ127="","",IF(AJ127=$H127,"Part-Time",IF(AJ127=$I127,"Full-Time","Casual"))))</f>
        <v/>
      </c>
      <c r="AN127" s="19" t="str">
        <f aca="false">IF(AG127=0,"",IF(AK127="","",IF(AK127=$H127,"Part-Time",IF(AK127=$I127,"Full-Time","Casual"))))</f>
        <v/>
      </c>
      <c r="AO127" s="19" t="str">
        <f aca="false">IF(AG127=0,"",IF(AL127="","",IF(AL127=$H127,"Part-Time",IF(AL127=$I127,"Full-Time","Casual"))))</f>
        <v/>
      </c>
      <c r="AP127" s="19"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19" t="str">
        <f aca="false">IF(AG127=0,"",IF(AI127&lt;2,"",IF(OR(ISNUMBER(SEARCH("full",AN127)),UPPER(TRIM(AN127))="FT",UPPER(TRIM(AN127))="FTE"),"FT",IF(AND(OR(ISNUMBER(SEARCH("part",AN127)),UPPER(TRIM(AN127))="PT",UPPER(TRIM(AN127))="PTE"),OR($P127="",N($P127)&gt;=PT_MinHours)),"PT","None"))))</f>
        <v/>
      </c>
      <c r="AR127" s="19" t="str">
        <f aca="false">IF(AG127=0,"",IF(AI127&lt;3,"",IF(OR(ISNUMBER(SEARCH("full",AO127)),UPPER(TRIM(AO127))="FT",UPPER(TRIM(AO127))="FTE"),"FT",IF(AND(OR(ISNUMBER(SEARCH("part",AO127)),UPPER(TRIM(AO127))="PT",UPPER(TRIM(AO127))="PTE"),OR($P127="",N($P127)&gt;=PT_MinHours)),"PT","None"))))</f>
        <v/>
      </c>
      <c r="AS127" s="19" t="str">
        <f aca="false">IF(AG127=0,"",IF(AND(AI127&gt;=3,AL127&lt;=AsOfDate),AR127,IF(AND(AI127&gt;=2,AK127&lt;=AsOfDate),AQ127,AP127)))</f>
        <v/>
      </c>
      <c r="AT127" s="19" t="str">
        <f aca="false">IF(AG127=0,"",IF(AsOfDate&lt;AH127,-1,12*(YEAR(AsOfDate)-YEAR(AH127))+MONTH(AsOfDate)-MONTH(AH127)-IF(DAY(AsOfDate)&lt;MIN(DAY(AH127),DAY(EOMONTH(AsOfDate,0))),1,0)))</f>
        <v/>
      </c>
      <c r="AU127" s="19" t="str">
        <f aca="false">IF(AG127=0,"",IF(OR(AI127&lt;2,AK127&gt;AsOfDate),AT127,IF((AK127-1)&lt;AH127,-1,12*(YEAR((AK127-1))-YEAR(AH127))+MONTH((AK127-1))-MONTH(AH127)-IF(DAY((AK127-1))&lt;MIN(DAY(AH127),DAY(EOMONTH((AK127-1),0))),1,0))))</f>
        <v/>
      </c>
      <c r="AV127" s="19" t="str">
        <f aca="false">IF(AG127=0,"",IF(OR(AI127&lt;3,AL127&gt;AsOfDate),AT127,IF((AL127-1)&lt;AH127,-1,12*(YEAR((AL127-1))-YEAR(AH127))+MONTH((AL127-1))-MONTH(AH127)-IF(DAY((AL127-1))&lt;MIN(DAY(AH127),DAY(EOMONTH((AL127-1),0))),1,0))))</f>
        <v/>
      </c>
      <c r="AW127" s="19" t="str">
        <f aca="false">IF(AG127=0,"",IF(PFYDate&lt;AH127,-1,12*(YEAR(PFYDate)-YEAR(AH127))+MONTH(PFYDate)-MONTH(AH127)-IF(DAY(PFYDate)&lt;MIN(DAY(AH127),DAY(EOMONTH(PFYDate,0))),1,0)))</f>
        <v/>
      </c>
      <c r="AX127" s="19" t="str">
        <f aca="false">IF(AG127=0,"",IF(OR(AI127&lt;2,AK127&gt;PFYDate),AW127,IF((AK127-1)&lt;AH127,-1,12*(YEAR((AK127-1))-YEAR(AH127))+MONTH((AK127-1))-MONTH(AH127)-IF(DAY((AK127-1))&lt;MIN(DAY(AH127),DAY(EOMONTH((AK127-1),0))),1,0))))</f>
        <v/>
      </c>
      <c r="AY127" s="19" t="str">
        <f aca="false">IF(AG127=0,"",IF(OR(AI127&lt;3,AL127&gt;PFYDate),AW127,IF((AL127-1)&lt;AH127,-1,12*(YEAR((AL127-1))-YEAR(AH127))+MONTH((AL127-1))-MONTH(AH127)-IF(DAY((AL127-1))&lt;MIN(DAY(AH127),DAY(EOMONTH((AL127-1),0))),1,0))))</f>
        <v/>
      </c>
      <c r="AZ127" s="19" t="str">
        <f aca="false">IF(AG127=0,"",IF(AP127="FT",IF(AU127&lt;FT_First,0,IF(AU127&lt;FT_Y5,1+INT((AU127-FT_First)/FT_Int1),FT_PreY5+FT_PerYear*INT((AU127-FT_Y5)/12)+FT_AnnivDays+INT(MOD(AU127-FT_Y5,12)/FT_Int2))),IF(AP127="PT",IF(AU127&lt;PT_First,0,1+INT((AU127-PT_First)/PT_Int)),0))+IF(AND(AI127&gt;=2,AK127&lt;=AsOfDate),IF(AQ127="FT",IF(AV127&lt;FT_First,0,IF(AV127&lt;FT_Y5,1+INT((AV127-FT_First)/FT_Int1),FT_PreY5+FT_PerYear*INT((AV127-FT_Y5)/12)+FT_AnnivDays+INT(MOD(AV127-FT_Y5,12)/FT_Int2))),IF(AQ127="PT",IF(AV127&lt;PT_First,0,1+INT((AV127-PT_First)/PT_Int)),0))-IF(AQ127="FT",IF(AU127&lt;FT_First,0,IF(AU127&lt;FT_Y5,1+INT((AU127-FT_First)/FT_Int1),FT_PreY5+FT_PerYear*INT((AU127-FT_Y5)/12)+FT_AnnivDays+INT(MOD(AU127-FT_Y5,12)/FT_Int2))),IF(AQ127="PT",IF(AU127&lt;PT_First,0,1+INT((AU127-PT_First)/PT_Int)),0)),0)+IF(AND(AI127&gt;=3,AL127&lt;=AsOfDate),IF(AR127="FT",IF(AT127&lt;FT_First,0,IF(AT127&lt;FT_Y5,1+INT((AT127-FT_First)/FT_Int1),FT_PreY5+FT_PerYear*INT((AT127-FT_Y5)/12)+FT_AnnivDays+INT(MOD(AT127-FT_Y5,12)/FT_Int2))),IF(AR127="PT",IF(AT127&lt;PT_First,0,1+INT((AT127-PT_First)/PT_Int)),0))-IF(AR127="FT",IF(AV127&lt;FT_First,0,IF(AV127&lt;FT_Y5,1+INT((AV127-FT_First)/FT_Int1),FT_PreY5+FT_PerYear*INT((AV127-FT_Y5)/12)+FT_AnnivDays+INT(MOD(AV127-FT_Y5,12)/FT_Int2))),IF(AR127="PT",IF(AV127&lt;PT_First,0,1+INT((AV127-PT_First)/PT_Int)),0)),0))</f>
        <v/>
      </c>
      <c r="BA127" s="19" t="str">
        <f aca="false">IF(AG127=0,"",IF(AP127="FT",IF(AX127&lt;FT_First,0,IF(AX127&lt;FT_Y5,1+INT((AX127-FT_First)/FT_Int1),FT_PreY5+FT_PerYear*INT((AX127-FT_Y5)/12)+FT_AnnivDays+INT(MOD(AX127-FT_Y5,12)/FT_Int2))),IF(AP127="PT",IF(AX127&lt;PT_First,0,1+INT((AX127-PT_First)/PT_Int)),0))+IF(AND(AI127&gt;=2,AK127&lt;=PFYDate),IF(AQ127="FT",IF(AY127&lt;FT_First,0,IF(AY127&lt;FT_Y5,1+INT((AY127-FT_First)/FT_Int1),FT_PreY5+FT_PerYear*INT((AY127-FT_Y5)/12)+FT_AnnivDays+INT(MOD(AY127-FT_Y5,12)/FT_Int2))),IF(AQ127="PT",IF(AY127&lt;PT_First,0,1+INT((AY127-PT_First)/PT_Int)),0))-IF(AQ127="FT",IF(AX127&lt;FT_First,0,IF(AX127&lt;FT_Y5,1+INT((AX127-FT_First)/FT_Int1),FT_PreY5+FT_PerYear*INT((AX127-FT_Y5)/12)+FT_AnnivDays+INT(MOD(AX127-FT_Y5,12)/FT_Int2))),IF(AQ127="PT",IF(AX127&lt;PT_First,0,1+INT((AX127-PT_First)/PT_Int)),0)),0)+IF(AND(AI127&gt;=3,AL127&lt;=PFYDate),IF(AR127="FT",IF(AW127&lt;FT_First,0,IF(AW127&lt;FT_Y5,1+INT((AW127-FT_First)/FT_Int1),FT_PreY5+FT_PerYear*INT((AW127-FT_Y5)/12)+FT_AnnivDays+INT(MOD(AW127-FT_Y5,12)/FT_Int2))),IF(AR127="PT",IF(AW127&lt;PT_First,0,1+INT((AW127-PT_First)/PT_Int)),0))-IF(AR127="FT",IF(AY127&lt;FT_First,0,IF(AY127&lt;FT_Y5,1+INT((AY127-FT_First)/FT_Int1),FT_PreY5+FT_PerYear*INT((AY127-FT_Y5)/12)+FT_AnnivDays+INT(MOD(AY127-FT_Y5,12)/FT_Int2))),IF(AR127="PT",IF(AY127&lt;PT_First,0,1+INT((AY127-PT_First)/PT_Int)),0)),0))</f>
        <v/>
      </c>
      <c r="BB127" s="19" t="str">
        <f aca="false">IF(AG127=0,"",IF(AS127="FT",IF(AT127&lt;FT_First,FT_First,IF(AT127&lt;FT_Y5,MIN(FT_Y5,FT_First+FT_Int1*(INT((AT127-FT_First)/FT_Int1)+1)),FT_Y5+12*INT((AT127-FT_Y5)/12)+FT_Int2*(INT(MOD(AT127-FT_Y5,12)/FT_Int2)+1))),IF(AS127="PT",IF(AT127&lt;PT_First,PT_First,PT_First+PT_Int*(INT((AT127-PT_First)/PT_Int)+1)),"")))</f>
        <v/>
      </c>
      <c r="BC127" s="19" t="str">
        <f aca="false">IF(AG127=0,"",IF(NOT(LH_Ready),0,COUNTIFS(INDEX(LH_Data,0,LH_ColFirst),$A127,INDEX(LH_Data,0,LH_ColSur),$B127,INDEX(LH_Data,0,LH_ColCat),BonusCat)))</f>
        <v/>
      </c>
      <c r="BD127" s="19" t="str">
        <f aca="false">IF(AG127=0,"",IF(OR(NOT(LH_Ready),BC127=0),0,SUMPRODUCT(MAX((INDEX(LH_Data,0,LH_ColFirst)=$A127)*(INDEX(LH_Data,0,LH_ColSur)=$B127)*(INDEX(LH_Data,0,LH_ColCat)=BonusCat)*ROW(LH_Data)))))</f>
        <v/>
      </c>
      <c r="BE127" s="19" t="str">
        <f aca="false">IF(AG127=0,"",IF(EOMONTH(AsOfDate,-1)&lt;AH127,-1,12*(YEAR(EOMONTH(AsOfDate,-1))-YEAR(AH127))+MONTH(EOMONTH(AsOfDate,-1))-MONTH(AH127)-IF(DAY(EOMONTH(AsOfDate,-1))&lt;MIN(DAY(AH127),DAY(EOMONTH(EOMONTH(AsOfDate,-1),0))),1,0)))</f>
        <v/>
      </c>
      <c r="BF127" s="19" t="str">
        <f aca="false">IF(AG127=0,"",IF(OR(AI127&lt;2,AK127&gt;EOMONTH(AsOfDate,-1)),BE127,IF((AK127-1)&lt;AH127,-1,12*(YEAR((AK127-1))-YEAR(AH127))+MONTH((AK127-1))-MONTH(AH127)-IF(DAY((AK127-1))&lt;MIN(DAY(AH127),DAY(EOMONTH((AK127-1),0))),1,0))))</f>
        <v/>
      </c>
      <c r="BG127" s="19" t="str">
        <f aca="false">IF(AG127=0,"",IF(OR(AI127&lt;3,AL127&gt;EOMONTH(AsOfDate,-1)),BE127,IF((AL127-1)&lt;AH127,-1,12*(YEAR((AL127-1))-YEAR(AH127))+MONTH((AL127-1))-MONTH(AH127)-IF(DAY((AL127-1))&lt;MIN(DAY(AH127),DAY(EOMONTH((AL127-1),0))),1,0))))</f>
        <v/>
      </c>
      <c r="BH127" s="19" t="str">
        <f aca="false">IF(AG127=0,"",IF(AP127="FT",IF(BF127&lt;FT_First,0,IF(BF127&lt;FT_Y5,1+INT((BF127-FT_First)/FT_Int1),FT_PreY5+FT_PerYear*INT((BF127-FT_Y5)/12)+FT_AnnivDays+INT(MOD(BF127-FT_Y5,12)/FT_Int2))),IF(AP127="PT",IF(BF127&lt;PT_First,0,1+INT((BF127-PT_First)/PT_Int)),0))+IF(AND(AI127&gt;=2,AK127&lt;=EOMONTH(AsOfDate,-1)),IF(AQ127="FT",IF(BG127&lt;FT_First,0,IF(BG127&lt;FT_Y5,1+INT((BG127-FT_First)/FT_Int1),FT_PreY5+FT_PerYear*INT((BG127-FT_Y5)/12)+FT_AnnivDays+INT(MOD(BG127-FT_Y5,12)/FT_Int2))),IF(AQ127="PT",IF(BG127&lt;PT_First,0,1+INT((BG127-PT_First)/PT_Int)),0))-IF(AQ127="FT",IF(BF127&lt;FT_First,0,IF(BF127&lt;FT_Y5,1+INT((BF127-FT_First)/FT_Int1),FT_PreY5+FT_PerYear*INT((BF127-FT_Y5)/12)+FT_AnnivDays+INT(MOD(BF127-FT_Y5,12)/FT_Int2))),IF(AQ127="PT",IF(BF127&lt;PT_First,0,1+INT((BF127-PT_First)/PT_Int)),0)),0)+IF(AND(AI127&gt;=3,AL127&lt;=EOMONTH(AsOfDate,-1)),IF(AR127="FT",IF(BE127&lt;FT_First,0,IF(BE127&lt;FT_Y5,1+INT((BE127-FT_First)/FT_Int1),FT_PreY5+FT_PerYear*INT((BE127-FT_Y5)/12)+FT_AnnivDays+INT(MOD(BE127-FT_Y5,12)/FT_Int2))),IF(AR127="PT",IF(BE127&lt;PT_First,0,1+INT((BE127-PT_First)/PT_Int)),0))-IF(AR127="FT",IF(BG127&lt;FT_First,0,IF(BG127&lt;FT_Y5,1+INT((BG127-FT_First)/FT_Int1),FT_PreY5+FT_PerYear*INT((BG127-FT_Y5)/12)+FT_AnnivDays+INT(MOD(BG127-FT_Y5,12)/FT_Int2))),IF(AR127="PT",IF(BG127&lt;PT_First,0,1+INT((BG127-PT_First)/PT_Int)),0)),0))</f>
        <v/>
      </c>
      <c r="BI127" s="19" t="str">
        <f aca="false">IF(AG127=0,"",IF(AS127="FT",IF(AT127&lt;FT_First,"",IF(AT127&lt;FT_Y5,FT_First+FT_Int1*INT((AT127-FT_First)/FT_Int1),FT_Y5+FT_Int2*INT((AT127-FT_Y5)/FT_Int2))),IF(AS127="PT",IF(AT127&lt;PT_First,"",PT_First+PT_Int*INT((AT127-PT_First)/PT_Int)),"")))</f>
        <v/>
      </c>
      <c r="BJ127" s="0" t="str">
        <f aca="false">IF(LEN($A127&amp;$B127)=0,"",$A127&amp;" "&amp;$B127)</f>
        <v/>
      </c>
    </row>
    <row r="128" customFormat="false" ht="15" hidden="false" customHeight="false" outlineLevel="0" collapsed="false">
      <c r="A128" s="15"/>
      <c r="B128" s="15"/>
      <c r="C128" s="15"/>
      <c r="D128" s="16"/>
      <c r="E128" s="17" t="str">
        <f aca="false">IF(OR(AG128=0,$D128=""),"",DATE(YEAR(AsOfDate)+IF(DATE(YEAR(AsOfDate),MONTH($D128),DAY($D128))&lt;=AsOfDate,1,0),MONTH($D128),DAY($D128)))</f>
        <v/>
      </c>
      <c r="F128" s="16"/>
      <c r="G128" s="16"/>
      <c r="H128" s="16"/>
      <c r="I128" s="16"/>
      <c r="J128" s="16"/>
      <c r="K128" s="17" t="str">
        <f aca="false">IF(AG128=0,"",DATE(YEAR(AsOfDate)+IF(DATE(YEAR(AsOfDate),MONTH(AH128),DAY(AH128))&lt;=AsOfDate,1,0),MONTH(AH128),DAY(AH128)))</f>
        <v/>
      </c>
      <c r="L128" s="18" t="str">
        <f aca="false">IF(AG128=0,"",ROUND((AsOfDate-AH128)/365.25,1))</f>
        <v/>
      </c>
      <c r="M128" s="19" t="str">
        <f aca="false">IF(AG128=0,"",IF(AsOfDate&lt;AH128,"-",DATEDIF(AH128,AsOfDate,"y")&amp;"y "&amp;DATEDIF(AH128,AsOfDate,"ym")&amp;"m "&amp;DATEDIF(AH128,AsOfDate,"md")&amp;"d"))</f>
        <v/>
      </c>
      <c r="N128" s="20" t="str">
        <f aca="false">IF(AG128=0,"",O128*HoursPerDay)</f>
        <v/>
      </c>
      <c r="O128" s="20" t="str">
        <f aca="false">IF(AG128=0,"",AZ128)</f>
        <v/>
      </c>
      <c r="P128" s="21"/>
      <c r="Q128" s="19"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19"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7" t="str">
        <f aca="false">IF(AG128=0,"",IF(AS128="None","",EDATE(AH128,BB128)))</f>
        <v/>
      </c>
      <c r="T128" s="20" t="str">
        <f aca="false">IF(AG128=0,"",IF(NOT(LH_Ready),"",IF(AH128&gt;PFYDate,0,IF(LH_ColPeriod=0,W128-U128+V128,SUMIFS(INDEX(LH_Data,0,LH_ColAcc),INDEX(LH_Data,0,LH_ColFirst),$A128,INDEX(LH_Data,0,LH_ColSur),$B128,INDEX(LH_Data,0,LH_ColCat),BonusCat,INDEX(LH_Data,0,LH_ColPeriod),LH_OpenLabel)*UnitFactor))))</f>
        <v/>
      </c>
      <c r="U128" s="20" t="str">
        <f aca="false">IF(AG128=0,"",IF(NOT(LH_Ready),"",SUMIFS(INDEX(LH_Data,0,LH_ColAcc),INDEX(LH_Data,0,LH_ColFirst),$A128,INDEX(LH_Data,0,LH_ColSur),$B128,INDEX(LH_Data,0,LH_ColCat),BonusCat,INDEX(LH_Data,0,LH_ColStart),"&gt;="&amp;AH128)*UnitFactor))</f>
        <v/>
      </c>
      <c r="V128" s="20" t="str">
        <f aca="false">IF(AG128=0,"",IF(NOT(LH_Ready),"",SUMIFS(INDEX(LH_Data,0,LH_ColTaken),INDEX(LH_Data,0,LH_ColFirst),$A128,INDEX(LH_Data,0,LH_ColSur),$B128,INDEX(LH_Data,0,LH_ColCat),BonusCat,INDEX(LH_Data,0,LH_ColStart),"&gt;="&amp;AH128)*UnitFactor))</f>
        <v/>
      </c>
      <c r="W128" s="20" t="str">
        <f aca="false">IF(AG128=0,"",IF(NOT(LH_Ready),"",IF(BD128=0,0,INDEX(INDEX(LH_Data,0,LH_ColClose),BD128-1)*UnitFactor)))</f>
        <v/>
      </c>
      <c r="X128" s="20" t="str">
        <f aca="false">IF(AG128=0,"",(AZ128-BA128)*HoursPerDay)</f>
        <v/>
      </c>
      <c r="Y128" s="20" t="str">
        <f aca="false">IF(AG128=0,"",IF(NOT(LH_Ready),"",IF(BC128=0,N128,IF(PFYDate&lt;$F128,N128-N(T128)-N(U128),X128-N(U128)))))</f>
        <v/>
      </c>
      <c r="Z128" s="19" t="str">
        <f aca="false">IF(OR(AG128=0,Y128=""),"",IF(Y128&gt;0,"Yes","No"))</f>
        <v/>
      </c>
      <c r="AA128" s="19"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20" t="str">
        <f aca="false">IF(OR(AG128=0,T128=""),"",BA128*HoursPerDay-T128)</f>
        <v/>
      </c>
      <c r="AC128" s="19" t="str">
        <f aca="false">IF(AG128=0,"",BC128)</f>
        <v/>
      </c>
      <c r="AD128" s="19"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20" t="str">
        <f aca="false">IF(AG128=0,"",O128-BH128)</f>
        <v/>
      </c>
      <c r="AF128" s="17" t="str">
        <f aca="false">IF(OR(AG128=0,AE128="",N(AE128)=0,BI128=""),"",EDATE(AH128,BI128))</f>
        <v/>
      </c>
      <c r="AG128" s="19" t="n">
        <f aca="false">IF(OR(LEN($A128&amp;$B128)=0,$F128=""),0,1)</f>
        <v>0</v>
      </c>
      <c r="AH128" s="17" t="str">
        <f aca="false">IF(AG128=0,"",IF($J128&lt;&gt;"",$J128,IF(OR(CasualCounts="Yes",COUNT($G128:$I128)=0,COUNT($H128:$I128)=0),$F128,MIN($H128:$I128))))</f>
        <v/>
      </c>
      <c r="AI128" s="19" t="str">
        <f aca="false">IF(AG128=0,"",COUNT($G128:$I128))</f>
        <v/>
      </c>
      <c r="AJ128" s="17" t="str">
        <f aca="false">IF(AG128=0,"",IFERROR(SMALL($G128:$I128,1),""))</f>
        <v/>
      </c>
      <c r="AK128" s="17" t="str">
        <f aca="false">IF(AG128=0,"",IFERROR(SMALL($G128:$I128,2),""))</f>
        <v/>
      </c>
      <c r="AL128" s="17" t="str">
        <f aca="false">IF(AG128=0,"",IFERROR(SMALL($G128:$I128,3),""))</f>
        <v/>
      </c>
      <c r="AM128" s="19" t="str">
        <f aca="false">IF(AG128=0,"",IF(AJ128="","",IF(AJ128=$H128,"Part-Time",IF(AJ128=$I128,"Full-Time","Casual"))))</f>
        <v/>
      </c>
      <c r="AN128" s="19" t="str">
        <f aca="false">IF(AG128=0,"",IF(AK128="","",IF(AK128=$H128,"Part-Time",IF(AK128=$I128,"Full-Time","Casual"))))</f>
        <v/>
      </c>
      <c r="AO128" s="19" t="str">
        <f aca="false">IF(AG128=0,"",IF(AL128="","",IF(AL128=$H128,"Part-Time",IF(AL128=$I128,"Full-Time","Casual"))))</f>
        <v/>
      </c>
      <c r="AP128" s="19"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19" t="str">
        <f aca="false">IF(AG128=0,"",IF(AI128&lt;2,"",IF(OR(ISNUMBER(SEARCH("full",AN128)),UPPER(TRIM(AN128))="FT",UPPER(TRIM(AN128))="FTE"),"FT",IF(AND(OR(ISNUMBER(SEARCH("part",AN128)),UPPER(TRIM(AN128))="PT",UPPER(TRIM(AN128))="PTE"),OR($P128="",N($P128)&gt;=PT_MinHours)),"PT","None"))))</f>
        <v/>
      </c>
      <c r="AR128" s="19" t="str">
        <f aca="false">IF(AG128=0,"",IF(AI128&lt;3,"",IF(OR(ISNUMBER(SEARCH("full",AO128)),UPPER(TRIM(AO128))="FT",UPPER(TRIM(AO128))="FTE"),"FT",IF(AND(OR(ISNUMBER(SEARCH("part",AO128)),UPPER(TRIM(AO128))="PT",UPPER(TRIM(AO128))="PTE"),OR($P128="",N($P128)&gt;=PT_MinHours)),"PT","None"))))</f>
        <v/>
      </c>
      <c r="AS128" s="19" t="str">
        <f aca="false">IF(AG128=0,"",IF(AND(AI128&gt;=3,AL128&lt;=AsOfDate),AR128,IF(AND(AI128&gt;=2,AK128&lt;=AsOfDate),AQ128,AP128)))</f>
        <v/>
      </c>
      <c r="AT128" s="19" t="str">
        <f aca="false">IF(AG128=0,"",IF(AsOfDate&lt;AH128,-1,12*(YEAR(AsOfDate)-YEAR(AH128))+MONTH(AsOfDate)-MONTH(AH128)-IF(DAY(AsOfDate)&lt;MIN(DAY(AH128),DAY(EOMONTH(AsOfDate,0))),1,0)))</f>
        <v/>
      </c>
      <c r="AU128" s="19" t="str">
        <f aca="false">IF(AG128=0,"",IF(OR(AI128&lt;2,AK128&gt;AsOfDate),AT128,IF((AK128-1)&lt;AH128,-1,12*(YEAR((AK128-1))-YEAR(AH128))+MONTH((AK128-1))-MONTH(AH128)-IF(DAY((AK128-1))&lt;MIN(DAY(AH128),DAY(EOMONTH((AK128-1),0))),1,0))))</f>
        <v/>
      </c>
      <c r="AV128" s="19" t="str">
        <f aca="false">IF(AG128=0,"",IF(OR(AI128&lt;3,AL128&gt;AsOfDate),AT128,IF((AL128-1)&lt;AH128,-1,12*(YEAR((AL128-1))-YEAR(AH128))+MONTH((AL128-1))-MONTH(AH128)-IF(DAY((AL128-1))&lt;MIN(DAY(AH128),DAY(EOMONTH((AL128-1),0))),1,0))))</f>
        <v/>
      </c>
      <c r="AW128" s="19" t="str">
        <f aca="false">IF(AG128=0,"",IF(PFYDate&lt;AH128,-1,12*(YEAR(PFYDate)-YEAR(AH128))+MONTH(PFYDate)-MONTH(AH128)-IF(DAY(PFYDate)&lt;MIN(DAY(AH128),DAY(EOMONTH(PFYDate,0))),1,0)))</f>
        <v/>
      </c>
      <c r="AX128" s="19" t="str">
        <f aca="false">IF(AG128=0,"",IF(OR(AI128&lt;2,AK128&gt;PFYDate),AW128,IF((AK128-1)&lt;AH128,-1,12*(YEAR((AK128-1))-YEAR(AH128))+MONTH((AK128-1))-MONTH(AH128)-IF(DAY((AK128-1))&lt;MIN(DAY(AH128),DAY(EOMONTH((AK128-1),0))),1,0))))</f>
        <v/>
      </c>
      <c r="AY128" s="19" t="str">
        <f aca="false">IF(AG128=0,"",IF(OR(AI128&lt;3,AL128&gt;PFYDate),AW128,IF((AL128-1)&lt;AH128,-1,12*(YEAR((AL128-1))-YEAR(AH128))+MONTH((AL128-1))-MONTH(AH128)-IF(DAY((AL128-1))&lt;MIN(DAY(AH128),DAY(EOMONTH((AL128-1),0))),1,0))))</f>
        <v/>
      </c>
      <c r="AZ128" s="19" t="str">
        <f aca="false">IF(AG128=0,"",IF(AP128="FT",IF(AU128&lt;FT_First,0,IF(AU128&lt;FT_Y5,1+INT((AU128-FT_First)/FT_Int1),FT_PreY5+FT_PerYear*INT((AU128-FT_Y5)/12)+FT_AnnivDays+INT(MOD(AU128-FT_Y5,12)/FT_Int2))),IF(AP128="PT",IF(AU128&lt;PT_First,0,1+INT((AU128-PT_First)/PT_Int)),0))+IF(AND(AI128&gt;=2,AK128&lt;=AsOfDate),IF(AQ128="FT",IF(AV128&lt;FT_First,0,IF(AV128&lt;FT_Y5,1+INT((AV128-FT_First)/FT_Int1),FT_PreY5+FT_PerYear*INT((AV128-FT_Y5)/12)+FT_AnnivDays+INT(MOD(AV128-FT_Y5,12)/FT_Int2))),IF(AQ128="PT",IF(AV128&lt;PT_First,0,1+INT((AV128-PT_First)/PT_Int)),0))-IF(AQ128="FT",IF(AU128&lt;FT_First,0,IF(AU128&lt;FT_Y5,1+INT((AU128-FT_First)/FT_Int1),FT_PreY5+FT_PerYear*INT((AU128-FT_Y5)/12)+FT_AnnivDays+INT(MOD(AU128-FT_Y5,12)/FT_Int2))),IF(AQ128="PT",IF(AU128&lt;PT_First,0,1+INT((AU128-PT_First)/PT_Int)),0)),0)+IF(AND(AI128&gt;=3,AL128&lt;=AsOfDate),IF(AR128="FT",IF(AT128&lt;FT_First,0,IF(AT128&lt;FT_Y5,1+INT((AT128-FT_First)/FT_Int1),FT_PreY5+FT_PerYear*INT((AT128-FT_Y5)/12)+FT_AnnivDays+INT(MOD(AT128-FT_Y5,12)/FT_Int2))),IF(AR128="PT",IF(AT128&lt;PT_First,0,1+INT((AT128-PT_First)/PT_Int)),0))-IF(AR128="FT",IF(AV128&lt;FT_First,0,IF(AV128&lt;FT_Y5,1+INT((AV128-FT_First)/FT_Int1),FT_PreY5+FT_PerYear*INT((AV128-FT_Y5)/12)+FT_AnnivDays+INT(MOD(AV128-FT_Y5,12)/FT_Int2))),IF(AR128="PT",IF(AV128&lt;PT_First,0,1+INT((AV128-PT_First)/PT_Int)),0)),0))</f>
        <v/>
      </c>
      <c r="BA128" s="19" t="str">
        <f aca="false">IF(AG128=0,"",IF(AP128="FT",IF(AX128&lt;FT_First,0,IF(AX128&lt;FT_Y5,1+INT((AX128-FT_First)/FT_Int1),FT_PreY5+FT_PerYear*INT((AX128-FT_Y5)/12)+FT_AnnivDays+INT(MOD(AX128-FT_Y5,12)/FT_Int2))),IF(AP128="PT",IF(AX128&lt;PT_First,0,1+INT((AX128-PT_First)/PT_Int)),0))+IF(AND(AI128&gt;=2,AK128&lt;=PFYDate),IF(AQ128="FT",IF(AY128&lt;FT_First,0,IF(AY128&lt;FT_Y5,1+INT((AY128-FT_First)/FT_Int1),FT_PreY5+FT_PerYear*INT((AY128-FT_Y5)/12)+FT_AnnivDays+INT(MOD(AY128-FT_Y5,12)/FT_Int2))),IF(AQ128="PT",IF(AY128&lt;PT_First,0,1+INT((AY128-PT_First)/PT_Int)),0))-IF(AQ128="FT",IF(AX128&lt;FT_First,0,IF(AX128&lt;FT_Y5,1+INT((AX128-FT_First)/FT_Int1),FT_PreY5+FT_PerYear*INT((AX128-FT_Y5)/12)+FT_AnnivDays+INT(MOD(AX128-FT_Y5,12)/FT_Int2))),IF(AQ128="PT",IF(AX128&lt;PT_First,0,1+INT((AX128-PT_First)/PT_Int)),0)),0)+IF(AND(AI128&gt;=3,AL128&lt;=PFYDate),IF(AR128="FT",IF(AW128&lt;FT_First,0,IF(AW128&lt;FT_Y5,1+INT((AW128-FT_First)/FT_Int1),FT_PreY5+FT_PerYear*INT((AW128-FT_Y5)/12)+FT_AnnivDays+INT(MOD(AW128-FT_Y5,12)/FT_Int2))),IF(AR128="PT",IF(AW128&lt;PT_First,0,1+INT((AW128-PT_First)/PT_Int)),0))-IF(AR128="FT",IF(AY128&lt;FT_First,0,IF(AY128&lt;FT_Y5,1+INT((AY128-FT_First)/FT_Int1),FT_PreY5+FT_PerYear*INT((AY128-FT_Y5)/12)+FT_AnnivDays+INT(MOD(AY128-FT_Y5,12)/FT_Int2))),IF(AR128="PT",IF(AY128&lt;PT_First,0,1+INT((AY128-PT_First)/PT_Int)),0)),0))</f>
        <v/>
      </c>
      <c r="BB128" s="19" t="str">
        <f aca="false">IF(AG128=0,"",IF(AS128="FT",IF(AT128&lt;FT_First,FT_First,IF(AT128&lt;FT_Y5,MIN(FT_Y5,FT_First+FT_Int1*(INT((AT128-FT_First)/FT_Int1)+1)),FT_Y5+12*INT((AT128-FT_Y5)/12)+FT_Int2*(INT(MOD(AT128-FT_Y5,12)/FT_Int2)+1))),IF(AS128="PT",IF(AT128&lt;PT_First,PT_First,PT_First+PT_Int*(INT((AT128-PT_First)/PT_Int)+1)),"")))</f>
        <v/>
      </c>
      <c r="BC128" s="19" t="str">
        <f aca="false">IF(AG128=0,"",IF(NOT(LH_Ready),0,COUNTIFS(INDEX(LH_Data,0,LH_ColFirst),$A128,INDEX(LH_Data,0,LH_ColSur),$B128,INDEX(LH_Data,0,LH_ColCat),BonusCat)))</f>
        <v/>
      </c>
      <c r="BD128" s="19" t="str">
        <f aca="false">IF(AG128=0,"",IF(OR(NOT(LH_Ready),BC128=0),0,SUMPRODUCT(MAX((INDEX(LH_Data,0,LH_ColFirst)=$A128)*(INDEX(LH_Data,0,LH_ColSur)=$B128)*(INDEX(LH_Data,0,LH_ColCat)=BonusCat)*ROW(LH_Data)))))</f>
        <v/>
      </c>
      <c r="BE128" s="19" t="str">
        <f aca="false">IF(AG128=0,"",IF(EOMONTH(AsOfDate,-1)&lt;AH128,-1,12*(YEAR(EOMONTH(AsOfDate,-1))-YEAR(AH128))+MONTH(EOMONTH(AsOfDate,-1))-MONTH(AH128)-IF(DAY(EOMONTH(AsOfDate,-1))&lt;MIN(DAY(AH128),DAY(EOMONTH(EOMONTH(AsOfDate,-1),0))),1,0)))</f>
        <v/>
      </c>
      <c r="BF128" s="19" t="str">
        <f aca="false">IF(AG128=0,"",IF(OR(AI128&lt;2,AK128&gt;EOMONTH(AsOfDate,-1)),BE128,IF((AK128-1)&lt;AH128,-1,12*(YEAR((AK128-1))-YEAR(AH128))+MONTH((AK128-1))-MONTH(AH128)-IF(DAY((AK128-1))&lt;MIN(DAY(AH128),DAY(EOMONTH((AK128-1),0))),1,0))))</f>
        <v/>
      </c>
      <c r="BG128" s="19" t="str">
        <f aca="false">IF(AG128=0,"",IF(OR(AI128&lt;3,AL128&gt;EOMONTH(AsOfDate,-1)),BE128,IF((AL128-1)&lt;AH128,-1,12*(YEAR((AL128-1))-YEAR(AH128))+MONTH((AL128-1))-MONTH(AH128)-IF(DAY((AL128-1))&lt;MIN(DAY(AH128),DAY(EOMONTH((AL128-1),0))),1,0))))</f>
        <v/>
      </c>
      <c r="BH128" s="19" t="str">
        <f aca="false">IF(AG128=0,"",IF(AP128="FT",IF(BF128&lt;FT_First,0,IF(BF128&lt;FT_Y5,1+INT((BF128-FT_First)/FT_Int1),FT_PreY5+FT_PerYear*INT((BF128-FT_Y5)/12)+FT_AnnivDays+INT(MOD(BF128-FT_Y5,12)/FT_Int2))),IF(AP128="PT",IF(BF128&lt;PT_First,0,1+INT((BF128-PT_First)/PT_Int)),0))+IF(AND(AI128&gt;=2,AK128&lt;=EOMONTH(AsOfDate,-1)),IF(AQ128="FT",IF(BG128&lt;FT_First,0,IF(BG128&lt;FT_Y5,1+INT((BG128-FT_First)/FT_Int1),FT_PreY5+FT_PerYear*INT((BG128-FT_Y5)/12)+FT_AnnivDays+INT(MOD(BG128-FT_Y5,12)/FT_Int2))),IF(AQ128="PT",IF(BG128&lt;PT_First,0,1+INT((BG128-PT_First)/PT_Int)),0))-IF(AQ128="FT",IF(BF128&lt;FT_First,0,IF(BF128&lt;FT_Y5,1+INT((BF128-FT_First)/FT_Int1),FT_PreY5+FT_PerYear*INT((BF128-FT_Y5)/12)+FT_AnnivDays+INT(MOD(BF128-FT_Y5,12)/FT_Int2))),IF(AQ128="PT",IF(BF128&lt;PT_First,0,1+INT((BF128-PT_First)/PT_Int)),0)),0)+IF(AND(AI128&gt;=3,AL128&lt;=EOMONTH(AsOfDate,-1)),IF(AR128="FT",IF(BE128&lt;FT_First,0,IF(BE128&lt;FT_Y5,1+INT((BE128-FT_First)/FT_Int1),FT_PreY5+FT_PerYear*INT((BE128-FT_Y5)/12)+FT_AnnivDays+INT(MOD(BE128-FT_Y5,12)/FT_Int2))),IF(AR128="PT",IF(BE128&lt;PT_First,0,1+INT((BE128-PT_First)/PT_Int)),0))-IF(AR128="FT",IF(BG128&lt;FT_First,0,IF(BG128&lt;FT_Y5,1+INT((BG128-FT_First)/FT_Int1),FT_PreY5+FT_PerYear*INT((BG128-FT_Y5)/12)+FT_AnnivDays+INT(MOD(BG128-FT_Y5,12)/FT_Int2))),IF(AR128="PT",IF(BG128&lt;PT_First,0,1+INT((BG128-PT_First)/PT_Int)),0)),0))</f>
        <v/>
      </c>
      <c r="BI128" s="19" t="str">
        <f aca="false">IF(AG128=0,"",IF(AS128="FT",IF(AT128&lt;FT_First,"",IF(AT128&lt;FT_Y5,FT_First+FT_Int1*INT((AT128-FT_First)/FT_Int1),FT_Y5+FT_Int2*INT((AT128-FT_Y5)/FT_Int2))),IF(AS128="PT",IF(AT128&lt;PT_First,"",PT_First+PT_Int*INT((AT128-PT_First)/PT_Int)),"")))</f>
        <v/>
      </c>
      <c r="BJ128" s="0" t="str">
        <f aca="false">IF(LEN($A128&amp;$B128)=0,"",$A128&amp;" "&amp;$B128)</f>
        <v/>
      </c>
    </row>
    <row r="129" customFormat="false" ht="15" hidden="false" customHeight="false" outlineLevel="0" collapsed="false">
      <c r="A129" s="15"/>
      <c r="B129" s="15"/>
      <c r="C129" s="15"/>
      <c r="D129" s="16"/>
      <c r="E129" s="17" t="str">
        <f aca="false">IF(OR(AG129=0,$D129=""),"",DATE(YEAR(AsOfDate)+IF(DATE(YEAR(AsOfDate),MONTH($D129),DAY($D129))&lt;=AsOfDate,1,0),MONTH($D129),DAY($D129)))</f>
        <v/>
      </c>
      <c r="F129" s="16"/>
      <c r="G129" s="16"/>
      <c r="H129" s="16"/>
      <c r="I129" s="16"/>
      <c r="J129" s="16"/>
      <c r="K129" s="17" t="str">
        <f aca="false">IF(AG129=0,"",DATE(YEAR(AsOfDate)+IF(DATE(YEAR(AsOfDate),MONTH(AH129),DAY(AH129))&lt;=AsOfDate,1,0),MONTH(AH129),DAY(AH129)))</f>
        <v/>
      </c>
      <c r="L129" s="18" t="str">
        <f aca="false">IF(AG129=0,"",ROUND((AsOfDate-AH129)/365.25,1))</f>
        <v/>
      </c>
      <c r="M129" s="19" t="str">
        <f aca="false">IF(AG129=0,"",IF(AsOfDate&lt;AH129,"-",DATEDIF(AH129,AsOfDate,"y")&amp;"y "&amp;DATEDIF(AH129,AsOfDate,"ym")&amp;"m "&amp;DATEDIF(AH129,AsOfDate,"md")&amp;"d"))</f>
        <v/>
      </c>
      <c r="N129" s="20" t="str">
        <f aca="false">IF(AG129=0,"",O129*HoursPerDay)</f>
        <v/>
      </c>
      <c r="O129" s="20" t="str">
        <f aca="false">IF(AG129=0,"",AZ129)</f>
        <v/>
      </c>
      <c r="P129" s="21"/>
      <c r="Q129" s="19"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19"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7" t="str">
        <f aca="false">IF(AG129=0,"",IF(AS129="None","",EDATE(AH129,BB129)))</f>
        <v/>
      </c>
      <c r="T129" s="20" t="str">
        <f aca="false">IF(AG129=0,"",IF(NOT(LH_Ready),"",IF(AH129&gt;PFYDate,0,IF(LH_ColPeriod=0,W129-U129+V129,SUMIFS(INDEX(LH_Data,0,LH_ColAcc),INDEX(LH_Data,0,LH_ColFirst),$A129,INDEX(LH_Data,0,LH_ColSur),$B129,INDEX(LH_Data,0,LH_ColCat),BonusCat,INDEX(LH_Data,0,LH_ColPeriod),LH_OpenLabel)*UnitFactor))))</f>
        <v/>
      </c>
      <c r="U129" s="20" t="str">
        <f aca="false">IF(AG129=0,"",IF(NOT(LH_Ready),"",SUMIFS(INDEX(LH_Data,0,LH_ColAcc),INDEX(LH_Data,0,LH_ColFirst),$A129,INDEX(LH_Data,0,LH_ColSur),$B129,INDEX(LH_Data,0,LH_ColCat),BonusCat,INDEX(LH_Data,0,LH_ColStart),"&gt;="&amp;AH129)*UnitFactor))</f>
        <v/>
      </c>
      <c r="V129" s="20" t="str">
        <f aca="false">IF(AG129=0,"",IF(NOT(LH_Ready),"",SUMIFS(INDEX(LH_Data,0,LH_ColTaken),INDEX(LH_Data,0,LH_ColFirst),$A129,INDEX(LH_Data,0,LH_ColSur),$B129,INDEX(LH_Data,0,LH_ColCat),BonusCat,INDEX(LH_Data,0,LH_ColStart),"&gt;="&amp;AH129)*UnitFactor))</f>
        <v/>
      </c>
      <c r="W129" s="20" t="str">
        <f aca="false">IF(AG129=0,"",IF(NOT(LH_Ready),"",IF(BD129=0,0,INDEX(INDEX(LH_Data,0,LH_ColClose),BD129-1)*UnitFactor)))</f>
        <v/>
      </c>
      <c r="X129" s="20" t="str">
        <f aca="false">IF(AG129=0,"",(AZ129-BA129)*HoursPerDay)</f>
        <v/>
      </c>
      <c r="Y129" s="20" t="str">
        <f aca="false">IF(AG129=0,"",IF(NOT(LH_Ready),"",IF(BC129=0,N129,IF(PFYDate&lt;$F129,N129-N(T129)-N(U129),X129-N(U129)))))</f>
        <v/>
      </c>
      <c r="Z129" s="19" t="str">
        <f aca="false">IF(OR(AG129=0,Y129=""),"",IF(Y129&gt;0,"Yes","No"))</f>
        <v/>
      </c>
      <c r="AA129" s="19"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20" t="str">
        <f aca="false">IF(OR(AG129=0,T129=""),"",BA129*HoursPerDay-T129)</f>
        <v/>
      </c>
      <c r="AC129" s="19" t="str">
        <f aca="false">IF(AG129=0,"",BC129)</f>
        <v/>
      </c>
      <c r="AD129" s="19"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20" t="str">
        <f aca="false">IF(AG129=0,"",O129-BH129)</f>
        <v/>
      </c>
      <c r="AF129" s="17" t="str">
        <f aca="false">IF(OR(AG129=0,AE129="",N(AE129)=0,BI129=""),"",EDATE(AH129,BI129))</f>
        <v/>
      </c>
      <c r="AG129" s="19" t="n">
        <f aca="false">IF(OR(LEN($A129&amp;$B129)=0,$F129=""),0,1)</f>
        <v>0</v>
      </c>
      <c r="AH129" s="17" t="str">
        <f aca="false">IF(AG129=0,"",IF($J129&lt;&gt;"",$J129,IF(OR(CasualCounts="Yes",COUNT($G129:$I129)=0,COUNT($H129:$I129)=0),$F129,MIN($H129:$I129))))</f>
        <v/>
      </c>
      <c r="AI129" s="19" t="str">
        <f aca="false">IF(AG129=0,"",COUNT($G129:$I129))</f>
        <v/>
      </c>
      <c r="AJ129" s="17" t="str">
        <f aca="false">IF(AG129=0,"",IFERROR(SMALL($G129:$I129,1),""))</f>
        <v/>
      </c>
      <c r="AK129" s="17" t="str">
        <f aca="false">IF(AG129=0,"",IFERROR(SMALL($G129:$I129,2),""))</f>
        <v/>
      </c>
      <c r="AL129" s="17" t="str">
        <f aca="false">IF(AG129=0,"",IFERROR(SMALL($G129:$I129,3),""))</f>
        <v/>
      </c>
      <c r="AM129" s="19" t="str">
        <f aca="false">IF(AG129=0,"",IF(AJ129="","",IF(AJ129=$H129,"Part-Time",IF(AJ129=$I129,"Full-Time","Casual"))))</f>
        <v/>
      </c>
      <c r="AN129" s="19" t="str">
        <f aca="false">IF(AG129=0,"",IF(AK129="","",IF(AK129=$H129,"Part-Time",IF(AK129=$I129,"Full-Time","Casual"))))</f>
        <v/>
      </c>
      <c r="AO129" s="19" t="str">
        <f aca="false">IF(AG129=0,"",IF(AL129="","",IF(AL129=$H129,"Part-Time",IF(AL129=$I129,"Full-Time","Casual"))))</f>
        <v/>
      </c>
      <c r="AP129" s="19"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19" t="str">
        <f aca="false">IF(AG129=0,"",IF(AI129&lt;2,"",IF(OR(ISNUMBER(SEARCH("full",AN129)),UPPER(TRIM(AN129))="FT",UPPER(TRIM(AN129))="FTE"),"FT",IF(AND(OR(ISNUMBER(SEARCH("part",AN129)),UPPER(TRIM(AN129))="PT",UPPER(TRIM(AN129))="PTE"),OR($P129="",N($P129)&gt;=PT_MinHours)),"PT","None"))))</f>
        <v/>
      </c>
      <c r="AR129" s="19" t="str">
        <f aca="false">IF(AG129=0,"",IF(AI129&lt;3,"",IF(OR(ISNUMBER(SEARCH("full",AO129)),UPPER(TRIM(AO129))="FT",UPPER(TRIM(AO129))="FTE"),"FT",IF(AND(OR(ISNUMBER(SEARCH("part",AO129)),UPPER(TRIM(AO129))="PT",UPPER(TRIM(AO129))="PTE"),OR($P129="",N($P129)&gt;=PT_MinHours)),"PT","None"))))</f>
        <v/>
      </c>
      <c r="AS129" s="19" t="str">
        <f aca="false">IF(AG129=0,"",IF(AND(AI129&gt;=3,AL129&lt;=AsOfDate),AR129,IF(AND(AI129&gt;=2,AK129&lt;=AsOfDate),AQ129,AP129)))</f>
        <v/>
      </c>
      <c r="AT129" s="19" t="str">
        <f aca="false">IF(AG129=0,"",IF(AsOfDate&lt;AH129,-1,12*(YEAR(AsOfDate)-YEAR(AH129))+MONTH(AsOfDate)-MONTH(AH129)-IF(DAY(AsOfDate)&lt;MIN(DAY(AH129),DAY(EOMONTH(AsOfDate,0))),1,0)))</f>
        <v/>
      </c>
      <c r="AU129" s="19" t="str">
        <f aca="false">IF(AG129=0,"",IF(OR(AI129&lt;2,AK129&gt;AsOfDate),AT129,IF((AK129-1)&lt;AH129,-1,12*(YEAR((AK129-1))-YEAR(AH129))+MONTH((AK129-1))-MONTH(AH129)-IF(DAY((AK129-1))&lt;MIN(DAY(AH129),DAY(EOMONTH((AK129-1),0))),1,0))))</f>
        <v/>
      </c>
      <c r="AV129" s="19" t="str">
        <f aca="false">IF(AG129=0,"",IF(OR(AI129&lt;3,AL129&gt;AsOfDate),AT129,IF((AL129-1)&lt;AH129,-1,12*(YEAR((AL129-1))-YEAR(AH129))+MONTH((AL129-1))-MONTH(AH129)-IF(DAY((AL129-1))&lt;MIN(DAY(AH129),DAY(EOMONTH((AL129-1),0))),1,0))))</f>
        <v/>
      </c>
      <c r="AW129" s="19" t="str">
        <f aca="false">IF(AG129=0,"",IF(PFYDate&lt;AH129,-1,12*(YEAR(PFYDate)-YEAR(AH129))+MONTH(PFYDate)-MONTH(AH129)-IF(DAY(PFYDate)&lt;MIN(DAY(AH129),DAY(EOMONTH(PFYDate,0))),1,0)))</f>
        <v/>
      </c>
      <c r="AX129" s="19" t="str">
        <f aca="false">IF(AG129=0,"",IF(OR(AI129&lt;2,AK129&gt;PFYDate),AW129,IF((AK129-1)&lt;AH129,-1,12*(YEAR((AK129-1))-YEAR(AH129))+MONTH((AK129-1))-MONTH(AH129)-IF(DAY((AK129-1))&lt;MIN(DAY(AH129),DAY(EOMONTH((AK129-1),0))),1,0))))</f>
        <v/>
      </c>
      <c r="AY129" s="19" t="str">
        <f aca="false">IF(AG129=0,"",IF(OR(AI129&lt;3,AL129&gt;PFYDate),AW129,IF((AL129-1)&lt;AH129,-1,12*(YEAR((AL129-1))-YEAR(AH129))+MONTH((AL129-1))-MONTH(AH129)-IF(DAY((AL129-1))&lt;MIN(DAY(AH129),DAY(EOMONTH((AL129-1),0))),1,0))))</f>
        <v/>
      </c>
      <c r="AZ129" s="19" t="str">
        <f aca="false">IF(AG129=0,"",IF(AP129="FT",IF(AU129&lt;FT_First,0,IF(AU129&lt;FT_Y5,1+INT((AU129-FT_First)/FT_Int1),FT_PreY5+FT_PerYear*INT((AU129-FT_Y5)/12)+FT_AnnivDays+INT(MOD(AU129-FT_Y5,12)/FT_Int2))),IF(AP129="PT",IF(AU129&lt;PT_First,0,1+INT((AU129-PT_First)/PT_Int)),0))+IF(AND(AI129&gt;=2,AK129&lt;=AsOfDate),IF(AQ129="FT",IF(AV129&lt;FT_First,0,IF(AV129&lt;FT_Y5,1+INT((AV129-FT_First)/FT_Int1),FT_PreY5+FT_PerYear*INT((AV129-FT_Y5)/12)+FT_AnnivDays+INT(MOD(AV129-FT_Y5,12)/FT_Int2))),IF(AQ129="PT",IF(AV129&lt;PT_First,0,1+INT((AV129-PT_First)/PT_Int)),0))-IF(AQ129="FT",IF(AU129&lt;FT_First,0,IF(AU129&lt;FT_Y5,1+INT((AU129-FT_First)/FT_Int1),FT_PreY5+FT_PerYear*INT((AU129-FT_Y5)/12)+FT_AnnivDays+INT(MOD(AU129-FT_Y5,12)/FT_Int2))),IF(AQ129="PT",IF(AU129&lt;PT_First,0,1+INT((AU129-PT_First)/PT_Int)),0)),0)+IF(AND(AI129&gt;=3,AL129&lt;=AsOfDate),IF(AR129="FT",IF(AT129&lt;FT_First,0,IF(AT129&lt;FT_Y5,1+INT((AT129-FT_First)/FT_Int1),FT_PreY5+FT_PerYear*INT((AT129-FT_Y5)/12)+FT_AnnivDays+INT(MOD(AT129-FT_Y5,12)/FT_Int2))),IF(AR129="PT",IF(AT129&lt;PT_First,0,1+INT((AT129-PT_First)/PT_Int)),0))-IF(AR129="FT",IF(AV129&lt;FT_First,0,IF(AV129&lt;FT_Y5,1+INT((AV129-FT_First)/FT_Int1),FT_PreY5+FT_PerYear*INT((AV129-FT_Y5)/12)+FT_AnnivDays+INT(MOD(AV129-FT_Y5,12)/FT_Int2))),IF(AR129="PT",IF(AV129&lt;PT_First,0,1+INT((AV129-PT_First)/PT_Int)),0)),0))</f>
        <v/>
      </c>
      <c r="BA129" s="19" t="str">
        <f aca="false">IF(AG129=0,"",IF(AP129="FT",IF(AX129&lt;FT_First,0,IF(AX129&lt;FT_Y5,1+INT((AX129-FT_First)/FT_Int1),FT_PreY5+FT_PerYear*INT((AX129-FT_Y5)/12)+FT_AnnivDays+INT(MOD(AX129-FT_Y5,12)/FT_Int2))),IF(AP129="PT",IF(AX129&lt;PT_First,0,1+INT((AX129-PT_First)/PT_Int)),0))+IF(AND(AI129&gt;=2,AK129&lt;=PFYDate),IF(AQ129="FT",IF(AY129&lt;FT_First,0,IF(AY129&lt;FT_Y5,1+INT((AY129-FT_First)/FT_Int1),FT_PreY5+FT_PerYear*INT((AY129-FT_Y5)/12)+FT_AnnivDays+INT(MOD(AY129-FT_Y5,12)/FT_Int2))),IF(AQ129="PT",IF(AY129&lt;PT_First,0,1+INT((AY129-PT_First)/PT_Int)),0))-IF(AQ129="FT",IF(AX129&lt;FT_First,0,IF(AX129&lt;FT_Y5,1+INT((AX129-FT_First)/FT_Int1),FT_PreY5+FT_PerYear*INT((AX129-FT_Y5)/12)+FT_AnnivDays+INT(MOD(AX129-FT_Y5,12)/FT_Int2))),IF(AQ129="PT",IF(AX129&lt;PT_First,0,1+INT((AX129-PT_First)/PT_Int)),0)),0)+IF(AND(AI129&gt;=3,AL129&lt;=PFYDate),IF(AR129="FT",IF(AW129&lt;FT_First,0,IF(AW129&lt;FT_Y5,1+INT((AW129-FT_First)/FT_Int1),FT_PreY5+FT_PerYear*INT((AW129-FT_Y5)/12)+FT_AnnivDays+INT(MOD(AW129-FT_Y5,12)/FT_Int2))),IF(AR129="PT",IF(AW129&lt;PT_First,0,1+INT((AW129-PT_First)/PT_Int)),0))-IF(AR129="FT",IF(AY129&lt;FT_First,0,IF(AY129&lt;FT_Y5,1+INT((AY129-FT_First)/FT_Int1),FT_PreY5+FT_PerYear*INT((AY129-FT_Y5)/12)+FT_AnnivDays+INT(MOD(AY129-FT_Y5,12)/FT_Int2))),IF(AR129="PT",IF(AY129&lt;PT_First,0,1+INT((AY129-PT_First)/PT_Int)),0)),0))</f>
        <v/>
      </c>
      <c r="BB129" s="19" t="str">
        <f aca="false">IF(AG129=0,"",IF(AS129="FT",IF(AT129&lt;FT_First,FT_First,IF(AT129&lt;FT_Y5,MIN(FT_Y5,FT_First+FT_Int1*(INT((AT129-FT_First)/FT_Int1)+1)),FT_Y5+12*INT((AT129-FT_Y5)/12)+FT_Int2*(INT(MOD(AT129-FT_Y5,12)/FT_Int2)+1))),IF(AS129="PT",IF(AT129&lt;PT_First,PT_First,PT_First+PT_Int*(INT((AT129-PT_First)/PT_Int)+1)),"")))</f>
        <v/>
      </c>
      <c r="BC129" s="19" t="str">
        <f aca="false">IF(AG129=0,"",IF(NOT(LH_Ready),0,COUNTIFS(INDEX(LH_Data,0,LH_ColFirst),$A129,INDEX(LH_Data,0,LH_ColSur),$B129,INDEX(LH_Data,0,LH_ColCat),BonusCat)))</f>
        <v/>
      </c>
      <c r="BD129" s="19" t="str">
        <f aca="false">IF(AG129=0,"",IF(OR(NOT(LH_Ready),BC129=0),0,SUMPRODUCT(MAX((INDEX(LH_Data,0,LH_ColFirst)=$A129)*(INDEX(LH_Data,0,LH_ColSur)=$B129)*(INDEX(LH_Data,0,LH_ColCat)=BonusCat)*ROW(LH_Data)))))</f>
        <v/>
      </c>
      <c r="BE129" s="19" t="str">
        <f aca="false">IF(AG129=0,"",IF(EOMONTH(AsOfDate,-1)&lt;AH129,-1,12*(YEAR(EOMONTH(AsOfDate,-1))-YEAR(AH129))+MONTH(EOMONTH(AsOfDate,-1))-MONTH(AH129)-IF(DAY(EOMONTH(AsOfDate,-1))&lt;MIN(DAY(AH129),DAY(EOMONTH(EOMONTH(AsOfDate,-1),0))),1,0)))</f>
        <v/>
      </c>
      <c r="BF129" s="19" t="str">
        <f aca="false">IF(AG129=0,"",IF(OR(AI129&lt;2,AK129&gt;EOMONTH(AsOfDate,-1)),BE129,IF((AK129-1)&lt;AH129,-1,12*(YEAR((AK129-1))-YEAR(AH129))+MONTH((AK129-1))-MONTH(AH129)-IF(DAY((AK129-1))&lt;MIN(DAY(AH129),DAY(EOMONTH((AK129-1),0))),1,0))))</f>
        <v/>
      </c>
      <c r="BG129" s="19" t="str">
        <f aca="false">IF(AG129=0,"",IF(OR(AI129&lt;3,AL129&gt;EOMONTH(AsOfDate,-1)),BE129,IF((AL129-1)&lt;AH129,-1,12*(YEAR((AL129-1))-YEAR(AH129))+MONTH((AL129-1))-MONTH(AH129)-IF(DAY((AL129-1))&lt;MIN(DAY(AH129),DAY(EOMONTH((AL129-1),0))),1,0))))</f>
        <v/>
      </c>
      <c r="BH129" s="19" t="str">
        <f aca="false">IF(AG129=0,"",IF(AP129="FT",IF(BF129&lt;FT_First,0,IF(BF129&lt;FT_Y5,1+INT((BF129-FT_First)/FT_Int1),FT_PreY5+FT_PerYear*INT((BF129-FT_Y5)/12)+FT_AnnivDays+INT(MOD(BF129-FT_Y5,12)/FT_Int2))),IF(AP129="PT",IF(BF129&lt;PT_First,0,1+INT((BF129-PT_First)/PT_Int)),0))+IF(AND(AI129&gt;=2,AK129&lt;=EOMONTH(AsOfDate,-1)),IF(AQ129="FT",IF(BG129&lt;FT_First,0,IF(BG129&lt;FT_Y5,1+INT((BG129-FT_First)/FT_Int1),FT_PreY5+FT_PerYear*INT((BG129-FT_Y5)/12)+FT_AnnivDays+INT(MOD(BG129-FT_Y5,12)/FT_Int2))),IF(AQ129="PT",IF(BG129&lt;PT_First,0,1+INT((BG129-PT_First)/PT_Int)),0))-IF(AQ129="FT",IF(BF129&lt;FT_First,0,IF(BF129&lt;FT_Y5,1+INT((BF129-FT_First)/FT_Int1),FT_PreY5+FT_PerYear*INT((BF129-FT_Y5)/12)+FT_AnnivDays+INT(MOD(BF129-FT_Y5,12)/FT_Int2))),IF(AQ129="PT",IF(BF129&lt;PT_First,0,1+INT((BF129-PT_First)/PT_Int)),0)),0)+IF(AND(AI129&gt;=3,AL129&lt;=EOMONTH(AsOfDate,-1)),IF(AR129="FT",IF(BE129&lt;FT_First,0,IF(BE129&lt;FT_Y5,1+INT((BE129-FT_First)/FT_Int1),FT_PreY5+FT_PerYear*INT((BE129-FT_Y5)/12)+FT_AnnivDays+INT(MOD(BE129-FT_Y5,12)/FT_Int2))),IF(AR129="PT",IF(BE129&lt;PT_First,0,1+INT((BE129-PT_First)/PT_Int)),0))-IF(AR129="FT",IF(BG129&lt;FT_First,0,IF(BG129&lt;FT_Y5,1+INT((BG129-FT_First)/FT_Int1),FT_PreY5+FT_PerYear*INT((BG129-FT_Y5)/12)+FT_AnnivDays+INT(MOD(BG129-FT_Y5,12)/FT_Int2))),IF(AR129="PT",IF(BG129&lt;PT_First,0,1+INT((BG129-PT_First)/PT_Int)),0)),0))</f>
        <v/>
      </c>
      <c r="BI129" s="19" t="str">
        <f aca="false">IF(AG129=0,"",IF(AS129="FT",IF(AT129&lt;FT_First,"",IF(AT129&lt;FT_Y5,FT_First+FT_Int1*INT((AT129-FT_First)/FT_Int1),FT_Y5+FT_Int2*INT((AT129-FT_Y5)/FT_Int2))),IF(AS129="PT",IF(AT129&lt;PT_First,"",PT_First+PT_Int*INT((AT129-PT_First)/PT_Int)),"")))</f>
        <v/>
      </c>
      <c r="BJ129" s="0" t="str">
        <f aca="false">IF(LEN($A129&amp;$B129)=0,"",$A129&amp;" "&amp;$B129)</f>
        <v/>
      </c>
    </row>
    <row r="130" customFormat="false" ht="15" hidden="false" customHeight="false" outlineLevel="0" collapsed="false">
      <c r="A130" s="15"/>
      <c r="B130" s="15"/>
      <c r="C130" s="15"/>
      <c r="D130" s="16"/>
      <c r="E130" s="17" t="str">
        <f aca="false">IF(OR(AG130=0,$D130=""),"",DATE(YEAR(AsOfDate)+IF(DATE(YEAR(AsOfDate),MONTH($D130),DAY($D130))&lt;=AsOfDate,1,0),MONTH($D130),DAY($D130)))</f>
        <v/>
      </c>
      <c r="F130" s="16"/>
      <c r="G130" s="16"/>
      <c r="H130" s="16"/>
      <c r="I130" s="16"/>
      <c r="J130" s="16"/>
      <c r="K130" s="17" t="str">
        <f aca="false">IF(AG130=0,"",DATE(YEAR(AsOfDate)+IF(DATE(YEAR(AsOfDate),MONTH(AH130),DAY(AH130))&lt;=AsOfDate,1,0),MONTH(AH130),DAY(AH130)))</f>
        <v/>
      </c>
      <c r="L130" s="18" t="str">
        <f aca="false">IF(AG130=0,"",ROUND((AsOfDate-AH130)/365.25,1))</f>
        <v/>
      </c>
      <c r="M130" s="19" t="str">
        <f aca="false">IF(AG130=0,"",IF(AsOfDate&lt;AH130,"-",DATEDIF(AH130,AsOfDate,"y")&amp;"y "&amp;DATEDIF(AH130,AsOfDate,"ym")&amp;"m "&amp;DATEDIF(AH130,AsOfDate,"md")&amp;"d"))</f>
        <v/>
      </c>
      <c r="N130" s="20" t="str">
        <f aca="false">IF(AG130=0,"",O130*HoursPerDay)</f>
        <v/>
      </c>
      <c r="O130" s="20" t="str">
        <f aca="false">IF(AG130=0,"",AZ130)</f>
        <v/>
      </c>
      <c r="P130" s="21"/>
      <c r="Q130" s="19"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19"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7" t="str">
        <f aca="false">IF(AG130=0,"",IF(AS130="None","",EDATE(AH130,BB130)))</f>
        <v/>
      </c>
      <c r="T130" s="20" t="str">
        <f aca="false">IF(AG130=0,"",IF(NOT(LH_Ready),"",IF(AH130&gt;PFYDate,0,IF(LH_ColPeriod=0,W130-U130+V130,SUMIFS(INDEX(LH_Data,0,LH_ColAcc),INDEX(LH_Data,0,LH_ColFirst),$A130,INDEX(LH_Data,0,LH_ColSur),$B130,INDEX(LH_Data,0,LH_ColCat),BonusCat,INDEX(LH_Data,0,LH_ColPeriod),LH_OpenLabel)*UnitFactor))))</f>
        <v/>
      </c>
      <c r="U130" s="20" t="str">
        <f aca="false">IF(AG130=0,"",IF(NOT(LH_Ready),"",SUMIFS(INDEX(LH_Data,0,LH_ColAcc),INDEX(LH_Data,0,LH_ColFirst),$A130,INDEX(LH_Data,0,LH_ColSur),$B130,INDEX(LH_Data,0,LH_ColCat),BonusCat,INDEX(LH_Data,0,LH_ColStart),"&gt;="&amp;AH130)*UnitFactor))</f>
        <v/>
      </c>
      <c r="V130" s="20" t="str">
        <f aca="false">IF(AG130=0,"",IF(NOT(LH_Ready),"",SUMIFS(INDEX(LH_Data,0,LH_ColTaken),INDEX(LH_Data,0,LH_ColFirst),$A130,INDEX(LH_Data,0,LH_ColSur),$B130,INDEX(LH_Data,0,LH_ColCat),BonusCat,INDEX(LH_Data,0,LH_ColStart),"&gt;="&amp;AH130)*UnitFactor))</f>
        <v/>
      </c>
      <c r="W130" s="20" t="str">
        <f aca="false">IF(AG130=0,"",IF(NOT(LH_Ready),"",IF(BD130=0,0,INDEX(INDEX(LH_Data,0,LH_ColClose),BD130-1)*UnitFactor)))</f>
        <v/>
      </c>
      <c r="X130" s="20" t="str">
        <f aca="false">IF(AG130=0,"",(AZ130-BA130)*HoursPerDay)</f>
        <v/>
      </c>
      <c r="Y130" s="20" t="str">
        <f aca="false">IF(AG130=0,"",IF(NOT(LH_Ready),"",IF(BC130=0,N130,IF(PFYDate&lt;$F130,N130-N(T130)-N(U130),X130-N(U130)))))</f>
        <v/>
      </c>
      <c r="Z130" s="19" t="str">
        <f aca="false">IF(OR(AG130=0,Y130=""),"",IF(Y130&gt;0,"Yes","No"))</f>
        <v/>
      </c>
      <c r="AA130" s="19"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20" t="str">
        <f aca="false">IF(OR(AG130=0,T130=""),"",BA130*HoursPerDay-T130)</f>
        <v/>
      </c>
      <c r="AC130" s="19" t="str">
        <f aca="false">IF(AG130=0,"",BC130)</f>
        <v/>
      </c>
      <c r="AD130" s="19"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20" t="str">
        <f aca="false">IF(AG130=0,"",O130-BH130)</f>
        <v/>
      </c>
      <c r="AF130" s="17" t="str">
        <f aca="false">IF(OR(AG130=0,AE130="",N(AE130)=0,BI130=""),"",EDATE(AH130,BI130))</f>
        <v/>
      </c>
      <c r="AG130" s="19" t="n">
        <f aca="false">IF(OR(LEN($A130&amp;$B130)=0,$F130=""),0,1)</f>
        <v>0</v>
      </c>
      <c r="AH130" s="17" t="str">
        <f aca="false">IF(AG130=0,"",IF($J130&lt;&gt;"",$J130,IF(OR(CasualCounts="Yes",COUNT($G130:$I130)=0,COUNT($H130:$I130)=0),$F130,MIN($H130:$I130))))</f>
        <v/>
      </c>
      <c r="AI130" s="19" t="str">
        <f aca="false">IF(AG130=0,"",COUNT($G130:$I130))</f>
        <v/>
      </c>
      <c r="AJ130" s="17" t="str">
        <f aca="false">IF(AG130=0,"",IFERROR(SMALL($G130:$I130,1),""))</f>
        <v/>
      </c>
      <c r="AK130" s="17" t="str">
        <f aca="false">IF(AG130=0,"",IFERROR(SMALL($G130:$I130,2),""))</f>
        <v/>
      </c>
      <c r="AL130" s="17" t="str">
        <f aca="false">IF(AG130=0,"",IFERROR(SMALL($G130:$I130,3),""))</f>
        <v/>
      </c>
      <c r="AM130" s="19" t="str">
        <f aca="false">IF(AG130=0,"",IF(AJ130="","",IF(AJ130=$H130,"Part-Time",IF(AJ130=$I130,"Full-Time","Casual"))))</f>
        <v/>
      </c>
      <c r="AN130" s="19" t="str">
        <f aca="false">IF(AG130=0,"",IF(AK130="","",IF(AK130=$H130,"Part-Time",IF(AK130=$I130,"Full-Time","Casual"))))</f>
        <v/>
      </c>
      <c r="AO130" s="19" t="str">
        <f aca="false">IF(AG130=0,"",IF(AL130="","",IF(AL130=$H130,"Part-Time",IF(AL130=$I130,"Full-Time","Casual"))))</f>
        <v/>
      </c>
      <c r="AP130" s="19"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19" t="str">
        <f aca="false">IF(AG130=0,"",IF(AI130&lt;2,"",IF(OR(ISNUMBER(SEARCH("full",AN130)),UPPER(TRIM(AN130))="FT",UPPER(TRIM(AN130))="FTE"),"FT",IF(AND(OR(ISNUMBER(SEARCH("part",AN130)),UPPER(TRIM(AN130))="PT",UPPER(TRIM(AN130))="PTE"),OR($P130="",N($P130)&gt;=PT_MinHours)),"PT","None"))))</f>
        <v/>
      </c>
      <c r="AR130" s="19" t="str">
        <f aca="false">IF(AG130=0,"",IF(AI130&lt;3,"",IF(OR(ISNUMBER(SEARCH("full",AO130)),UPPER(TRIM(AO130))="FT",UPPER(TRIM(AO130))="FTE"),"FT",IF(AND(OR(ISNUMBER(SEARCH("part",AO130)),UPPER(TRIM(AO130))="PT",UPPER(TRIM(AO130))="PTE"),OR($P130="",N($P130)&gt;=PT_MinHours)),"PT","None"))))</f>
        <v/>
      </c>
      <c r="AS130" s="19" t="str">
        <f aca="false">IF(AG130=0,"",IF(AND(AI130&gt;=3,AL130&lt;=AsOfDate),AR130,IF(AND(AI130&gt;=2,AK130&lt;=AsOfDate),AQ130,AP130)))</f>
        <v/>
      </c>
      <c r="AT130" s="19" t="str">
        <f aca="false">IF(AG130=0,"",IF(AsOfDate&lt;AH130,-1,12*(YEAR(AsOfDate)-YEAR(AH130))+MONTH(AsOfDate)-MONTH(AH130)-IF(DAY(AsOfDate)&lt;MIN(DAY(AH130),DAY(EOMONTH(AsOfDate,0))),1,0)))</f>
        <v/>
      </c>
      <c r="AU130" s="19" t="str">
        <f aca="false">IF(AG130=0,"",IF(OR(AI130&lt;2,AK130&gt;AsOfDate),AT130,IF((AK130-1)&lt;AH130,-1,12*(YEAR((AK130-1))-YEAR(AH130))+MONTH((AK130-1))-MONTH(AH130)-IF(DAY((AK130-1))&lt;MIN(DAY(AH130),DAY(EOMONTH((AK130-1),0))),1,0))))</f>
        <v/>
      </c>
      <c r="AV130" s="19" t="str">
        <f aca="false">IF(AG130=0,"",IF(OR(AI130&lt;3,AL130&gt;AsOfDate),AT130,IF((AL130-1)&lt;AH130,-1,12*(YEAR((AL130-1))-YEAR(AH130))+MONTH((AL130-1))-MONTH(AH130)-IF(DAY((AL130-1))&lt;MIN(DAY(AH130),DAY(EOMONTH((AL130-1),0))),1,0))))</f>
        <v/>
      </c>
      <c r="AW130" s="19" t="str">
        <f aca="false">IF(AG130=0,"",IF(PFYDate&lt;AH130,-1,12*(YEAR(PFYDate)-YEAR(AH130))+MONTH(PFYDate)-MONTH(AH130)-IF(DAY(PFYDate)&lt;MIN(DAY(AH130),DAY(EOMONTH(PFYDate,0))),1,0)))</f>
        <v/>
      </c>
      <c r="AX130" s="19" t="str">
        <f aca="false">IF(AG130=0,"",IF(OR(AI130&lt;2,AK130&gt;PFYDate),AW130,IF((AK130-1)&lt;AH130,-1,12*(YEAR((AK130-1))-YEAR(AH130))+MONTH((AK130-1))-MONTH(AH130)-IF(DAY((AK130-1))&lt;MIN(DAY(AH130),DAY(EOMONTH((AK130-1),0))),1,0))))</f>
        <v/>
      </c>
      <c r="AY130" s="19" t="str">
        <f aca="false">IF(AG130=0,"",IF(OR(AI130&lt;3,AL130&gt;PFYDate),AW130,IF((AL130-1)&lt;AH130,-1,12*(YEAR((AL130-1))-YEAR(AH130))+MONTH((AL130-1))-MONTH(AH130)-IF(DAY((AL130-1))&lt;MIN(DAY(AH130),DAY(EOMONTH((AL130-1),0))),1,0))))</f>
        <v/>
      </c>
      <c r="AZ130" s="19" t="str">
        <f aca="false">IF(AG130=0,"",IF(AP130="FT",IF(AU130&lt;FT_First,0,IF(AU130&lt;FT_Y5,1+INT((AU130-FT_First)/FT_Int1),FT_PreY5+FT_PerYear*INT((AU130-FT_Y5)/12)+FT_AnnivDays+INT(MOD(AU130-FT_Y5,12)/FT_Int2))),IF(AP130="PT",IF(AU130&lt;PT_First,0,1+INT((AU130-PT_First)/PT_Int)),0))+IF(AND(AI130&gt;=2,AK130&lt;=AsOfDate),IF(AQ130="FT",IF(AV130&lt;FT_First,0,IF(AV130&lt;FT_Y5,1+INT((AV130-FT_First)/FT_Int1),FT_PreY5+FT_PerYear*INT((AV130-FT_Y5)/12)+FT_AnnivDays+INT(MOD(AV130-FT_Y5,12)/FT_Int2))),IF(AQ130="PT",IF(AV130&lt;PT_First,0,1+INT((AV130-PT_First)/PT_Int)),0))-IF(AQ130="FT",IF(AU130&lt;FT_First,0,IF(AU130&lt;FT_Y5,1+INT((AU130-FT_First)/FT_Int1),FT_PreY5+FT_PerYear*INT((AU130-FT_Y5)/12)+FT_AnnivDays+INT(MOD(AU130-FT_Y5,12)/FT_Int2))),IF(AQ130="PT",IF(AU130&lt;PT_First,0,1+INT((AU130-PT_First)/PT_Int)),0)),0)+IF(AND(AI130&gt;=3,AL130&lt;=AsOfDate),IF(AR130="FT",IF(AT130&lt;FT_First,0,IF(AT130&lt;FT_Y5,1+INT((AT130-FT_First)/FT_Int1),FT_PreY5+FT_PerYear*INT((AT130-FT_Y5)/12)+FT_AnnivDays+INT(MOD(AT130-FT_Y5,12)/FT_Int2))),IF(AR130="PT",IF(AT130&lt;PT_First,0,1+INT((AT130-PT_First)/PT_Int)),0))-IF(AR130="FT",IF(AV130&lt;FT_First,0,IF(AV130&lt;FT_Y5,1+INT((AV130-FT_First)/FT_Int1),FT_PreY5+FT_PerYear*INT((AV130-FT_Y5)/12)+FT_AnnivDays+INT(MOD(AV130-FT_Y5,12)/FT_Int2))),IF(AR130="PT",IF(AV130&lt;PT_First,0,1+INT((AV130-PT_First)/PT_Int)),0)),0))</f>
        <v/>
      </c>
      <c r="BA130" s="19" t="str">
        <f aca="false">IF(AG130=0,"",IF(AP130="FT",IF(AX130&lt;FT_First,0,IF(AX130&lt;FT_Y5,1+INT((AX130-FT_First)/FT_Int1),FT_PreY5+FT_PerYear*INT((AX130-FT_Y5)/12)+FT_AnnivDays+INT(MOD(AX130-FT_Y5,12)/FT_Int2))),IF(AP130="PT",IF(AX130&lt;PT_First,0,1+INT((AX130-PT_First)/PT_Int)),0))+IF(AND(AI130&gt;=2,AK130&lt;=PFYDate),IF(AQ130="FT",IF(AY130&lt;FT_First,0,IF(AY130&lt;FT_Y5,1+INT((AY130-FT_First)/FT_Int1),FT_PreY5+FT_PerYear*INT((AY130-FT_Y5)/12)+FT_AnnivDays+INT(MOD(AY130-FT_Y5,12)/FT_Int2))),IF(AQ130="PT",IF(AY130&lt;PT_First,0,1+INT((AY130-PT_First)/PT_Int)),0))-IF(AQ130="FT",IF(AX130&lt;FT_First,0,IF(AX130&lt;FT_Y5,1+INT((AX130-FT_First)/FT_Int1),FT_PreY5+FT_PerYear*INT((AX130-FT_Y5)/12)+FT_AnnivDays+INT(MOD(AX130-FT_Y5,12)/FT_Int2))),IF(AQ130="PT",IF(AX130&lt;PT_First,0,1+INT((AX130-PT_First)/PT_Int)),0)),0)+IF(AND(AI130&gt;=3,AL130&lt;=PFYDate),IF(AR130="FT",IF(AW130&lt;FT_First,0,IF(AW130&lt;FT_Y5,1+INT((AW130-FT_First)/FT_Int1),FT_PreY5+FT_PerYear*INT((AW130-FT_Y5)/12)+FT_AnnivDays+INT(MOD(AW130-FT_Y5,12)/FT_Int2))),IF(AR130="PT",IF(AW130&lt;PT_First,0,1+INT((AW130-PT_First)/PT_Int)),0))-IF(AR130="FT",IF(AY130&lt;FT_First,0,IF(AY130&lt;FT_Y5,1+INT((AY130-FT_First)/FT_Int1),FT_PreY5+FT_PerYear*INT((AY130-FT_Y5)/12)+FT_AnnivDays+INT(MOD(AY130-FT_Y5,12)/FT_Int2))),IF(AR130="PT",IF(AY130&lt;PT_First,0,1+INT((AY130-PT_First)/PT_Int)),0)),0))</f>
        <v/>
      </c>
      <c r="BB130" s="19" t="str">
        <f aca="false">IF(AG130=0,"",IF(AS130="FT",IF(AT130&lt;FT_First,FT_First,IF(AT130&lt;FT_Y5,MIN(FT_Y5,FT_First+FT_Int1*(INT((AT130-FT_First)/FT_Int1)+1)),FT_Y5+12*INT((AT130-FT_Y5)/12)+FT_Int2*(INT(MOD(AT130-FT_Y5,12)/FT_Int2)+1))),IF(AS130="PT",IF(AT130&lt;PT_First,PT_First,PT_First+PT_Int*(INT((AT130-PT_First)/PT_Int)+1)),"")))</f>
        <v/>
      </c>
      <c r="BC130" s="19" t="str">
        <f aca="false">IF(AG130=0,"",IF(NOT(LH_Ready),0,COUNTIFS(INDEX(LH_Data,0,LH_ColFirst),$A130,INDEX(LH_Data,0,LH_ColSur),$B130,INDEX(LH_Data,0,LH_ColCat),BonusCat)))</f>
        <v/>
      </c>
      <c r="BD130" s="19" t="str">
        <f aca="false">IF(AG130=0,"",IF(OR(NOT(LH_Ready),BC130=0),0,SUMPRODUCT(MAX((INDEX(LH_Data,0,LH_ColFirst)=$A130)*(INDEX(LH_Data,0,LH_ColSur)=$B130)*(INDEX(LH_Data,0,LH_ColCat)=BonusCat)*ROW(LH_Data)))))</f>
        <v/>
      </c>
      <c r="BE130" s="19" t="str">
        <f aca="false">IF(AG130=0,"",IF(EOMONTH(AsOfDate,-1)&lt;AH130,-1,12*(YEAR(EOMONTH(AsOfDate,-1))-YEAR(AH130))+MONTH(EOMONTH(AsOfDate,-1))-MONTH(AH130)-IF(DAY(EOMONTH(AsOfDate,-1))&lt;MIN(DAY(AH130),DAY(EOMONTH(EOMONTH(AsOfDate,-1),0))),1,0)))</f>
        <v/>
      </c>
      <c r="BF130" s="19" t="str">
        <f aca="false">IF(AG130=0,"",IF(OR(AI130&lt;2,AK130&gt;EOMONTH(AsOfDate,-1)),BE130,IF((AK130-1)&lt;AH130,-1,12*(YEAR((AK130-1))-YEAR(AH130))+MONTH((AK130-1))-MONTH(AH130)-IF(DAY((AK130-1))&lt;MIN(DAY(AH130),DAY(EOMONTH((AK130-1),0))),1,0))))</f>
        <v/>
      </c>
      <c r="BG130" s="19" t="str">
        <f aca="false">IF(AG130=0,"",IF(OR(AI130&lt;3,AL130&gt;EOMONTH(AsOfDate,-1)),BE130,IF((AL130-1)&lt;AH130,-1,12*(YEAR((AL130-1))-YEAR(AH130))+MONTH((AL130-1))-MONTH(AH130)-IF(DAY((AL130-1))&lt;MIN(DAY(AH130),DAY(EOMONTH((AL130-1),0))),1,0))))</f>
        <v/>
      </c>
      <c r="BH130" s="19" t="str">
        <f aca="false">IF(AG130=0,"",IF(AP130="FT",IF(BF130&lt;FT_First,0,IF(BF130&lt;FT_Y5,1+INT((BF130-FT_First)/FT_Int1),FT_PreY5+FT_PerYear*INT((BF130-FT_Y5)/12)+FT_AnnivDays+INT(MOD(BF130-FT_Y5,12)/FT_Int2))),IF(AP130="PT",IF(BF130&lt;PT_First,0,1+INT((BF130-PT_First)/PT_Int)),0))+IF(AND(AI130&gt;=2,AK130&lt;=EOMONTH(AsOfDate,-1)),IF(AQ130="FT",IF(BG130&lt;FT_First,0,IF(BG130&lt;FT_Y5,1+INT((BG130-FT_First)/FT_Int1),FT_PreY5+FT_PerYear*INT((BG130-FT_Y5)/12)+FT_AnnivDays+INT(MOD(BG130-FT_Y5,12)/FT_Int2))),IF(AQ130="PT",IF(BG130&lt;PT_First,0,1+INT((BG130-PT_First)/PT_Int)),0))-IF(AQ130="FT",IF(BF130&lt;FT_First,0,IF(BF130&lt;FT_Y5,1+INT((BF130-FT_First)/FT_Int1),FT_PreY5+FT_PerYear*INT((BF130-FT_Y5)/12)+FT_AnnivDays+INT(MOD(BF130-FT_Y5,12)/FT_Int2))),IF(AQ130="PT",IF(BF130&lt;PT_First,0,1+INT((BF130-PT_First)/PT_Int)),0)),0)+IF(AND(AI130&gt;=3,AL130&lt;=EOMONTH(AsOfDate,-1)),IF(AR130="FT",IF(BE130&lt;FT_First,0,IF(BE130&lt;FT_Y5,1+INT((BE130-FT_First)/FT_Int1),FT_PreY5+FT_PerYear*INT((BE130-FT_Y5)/12)+FT_AnnivDays+INT(MOD(BE130-FT_Y5,12)/FT_Int2))),IF(AR130="PT",IF(BE130&lt;PT_First,0,1+INT((BE130-PT_First)/PT_Int)),0))-IF(AR130="FT",IF(BG130&lt;FT_First,0,IF(BG130&lt;FT_Y5,1+INT((BG130-FT_First)/FT_Int1),FT_PreY5+FT_PerYear*INT((BG130-FT_Y5)/12)+FT_AnnivDays+INT(MOD(BG130-FT_Y5,12)/FT_Int2))),IF(AR130="PT",IF(BG130&lt;PT_First,0,1+INT((BG130-PT_First)/PT_Int)),0)),0))</f>
        <v/>
      </c>
      <c r="BI130" s="19" t="str">
        <f aca="false">IF(AG130=0,"",IF(AS130="FT",IF(AT130&lt;FT_First,"",IF(AT130&lt;FT_Y5,FT_First+FT_Int1*INT((AT130-FT_First)/FT_Int1),FT_Y5+FT_Int2*INT((AT130-FT_Y5)/FT_Int2))),IF(AS130="PT",IF(AT130&lt;PT_First,"",PT_First+PT_Int*INT((AT130-PT_First)/PT_Int)),"")))</f>
        <v/>
      </c>
      <c r="BJ130" s="0" t="str">
        <f aca="false">IF(LEN($A130&amp;$B130)=0,"",$A130&amp;" "&amp;$B130)</f>
        <v/>
      </c>
    </row>
    <row r="131" customFormat="false" ht="15" hidden="false" customHeight="false" outlineLevel="0" collapsed="false">
      <c r="A131" s="15"/>
      <c r="B131" s="15"/>
      <c r="C131" s="15"/>
      <c r="D131" s="16"/>
      <c r="E131" s="17" t="str">
        <f aca="false">IF(OR(AG131=0,$D131=""),"",DATE(YEAR(AsOfDate)+IF(DATE(YEAR(AsOfDate),MONTH($D131),DAY($D131))&lt;=AsOfDate,1,0),MONTH($D131),DAY($D131)))</f>
        <v/>
      </c>
      <c r="F131" s="16"/>
      <c r="G131" s="16"/>
      <c r="H131" s="16"/>
      <c r="I131" s="16"/>
      <c r="J131" s="16"/>
      <c r="K131" s="17" t="str">
        <f aca="false">IF(AG131=0,"",DATE(YEAR(AsOfDate)+IF(DATE(YEAR(AsOfDate),MONTH(AH131),DAY(AH131))&lt;=AsOfDate,1,0),MONTH(AH131),DAY(AH131)))</f>
        <v/>
      </c>
      <c r="L131" s="18" t="str">
        <f aca="false">IF(AG131=0,"",ROUND((AsOfDate-AH131)/365.25,1))</f>
        <v/>
      </c>
      <c r="M131" s="19" t="str">
        <f aca="false">IF(AG131=0,"",IF(AsOfDate&lt;AH131,"-",DATEDIF(AH131,AsOfDate,"y")&amp;"y "&amp;DATEDIF(AH131,AsOfDate,"ym")&amp;"m "&amp;DATEDIF(AH131,AsOfDate,"md")&amp;"d"))</f>
        <v/>
      </c>
      <c r="N131" s="20" t="str">
        <f aca="false">IF(AG131=0,"",O131*HoursPerDay)</f>
        <v/>
      </c>
      <c r="O131" s="20" t="str">
        <f aca="false">IF(AG131=0,"",AZ131)</f>
        <v/>
      </c>
      <c r="P131" s="21"/>
      <c r="Q131" s="19"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19"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7" t="str">
        <f aca="false">IF(AG131=0,"",IF(AS131="None","",EDATE(AH131,BB131)))</f>
        <v/>
      </c>
      <c r="T131" s="20" t="str">
        <f aca="false">IF(AG131=0,"",IF(NOT(LH_Ready),"",IF(AH131&gt;PFYDate,0,IF(LH_ColPeriod=0,W131-U131+V131,SUMIFS(INDEX(LH_Data,0,LH_ColAcc),INDEX(LH_Data,0,LH_ColFirst),$A131,INDEX(LH_Data,0,LH_ColSur),$B131,INDEX(LH_Data,0,LH_ColCat),BonusCat,INDEX(LH_Data,0,LH_ColPeriod),LH_OpenLabel)*UnitFactor))))</f>
        <v/>
      </c>
      <c r="U131" s="20" t="str">
        <f aca="false">IF(AG131=0,"",IF(NOT(LH_Ready),"",SUMIFS(INDEX(LH_Data,0,LH_ColAcc),INDEX(LH_Data,0,LH_ColFirst),$A131,INDEX(LH_Data,0,LH_ColSur),$B131,INDEX(LH_Data,0,LH_ColCat),BonusCat,INDEX(LH_Data,0,LH_ColStart),"&gt;="&amp;AH131)*UnitFactor))</f>
        <v/>
      </c>
      <c r="V131" s="20" t="str">
        <f aca="false">IF(AG131=0,"",IF(NOT(LH_Ready),"",SUMIFS(INDEX(LH_Data,0,LH_ColTaken),INDEX(LH_Data,0,LH_ColFirst),$A131,INDEX(LH_Data,0,LH_ColSur),$B131,INDEX(LH_Data,0,LH_ColCat),BonusCat,INDEX(LH_Data,0,LH_ColStart),"&gt;="&amp;AH131)*UnitFactor))</f>
        <v/>
      </c>
      <c r="W131" s="20" t="str">
        <f aca="false">IF(AG131=0,"",IF(NOT(LH_Ready),"",IF(BD131=0,0,INDEX(INDEX(LH_Data,0,LH_ColClose),BD131-1)*UnitFactor)))</f>
        <v/>
      </c>
      <c r="X131" s="20" t="str">
        <f aca="false">IF(AG131=0,"",(AZ131-BA131)*HoursPerDay)</f>
        <v/>
      </c>
      <c r="Y131" s="20" t="str">
        <f aca="false">IF(AG131=0,"",IF(NOT(LH_Ready),"",IF(BC131=0,N131,IF(PFYDate&lt;$F131,N131-N(T131)-N(U131),X131-N(U131)))))</f>
        <v/>
      </c>
      <c r="Z131" s="19" t="str">
        <f aca="false">IF(OR(AG131=0,Y131=""),"",IF(Y131&gt;0,"Yes","No"))</f>
        <v/>
      </c>
      <c r="AA131" s="19"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20" t="str">
        <f aca="false">IF(OR(AG131=0,T131=""),"",BA131*HoursPerDay-T131)</f>
        <v/>
      </c>
      <c r="AC131" s="19" t="str">
        <f aca="false">IF(AG131=0,"",BC131)</f>
        <v/>
      </c>
      <c r="AD131" s="19"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20" t="str">
        <f aca="false">IF(AG131=0,"",O131-BH131)</f>
        <v/>
      </c>
      <c r="AF131" s="17" t="str">
        <f aca="false">IF(OR(AG131=0,AE131="",N(AE131)=0,BI131=""),"",EDATE(AH131,BI131))</f>
        <v/>
      </c>
      <c r="AG131" s="19" t="n">
        <f aca="false">IF(OR(LEN($A131&amp;$B131)=0,$F131=""),0,1)</f>
        <v>0</v>
      </c>
      <c r="AH131" s="17" t="str">
        <f aca="false">IF(AG131=0,"",IF($J131&lt;&gt;"",$J131,IF(OR(CasualCounts="Yes",COUNT($G131:$I131)=0,COUNT($H131:$I131)=0),$F131,MIN($H131:$I131))))</f>
        <v/>
      </c>
      <c r="AI131" s="19" t="str">
        <f aca="false">IF(AG131=0,"",COUNT($G131:$I131))</f>
        <v/>
      </c>
      <c r="AJ131" s="17" t="str">
        <f aca="false">IF(AG131=0,"",IFERROR(SMALL($G131:$I131,1),""))</f>
        <v/>
      </c>
      <c r="AK131" s="17" t="str">
        <f aca="false">IF(AG131=0,"",IFERROR(SMALL($G131:$I131,2),""))</f>
        <v/>
      </c>
      <c r="AL131" s="17" t="str">
        <f aca="false">IF(AG131=0,"",IFERROR(SMALL($G131:$I131,3),""))</f>
        <v/>
      </c>
      <c r="AM131" s="19" t="str">
        <f aca="false">IF(AG131=0,"",IF(AJ131="","",IF(AJ131=$H131,"Part-Time",IF(AJ131=$I131,"Full-Time","Casual"))))</f>
        <v/>
      </c>
      <c r="AN131" s="19" t="str">
        <f aca="false">IF(AG131=0,"",IF(AK131="","",IF(AK131=$H131,"Part-Time",IF(AK131=$I131,"Full-Time","Casual"))))</f>
        <v/>
      </c>
      <c r="AO131" s="19" t="str">
        <f aca="false">IF(AG131=0,"",IF(AL131="","",IF(AL131=$H131,"Part-Time",IF(AL131=$I131,"Full-Time","Casual"))))</f>
        <v/>
      </c>
      <c r="AP131" s="19"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19" t="str">
        <f aca="false">IF(AG131=0,"",IF(AI131&lt;2,"",IF(OR(ISNUMBER(SEARCH("full",AN131)),UPPER(TRIM(AN131))="FT",UPPER(TRIM(AN131))="FTE"),"FT",IF(AND(OR(ISNUMBER(SEARCH("part",AN131)),UPPER(TRIM(AN131))="PT",UPPER(TRIM(AN131))="PTE"),OR($P131="",N($P131)&gt;=PT_MinHours)),"PT","None"))))</f>
        <v/>
      </c>
      <c r="AR131" s="19" t="str">
        <f aca="false">IF(AG131=0,"",IF(AI131&lt;3,"",IF(OR(ISNUMBER(SEARCH("full",AO131)),UPPER(TRIM(AO131))="FT",UPPER(TRIM(AO131))="FTE"),"FT",IF(AND(OR(ISNUMBER(SEARCH("part",AO131)),UPPER(TRIM(AO131))="PT",UPPER(TRIM(AO131))="PTE"),OR($P131="",N($P131)&gt;=PT_MinHours)),"PT","None"))))</f>
        <v/>
      </c>
      <c r="AS131" s="19" t="str">
        <f aca="false">IF(AG131=0,"",IF(AND(AI131&gt;=3,AL131&lt;=AsOfDate),AR131,IF(AND(AI131&gt;=2,AK131&lt;=AsOfDate),AQ131,AP131)))</f>
        <v/>
      </c>
      <c r="AT131" s="19" t="str">
        <f aca="false">IF(AG131=0,"",IF(AsOfDate&lt;AH131,-1,12*(YEAR(AsOfDate)-YEAR(AH131))+MONTH(AsOfDate)-MONTH(AH131)-IF(DAY(AsOfDate)&lt;MIN(DAY(AH131),DAY(EOMONTH(AsOfDate,0))),1,0)))</f>
        <v/>
      </c>
      <c r="AU131" s="19" t="str">
        <f aca="false">IF(AG131=0,"",IF(OR(AI131&lt;2,AK131&gt;AsOfDate),AT131,IF((AK131-1)&lt;AH131,-1,12*(YEAR((AK131-1))-YEAR(AH131))+MONTH((AK131-1))-MONTH(AH131)-IF(DAY((AK131-1))&lt;MIN(DAY(AH131),DAY(EOMONTH((AK131-1),0))),1,0))))</f>
        <v/>
      </c>
      <c r="AV131" s="19" t="str">
        <f aca="false">IF(AG131=0,"",IF(OR(AI131&lt;3,AL131&gt;AsOfDate),AT131,IF((AL131-1)&lt;AH131,-1,12*(YEAR((AL131-1))-YEAR(AH131))+MONTH((AL131-1))-MONTH(AH131)-IF(DAY((AL131-1))&lt;MIN(DAY(AH131),DAY(EOMONTH((AL131-1),0))),1,0))))</f>
        <v/>
      </c>
      <c r="AW131" s="19" t="str">
        <f aca="false">IF(AG131=0,"",IF(PFYDate&lt;AH131,-1,12*(YEAR(PFYDate)-YEAR(AH131))+MONTH(PFYDate)-MONTH(AH131)-IF(DAY(PFYDate)&lt;MIN(DAY(AH131),DAY(EOMONTH(PFYDate,0))),1,0)))</f>
        <v/>
      </c>
      <c r="AX131" s="19" t="str">
        <f aca="false">IF(AG131=0,"",IF(OR(AI131&lt;2,AK131&gt;PFYDate),AW131,IF((AK131-1)&lt;AH131,-1,12*(YEAR((AK131-1))-YEAR(AH131))+MONTH((AK131-1))-MONTH(AH131)-IF(DAY((AK131-1))&lt;MIN(DAY(AH131),DAY(EOMONTH((AK131-1),0))),1,0))))</f>
        <v/>
      </c>
      <c r="AY131" s="19" t="str">
        <f aca="false">IF(AG131=0,"",IF(OR(AI131&lt;3,AL131&gt;PFYDate),AW131,IF((AL131-1)&lt;AH131,-1,12*(YEAR((AL131-1))-YEAR(AH131))+MONTH((AL131-1))-MONTH(AH131)-IF(DAY((AL131-1))&lt;MIN(DAY(AH131),DAY(EOMONTH((AL131-1),0))),1,0))))</f>
        <v/>
      </c>
      <c r="AZ131" s="19" t="str">
        <f aca="false">IF(AG131=0,"",IF(AP131="FT",IF(AU131&lt;FT_First,0,IF(AU131&lt;FT_Y5,1+INT((AU131-FT_First)/FT_Int1),FT_PreY5+FT_PerYear*INT((AU131-FT_Y5)/12)+FT_AnnivDays+INT(MOD(AU131-FT_Y5,12)/FT_Int2))),IF(AP131="PT",IF(AU131&lt;PT_First,0,1+INT((AU131-PT_First)/PT_Int)),0))+IF(AND(AI131&gt;=2,AK131&lt;=AsOfDate),IF(AQ131="FT",IF(AV131&lt;FT_First,0,IF(AV131&lt;FT_Y5,1+INT((AV131-FT_First)/FT_Int1),FT_PreY5+FT_PerYear*INT((AV131-FT_Y5)/12)+FT_AnnivDays+INT(MOD(AV131-FT_Y5,12)/FT_Int2))),IF(AQ131="PT",IF(AV131&lt;PT_First,0,1+INT((AV131-PT_First)/PT_Int)),0))-IF(AQ131="FT",IF(AU131&lt;FT_First,0,IF(AU131&lt;FT_Y5,1+INT((AU131-FT_First)/FT_Int1),FT_PreY5+FT_PerYear*INT((AU131-FT_Y5)/12)+FT_AnnivDays+INT(MOD(AU131-FT_Y5,12)/FT_Int2))),IF(AQ131="PT",IF(AU131&lt;PT_First,0,1+INT((AU131-PT_First)/PT_Int)),0)),0)+IF(AND(AI131&gt;=3,AL131&lt;=AsOfDate),IF(AR131="FT",IF(AT131&lt;FT_First,0,IF(AT131&lt;FT_Y5,1+INT((AT131-FT_First)/FT_Int1),FT_PreY5+FT_PerYear*INT((AT131-FT_Y5)/12)+FT_AnnivDays+INT(MOD(AT131-FT_Y5,12)/FT_Int2))),IF(AR131="PT",IF(AT131&lt;PT_First,0,1+INT((AT131-PT_First)/PT_Int)),0))-IF(AR131="FT",IF(AV131&lt;FT_First,0,IF(AV131&lt;FT_Y5,1+INT((AV131-FT_First)/FT_Int1),FT_PreY5+FT_PerYear*INT((AV131-FT_Y5)/12)+FT_AnnivDays+INT(MOD(AV131-FT_Y5,12)/FT_Int2))),IF(AR131="PT",IF(AV131&lt;PT_First,0,1+INT((AV131-PT_First)/PT_Int)),0)),0))</f>
        <v/>
      </c>
      <c r="BA131" s="19" t="str">
        <f aca="false">IF(AG131=0,"",IF(AP131="FT",IF(AX131&lt;FT_First,0,IF(AX131&lt;FT_Y5,1+INT((AX131-FT_First)/FT_Int1),FT_PreY5+FT_PerYear*INT((AX131-FT_Y5)/12)+FT_AnnivDays+INT(MOD(AX131-FT_Y5,12)/FT_Int2))),IF(AP131="PT",IF(AX131&lt;PT_First,0,1+INT((AX131-PT_First)/PT_Int)),0))+IF(AND(AI131&gt;=2,AK131&lt;=PFYDate),IF(AQ131="FT",IF(AY131&lt;FT_First,0,IF(AY131&lt;FT_Y5,1+INT((AY131-FT_First)/FT_Int1),FT_PreY5+FT_PerYear*INT((AY131-FT_Y5)/12)+FT_AnnivDays+INT(MOD(AY131-FT_Y5,12)/FT_Int2))),IF(AQ131="PT",IF(AY131&lt;PT_First,0,1+INT((AY131-PT_First)/PT_Int)),0))-IF(AQ131="FT",IF(AX131&lt;FT_First,0,IF(AX131&lt;FT_Y5,1+INT((AX131-FT_First)/FT_Int1),FT_PreY5+FT_PerYear*INT((AX131-FT_Y5)/12)+FT_AnnivDays+INT(MOD(AX131-FT_Y5,12)/FT_Int2))),IF(AQ131="PT",IF(AX131&lt;PT_First,0,1+INT((AX131-PT_First)/PT_Int)),0)),0)+IF(AND(AI131&gt;=3,AL131&lt;=PFYDate),IF(AR131="FT",IF(AW131&lt;FT_First,0,IF(AW131&lt;FT_Y5,1+INT((AW131-FT_First)/FT_Int1),FT_PreY5+FT_PerYear*INT((AW131-FT_Y5)/12)+FT_AnnivDays+INT(MOD(AW131-FT_Y5,12)/FT_Int2))),IF(AR131="PT",IF(AW131&lt;PT_First,0,1+INT((AW131-PT_First)/PT_Int)),0))-IF(AR131="FT",IF(AY131&lt;FT_First,0,IF(AY131&lt;FT_Y5,1+INT((AY131-FT_First)/FT_Int1),FT_PreY5+FT_PerYear*INT((AY131-FT_Y5)/12)+FT_AnnivDays+INT(MOD(AY131-FT_Y5,12)/FT_Int2))),IF(AR131="PT",IF(AY131&lt;PT_First,0,1+INT((AY131-PT_First)/PT_Int)),0)),0))</f>
        <v/>
      </c>
      <c r="BB131" s="19" t="str">
        <f aca="false">IF(AG131=0,"",IF(AS131="FT",IF(AT131&lt;FT_First,FT_First,IF(AT131&lt;FT_Y5,MIN(FT_Y5,FT_First+FT_Int1*(INT((AT131-FT_First)/FT_Int1)+1)),FT_Y5+12*INT((AT131-FT_Y5)/12)+FT_Int2*(INT(MOD(AT131-FT_Y5,12)/FT_Int2)+1))),IF(AS131="PT",IF(AT131&lt;PT_First,PT_First,PT_First+PT_Int*(INT((AT131-PT_First)/PT_Int)+1)),"")))</f>
        <v/>
      </c>
      <c r="BC131" s="19" t="str">
        <f aca="false">IF(AG131=0,"",IF(NOT(LH_Ready),0,COUNTIFS(INDEX(LH_Data,0,LH_ColFirst),$A131,INDEX(LH_Data,0,LH_ColSur),$B131,INDEX(LH_Data,0,LH_ColCat),BonusCat)))</f>
        <v/>
      </c>
      <c r="BD131" s="19" t="str">
        <f aca="false">IF(AG131=0,"",IF(OR(NOT(LH_Ready),BC131=0),0,SUMPRODUCT(MAX((INDEX(LH_Data,0,LH_ColFirst)=$A131)*(INDEX(LH_Data,0,LH_ColSur)=$B131)*(INDEX(LH_Data,0,LH_ColCat)=BonusCat)*ROW(LH_Data)))))</f>
        <v/>
      </c>
      <c r="BE131" s="19" t="str">
        <f aca="false">IF(AG131=0,"",IF(EOMONTH(AsOfDate,-1)&lt;AH131,-1,12*(YEAR(EOMONTH(AsOfDate,-1))-YEAR(AH131))+MONTH(EOMONTH(AsOfDate,-1))-MONTH(AH131)-IF(DAY(EOMONTH(AsOfDate,-1))&lt;MIN(DAY(AH131),DAY(EOMONTH(EOMONTH(AsOfDate,-1),0))),1,0)))</f>
        <v/>
      </c>
      <c r="BF131" s="19" t="str">
        <f aca="false">IF(AG131=0,"",IF(OR(AI131&lt;2,AK131&gt;EOMONTH(AsOfDate,-1)),BE131,IF((AK131-1)&lt;AH131,-1,12*(YEAR((AK131-1))-YEAR(AH131))+MONTH((AK131-1))-MONTH(AH131)-IF(DAY((AK131-1))&lt;MIN(DAY(AH131),DAY(EOMONTH((AK131-1),0))),1,0))))</f>
        <v/>
      </c>
      <c r="BG131" s="19" t="str">
        <f aca="false">IF(AG131=0,"",IF(OR(AI131&lt;3,AL131&gt;EOMONTH(AsOfDate,-1)),BE131,IF((AL131-1)&lt;AH131,-1,12*(YEAR((AL131-1))-YEAR(AH131))+MONTH((AL131-1))-MONTH(AH131)-IF(DAY((AL131-1))&lt;MIN(DAY(AH131),DAY(EOMONTH((AL131-1),0))),1,0))))</f>
        <v/>
      </c>
      <c r="BH131" s="19" t="str">
        <f aca="false">IF(AG131=0,"",IF(AP131="FT",IF(BF131&lt;FT_First,0,IF(BF131&lt;FT_Y5,1+INT((BF131-FT_First)/FT_Int1),FT_PreY5+FT_PerYear*INT((BF131-FT_Y5)/12)+FT_AnnivDays+INT(MOD(BF131-FT_Y5,12)/FT_Int2))),IF(AP131="PT",IF(BF131&lt;PT_First,0,1+INT((BF131-PT_First)/PT_Int)),0))+IF(AND(AI131&gt;=2,AK131&lt;=EOMONTH(AsOfDate,-1)),IF(AQ131="FT",IF(BG131&lt;FT_First,0,IF(BG131&lt;FT_Y5,1+INT((BG131-FT_First)/FT_Int1),FT_PreY5+FT_PerYear*INT((BG131-FT_Y5)/12)+FT_AnnivDays+INT(MOD(BG131-FT_Y5,12)/FT_Int2))),IF(AQ131="PT",IF(BG131&lt;PT_First,0,1+INT((BG131-PT_First)/PT_Int)),0))-IF(AQ131="FT",IF(BF131&lt;FT_First,0,IF(BF131&lt;FT_Y5,1+INT((BF131-FT_First)/FT_Int1),FT_PreY5+FT_PerYear*INT((BF131-FT_Y5)/12)+FT_AnnivDays+INT(MOD(BF131-FT_Y5,12)/FT_Int2))),IF(AQ131="PT",IF(BF131&lt;PT_First,0,1+INT((BF131-PT_First)/PT_Int)),0)),0)+IF(AND(AI131&gt;=3,AL131&lt;=EOMONTH(AsOfDate,-1)),IF(AR131="FT",IF(BE131&lt;FT_First,0,IF(BE131&lt;FT_Y5,1+INT((BE131-FT_First)/FT_Int1),FT_PreY5+FT_PerYear*INT((BE131-FT_Y5)/12)+FT_AnnivDays+INT(MOD(BE131-FT_Y5,12)/FT_Int2))),IF(AR131="PT",IF(BE131&lt;PT_First,0,1+INT((BE131-PT_First)/PT_Int)),0))-IF(AR131="FT",IF(BG131&lt;FT_First,0,IF(BG131&lt;FT_Y5,1+INT((BG131-FT_First)/FT_Int1),FT_PreY5+FT_PerYear*INT((BG131-FT_Y5)/12)+FT_AnnivDays+INT(MOD(BG131-FT_Y5,12)/FT_Int2))),IF(AR131="PT",IF(BG131&lt;PT_First,0,1+INT((BG131-PT_First)/PT_Int)),0)),0))</f>
        <v/>
      </c>
      <c r="BI131" s="19" t="str">
        <f aca="false">IF(AG131=0,"",IF(AS131="FT",IF(AT131&lt;FT_First,"",IF(AT131&lt;FT_Y5,FT_First+FT_Int1*INT((AT131-FT_First)/FT_Int1),FT_Y5+FT_Int2*INT((AT131-FT_Y5)/FT_Int2))),IF(AS131="PT",IF(AT131&lt;PT_First,"",PT_First+PT_Int*INT((AT131-PT_First)/PT_Int)),"")))</f>
        <v/>
      </c>
      <c r="BJ131" s="0" t="str">
        <f aca="false">IF(LEN($A131&amp;$B131)=0,"",$A131&amp;" "&amp;$B131)</f>
        <v/>
      </c>
    </row>
    <row r="132" customFormat="false" ht="15" hidden="false" customHeight="false" outlineLevel="0" collapsed="false">
      <c r="A132" s="15"/>
      <c r="B132" s="15"/>
      <c r="C132" s="15"/>
      <c r="D132" s="16"/>
      <c r="E132" s="17" t="str">
        <f aca="false">IF(OR(AG132=0,$D132=""),"",DATE(YEAR(AsOfDate)+IF(DATE(YEAR(AsOfDate),MONTH($D132),DAY($D132))&lt;=AsOfDate,1,0),MONTH($D132),DAY($D132)))</f>
        <v/>
      </c>
      <c r="F132" s="16"/>
      <c r="G132" s="16"/>
      <c r="H132" s="16"/>
      <c r="I132" s="16"/>
      <c r="J132" s="16"/>
      <c r="K132" s="17" t="str">
        <f aca="false">IF(AG132=0,"",DATE(YEAR(AsOfDate)+IF(DATE(YEAR(AsOfDate),MONTH(AH132),DAY(AH132))&lt;=AsOfDate,1,0),MONTH(AH132),DAY(AH132)))</f>
        <v/>
      </c>
      <c r="L132" s="18" t="str">
        <f aca="false">IF(AG132=0,"",ROUND((AsOfDate-AH132)/365.25,1))</f>
        <v/>
      </c>
      <c r="M132" s="19" t="str">
        <f aca="false">IF(AG132=0,"",IF(AsOfDate&lt;AH132,"-",DATEDIF(AH132,AsOfDate,"y")&amp;"y "&amp;DATEDIF(AH132,AsOfDate,"ym")&amp;"m "&amp;DATEDIF(AH132,AsOfDate,"md")&amp;"d"))</f>
        <v/>
      </c>
      <c r="N132" s="20" t="str">
        <f aca="false">IF(AG132=0,"",O132*HoursPerDay)</f>
        <v/>
      </c>
      <c r="O132" s="20" t="str">
        <f aca="false">IF(AG132=0,"",AZ132)</f>
        <v/>
      </c>
      <c r="P132" s="21"/>
      <c r="Q132" s="19"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19"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7" t="str">
        <f aca="false">IF(AG132=0,"",IF(AS132="None","",EDATE(AH132,BB132)))</f>
        <v/>
      </c>
      <c r="T132" s="20" t="str">
        <f aca="false">IF(AG132=0,"",IF(NOT(LH_Ready),"",IF(AH132&gt;PFYDate,0,IF(LH_ColPeriod=0,W132-U132+V132,SUMIFS(INDEX(LH_Data,0,LH_ColAcc),INDEX(LH_Data,0,LH_ColFirst),$A132,INDEX(LH_Data,0,LH_ColSur),$B132,INDEX(LH_Data,0,LH_ColCat),BonusCat,INDEX(LH_Data,0,LH_ColPeriod),LH_OpenLabel)*UnitFactor))))</f>
        <v/>
      </c>
      <c r="U132" s="20" t="str">
        <f aca="false">IF(AG132=0,"",IF(NOT(LH_Ready),"",SUMIFS(INDEX(LH_Data,0,LH_ColAcc),INDEX(LH_Data,0,LH_ColFirst),$A132,INDEX(LH_Data,0,LH_ColSur),$B132,INDEX(LH_Data,0,LH_ColCat),BonusCat,INDEX(LH_Data,0,LH_ColStart),"&gt;="&amp;AH132)*UnitFactor))</f>
        <v/>
      </c>
      <c r="V132" s="20" t="str">
        <f aca="false">IF(AG132=0,"",IF(NOT(LH_Ready),"",SUMIFS(INDEX(LH_Data,0,LH_ColTaken),INDEX(LH_Data,0,LH_ColFirst),$A132,INDEX(LH_Data,0,LH_ColSur),$B132,INDEX(LH_Data,0,LH_ColCat),BonusCat,INDEX(LH_Data,0,LH_ColStart),"&gt;="&amp;AH132)*UnitFactor))</f>
        <v/>
      </c>
      <c r="W132" s="20" t="str">
        <f aca="false">IF(AG132=0,"",IF(NOT(LH_Ready),"",IF(BD132=0,0,INDEX(INDEX(LH_Data,0,LH_ColClose),BD132-1)*UnitFactor)))</f>
        <v/>
      </c>
      <c r="X132" s="20" t="str">
        <f aca="false">IF(AG132=0,"",(AZ132-BA132)*HoursPerDay)</f>
        <v/>
      </c>
      <c r="Y132" s="20" t="str">
        <f aca="false">IF(AG132=0,"",IF(NOT(LH_Ready),"",IF(BC132=0,N132,IF(PFYDate&lt;$F132,N132-N(T132)-N(U132),X132-N(U132)))))</f>
        <v/>
      </c>
      <c r="Z132" s="19" t="str">
        <f aca="false">IF(OR(AG132=0,Y132=""),"",IF(Y132&gt;0,"Yes","No"))</f>
        <v/>
      </c>
      <c r="AA132" s="19"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20" t="str">
        <f aca="false">IF(OR(AG132=0,T132=""),"",BA132*HoursPerDay-T132)</f>
        <v/>
      </c>
      <c r="AC132" s="19" t="str">
        <f aca="false">IF(AG132=0,"",BC132)</f>
        <v/>
      </c>
      <c r="AD132" s="19"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20" t="str">
        <f aca="false">IF(AG132=0,"",O132-BH132)</f>
        <v/>
      </c>
      <c r="AF132" s="17" t="str">
        <f aca="false">IF(OR(AG132=0,AE132="",N(AE132)=0,BI132=""),"",EDATE(AH132,BI132))</f>
        <v/>
      </c>
      <c r="AG132" s="19" t="n">
        <f aca="false">IF(OR(LEN($A132&amp;$B132)=0,$F132=""),0,1)</f>
        <v>0</v>
      </c>
      <c r="AH132" s="17" t="str">
        <f aca="false">IF(AG132=0,"",IF($J132&lt;&gt;"",$J132,IF(OR(CasualCounts="Yes",COUNT($G132:$I132)=0,COUNT($H132:$I132)=0),$F132,MIN($H132:$I132))))</f>
        <v/>
      </c>
      <c r="AI132" s="19" t="str">
        <f aca="false">IF(AG132=0,"",COUNT($G132:$I132))</f>
        <v/>
      </c>
      <c r="AJ132" s="17" t="str">
        <f aca="false">IF(AG132=0,"",IFERROR(SMALL($G132:$I132,1),""))</f>
        <v/>
      </c>
      <c r="AK132" s="17" t="str">
        <f aca="false">IF(AG132=0,"",IFERROR(SMALL($G132:$I132,2),""))</f>
        <v/>
      </c>
      <c r="AL132" s="17" t="str">
        <f aca="false">IF(AG132=0,"",IFERROR(SMALL($G132:$I132,3),""))</f>
        <v/>
      </c>
      <c r="AM132" s="19" t="str">
        <f aca="false">IF(AG132=0,"",IF(AJ132="","",IF(AJ132=$H132,"Part-Time",IF(AJ132=$I132,"Full-Time","Casual"))))</f>
        <v/>
      </c>
      <c r="AN132" s="19" t="str">
        <f aca="false">IF(AG132=0,"",IF(AK132="","",IF(AK132=$H132,"Part-Time",IF(AK132=$I132,"Full-Time","Casual"))))</f>
        <v/>
      </c>
      <c r="AO132" s="19" t="str">
        <f aca="false">IF(AG132=0,"",IF(AL132="","",IF(AL132=$H132,"Part-Time",IF(AL132=$I132,"Full-Time","Casual"))))</f>
        <v/>
      </c>
      <c r="AP132" s="19"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19" t="str">
        <f aca="false">IF(AG132=0,"",IF(AI132&lt;2,"",IF(OR(ISNUMBER(SEARCH("full",AN132)),UPPER(TRIM(AN132))="FT",UPPER(TRIM(AN132))="FTE"),"FT",IF(AND(OR(ISNUMBER(SEARCH("part",AN132)),UPPER(TRIM(AN132))="PT",UPPER(TRIM(AN132))="PTE"),OR($P132="",N($P132)&gt;=PT_MinHours)),"PT","None"))))</f>
        <v/>
      </c>
      <c r="AR132" s="19" t="str">
        <f aca="false">IF(AG132=0,"",IF(AI132&lt;3,"",IF(OR(ISNUMBER(SEARCH("full",AO132)),UPPER(TRIM(AO132))="FT",UPPER(TRIM(AO132))="FTE"),"FT",IF(AND(OR(ISNUMBER(SEARCH("part",AO132)),UPPER(TRIM(AO132))="PT",UPPER(TRIM(AO132))="PTE"),OR($P132="",N($P132)&gt;=PT_MinHours)),"PT","None"))))</f>
        <v/>
      </c>
      <c r="AS132" s="19" t="str">
        <f aca="false">IF(AG132=0,"",IF(AND(AI132&gt;=3,AL132&lt;=AsOfDate),AR132,IF(AND(AI132&gt;=2,AK132&lt;=AsOfDate),AQ132,AP132)))</f>
        <v/>
      </c>
      <c r="AT132" s="19" t="str">
        <f aca="false">IF(AG132=0,"",IF(AsOfDate&lt;AH132,-1,12*(YEAR(AsOfDate)-YEAR(AH132))+MONTH(AsOfDate)-MONTH(AH132)-IF(DAY(AsOfDate)&lt;MIN(DAY(AH132),DAY(EOMONTH(AsOfDate,0))),1,0)))</f>
        <v/>
      </c>
      <c r="AU132" s="19" t="str">
        <f aca="false">IF(AG132=0,"",IF(OR(AI132&lt;2,AK132&gt;AsOfDate),AT132,IF((AK132-1)&lt;AH132,-1,12*(YEAR((AK132-1))-YEAR(AH132))+MONTH((AK132-1))-MONTH(AH132)-IF(DAY((AK132-1))&lt;MIN(DAY(AH132),DAY(EOMONTH((AK132-1),0))),1,0))))</f>
        <v/>
      </c>
      <c r="AV132" s="19" t="str">
        <f aca="false">IF(AG132=0,"",IF(OR(AI132&lt;3,AL132&gt;AsOfDate),AT132,IF((AL132-1)&lt;AH132,-1,12*(YEAR((AL132-1))-YEAR(AH132))+MONTH((AL132-1))-MONTH(AH132)-IF(DAY((AL132-1))&lt;MIN(DAY(AH132),DAY(EOMONTH((AL132-1),0))),1,0))))</f>
        <v/>
      </c>
      <c r="AW132" s="19" t="str">
        <f aca="false">IF(AG132=0,"",IF(PFYDate&lt;AH132,-1,12*(YEAR(PFYDate)-YEAR(AH132))+MONTH(PFYDate)-MONTH(AH132)-IF(DAY(PFYDate)&lt;MIN(DAY(AH132),DAY(EOMONTH(PFYDate,0))),1,0)))</f>
        <v/>
      </c>
      <c r="AX132" s="19" t="str">
        <f aca="false">IF(AG132=0,"",IF(OR(AI132&lt;2,AK132&gt;PFYDate),AW132,IF((AK132-1)&lt;AH132,-1,12*(YEAR((AK132-1))-YEAR(AH132))+MONTH((AK132-1))-MONTH(AH132)-IF(DAY((AK132-1))&lt;MIN(DAY(AH132),DAY(EOMONTH((AK132-1),0))),1,0))))</f>
        <v/>
      </c>
      <c r="AY132" s="19" t="str">
        <f aca="false">IF(AG132=0,"",IF(OR(AI132&lt;3,AL132&gt;PFYDate),AW132,IF((AL132-1)&lt;AH132,-1,12*(YEAR((AL132-1))-YEAR(AH132))+MONTH((AL132-1))-MONTH(AH132)-IF(DAY((AL132-1))&lt;MIN(DAY(AH132),DAY(EOMONTH((AL132-1),0))),1,0))))</f>
        <v/>
      </c>
      <c r="AZ132" s="19" t="str">
        <f aca="false">IF(AG132=0,"",IF(AP132="FT",IF(AU132&lt;FT_First,0,IF(AU132&lt;FT_Y5,1+INT((AU132-FT_First)/FT_Int1),FT_PreY5+FT_PerYear*INT((AU132-FT_Y5)/12)+FT_AnnivDays+INT(MOD(AU132-FT_Y5,12)/FT_Int2))),IF(AP132="PT",IF(AU132&lt;PT_First,0,1+INT((AU132-PT_First)/PT_Int)),0))+IF(AND(AI132&gt;=2,AK132&lt;=AsOfDate),IF(AQ132="FT",IF(AV132&lt;FT_First,0,IF(AV132&lt;FT_Y5,1+INT((AV132-FT_First)/FT_Int1),FT_PreY5+FT_PerYear*INT((AV132-FT_Y5)/12)+FT_AnnivDays+INT(MOD(AV132-FT_Y5,12)/FT_Int2))),IF(AQ132="PT",IF(AV132&lt;PT_First,0,1+INT((AV132-PT_First)/PT_Int)),0))-IF(AQ132="FT",IF(AU132&lt;FT_First,0,IF(AU132&lt;FT_Y5,1+INT((AU132-FT_First)/FT_Int1),FT_PreY5+FT_PerYear*INT((AU132-FT_Y5)/12)+FT_AnnivDays+INT(MOD(AU132-FT_Y5,12)/FT_Int2))),IF(AQ132="PT",IF(AU132&lt;PT_First,0,1+INT((AU132-PT_First)/PT_Int)),0)),0)+IF(AND(AI132&gt;=3,AL132&lt;=AsOfDate),IF(AR132="FT",IF(AT132&lt;FT_First,0,IF(AT132&lt;FT_Y5,1+INT((AT132-FT_First)/FT_Int1),FT_PreY5+FT_PerYear*INT((AT132-FT_Y5)/12)+FT_AnnivDays+INT(MOD(AT132-FT_Y5,12)/FT_Int2))),IF(AR132="PT",IF(AT132&lt;PT_First,0,1+INT((AT132-PT_First)/PT_Int)),0))-IF(AR132="FT",IF(AV132&lt;FT_First,0,IF(AV132&lt;FT_Y5,1+INT((AV132-FT_First)/FT_Int1),FT_PreY5+FT_PerYear*INT((AV132-FT_Y5)/12)+FT_AnnivDays+INT(MOD(AV132-FT_Y5,12)/FT_Int2))),IF(AR132="PT",IF(AV132&lt;PT_First,0,1+INT((AV132-PT_First)/PT_Int)),0)),0))</f>
        <v/>
      </c>
      <c r="BA132" s="19" t="str">
        <f aca="false">IF(AG132=0,"",IF(AP132="FT",IF(AX132&lt;FT_First,0,IF(AX132&lt;FT_Y5,1+INT((AX132-FT_First)/FT_Int1),FT_PreY5+FT_PerYear*INT((AX132-FT_Y5)/12)+FT_AnnivDays+INT(MOD(AX132-FT_Y5,12)/FT_Int2))),IF(AP132="PT",IF(AX132&lt;PT_First,0,1+INT((AX132-PT_First)/PT_Int)),0))+IF(AND(AI132&gt;=2,AK132&lt;=PFYDate),IF(AQ132="FT",IF(AY132&lt;FT_First,0,IF(AY132&lt;FT_Y5,1+INT((AY132-FT_First)/FT_Int1),FT_PreY5+FT_PerYear*INT((AY132-FT_Y5)/12)+FT_AnnivDays+INT(MOD(AY132-FT_Y5,12)/FT_Int2))),IF(AQ132="PT",IF(AY132&lt;PT_First,0,1+INT((AY132-PT_First)/PT_Int)),0))-IF(AQ132="FT",IF(AX132&lt;FT_First,0,IF(AX132&lt;FT_Y5,1+INT((AX132-FT_First)/FT_Int1),FT_PreY5+FT_PerYear*INT((AX132-FT_Y5)/12)+FT_AnnivDays+INT(MOD(AX132-FT_Y5,12)/FT_Int2))),IF(AQ132="PT",IF(AX132&lt;PT_First,0,1+INT((AX132-PT_First)/PT_Int)),0)),0)+IF(AND(AI132&gt;=3,AL132&lt;=PFYDate),IF(AR132="FT",IF(AW132&lt;FT_First,0,IF(AW132&lt;FT_Y5,1+INT((AW132-FT_First)/FT_Int1),FT_PreY5+FT_PerYear*INT((AW132-FT_Y5)/12)+FT_AnnivDays+INT(MOD(AW132-FT_Y5,12)/FT_Int2))),IF(AR132="PT",IF(AW132&lt;PT_First,0,1+INT((AW132-PT_First)/PT_Int)),0))-IF(AR132="FT",IF(AY132&lt;FT_First,0,IF(AY132&lt;FT_Y5,1+INT((AY132-FT_First)/FT_Int1),FT_PreY5+FT_PerYear*INT((AY132-FT_Y5)/12)+FT_AnnivDays+INT(MOD(AY132-FT_Y5,12)/FT_Int2))),IF(AR132="PT",IF(AY132&lt;PT_First,0,1+INT((AY132-PT_First)/PT_Int)),0)),0))</f>
        <v/>
      </c>
      <c r="BB132" s="19" t="str">
        <f aca="false">IF(AG132=0,"",IF(AS132="FT",IF(AT132&lt;FT_First,FT_First,IF(AT132&lt;FT_Y5,MIN(FT_Y5,FT_First+FT_Int1*(INT((AT132-FT_First)/FT_Int1)+1)),FT_Y5+12*INT((AT132-FT_Y5)/12)+FT_Int2*(INT(MOD(AT132-FT_Y5,12)/FT_Int2)+1))),IF(AS132="PT",IF(AT132&lt;PT_First,PT_First,PT_First+PT_Int*(INT((AT132-PT_First)/PT_Int)+1)),"")))</f>
        <v/>
      </c>
      <c r="BC132" s="19" t="str">
        <f aca="false">IF(AG132=0,"",IF(NOT(LH_Ready),0,COUNTIFS(INDEX(LH_Data,0,LH_ColFirst),$A132,INDEX(LH_Data,0,LH_ColSur),$B132,INDEX(LH_Data,0,LH_ColCat),BonusCat)))</f>
        <v/>
      </c>
      <c r="BD132" s="19" t="str">
        <f aca="false">IF(AG132=0,"",IF(OR(NOT(LH_Ready),BC132=0),0,SUMPRODUCT(MAX((INDEX(LH_Data,0,LH_ColFirst)=$A132)*(INDEX(LH_Data,0,LH_ColSur)=$B132)*(INDEX(LH_Data,0,LH_ColCat)=BonusCat)*ROW(LH_Data)))))</f>
        <v/>
      </c>
      <c r="BE132" s="19" t="str">
        <f aca="false">IF(AG132=0,"",IF(EOMONTH(AsOfDate,-1)&lt;AH132,-1,12*(YEAR(EOMONTH(AsOfDate,-1))-YEAR(AH132))+MONTH(EOMONTH(AsOfDate,-1))-MONTH(AH132)-IF(DAY(EOMONTH(AsOfDate,-1))&lt;MIN(DAY(AH132),DAY(EOMONTH(EOMONTH(AsOfDate,-1),0))),1,0)))</f>
        <v/>
      </c>
      <c r="BF132" s="19" t="str">
        <f aca="false">IF(AG132=0,"",IF(OR(AI132&lt;2,AK132&gt;EOMONTH(AsOfDate,-1)),BE132,IF((AK132-1)&lt;AH132,-1,12*(YEAR((AK132-1))-YEAR(AH132))+MONTH((AK132-1))-MONTH(AH132)-IF(DAY((AK132-1))&lt;MIN(DAY(AH132),DAY(EOMONTH((AK132-1),0))),1,0))))</f>
        <v/>
      </c>
      <c r="BG132" s="19" t="str">
        <f aca="false">IF(AG132=0,"",IF(OR(AI132&lt;3,AL132&gt;EOMONTH(AsOfDate,-1)),BE132,IF((AL132-1)&lt;AH132,-1,12*(YEAR((AL132-1))-YEAR(AH132))+MONTH((AL132-1))-MONTH(AH132)-IF(DAY((AL132-1))&lt;MIN(DAY(AH132),DAY(EOMONTH((AL132-1),0))),1,0))))</f>
        <v/>
      </c>
      <c r="BH132" s="19" t="str">
        <f aca="false">IF(AG132=0,"",IF(AP132="FT",IF(BF132&lt;FT_First,0,IF(BF132&lt;FT_Y5,1+INT((BF132-FT_First)/FT_Int1),FT_PreY5+FT_PerYear*INT((BF132-FT_Y5)/12)+FT_AnnivDays+INT(MOD(BF132-FT_Y5,12)/FT_Int2))),IF(AP132="PT",IF(BF132&lt;PT_First,0,1+INT((BF132-PT_First)/PT_Int)),0))+IF(AND(AI132&gt;=2,AK132&lt;=EOMONTH(AsOfDate,-1)),IF(AQ132="FT",IF(BG132&lt;FT_First,0,IF(BG132&lt;FT_Y5,1+INT((BG132-FT_First)/FT_Int1),FT_PreY5+FT_PerYear*INT((BG132-FT_Y5)/12)+FT_AnnivDays+INT(MOD(BG132-FT_Y5,12)/FT_Int2))),IF(AQ132="PT",IF(BG132&lt;PT_First,0,1+INT((BG132-PT_First)/PT_Int)),0))-IF(AQ132="FT",IF(BF132&lt;FT_First,0,IF(BF132&lt;FT_Y5,1+INT((BF132-FT_First)/FT_Int1),FT_PreY5+FT_PerYear*INT((BF132-FT_Y5)/12)+FT_AnnivDays+INT(MOD(BF132-FT_Y5,12)/FT_Int2))),IF(AQ132="PT",IF(BF132&lt;PT_First,0,1+INT((BF132-PT_First)/PT_Int)),0)),0)+IF(AND(AI132&gt;=3,AL132&lt;=EOMONTH(AsOfDate,-1)),IF(AR132="FT",IF(BE132&lt;FT_First,0,IF(BE132&lt;FT_Y5,1+INT((BE132-FT_First)/FT_Int1),FT_PreY5+FT_PerYear*INT((BE132-FT_Y5)/12)+FT_AnnivDays+INT(MOD(BE132-FT_Y5,12)/FT_Int2))),IF(AR132="PT",IF(BE132&lt;PT_First,0,1+INT((BE132-PT_First)/PT_Int)),0))-IF(AR132="FT",IF(BG132&lt;FT_First,0,IF(BG132&lt;FT_Y5,1+INT((BG132-FT_First)/FT_Int1),FT_PreY5+FT_PerYear*INT((BG132-FT_Y5)/12)+FT_AnnivDays+INT(MOD(BG132-FT_Y5,12)/FT_Int2))),IF(AR132="PT",IF(BG132&lt;PT_First,0,1+INT((BG132-PT_First)/PT_Int)),0)),0))</f>
        <v/>
      </c>
      <c r="BI132" s="19" t="str">
        <f aca="false">IF(AG132=0,"",IF(AS132="FT",IF(AT132&lt;FT_First,"",IF(AT132&lt;FT_Y5,FT_First+FT_Int1*INT((AT132-FT_First)/FT_Int1),FT_Y5+FT_Int2*INT((AT132-FT_Y5)/FT_Int2))),IF(AS132="PT",IF(AT132&lt;PT_First,"",PT_First+PT_Int*INT((AT132-PT_First)/PT_Int)),"")))</f>
        <v/>
      </c>
      <c r="BJ132" s="0" t="str">
        <f aca="false">IF(LEN($A132&amp;$B132)=0,"",$A132&amp;" "&amp;$B132)</f>
        <v/>
      </c>
    </row>
    <row r="133" customFormat="false" ht="15" hidden="false" customHeight="false" outlineLevel="0" collapsed="false">
      <c r="A133" s="15"/>
      <c r="B133" s="15"/>
      <c r="C133" s="15"/>
      <c r="D133" s="16"/>
      <c r="E133" s="17" t="str">
        <f aca="false">IF(OR(AG133=0,$D133=""),"",DATE(YEAR(AsOfDate)+IF(DATE(YEAR(AsOfDate),MONTH($D133),DAY($D133))&lt;=AsOfDate,1,0),MONTH($D133),DAY($D133)))</f>
        <v/>
      </c>
      <c r="F133" s="16"/>
      <c r="G133" s="16"/>
      <c r="H133" s="16"/>
      <c r="I133" s="16"/>
      <c r="J133" s="16"/>
      <c r="K133" s="17" t="str">
        <f aca="false">IF(AG133=0,"",DATE(YEAR(AsOfDate)+IF(DATE(YEAR(AsOfDate),MONTH(AH133),DAY(AH133))&lt;=AsOfDate,1,0),MONTH(AH133),DAY(AH133)))</f>
        <v/>
      </c>
      <c r="L133" s="18" t="str">
        <f aca="false">IF(AG133=0,"",ROUND((AsOfDate-AH133)/365.25,1))</f>
        <v/>
      </c>
      <c r="M133" s="19" t="str">
        <f aca="false">IF(AG133=0,"",IF(AsOfDate&lt;AH133,"-",DATEDIF(AH133,AsOfDate,"y")&amp;"y "&amp;DATEDIF(AH133,AsOfDate,"ym")&amp;"m "&amp;DATEDIF(AH133,AsOfDate,"md")&amp;"d"))</f>
        <v/>
      </c>
      <c r="N133" s="20" t="str">
        <f aca="false">IF(AG133=0,"",O133*HoursPerDay)</f>
        <v/>
      </c>
      <c r="O133" s="20" t="str">
        <f aca="false">IF(AG133=0,"",AZ133)</f>
        <v/>
      </c>
      <c r="P133" s="21"/>
      <c r="Q133" s="19"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19"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7" t="str">
        <f aca="false">IF(AG133=0,"",IF(AS133="None","",EDATE(AH133,BB133)))</f>
        <v/>
      </c>
      <c r="T133" s="20" t="str">
        <f aca="false">IF(AG133=0,"",IF(NOT(LH_Ready),"",IF(AH133&gt;PFYDate,0,IF(LH_ColPeriod=0,W133-U133+V133,SUMIFS(INDEX(LH_Data,0,LH_ColAcc),INDEX(LH_Data,0,LH_ColFirst),$A133,INDEX(LH_Data,0,LH_ColSur),$B133,INDEX(LH_Data,0,LH_ColCat),BonusCat,INDEX(LH_Data,0,LH_ColPeriod),LH_OpenLabel)*UnitFactor))))</f>
        <v/>
      </c>
      <c r="U133" s="20" t="str">
        <f aca="false">IF(AG133=0,"",IF(NOT(LH_Ready),"",SUMIFS(INDEX(LH_Data,0,LH_ColAcc),INDEX(LH_Data,0,LH_ColFirst),$A133,INDEX(LH_Data,0,LH_ColSur),$B133,INDEX(LH_Data,0,LH_ColCat),BonusCat,INDEX(LH_Data,0,LH_ColStart),"&gt;="&amp;AH133)*UnitFactor))</f>
        <v/>
      </c>
      <c r="V133" s="20" t="str">
        <f aca="false">IF(AG133=0,"",IF(NOT(LH_Ready),"",SUMIFS(INDEX(LH_Data,0,LH_ColTaken),INDEX(LH_Data,0,LH_ColFirst),$A133,INDEX(LH_Data,0,LH_ColSur),$B133,INDEX(LH_Data,0,LH_ColCat),BonusCat,INDEX(LH_Data,0,LH_ColStart),"&gt;="&amp;AH133)*UnitFactor))</f>
        <v/>
      </c>
      <c r="W133" s="20" t="str">
        <f aca="false">IF(AG133=0,"",IF(NOT(LH_Ready),"",IF(BD133=0,0,INDEX(INDEX(LH_Data,0,LH_ColClose),BD133-1)*UnitFactor)))</f>
        <v/>
      </c>
      <c r="X133" s="20" t="str">
        <f aca="false">IF(AG133=0,"",(AZ133-BA133)*HoursPerDay)</f>
        <v/>
      </c>
      <c r="Y133" s="20" t="str">
        <f aca="false">IF(AG133=0,"",IF(NOT(LH_Ready),"",IF(BC133=0,N133,IF(PFYDate&lt;$F133,N133-N(T133)-N(U133),X133-N(U133)))))</f>
        <v/>
      </c>
      <c r="Z133" s="19" t="str">
        <f aca="false">IF(OR(AG133=0,Y133=""),"",IF(Y133&gt;0,"Yes","No"))</f>
        <v/>
      </c>
      <c r="AA133" s="19"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20" t="str">
        <f aca="false">IF(OR(AG133=0,T133=""),"",BA133*HoursPerDay-T133)</f>
        <v/>
      </c>
      <c r="AC133" s="19" t="str">
        <f aca="false">IF(AG133=0,"",BC133)</f>
        <v/>
      </c>
      <c r="AD133" s="19"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20" t="str">
        <f aca="false">IF(AG133=0,"",O133-BH133)</f>
        <v/>
      </c>
      <c r="AF133" s="17" t="str">
        <f aca="false">IF(OR(AG133=0,AE133="",N(AE133)=0,BI133=""),"",EDATE(AH133,BI133))</f>
        <v/>
      </c>
      <c r="AG133" s="19" t="n">
        <f aca="false">IF(OR(LEN($A133&amp;$B133)=0,$F133=""),0,1)</f>
        <v>0</v>
      </c>
      <c r="AH133" s="17" t="str">
        <f aca="false">IF(AG133=0,"",IF($J133&lt;&gt;"",$J133,IF(OR(CasualCounts="Yes",COUNT($G133:$I133)=0,COUNT($H133:$I133)=0),$F133,MIN($H133:$I133))))</f>
        <v/>
      </c>
      <c r="AI133" s="19" t="str">
        <f aca="false">IF(AG133=0,"",COUNT($G133:$I133))</f>
        <v/>
      </c>
      <c r="AJ133" s="17" t="str">
        <f aca="false">IF(AG133=0,"",IFERROR(SMALL($G133:$I133,1),""))</f>
        <v/>
      </c>
      <c r="AK133" s="17" t="str">
        <f aca="false">IF(AG133=0,"",IFERROR(SMALL($G133:$I133,2),""))</f>
        <v/>
      </c>
      <c r="AL133" s="17" t="str">
        <f aca="false">IF(AG133=0,"",IFERROR(SMALL($G133:$I133,3),""))</f>
        <v/>
      </c>
      <c r="AM133" s="19" t="str">
        <f aca="false">IF(AG133=0,"",IF(AJ133="","",IF(AJ133=$H133,"Part-Time",IF(AJ133=$I133,"Full-Time","Casual"))))</f>
        <v/>
      </c>
      <c r="AN133" s="19" t="str">
        <f aca="false">IF(AG133=0,"",IF(AK133="","",IF(AK133=$H133,"Part-Time",IF(AK133=$I133,"Full-Time","Casual"))))</f>
        <v/>
      </c>
      <c r="AO133" s="19" t="str">
        <f aca="false">IF(AG133=0,"",IF(AL133="","",IF(AL133=$H133,"Part-Time",IF(AL133=$I133,"Full-Time","Casual"))))</f>
        <v/>
      </c>
      <c r="AP133" s="19"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19" t="str">
        <f aca="false">IF(AG133=0,"",IF(AI133&lt;2,"",IF(OR(ISNUMBER(SEARCH("full",AN133)),UPPER(TRIM(AN133))="FT",UPPER(TRIM(AN133))="FTE"),"FT",IF(AND(OR(ISNUMBER(SEARCH("part",AN133)),UPPER(TRIM(AN133))="PT",UPPER(TRIM(AN133))="PTE"),OR($P133="",N($P133)&gt;=PT_MinHours)),"PT","None"))))</f>
        <v/>
      </c>
      <c r="AR133" s="19" t="str">
        <f aca="false">IF(AG133=0,"",IF(AI133&lt;3,"",IF(OR(ISNUMBER(SEARCH("full",AO133)),UPPER(TRIM(AO133))="FT",UPPER(TRIM(AO133))="FTE"),"FT",IF(AND(OR(ISNUMBER(SEARCH("part",AO133)),UPPER(TRIM(AO133))="PT",UPPER(TRIM(AO133))="PTE"),OR($P133="",N($P133)&gt;=PT_MinHours)),"PT","None"))))</f>
        <v/>
      </c>
      <c r="AS133" s="19" t="str">
        <f aca="false">IF(AG133=0,"",IF(AND(AI133&gt;=3,AL133&lt;=AsOfDate),AR133,IF(AND(AI133&gt;=2,AK133&lt;=AsOfDate),AQ133,AP133)))</f>
        <v/>
      </c>
      <c r="AT133" s="19" t="str">
        <f aca="false">IF(AG133=0,"",IF(AsOfDate&lt;AH133,-1,12*(YEAR(AsOfDate)-YEAR(AH133))+MONTH(AsOfDate)-MONTH(AH133)-IF(DAY(AsOfDate)&lt;MIN(DAY(AH133),DAY(EOMONTH(AsOfDate,0))),1,0)))</f>
        <v/>
      </c>
      <c r="AU133" s="19" t="str">
        <f aca="false">IF(AG133=0,"",IF(OR(AI133&lt;2,AK133&gt;AsOfDate),AT133,IF((AK133-1)&lt;AH133,-1,12*(YEAR((AK133-1))-YEAR(AH133))+MONTH((AK133-1))-MONTH(AH133)-IF(DAY((AK133-1))&lt;MIN(DAY(AH133),DAY(EOMONTH((AK133-1),0))),1,0))))</f>
        <v/>
      </c>
      <c r="AV133" s="19" t="str">
        <f aca="false">IF(AG133=0,"",IF(OR(AI133&lt;3,AL133&gt;AsOfDate),AT133,IF((AL133-1)&lt;AH133,-1,12*(YEAR((AL133-1))-YEAR(AH133))+MONTH((AL133-1))-MONTH(AH133)-IF(DAY((AL133-1))&lt;MIN(DAY(AH133),DAY(EOMONTH((AL133-1),0))),1,0))))</f>
        <v/>
      </c>
      <c r="AW133" s="19" t="str">
        <f aca="false">IF(AG133=0,"",IF(PFYDate&lt;AH133,-1,12*(YEAR(PFYDate)-YEAR(AH133))+MONTH(PFYDate)-MONTH(AH133)-IF(DAY(PFYDate)&lt;MIN(DAY(AH133),DAY(EOMONTH(PFYDate,0))),1,0)))</f>
        <v/>
      </c>
      <c r="AX133" s="19" t="str">
        <f aca="false">IF(AG133=0,"",IF(OR(AI133&lt;2,AK133&gt;PFYDate),AW133,IF((AK133-1)&lt;AH133,-1,12*(YEAR((AK133-1))-YEAR(AH133))+MONTH((AK133-1))-MONTH(AH133)-IF(DAY((AK133-1))&lt;MIN(DAY(AH133),DAY(EOMONTH((AK133-1),0))),1,0))))</f>
        <v/>
      </c>
      <c r="AY133" s="19" t="str">
        <f aca="false">IF(AG133=0,"",IF(OR(AI133&lt;3,AL133&gt;PFYDate),AW133,IF((AL133-1)&lt;AH133,-1,12*(YEAR((AL133-1))-YEAR(AH133))+MONTH((AL133-1))-MONTH(AH133)-IF(DAY((AL133-1))&lt;MIN(DAY(AH133),DAY(EOMONTH((AL133-1),0))),1,0))))</f>
        <v/>
      </c>
      <c r="AZ133" s="19" t="str">
        <f aca="false">IF(AG133=0,"",IF(AP133="FT",IF(AU133&lt;FT_First,0,IF(AU133&lt;FT_Y5,1+INT((AU133-FT_First)/FT_Int1),FT_PreY5+FT_PerYear*INT((AU133-FT_Y5)/12)+FT_AnnivDays+INT(MOD(AU133-FT_Y5,12)/FT_Int2))),IF(AP133="PT",IF(AU133&lt;PT_First,0,1+INT((AU133-PT_First)/PT_Int)),0))+IF(AND(AI133&gt;=2,AK133&lt;=AsOfDate),IF(AQ133="FT",IF(AV133&lt;FT_First,0,IF(AV133&lt;FT_Y5,1+INT((AV133-FT_First)/FT_Int1),FT_PreY5+FT_PerYear*INT((AV133-FT_Y5)/12)+FT_AnnivDays+INT(MOD(AV133-FT_Y5,12)/FT_Int2))),IF(AQ133="PT",IF(AV133&lt;PT_First,0,1+INT((AV133-PT_First)/PT_Int)),0))-IF(AQ133="FT",IF(AU133&lt;FT_First,0,IF(AU133&lt;FT_Y5,1+INT((AU133-FT_First)/FT_Int1),FT_PreY5+FT_PerYear*INT((AU133-FT_Y5)/12)+FT_AnnivDays+INT(MOD(AU133-FT_Y5,12)/FT_Int2))),IF(AQ133="PT",IF(AU133&lt;PT_First,0,1+INT((AU133-PT_First)/PT_Int)),0)),0)+IF(AND(AI133&gt;=3,AL133&lt;=AsOfDate),IF(AR133="FT",IF(AT133&lt;FT_First,0,IF(AT133&lt;FT_Y5,1+INT((AT133-FT_First)/FT_Int1),FT_PreY5+FT_PerYear*INT((AT133-FT_Y5)/12)+FT_AnnivDays+INT(MOD(AT133-FT_Y5,12)/FT_Int2))),IF(AR133="PT",IF(AT133&lt;PT_First,0,1+INT((AT133-PT_First)/PT_Int)),0))-IF(AR133="FT",IF(AV133&lt;FT_First,0,IF(AV133&lt;FT_Y5,1+INT((AV133-FT_First)/FT_Int1),FT_PreY5+FT_PerYear*INT((AV133-FT_Y5)/12)+FT_AnnivDays+INT(MOD(AV133-FT_Y5,12)/FT_Int2))),IF(AR133="PT",IF(AV133&lt;PT_First,0,1+INT((AV133-PT_First)/PT_Int)),0)),0))</f>
        <v/>
      </c>
      <c r="BA133" s="19" t="str">
        <f aca="false">IF(AG133=0,"",IF(AP133="FT",IF(AX133&lt;FT_First,0,IF(AX133&lt;FT_Y5,1+INT((AX133-FT_First)/FT_Int1),FT_PreY5+FT_PerYear*INT((AX133-FT_Y5)/12)+FT_AnnivDays+INT(MOD(AX133-FT_Y5,12)/FT_Int2))),IF(AP133="PT",IF(AX133&lt;PT_First,0,1+INT((AX133-PT_First)/PT_Int)),0))+IF(AND(AI133&gt;=2,AK133&lt;=PFYDate),IF(AQ133="FT",IF(AY133&lt;FT_First,0,IF(AY133&lt;FT_Y5,1+INT((AY133-FT_First)/FT_Int1),FT_PreY5+FT_PerYear*INT((AY133-FT_Y5)/12)+FT_AnnivDays+INT(MOD(AY133-FT_Y5,12)/FT_Int2))),IF(AQ133="PT",IF(AY133&lt;PT_First,0,1+INT((AY133-PT_First)/PT_Int)),0))-IF(AQ133="FT",IF(AX133&lt;FT_First,0,IF(AX133&lt;FT_Y5,1+INT((AX133-FT_First)/FT_Int1),FT_PreY5+FT_PerYear*INT((AX133-FT_Y5)/12)+FT_AnnivDays+INT(MOD(AX133-FT_Y5,12)/FT_Int2))),IF(AQ133="PT",IF(AX133&lt;PT_First,0,1+INT((AX133-PT_First)/PT_Int)),0)),0)+IF(AND(AI133&gt;=3,AL133&lt;=PFYDate),IF(AR133="FT",IF(AW133&lt;FT_First,0,IF(AW133&lt;FT_Y5,1+INT((AW133-FT_First)/FT_Int1),FT_PreY5+FT_PerYear*INT((AW133-FT_Y5)/12)+FT_AnnivDays+INT(MOD(AW133-FT_Y5,12)/FT_Int2))),IF(AR133="PT",IF(AW133&lt;PT_First,0,1+INT((AW133-PT_First)/PT_Int)),0))-IF(AR133="FT",IF(AY133&lt;FT_First,0,IF(AY133&lt;FT_Y5,1+INT((AY133-FT_First)/FT_Int1),FT_PreY5+FT_PerYear*INT((AY133-FT_Y5)/12)+FT_AnnivDays+INT(MOD(AY133-FT_Y5,12)/FT_Int2))),IF(AR133="PT",IF(AY133&lt;PT_First,0,1+INT((AY133-PT_First)/PT_Int)),0)),0))</f>
        <v/>
      </c>
      <c r="BB133" s="19" t="str">
        <f aca="false">IF(AG133=0,"",IF(AS133="FT",IF(AT133&lt;FT_First,FT_First,IF(AT133&lt;FT_Y5,MIN(FT_Y5,FT_First+FT_Int1*(INT((AT133-FT_First)/FT_Int1)+1)),FT_Y5+12*INT((AT133-FT_Y5)/12)+FT_Int2*(INT(MOD(AT133-FT_Y5,12)/FT_Int2)+1))),IF(AS133="PT",IF(AT133&lt;PT_First,PT_First,PT_First+PT_Int*(INT((AT133-PT_First)/PT_Int)+1)),"")))</f>
        <v/>
      </c>
      <c r="BC133" s="19" t="str">
        <f aca="false">IF(AG133=0,"",IF(NOT(LH_Ready),0,COUNTIFS(INDEX(LH_Data,0,LH_ColFirst),$A133,INDEX(LH_Data,0,LH_ColSur),$B133,INDEX(LH_Data,0,LH_ColCat),BonusCat)))</f>
        <v/>
      </c>
      <c r="BD133" s="19" t="str">
        <f aca="false">IF(AG133=0,"",IF(OR(NOT(LH_Ready),BC133=0),0,SUMPRODUCT(MAX((INDEX(LH_Data,0,LH_ColFirst)=$A133)*(INDEX(LH_Data,0,LH_ColSur)=$B133)*(INDEX(LH_Data,0,LH_ColCat)=BonusCat)*ROW(LH_Data)))))</f>
        <v/>
      </c>
      <c r="BE133" s="19" t="str">
        <f aca="false">IF(AG133=0,"",IF(EOMONTH(AsOfDate,-1)&lt;AH133,-1,12*(YEAR(EOMONTH(AsOfDate,-1))-YEAR(AH133))+MONTH(EOMONTH(AsOfDate,-1))-MONTH(AH133)-IF(DAY(EOMONTH(AsOfDate,-1))&lt;MIN(DAY(AH133),DAY(EOMONTH(EOMONTH(AsOfDate,-1),0))),1,0)))</f>
        <v/>
      </c>
      <c r="BF133" s="19" t="str">
        <f aca="false">IF(AG133=0,"",IF(OR(AI133&lt;2,AK133&gt;EOMONTH(AsOfDate,-1)),BE133,IF((AK133-1)&lt;AH133,-1,12*(YEAR((AK133-1))-YEAR(AH133))+MONTH((AK133-1))-MONTH(AH133)-IF(DAY((AK133-1))&lt;MIN(DAY(AH133),DAY(EOMONTH((AK133-1),0))),1,0))))</f>
        <v/>
      </c>
      <c r="BG133" s="19" t="str">
        <f aca="false">IF(AG133=0,"",IF(OR(AI133&lt;3,AL133&gt;EOMONTH(AsOfDate,-1)),BE133,IF((AL133-1)&lt;AH133,-1,12*(YEAR((AL133-1))-YEAR(AH133))+MONTH((AL133-1))-MONTH(AH133)-IF(DAY((AL133-1))&lt;MIN(DAY(AH133),DAY(EOMONTH((AL133-1),0))),1,0))))</f>
        <v/>
      </c>
      <c r="BH133" s="19" t="str">
        <f aca="false">IF(AG133=0,"",IF(AP133="FT",IF(BF133&lt;FT_First,0,IF(BF133&lt;FT_Y5,1+INT((BF133-FT_First)/FT_Int1),FT_PreY5+FT_PerYear*INT((BF133-FT_Y5)/12)+FT_AnnivDays+INT(MOD(BF133-FT_Y5,12)/FT_Int2))),IF(AP133="PT",IF(BF133&lt;PT_First,0,1+INT((BF133-PT_First)/PT_Int)),0))+IF(AND(AI133&gt;=2,AK133&lt;=EOMONTH(AsOfDate,-1)),IF(AQ133="FT",IF(BG133&lt;FT_First,0,IF(BG133&lt;FT_Y5,1+INT((BG133-FT_First)/FT_Int1),FT_PreY5+FT_PerYear*INT((BG133-FT_Y5)/12)+FT_AnnivDays+INT(MOD(BG133-FT_Y5,12)/FT_Int2))),IF(AQ133="PT",IF(BG133&lt;PT_First,0,1+INT((BG133-PT_First)/PT_Int)),0))-IF(AQ133="FT",IF(BF133&lt;FT_First,0,IF(BF133&lt;FT_Y5,1+INT((BF133-FT_First)/FT_Int1),FT_PreY5+FT_PerYear*INT((BF133-FT_Y5)/12)+FT_AnnivDays+INT(MOD(BF133-FT_Y5,12)/FT_Int2))),IF(AQ133="PT",IF(BF133&lt;PT_First,0,1+INT((BF133-PT_First)/PT_Int)),0)),0)+IF(AND(AI133&gt;=3,AL133&lt;=EOMONTH(AsOfDate,-1)),IF(AR133="FT",IF(BE133&lt;FT_First,0,IF(BE133&lt;FT_Y5,1+INT((BE133-FT_First)/FT_Int1),FT_PreY5+FT_PerYear*INT((BE133-FT_Y5)/12)+FT_AnnivDays+INT(MOD(BE133-FT_Y5,12)/FT_Int2))),IF(AR133="PT",IF(BE133&lt;PT_First,0,1+INT((BE133-PT_First)/PT_Int)),0))-IF(AR133="FT",IF(BG133&lt;FT_First,0,IF(BG133&lt;FT_Y5,1+INT((BG133-FT_First)/FT_Int1),FT_PreY5+FT_PerYear*INT((BG133-FT_Y5)/12)+FT_AnnivDays+INT(MOD(BG133-FT_Y5,12)/FT_Int2))),IF(AR133="PT",IF(BG133&lt;PT_First,0,1+INT((BG133-PT_First)/PT_Int)),0)),0))</f>
        <v/>
      </c>
      <c r="BI133" s="19" t="str">
        <f aca="false">IF(AG133=0,"",IF(AS133="FT",IF(AT133&lt;FT_First,"",IF(AT133&lt;FT_Y5,FT_First+FT_Int1*INT((AT133-FT_First)/FT_Int1),FT_Y5+FT_Int2*INT((AT133-FT_Y5)/FT_Int2))),IF(AS133="PT",IF(AT133&lt;PT_First,"",PT_First+PT_Int*INT((AT133-PT_First)/PT_Int)),"")))</f>
        <v/>
      </c>
      <c r="BJ133" s="0" t="str">
        <f aca="false">IF(LEN($A133&amp;$B133)=0,"",$A133&amp;" "&amp;$B133)</f>
        <v/>
      </c>
    </row>
    <row r="134" customFormat="false" ht="15" hidden="false" customHeight="false" outlineLevel="0" collapsed="false">
      <c r="A134" s="15"/>
      <c r="B134" s="15"/>
      <c r="C134" s="15"/>
      <c r="D134" s="16"/>
      <c r="E134" s="17" t="str">
        <f aca="false">IF(OR(AG134=0,$D134=""),"",DATE(YEAR(AsOfDate)+IF(DATE(YEAR(AsOfDate),MONTH($D134),DAY($D134))&lt;=AsOfDate,1,0),MONTH($D134),DAY($D134)))</f>
        <v/>
      </c>
      <c r="F134" s="16"/>
      <c r="G134" s="16"/>
      <c r="H134" s="16"/>
      <c r="I134" s="16"/>
      <c r="J134" s="16"/>
      <c r="K134" s="17" t="str">
        <f aca="false">IF(AG134=0,"",DATE(YEAR(AsOfDate)+IF(DATE(YEAR(AsOfDate),MONTH(AH134),DAY(AH134))&lt;=AsOfDate,1,0),MONTH(AH134),DAY(AH134)))</f>
        <v/>
      </c>
      <c r="L134" s="18" t="str">
        <f aca="false">IF(AG134=0,"",ROUND((AsOfDate-AH134)/365.25,1))</f>
        <v/>
      </c>
      <c r="M134" s="19" t="str">
        <f aca="false">IF(AG134=0,"",IF(AsOfDate&lt;AH134,"-",DATEDIF(AH134,AsOfDate,"y")&amp;"y "&amp;DATEDIF(AH134,AsOfDate,"ym")&amp;"m "&amp;DATEDIF(AH134,AsOfDate,"md")&amp;"d"))</f>
        <v/>
      </c>
      <c r="N134" s="20" t="str">
        <f aca="false">IF(AG134=0,"",O134*HoursPerDay)</f>
        <v/>
      </c>
      <c r="O134" s="20" t="str">
        <f aca="false">IF(AG134=0,"",AZ134)</f>
        <v/>
      </c>
      <c r="P134" s="21"/>
      <c r="Q134" s="19"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19"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7" t="str">
        <f aca="false">IF(AG134=0,"",IF(AS134="None","",EDATE(AH134,BB134)))</f>
        <v/>
      </c>
      <c r="T134" s="20" t="str">
        <f aca="false">IF(AG134=0,"",IF(NOT(LH_Ready),"",IF(AH134&gt;PFYDate,0,IF(LH_ColPeriod=0,W134-U134+V134,SUMIFS(INDEX(LH_Data,0,LH_ColAcc),INDEX(LH_Data,0,LH_ColFirst),$A134,INDEX(LH_Data,0,LH_ColSur),$B134,INDEX(LH_Data,0,LH_ColCat),BonusCat,INDEX(LH_Data,0,LH_ColPeriod),LH_OpenLabel)*UnitFactor))))</f>
        <v/>
      </c>
      <c r="U134" s="20" t="str">
        <f aca="false">IF(AG134=0,"",IF(NOT(LH_Ready),"",SUMIFS(INDEX(LH_Data,0,LH_ColAcc),INDEX(LH_Data,0,LH_ColFirst),$A134,INDEX(LH_Data,0,LH_ColSur),$B134,INDEX(LH_Data,0,LH_ColCat),BonusCat,INDEX(LH_Data,0,LH_ColStart),"&gt;="&amp;AH134)*UnitFactor))</f>
        <v/>
      </c>
      <c r="V134" s="20" t="str">
        <f aca="false">IF(AG134=0,"",IF(NOT(LH_Ready),"",SUMIFS(INDEX(LH_Data,0,LH_ColTaken),INDEX(LH_Data,0,LH_ColFirst),$A134,INDEX(LH_Data,0,LH_ColSur),$B134,INDEX(LH_Data,0,LH_ColCat),BonusCat,INDEX(LH_Data,0,LH_ColStart),"&gt;="&amp;AH134)*UnitFactor))</f>
        <v/>
      </c>
      <c r="W134" s="20" t="str">
        <f aca="false">IF(AG134=0,"",IF(NOT(LH_Ready),"",IF(BD134=0,0,INDEX(INDEX(LH_Data,0,LH_ColClose),BD134-1)*UnitFactor)))</f>
        <v/>
      </c>
      <c r="X134" s="20" t="str">
        <f aca="false">IF(AG134=0,"",(AZ134-BA134)*HoursPerDay)</f>
        <v/>
      </c>
      <c r="Y134" s="20" t="str">
        <f aca="false">IF(AG134=0,"",IF(NOT(LH_Ready),"",IF(BC134=0,N134,IF(PFYDate&lt;$F134,N134-N(T134)-N(U134),X134-N(U134)))))</f>
        <v/>
      </c>
      <c r="Z134" s="19" t="str">
        <f aca="false">IF(OR(AG134=0,Y134=""),"",IF(Y134&gt;0,"Yes","No"))</f>
        <v/>
      </c>
      <c r="AA134" s="19"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20" t="str">
        <f aca="false">IF(OR(AG134=0,T134=""),"",BA134*HoursPerDay-T134)</f>
        <v/>
      </c>
      <c r="AC134" s="19" t="str">
        <f aca="false">IF(AG134=0,"",BC134)</f>
        <v/>
      </c>
      <c r="AD134" s="19"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20" t="str">
        <f aca="false">IF(AG134=0,"",O134-BH134)</f>
        <v/>
      </c>
      <c r="AF134" s="17" t="str">
        <f aca="false">IF(OR(AG134=0,AE134="",N(AE134)=0,BI134=""),"",EDATE(AH134,BI134))</f>
        <v/>
      </c>
      <c r="AG134" s="19" t="n">
        <f aca="false">IF(OR(LEN($A134&amp;$B134)=0,$F134=""),0,1)</f>
        <v>0</v>
      </c>
      <c r="AH134" s="17" t="str">
        <f aca="false">IF(AG134=0,"",IF($J134&lt;&gt;"",$J134,IF(OR(CasualCounts="Yes",COUNT($G134:$I134)=0,COUNT($H134:$I134)=0),$F134,MIN($H134:$I134))))</f>
        <v/>
      </c>
      <c r="AI134" s="19" t="str">
        <f aca="false">IF(AG134=0,"",COUNT($G134:$I134))</f>
        <v/>
      </c>
      <c r="AJ134" s="17" t="str">
        <f aca="false">IF(AG134=0,"",IFERROR(SMALL($G134:$I134,1),""))</f>
        <v/>
      </c>
      <c r="AK134" s="17" t="str">
        <f aca="false">IF(AG134=0,"",IFERROR(SMALL($G134:$I134,2),""))</f>
        <v/>
      </c>
      <c r="AL134" s="17" t="str">
        <f aca="false">IF(AG134=0,"",IFERROR(SMALL($G134:$I134,3),""))</f>
        <v/>
      </c>
      <c r="AM134" s="19" t="str">
        <f aca="false">IF(AG134=0,"",IF(AJ134="","",IF(AJ134=$H134,"Part-Time",IF(AJ134=$I134,"Full-Time","Casual"))))</f>
        <v/>
      </c>
      <c r="AN134" s="19" t="str">
        <f aca="false">IF(AG134=0,"",IF(AK134="","",IF(AK134=$H134,"Part-Time",IF(AK134=$I134,"Full-Time","Casual"))))</f>
        <v/>
      </c>
      <c r="AO134" s="19" t="str">
        <f aca="false">IF(AG134=0,"",IF(AL134="","",IF(AL134=$H134,"Part-Time",IF(AL134=$I134,"Full-Time","Casual"))))</f>
        <v/>
      </c>
      <c r="AP134" s="19"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19" t="str">
        <f aca="false">IF(AG134=0,"",IF(AI134&lt;2,"",IF(OR(ISNUMBER(SEARCH("full",AN134)),UPPER(TRIM(AN134))="FT",UPPER(TRIM(AN134))="FTE"),"FT",IF(AND(OR(ISNUMBER(SEARCH("part",AN134)),UPPER(TRIM(AN134))="PT",UPPER(TRIM(AN134))="PTE"),OR($P134="",N($P134)&gt;=PT_MinHours)),"PT","None"))))</f>
        <v/>
      </c>
      <c r="AR134" s="19" t="str">
        <f aca="false">IF(AG134=0,"",IF(AI134&lt;3,"",IF(OR(ISNUMBER(SEARCH("full",AO134)),UPPER(TRIM(AO134))="FT",UPPER(TRIM(AO134))="FTE"),"FT",IF(AND(OR(ISNUMBER(SEARCH("part",AO134)),UPPER(TRIM(AO134))="PT",UPPER(TRIM(AO134))="PTE"),OR($P134="",N($P134)&gt;=PT_MinHours)),"PT","None"))))</f>
        <v/>
      </c>
      <c r="AS134" s="19" t="str">
        <f aca="false">IF(AG134=0,"",IF(AND(AI134&gt;=3,AL134&lt;=AsOfDate),AR134,IF(AND(AI134&gt;=2,AK134&lt;=AsOfDate),AQ134,AP134)))</f>
        <v/>
      </c>
      <c r="AT134" s="19" t="str">
        <f aca="false">IF(AG134=0,"",IF(AsOfDate&lt;AH134,-1,12*(YEAR(AsOfDate)-YEAR(AH134))+MONTH(AsOfDate)-MONTH(AH134)-IF(DAY(AsOfDate)&lt;MIN(DAY(AH134),DAY(EOMONTH(AsOfDate,0))),1,0)))</f>
        <v/>
      </c>
      <c r="AU134" s="19" t="str">
        <f aca="false">IF(AG134=0,"",IF(OR(AI134&lt;2,AK134&gt;AsOfDate),AT134,IF((AK134-1)&lt;AH134,-1,12*(YEAR((AK134-1))-YEAR(AH134))+MONTH((AK134-1))-MONTH(AH134)-IF(DAY((AK134-1))&lt;MIN(DAY(AH134),DAY(EOMONTH((AK134-1),0))),1,0))))</f>
        <v/>
      </c>
      <c r="AV134" s="19" t="str">
        <f aca="false">IF(AG134=0,"",IF(OR(AI134&lt;3,AL134&gt;AsOfDate),AT134,IF((AL134-1)&lt;AH134,-1,12*(YEAR((AL134-1))-YEAR(AH134))+MONTH((AL134-1))-MONTH(AH134)-IF(DAY((AL134-1))&lt;MIN(DAY(AH134),DAY(EOMONTH((AL134-1),0))),1,0))))</f>
        <v/>
      </c>
      <c r="AW134" s="19" t="str">
        <f aca="false">IF(AG134=0,"",IF(PFYDate&lt;AH134,-1,12*(YEAR(PFYDate)-YEAR(AH134))+MONTH(PFYDate)-MONTH(AH134)-IF(DAY(PFYDate)&lt;MIN(DAY(AH134),DAY(EOMONTH(PFYDate,0))),1,0)))</f>
        <v/>
      </c>
      <c r="AX134" s="19" t="str">
        <f aca="false">IF(AG134=0,"",IF(OR(AI134&lt;2,AK134&gt;PFYDate),AW134,IF((AK134-1)&lt;AH134,-1,12*(YEAR((AK134-1))-YEAR(AH134))+MONTH((AK134-1))-MONTH(AH134)-IF(DAY((AK134-1))&lt;MIN(DAY(AH134),DAY(EOMONTH((AK134-1),0))),1,0))))</f>
        <v/>
      </c>
      <c r="AY134" s="19" t="str">
        <f aca="false">IF(AG134=0,"",IF(OR(AI134&lt;3,AL134&gt;PFYDate),AW134,IF((AL134-1)&lt;AH134,-1,12*(YEAR((AL134-1))-YEAR(AH134))+MONTH((AL134-1))-MONTH(AH134)-IF(DAY((AL134-1))&lt;MIN(DAY(AH134),DAY(EOMONTH((AL134-1),0))),1,0))))</f>
        <v/>
      </c>
      <c r="AZ134" s="19" t="str">
        <f aca="false">IF(AG134=0,"",IF(AP134="FT",IF(AU134&lt;FT_First,0,IF(AU134&lt;FT_Y5,1+INT((AU134-FT_First)/FT_Int1),FT_PreY5+FT_PerYear*INT((AU134-FT_Y5)/12)+FT_AnnivDays+INT(MOD(AU134-FT_Y5,12)/FT_Int2))),IF(AP134="PT",IF(AU134&lt;PT_First,0,1+INT((AU134-PT_First)/PT_Int)),0))+IF(AND(AI134&gt;=2,AK134&lt;=AsOfDate),IF(AQ134="FT",IF(AV134&lt;FT_First,0,IF(AV134&lt;FT_Y5,1+INT((AV134-FT_First)/FT_Int1),FT_PreY5+FT_PerYear*INT((AV134-FT_Y5)/12)+FT_AnnivDays+INT(MOD(AV134-FT_Y5,12)/FT_Int2))),IF(AQ134="PT",IF(AV134&lt;PT_First,0,1+INT((AV134-PT_First)/PT_Int)),0))-IF(AQ134="FT",IF(AU134&lt;FT_First,0,IF(AU134&lt;FT_Y5,1+INT((AU134-FT_First)/FT_Int1),FT_PreY5+FT_PerYear*INT((AU134-FT_Y5)/12)+FT_AnnivDays+INT(MOD(AU134-FT_Y5,12)/FT_Int2))),IF(AQ134="PT",IF(AU134&lt;PT_First,0,1+INT((AU134-PT_First)/PT_Int)),0)),0)+IF(AND(AI134&gt;=3,AL134&lt;=AsOfDate),IF(AR134="FT",IF(AT134&lt;FT_First,0,IF(AT134&lt;FT_Y5,1+INT((AT134-FT_First)/FT_Int1),FT_PreY5+FT_PerYear*INT((AT134-FT_Y5)/12)+FT_AnnivDays+INT(MOD(AT134-FT_Y5,12)/FT_Int2))),IF(AR134="PT",IF(AT134&lt;PT_First,0,1+INT((AT134-PT_First)/PT_Int)),0))-IF(AR134="FT",IF(AV134&lt;FT_First,0,IF(AV134&lt;FT_Y5,1+INT((AV134-FT_First)/FT_Int1),FT_PreY5+FT_PerYear*INT((AV134-FT_Y5)/12)+FT_AnnivDays+INT(MOD(AV134-FT_Y5,12)/FT_Int2))),IF(AR134="PT",IF(AV134&lt;PT_First,0,1+INT((AV134-PT_First)/PT_Int)),0)),0))</f>
        <v/>
      </c>
      <c r="BA134" s="19" t="str">
        <f aca="false">IF(AG134=0,"",IF(AP134="FT",IF(AX134&lt;FT_First,0,IF(AX134&lt;FT_Y5,1+INT((AX134-FT_First)/FT_Int1),FT_PreY5+FT_PerYear*INT((AX134-FT_Y5)/12)+FT_AnnivDays+INT(MOD(AX134-FT_Y5,12)/FT_Int2))),IF(AP134="PT",IF(AX134&lt;PT_First,0,1+INT((AX134-PT_First)/PT_Int)),0))+IF(AND(AI134&gt;=2,AK134&lt;=PFYDate),IF(AQ134="FT",IF(AY134&lt;FT_First,0,IF(AY134&lt;FT_Y5,1+INT((AY134-FT_First)/FT_Int1),FT_PreY5+FT_PerYear*INT((AY134-FT_Y5)/12)+FT_AnnivDays+INT(MOD(AY134-FT_Y5,12)/FT_Int2))),IF(AQ134="PT",IF(AY134&lt;PT_First,0,1+INT((AY134-PT_First)/PT_Int)),0))-IF(AQ134="FT",IF(AX134&lt;FT_First,0,IF(AX134&lt;FT_Y5,1+INT((AX134-FT_First)/FT_Int1),FT_PreY5+FT_PerYear*INT((AX134-FT_Y5)/12)+FT_AnnivDays+INT(MOD(AX134-FT_Y5,12)/FT_Int2))),IF(AQ134="PT",IF(AX134&lt;PT_First,0,1+INT((AX134-PT_First)/PT_Int)),0)),0)+IF(AND(AI134&gt;=3,AL134&lt;=PFYDate),IF(AR134="FT",IF(AW134&lt;FT_First,0,IF(AW134&lt;FT_Y5,1+INT((AW134-FT_First)/FT_Int1),FT_PreY5+FT_PerYear*INT((AW134-FT_Y5)/12)+FT_AnnivDays+INT(MOD(AW134-FT_Y5,12)/FT_Int2))),IF(AR134="PT",IF(AW134&lt;PT_First,0,1+INT((AW134-PT_First)/PT_Int)),0))-IF(AR134="FT",IF(AY134&lt;FT_First,0,IF(AY134&lt;FT_Y5,1+INT((AY134-FT_First)/FT_Int1),FT_PreY5+FT_PerYear*INT((AY134-FT_Y5)/12)+FT_AnnivDays+INT(MOD(AY134-FT_Y5,12)/FT_Int2))),IF(AR134="PT",IF(AY134&lt;PT_First,0,1+INT((AY134-PT_First)/PT_Int)),0)),0))</f>
        <v/>
      </c>
      <c r="BB134" s="19" t="str">
        <f aca="false">IF(AG134=0,"",IF(AS134="FT",IF(AT134&lt;FT_First,FT_First,IF(AT134&lt;FT_Y5,MIN(FT_Y5,FT_First+FT_Int1*(INT((AT134-FT_First)/FT_Int1)+1)),FT_Y5+12*INT((AT134-FT_Y5)/12)+FT_Int2*(INT(MOD(AT134-FT_Y5,12)/FT_Int2)+1))),IF(AS134="PT",IF(AT134&lt;PT_First,PT_First,PT_First+PT_Int*(INT((AT134-PT_First)/PT_Int)+1)),"")))</f>
        <v/>
      </c>
      <c r="BC134" s="19" t="str">
        <f aca="false">IF(AG134=0,"",IF(NOT(LH_Ready),0,COUNTIFS(INDEX(LH_Data,0,LH_ColFirst),$A134,INDEX(LH_Data,0,LH_ColSur),$B134,INDEX(LH_Data,0,LH_ColCat),BonusCat)))</f>
        <v/>
      </c>
      <c r="BD134" s="19" t="str">
        <f aca="false">IF(AG134=0,"",IF(OR(NOT(LH_Ready),BC134=0),0,SUMPRODUCT(MAX((INDEX(LH_Data,0,LH_ColFirst)=$A134)*(INDEX(LH_Data,0,LH_ColSur)=$B134)*(INDEX(LH_Data,0,LH_ColCat)=BonusCat)*ROW(LH_Data)))))</f>
        <v/>
      </c>
      <c r="BE134" s="19" t="str">
        <f aca="false">IF(AG134=0,"",IF(EOMONTH(AsOfDate,-1)&lt;AH134,-1,12*(YEAR(EOMONTH(AsOfDate,-1))-YEAR(AH134))+MONTH(EOMONTH(AsOfDate,-1))-MONTH(AH134)-IF(DAY(EOMONTH(AsOfDate,-1))&lt;MIN(DAY(AH134),DAY(EOMONTH(EOMONTH(AsOfDate,-1),0))),1,0)))</f>
        <v/>
      </c>
      <c r="BF134" s="19" t="str">
        <f aca="false">IF(AG134=0,"",IF(OR(AI134&lt;2,AK134&gt;EOMONTH(AsOfDate,-1)),BE134,IF((AK134-1)&lt;AH134,-1,12*(YEAR((AK134-1))-YEAR(AH134))+MONTH((AK134-1))-MONTH(AH134)-IF(DAY((AK134-1))&lt;MIN(DAY(AH134),DAY(EOMONTH((AK134-1),0))),1,0))))</f>
        <v/>
      </c>
      <c r="BG134" s="19" t="str">
        <f aca="false">IF(AG134=0,"",IF(OR(AI134&lt;3,AL134&gt;EOMONTH(AsOfDate,-1)),BE134,IF((AL134-1)&lt;AH134,-1,12*(YEAR((AL134-1))-YEAR(AH134))+MONTH((AL134-1))-MONTH(AH134)-IF(DAY((AL134-1))&lt;MIN(DAY(AH134),DAY(EOMONTH((AL134-1),0))),1,0))))</f>
        <v/>
      </c>
      <c r="BH134" s="19" t="str">
        <f aca="false">IF(AG134=0,"",IF(AP134="FT",IF(BF134&lt;FT_First,0,IF(BF134&lt;FT_Y5,1+INT((BF134-FT_First)/FT_Int1),FT_PreY5+FT_PerYear*INT((BF134-FT_Y5)/12)+FT_AnnivDays+INT(MOD(BF134-FT_Y5,12)/FT_Int2))),IF(AP134="PT",IF(BF134&lt;PT_First,0,1+INT((BF134-PT_First)/PT_Int)),0))+IF(AND(AI134&gt;=2,AK134&lt;=EOMONTH(AsOfDate,-1)),IF(AQ134="FT",IF(BG134&lt;FT_First,0,IF(BG134&lt;FT_Y5,1+INT((BG134-FT_First)/FT_Int1),FT_PreY5+FT_PerYear*INT((BG134-FT_Y5)/12)+FT_AnnivDays+INT(MOD(BG134-FT_Y5,12)/FT_Int2))),IF(AQ134="PT",IF(BG134&lt;PT_First,0,1+INT((BG134-PT_First)/PT_Int)),0))-IF(AQ134="FT",IF(BF134&lt;FT_First,0,IF(BF134&lt;FT_Y5,1+INT((BF134-FT_First)/FT_Int1),FT_PreY5+FT_PerYear*INT((BF134-FT_Y5)/12)+FT_AnnivDays+INT(MOD(BF134-FT_Y5,12)/FT_Int2))),IF(AQ134="PT",IF(BF134&lt;PT_First,0,1+INT((BF134-PT_First)/PT_Int)),0)),0)+IF(AND(AI134&gt;=3,AL134&lt;=EOMONTH(AsOfDate,-1)),IF(AR134="FT",IF(BE134&lt;FT_First,0,IF(BE134&lt;FT_Y5,1+INT((BE134-FT_First)/FT_Int1),FT_PreY5+FT_PerYear*INT((BE134-FT_Y5)/12)+FT_AnnivDays+INT(MOD(BE134-FT_Y5,12)/FT_Int2))),IF(AR134="PT",IF(BE134&lt;PT_First,0,1+INT((BE134-PT_First)/PT_Int)),0))-IF(AR134="FT",IF(BG134&lt;FT_First,0,IF(BG134&lt;FT_Y5,1+INT((BG134-FT_First)/FT_Int1),FT_PreY5+FT_PerYear*INT((BG134-FT_Y5)/12)+FT_AnnivDays+INT(MOD(BG134-FT_Y5,12)/FT_Int2))),IF(AR134="PT",IF(BG134&lt;PT_First,0,1+INT((BG134-PT_First)/PT_Int)),0)),0))</f>
        <v/>
      </c>
      <c r="BI134" s="19" t="str">
        <f aca="false">IF(AG134=0,"",IF(AS134="FT",IF(AT134&lt;FT_First,"",IF(AT134&lt;FT_Y5,FT_First+FT_Int1*INT((AT134-FT_First)/FT_Int1),FT_Y5+FT_Int2*INT((AT134-FT_Y5)/FT_Int2))),IF(AS134="PT",IF(AT134&lt;PT_First,"",PT_First+PT_Int*INT((AT134-PT_First)/PT_Int)),"")))</f>
        <v/>
      </c>
      <c r="BJ134" s="0" t="str">
        <f aca="false">IF(LEN($A134&amp;$B134)=0,"",$A134&amp;" "&amp;$B134)</f>
        <v/>
      </c>
    </row>
    <row r="135" customFormat="false" ht="15" hidden="false" customHeight="false" outlineLevel="0" collapsed="false">
      <c r="A135" s="15"/>
      <c r="B135" s="15"/>
      <c r="C135" s="15"/>
      <c r="D135" s="16"/>
      <c r="E135" s="17" t="str">
        <f aca="false">IF(OR(AG135=0,$D135=""),"",DATE(YEAR(AsOfDate)+IF(DATE(YEAR(AsOfDate),MONTH($D135),DAY($D135))&lt;=AsOfDate,1,0),MONTH($D135),DAY($D135)))</f>
        <v/>
      </c>
      <c r="F135" s="16"/>
      <c r="G135" s="16"/>
      <c r="H135" s="16"/>
      <c r="I135" s="16"/>
      <c r="J135" s="16"/>
      <c r="K135" s="17" t="str">
        <f aca="false">IF(AG135=0,"",DATE(YEAR(AsOfDate)+IF(DATE(YEAR(AsOfDate),MONTH(AH135),DAY(AH135))&lt;=AsOfDate,1,0),MONTH(AH135),DAY(AH135)))</f>
        <v/>
      </c>
      <c r="L135" s="18" t="str">
        <f aca="false">IF(AG135=0,"",ROUND((AsOfDate-AH135)/365.25,1))</f>
        <v/>
      </c>
      <c r="M135" s="19" t="str">
        <f aca="false">IF(AG135=0,"",IF(AsOfDate&lt;AH135,"-",DATEDIF(AH135,AsOfDate,"y")&amp;"y "&amp;DATEDIF(AH135,AsOfDate,"ym")&amp;"m "&amp;DATEDIF(AH135,AsOfDate,"md")&amp;"d"))</f>
        <v/>
      </c>
      <c r="N135" s="20" t="str">
        <f aca="false">IF(AG135=0,"",O135*HoursPerDay)</f>
        <v/>
      </c>
      <c r="O135" s="20" t="str">
        <f aca="false">IF(AG135=0,"",AZ135)</f>
        <v/>
      </c>
      <c r="P135" s="21"/>
      <c r="Q135" s="19"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19"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7" t="str">
        <f aca="false">IF(AG135=0,"",IF(AS135="None","",EDATE(AH135,BB135)))</f>
        <v/>
      </c>
      <c r="T135" s="20" t="str">
        <f aca="false">IF(AG135=0,"",IF(NOT(LH_Ready),"",IF(AH135&gt;PFYDate,0,IF(LH_ColPeriod=0,W135-U135+V135,SUMIFS(INDEX(LH_Data,0,LH_ColAcc),INDEX(LH_Data,0,LH_ColFirst),$A135,INDEX(LH_Data,0,LH_ColSur),$B135,INDEX(LH_Data,0,LH_ColCat),BonusCat,INDEX(LH_Data,0,LH_ColPeriod),LH_OpenLabel)*UnitFactor))))</f>
        <v/>
      </c>
      <c r="U135" s="20" t="str">
        <f aca="false">IF(AG135=0,"",IF(NOT(LH_Ready),"",SUMIFS(INDEX(LH_Data,0,LH_ColAcc),INDEX(LH_Data,0,LH_ColFirst),$A135,INDEX(LH_Data,0,LH_ColSur),$B135,INDEX(LH_Data,0,LH_ColCat),BonusCat,INDEX(LH_Data,0,LH_ColStart),"&gt;="&amp;AH135)*UnitFactor))</f>
        <v/>
      </c>
      <c r="V135" s="20" t="str">
        <f aca="false">IF(AG135=0,"",IF(NOT(LH_Ready),"",SUMIFS(INDEX(LH_Data,0,LH_ColTaken),INDEX(LH_Data,0,LH_ColFirst),$A135,INDEX(LH_Data,0,LH_ColSur),$B135,INDEX(LH_Data,0,LH_ColCat),BonusCat,INDEX(LH_Data,0,LH_ColStart),"&gt;="&amp;AH135)*UnitFactor))</f>
        <v/>
      </c>
      <c r="W135" s="20" t="str">
        <f aca="false">IF(AG135=0,"",IF(NOT(LH_Ready),"",IF(BD135=0,0,INDEX(INDEX(LH_Data,0,LH_ColClose),BD135-1)*UnitFactor)))</f>
        <v/>
      </c>
      <c r="X135" s="20" t="str">
        <f aca="false">IF(AG135=0,"",(AZ135-BA135)*HoursPerDay)</f>
        <v/>
      </c>
      <c r="Y135" s="20" t="str">
        <f aca="false">IF(AG135=0,"",IF(NOT(LH_Ready),"",IF(BC135=0,N135,IF(PFYDate&lt;$F135,N135-N(T135)-N(U135),X135-N(U135)))))</f>
        <v/>
      </c>
      <c r="Z135" s="19" t="str">
        <f aca="false">IF(OR(AG135=0,Y135=""),"",IF(Y135&gt;0,"Yes","No"))</f>
        <v/>
      </c>
      <c r="AA135" s="19"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20" t="str">
        <f aca="false">IF(OR(AG135=0,T135=""),"",BA135*HoursPerDay-T135)</f>
        <v/>
      </c>
      <c r="AC135" s="19" t="str">
        <f aca="false">IF(AG135=0,"",BC135)</f>
        <v/>
      </c>
      <c r="AD135" s="19"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20" t="str">
        <f aca="false">IF(AG135=0,"",O135-BH135)</f>
        <v/>
      </c>
      <c r="AF135" s="17" t="str">
        <f aca="false">IF(OR(AG135=0,AE135="",N(AE135)=0,BI135=""),"",EDATE(AH135,BI135))</f>
        <v/>
      </c>
      <c r="AG135" s="19" t="n">
        <f aca="false">IF(OR(LEN($A135&amp;$B135)=0,$F135=""),0,1)</f>
        <v>0</v>
      </c>
      <c r="AH135" s="17" t="str">
        <f aca="false">IF(AG135=0,"",IF($J135&lt;&gt;"",$J135,IF(OR(CasualCounts="Yes",COUNT($G135:$I135)=0,COUNT($H135:$I135)=0),$F135,MIN($H135:$I135))))</f>
        <v/>
      </c>
      <c r="AI135" s="19" t="str">
        <f aca="false">IF(AG135=0,"",COUNT($G135:$I135))</f>
        <v/>
      </c>
      <c r="AJ135" s="17" t="str">
        <f aca="false">IF(AG135=0,"",IFERROR(SMALL($G135:$I135,1),""))</f>
        <v/>
      </c>
      <c r="AK135" s="17" t="str">
        <f aca="false">IF(AG135=0,"",IFERROR(SMALL($G135:$I135,2),""))</f>
        <v/>
      </c>
      <c r="AL135" s="17" t="str">
        <f aca="false">IF(AG135=0,"",IFERROR(SMALL($G135:$I135,3),""))</f>
        <v/>
      </c>
      <c r="AM135" s="19" t="str">
        <f aca="false">IF(AG135=0,"",IF(AJ135="","",IF(AJ135=$H135,"Part-Time",IF(AJ135=$I135,"Full-Time","Casual"))))</f>
        <v/>
      </c>
      <c r="AN135" s="19" t="str">
        <f aca="false">IF(AG135=0,"",IF(AK135="","",IF(AK135=$H135,"Part-Time",IF(AK135=$I135,"Full-Time","Casual"))))</f>
        <v/>
      </c>
      <c r="AO135" s="19" t="str">
        <f aca="false">IF(AG135=0,"",IF(AL135="","",IF(AL135=$H135,"Part-Time",IF(AL135=$I135,"Full-Time","Casual"))))</f>
        <v/>
      </c>
      <c r="AP135" s="19"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19" t="str">
        <f aca="false">IF(AG135=0,"",IF(AI135&lt;2,"",IF(OR(ISNUMBER(SEARCH("full",AN135)),UPPER(TRIM(AN135))="FT",UPPER(TRIM(AN135))="FTE"),"FT",IF(AND(OR(ISNUMBER(SEARCH("part",AN135)),UPPER(TRIM(AN135))="PT",UPPER(TRIM(AN135))="PTE"),OR($P135="",N($P135)&gt;=PT_MinHours)),"PT","None"))))</f>
        <v/>
      </c>
      <c r="AR135" s="19" t="str">
        <f aca="false">IF(AG135=0,"",IF(AI135&lt;3,"",IF(OR(ISNUMBER(SEARCH("full",AO135)),UPPER(TRIM(AO135))="FT",UPPER(TRIM(AO135))="FTE"),"FT",IF(AND(OR(ISNUMBER(SEARCH("part",AO135)),UPPER(TRIM(AO135))="PT",UPPER(TRIM(AO135))="PTE"),OR($P135="",N($P135)&gt;=PT_MinHours)),"PT","None"))))</f>
        <v/>
      </c>
      <c r="AS135" s="19" t="str">
        <f aca="false">IF(AG135=0,"",IF(AND(AI135&gt;=3,AL135&lt;=AsOfDate),AR135,IF(AND(AI135&gt;=2,AK135&lt;=AsOfDate),AQ135,AP135)))</f>
        <v/>
      </c>
      <c r="AT135" s="19" t="str">
        <f aca="false">IF(AG135=0,"",IF(AsOfDate&lt;AH135,-1,12*(YEAR(AsOfDate)-YEAR(AH135))+MONTH(AsOfDate)-MONTH(AH135)-IF(DAY(AsOfDate)&lt;MIN(DAY(AH135),DAY(EOMONTH(AsOfDate,0))),1,0)))</f>
        <v/>
      </c>
      <c r="AU135" s="19" t="str">
        <f aca="false">IF(AG135=0,"",IF(OR(AI135&lt;2,AK135&gt;AsOfDate),AT135,IF((AK135-1)&lt;AH135,-1,12*(YEAR((AK135-1))-YEAR(AH135))+MONTH((AK135-1))-MONTH(AH135)-IF(DAY((AK135-1))&lt;MIN(DAY(AH135),DAY(EOMONTH((AK135-1),0))),1,0))))</f>
        <v/>
      </c>
      <c r="AV135" s="19" t="str">
        <f aca="false">IF(AG135=0,"",IF(OR(AI135&lt;3,AL135&gt;AsOfDate),AT135,IF((AL135-1)&lt;AH135,-1,12*(YEAR((AL135-1))-YEAR(AH135))+MONTH((AL135-1))-MONTH(AH135)-IF(DAY((AL135-1))&lt;MIN(DAY(AH135),DAY(EOMONTH((AL135-1),0))),1,0))))</f>
        <v/>
      </c>
      <c r="AW135" s="19" t="str">
        <f aca="false">IF(AG135=0,"",IF(PFYDate&lt;AH135,-1,12*(YEAR(PFYDate)-YEAR(AH135))+MONTH(PFYDate)-MONTH(AH135)-IF(DAY(PFYDate)&lt;MIN(DAY(AH135),DAY(EOMONTH(PFYDate,0))),1,0)))</f>
        <v/>
      </c>
      <c r="AX135" s="19" t="str">
        <f aca="false">IF(AG135=0,"",IF(OR(AI135&lt;2,AK135&gt;PFYDate),AW135,IF((AK135-1)&lt;AH135,-1,12*(YEAR((AK135-1))-YEAR(AH135))+MONTH((AK135-1))-MONTH(AH135)-IF(DAY((AK135-1))&lt;MIN(DAY(AH135),DAY(EOMONTH((AK135-1),0))),1,0))))</f>
        <v/>
      </c>
      <c r="AY135" s="19" t="str">
        <f aca="false">IF(AG135=0,"",IF(OR(AI135&lt;3,AL135&gt;PFYDate),AW135,IF((AL135-1)&lt;AH135,-1,12*(YEAR((AL135-1))-YEAR(AH135))+MONTH((AL135-1))-MONTH(AH135)-IF(DAY((AL135-1))&lt;MIN(DAY(AH135),DAY(EOMONTH((AL135-1),0))),1,0))))</f>
        <v/>
      </c>
      <c r="AZ135" s="19" t="str">
        <f aca="false">IF(AG135=0,"",IF(AP135="FT",IF(AU135&lt;FT_First,0,IF(AU135&lt;FT_Y5,1+INT((AU135-FT_First)/FT_Int1),FT_PreY5+FT_PerYear*INT((AU135-FT_Y5)/12)+FT_AnnivDays+INT(MOD(AU135-FT_Y5,12)/FT_Int2))),IF(AP135="PT",IF(AU135&lt;PT_First,0,1+INT((AU135-PT_First)/PT_Int)),0))+IF(AND(AI135&gt;=2,AK135&lt;=AsOfDate),IF(AQ135="FT",IF(AV135&lt;FT_First,0,IF(AV135&lt;FT_Y5,1+INT((AV135-FT_First)/FT_Int1),FT_PreY5+FT_PerYear*INT((AV135-FT_Y5)/12)+FT_AnnivDays+INT(MOD(AV135-FT_Y5,12)/FT_Int2))),IF(AQ135="PT",IF(AV135&lt;PT_First,0,1+INT((AV135-PT_First)/PT_Int)),0))-IF(AQ135="FT",IF(AU135&lt;FT_First,0,IF(AU135&lt;FT_Y5,1+INT((AU135-FT_First)/FT_Int1),FT_PreY5+FT_PerYear*INT((AU135-FT_Y5)/12)+FT_AnnivDays+INT(MOD(AU135-FT_Y5,12)/FT_Int2))),IF(AQ135="PT",IF(AU135&lt;PT_First,0,1+INT((AU135-PT_First)/PT_Int)),0)),0)+IF(AND(AI135&gt;=3,AL135&lt;=AsOfDate),IF(AR135="FT",IF(AT135&lt;FT_First,0,IF(AT135&lt;FT_Y5,1+INT((AT135-FT_First)/FT_Int1),FT_PreY5+FT_PerYear*INT((AT135-FT_Y5)/12)+FT_AnnivDays+INT(MOD(AT135-FT_Y5,12)/FT_Int2))),IF(AR135="PT",IF(AT135&lt;PT_First,0,1+INT((AT135-PT_First)/PT_Int)),0))-IF(AR135="FT",IF(AV135&lt;FT_First,0,IF(AV135&lt;FT_Y5,1+INT((AV135-FT_First)/FT_Int1),FT_PreY5+FT_PerYear*INT((AV135-FT_Y5)/12)+FT_AnnivDays+INT(MOD(AV135-FT_Y5,12)/FT_Int2))),IF(AR135="PT",IF(AV135&lt;PT_First,0,1+INT((AV135-PT_First)/PT_Int)),0)),0))</f>
        <v/>
      </c>
      <c r="BA135" s="19" t="str">
        <f aca="false">IF(AG135=0,"",IF(AP135="FT",IF(AX135&lt;FT_First,0,IF(AX135&lt;FT_Y5,1+INT((AX135-FT_First)/FT_Int1),FT_PreY5+FT_PerYear*INT((AX135-FT_Y5)/12)+FT_AnnivDays+INT(MOD(AX135-FT_Y5,12)/FT_Int2))),IF(AP135="PT",IF(AX135&lt;PT_First,0,1+INT((AX135-PT_First)/PT_Int)),0))+IF(AND(AI135&gt;=2,AK135&lt;=PFYDate),IF(AQ135="FT",IF(AY135&lt;FT_First,0,IF(AY135&lt;FT_Y5,1+INT((AY135-FT_First)/FT_Int1),FT_PreY5+FT_PerYear*INT((AY135-FT_Y5)/12)+FT_AnnivDays+INT(MOD(AY135-FT_Y5,12)/FT_Int2))),IF(AQ135="PT",IF(AY135&lt;PT_First,0,1+INT((AY135-PT_First)/PT_Int)),0))-IF(AQ135="FT",IF(AX135&lt;FT_First,0,IF(AX135&lt;FT_Y5,1+INT((AX135-FT_First)/FT_Int1),FT_PreY5+FT_PerYear*INT((AX135-FT_Y5)/12)+FT_AnnivDays+INT(MOD(AX135-FT_Y5,12)/FT_Int2))),IF(AQ135="PT",IF(AX135&lt;PT_First,0,1+INT((AX135-PT_First)/PT_Int)),0)),0)+IF(AND(AI135&gt;=3,AL135&lt;=PFYDate),IF(AR135="FT",IF(AW135&lt;FT_First,0,IF(AW135&lt;FT_Y5,1+INT((AW135-FT_First)/FT_Int1),FT_PreY5+FT_PerYear*INT((AW135-FT_Y5)/12)+FT_AnnivDays+INT(MOD(AW135-FT_Y5,12)/FT_Int2))),IF(AR135="PT",IF(AW135&lt;PT_First,0,1+INT((AW135-PT_First)/PT_Int)),0))-IF(AR135="FT",IF(AY135&lt;FT_First,0,IF(AY135&lt;FT_Y5,1+INT((AY135-FT_First)/FT_Int1),FT_PreY5+FT_PerYear*INT((AY135-FT_Y5)/12)+FT_AnnivDays+INT(MOD(AY135-FT_Y5,12)/FT_Int2))),IF(AR135="PT",IF(AY135&lt;PT_First,0,1+INT((AY135-PT_First)/PT_Int)),0)),0))</f>
        <v/>
      </c>
      <c r="BB135" s="19" t="str">
        <f aca="false">IF(AG135=0,"",IF(AS135="FT",IF(AT135&lt;FT_First,FT_First,IF(AT135&lt;FT_Y5,MIN(FT_Y5,FT_First+FT_Int1*(INT((AT135-FT_First)/FT_Int1)+1)),FT_Y5+12*INT((AT135-FT_Y5)/12)+FT_Int2*(INT(MOD(AT135-FT_Y5,12)/FT_Int2)+1))),IF(AS135="PT",IF(AT135&lt;PT_First,PT_First,PT_First+PT_Int*(INT((AT135-PT_First)/PT_Int)+1)),"")))</f>
        <v/>
      </c>
      <c r="BC135" s="19" t="str">
        <f aca="false">IF(AG135=0,"",IF(NOT(LH_Ready),0,COUNTIFS(INDEX(LH_Data,0,LH_ColFirst),$A135,INDEX(LH_Data,0,LH_ColSur),$B135,INDEX(LH_Data,0,LH_ColCat),BonusCat)))</f>
        <v/>
      </c>
      <c r="BD135" s="19" t="str">
        <f aca="false">IF(AG135=0,"",IF(OR(NOT(LH_Ready),BC135=0),0,SUMPRODUCT(MAX((INDEX(LH_Data,0,LH_ColFirst)=$A135)*(INDEX(LH_Data,0,LH_ColSur)=$B135)*(INDEX(LH_Data,0,LH_ColCat)=BonusCat)*ROW(LH_Data)))))</f>
        <v/>
      </c>
      <c r="BE135" s="19" t="str">
        <f aca="false">IF(AG135=0,"",IF(EOMONTH(AsOfDate,-1)&lt;AH135,-1,12*(YEAR(EOMONTH(AsOfDate,-1))-YEAR(AH135))+MONTH(EOMONTH(AsOfDate,-1))-MONTH(AH135)-IF(DAY(EOMONTH(AsOfDate,-1))&lt;MIN(DAY(AH135),DAY(EOMONTH(EOMONTH(AsOfDate,-1),0))),1,0)))</f>
        <v/>
      </c>
      <c r="BF135" s="19" t="str">
        <f aca="false">IF(AG135=0,"",IF(OR(AI135&lt;2,AK135&gt;EOMONTH(AsOfDate,-1)),BE135,IF((AK135-1)&lt;AH135,-1,12*(YEAR((AK135-1))-YEAR(AH135))+MONTH((AK135-1))-MONTH(AH135)-IF(DAY((AK135-1))&lt;MIN(DAY(AH135),DAY(EOMONTH((AK135-1),0))),1,0))))</f>
        <v/>
      </c>
      <c r="BG135" s="19" t="str">
        <f aca="false">IF(AG135=0,"",IF(OR(AI135&lt;3,AL135&gt;EOMONTH(AsOfDate,-1)),BE135,IF((AL135-1)&lt;AH135,-1,12*(YEAR((AL135-1))-YEAR(AH135))+MONTH((AL135-1))-MONTH(AH135)-IF(DAY((AL135-1))&lt;MIN(DAY(AH135),DAY(EOMONTH((AL135-1),0))),1,0))))</f>
        <v/>
      </c>
      <c r="BH135" s="19" t="str">
        <f aca="false">IF(AG135=0,"",IF(AP135="FT",IF(BF135&lt;FT_First,0,IF(BF135&lt;FT_Y5,1+INT((BF135-FT_First)/FT_Int1),FT_PreY5+FT_PerYear*INT((BF135-FT_Y5)/12)+FT_AnnivDays+INT(MOD(BF135-FT_Y5,12)/FT_Int2))),IF(AP135="PT",IF(BF135&lt;PT_First,0,1+INT((BF135-PT_First)/PT_Int)),0))+IF(AND(AI135&gt;=2,AK135&lt;=EOMONTH(AsOfDate,-1)),IF(AQ135="FT",IF(BG135&lt;FT_First,0,IF(BG135&lt;FT_Y5,1+INT((BG135-FT_First)/FT_Int1),FT_PreY5+FT_PerYear*INT((BG135-FT_Y5)/12)+FT_AnnivDays+INT(MOD(BG135-FT_Y5,12)/FT_Int2))),IF(AQ135="PT",IF(BG135&lt;PT_First,0,1+INT((BG135-PT_First)/PT_Int)),0))-IF(AQ135="FT",IF(BF135&lt;FT_First,0,IF(BF135&lt;FT_Y5,1+INT((BF135-FT_First)/FT_Int1),FT_PreY5+FT_PerYear*INT((BF135-FT_Y5)/12)+FT_AnnivDays+INT(MOD(BF135-FT_Y5,12)/FT_Int2))),IF(AQ135="PT",IF(BF135&lt;PT_First,0,1+INT((BF135-PT_First)/PT_Int)),0)),0)+IF(AND(AI135&gt;=3,AL135&lt;=EOMONTH(AsOfDate,-1)),IF(AR135="FT",IF(BE135&lt;FT_First,0,IF(BE135&lt;FT_Y5,1+INT((BE135-FT_First)/FT_Int1),FT_PreY5+FT_PerYear*INT((BE135-FT_Y5)/12)+FT_AnnivDays+INT(MOD(BE135-FT_Y5,12)/FT_Int2))),IF(AR135="PT",IF(BE135&lt;PT_First,0,1+INT((BE135-PT_First)/PT_Int)),0))-IF(AR135="FT",IF(BG135&lt;FT_First,0,IF(BG135&lt;FT_Y5,1+INT((BG135-FT_First)/FT_Int1),FT_PreY5+FT_PerYear*INT((BG135-FT_Y5)/12)+FT_AnnivDays+INT(MOD(BG135-FT_Y5,12)/FT_Int2))),IF(AR135="PT",IF(BG135&lt;PT_First,0,1+INT((BG135-PT_First)/PT_Int)),0)),0))</f>
        <v/>
      </c>
      <c r="BI135" s="19" t="str">
        <f aca="false">IF(AG135=0,"",IF(AS135="FT",IF(AT135&lt;FT_First,"",IF(AT135&lt;FT_Y5,FT_First+FT_Int1*INT((AT135-FT_First)/FT_Int1),FT_Y5+FT_Int2*INT((AT135-FT_Y5)/FT_Int2))),IF(AS135="PT",IF(AT135&lt;PT_First,"",PT_First+PT_Int*INT((AT135-PT_First)/PT_Int)),"")))</f>
        <v/>
      </c>
      <c r="BJ135" s="0" t="str">
        <f aca="false">IF(LEN($A135&amp;$B135)=0,"",$A135&amp;" "&amp;$B135)</f>
        <v/>
      </c>
    </row>
    <row r="136" customFormat="false" ht="15" hidden="false" customHeight="false" outlineLevel="0" collapsed="false">
      <c r="A136" s="15"/>
      <c r="B136" s="15"/>
      <c r="C136" s="15"/>
      <c r="D136" s="16"/>
      <c r="E136" s="17" t="str">
        <f aca="false">IF(OR(AG136=0,$D136=""),"",DATE(YEAR(AsOfDate)+IF(DATE(YEAR(AsOfDate),MONTH($D136),DAY($D136))&lt;=AsOfDate,1,0),MONTH($D136),DAY($D136)))</f>
        <v/>
      </c>
      <c r="F136" s="16"/>
      <c r="G136" s="16"/>
      <c r="H136" s="16"/>
      <c r="I136" s="16"/>
      <c r="J136" s="16"/>
      <c r="K136" s="17" t="str">
        <f aca="false">IF(AG136=0,"",DATE(YEAR(AsOfDate)+IF(DATE(YEAR(AsOfDate),MONTH(AH136),DAY(AH136))&lt;=AsOfDate,1,0),MONTH(AH136),DAY(AH136)))</f>
        <v/>
      </c>
      <c r="L136" s="18" t="str">
        <f aca="false">IF(AG136=0,"",ROUND((AsOfDate-AH136)/365.25,1))</f>
        <v/>
      </c>
      <c r="M136" s="19" t="str">
        <f aca="false">IF(AG136=0,"",IF(AsOfDate&lt;AH136,"-",DATEDIF(AH136,AsOfDate,"y")&amp;"y "&amp;DATEDIF(AH136,AsOfDate,"ym")&amp;"m "&amp;DATEDIF(AH136,AsOfDate,"md")&amp;"d"))</f>
        <v/>
      </c>
      <c r="N136" s="20" t="str">
        <f aca="false">IF(AG136=0,"",O136*HoursPerDay)</f>
        <v/>
      </c>
      <c r="O136" s="20" t="str">
        <f aca="false">IF(AG136=0,"",AZ136)</f>
        <v/>
      </c>
      <c r="P136" s="21"/>
      <c r="Q136" s="19"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19"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7" t="str">
        <f aca="false">IF(AG136=0,"",IF(AS136="None","",EDATE(AH136,BB136)))</f>
        <v/>
      </c>
      <c r="T136" s="20" t="str">
        <f aca="false">IF(AG136=0,"",IF(NOT(LH_Ready),"",IF(AH136&gt;PFYDate,0,IF(LH_ColPeriod=0,W136-U136+V136,SUMIFS(INDEX(LH_Data,0,LH_ColAcc),INDEX(LH_Data,0,LH_ColFirst),$A136,INDEX(LH_Data,0,LH_ColSur),$B136,INDEX(LH_Data,0,LH_ColCat),BonusCat,INDEX(LH_Data,0,LH_ColPeriod),LH_OpenLabel)*UnitFactor))))</f>
        <v/>
      </c>
      <c r="U136" s="20" t="str">
        <f aca="false">IF(AG136=0,"",IF(NOT(LH_Ready),"",SUMIFS(INDEX(LH_Data,0,LH_ColAcc),INDEX(LH_Data,0,LH_ColFirst),$A136,INDEX(LH_Data,0,LH_ColSur),$B136,INDEX(LH_Data,0,LH_ColCat),BonusCat,INDEX(LH_Data,0,LH_ColStart),"&gt;="&amp;AH136)*UnitFactor))</f>
        <v/>
      </c>
      <c r="V136" s="20" t="str">
        <f aca="false">IF(AG136=0,"",IF(NOT(LH_Ready),"",SUMIFS(INDEX(LH_Data,0,LH_ColTaken),INDEX(LH_Data,0,LH_ColFirst),$A136,INDEX(LH_Data,0,LH_ColSur),$B136,INDEX(LH_Data,0,LH_ColCat),BonusCat,INDEX(LH_Data,0,LH_ColStart),"&gt;="&amp;AH136)*UnitFactor))</f>
        <v/>
      </c>
      <c r="W136" s="20" t="str">
        <f aca="false">IF(AG136=0,"",IF(NOT(LH_Ready),"",IF(BD136=0,0,INDEX(INDEX(LH_Data,0,LH_ColClose),BD136-1)*UnitFactor)))</f>
        <v/>
      </c>
      <c r="X136" s="20" t="str">
        <f aca="false">IF(AG136=0,"",(AZ136-BA136)*HoursPerDay)</f>
        <v/>
      </c>
      <c r="Y136" s="20" t="str">
        <f aca="false">IF(AG136=0,"",IF(NOT(LH_Ready),"",IF(BC136=0,N136,IF(PFYDate&lt;$F136,N136-N(T136)-N(U136),X136-N(U136)))))</f>
        <v/>
      </c>
      <c r="Z136" s="19" t="str">
        <f aca="false">IF(OR(AG136=0,Y136=""),"",IF(Y136&gt;0,"Yes","No"))</f>
        <v/>
      </c>
      <c r="AA136" s="19"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20" t="str">
        <f aca="false">IF(OR(AG136=0,T136=""),"",BA136*HoursPerDay-T136)</f>
        <v/>
      </c>
      <c r="AC136" s="19" t="str">
        <f aca="false">IF(AG136=0,"",BC136)</f>
        <v/>
      </c>
      <c r="AD136" s="19"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20" t="str">
        <f aca="false">IF(AG136=0,"",O136-BH136)</f>
        <v/>
      </c>
      <c r="AF136" s="17" t="str">
        <f aca="false">IF(OR(AG136=0,AE136="",N(AE136)=0,BI136=""),"",EDATE(AH136,BI136))</f>
        <v/>
      </c>
      <c r="AG136" s="19" t="n">
        <f aca="false">IF(OR(LEN($A136&amp;$B136)=0,$F136=""),0,1)</f>
        <v>0</v>
      </c>
      <c r="AH136" s="17" t="str">
        <f aca="false">IF(AG136=0,"",IF($J136&lt;&gt;"",$J136,IF(OR(CasualCounts="Yes",COUNT($G136:$I136)=0,COUNT($H136:$I136)=0),$F136,MIN($H136:$I136))))</f>
        <v/>
      </c>
      <c r="AI136" s="19" t="str">
        <f aca="false">IF(AG136=0,"",COUNT($G136:$I136))</f>
        <v/>
      </c>
      <c r="AJ136" s="17" t="str">
        <f aca="false">IF(AG136=0,"",IFERROR(SMALL($G136:$I136,1),""))</f>
        <v/>
      </c>
      <c r="AK136" s="17" t="str">
        <f aca="false">IF(AG136=0,"",IFERROR(SMALL($G136:$I136,2),""))</f>
        <v/>
      </c>
      <c r="AL136" s="17" t="str">
        <f aca="false">IF(AG136=0,"",IFERROR(SMALL($G136:$I136,3),""))</f>
        <v/>
      </c>
      <c r="AM136" s="19" t="str">
        <f aca="false">IF(AG136=0,"",IF(AJ136="","",IF(AJ136=$H136,"Part-Time",IF(AJ136=$I136,"Full-Time","Casual"))))</f>
        <v/>
      </c>
      <c r="AN136" s="19" t="str">
        <f aca="false">IF(AG136=0,"",IF(AK136="","",IF(AK136=$H136,"Part-Time",IF(AK136=$I136,"Full-Time","Casual"))))</f>
        <v/>
      </c>
      <c r="AO136" s="19" t="str">
        <f aca="false">IF(AG136=0,"",IF(AL136="","",IF(AL136=$H136,"Part-Time",IF(AL136=$I136,"Full-Time","Casual"))))</f>
        <v/>
      </c>
      <c r="AP136" s="19"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19" t="str">
        <f aca="false">IF(AG136=0,"",IF(AI136&lt;2,"",IF(OR(ISNUMBER(SEARCH("full",AN136)),UPPER(TRIM(AN136))="FT",UPPER(TRIM(AN136))="FTE"),"FT",IF(AND(OR(ISNUMBER(SEARCH("part",AN136)),UPPER(TRIM(AN136))="PT",UPPER(TRIM(AN136))="PTE"),OR($P136="",N($P136)&gt;=PT_MinHours)),"PT","None"))))</f>
        <v/>
      </c>
      <c r="AR136" s="19" t="str">
        <f aca="false">IF(AG136=0,"",IF(AI136&lt;3,"",IF(OR(ISNUMBER(SEARCH("full",AO136)),UPPER(TRIM(AO136))="FT",UPPER(TRIM(AO136))="FTE"),"FT",IF(AND(OR(ISNUMBER(SEARCH("part",AO136)),UPPER(TRIM(AO136))="PT",UPPER(TRIM(AO136))="PTE"),OR($P136="",N($P136)&gt;=PT_MinHours)),"PT","None"))))</f>
        <v/>
      </c>
      <c r="AS136" s="19" t="str">
        <f aca="false">IF(AG136=0,"",IF(AND(AI136&gt;=3,AL136&lt;=AsOfDate),AR136,IF(AND(AI136&gt;=2,AK136&lt;=AsOfDate),AQ136,AP136)))</f>
        <v/>
      </c>
      <c r="AT136" s="19" t="str">
        <f aca="false">IF(AG136=0,"",IF(AsOfDate&lt;AH136,-1,12*(YEAR(AsOfDate)-YEAR(AH136))+MONTH(AsOfDate)-MONTH(AH136)-IF(DAY(AsOfDate)&lt;MIN(DAY(AH136),DAY(EOMONTH(AsOfDate,0))),1,0)))</f>
        <v/>
      </c>
      <c r="AU136" s="19" t="str">
        <f aca="false">IF(AG136=0,"",IF(OR(AI136&lt;2,AK136&gt;AsOfDate),AT136,IF((AK136-1)&lt;AH136,-1,12*(YEAR((AK136-1))-YEAR(AH136))+MONTH((AK136-1))-MONTH(AH136)-IF(DAY((AK136-1))&lt;MIN(DAY(AH136),DAY(EOMONTH((AK136-1),0))),1,0))))</f>
        <v/>
      </c>
      <c r="AV136" s="19" t="str">
        <f aca="false">IF(AG136=0,"",IF(OR(AI136&lt;3,AL136&gt;AsOfDate),AT136,IF((AL136-1)&lt;AH136,-1,12*(YEAR((AL136-1))-YEAR(AH136))+MONTH((AL136-1))-MONTH(AH136)-IF(DAY((AL136-1))&lt;MIN(DAY(AH136),DAY(EOMONTH((AL136-1),0))),1,0))))</f>
        <v/>
      </c>
      <c r="AW136" s="19" t="str">
        <f aca="false">IF(AG136=0,"",IF(PFYDate&lt;AH136,-1,12*(YEAR(PFYDate)-YEAR(AH136))+MONTH(PFYDate)-MONTH(AH136)-IF(DAY(PFYDate)&lt;MIN(DAY(AH136),DAY(EOMONTH(PFYDate,0))),1,0)))</f>
        <v/>
      </c>
      <c r="AX136" s="19" t="str">
        <f aca="false">IF(AG136=0,"",IF(OR(AI136&lt;2,AK136&gt;PFYDate),AW136,IF((AK136-1)&lt;AH136,-1,12*(YEAR((AK136-1))-YEAR(AH136))+MONTH((AK136-1))-MONTH(AH136)-IF(DAY((AK136-1))&lt;MIN(DAY(AH136),DAY(EOMONTH((AK136-1),0))),1,0))))</f>
        <v/>
      </c>
      <c r="AY136" s="19" t="str">
        <f aca="false">IF(AG136=0,"",IF(OR(AI136&lt;3,AL136&gt;PFYDate),AW136,IF((AL136-1)&lt;AH136,-1,12*(YEAR((AL136-1))-YEAR(AH136))+MONTH((AL136-1))-MONTH(AH136)-IF(DAY((AL136-1))&lt;MIN(DAY(AH136),DAY(EOMONTH((AL136-1),0))),1,0))))</f>
        <v/>
      </c>
      <c r="AZ136" s="19" t="str">
        <f aca="false">IF(AG136=0,"",IF(AP136="FT",IF(AU136&lt;FT_First,0,IF(AU136&lt;FT_Y5,1+INT((AU136-FT_First)/FT_Int1),FT_PreY5+FT_PerYear*INT((AU136-FT_Y5)/12)+FT_AnnivDays+INT(MOD(AU136-FT_Y5,12)/FT_Int2))),IF(AP136="PT",IF(AU136&lt;PT_First,0,1+INT((AU136-PT_First)/PT_Int)),0))+IF(AND(AI136&gt;=2,AK136&lt;=AsOfDate),IF(AQ136="FT",IF(AV136&lt;FT_First,0,IF(AV136&lt;FT_Y5,1+INT((AV136-FT_First)/FT_Int1),FT_PreY5+FT_PerYear*INT((AV136-FT_Y5)/12)+FT_AnnivDays+INT(MOD(AV136-FT_Y5,12)/FT_Int2))),IF(AQ136="PT",IF(AV136&lt;PT_First,0,1+INT((AV136-PT_First)/PT_Int)),0))-IF(AQ136="FT",IF(AU136&lt;FT_First,0,IF(AU136&lt;FT_Y5,1+INT((AU136-FT_First)/FT_Int1),FT_PreY5+FT_PerYear*INT((AU136-FT_Y5)/12)+FT_AnnivDays+INT(MOD(AU136-FT_Y5,12)/FT_Int2))),IF(AQ136="PT",IF(AU136&lt;PT_First,0,1+INT((AU136-PT_First)/PT_Int)),0)),0)+IF(AND(AI136&gt;=3,AL136&lt;=AsOfDate),IF(AR136="FT",IF(AT136&lt;FT_First,0,IF(AT136&lt;FT_Y5,1+INT((AT136-FT_First)/FT_Int1),FT_PreY5+FT_PerYear*INT((AT136-FT_Y5)/12)+FT_AnnivDays+INT(MOD(AT136-FT_Y5,12)/FT_Int2))),IF(AR136="PT",IF(AT136&lt;PT_First,0,1+INT((AT136-PT_First)/PT_Int)),0))-IF(AR136="FT",IF(AV136&lt;FT_First,0,IF(AV136&lt;FT_Y5,1+INT((AV136-FT_First)/FT_Int1),FT_PreY5+FT_PerYear*INT((AV136-FT_Y5)/12)+FT_AnnivDays+INT(MOD(AV136-FT_Y5,12)/FT_Int2))),IF(AR136="PT",IF(AV136&lt;PT_First,0,1+INT((AV136-PT_First)/PT_Int)),0)),0))</f>
        <v/>
      </c>
      <c r="BA136" s="19" t="str">
        <f aca="false">IF(AG136=0,"",IF(AP136="FT",IF(AX136&lt;FT_First,0,IF(AX136&lt;FT_Y5,1+INT((AX136-FT_First)/FT_Int1),FT_PreY5+FT_PerYear*INT((AX136-FT_Y5)/12)+FT_AnnivDays+INT(MOD(AX136-FT_Y5,12)/FT_Int2))),IF(AP136="PT",IF(AX136&lt;PT_First,0,1+INT((AX136-PT_First)/PT_Int)),0))+IF(AND(AI136&gt;=2,AK136&lt;=PFYDate),IF(AQ136="FT",IF(AY136&lt;FT_First,0,IF(AY136&lt;FT_Y5,1+INT((AY136-FT_First)/FT_Int1),FT_PreY5+FT_PerYear*INT((AY136-FT_Y5)/12)+FT_AnnivDays+INT(MOD(AY136-FT_Y5,12)/FT_Int2))),IF(AQ136="PT",IF(AY136&lt;PT_First,0,1+INT((AY136-PT_First)/PT_Int)),0))-IF(AQ136="FT",IF(AX136&lt;FT_First,0,IF(AX136&lt;FT_Y5,1+INT((AX136-FT_First)/FT_Int1),FT_PreY5+FT_PerYear*INT((AX136-FT_Y5)/12)+FT_AnnivDays+INT(MOD(AX136-FT_Y5,12)/FT_Int2))),IF(AQ136="PT",IF(AX136&lt;PT_First,0,1+INT((AX136-PT_First)/PT_Int)),0)),0)+IF(AND(AI136&gt;=3,AL136&lt;=PFYDate),IF(AR136="FT",IF(AW136&lt;FT_First,0,IF(AW136&lt;FT_Y5,1+INT((AW136-FT_First)/FT_Int1),FT_PreY5+FT_PerYear*INT((AW136-FT_Y5)/12)+FT_AnnivDays+INT(MOD(AW136-FT_Y5,12)/FT_Int2))),IF(AR136="PT",IF(AW136&lt;PT_First,0,1+INT((AW136-PT_First)/PT_Int)),0))-IF(AR136="FT",IF(AY136&lt;FT_First,0,IF(AY136&lt;FT_Y5,1+INT((AY136-FT_First)/FT_Int1),FT_PreY5+FT_PerYear*INT((AY136-FT_Y5)/12)+FT_AnnivDays+INT(MOD(AY136-FT_Y5,12)/FT_Int2))),IF(AR136="PT",IF(AY136&lt;PT_First,0,1+INT((AY136-PT_First)/PT_Int)),0)),0))</f>
        <v/>
      </c>
      <c r="BB136" s="19" t="str">
        <f aca="false">IF(AG136=0,"",IF(AS136="FT",IF(AT136&lt;FT_First,FT_First,IF(AT136&lt;FT_Y5,MIN(FT_Y5,FT_First+FT_Int1*(INT((AT136-FT_First)/FT_Int1)+1)),FT_Y5+12*INT((AT136-FT_Y5)/12)+FT_Int2*(INT(MOD(AT136-FT_Y5,12)/FT_Int2)+1))),IF(AS136="PT",IF(AT136&lt;PT_First,PT_First,PT_First+PT_Int*(INT((AT136-PT_First)/PT_Int)+1)),"")))</f>
        <v/>
      </c>
      <c r="BC136" s="19" t="str">
        <f aca="false">IF(AG136=0,"",IF(NOT(LH_Ready),0,COUNTIFS(INDEX(LH_Data,0,LH_ColFirst),$A136,INDEX(LH_Data,0,LH_ColSur),$B136,INDEX(LH_Data,0,LH_ColCat),BonusCat)))</f>
        <v/>
      </c>
      <c r="BD136" s="19" t="str">
        <f aca="false">IF(AG136=0,"",IF(OR(NOT(LH_Ready),BC136=0),0,SUMPRODUCT(MAX((INDEX(LH_Data,0,LH_ColFirst)=$A136)*(INDEX(LH_Data,0,LH_ColSur)=$B136)*(INDEX(LH_Data,0,LH_ColCat)=BonusCat)*ROW(LH_Data)))))</f>
        <v/>
      </c>
      <c r="BE136" s="19" t="str">
        <f aca="false">IF(AG136=0,"",IF(EOMONTH(AsOfDate,-1)&lt;AH136,-1,12*(YEAR(EOMONTH(AsOfDate,-1))-YEAR(AH136))+MONTH(EOMONTH(AsOfDate,-1))-MONTH(AH136)-IF(DAY(EOMONTH(AsOfDate,-1))&lt;MIN(DAY(AH136),DAY(EOMONTH(EOMONTH(AsOfDate,-1),0))),1,0)))</f>
        <v/>
      </c>
      <c r="BF136" s="19" t="str">
        <f aca="false">IF(AG136=0,"",IF(OR(AI136&lt;2,AK136&gt;EOMONTH(AsOfDate,-1)),BE136,IF((AK136-1)&lt;AH136,-1,12*(YEAR((AK136-1))-YEAR(AH136))+MONTH((AK136-1))-MONTH(AH136)-IF(DAY((AK136-1))&lt;MIN(DAY(AH136),DAY(EOMONTH((AK136-1),0))),1,0))))</f>
        <v/>
      </c>
      <c r="BG136" s="19" t="str">
        <f aca="false">IF(AG136=0,"",IF(OR(AI136&lt;3,AL136&gt;EOMONTH(AsOfDate,-1)),BE136,IF((AL136-1)&lt;AH136,-1,12*(YEAR((AL136-1))-YEAR(AH136))+MONTH((AL136-1))-MONTH(AH136)-IF(DAY((AL136-1))&lt;MIN(DAY(AH136),DAY(EOMONTH((AL136-1),0))),1,0))))</f>
        <v/>
      </c>
      <c r="BH136" s="19" t="str">
        <f aca="false">IF(AG136=0,"",IF(AP136="FT",IF(BF136&lt;FT_First,0,IF(BF136&lt;FT_Y5,1+INT((BF136-FT_First)/FT_Int1),FT_PreY5+FT_PerYear*INT((BF136-FT_Y5)/12)+FT_AnnivDays+INT(MOD(BF136-FT_Y5,12)/FT_Int2))),IF(AP136="PT",IF(BF136&lt;PT_First,0,1+INT((BF136-PT_First)/PT_Int)),0))+IF(AND(AI136&gt;=2,AK136&lt;=EOMONTH(AsOfDate,-1)),IF(AQ136="FT",IF(BG136&lt;FT_First,0,IF(BG136&lt;FT_Y5,1+INT((BG136-FT_First)/FT_Int1),FT_PreY5+FT_PerYear*INT((BG136-FT_Y5)/12)+FT_AnnivDays+INT(MOD(BG136-FT_Y5,12)/FT_Int2))),IF(AQ136="PT",IF(BG136&lt;PT_First,0,1+INT((BG136-PT_First)/PT_Int)),0))-IF(AQ136="FT",IF(BF136&lt;FT_First,0,IF(BF136&lt;FT_Y5,1+INT((BF136-FT_First)/FT_Int1),FT_PreY5+FT_PerYear*INT((BF136-FT_Y5)/12)+FT_AnnivDays+INT(MOD(BF136-FT_Y5,12)/FT_Int2))),IF(AQ136="PT",IF(BF136&lt;PT_First,0,1+INT((BF136-PT_First)/PT_Int)),0)),0)+IF(AND(AI136&gt;=3,AL136&lt;=EOMONTH(AsOfDate,-1)),IF(AR136="FT",IF(BE136&lt;FT_First,0,IF(BE136&lt;FT_Y5,1+INT((BE136-FT_First)/FT_Int1),FT_PreY5+FT_PerYear*INT((BE136-FT_Y5)/12)+FT_AnnivDays+INT(MOD(BE136-FT_Y5,12)/FT_Int2))),IF(AR136="PT",IF(BE136&lt;PT_First,0,1+INT((BE136-PT_First)/PT_Int)),0))-IF(AR136="FT",IF(BG136&lt;FT_First,0,IF(BG136&lt;FT_Y5,1+INT((BG136-FT_First)/FT_Int1),FT_PreY5+FT_PerYear*INT((BG136-FT_Y5)/12)+FT_AnnivDays+INT(MOD(BG136-FT_Y5,12)/FT_Int2))),IF(AR136="PT",IF(BG136&lt;PT_First,0,1+INT((BG136-PT_First)/PT_Int)),0)),0))</f>
        <v/>
      </c>
      <c r="BI136" s="19" t="str">
        <f aca="false">IF(AG136=0,"",IF(AS136="FT",IF(AT136&lt;FT_First,"",IF(AT136&lt;FT_Y5,FT_First+FT_Int1*INT((AT136-FT_First)/FT_Int1),FT_Y5+FT_Int2*INT((AT136-FT_Y5)/FT_Int2))),IF(AS136="PT",IF(AT136&lt;PT_First,"",PT_First+PT_Int*INT((AT136-PT_First)/PT_Int)),"")))</f>
        <v/>
      </c>
      <c r="BJ136" s="0" t="str">
        <f aca="false">IF(LEN($A136&amp;$B136)=0,"",$A136&amp;" "&amp;$B136)</f>
        <v/>
      </c>
    </row>
    <row r="137" customFormat="false" ht="15" hidden="false" customHeight="false" outlineLevel="0" collapsed="false">
      <c r="A137" s="15"/>
      <c r="B137" s="15"/>
      <c r="C137" s="15"/>
      <c r="D137" s="16"/>
      <c r="E137" s="17" t="str">
        <f aca="false">IF(OR(AG137=0,$D137=""),"",DATE(YEAR(AsOfDate)+IF(DATE(YEAR(AsOfDate),MONTH($D137),DAY($D137))&lt;=AsOfDate,1,0),MONTH($D137),DAY($D137)))</f>
        <v/>
      </c>
      <c r="F137" s="16"/>
      <c r="G137" s="16"/>
      <c r="H137" s="16"/>
      <c r="I137" s="16"/>
      <c r="J137" s="16"/>
      <c r="K137" s="17" t="str">
        <f aca="false">IF(AG137=0,"",DATE(YEAR(AsOfDate)+IF(DATE(YEAR(AsOfDate),MONTH(AH137),DAY(AH137))&lt;=AsOfDate,1,0),MONTH(AH137),DAY(AH137)))</f>
        <v/>
      </c>
      <c r="L137" s="18" t="str">
        <f aca="false">IF(AG137=0,"",ROUND((AsOfDate-AH137)/365.25,1))</f>
        <v/>
      </c>
      <c r="M137" s="19" t="str">
        <f aca="false">IF(AG137=0,"",IF(AsOfDate&lt;AH137,"-",DATEDIF(AH137,AsOfDate,"y")&amp;"y "&amp;DATEDIF(AH137,AsOfDate,"ym")&amp;"m "&amp;DATEDIF(AH137,AsOfDate,"md")&amp;"d"))</f>
        <v/>
      </c>
      <c r="N137" s="20" t="str">
        <f aca="false">IF(AG137=0,"",O137*HoursPerDay)</f>
        <v/>
      </c>
      <c r="O137" s="20" t="str">
        <f aca="false">IF(AG137=0,"",AZ137)</f>
        <v/>
      </c>
      <c r="P137" s="21"/>
      <c r="Q137" s="19"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19"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7" t="str">
        <f aca="false">IF(AG137=0,"",IF(AS137="None","",EDATE(AH137,BB137)))</f>
        <v/>
      </c>
      <c r="T137" s="20" t="str">
        <f aca="false">IF(AG137=0,"",IF(NOT(LH_Ready),"",IF(AH137&gt;PFYDate,0,IF(LH_ColPeriod=0,W137-U137+V137,SUMIFS(INDEX(LH_Data,0,LH_ColAcc),INDEX(LH_Data,0,LH_ColFirst),$A137,INDEX(LH_Data,0,LH_ColSur),$B137,INDEX(LH_Data,0,LH_ColCat),BonusCat,INDEX(LH_Data,0,LH_ColPeriod),LH_OpenLabel)*UnitFactor))))</f>
        <v/>
      </c>
      <c r="U137" s="20" t="str">
        <f aca="false">IF(AG137=0,"",IF(NOT(LH_Ready),"",SUMIFS(INDEX(LH_Data,0,LH_ColAcc),INDEX(LH_Data,0,LH_ColFirst),$A137,INDEX(LH_Data,0,LH_ColSur),$B137,INDEX(LH_Data,0,LH_ColCat),BonusCat,INDEX(LH_Data,0,LH_ColStart),"&gt;="&amp;AH137)*UnitFactor))</f>
        <v/>
      </c>
      <c r="V137" s="20" t="str">
        <f aca="false">IF(AG137=0,"",IF(NOT(LH_Ready),"",SUMIFS(INDEX(LH_Data,0,LH_ColTaken),INDEX(LH_Data,0,LH_ColFirst),$A137,INDEX(LH_Data,0,LH_ColSur),$B137,INDEX(LH_Data,0,LH_ColCat),BonusCat,INDEX(LH_Data,0,LH_ColStart),"&gt;="&amp;AH137)*UnitFactor))</f>
        <v/>
      </c>
      <c r="W137" s="20" t="str">
        <f aca="false">IF(AG137=0,"",IF(NOT(LH_Ready),"",IF(BD137=0,0,INDEX(INDEX(LH_Data,0,LH_ColClose),BD137-1)*UnitFactor)))</f>
        <v/>
      </c>
      <c r="X137" s="20" t="str">
        <f aca="false">IF(AG137=0,"",(AZ137-BA137)*HoursPerDay)</f>
        <v/>
      </c>
      <c r="Y137" s="20" t="str">
        <f aca="false">IF(AG137=0,"",IF(NOT(LH_Ready),"",IF(BC137=0,N137,IF(PFYDate&lt;$F137,N137-N(T137)-N(U137),X137-N(U137)))))</f>
        <v/>
      </c>
      <c r="Z137" s="19" t="str">
        <f aca="false">IF(OR(AG137=0,Y137=""),"",IF(Y137&gt;0,"Yes","No"))</f>
        <v/>
      </c>
      <c r="AA137" s="19"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20" t="str">
        <f aca="false">IF(OR(AG137=0,T137=""),"",BA137*HoursPerDay-T137)</f>
        <v/>
      </c>
      <c r="AC137" s="19" t="str">
        <f aca="false">IF(AG137=0,"",BC137)</f>
        <v/>
      </c>
      <c r="AD137" s="19"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20" t="str">
        <f aca="false">IF(AG137=0,"",O137-BH137)</f>
        <v/>
      </c>
      <c r="AF137" s="17" t="str">
        <f aca="false">IF(OR(AG137=0,AE137="",N(AE137)=0,BI137=""),"",EDATE(AH137,BI137))</f>
        <v/>
      </c>
      <c r="AG137" s="19" t="n">
        <f aca="false">IF(OR(LEN($A137&amp;$B137)=0,$F137=""),0,1)</f>
        <v>0</v>
      </c>
      <c r="AH137" s="17" t="str">
        <f aca="false">IF(AG137=0,"",IF($J137&lt;&gt;"",$J137,IF(OR(CasualCounts="Yes",COUNT($G137:$I137)=0,COUNT($H137:$I137)=0),$F137,MIN($H137:$I137))))</f>
        <v/>
      </c>
      <c r="AI137" s="19" t="str">
        <f aca="false">IF(AG137=0,"",COUNT($G137:$I137))</f>
        <v/>
      </c>
      <c r="AJ137" s="17" t="str">
        <f aca="false">IF(AG137=0,"",IFERROR(SMALL($G137:$I137,1),""))</f>
        <v/>
      </c>
      <c r="AK137" s="17" t="str">
        <f aca="false">IF(AG137=0,"",IFERROR(SMALL($G137:$I137,2),""))</f>
        <v/>
      </c>
      <c r="AL137" s="17" t="str">
        <f aca="false">IF(AG137=0,"",IFERROR(SMALL($G137:$I137,3),""))</f>
        <v/>
      </c>
      <c r="AM137" s="19" t="str">
        <f aca="false">IF(AG137=0,"",IF(AJ137="","",IF(AJ137=$H137,"Part-Time",IF(AJ137=$I137,"Full-Time","Casual"))))</f>
        <v/>
      </c>
      <c r="AN137" s="19" t="str">
        <f aca="false">IF(AG137=0,"",IF(AK137="","",IF(AK137=$H137,"Part-Time",IF(AK137=$I137,"Full-Time","Casual"))))</f>
        <v/>
      </c>
      <c r="AO137" s="19" t="str">
        <f aca="false">IF(AG137=0,"",IF(AL137="","",IF(AL137=$H137,"Part-Time",IF(AL137=$I137,"Full-Time","Casual"))))</f>
        <v/>
      </c>
      <c r="AP137" s="19"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19" t="str">
        <f aca="false">IF(AG137=0,"",IF(AI137&lt;2,"",IF(OR(ISNUMBER(SEARCH("full",AN137)),UPPER(TRIM(AN137))="FT",UPPER(TRIM(AN137))="FTE"),"FT",IF(AND(OR(ISNUMBER(SEARCH("part",AN137)),UPPER(TRIM(AN137))="PT",UPPER(TRIM(AN137))="PTE"),OR($P137="",N($P137)&gt;=PT_MinHours)),"PT","None"))))</f>
        <v/>
      </c>
      <c r="AR137" s="19" t="str">
        <f aca="false">IF(AG137=0,"",IF(AI137&lt;3,"",IF(OR(ISNUMBER(SEARCH("full",AO137)),UPPER(TRIM(AO137))="FT",UPPER(TRIM(AO137))="FTE"),"FT",IF(AND(OR(ISNUMBER(SEARCH("part",AO137)),UPPER(TRIM(AO137))="PT",UPPER(TRIM(AO137))="PTE"),OR($P137="",N($P137)&gt;=PT_MinHours)),"PT","None"))))</f>
        <v/>
      </c>
      <c r="AS137" s="19" t="str">
        <f aca="false">IF(AG137=0,"",IF(AND(AI137&gt;=3,AL137&lt;=AsOfDate),AR137,IF(AND(AI137&gt;=2,AK137&lt;=AsOfDate),AQ137,AP137)))</f>
        <v/>
      </c>
      <c r="AT137" s="19" t="str">
        <f aca="false">IF(AG137=0,"",IF(AsOfDate&lt;AH137,-1,12*(YEAR(AsOfDate)-YEAR(AH137))+MONTH(AsOfDate)-MONTH(AH137)-IF(DAY(AsOfDate)&lt;MIN(DAY(AH137),DAY(EOMONTH(AsOfDate,0))),1,0)))</f>
        <v/>
      </c>
      <c r="AU137" s="19" t="str">
        <f aca="false">IF(AG137=0,"",IF(OR(AI137&lt;2,AK137&gt;AsOfDate),AT137,IF((AK137-1)&lt;AH137,-1,12*(YEAR((AK137-1))-YEAR(AH137))+MONTH((AK137-1))-MONTH(AH137)-IF(DAY((AK137-1))&lt;MIN(DAY(AH137),DAY(EOMONTH((AK137-1),0))),1,0))))</f>
        <v/>
      </c>
      <c r="AV137" s="19" t="str">
        <f aca="false">IF(AG137=0,"",IF(OR(AI137&lt;3,AL137&gt;AsOfDate),AT137,IF((AL137-1)&lt;AH137,-1,12*(YEAR((AL137-1))-YEAR(AH137))+MONTH((AL137-1))-MONTH(AH137)-IF(DAY((AL137-1))&lt;MIN(DAY(AH137),DAY(EOMONTH((AL137-1),0))),1,0))))</f>
        <v/>
      </c>
      <c r="AW137" s="19" t="str">
        <f aca="false">IF(AG137=0,"",IF(PFYDate&lt;AH137,-1,12*(YEAR(PFYDate)-YEAR(AH137))+MONTH(PFYDate)-MONTH(AH137)-IF(DAY(PFYDate)&lt;MIN(DAY(AH137),DAY(EOMONTH(PFYDate,0))),1,0)))</f>
        <v/>
      </c>
      <c r="AX137" s="19" t="str">
        <f aca="false">IF(AG137=0,"",IF(OR(AI137&lt;2,AK137&gt;PFYDate),AW137,IF((AK137-1)&lt;AH137,-1,12*(YEAR((AK137-1))-YEAR(AH137))+MONTH((AK137-1))-MONTH(AH137)-IF(DAY((AK137-1))&lt;MIN(DAY(AH137),DAY(EOMONTH((AK137-1),0))),1,0))))</f>
        <v/>
      </c>
      <c r="AY137" s="19" t="str">
        <f aca="false">IF(AG137=0,"",IF(OR(AI137&lt;3,AL137&gt;PFYDate),AW137,IF((AL137-1)&lt;AH137,-1,12*(YEAR((AL137-1))-YEAR(AH137))+MONTH((AL137-1))-MONTH(AH137)-IF(DAY((AL137-1))&lt;MIN(DAY(AH137),DAY(EOMONTH((AL137-1),0))),1,0))))</f>
        <v/>
      </c>
      <c r="AZ137" s="19" t="str">
        <f aca="false">IF(AG137=0,"",IF(AP137="FT",IF(AU137&lt;FT_First,0,IF(AU137&lt;FT_Y5,1+INT((AU137-FT_First)/FT_Int1),FT_PreY5+FT_PerYear*INT((AU137-FT_Y5)/12)+FT_AnnivDays+INT(MOD(AU137-FT_Y5,12)/FT_Int2))),IF(AP137="PT",IF(AU137&lt;PT_First,0,1+INT((AU137-PT_First)/PT_Int)),0))+IF(AND(AI137&gt;=2,AK137&lt;=AsOfDate),IF(AQ137="FT",IF(AV137&lt;FT_First,0,IF(AV137&lt;FT_Y5,1+INT((AV137-FT_First)/FT_Int1),FT_PreY5+FT_PerYear*INT((AV137-FT_Y5)/12)+FT_AnnivDays+INT(MOD(AV137-FT_Y5,12)/FT_Int2))),IF(AQ137="PT",IF(AV137&lt;PT_First,0,1+INT((AV137-PT_First)/PT_Int)),0))-IF(AQ137="FT",IF(AU137&lt;FT_First,0,IF(AU137&lt;FT_Y5,1+INT((AU137-FT_First)/FT_Int1),FT_PreY5+FT_PerYear*INT((AU137-FT_Y5)/12)+FT_AnnivDays+INT(MOD(AU137-FT_Y5,12)/FT_Int2))),IF(AQ137="PT",IF(AU137&lt;PT_First,0,1+INT((AU137-PT_First)/PT_Int)),0)),0)+IF(AND(AI137&gt;=3,AL137&lt;=AsOfDate),IF(AR137="FT",IF(AT137&lt;FT_First,0,IF(AT137&lt;FT_Y5,1+INT((AT137-FT_First)/FT_Int1),FT_PreY5+FT_PerYear*INT((AT137-FT_Y5)/12)+FT_AnnivDays+INT(MOD(AT137-FT_Y5,12)/FT_Int2))),IF(AR137="PT",IF(AT137&lt;PT_First,0,1+INT((AT137-PT_First)/PT_Int)),0))-IF(AR137="FT",IF(AV137&lt;FT_First,0,IF(AV137&lt;FT_Y5,1+INT((AV137-FT_First)/FT_Int1),FT_PreY5+FT_PerYear*INT((AV137-FT_Y5)/12)+FT_AnnivDays+INT(MOD(AV137-FT_Y5,12)/FT_Int2))),IF(AR137="PT",IF(AV137&lt;PT_First,0,1+INT((AV137-PT_First)/PT_Int)),0)),0))</f>
        <v/>
      </c>
      <c r="BA137" s="19" t="str">
        <f aca="false">IF(AG137=0,"",IF(AP137="FT",IF(AX137&lt;FT_First,0,IF(AX137&lt;FT_Y5,1+INT((AX137-FT_First)/FT_Int1),FT_PreY5+FT_PerYear*INT((AX137-FT_Y5)/12)+FT_AnnivDays+INT(MOD(AX137-FT_Y5,12)/FT_Int2))),IF(AP137="PT",IF(AX137&lt;PT_First,0,1+INT((AX137-PT_First)/PT_Int)),0))+IF(AND(AI137&gt;=2,AK137&lt;=PFYDate),IF(AQ137="FT",IF(AY137&lt;FT_First,0,IF(AY137&lt;FT_Y5,1+INT((AY137-FT_First)/FT_Int1),FT_PreY5+FT_PerYear*INT((AY137-FT_Y5)/12)+FT_AnnivDays+INT(MOD(AY137-FT_Y5,12)/FT_Int2))),IF(AQ137="PT",IF(AY137&lt;PT_First,0,1+INT((AY137-PT_First)/PT_Int)),0))-IF(AQ137="FT",IF(AX137&lt;FT_First,0,IF(AX137&lt;FT_Y5,1+INT((AX137-FT_First)/FT_Int1),FT_PreY5+FT_PerYear*INT((AX137-FT_Y5)/12)+FT_AnnivDays+INT(MOD(AX137-FT_Y5,12)/FT_Int2))),IF(AQ137="PT",IF(AX137&lt;PT_First,0,1+INT((AX137-PT_First)/PT_Int)),0)),0)+IF(AND(AI137&gt;=3,AL137&lt;=PFYDate),IF(AR137="FT",IF(AW137&lt;FT_First,0,IF(AW137&lt;FT_Y5,1+INT((AW137-FT_First)/FT_Int1),FT_PreY5+FT_PerYear*INT((AW137-FT_Y5)/12)+FT_AnnivDays+INT(MOD(AW137-FT_Y5,12)/FT_Int2))),IF(AR137="PT",IF(AW137&lt;PT_First,0,1+INT((AW137-PT_First)/PT_Int)),0))-IF(AR137="FT",IF(AY137&lt;FT_First,0,IF(AY137&lt;FT_Y5,1+INT((AY137-FT_First)/FT_Int1),FT_PreY5+FT_PerYear*INT((AY137-FT_Y5)/12)+FT_AnnivDays+INT(MOD(AY137-FT_Y5,12)/FT_Int2))),IF(AR137="PT",IF(AY137&lt;PT_First,0,1+INT((AY137-PT_First)/PT_Int)),0)),0))</f>
        <v/>
      </c>
      <c r="BB137" s="19" t="str">
        <f aca="false">IF(AG137=0,"",IF(AS137="FT",IF(AT137&lt;FT_First,FT_First,IF(AT137&lt;FT_Y5,MIN(FT_Y5,FT_First+FT_Int1*(INT((AT137-FT_First)/FT_Int1)+1)),FT_Y5+12*INT((AT137-FT_Y5)/12)+FT_Int2*(INT(MOD(AT137-FT_Y5,12)/FT_Int2)+1))),IF(AS137="PT",IF(AT137&lt;PT_First,PT_First,PT_First+PT_Int*(INT((AT137-PT_First)/PT_Int)+1)),"")))</f>
        <v/>
      </c>
      <c r="BC137" s="19" t="str">
        <f aca="false">IF(AG137=0,"",IF(NOT(LH_Ready),0,COUNTIFS(INDEX(LH_Data,0,LH_ColFirst),$A137,INDEX(LH_Data,0,LH_ColSur),$B137,INDEX(LH_Data,0,LH_ColCat),BonusCat)))</f>
        <v/>
      </c>
      <c r="BD137" s="19" t="str">
        <f aca="false">IF(AG137=0,"",IF(OR(NOT(LH_Ready),BC137=0),0,SUMPRODUCT(MAX((INDEX(LH_Data,0,LH_ColFirst)=$A137)*(INDEX(LH_Data,0,LH_ColSur)=$B137)*(INDEX(LH_Data,0,LH_ColCat)=BonusCat)*ROW(LH_Data)))))</f>
        <v/>
      </c>
      <c r="BE137" s="19" t="str">
        <f aca="false">IF(AG137=0,"",IF(EOMONTH(AsOfDate,-1)&lt;AH137,-1,12*(YEAR(EOMONTH(AsOfDate,-1))-YEAR(AH137))+MONTH(EOMONTH(AsOfDate,-1))-MONTH(AH137)-IF(DAY(EOMONTH(AsOfDate,-1))&lt;MIN(DAY(AH137),DAY(EOMONTH(EOMONTH(AsOfDate,-1),0))),1,0)))</f>
        <v/>
      </c>
      <c r="BF137" s="19" t="str">
        <f aca="false">IF(AG137=0,"",IF(OR(AI137&lt;2,AK137&gt;EOMONTH(AsOfDate,-1)),BE137,IF((AK137-1)&lt;AH137,-1,12*(YEAR((AK137-1))-YEAR(AH137))+MONTH((AK137-1))-MONTH(AH137)-IF(DAY((AK137-1))&lt;MIN(DAY(AH137),DAY(EOMONTH((AK137-1),0))),1,0))))</f>
        <v/>
      </c>
      <c r="BG137" s="19" t="str">
        <f aca="false">IF(AG137=0,"",IF(OR(AI137&lt;3,AL137&gt;EOMONTH(AsOfDate,-1)),BE137,IF((AL137-1)&lt;AH137,-1,12*(YEAR((AL137-1))-YEAR(AH137))+MONTH((AL137-1))-MONTH(AH137)-IF(DAY((AL137-1))&lt;MIN(DAY(AH137),DAY(EOMONTH((AL137-1),0))),1,0))))</f>
        <v/>
      </c>
      <c r="BH137" s="19" t="str">
        <f aca="false">IF(AG137=0,"",IF(AP137="FT",IF(BF137&lt;FT_First,0,IF(BF137&lt;FT_Y5,1+INT((BF137-FT_First)/FT_Int1),FT_PreY5+FT_PerYear*INT((BF137-FT_Y5)/12)+FT_AnnivDays+INT(MOD(BF137-FT_Y5,12)/FT_Int2))),IF(AP137="PT",IF(BF137&lt;PT_First,0,1+INT((BF137-PT_First)/PT_Int)),0))+IF(AND(AI137&gt;=2,AK137&lt;=EOMONTH(AsOfDate,-1)),IF(AQ137="FT",IF(BG137&lt;FT_First,0,IF(BG137&lt;FT_Y5,1+INT((BG137-FT_First)/FT_Int1),FT_PreY5+FT_PerYear*INT((BG137-FT_Y5)/12)+FT_AnnivDays+INT(MOD(BG137-FT_Y5,12)/FT_Int2))),IF(AQ137="PT",IF(BG137&lt;PT_First,0,1+INT((BG137-PT_First)/PT_Int)),0))-IF(AQ137="FT",IF(BF137&lt;FT_First,0,IF(BF137&lt;FT_Y5,1+INT((BF137-FT_First)/FT_Int1),FT_PreY5+FT_PerYear*INT((BF137-FT_Y5)/12)+FT_AnnivDays+INT(MOD(BF137-FT_Y5,12)/FT_Int2))),IF(AQ137="PT",IF(BF137&lt;PT_First,0,1+INT((BF137-PT_First)/PT_Int)),0)),0)+IF(AND(AI137&gt;=3,AL137&lt;=EOMONTH(AsOfDate,-1)),IF(AR137="FT",IF(BE137&lt;FT_First,0,IF(BE137&lt;FT_Y5,1+INT((BE137-FT_First)/FT_Int1),FT_PreY5+FT_PerYear*INT((BE137-FT_Y5)/12)+FT_AnnivDays+INT(MOD(BE137-FT_Y5,12)/FT_Int2))),IF(AR137="PT",IF(BE137&lt;PT_First,0,1+INT((BE137-PT_First)/PT_Int)),0))-IF(AR137="FT",IF(BG137&lt;FT_First,0,IF(BG137&lt;FT_Y5,1+INT((BG137-FT_First)/FT_Int1),FT_PreY5+FT_PerYear*INT((BG137-FT_Y5)/12)+FT_AnnivDays+INT(MOD(BG137-FT_Y5,12)/FT_Int2))),IF(AR137="PT",IF(BG137&lt;PT_First,0,1+INT((BG137-PT_First)/PT_Int)),0)),0))</f>
        <v/>
      </c>
      <c r="BI137" s="19" t="str">
        <f aca="false">IF(AG137=0,"",IF(AS137="FT",IF(AT137&lt;FT_First,"",IF(AT137&lt;FT_Y5,FT_First+FT_Int1*INT((AT137-FT_First)/FT_Int1),FT_Y5+FT_Int2*INT((AT137-FT_Y5)/FT_Int2))),IF(AS137="PT",IF(AT137&lt;PT_First,"",PT_First+PT_Int*INT((AT137-PT_First)/PT_Int)),"")))</f>
        <v/>
      </c>
      <c r="BJ137" s="0" t="str">
        <f aca="false">IF(LEN($A137&amp;$B137)=0,"",$A137&amp;" "&amp;$B137)</f>
        <v/>
      </c>
    </row>
    <row r="138" customFormat="false" ht="15" hidden="false" customHeight="false" outlineLevel="0" collapsed="false">
      <c r="A138" s="15"/>
      <c r="B138" s="15"/>
      <c r="C138" s="15"/>
      <c r="D138" s="16"/>
      <c r="E138" s="17" t="str">
        <f aca="false">IF(OR(AG138=0,$D138=""),"",DATE(YEAR(AsOfDate)+IF(DATE(YEAR(AsOfDate),MONTH($D138),DAY($D138))&lt;=AsOfDate,1,0),MONTH($D138),DAY($D138)))</f>
        <v/>
      </c>
      <c r="F138" s="16"/>
      <c r="G138" s="16"/>
      <c r="H138" s="16"/>
      <c r="I138" s="16"/>
      <c r="J138" s="16"/>
      <c r="K138" s="17" t="str">
        <f aca="false">IF(AG138=0,"",DATE(YEAR(AsOfDate)+IF(DATE(YEAR(AsOfDate),MONTH(AH138),DAY(AH138))&lt;=AsOfDate,1,0),MONTH(AH138),DAY(AH138)))</f>
        <v/>
      </c>
      <c r="L138" s="18" t="str">
        <f aca="false">IF(AG138=0,"",ROUND((AsOfDate-AH138)/365.25,1))</f>
        <v/>
      </c>
      <c r="M138" s="19" t="str">
        <f aca="false">IF(AG138=0,"",IF(AsOfDate&lt;AH138,"-",DATEDIF(AH138,AsOfDate,"y")&amp;"y "&amp;DATEDIF(AH138,AsOfDate,"ym")&amp;"m "&amp;DATEDIF(AH138,AsOfDate,"md")&amp;"d"))</f>
        <v/>
      </c>
      <c r="N138" s="20" t="str">
        <f aca="false">IF(AG138=0,"",O138*HoursPerDay)</f>
        <v/>
      </c>
      <c r="O138" s="20" t="str">
        <f aca="false">IF(AG138=0,"",AZ138)</f>
        <v/>
      </c>
      <c r="P138" s="21"/>
      <c r="Q138" s="19"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19"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7" t="str">
        <f aca="false">IF(AG138=0,"",IF(AS138="None","",EDATE(AH138,BB138)))</f>
        <v/>
      </c>
      <c r="T138" s="20" t="str">
        <f aca="false">IF(AG138=0,"",IF(NOT(LH_Ready),"",IF(AH138&gt;PFYDate,0,IF(LH_ColPeriod=0,W138-U138+V138,SUMIFS(INDEX(LH_Data,0,LH_ColAcc),INDEX(LH_Data,0,LH_ColFirst),$A138,INDEX(LH_Data,0,LH_ColSur),$B138,INDEX(LH_Data,0,LH_ColCat),BonusCat,INDEX(LH_Data,0,LH_ColPeriod),LH_OpenLabel)*UnitFactor))))</f>
        <v/>
      </c>
      <c r="U138" s="20" t="str">
        <f aca="false">IF(AG138=0,"",IF(NOT(LH_Ready),"",SUMIFS(INDEX(LH_Data,0,LH_ColAcc),INDEX(LH_Data,0,LH_ColFirst),$A138,INDEX(LH_Data,0,LH_ColSur),$B138,INDEX(LH_Data,0,LH_ColCat),BonusCat,INDEX(LH_Data,0,LH_ColStart),"&gt;="&amp;AH138)*UnitFactor))</f>
        <v/>
      </c>
      <c r="V138" s="20" t="str">
        <f aca="false">IF(AG138=0,"",IF(NOT(LH_Ready),"",SUMIFS(INDEX(LH_Data,0,LH_ColTaken),INDEX(LH_Data,0,LH_ColFirst),$A138,INDEX(LH_Data,0,LH_ColSur),$B138,INDEX(LH_Data,0,LH_ColCat),BonusCat,INDEX(LH_Data,0,LH_ColStart),"&gt;="&amp;AH138)*UnitFactor))</f>
        <v/>
      </c>
      <c r="W138" s="20" t="str">
        <f aca="false">IF(AG138=0,"",IF(NOT(LH_Ready),"",IF(BD138=0,0,INDEX(INDEX(LH_Data,0,LH_ColClose),BD138-1)*UnitFactor)))</f>
        <v/>
      </c>
      <c r="X138" s="20" t="str">
        <f aca="false">IF(AG138=0,"",(AZ138-BA138)*HoursPerDay)</f>
        <v/>
      </c>
      <c r="Y138" s="20" t="str">
        <f aca="false">IF(AG138=0,"",IF(NOT(LH_Ready),"",IF(BC138=0,N138,IF(PFYDate&lt;$F138,N138-N(T138)-N(U138),X138-N(U138)))))</f>
        <v/>
      </c>
      <c r="Z138" s="19" t="str">
        <f aca="false">IF(OR(AG138=0,Y138=""),"",IF(Y138&gt;0,"Yes","No"))</f>
        <v/>
      </c>
      <c r="AA138" s="19"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20" t="str">
        <f aca="false">IF(OR(AG138=0,T138=""),"",BA138*HoursPerDay-T138)</f>
        <v/>
      </c>
      <c r="AC138" s="19" t="str">
        <f aca="false">IF(AG138=0,"",BC138)</f>
        <v/>
      </c>
      <c r="AD138" s="19"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20" t="str">
        <f aca="false">IF(AG138=0,"",O138-BH138)</f>
        <v/>
      </c>
      <c r="AF138" s="17" t="str">
        <f aca="false">IF(OR(AG138=0,AE138="",N(AE138)=0,BI138=""),"",EDATE(AH138,BI138))</f>
        <v/>
      </c>
      <c r="AG138" s="19" t="n">
        <f aca="false">IF(OR(LEN($A138&amp;$B138)=0,$F138=""),0,1)</f>
        <v>0</v>
      </c>
      <c r="AH138" s="17" t="str">
        <f aca="false">IF(AG138=0,"",IF($J138&lt;&gt;"",$J138,IF(OR(CasualCounts="Yes",COUNT($G138:$I138)=0,COUNT($H138:$I138)=0),$F138,MIN($H138:$I138))))</f>
        <v/>
      </c>
      <c r="AI138" s="19" t="str">
        <f aca="false">IF(AG138=0,"",COUNT($G138:$I138))</f>
        <v/>
      </c>
      <c r="AJ138" s="17" t="str">
        <f aca="false">IF(AG138=0,"",IFERROR(SMALL($G138:$I138,1),""))</f>
        <v/>
      </c>
      <c r="AK138" s="17" t="str">
        <f aca="false">IF(AG138=0,"",IFERROR(SMALL($G138:$I138,2),""))</f>
        <v/>
      </c>
      <c r="AL138" s="17" t="str">
        <f aca="false">IF(AG138=0,"",IFERROR(SMALL($G138:$I138,3),""))</f>
        <v/>
      </c>
      <c r="AM138" s="19" t="str">
        <f aca="false">IF(AG138=0,"",IF(AJ138="","",IF(AJ138=$H138,"Part-Time",IF(AJ138=$I138,"Full-Time","Casual"))))</f>
        <v/>
      </c>
      <c r="AN138" s="19" t="str">
        <f aca="false">IF(AG138=0,"",IF(AK138="","",IF(AK138=$H138,"Part-Time",IF(AK138=$I138,"Full-Time","Casual"))))</f>
        <v/>
      </c>
      <c r="AO138" s="19" t="str">
        <f aca="false">IF(AG138=0,"",IF(AL138="","",IF(AL138=$H138,"Part-Time",IF(AL138=$I138,"Full-Time","Casual"))))</f>
        <v/>
      </c>
      <c r="AP138" s="19"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19" t="str">
        <f aca="false">IF(AG138=0,"",IF(AI138&lt;2,"",IF(OR(ISNUMBER(SEARCH("full",AN138)),UPPER(TRIM(AN138))="FT",UPPER(TRIM(AN138))="FTE"),"FT",IF(AND(OR(ISNUMBER(SEARCH("part",AN138)),UPPER(TRIM(AN138))="PT",UPPER(TRIM(AN138))="PTE"),OR($P138="",N($P138)&gt;=PT_MinHours)),"PT","None"))))</f>
        <v/>
      </c>
      <c r="AR138" s="19" t="str">
        <f aca="false">IF(AG138=0,"",IF(AI138&lt;3,"",IF(OR(ISNUMBER(SEARCH("full",AO138)),UPPER(TRIM(AO138))="FT",UPPER(TRIM(AO138))="FTE"),"FT",IF(AND(OR(ISNUMBER(SEARCH("part",AO138)),UPPER(TRIM(AO138))="PT",UPPER(TRIM(AO138))="PTE"),OR($P138="",N($P138)&gt;=PT_MinHours)),"PT","None"))))</f>
        <v/>
      </c>
      <c r="AS138" s="19" t="str">
        <f aca="false">IF(AG138=0,"",IF(AND(AI138&gt;=3,AL138&lt;=AsOfDate),AR138,IF(AND(AI138&gt;=2,AK138&lt;=AsOfDate),AQ138,AP138)))</f>
        <v/>
      </c>
      <c r="AT138" s="19" t="str">
        <f aca="false">IF(AG138=0,"",IF(AsOfDate&lt;AH138,-1,12*(YEAR(AsOfDate)-YEAR(AH138))+MONTH(AsOfDate)-MONTH(AH138)-IF(DAY(AsOfDate)&lt;MIN(DAY(AH138),DAY(EOMONTH(AsOfDate,0))),1,0)))</f>
        <v/>
      </c>
      <c r="AU138" s="19" t="str">
        <f aca="false">IF(AG138=0,"",IF(OR(AI138&lt;2,AK138&gt;AsOfDate),AT138,IF((AK138-1)&lt;AH138,-1,12*(YEAR((AK138-1))-YEAR(AH138))+MONTH((AK138-1))-MONTH(AH138)-IF(DAY((AK138-1))&lt;MIN(DAY(AH138),DAY(EOMONTH((AK138-1),0))),1,0))))</f>
        <v/>
      </c>
      <c r="AV138" s="19" t="str">
        <f aca="false">IF(AG138=0,"",IF(OR(AI138&lt;3,AL138&gt;AsOfDate),AT138,IF((AL138-1)&lt;AH138,-1,12*(YEAR((AL138-1))-YEAR(AH138))+MONTH((AL138-1))-MONTH(AH138)-IF(DAY((AL138-1))&lt;MIN(DAY(AH138),DAY(EOMONTH((AL138-1),0))),1,0))))</f>
        <v/>
      </c>
      <c r="AW138" s="19" t="str">
        <f aca="false">IF(AG138=0,"",IF(PFYDate&lt;AH138,-1,12*(YEAR(PFYDate)-YEAR(AH138))+MONTH(PFYDate)-MONTH(AH138)-IF(DAY(PFYDate)&lt;MIN(DAY(AH138),DAY(EOMONTH(PFYDate,0))),1,0)))</f>
        <v/>
      </c>
      <c r="AX138" s="19" t="str">
        <f aca="false">IF(AG138=0,"",IF(OR(AI138&lt;2,AK138&gt;PFYDate),AW138,IF((AK138-1)&lt;AH138,-1,12*(YEAR((AK138-1))-YEAR(AH138))+MONTH((AK138-1))-MONTH(AH138)-IF(DAY((AK138-1))&lt;MIN(DAY(AH138),DAY(EOMONTH((AK138-1),0))),1,0))))</f>
        <v/>
      </c>
      <c r="AY138" s="19" t="str">
        <f aca="false">IF(AG138=0,"",IF(OR(AI138&lt;3,AL138&gt;PFYDate),AW138,IF((AL138-1)&lt;AH138,-1,12*(YEAR((AL138-1))-YEAR(AH138))+MONTH((AL138-1))-MONTH(AH138)-IF(DAY((AL138-1))&lt;MIN(DAY(AH138),DAY(EOMONTH((AL138-1),0))),1,0))))</f>
        <v/>
      </c>
      <c r="AZ138" s="19" t="str">
        <f aca="false">IF(AG138=0,"",IF(AP138="FT",IF(AU138&lt;FT_First,0,IF(AU138&lt;FT_Y5,1+INT((AU138-FT_First)/FT_Int1),FT_PreY5+FT_PerYear*INT((AU138-FT_Y5)/12)+FT_AnnivDays+INT(MOD(AU138-FT_Y5,12)/FT_Int2))),IF(AP138="PT",IF(AU138&lt;PT_First,0,1+INT((AU138-PT_First)/PT_Int)),0))+IF(AND(AI138&gt;=2,AK138&lt;=AsOfDate),IF(AQ138="FT",IF(AV138&lt;FT_First,0,IF(AV138&lt;FT_Y5,1+INT((AV138-FT_First)/FT_Int1),FT_PreY5+FT_PerYear*INT((AV138-FT_Y5)/12)+FT_AnnivDays+INT(MOD(AV138-FT_Y5,12)/FT_Int2))),IF(AQ138="PT",IF(AV138&lt;PT_First,0,1+INT((AV138-PT_First)/PT_Int)),0))-IF(AQ138="FT",IF(AU138&lt;FT_First,0,IF(AU138&lt;FT_Y5,1+INT((AU138-FT_First)/FT_Int1),FT_PreY5+FT_PerYear*INT((AU138-FT_Y5)/12)+FT_AnnivDays+INT(MOD(AU138-FT_Y5,12)/FT_Int2))),IF(AQ138="PT",IF(AU138&lt;PT_First,0,1+INT((AU138-PT_First)/PT_Int)),0)),0)+IF(AND(AI138&gt;=3,AL138&lt;=AsOfDate),IF(AR138="FT",IF(AT138&lt;FT_First,0,IF(AT138&lt;FT_Y5,1+INT((AT138-FT_First)/FT_Int1),FT_PreY5+FT_PerYear*INT((AT138-FT_Y5)/12)+FT_AnnivDays+INT(MOD(AT138-FT_Y5,12)/FT_Int2))),IF(AR138="PT",IF(AT138&lt;PT_First,0,1+INT((AT138-PT_First)/PT_Int)),0))-IF(AR138="FT",IF(AV138&lt;FT_First,0,IF(AV138&lt;FT_Y5,1+INT((AV138-FT_First)/FT_Int1),FT_PreY5+FT_PerYear*INT((AV138-FT_Y5)/12)+FT_AnnivDays+INT(MOD(AV138-FT_Y5,12)/FT_Int2))),IF(AR138="PT",IF(AV138&lt;PT_First,0,1+INT((AV138-PT_First)/PT_Int)),0)),0))</f>
        <v/>
      </c>
      <c r="BA138" s="19" t="str">
        <f aca="false">IF(AG138=0,"",IF(AP138="FT",IF(AX138&lt;FT_First,0,IF(AX138&lt;FT_Y5,1+INT((AX138-FT_First)/FT_Int1),FT_PreY5+FT_PerYear*INT((AX138-FT_Y5)/12)+FT_AnnivDays+INT(MOD(AX138-FT_Y5,12)/FT_Int2))),IF(AP138="PT",IF(AX138&lt;PT_First,0,1+INT((AX138-PT_First)/PT_Int)),0))+IF(AND(AI138&gt;=2,AK138&lt;=PFYDate),IF(AQ138="FT",IF(AY138&lt;FT_First,0,IF(AY138&lt;FT_Y5,1+INT((AY138-FT_First)/FT_Int1),FT_PreY5+FT_PerYear*INT((AY138-FT_Y5)/12)+FT_AnnivDays+INT(MOD(AY138-FT_Y5,12)/FT_Int2))),IF(AQ138="PT",IF(AY138&lt;PT_First,0,1+INT((AY138-PT_First)/PT_Int)),0))-IF(AQ138="FT",IF(AX138&lt;FT_First,0,IF(AX138&lt;FT_Y5,1+INT((AX138-FT_First)/FT_Int1),FT_PreY5+FT_PerYear*INT((AX138-FT_Y5)/12)+FT_AnnivDays+INT(MOD(AX138-FT_Y5,12)/FT_Int2))),IF(AQ138="PT",IF(AX138&lt;PT_First,0,1+INT((AX138-PT_First)/PT_Int)),0)),0)+IF(AND(AI138&gt;=3,AL138&lt;=PFYDate),IF(AR138="FT",IF(AW138&lt;FT_First,0,IF(AW138&lt;FT_Y5,1+INT((AW138-FT_First)/FT_Int1),FT_PreY5+FT_PerYear*INT((AW138-FT_Y5)/12)+FT_AnnivDays+INT(MOD(AW138-FT_Y5,12)/FT_Int2))),IF(AR138="PT",IF(AW138&lt;PT_First,0,1+INT((AW138-PT_First)/PT_Int)),0))-IF(AR138="FT",IF(AY138&lt;FT_First,0,IF(AY138&lt;FT_Y5,1+INT((AY138-FT_First)/FT_Int1),FT_PreY5+FT_PerYear*INT((AY138-FT_Y5)/12)+FT_AnnivDays+INT(MOD(AY138-FT_Y5,12)/FT_Int2))),IF(AR138="PT",IF(AY138&lt;PT_First,0,1+INT((AY138-PT_First)/PT_Int)),0)),0))</f>
        <v/>
      </c>
      <c r="BB138" s="19" t="str">
        <f aca="false">IF(AG138=0,"",IF(AS138="FT",IF(AT138&lt;FT_First,FT_First,IF(AT138&lt;FT_Y5,MIN(FT_Y5,FT_First+FT_Int1*(INT((AT138-FT_First)/FT_Int1)+1)),FT_Y5+12*INT((AT138-FT_Y5)/12)+FT_Int2*(INT(MOD(AT138-FT_Y5,12)/FT_Int2)+1))),IF(AS138="PT",IF(AT138&lt;PT_First,PT_First,PT_First+PT_Int*(INT((AT138-PT_First)/PT_Int)+1)),"")))</f>
        <v/>
      </c>
      <c r="BC138" s="19" t="str">
        <f aca="false">IF(AG138=0,"",IF(NOT(LH_Ready),0,COUNTIFS(INDEX(LH_Data,0,LH_ColFirst),$A138,INDEX(LH_Data,0,LH_ColSur),$B138,INDEX(LH_Data,0,LH_ColCat),BonusCat)))</f>
        <v/>
      </c>
      <c r="BD138" s="19" t="str">
        <f aca="false">IF(AG138=0,"",IF(OR(NOT(LH_Ready),BC138=0),0,SUMPRODUCT(MAX((INDEX(LH_Data,0,LH_ColFirst)=$A138)*(INDEX(LH_Data,0,LH_ColSur)=$B138)*(INDEX(LH_Data,0,LH_ColCat)=BonusCat)*ROW(LH_Data)))))</f>
        <v/>
      </c>
      <c r="BE138" s="19" t="str">
        <f aca="false">IF(AG138=0,"",IF(EOMONTH(AsOfDate,-1)&lt;AH138,-1,12*(YEAR(EOMONTH(AsOfDate,-1))-YEAR(AH138))+MONTH(EOMONTH(AsOfDate,-1))-MONTH(AH138)-IF(DAY(EOMONTH(AsOfDate,-1))&lt;MIN(DAY(AH138),DAY(EOMONTH(EOMONTH(AsOfDate,-1),0))),1,0)))</f>
        <v/>
      </c>
      <c r="BF138" s="19" t="str">
        <f aca="false">IF(AG138=0,"",IF(OR(AI138&lt;2,AK138&gt;EOMONTH(AsOfDate,-1)),BE138,IF((AK138-1)&lt;AH138,-1,12*(YEAR((AK138-1))-YEAR(AH138))+MONTH((AK138-1))-MONTH(AH138)-IF(DAY((AK138-1))&lt;MIN(DAY(AH138),DAY(EOMONTH((AK138-1),0))),1,0))))</f>
        <v/>
      </c>
      <c r="BG138" s="19" t="str">
        <f aca="false">IF(AG138=0,"",IF(OR(AI138&lt;3,AL138&gt;EOMONTH(AsOfDate,-1)),BE138,IF((AL138-1)&lt;AH138,-1,12*(YEAR((AL138-1))-YEAR(AH138))+MONTH((AL138-1))-MONTH(AH138)-IF(DAY((AL138-1))&lt;MIN(DAY(AH138),DAY(EOMONTH((AL138-1),0))),1,0))))</f>
        <v/>
      </c>
      <c r="BH138" s="19" t="str">
        <f aca="false">IF(AG138=0,"",IF(AP138="FT",IF(BF138&lt;FT_First,0,IF(BF138&lt;FT_Y5,1+INT((BF138-FT_First)/FT_Int1),FT_PreY5+FT_PerYear*INT((BF138-FT_Y5)/12)+FT_AnnivDays+INT(MOD(BF138-FT_Y5,12)/FT_Int2))),IF(AP138="PT",IF(BF138&lt;PT_First,0,1+INT((BF138-PT_First)/PT_Int)),0))+IF(AND(AI138&gt;=2,AK138&lt;=EOMONTH(AsOfDate,-1)),IF(AQ138="FT",IF(BG138&lt;FT_First,0,IF(BG138&lt;FT_Y5,1+INT((BG138-FT_First)/FT_Int1),FT_PreY5+FT_PerYear*INT((BG138-FT_Y5)/12)+FT_AnnivDays+INT(MOD(BG138-FT_Y5,12)/FT_Int2))),IF(AQ138="PT",IF(BG138&lt;PT_First,0,1+INT((BG138-PT_First)/PT_Int)),0))-IF(AQ138="FT",IF(BF138&lt;FT_First,0,IF(BF138&lt;FT_Y5,1+INT((BF138-FT_First)/FT_Int1),FT_PreY5+FT_PerYear*INT((BF138-FT_Y5)/12)+FT_AnnivDays+INT(MOD(BF138-FT_Y5,12)/FT_Int2))),IF(AQ138="PT",IF(BF138&lt;PT_First,0,1+INT((BF138-PT_First)/PT_Int)),0)),0)+IF(AND(AI138&gt;=3,AL138&lt;=EOMONTH(AsOfDate,-1)),IF(AR138="FT",IF(BE138&lt;FT_First,0,IF(BE138&lt;FT_Y5,1+INT((BE138-FT_First)/FT_Int1),FT_PreY5+FT_PerYear*INT((BE138-FT_Y5)/12)+FT_AnnivDays+INT(MOD(BE138-FT_Y5,12)/FT_Int2))),IF(AR138="PT",IF(BE138&lt;PT_First,0,1+INT((BE138-PT_First)/PT_Int)),0))-IF(AR138="FT",IF(BG138&lt;FT_First,0,IF(BG138&lt;FT_Y5,1+INT((BG138-FT_First)/FT_Int1),FT_PreY5+FT_PerYear*INT((BG138-FT_Y5)/12)+FT_AnnivDays+INT(MOD(BG138-FT_Y5,12)/FT_Int2))),IF(AR138="PT",IF(BG138&lt;PT_First,0,1+INT((BG138-PT_First)/PT_Int)),0)),0))</f>
        <v/>
      </c>
      <c r="BI138" s="19" t="str">
        <f aca="false">IF(AG138=0,"",IF(AS138="FT",IF(AT138&lt;FT_First,"",IF(AT138&lt;FT_Y5,FT_First+FT_Int1*INT((AT138-FT_First)/FT_Int1),FT_Y5+FT_Int2*INT((AT138-FT_Y5)/FT_Int2))),IF(AS138="PT",IF(AT138&lt;PT_First,"",PT_First+PT_Int*INT((AT138-PT_First)/PT_Int)),"")))</f>
        <v/>
      </c>
      <c r="BJ138" s="0" t="str">
        <f aca="false">IF(LEN($A138&amp;$B138)=0,"",$A138&amp;" "&amp;$B138)</f>
        <v/>
      </c>
    </row>
    <row r="139" customFormat="false" ht="15" hidden="false" customHeight="false" outlineLevel="0" collapsed="false">
      <c r="A139" s="15"/>
      <c r="B139" s="15"/>
      <c r="C139" s="15"/>
      <c r="D139" s="16"/>
      <c r="E139" s="17" t="str">
        <f aca="false">IF(OR(AG139=0,$D139=""),"",DATE(YEAR(AsOfDate)+IF(DATE(YEAR(AsOfDate),MONTH($D139),DAY($D139))&lt;=AsOfDate,1,0),MONTH($D139),DAY($D139)))</f>
        <v/>
      </c>
      <c r="F139" s="16"/>
      <c r="G139" s="16"/>
      <c r="H139" s="16"/>
      <c r="I139" s="16"/>
      <c r="J139" s="16"/>
      <c r="K139" s="17" t="str">
        <f aca="false">IF(AG139=0,"",DATE(YEAR(AsOfDate)+IF(DATE(YEAR(AsOfDate),MONTH(AH139),DAY(AH139))&lt;=AsOfDate,1,0),MONTH(AH139),DAY(AH139)))</f>
        <v/>
      </c>
      <c r="L139" s="18" t="str">
        <f aca="false">IF(AG139=0,"",ROUND((AsOfDate-AH139)/365.25,1))</f>
        <v/>
      </c>
      <c r="M139" s="19" t="str">
        <f aca="false">IF(AG139=0,"",IF(AsOfDate&lt;AH139,"-",DATEDIF(AH139,AsOfDate,"y")&amp;"y "&amp;DATEDIF(AH139,AsOfDate,"ym")&amp;"m "&amp;DATEDIF(AH139,AsOfDate,"md")&amp;"d"))</f>
        <v/>
      </c>
      <c r="N139" s="20" t="str">
        <f aca="false">IF(AG139=0,"",O139*HoursPerDay)</f>
        <v/>
      </c>
      <c r="O139" s="20" t="str">
        <f aca="false">IF(AG139=0,"",AZ139)</f>
        <v/>
      </c>
      <c r="P139" s="21"/>
      <c r="Q139" s="19"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19"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7" t="str">
        <f aca="false">IF(AG139=0,"",IF(AS139="None","",EDATE(AH139,BB139)))</f>
        <v/>
      </c>
      <c r="T139" s="20" t="str">
        <f aca="false">IF(AG139=0,"",IF(NOT(LH_Ready),"",IF(AH139&gt;PFYDate,0,IF(LH_ColPeriod=0,W139-U139+V139,SUMIFS(INDEX(LH_Data,0,LH_ColAcc),INDEX(LH_Data,0,LH_ColFirst),$A139,INDEX(LH_Data,0,LH_ColSur),$B139,INDEX(LH_Data,0,LH_ColCat),BonusCat,INDEX(LH_Data,0,LH_ColPeriod),LH_OpenLabel)*UnitFactor))))</f>
        <v/>
      </c>
      <c r="U139" s="20" t="str">
        <f aca="false">IF(AG139=0,"",IF(NOT(LH_Ready),"",SUMIFS(INDEX(LH_Data,0,LH_ColAcc),INDEX(LH_Data,0,LH_ColFirst),$A139,INDEX(LH_Data,0,LH_ColSur),$B139,INDEX(LH_Data,0,LH_ColCat),BonusCat,INDEX(LH_Data,0,LH_ColStart),"&gt;="&amp;AH139)*UnitFactor))</f>
        <v/>
      </c>
      <c r="V139" s="20" t="str">
        <f aca="false">IF(AG139=0,"",IF(NOT(LH_Ready),"",SUMIFS(INDEX(LH_Data,0,LH_ColTaken),INDEX(LH_Data,0,LH_ColFirst),$A139,INDEX(LH_Data,0,LH_ColSur),$B139,INDEX(LH_Data,0,LH_ColCat),BonusCat,INDEX(LH_Data,0,LH_ColStart),"&gt;="&amp;AH139)*UnitFactor))</f>
        <v/>
      </c>
      <c r="W139" s="20" t="str">
        <f aca="false">IF(AG139=0,"",IF(NOT(LH_Ready),"",IF(BD139=0,0,INDEX(INDEX(LH_Data,0,LH_ColClose),BD139-1)*UnitFactor)))</f>
        <v/>
      </c>
      <c r="X139" s="20" t="str">
        <f aca="false">IF(AG139=0,"",(AZ139-BA139)*HoursPerDay)</f>
        <v/>
      </c>
      <c r="Y139" s="20" t="str">
        <f aca="false">IF(AG139=0,"",IF(NOT(LH_Ready),"",IF(BC139=0,N139,IF(PFYDate&lt;$F139,N139-N(T139)-N(U139),X139-N(U139)))))</f>
        <v/>
      </c>
      <c r="Z139" s="19" t="str">
        <f aca="false">IF(OR(AG139=0,Y139=""),"",IF(Y139&gt;0,"Yes","No"))</f>
        <v/>
      </c>
      <c r="AA139" s="19"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20" t="str">
        <f aca="false">IF(OR(AG139=0,T139=""),"",BA139*HoursPerDay-T139)</f>
        <v/>
      </c>
      <c r="AC139" s="19" t="str">
        <f aca="false">IF(AG139=0,"",BC139)</f>
        <v/>
      </c>
      <c r="AD139" s="19"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20" t="str">
        <f aca="false">IF(AG139=0,"",O139-BH139)</f>
        <v/>
      </c>
      <c r="AF139" s="17" t="str">
        <f aca="false">IF(OR(AG139=0,AE139="",N(AE139)=0,BI139=""),"",EDATE(AH139,BI139))</f>
        <v/>
      </c>
      <c r="AG139" s="19" t="n">
        <f aca="false">IF(OR(LEN($A139&amp;$B139)=0,$F139=""),0,1)</f>
        <v>0</v>
      </c>
      <c r="AH139" s="17" t="str">
        <f aca="false">IF(AG139=0,"",IF($J139&lt;&gt;"",$J139,IF(OR(CasualCounts="Yes",COUNT($G139:$I139)=0,COUNT($H139:$I139)=0),$F139,MIN($H139:$I139))))</f>
        <v/>
      </c>
      <c r="AI139" s="19" t="str">
        <f aca="false">IF(AG139=0,"",COUNT($G139:$I139))</f>
        <v/>
      </c>
      <c r="AJ139" s="17" t="str">
        <f aca="false">IF(AG139=0,"",IFERROR(SMALL($G139:$I139,1),""))</f>
        <v/>
      </c>
      <c r="AK139" s="17" t="str">
        <f aca="false">IF(AG139=0,"",IFERROR(SMALL($G139:$I139,2),""))</f>
        <v/>
      </c>
      <c r="AL139" s="17" t="str">
        <f aca="false">IF(AG139=0,"",IFERROR(SMALL($G139:$I139,3),""))</f>
        <v/>
      </c>
      <c r="AM139" s="19" t="str">
        <f aca="false">IF(AG139=0,"",IF(AJ139="","",IF(AJ139=$H139,"Part-Time",IF(AJ139=$I139,"Full-Time","Casual"))))</f>
        <v/>
      </c>
      <c r="AN139" s="19" t="str">
        <f aca="false">IF(AG139=0,"",IF(AK139="","",IF(AK139=$H139,"Part-Time",IF(AK139=$I139,"Full-Time","Casual"))))</f>
        <v/>
      </c>
      <c r="AO139" s="19" t="str">
        <f aca="false">IF(AG139=0,"",IF(AL139="","",IF(AL139=$H139,"Part-Time",IF(AL139=$I139,"Full-Time","Casual"))))</f>
        <v/>
      </c>
      <c r="AP139" s="19"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19" t="str">
        <f aca="false">IF(AG139=0,"",IF(AI139&lt;2,"",IF(OR(ISNUMBER(SEARCH("full",AN139)),UPPER(TRIM(AN139))="FT",UPPER(TRIM(AN139))="FTE"),"FT",IF(AND(OR(ISNUMBER(SEARCH("part",AN139)),UPPER(TRIM(AN139))="PT",UPPER(TRIM(AN139))="PTE"),OR($P139="",N($P139)&gt;=PT_MinHours)),"PT","None"))))</f>
        <v/>
      </c>
      <c r="AR139" s="19" t="str">
        <f aca="false">IF(AG139=0,"",IF(AI139&lt;3,"",IF(OR(ISNUMBER(SEARCH("full",AO139)),UPPER(TRIM(AO139))="FT",UPPER(TRIM(AO139))="FTE"),"FT",IF(AND(OR(ISNUMBER(SEARCH("part",AO139)),UPPER(TRIM(AO139))="PT",UPPER(TRIM(AO139))="PTE"),OR($P139="",N($P139)&gt;=PT_MinHours)),"PT","None"))))</f>
        <v/>
      </c>
      <c r="AS139" s="19" t="str">
        <f aca="false">IF(AG139=0,"",IF(AND(AI139&gt;=3,AL139&lt;=AsOfDate),AR139,IF(AND(AI139&gt;=2,AK139&lt;=AsOfDate),AQ139,AP139)))</f>
        <v/>
      </c>
      <c r="AT139" s="19" t="str">
        <f aca="false">IF(AG139=0,"",IF(AsOfDate&lt;AH139,-1,12*(YEAR(AsOfDate)-YEAR(AH139))+MONTH(AsOfDate)-MONTH(AH139)-IF(DAY(AsOfDate)&lt;MIN(DAY(AH139),DAY(EOMONTH(AsOfDate,0))),1,0)))</f>
        <v/>
      </c>
      <c r="AU139" s="19" t="str">
        <f aca="false">IF(AG139=0,"",IF(OR(AI139&lt;2,AK139&gt;AsOfDate),AT139,IF((AK139-1)&lt;AH139,-1,12*(YEAR((AK139-1))-YEAR(AH139))+MONTH((AK139-1))-MONTH(AH139)-IF(DAY((AK139-1))&lt;MIN(DAY(AH139),DAY(EOMONTH((AK139-1),0))),1,0))))</f>
        <v/>
      </c>
      <c r="AV139" s="19" t="str">
        <f aca="false">IF(AG139=0,"",IF(OR(AI139&lt;3,AL139&gt;AsOfDate),AT139,IF((AL139-1)&lt;AH139,-1,12*(YEAR((AL139-1))-YEAR(AH139))+MONTH((AL139-1))-MONTH(AH139)-IF(DAY((AL139-1))&lt;MIN(DAY(AH139),DAY(EOMONTH((AL139-1),0))),1,0))))</f>
        <v/>
      </c>
      <c r="AW139" s="19" t="str">
        <f aca="false">IF(AG139=0,"",IF(PFYDate&lt;AH139,-1,12*(YEAR(PFYDate)-YEAR(AH139))+MONTH(PFYDate)-MONTH(AH139)-IF(DAY(PFYDate)&lt;MIN(DAY(AH139),DAY(EOMONTH(PFYDate,0))),1,0)))</f>
        <v/>
      </c>
      <c r="AX139" s="19" t="str">
        <f aca="false">IF(AG139=0,"",IF(OR(AI139&lt;2,AK139&gt;PFYDate),AW139,IF((AK139-1)&lt;AH139,-1,12*(YEAR((AK139-1))-YEAR(AH139))+MONTH((AK139-1))-MONTH(AH139)-IF(DAY((AK139-1))&lt;MIN(DAY(AH139),DAY(EOMONTH((AK139-1),0))),1,0))))</f>
        <v/>
      </c>
      <c r="AY139" s="19" t="str">
        <f aca="false">IF(AG139=0,"",IF(OR(AI139&lt;3,AL139&gt;PFYDate),AW139,IF((AL139-1)&lt;AH139,-1,12*(YEAR((AL139-1))-YEAR(AH139))+MONTH((AL139-1))-MONTH(AH139)-IF(DAY((AL139-1))&lt;MIN(DAY(AH139),DAY(EOMONTH((AL139-1),0))),1,0))))</f>
        <v/>
      </c>
      <c r="AZ139" s="19" t="str">
        <f aca="false">IF(AG139=0,"",IF(AP139="FT",IF(AU139&lt;FT_First,0,IF(AU139&lt;FT_Y5,1+INT((AU139-FT_First)/FT_Int1),FT_PreY5+FT_PerYear*INT((AU139-FT_Y5)/12)+FT_AnnivDays+INT(MOD(AU139-FT_Y5,12)/FT_Int2))),IF(AP139="PT",IF(AU139&lt;PT_First,0,1+INT((AU139-PT_First)/PT_Int)),0))+IF(AND(AI139&gt;=2,AK139&lt;=AsOfDate),IF(AQ139="FT",IF(AV139&lt;FT_First,0,IF(AV139&lt;FT_Y5,1+INT((AV139-FT_First)/FT_Int1),FT_PreY5+FT_PerYear*INT((AV139-FT_Y5)/12)+FT_AnnivDays+INT(MOD(AV139-FT_Y5,12)/FT_Int2))),IF(AQ139="PT",IF(AV139&lt;PT_First,0,1+INT((AV139-PT_First)/PT_Int)),0))-IF(AQ139="FT",IF(AU139&lt;FT_First,0,IF(AU139&lt;FT_Y5,1+INT((AU139-FT_First)/FT_Int1),FT_PreY5+FT_PerYear*INT((AU139-FT_Y5)/12)+FT_AnnivDays+INT(MOD(AU139-FT_Y5,12)/FT_Int2))),IF(AQ139="PT",IF(AU139&lt;PT_First,0,1+INT((AU139-PT_First)/PT_Int)),0)),0)+IF(AND(AI139&gt;=3,AL139&lt;=AsOfDate),IF(AR139="FT",IF(AT139&lt;FT_First,0,IF(AT139&lt;FT_Y5,1+INT((AT139-FT_First)/FT_Int1),FT_PreY5+FT_PerYear*INT((AT139-FT_Y5)/12)+FT_AnnivDays+INT(MOD(AT139-FT_Y5,12)/FT_Int2))),IF(AR139="PT",IF(AT139&lt;PT_First,0,1+INT((AT139-PT_First)/PT_Int)),0))-IF(AR139="FT",IF(AV139&lt;FT_First,0,IF(AV139&lt;FT_Y5,1+INT((AV139-FT_First)/FT_Int1),FT_PreY5+FT_PerYear*INT((AV139-FT_Y5)/12)+FT_AnnivDays+INT(MOD(AV139-FT_Y5,12)/FT_Int2))),IF(AR139="PT",IF(AV139&lt;PT_First,0,1+INT((AV139-PT_First)/PT_Int)),0)),0))</f>
        <v/>
      </c>
      <c r="BA139" s="19" t="str">
        <f aca="false">IF(AG139=0,"",IF(AP139="FT",IF(AX139&lt;FT_First,0,IF(AX139&lt;FT_Y5,1+INT((AX139-FT_First)/FT_Int1),FT_PreY5+FT_PerYear*INT((AX139-FT_Y5)/12)+FT_AnnivDays+INT(MOD(AX139-FT_Y5,12)/FT_Int2))),IF(AP139="PT",IF(AX139&lt;PT_First,0,1+INT((AX139-PT_First)/PT_Int)),0))+IF(AND(AI139&gt;=2,AK139&lt;=PFYDate),IF(AQ139="FT",IF(AY139&lt;FT_First,0,IF(AY139&lt;FT_Y5,1+INT((AY139-FT_First)/FT_Int1),FT_PreY5+FT_PerYear*INT((AY139-FT_Y5)/12)+FT_AnnivDays+INT(MOD(AY139-FT_Y5,12)/FT_Int2))),IF(AQ139="PT",IF(AY139&lt;PT_First,0,1+INT((AY139-PT_First)/PT_Int)),0))-IF(AQ139="FT",IF(AX139&lt;FT_First,0,IF(AX139&lt;FT_Y5,1+INT((AX139-FT_First)/FT_Int1),FT_PreY5+FT_PerYear*INT((AX139-FT_Y5)/12)+FT_AnnivDays+INT(MOD(AX139-FT_Y5,12)/FT_Int2))),IF(AQ139="PT",IF(AX139&lt;PT_First,0,1+INT((AX139-PT_First)/PT_Int)),0)),0)+IF(AND(AI139&gt;=3,AL139&lt;=PFYDate),IF(AR139="FT",IF(AW139&lt;FT_First,0,IF(AW139&lt;FT_Y5,1+INT((AW139-FT_First)/FT_Int1),FT_PreY5+FT_PerYear*INT((AW139-FT_Y5)/12)+FT_AnnivDays+INT(MOD(AW139-FT_Y5,12)/FT_Int2))),IF(AR139="PT",IF(AW139&lt;PT_First,0,1+INT((AW139-PT_First)/PT_Int)),0))-IF(AR139="FT",IF(AY139&lt;FT_First,0,IF(AY139&lt;FT_Y5,1+INT((AY139-FT_First)/FT_Int1),FT_PreY5+FT_PerYear*INT((AY139-FT_Y5)/12)+FT_AnnivDays+INT(MOD(AY139-FT_Y5,12)/FT_Int2))),IF(AR139="PT",IF(AY139&lt;PT_First,0,1+INT((AY139-PT_First)/PT_Int)),0)),0))</f>
        <v/>
      </c>
      <c r="BB139" s="19" t="str">
        <f aca="false">IF(AG139=0,"",IF(AS139="FT",IF(AT139&lt;FT_First,FT_First,IF(AT139&lt;FT_Y5,MIN(FT_Y5,FT_First+FT_Int1*(INT((AT139-FT_First)/FT_Int1)+1)),FT_Y5+12*INT((AT139-FT_Y5)/12)+FT_Int2*(INT(MOD(AT139-FT_Y5,12)/FT_Int2)+1))),IF(AS139="PT",IF(AT139&lt;PT_First,PT_First,PT_First+PT_Int*(INT((AT139-PT_First)/PT_Int)+1)),"")))</f>
        <v/>
      </c>
      <c r="BC139" s="19" t="str">
        <f aca="false">IF(AG139=0,"",IF(NOT(LH_Ready),0,COUNTIFS(INDEX(LH_Data,0,LH_ColFirst),$A139,INDEX(LH_Data,0,LH_ColSur),$B139,INDEX(LH_Data,0,LH_ColCat),BonusCat)))</f>
        <v/>
      </c>
      <c r="BD139" s="19" t="str">
        <f aca="false">IF(AG139=0,"",IF(OR(NOT(LH_Ready),BC139=0),0,SUMPRODUCT(MAX((INDEX(LH_Data,0,LH_ColFirst)=$A139)*(INDEX(LH_Data,0,LH_ColSur)=$B139)*(INDEX(LH_Data,0,LH_ColCat)=BonusCat)*ROW(LH_Data)))))</f>
        <v/>
      </c>
      <c r="BE139" s="19" t="str">
        <f aca="false">IF(AG139=0,"",IF(EOMONTH(AsOfDate,-1)&lt;AH139,-1,12*(YEAR(EOMONTH(AsOfDate,-1))-YEAR(AH139))+MONTH(EOMONTH(AsOfDate,-1))-MONTH(AH139)-IF(DAY(EOMONTH(AsOfDate,-1))&lt;MIN(DAY(AH139),DAY(EOMONTH(EOMONTH(AsOfDate,-1),0))),1,0)))</f>
        <v/>
      </c>
      <c r="BF139" s="19" t="str">
        <f aca="false">IF(AG139=0,"",IF(OR(AI139&lt;2,AK139&gt;EOMONTH(AsOfDate,-1)),BE139,IF((AK139-1)&lt;AH139,-1,12*(YEAR((AK139-1))-YEAR(AH139))+MONTH((AK139-1))-MONTH(AH139)-IF(DAY((AK139-1))&lt;MIN(DAY(AH139),DAY(EOMONTH((AK139-1),0))),1,0))))</f>
        <v/>
      </c>
      <c r="BG139" s="19" t="str">
        <f aca="false">IF(AG139=0,"",IF(OR(AI139&lt;3,AL139&gt;EOMONTH(AsOfDate,-1)),BE139,IF((AL139-1)&lt;AH139,-1,12*(YEAR((AL139-1))-YEAR(AH139))+MONTH((AL139-1))-MONTH(AH139)-IF(DAY((AL139-1))&lt;MIN(DAY(AH139),DAY(EOMONTH((AL139-1),0))),1,0))))</f>
        <v/>
      </c>
      <c r="BH139" s="19" t="str">
        <f aca="false">IF(AG139=0,"",IF(AP139="FT",IF(BF139&lt;FT_First,0,IF(BF139&lt;FT_Y5,1+INT((BF139-FT_First)/FT_Int1),FT_PreY5+FT_PerYear*INT((BF139-FT_Y5)/12)+FT_AnnivDays+INT(MOD(BF139-FT_Y5,12)/FT_Int2))),IF(AP139="PT",IF(BF139&lt;PT_First,0,1+INT((BF139-PT_First)/PT_Int)),0))+IF(AND(AI139&gt;=2,AK139&lt;=EOMONTH(AsOfDate,-1)),IF(AQ139="FT",IF(BG139&lt;FT_First,0,IF(BG139&lt;FT_Y5,1+INT((BG139-FT_First)/FT_Int1),FT_PreY5+FT_PerYear*INT((BG139-FT_Y5)/12)+FT_AnnivDays+INT(MOD(BG139-FT_Y5,12)/FT_Int2))),IF(AQ139="PT",IF(BG139&lt;PT_First,0,1+INT((BG139-PT_First)/PT_Int)),0))-IF(AQ139="FT",IF(BF139&lt;FT_First,0,IF(BF139&lt;FT_Y5,1+INT((BF139-FT_First)/FT_Int1),FT_PreY5+FT_PerYear*INT((BF139-FT_Y5)/12)+FT_AnnivDays+INT(MOD(BF139-FT_Y5,12)/FT_Int2))),IF(AQ139="PT",IF(BF139&lt;PT_First,0,1+INT((BF139-PT_First)/PT_Int)),0)),0)+IF(AND(AI139&gt;=3,AL139&lt;=EOMONTH(AsOfDate,-1)),IF(AR139="FT",IF(BE139&lt;FT_First,0,IF(BE139&lt;FT_Y5,1+INT((BE139-FT_First)/FT_Int1),FT_PreY5+FT_PerYear*INT((BE139-FT_Y5)/12)+FT_AnnivDays+INT(MOD(BE139-FT_Y5,12)/FT_Int2))),IF(AR139="PT",IF(BE139&lt;PT_First,0,1+INT((BE139-PT_First)/PT_Int)),0))-IF(AR139="FT",IF(BG139&lt;FT_First,0,IF(BG139&lt;FT_Y5,1+INT((BG139-FT_First)/FT_Int1),FT_PreY5+FT_PerYear*INT((BG139-FT_Y5)/12)+FT_AnnivDays+INT(MOD(BG139-FT_Y5,12)/FT_Int2))),IF(AR139="PT",IF(BG139&lt;PT_First,0,1+INT((BG139-PT_First)/PT_Int)),0)),0))</f>
        <v/>
      </c>
      <c r="BI139" s="19" t="str">
        <f aca="false">IF(AG139=0,"",IF(AS139="FT",IF(AT139&lt;FT_First,"",IF(AT139&lt;FT_Y5,FT_First+FT_Int1*INT((AT139-FT_First)/FT_Int1),FT_Y5+FT_Int2*INT((AT139-FT_Y5)/FT_Int2))),IF(AS139="PT",IF(AT139&lt;PT_First,"",PT_First+PT_Int*INT((AT139-PT_First)/PT_Int)),"")))</f>
        <v/>
      </c>
      <c r="BJ139" s="0" t="str">
        <f aca="false">IF(LEN($A139&amp;$B139)=0,"",$A139&amp;" "&amp;$B139)</f>
        <v/>
      </c>
    </row>
    <row r="140" customFormat="false" ht="15" hidden="false" customHeight="false" outlineLevel="0" collapsed="false">
      <c r="A140" s="15"/>
      <c r="B140" s="15"/>
      <c r="C140" s="15"/>
      <c r="D140" s="16"/>
      <c r="E140" s="17" t="str">
        <f aca="false">IF(OR(AG140=0,$D140=""),"",DATE(YEAR(AsOfDate)+IF(DATE(YEAR(AsOfDate),MONTH($D140),DAY($D140))&lt;=AsOfDate,1,0),MONTH($D140),DAY($D140)))</f>
        <v/>
      </c>
      <c r="F140" s="16"/>
      <c r="G140" s="16"/>
      <c r="H140" s="16"/>
      <c r="I140" s="16"/>
      <c r="J140" s="16"/>
      <c r="K140" s="17" t="str">
        <f aca="false">IF(AG140=0,"",DATE(YEAR(AsOfDate)+IF(DATE(YEAR(AsOfDate),MONTH(AH140),DAY(AH140))&lt;=AsOfDate,1,0),MONTH(AH140),DAY(AH140)))</f>
        <v/>
      </c>
      <c r="L140" s="18" t="str">
        <f aca="false">IF(AG140=0,"",ROUND((AsOfDate-AH140)/365.25,1))</f>
        <v/>
      </c>
      <c r="M140" s="19" t="str">
        <f aca="false">IF(AG140=0,"",IF(AsOfDate&lt;AH140,"-",DATEDIF(AH140,AsOfDate,"y")&amp;"y "&amp;DATEDIF(AH140,AsOfDate,"ym")&amp;"m "&amp;DATEDIF(AH140,AsOfDate,"md")&amp;"d"))</f>
        <v/>
      </c>
      <c r="N140" s="20" t="str">
        <f aca="false">IF(AG140=0,"",O140*HoursPerDay)</f>
        <v/>
      </c>
      <c r="O140" s="20" t="str">
        <f aca="false">IF(AG140=0,"",AZ140)</f>
        <v/>
      </c>
      <c r="P140" s="21"/>
      <c r="Q140" s="19"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19"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7" t="str">
        <f aca="false">IF(AG140=0,"",IF(AS140="None","",EDATE(AH140,BB140)))</f>
        <v/>
      </c>
      <c r="T140" s="20" t="str">
        <f aca="false">IF(AG140=0,"",IF(NOT(LH_Ready),"",IF(AH140&gt;PFYDate,0,IF(LH_ColPeriod=0,W140-U140+V140,SUMIFS(INDEX(LH_Data,0,LH_ColAcc),INDEX(LH_Data,0,LH_ColFirst),$A140,INDEX(LH_Data,0,LH_ColSur),$B140,INDEX(LH_Data,0,LH_ColCat),BonusCat,INDEX(LH_Data,0,LH_ColPeriod),LH_OpenLabel)*UnitFactor))))</f>
        <v/>
      </c>
      <c r="U140" s="20" t="str">
        <f aca="false">IF(AG140=0,"",IF(NOT(LH_Ready),"",SUMIFS(INDEX(LH_Data,0,LH_ColAcc),INDEX(LH_Data,0,LH_ColFirst),$A140,INDEX(LH_Data,0,LH_ColSur),$B140,INDEX(LH_Data,0,LH_ColCat),BonusCat,INDEX(LH_Data,0,LH_ColStart),"&gt;="&amp;AH140)*UnitFactor))</f>
        <v/>
      </c>
      <c r="V140" s="20" t="str">
        <f aca="false">IF(AG140=0,"",IF(NOT(LH_Ready),"",SUMIFS(INDEX(LH_Data,0,LH_ColTaken),INDEX(LH_Data,0,LH_ColFirst),$A140,INDEX(LH_Data,0,LH_ColSur),$B140,INDEX(LH_Data,0,LH_ColCat),BonusCat,INDEX(LH_Data,0,LH_ColStart),"&gt;="&amp;AH140)*UnitFactor))</f>
        <v/>
      </c>
      <c r="W140" s="20" t="str">
        <f aca="false">IF(AG140=0,"",IF(NOT(LH_Ready),"",IF(BD140=0,0,INDEX(INDEX(LH_Data,0,LH_ColClose),BD140-1)*UnitFactor)))</f>
        <v/>
      </c>
      <c r="X140" s="20" t="str">
        <f aca="false">IF(AG140=0,"",(AZ140-BA140)*HoursPerDay)</f>
        <v/>
      </c>
      <c r="Y140" s="20" t="str">
        <f aca="false">IF(AG140=0,"",IF(NOT(LH_Ready),"",IF(BC140=0,N140,IF(PFYDate&lt;$F140,N140-N(T140)-N(U140),X140-N(U140)))))</f>
        <v/>
      </c>
      <c r="Z140" s="19" t="str">
        <f aca="false">IF(OR(AG140=0,Y140=""),"",IF(Y140&gt;0,"Yes","No"))</f>
        <v/>
      </c>
      <c r="AA140" s="19"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20" t="str">
        <f aca="false">IF(OR(AG140=0,T140=""),"",BA140*HoursPerDay-T140)</f>
        <v/>
      </c>
      <c r="AC140" s="19" t="str">
        <f aca="false">IF(AG140=0,"",BC140)</f>
        <v/>
      </c>
      <c r="AD140" s="19"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20" t="str">
        <f aca="false">IF(AG140=0,"",O140-BH140)</f>
        <v/>
      </c>
      <c r="AF140" s="17" t="str">
        <f aca="false">IF(OR(AG140=0,AE140="",N(AE140)=0,BI140=""),"",EDATE(AH140,BI140))</f>
        <v/>
      </c>
      <c r="AG140" s="19" t="n">
        <f aca="false">IF(OR(LEN($A140&amp;$B140)=0,$F140=""),0,1)</f>
        <v>0</v>
      </c>
      <c r="AH140" s="17" t="str">
        <f aca="false">IF(AG140=0,"",IF($J140&lt;&gt;"",$J140,IF(OR(CasualCounts="Yes",COUNT($G140:$I140)=0,COUNT($H140:$I140)=0),$F140,MIN($H140:$I140))))</f>
        <v/>
      </c>
      <c r="AI140" s="19" t="str">
        <f aca="false">IF(AG140=0,"",COUNT($G140:$I140))</f>
        <v/>
      </c>
      <c r="AJ140" s="17" t="str">
        <f aca="false">IF(AG140=0,"",IFERROR(SMALL($G140:$I140,1),""))</f>
        <v/>
      </c>
      <c r="AK140" s="17" t="str">
        <f aca="false">IF(AG140=0,"",IFERROR(SMALL($G140:$I140,2),""))</f>
        <v/>
      </c>
      <c r="AL140" s="17" t="str">
        <f aca="false">IF(AG140=0,"",IFERROR(SMALL($G140:$I140,3),""))</f>
        <v/>
      </c>
      <c r="AM140" s="19" t="str">
        <f aca="false">IF(AG140=0,"",IF(AJ140="","",IF(AJ140=$H140,"Part-Time",IF(AJ140=$I140,"Full-Time","Casual"))))</f>
        <v/>
      </c>
      <c r="AN140" s="19" t="str">
        <f aca="false">IF(AG140=0,"",IF(AK140="","",IF(AK140=$H140,"Part-Time",IF(AK140=$I140,"Full-Time","Casual"))))</f>
        <v/>
      </c>
      <c r="AO140" s="19" t="str">
        <f aca="false">IF(AG140=0,"",IF(AL140="","",IF(AL140=$H140,"Part-Time",IF(AL140=$I140,"Full-Time","Casual"))))</f>
        <v/>
      </c>
      <c r="AP140" s="19"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19" t="str">
        <f aca="false">IF(AG140=0,"",IF(AI140&lt;2,"",IF(OR(ISNUMBER(SEARCH("full",AN140)),UPPER(TRIM(AN140))="FT",UPPER(TRIM(AN140))="FTE"),"FT",IF(AND(OR(ISNUMBER(SEARCH("part",AN140)),UPPER(TRIM(AN140))="PT",UPPER(TRIM(AN140))="PTE"),OR($P140="",N($P140)&gt;=PT_MinHours)),"PT","None"))))</f>
        <v/>
      </c>
      <c r="AR140" s="19" t="str">
        <f aca="false">IF(AG140=0,"",IF(AI140&lt;3,"",IF(OR(ISNUMBER(SEARCH("full",AO140)),UPPER(TRIM(AO140))="FT",UPPER(TRIM(AO140))="FTE"),"FT",IF(AND(OR(ISNUMBER(SEARCH("part",AO140)),UPPER(TRIM(AO140))="PT",UPPER(TRIM(AO140))="PTE"),OR($P140="",N($P140)&gt;=PT_MinHours)),"PT","None"))))</f>
        <v/>
      </c>
      <c r="AS140" s="19" t="str">
        <f aca="false">IF(AG140=0,"",IF(AND(AI140&gt;=3,AL140&lt;=AsOfDate),AR140,IF(AND(AI140&gt;=2,AK140&lt;=AsOfDate),AQ140,AP140)))</f>
        <v/>
      </c>
      <c r="AT140" s="19" t="str">
        <f aca="false">IF(AG140=0,"",IF(AsOfDate&lt;AH140,-1,12*(YEAR(AsOfDate)-YEAR(AH140))+MONTH(AsOfDate)-MONTH(AH140)-IF(DAY(AsOfDate)&lt;MIN(DAY(AH140),DAY(EOMONTH(AsOfDate,0))),1,0)))</f>
        <v/>
      </c>
      <c r="AU140" s="19" t="str">
        <f aca="false">IF(AG140=0,"",IF(OR(AI140&lt;2,AK140&gt;AsOfDate),AT140,IF((AK140-1)&lt;AH140,-1,12*(YEAR((AK140-1))-YEAR(AH140))+MONTH((AK140-1))-MONTH(AH140)-IF(DAY((AK140-1))&lt;MIN(DAY(AH140),DAY(EOMONTH((AK140-1),0))),1,0))))</f>
        <v/>
      </c>
      <c r="AV140" s="19" t="str">
        <f aca="false">IF(AG140=0,"",IF(OR(AI140&lt;3,AL140&gt;AsOfDate),AT140,IF((AL140-1)&lt;AH140,-1,12*(YEAR((AL140-1))-YEAR(AH140))+MONTH((AL140-1))-MONTH(AH140)-IF(DAY((AL140-1))&lt;MIN(DAY(AH140),DAY(EOMONTH((AL140-1),0))),1,0))))</f>
        <v/>
      </c>
      <c r="AW140" s="19" t="str">
        <f aca="false">IF(AG140=0,"",IF(PFYDate&lt;AH140,-1,12*(YEAR(PFYDate)-YEAR(AH140))+MONTH(PFYDate)-MONTH(AH140)-IF(DAY(PFYDate)&lt;MIN(DAY(AH140),DAY(EOMONTH(PFYDate,0))),1,0)))</f>
        <v/>
      </c>
      <c r="AX140" s="19" t="str">
        <f aca="false">IF(AG140=0,"",IF(OR(AI140&lt;2,AK140&gt;PFYDate),AW140,IF((AK140-1)&lt;AH140,-1,12*(YEAR((AK140-1))-YEAR(AH140))+MONTH((AK140-1))-MONTH(AH140)-IF(DAY((AK140-1))&lt;MIN(DAY(AH140),DAY(EOMONTH((AK140-1),0))),1,0))))</f>
        <v/>
      </c>
      <c r="AY140" s="19" t="str">
        <f aca="false">IF(AG140=0,"",IF(OR(AI140&lt;3,AL140&gt;PFYDate),AW140,IF((AL140-1)&lt;AH140,-1,12*(YEAR((AL140-1))-YEAR(AH140))+MONTH((AL140-1))-MONTH(AH140)-IF(DAY((AL140-1))&lt;MIN(DAY(AH140),DAY(EOMONTH((AL140-1),0))),1,0))))</f>
        <v/>
      </c>
      <c r="AZ140" s="19" t="str">
        <f aca="false">IF(AG140=0,"",IF(AP140="FT",IF(AU140&lt;FT_First,0,IF(AU140&lt;FT_Y5,1+INT((AU140-FT_First)/FT_Int1),FT_PreY5+FT_PerYear*INT((AU140-FT_Y5)/12)+FT_AnnivDays+INT(MOD(AU140-FT_Y5,12)/FT_Int2))),IF(AP140="PT",IF(AU140&lt;PT_First,0,1+INT((AU140-PT_First)/PT_Int)),0))+IF(AND(AI140&gt;=2,AK140&lt;=AsOfDate),IF(AQ140="FT",IF(AV140&lt;FT_First,0,IF(AV140&lt;FT_Y5,1+INT((AV140-FT_First)/FT_Int1),FT_PreY5+FT_PerYear*INT((AV140-FT_Y5)/12)+FT_AnnivDays+INT(MOD(AV140-FT_Y5,12)/FT_Int2))),IF(AQ140="PT",IF(AV140&lt;PT_First,0,1+INT((AV140-PT_First)/PT_Int)),0))-IF(AQ140="FT",IF(AU140&lt;FT_First,0,IF(AU140&lt;FT_Y5,1+INT((AU140-FT_First)/FT_Int1),FT_PreY5+FT_PerYear*INT((AU140-FT_Y5)/12)+FT_AnnivDays+INT(MOD(AU140-FT_Y5,12)/FT_Int2))),IF(AQ140="PT",IF(AU140&lt;PT_First,0,1+INT((AU140-PT_First)/PT_Int)),0)),0)+IF(AND(AI140&gt;=3,AL140&lt;=AsOfDate),IF(AR140="FT",IF(AT140&lt;FT_First,0,IF(AT140&lt;FT_Y5,1+INT((AT140-FT_First)/FT_Int1),FT_PreY5+FT_PerYear*INT((AT140-FT_Y5)/12)+FT_AnnivDays+INT(MOD(AT140-FT_Y5,12)/FT_Int2))),IF(AR140="PT",IF(AT140&lt;PT_First,0,1+INT((AT140-PT_First)/PT_Int)),0))-IF(AR140="FT",IF(AV140&lt;FT_First,0,IF(AV140&lt;FT_Y5,1+INT((AV140-FT_First)/FT_Int1),FT_PreY5+FT_PerYear*INT((AV140-FT_Y5)/12)+FT_AnnivDays+INT(MOD(AV140-FT_Y5,12)/FT_Int2))),IF(AR140="PT",IF(AV140&lt;PT_First,0,1+INT((AV140-PT_First)/PT_Int)),0)),0))</f>
        <v/>
      </c>
      <c r="BA140" s="19" t="str">
        <f aca="false">IF(AG140=0,"",IF(AP140="FT",IF(AX140&lt;FT_First,0,IF(AX140&lt;FT_Y5,1+INT((AX140-FT_First)/FT_Int1),FT_PreY5+FT_PerYear*INT((AX140-FT_Y5)/12)+FT_AnnivDays+INT(MOD(AX140-FT_Y5,12)/FT_Int2))),IF(AP140="PT",IF(AX140&lt;PT_First,0,1+INT((AX140-PT_First)/PT_Int)),0))+IF(AND(AI140&gt;=2,AK140&lt;=PFYDate),IF(AQ140="FT",IF(AY140&lt;FT_First,0,IF(AY140&lt;FT_Y5,1+INT((AY140-FT_First)/FT_Int1),FT_PreY5+FT_PerYear*INT((AY140-FT_Y5)/12)+FT_AnnivDays+INT(MOD(AY140-FT_Y5,12)/FT_Int2))),IF(AQ140="PT",IF(AY140&lt;PT_First,0,1+INT((AY140-PT_First)/PT_Int)),0))-IF(AQ140="FT",IF(AX140&lt;FT_First,0,IF(AX140&lt;FT_Y5,1+INT((AX140-FT_First)/FT_Int1),FT_PreY5+FT_PerYear*INT((AX140-FT_Y5)/12)+FT_AnnivDays+INT(MOD(AX140-FT_Y5,12)/FT_Int2))),IF(AQ140="PT",IF(AX140&lt;PT_First,0,1+INT((AX140-PT_First)/PT_Int)),0)),0)+IF(AND(AI140&gt;=3,AL140&lt;=PFYDate),IF(AR140="FT",IF(AW140&lt;FT_First,0,IF(AW140&lt;FT_Y5,1+INT((AW140-FT_First)/FT_Int1),FT_PreY5+FT_PerYear*INT((AW140-FT_Y5)/12)+FT_AnnivDays+INT(MOD(AW140-FT_Y5,12)/FT_Int2))),IF(AR140="PT",IF(AW140&lt;PT_First,0,1+INT((AW140-PT_First)/PT_Int)),0))-IF(AR140="FT",IF(AY140&lt;FT_First,0,IF(AY140&lt;FT_Y5,1+INT((AY140-FT_First)/FT_Int1),FT_PreY5+FT_PerYear*INT((AY140-FT_Y5)/12)+FT_AnnivDays+INT(MOD(AY140-FT_Y5,12)/FT_Int2))),IF(AR140="PT",IF(AY140&lt;PT_First,0,1+INT((AY140-PT_First)/PT_Int)),0)),0))</f>
        <v/>
      </c>
      <c r="BB140" s="19" t="str">
        <f aca="false">IF(AG140=0,"",IF(AS140="FT",IF(AT140&lt;FT_First,FT_First,IF(AT140&lt;FT_Y5,MIN(FT_Y5,FT_First+FT_Int1*(INT((AT140-FT_First)/FT_Int1)+1)),FT_Y5+12*INT((AT140-FT_Y5)/12)+FT_Int2*(INT(MOD(AT140-FT_Y5,12)/FT_Int2)+1))),IF(AS140="PT",IF(AT140&lt;PT_First,PT_First,PT_First+PT_Int*(INT((AT140-PT_First)/PT_Int)+1)),"")))</f>
        <v/>
      </c>
      <c r="BC140" s="19" t="str">
        <f aca="false">IF(AG140=0,"",IF(NOT(LH_Ready),0,COUNTIFS(INDEX(LH_Data,0,LH_ColFirst),$A140,INDEX(LH_Data,0,LH_ColSur),$B140,INDEX(LH_Data,0,LH_ColCat),BonusCat)))</f>
        <v/>
      </c>
      <c r="BD140" s="19" t="str">
        <f aca="false">IF(AG140=0,"",IF(OR(NOT(LH_Ready),BC140=0),0,SUMPRODUCT(MAX((INDEX(LH_Data,0,LH_ColFirst)=$A140)*(INDEX(LH_Data,0,LH_ColSur)=$B140)*(INDEX(LH_Data,0,LH_ColCat)=BonusCat)*ROW(LH_Data)))))</f>
        <v/>
      </c>
      <c r="BE140" s="19" t="str">
        <f aca="false">IF(AG140=0,"",IF(EOMONTH(AsOfDate,-1)&lt;AH140,-1,12*(YEAR(EOMONTH(AsOfDate,-1))-YEAR(AH140))+MONTH(EOMONTH(AsOfDate,-1))-MONTH(AH140)-IF(DAY(EOMONTH(AsOfDate,-1))&lt;MIN(DAY(AH140),DAY(EOMONTH(EOMONTH(AsOfDate,-1),0))),1,0)))</f>
        <v/>
      </c>
      <c r="BF140" s="19" t="str">
        <f aca="false">IF(AG140=0,"",IF(OR(AI140&lt;2,AK140&gt;EOMONTH(AsOfDate,-1)),BE140,IF((AK140-1)&lt;AH140,-1,12*(YEAR((AK140-1))-YEAR(AH140))+MONTH((AK140-1))-MONTH(AH140)-IF(DAY((AK140-1))&lt;MIN(DAY(AH140),DAY(EOMONTH((AK140-1),0))),1,0))))</f>
        <v/>
      </c>
      <c r="BG140" s="19" t="str">
        <f aca="false">IF(AG140=0,"",IF(OR(AI140&lt;3,AL140&gt;EOMONTH(AsOfDate,-1)),BE140,IF((AL140-1)&lt;AH140,-1,12*(YEAR((AL140-1))-YEAR(AH140))+MONTH((AL140-1))-MONTH(AH140)-IF(DAY((AL140-1))&lt;MIN(DAY(AH140),DAY(EOMONTH((AL140-1),0))),1,0))))</f>
        <v/>
      </c>
      <c r="BH140" s="19" t="str">
        <f aca="false">IF(AG140=0,"",IF(AP140="FT",IF(BF140&lt;FT_First,0,IF(BF140&lt;FT_Y5,1+INT((BF140-FT_First)/FT_Int1),FT_PreY5+FT_PerYear*INT((BF140-FT_Y5)/12)+FT_AnnivDays+INT(MOD(BF140-FT_Y5,12)/FT_Int2))),IF(AP140="PT",IF(BF140&lt;PT_First,0,1+INT((BF140-PT_First)/PT_Int)),0))+IF(AND(AI140&gt;=2,AK140&lt;=EOMONTH(AsOfDate,-1)),IF(AQ140="FT",IF(BG140&lt;FT_First,0,IF(BG140&lt;FT_Y5,1+INT((BG140-FT_First)/FT_Int1),FT_PreY5+FT_PerYear*INT((BG140-FT_Y5)/12)+FT_AnnivDays+INT(MOD(BG140-FT_Y5,12)/FT_Int2))),IF(AQ140="PT",IF(BG140&lt;PT_First,0,1+INT((BG140-PT_First)/PT_Int)),0))-IF(AQ140="FT",IF(BF140&lt;FT_First,0,IF(BF140&lt;FT_Y5,1+INT((BF140-FT_First)/FT_Int1),FT_PreY5+FT_PerYear*INT((BF140-FT_Y5)/12)+FT_AnnivDays+INT(MOD(BF140-FT_Y5,12)/FT_Int2))),IF(AQ140="PT",IF(BF140&lt;PT_First,0,1+INT((BF140-PT_First)/PT_Int)),0)),0)+IF(AND(AI140&gt;=3,AL140&lt;=EOMONTH(AsOfDate,-1)),IF(AR140="FT",IF(BE140&lt;FT_First,0,IF(BE140&lt;FT_Y5,1+INT((BE140-FT_First)/FT_Int1),FT_PreY5+FT_PerYear*INT((BE140-FT_Y5)/12)+FT_AnnivDays+INT(MOD(BE140-FT_Y5,12)/FT_Int2))),IF(AR140="PT",IF(BE140&lt;PT_First,0,1+INT((BE140-PT_First)/PT_Int)),0))-IF(AR140="FT",IF(BG140&lt;FT_First,0,IF(BG140&lt;FT_Y5,1+INT((BG140-FT_First)/FT_Int1),FT_PreY5+FT_PerYear*INT((BG140-FT_Y5)/12)+FT_AnnivDays+INT(MOD(BG140-FT_Y5,12)/FT_Int2))),IF(AR140="PT",IF(BG140&lt;PT_First,0,1+INT((BG140-PT_First)/PT_Int)),0)),0))</f>
        <v/>
      </c>
      <c r="BI140" s="19" t="str">
        <f aca="false">IF(AG140=0,"",IF(AS140="FT",IF(AT140&lt;FT_First,"",IF(AT140&lt;FT_Y5,FT_First+FT_Int1*INT((AT140-FT_First)/FT_Int1),FT_Y5+FT_Int2*INT((AT140-FT_Y5)/FT_Int2))),IF(AS140="PT",IF(AT140&lt;PT_First,"",PT_First+PT_Int*INT((AT140-PT_First)/PT_Int)),"")))</f>
        <v/>
      </c>
      <c r="BJ140" s="0" t="str">
        <f aca="false">IF(LEN($A140&amp;$B140)=0,"",$A140&amp;" "&amp;$B140)</f>
        <v/>
      </c>
    </row>
    <row r="141" customFormat="false" ht="15" hidden="false" customHeight="false" outlineLevel="0" collapsed="false">
      <c r="A141" s="15"/>
      <c r="B141" s="15"/>
      <c r="C141" s="15"/>
      <c r="D141" s="16"/>
      <c r="E141" s="17" t="str">
        <f aca="false">IF(OR(AG141=0,$D141=""),"",DATE(YEAR(AsOfDate)+IF(DATE(YEAR(AsOfDate),MONTH($D141),DAY($D141))&lt;=AsOfDate,1,0),MONTH($D141),DAY($D141)))</f>
        <v/>
      </c>
      <c r="F141" s="16"/>
      <c r="G141" s="16"/>
      <c r="H141" s="16"/>
      <c r="I141" s="16"/>
      <c r="J141" s="16"/>
      <c r="K141" s="17" t="str">
        <f aca="false">IF(AG141=0,"",DATE(YEAR(AsOfDate)+IF(DATE(YEAR(AsOfDate),MONTH(AH141),DAY(AH141))&lt;=AsOfDate,1,0),MONTH(AH141),DAY(AH141)))</f>
        <v/>
      </c>
      <c r="L141" s="18" t="str">
        <f aca="false">IF(AG141=0,"",ROUND((AsOfDate-AH141)/365.25,1))</f>
        <v/>
      </c>
      <c r="M141" s="19" t="str">
        <f aca="false">IF(AG141=0,"",IF(AsOfDate&lt;AH141,"-",DATEDIF(AH141,AsOfDate,"y")&amp;"y "&amp;DATEDIF(AH141,AsOfDate,"ym")&amp;"m "&amp;DATEDIF(AH141,AsOfDate,"md")&amp;"d"))</f>
        <v/>
      </c>
      <c r="N141" s="20" t="str">
        <f aca="false">IF(AG141=0,"",O141*HoursPerDay)</f>
        <v/>
      </c>
      <c r="O141" s="20" t="str">
        <f aca="false">IF(AG141=0,"",AZ141)</f>
        <v/>
      </c>
      <c r="P141" s="21"/>
      <c r="Q141" s="19"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19"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7" t="str">
        <f aca="false">IF(AG141=0,"",IF(AS141="None","",EDATE(AH141,BB141)))</f>
        <v/>
      </c>
      <c r="T141" s="20" t="str">
        <f aca="false">IF(AG141=0,"",IF(NOT(LH_Ready),"",IF(AH141&gt;PFYDate,0,IF(LH_ColPeriod=0,W141-U141+V141,SUMIFS(INDEX(LH_Data,0,LH_ColAcc),INDEX(LH_Data,0,LH_ColFirst),$A141,INDEX(LH_Data,0,LH_ColSur),$B141,INDEX(LH_Data,0,LH_ColCat),BonusCat,INDEX(LH_Data,0,LH_ColPeriod),LH_OpenLabel)*UnitFactor))))</f>
        <v/>
      </c>
      <c r="U141" s="20" t="str">
        <f aca="false">IF(AG141=0,"",IF(NOT(LH_Ready),"",SUMIFS(INDEX(LH_Data,0,LH_ColAcc),INDEX(LH_Data,0,LH_ColFirst),$A141,INDEX(LH_Data,0,LH_ColSur),$B141,INDEX(LH_Data,0,LH_ColCat),BonusCat,INDEX(LH_Data,0,LH_ColStart),"&gt;="&amp;AH141)*UnitFactor))</f>
        <v/>
      </c>
      <c r="V141" s="20" t="str">
        <f aca="false">IF(AG141=0,"",IF(NOT(LH_Ready),"",SUMIFS(INDEX(LH_Data,0,LH_ColTaken),INDEX(LH_Data,0,LH_ColFirst),$A141,INDEX(LH_Data,0,LH_ColSur),$B141,INDEX(LH_Data,0,LH_ColCat),BonusCat,INDEX(LH_Data,0,LH_ColStart),"&gt;="&amp;AH141)*UnitFactor))</f>
        <v/>
      </c>
      <c r="W141" s="20" t="str">
        <f aca="false">IF(AG141=0,"",IF(NOT(LH_Ready),"",IF(BD141=0,0,INDEX(INDEX(LH_Data,0,LH_ColClose),BD141-1)*UnitFactor)))</f>
        <v/>
      </c>
      <c r="X141" s="20" t="str">
        <f aca="false">IF(AG141=0,"",(AZ141-BA141)*HoursPerDay)</f>
        <v/>
      </c>
      <c r="Y141" s="20" t="str">
        <f aca="false">IF(AG141=0,"",IF(NOT(LH_Ready),"",IF(BC141=0,N141,IF(PFYDate&lt;$F141,N141-N(T141)-N(U141),X141-N(U141)))))</f>
        <v/>
      </c>
      <c r="Z141" s="19" t="str">
        <f aca="false">IF(OR(AG141=0,Y141=""),"",IF(Y141&gt;0,"Yes","No"))</f>
        <v/>
      </c>
      <c r="AA141" s="19"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20" t="str">
        <f aca="false">IF(OR(AG141=0,T141=""),"",BA141*HoursPerDay-T141)</f>
        <v/>
      </c>
      <c r="AC141" s="19" t="str">
        <f aca="false">IF(AG141=0,"",BC141)</f>
        <v/>
      </c>
      <c r="AD141" s="19"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20" t="str">
        <f aca="false">IF(AG141=0,"",O141-BH141)</f>
        <v/>
      </c>
      <c r="AF141" s="17" t="str">
        <f aca="false">IF(OR(AG141=0,AE141="",N(AE141)=0,BI141=""),"",EDATE(AH141,BI141))</f>
        <v/>
      </c>
      <c r="AG141" s="19" t="n">
        <f aca="false">IF(OR(LEN($A141&amp;$B141)=0,$F141=""),0,1)</f>
        <v>0</v>
      </c>
      <c r="AH141" s="17" t="str">
        <f aca="false">IF(AG141=0,"",IF($J141&lt;&gt;"",$J141,IF(OR(CasualCounts="Yes",COUNT($G141:$I141)=0,COUNT($H141:$I141)=0),$F141,MIN($H141:$I141))))</f>
        <v/>
      </c>
      <c r="AI141" s="19" t="str">
        <f aca="false">IF(AG141=0,"",COUNT($G141:$I141))</f>
        <v/>
      </c>
      <c r="AJ141" s="17" t="str">
        <f aca="false">IF(AG141=0,"",IFERROR(SMALL($G141:$I141,1),""))</f>
        <v/>
      </c>
      <c r="AK141" s="17" t="str">
        <f aca="false">IF(AG141=0,"",IFERROR(SMALL($G141:$I141,2),""))</f>
        <v/>
      </c>
      <c r="AL141" s="17" t="str">
        <f aca="false">IF(AG141=0,"",IFERROR(SMALL($G141:$I141,3),""))</f>
        <v/>
      </c>
      <c r="AM141" s="19" t="str">
        <f aca="false">IF(AG141=0,"",IF(AJ141="","",IF(AJ141=$H141,"Part-Time",IF(AJ141=$I141,"Full-Time","Casual"))))</f>
        <v/>
      </c>
      <c r="AN141" s="19" t="str">
        <f aca="false">IF(AG141=0,"",IF(AK141="","",IF(AK141=$H141,"Part-Time",IF(AK141=$I141,"Full-Time","Casual"))))</f>
        <v/>
      </c>
      <c r="AO141" s="19" t="str">
        <f aca="false">IF(AG141=0,"",IF(AL141="","",IF(AL141=$H141,"Part-Time",IF(AL141=$I141,"Full-Time","Casual"))))</f>
        <v/>
      </c>
      <c r="AP141" s="19"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19" t="str">
        <f aca="false">IF(AG141=0,"",IF(AI141&lt;2,"",IF(OR(ISNUMBER(SEARCH("full",AN141)),UPPER(TRIM(AN141))="FT",UPPER(TRIM(AN141))="FTE"),"FT",IF(AND(OR(ISNUMBER(SEARCH("part",AN141)),UPPER(TRIM(AN141))="PT",UPPER(TRIM(AN141))="PTE"),OR($P141="",N($P141)&gt;=PT_MinHours)),"PT","None"))))</f>
        <v/>
      </c>
      <c r="AR141" s="19" t="str">
        <f aca="false">IF(AG141=0,"",IF(AI141&lt;3,"",IF(OR(ISNUMBER(SEARCH("full",AO141)),UPPER(TRIM(AO141))="FT",UPPER(TRIM(AO141))="FTE"),"FT",IF(AND(OR(ISNUMBER(SEARCH("part",AO141)),UPPER(TRIM(AO141))="PT",UPPER(TRIM(AO141))="PTE"),OR($P141="",N($P141)&gt;=PT_MinHours)),"PT","None"))))</f>
        <v/>
      </c>
      <c r="AS141" s="19" t="str">
        <f aca="false">IF(AG141=0,"",IF(AND(AI141&gt;=3,AL141&lt;=AsOfDate),AR141,IF(AND(AI141&gt;=2,AK141&lt;=AsOfDate),AQ141,AP141)))</f>
        <v/>
      </c>
      <c r="AT141" s="19" t="str">
        <f aca="false">IF(AG141=0,"",IF(AsOfDate&lt;AH141,-1,12*(YEAR(AsOfDate)-YEAR(AH141))+MONTH(AsOfDate)-MONTH(AH141)-IF(DAY(AsOfDate)&lt;MIN(DAY(AH141),DAY(EOMONTH(AsOfDate,0))),1,0)))</f>
        <v/>
      </c>
      <c r="AU141" s="19" t="str">
        <f aca="false">IF(AG141=0,"",IF(OR(AI141&lt;2,AK141&gt;AsOfDate),AT141,IF((AK141-1)&lt;AH141,-1,12*(YEAR((AK141-1))-YEAR(AH141))+MONTH((AK141-1))-MONTH(AH141)-IF(DAY((AK141-1))&lt;MIN(DAY(AH141),DAY(EOMONTH((AK141-1),0))),1,0))))</f>
        <v/>
      </c>
      <c r="AV141" s="19" t="str">
        <f aca="false">IF(AG141=0,"",IF(OR(AI141&lt;3,AL141&gt;AsOfDate),AT141,IF((AL141-1)&lt;AH141,-1,12*(YEAR((AL141-1))-YEAR(AH141))+MONTH((AL141-1))-MONTH(AH141)-IF(DAY((AL141-1))&lt;MIN(DAY(AH141),DAY(EOMONTH((AL141-1),0))),1,0))))</f>
        <v/>
      </c>
      <c r="AW141" s="19" t="str">
        <f aca="false">IF(AG141=0,"",IF(PFYDate&lt;AH141,-1,12*(YEAR(PFYDate)-YEAR(AH141))+MONTH(PFYDate)-MONTH(AH141)-IF(DAY(PFYDate)&lt;MIN(DAY(AH141),DAY(EOMONTH(PFYDate,0))),1,0)))</f>
        <v/>
      </c>
      <c r="AX141" s="19" t="str">
        <f aca="false">IF(AG141=0,"",IF(OR(AI141&lt;2,AK141&gt;PFYDate),AW141,IF((AK141-1)&lt;AH141,-1,12*(YEAR((AK141-1))-YEAR(AH141))+MONTH((AK141-1))-MONTH(AH141)-IF(DAY((AK141-1))&lt;MIN(DAY(AH141),DAY(EOMONTH((AK141-1),0))),1,0))))</f>
        <v/>
      </c>
      <c r="AY141" s="19" t="str">
        <f aca="false">IF(AG141=0,"",IF(OR(AI141&lt;3,AL141&gt;PFYDate),AW141,IF((AL141-1)&lt;AH141,-1,12*(YEAR((AL141-1))-YEAR(AH141))+MONTH((AL141-1))-MONTH(AH141)-IF(DAY((AL141-1))&lt;MIN(DAY(AH141),DAY(EOMONTH((AL141-1),0))),1,0))))</f>
        <v/>
      </c>
      <c r="AZ141" s="19" t="str">
        <f aca="false">IF(AG141=0,"",IF(AP141="FT",IF(AU141&lt;FT_First,0,IF(AU141&lt;FT_Y5,1+INT((AU141-FT_First)/FT_Int1),FT_PreY5+FT_PerYear*INT((AU141-FT_Y5)/12)+FT_AnnivDays+INT(MOD(AU141-FT_Y5,12)/FT_Int2))),IF(AP141="PT",IF(AU141&lt;PT_First,0,1+INT((AU141-PT_First)/PT_Int)),0))+IF(AND(AI141&gt;=2,AK141&lt;=AsOfDate),IF(AQ141="FT",IF(AV141&lt;FT_First,0,IF(AV141&lt;FT_Y5,1+INT((AV141-FT_First)/FT_Int1),FT_PreY5+FT_PerYear*INT((AV141-FT_Y5)/12)+FT_AnnivDays+INT(MOD(AV141-FT_Y5,12)/FT_Int2))),IF(AQ141="PT",IF(AV141&lt;PT_First,0,1+INT((AV141-PT_First)/PT_Int)),0))-IF(AQ141="FT",IF(AU141&lt;FT_First,0,IF(AU141&lt;FT_Y5,1+INT((AU141-FT_First)/FT_Int1),FT_PreY5+FT_PerYear*INT((AU141-FT_Y5)/12)+FT_AnnivDays+INT(MOD(AU141-FT_Y5,12)/FT_Int2))),IF(AQ141="PT",IF(AU141&lt;PT_First,0,1+INT((AU141-PT_First)/PT_Int)),0)),0)+IF(AND(AI141&gt;=3,AL141&lt;=AsOfDate),IF(AR141="FT",IF(AT141&lt;FT_First,0,IF(AT141&lt;FT_Y5,1+INT((AT141-FT_First)/FT_Int1),FT_PreY5+FT_PerYear*INT((AT141-FT_Y5)/12)+FT_AnnivDays+INT(MOD(AT141-FT_Y5,12)/FT_Int2))),IF(AR141="PT",IF(AT141&lt;PT_First,0,1+INT((AT141-PT_First)/PT_Int)),0))-IF(AR141="FT",IF(AV141&lt;FT_First,0,IF(AV141&lt;FT_Y5,1+INT((AV141-FT_First)/FT_Int1),FT_PreY5+FT_PerYear*INT((AV141-FT_Y5)/12)+FT_AnnivDays+INT(MOD(AV141-FT_Y5,12)/FT_Int2))),IF(AR141="PT",IF(AV141&lt;PT_First,0,1+INT((AV141-PT_First)/PT_Int)),0)),0))</f>
        <v/>
      </c>
      <c r="BA141" s="19" t="str">
        <f aca="false">IF(AG141=0,"",IF(AP141="FT",IF(AX141&lt;FT_First,0,IF(AX141&lt;FT_Y5,1+INT((AX141-FT_First)/FT_Int1),FT_PreY5+FT_PerYear*INT((AX141-FT_Y5)/12)+FT_AnnivDays+INT(MOD(AX141-FT_Y5,12)/FT_Int2))),IF(AP141="PT",IF(AX141&lt;PT_First,0,1+INT((AX141-PT_First)/PT_Int)),0))+IF(AND(AI141&gt;=2,AK141&lt;=PFYDate),IF(AQ141="FT",IF(AY141&lt;FT_First,0,IF(AY141&lt;FT_Y5,1+INT((AY141-FT_First)/FT_Int1),FT_PreY5+FT_PerYear*INT((AY141-FT_Y5)/12)+FT_AnnivDays+INT(MOD(AY141-FT_Y5,12)/FT_Int2))),IF(AQ141="PT",IF(AY141&lt;PT_First,0,1+INT((AY141-PT_First)/PT_Int)),0))-IF(AQ141="FT",IF(AX141&lt;FT_First,0,IF(AX141&lt;FT_Y5,1+INT((AX141-FT_First)/FT_Int1),FT_PreY5+FT_PerYear*INT((AX141-FT_Y5)/12)+FT_AnnivDays+INT(MOD(AX141-FT_Y5,12)/FT_Int2))),IF(AQ141="PT",IF(AX141&lt;PT_First,0,1+INT((AX141-PT_First)/PT_Int)),0)),0)+IF(AND(AI141&gt;=3,AL141&lt;=PFYDate),IF(AR141="FT",IF(AW141&lt;FT_First,0,IF(AW141&lt;FT_Y5,1+INT((AW141-FT_First)/FT_Int1),FT_PreY5+FT_PerYear*INT((AW141-FT_Y5)/12)+FT_AnnivDays+INT(MOD(AW141-FT_Y5,12)/FT_Int2))),IF(AR141="PT",IF(AW141&lt;PT_First,0,1+INT((AW141-PT_First)/PT_Int)),0))-IF(AR141="FT",IF(AY141&lt;FT_First,0,IF(AY141&lt;FT_Y5,1+INT((AY141-FT_First)/FT_Int1),FT_PreY5+FT_PerYear*INT((AY141-FT_Y5)/12)+FT_AnnivDays+INT(MOD(AY141-FT_Y5,12)/FT_Int2))),IF(AR141="PT",IF(AY141&lt;PT_First,0,1+INT((AY141-PT_First)/PT_Int)),0)),0))</f>
        <v/>
      </c>
      <c r="BB141" s="19" t="str">
        <f aca="false">IF(AG141=0,"",IF(AS141="FT",IF(AT141&lt;FT_First,FT_First,IF(AT141&lt;FT_Y5,MIN(FT_Y5,FT_First+FT_Int1*(INT((AT141-FT_First)/FT_Int1)+1)),FT_Y5+12*INT((AT141-FT_Y5)/12)+FT_Int2*(INT(MOD(AT141-FT_Y5,12)/FT_Int2)+1))),IF(AS141="PT",IF(AT141&lt;PT_First,PT_First,PT_First+PT_Int*(INT((AT141-PT_First)/PT_Int)+1)),"")))</f>
        <v/>
      </c>
      <c r="BC141" s="19" t="str">
        <f aca="false">IF(AG141=0,"",IF(NOT(LH_Ready),0,COUNTIFS(INDEX(LH_Data,0,LH_ColFirst),$A141,INDEX(LH_Data,0,LH_ColSur),$B141,INDEX(LH_Data,0,LH_ColCat),BonusCat)))</f>
        <v/>
      </c>
      <c r="BD141" s="19" t="str">
        <f aca="false">IF(AG141=0,"",IF(OR(NOT(LH_Ready),BC141=0),0,SUMPRODUCT(MAX((INDEX(LH_Data,0,LH_ColFirst)=$A141)*(INDEX(LH_Data,0,LH_ColSur)=$B141)*(INDEX(LH_Data,0,LH_ColCat)=BonusCat)*ROW(LH_Data)))))</f>
        <v/>
      </c>
      <c r="BE141" s="19" t="str">
        <f aca="false">IF(AG141=0,"",IF(EOMONTH(AsOfDate,-1)&lt;AH141,-1,12*(YEAR(EOMONTH(AsOfDate,-1))-YEAR(AH141))+MONTH(EOMONTH(AsOfDate,-1))-MONTH(AH141)-IF(DAY(EOMONTH(AsOfDate,-1))&lt;MIN(DAY(AH141),DAY(EOMONTH(EOMONTH(AsOfDate,-1),0))),1,0)))</f>
        <v/>
      </c>
      <c r="BF141" s="19" t="str">
        <f aca="false">IF(AG141=0,"",IF(OR(AI141&lt;2,AK141&gt;EOMONTH(AsOfDate,-1)),BE141,IF((AK141-1)&lt;AH141,-1,12*(YEAR((AK141-1))-YEAR(AH141))+MONTH((AK141-1))-MONTH(AH141)-IF(DAY((AK141-1))&lt;MIN(DAY(AH141),DAY(EOMONTH((AK141-1),0))),1,0))))</f>
        <v/>
      </c>
      <c r="BG141" s="19" t="str">
        <f aca="false">IF(AG141=0,"",IF(OR(AI141&lt;3,AL141&gt;EOMONTH(AsOfDate,-1)),BE141,IF((AL141-1)&lt;AH141,-1,12*(YEAR((AL141-1))-YEAR(AH141))+MONTH((AL141-1))-MONTH(AH141)-IF(DAY((AL141-1))&lt;MIN(DAY(AH141),DAY(EOMONTH((AL141-1),0))),1,0))))</f>
        <v/>
      </c>
      <c r="BH141" s="19" t="str">
        <f aca="false">IF(AG141=0,"",IF(AP141="FT",IF(BF141&lt;FT_First,0,IF(BF141&lt;FT_Y5,1+INT((BF141-FT_First)/FT_Int1),FT_PreY5+FT_PerYear*INT((BF141-FT_Y5)/12)+FT_AnnivDays+INT(MOD(BF141-FT_Y5,12)/FT_Int2))),IF(AP141="PT",IF(BF141&lt;PT_First,0,1+INT((BF141-PT_First)/PT_Int)),0))+IF(AND(AI141&gt;=2,AK141&lt;=EOMONTH(AsOfDate,-1)),IF(AQ141="FT",IF(BG141&lt;FT_First,0,IF(BG141&lt;FT_Y5,1+INT((BG141-FT_First)/FT_Int1),FT_PreY5+FT_PerYear*INT((BG141-FT_Y5)/12)+FT_AnnivDays+INT(MOD(BG141-FT_Y5,12)/FT_Int2))),IF(AQ141="PT",IF(BG141&lt;PT_First,0,1+INT((BG141-PT_First)/PT_Int)),0))-IF(AQ141="FT",IF(BF141&lt;FT_First,0,IF(BF141&lt;FT_Y5,1+INT((BF141-FT_First)/FT_Int1),FT_PreY5+FT_PerYear*INT((BF141-FT_Y5)/12)+FT_AnnivDays+INT(MOD(BF141-FT_Y5,12)/FT_Int2))),IF(AQ141="PT",IF(BF141&lt;PT_First,0,1+INT((BF141-PT_First)/PT_Int)),0)),0)+IF(AND(AI141&gt;=3,AL141&lt;=EOMONTH(AsOfDate,-1)),IF(AR141="FT",IF(BE141&lt;FT_First,0,IF(BE141&lt;FT_Y5,1+INT((BE141-FT_First)/FT_Int1),FT_PreY5+FT_PerYear*INT((BE141-FT_Y5)/12)+FT_AnnivDays+INT(MOD(BE141-FT_Y5,12)/FT_Int2))),IF(AR141="PT",IF(BE141&lt;PT_First,0,1+INT((BE141-PT_First)/PT_Int)),0))-IF(AR141="FT",IF(BG141&lt;FT_First,0,IF(BG141&lt;FT_Y5,1+INT((BG141-FT_First)/FT_Int1),FT_PreY5+FT_PerYear*INT((BG141-FT_Y5)/12)+FT_AnnivDays+INT(MOD(BG141-FT_Y5,12)/FT_Int2))),IF(AR141="PT",IF(BG141&lt;PT_First,0,1+INT((BG141-PT_First)/PT_Int)),0)),0))</f>
        <v/>
      </c>
      <c r="BI141" s="19" t="str">
        <f aca="false">IF(AG141=0,"",IF(AS141="FT",IF(AT141&lt;FT_First,"",IF(AT141&lt;FT_Y5,FT_First+FT_Int1*INT((AT141-FT_First)/FT_Int1),FT_Y5+FT_Int2*INT((AT141-FT_Y5)/FT_Int2))),IF(AS141="PT",IF(AT141&lt;PT_First,"",PT_First+PT_Int*INT((AT141-PT_First)/PT_Int)),"")))</f>
        <v/>
      </c>
      <c r="BJ141" s="0" t="str">
        <f aca="false">IF(LEN($A141&amp;$B141)=0,"",$A141&amp;" "&amp;$B141)</f>
        <v/>
      </c>
    </row>
    <row r="142" customFormat="false" ht="15" hidden="false" customHeight="false" outlineLevel="0" collapsed="false">
      <c r="A142" s="15"/>
      <c r="B142" s="15"/>
      <c r="C142" s="15"/>
      <c r="D142" s="16"/>
      <c r="E142" s="17" t="str">
        <f aca="false">IF(OR(AG142=0,$D142=""),"",DATE(YEAR(AsOfDate)+IF(DATE(YEAR(AsOfDate),MONTH($D142),DAY($D142))&lt;=AsOfDate,1,0),MONTH($D142),DAY($D142)))</f>
        <v/>
      </c>
      <c r="F142" s="16"/>
      <c r="G142" s="16"/>
      <c r="H142" s="16"/>
      <c r="I142" s="16"/>
      <c r="J142" s="16"/>
      <c r="K142" s="17" t="str">
        <f aca="false">IF(AG142=0,"",DATE(YEAR(AsOfDate)+IF(DATE(YEAR(AsOfDate),MONTH(AH142),DAY(AH142))&lt;=AsOfDate,1,0),MONTH(AH142),DAY(AH142)))</f>
        <v/>
      </c>
      <c r="L142" s="18" t="str">
        <f aca="false">IF(AG142=0,"",ROUND((AsOfDate-AH142)/365.25,1))</f>
        <v/>
      </c>
      <c r="M142" s="19" t="str">
        <f aca="false">IF(AG142=0,"",IF(AsOfDate&lt;AH142,"-",DATEDIF(AH142,AsOfDate,"y")&amp;"y "&amp;DATEDIF(AH142,AsOfDate,"ym")&amp;"m "&amp;DATEDIF(AH142,AsOfDate,"md")&amp;"d"))</f>
        <v/>
      </c>
      <c r="N142" s="20" t="str">
        <f aca="false">IF(AG142=0,"",O142*HoursPerDay)</f>
        <v/>
      </c>
      <c r="O142" s="20" t="str">
        <f aca="false">IF(AG142=0,"",AZ142)</f>
        <v/>
      </c>
      <c r="P142" s="21"/>
      <c r="Q142" s="19"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19"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7" t="str">
        <f aca="false">IF(AG142=0,"",IF(AS142="None","",EDATE(AH142,BB142)))</f>
        <v/>
      </c>
      <c r="T142" s="20" t="str">
        <f aca="false">IF(AG142=0,"",IF(NOT(LH_Ready),"",IF(AH142&gt;PFYDate,0,IF(LH_ColPeriod=0,W142-U142+V142,SUMIFS(INDEX(LH_Data,0,LH_ColAcc),INDEX(LH_Data,0,LH_ColFirst),$A142,INDEX(LH_Data,0,LH_ColSur),$B142,INDEX(LH_Data,0,LH_ColCat),BonusCat,INDEX(LH_Data,0,LH_ColPeriod),LH_OpenLabel)*UnitFactor))))</f>
        <v/>
      </c>
      <c r="U142" s="20" t="str">
        <f aca="false">IF(AG142=0,"",IF(NOT(LH_Ready),"",SUMIFS(INDEX(LH_Data,0,LH_ColAcc),INDEX(LH_Data,0,LH_ColFirst),$A142,INDEX(LH_Data,0,LH_ColSur),$B142,INDEX(LH_Data,0,LH_ColCat),BonusCat,INDEX(LH_Data,0,LH_ColStart),"&gt;="&amp;AH142)*UnitFactor))</f>
        <v/>
      </c>
      <c r="V142" s="20" t="str">
        <f aca="false">IF(AG142=0,"",IF(NOT(LH_Ready),"",SUMIFS(INDEX(LH_Data,0,LH_ColTaken),INDEX(LH_Data,0,LH_ColFirst),$A142,INDEX(LH_Data,0,LH_ColSur),$B142,INDEX(LH_Data,0,LH_ColCat),BonusCat,INDEX(LH_Data,0,LH_ColStart),"&gt;="&amp;AH142)*UnitFactor))</f>
        <v/>
      </c>
      <c r="W142" s="20" t="str">
        <f aca="false">IF(AG142=0,"",IF(NOT(LH_Ready),"",IF(BD142=0,0,INDEX(INDEX(LH_Data,0,LH_ColClose),BD142-1)*UnitFactor)))</f>
        <v/>
      </c>
      <c r="X142" s="20" t="str">
        <f aca="false">IF(AG142=0,"",(AZ142-BA142)*HoursPerDay)</f>
        <v/>
      </c>
      <c r="Y142" s="20" t="str">
        <f aca="false">IF(AG142=0,"",IF(NOT(LH_Ready),"",IF(BC142=0,N142,IF(PFYDate&lt;$F142,N142-N(T142)-N(U142),X142-N(U142)))))</f>
        <v/>
      </c>
      <c r="Z142" s="19" t="str">
        <f aca="false">IF(OR(AG142=0,Y142=""),"",IF(Y142&gt;0,"Yes","No"))</f>
        <v/>
      </c>
      <c r="AA142" s="19"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20" t="str">
        <f aca="false">IF(OR(AG142=0,T142=""),"",BA142*HoursPerDay-T142)</f>
        <v/>
      </c>
      <c r="AC142" s="19" t="str">
        <f aca="false">IF(AG142=0,"",BC142)</f>
        <v/>
      </c>
      <c r="AD142" s="19"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20" t="str">
        <f aca="false">IF(AG142=0,"",O142-BH142)</f>
        <v/>
      </c>
      <c r="AF142" s="17" t="str">
        <f aca="false">IF(OR(AG142=0,AE142="",N(AE142)=0,BI142=""),"",EDATE(AH142,BI142))</f>
        <v/>
      </c>
      <c r="AG142" s="19" t="n">
        <f aca="false">IF(OR(LEN($A142&amp;$B142)=0,$F142=""),0,1)</f>
        <v>0</v>
      </c>
      <c r="AH142" s="17" t="str">
        <f aca="false">IF(AG142=0,"",IF($J142&lt;&gt;"",$J142,IF(OR(CasualCounts="Yes",COUNT($G142:$I142)=0,COUNT($H142:$I142)=0),$F142,MIN($H142:$I142))))</f>
        <v/>
      </c>
      <c r="AI142" s="19" t="str">
        <f aca="false">IF(AG142=0,"",COUNT($G142:$I142))</f>
        <v/>
      </c>
      <c r="AJ142" s="17" t="str">
        <f aca="false">IF(AG142=0,"",IFERROR(SMALL($G142:$I142,1),""))</f>
        <v/>
      </c>
      <c r="AK142" s="17" t="str">
        <f aca="false">IF(AG142=0,"",IFERROR(SMALL($G142:$I142,2),""))</f>
        <v/>
      </c>
      <c r="AL142" s="17" t="str">
        <f aca="false">IF(AG142=0,"",IFERROR(SMALL($G142:$I142,3),""))</f>
        <v/>
      </c>
      <c r="AM142" s="19" t="str">
        <f aca="false">IF(AG142=0,"",IF(AJ142="","",IF(AJ142=$H142,"Part-Time",IF(AJ142=$I142,"Full-Time","Casual"))))</f>
        <v/>
      </c>
      <c r="AN142" s="19" t="str">
        <f aca="false">IF(AG142=0,"",IF(AK142="","",IF(AK142=$H142,"Part-Time",IF(AK142=$I142,"Full-Time","Casual"))))</f>
        <v/>
      </c>
      <c r="AO142" s="19" t="str">
        <f aca="false">IF(AG142=0,"",IF(AL142="","",IF(AL142=$H142,"Part-Time",IF(AL142=$I142,"Full-Time","Casual"))))</f>
        <v/>
      </c>
      <c r="AP142" s="19"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19" t="str">
        <f aca="false">IF(AG142=0,"",IF(AI142&lt;2,"",IF(OR(ISNUMBER(SEARCH("full",AN142)),UPPER(TRIM(AN142))="FT",UPPER(TRIM(AN142))="FTE"),"FT",IF(AND(OR(ISNUMBER(SEARCH("part",AN142)),UPPER(TRIM(AN142))="PT",UPPER(TRIM(AN142))="PTE"),OR($P142="",N($P142)&gt;=PT_MinHours)),"PT","None"))))</f>
        <v/>
      </c>
      <c r="AR142" s="19" t="str">
        <f aca="false">IF(AG142=0,"",IF(AI142&lt;3,"",IF(OR(ISNUMBER(SEARCH("full",AO142)),UPPER(TRIM(AO142))="FT",UPPER(TRIM(AO142))="FTE"),"FT",IF(AND(OR(ISNUMBER(SEARCH("part",AO142)),UPPER(TRIM(AO142))="PT",UPPER(TRIM(AO142))="PTE"),OR($P142="",N($P142)&gt;=PT_MinHours)),"PT","None"))))</f>
        <v/>
      </c>
      <c r="AS142" s="19" t="str">
        <f aca="false">IF(AG142=0,"",IF(AND(AI142&gt;=3,AL142&lt;=AsOfDate),AR142,IF(AND(AI142&gt;=2,AK142&lt;=AsOfDate),AQ142,AP142)))</f>
        <v/>
      </c>
      <c r="AT142" s="19" t="str">
        <f aca="false">IF(AG142=0,"",IF(AsOfDate&lt;AH142,-1,12*(YEAR(AsOfDate)-YEAR(AH142))+MONTH(AsOfDate)-MONTH(AH142)-IF(DAY(AsOfDate)&lt;MIN(DAY(AH142),DAY(EOMONTH(AsOfDate,0))),1,0)))</f>
        <v/>
      </c>
      <c r="AU142" s="19" t="str">
        <f aca="false">IF(AG142=0,"",IF(OR(AI142&lt;2,AK142&gt;AsOfDate),AT142,IF((AK142-1)&lt;AH142,-1,12*(YEAR((AK142-1))-YEAR(AH142))+MONTH((AK142-1))-MONTH(AH142)-IF(DAY((AK142-1))&lt;MIN(DAY(AH142),DAY(EOMONTH((AK142-1),0))),1,0))))</f>
        <v/>
      </c>
      <c r="AV142" s="19" t="str">
        <f aca="false">IF(AG142=0,"",IF(OR(AI142&lt;3,AL142&gt;AsOfDate),AT142,IF((AL142-1)&lt;AH142,-1,12*(YEAR((AL142-1))-YEAR(AH142))+MONTH((AL142-1))-MONTH(AH142)-IF(DAY((AL142-1))&lt;MIN(DAY(AH142),DAY(EOMONTH((AL142-1),0))),1,0))))</f>
        <v/>
      </c>
      <c r="AW142" s="19" t="str">
        <f aca="false">IF(AG142=0,"",IF(PFYDate&lt;AH142,-1,12*(YEAR(PFYDate)-YEAR(AH142))+MONTH(PFYDate)-MONTH(AH142)-IF(DAY(PFYDate)&lt;MIN(DAY(AH142),DAY(EOMONTH(PFYDate,0))),1,0)))</f>
        <v/>
      </c>
      <c r="AX142" s="19" t="str">
        <f aca="false">IF(AG142=0,"",IF(OR(AI142&lt;2,AK142&gt;PFYDate),AW142,IF((AK142-1)&lt;AH142,-1,12*(YEAR((AK142-1))-YEAR(AH142))+MONTH((AK142-1))-MONTH(AH142)-IF(DAY((AK142-1))&lt;MIN(DAY(AH142),DAY(EOMONTH((AK142-1),0))),1,0))))</f>
        <v/>
      </c>
      <c r="AY142" s="19" t="str">
        <f aca="false">IF(AG142=0,"",IF(OR(AI142&lt;3,AL142&gt;PFYDate),AW142,IF((AL142-1)&lt;AH142,-1,12*(YEAR((AL142-1))-YEAR(AH142))+MONTH((AL142-1))-MONTH(AH142)-IF(DAY((AL142-1))&lt;MIN(DAY(AH142),DAY(EOMONTH((AL142-1),0))),1,0))))</f>
        <v/>
      </c>
      <c r="AZ142" s="19" t="str">
        <f aca="false">IF(AG142=0,"",IF(AP142="FT",IF(AU142&lt;FT_First,0,IF(AU142&lt;FT_Y5,1+INT((AU142-FT_First)/FT_Int1),FT_PreY5+FT_PerYear*INT((AU142-FT_Y5)/12)+FT_AnnivDays+INT(MOD(AU142-FT_Y5,12)/FT_Int2))),IF(AP142="PT",IF(AU142&lt;PT_First,0,1+INT((AU142-PT_First)/PT_Int)),0))+IF(AND(AI142&gt;=2,AK142&lt;=AsOfDate),IF(AQ142="FT",IF(AV142&lt;FT_First,0,IF(AV142&lt;FT_Y5,1+INT((AV142-FT_First)/FT_Int1),FT_PreY5+FT_PerYear*INT((AV142-FT_Y5)/12)+FT_AnnivDays+INT(MOD(AV142-FT_Y5,12)/FT_Int2))),IF(AQ142="PT",IF(AV142&lt;PT_First,0,1+INT((AV142-PT_First)/PT_Int)),0))-IF(AQ142="FT",IF(AU142&lt;FT_First,0,IF(AU142&lt;FT_Y5,1+INT((AU142-FT_First)/FT_Int1),FT_PreY5+FT_PerYear*INT((AU142-FT_Y5)/12)+FT_AnnivDays+INT(MOD(AU142-FT_Y5,12)/FT_Int2))),IF(AQ142="PT",IF(AU142&lt;PT_First,0,1+INT((AU142-PT_First)/PT_Int)),0)),0)+IF(AND(AI142&gt;=3,AL142&lt;=AsOfDate),IF(AR142="FT",IF(AT142&lt;FT_First,0,IF(AT142&lt;FT_Y5,1+INT((AT142-FT_First)/FT_Int1),FT_PreY5+FT_PerYear*INT((AT142-FT_Y5)/12)+FT_AnnivDays+INT(MOD(AT142-FT_Y5,12)/FT_Int2))),IF(AR142="PT",IF(AT142&lt;PT_First,0,1+INT((AT142-PT_First)/PT_Int)),0))-IF(AR142="FT",IF(AV142&lt;FT_First,0,IF(AV142&lt;FT_Y5,1+INT((AV142-FT_First)/FT_Int1),FT_PreY5+FT_PerYear*INT((AV142-FT_Y5)/12)+FT_AnnivDays+INT(MOD(AV142-FT_Y5,12)/FT_Int2))),IF(AR142="PT",IF(AV142&lt;PT_First,0,1+INT((AV142-PT_First)/PT_Int)),0)),0))</f>
        <v/>
      </c>
      <c r="BA142" s="19" t="str">
        <f aca="false">IF(AG142=0,"",IF(AP142="FT",IF(AX142&lt;FT_First,0,IF(AX142&lt;FT_Y5,1+INT((AX142-FT_First)/FT_Int1),FT_PreY5+FT_PerYear*INT((AX142-FT_Y5)/12)+FT_AnnivDays+INT(MOD(AX142-FT_Y5,12)/FT_Int2))),IF(AP142="PT",IF(AX142&lt;PT_First,0,1+INT((AX142-PT_First)/PT_Int)),0))+IF(AND(AI142&gt;=2,AK142&lt;=PFYDate),IF(AQ142="FT",IF(AY142&lt;FT_First,0,IF(AY142&lt;FT_Y5,1+INT((AY142-FT_First)/FT_Int1),FT_PreY5+FT_PerYear*INT((AY142-FT_Y5)/12)+FT_AnnivDays+INT(MOD(AY142-FT_Y5,12)/FT_Int2))),IF(AQ142="PT",IF(AY142&lt;PT_First,0,1+INT((AY142-PT_First)/PT_Int)),0))-IF(AQ142="FT",IF(AX142&lt;FT_First,0,IF(AX142&lt;FT_Y5,1+INT((AX142-FT_First)/FT_Int1),FT_PreY5+FT_PerYear*INT((AX142-FT_Y5)/12)+FT_AnnivDays+INT(MOD(AX142-FT_Y5,12)/FT_Int2))),IF(AQ142="PT",IF(AX142&lt;PT_First,0,1+INT((AX142-PT_First)/PT_Int)),0)),0)+IF(AND(AI142&gt;=3,AL142&lt;=PFYDate),IF(AR142="FT",IF(AW142&lt;FT_First,0,IF(AW142&lt;FT_Y5,1+INT((AW142-FT_First)/FT_Int1),FT_PreY5+FT_PerYear*INT((AW142-FT_Y5)/12)+FT_AnnivDays+INT(MOD(AW142-FT_Y5,12)/FT_Int2))),IF(AR142="PT",IF(AW142&lt;PT_First,0,1+INT((AW142-PT_First)/PT_Int)),0))-IF(AR142="FT",IF(AY142&lt;FT_First,0,IF(AY142&lt;FT_Y5,1+INT((AY142-FT_First)/FT_Int1),FT_PreY5+FT_PerYear*INT((AY142-FT_Y5)/12)+FT_AnnivDays+INT(MOD(AY142-FT_Y5,12)/FT_Int2))),IF(AR142="PT",IF(AY142&lt;PT_First,0,1+INT((AY142-PT_First)/PT_Int)),0)),0))</f>
        <v/>
      </c>
      <c r="BB142" s="19" t="str">
        <f aca="false">IF(AG142=0,"",IF(AS142="FT",IF(AT142&lt;FT_First,FT_First,IF(AT142&lt;FT_Y5,MIN(FT_Y5,FT_First+FT_Int1*(INT((AT142-FT_First)/FT_Int1)+1)),FT_Y5+12*INT((AT142-FT_Y5)/12)+FT_Int2*(INT(MOD(AT142-FT_Y5,12)/FT_Int2)+1))),IF(AS142="PT",IF(AT142&lt;PT_First,PT_First,PT_First+PT_Int*(INT((AT142-PT_First)/PT_Int)+1)),"")))</f>
        <v/>
      </c>
      <c r="BC142" s="19" t="str">
        <f aca="false">IF(AG142=0,"",IF(NOT(LH_Ready),0,COUNTIFS(INDEX(LH_Data,0,LH_ColFirst),$A142,INDEX(LH_Data,0,LH_ColSur),$B142,INDEX(LH_Data,0,LH_ColCat),BonusCat)))</f>
        <v/>
      </c>
      <c r="BD142" s="19" t="str">
        <f aca="false">IF(AG142=0,"",IF(OR(NOT(LH_Ready),BC142=0),0,SUMPRODUCT(MAX((INDEX(LH_Data,0,LH_ColFirst)=$A142)*(INDEX(LH_Data,0,LH_ColSur)=$B142)*(INDEX(LH_Data,0,LH_ColCat)=BonusCat)*ROW(LH_Data)))))</f>
        <v/>
      </c>
      <c r="BE142" s="19" t="str">
        <f aca="false">IF(AG142=0,"",IF(EOMONTH(AsOfDate,-1)&lt;AH142,-1,12*(YEAR(EOMONTH(AsOfDate,-1))-YEAR(AH142))+MONTH(EOMONTH(AsOfDate,-1))-MONTH(AH142)-IF(DAY(EOMONTH(AsOfDate,-1))&lt;MIN(DAY(AH142),DAY(EOMONTH(EOMONTH(AsOfDate,-1),0))),1,0)))</f>
        <v/>
      </c>
      <c r="BF142" s="19" t="str">
        <f aca="false">IF(AG142=0,"",IF(OR(AI142&lt;2,AK142&gt;EOMONTH(AsOfDate,-1)),BE142,IF((AK142-1)&lt;AH142,-1,12*(YEAR((AK142-1))-YEAR(AH142))+MONTH((AK142-1))-MONTH(AH142)-IF(DAY((AK142-1))&lt;MIN(DAY(AH142),DAY(EOMONTH((AK142-1),0))),1,0))))</f>
        <v/>
      </c>
      <c r="BG142" s="19" t="str">
        <f aca="false">IF(AG142=0,"",IF(OR(AI142&lt;3,AL142&gt;EOMONTH(AsOfDate,-1)),BE142,IF((AL142-1)&lt;AH142,-1,12*(YEAR((AL142-1))-YEAR(AH142))+MONTH((AL142-1))-MONTH(AH142)-IF(DAY((AL142-1))&lt;MIN(DAY(AH142),DAY(EOMONTH((AL142-1),0))),1,0))))</f>
        <v/>
      </c>
      <c r="BH142" s="19" t="str">
        <f aca="false">IF(AG142=0,"",IF(AP142="FT",IF(BF142&lt;FT_First,0,IF(BF142&lt;FT_Y5,1+INT((BF142-FT_First)/FT_Int1),FT_PreY5+FT_PerYear*INT((BF142-FT_Y5)/12)+FT_AnnivDays+INT(MOD(BF142-FT_Y5,12)/FT_Int2))),IF(AP142="PT",IF(BF142&lt;PT_First,0,1+INT((BF142-PT_First)/PT_Int)),0))+IF(AND(AI142&gt;=2,AK142&lt;=EOMONTH(AsOfDate,-1)),IF(AQ142="FT",IF(BG142&lt;FT_First,0,IF(BG142&lt;FT_Y5,1+INT((BG142-FT_First)/FT_Int1),FT_PreY5+FT_PerYear*INT((BG142-FT_Y5)/12)+FT_AnnivDays+INT(MOD(BG142-FT_Y5,12)/FT_Int2))),IF(AQ142="PT",IF(BG142&lt;PT_First,0,1+INT((BG142-PT_First)/PT_Int)),0))-IF(AQ142="FT",IF(BF142&lt;FT_First,0,IF(BF142&lt;FT_Y5,1+INT((BF142-FT_First)/FT_Int1),FT_PreY5+FT_PerYear*INT((BF142-FT_Y5)/12)+FT_AnnivDays+INT(MOD(BF142-FT_Y5,12)/FT_Int2))),IF(AQ142="PT",IF(BF142&lt;PT_First,0,1+INT((BF142-PT_First)/PT_Int)),0)),0)+IF(AND(AI142&gt;=3,AL142&lt;=EOMONTH(AsOfDate,-1)),IF(AR142="FT",IF(BE142&lt;FT_First,0,IF(BE142&lt;FT_Y5,1+INT((BE142-FT_First)/FT_Int1),FT_PreY5+FT_PerYear*INT((BE142-FT_Y5)/12)+FT_AnnivDays+INT(MOD(BE142-FT_Y5,12)/FT_Int2))),IF(AR142="PT",IF(BE142&lt;PT_First,0,1+INT((BE142-PT_First)/PT_Int)),0))-IF(AR142="FT",IF(BG142&lt;FT_First,0,IF(BG142&lt;FT_Y5,1+INT((BG142-FT_First)/FT_Int1),FT_PreY5+FT_PerYear*INT((BG142-FT_Y5)/12)+FT_AnnivDays+INT(MOD(BG142-FT_Y5,12)/FT_Int2))),IF(AR142="PT",IF(BG142&lt;PT_First,0,1+INT((BG142-PT_First)/PT_Int)),0)),0))</f>
        <v/>
      </c>
      <c r="BI142" s="19" t="str">
        <f aca="false">IF(AG142=0,"",IF(AS142="FT",IF(AT142&lt;FT_First,"",IF(AT142&lt;FT_Y5,FT_First+FT_Int1*INT((AT142-FT_First)/FT_Int1),FT_Y5+FT_Int2*INT((AT142-FT_Y5)/FT_Int2))),IF(AS142="PT",IF(AT142&lt;PT_First,"",PT_First+PT_Int*INT((AT142-PT_First)/PT_Int)),"")))</f>
        <v/>
      </c>
      <c r="BJ142" s="0" t="str">
        <f aca="false">IF(LEN($A142&amp;$B142)=0,"",$A142&amp;" "&amp;$B142)</f>
        <v/>
      </c>
    </row>
    <row r="143" customFormat="false" ht="15" hidden="false" customHeight="false" outlineLevel="0" collapsed="false">
      <c r="A143" s="15"/>
      <c r="B143" s="15"/>
      <c r="C143" s="15"/>
      <c r="D143" s="16"/>
      <c r="E143" s="17" t="str">
        <f aca="false">IF(OR(AG143=0,$D143=""),"",DATE(YEAR(AsOfDate)+IF(DATE(YEAR(AsOfDate),MONTH($D143),DAY($D143))&lt;=AsOfDate,1,0),MONTH($D143),DAY($D143)))</f>
        <v/>
      </c>
      <c r="F143" s="16"/>
      <c r="G143" s="16"/>
      <c r="H143" s="16"/>
      <c r="I143" s="16"/>
      <c r="J143" s="16"/>
      <c r="K143" s="17" t="str">
        <f aca="false">IF(AG143=0,"",DATE(YEAR(AsOfDate)+IF(DATE(YEAR(AsOfDate),MONTH(AH143),DAY(AH143))&lt;=AsOfDate,1,0),MONTH(AH143),DAY(AH143)))</f>
        <v/>
      </c>
      <c r="L143" s="18" t="str">
        <f aca="false">IF(AG143=0,"",ROUND((AsOfDate-AH143)/365.25,1))</f>
        <v/>
      </c>
      <c r="M143" s="19" t="str">
        <f aca="false">IF(AG143=0,"",IF(AsOfDate&lt;AH143,"-",DATEDIF(AH143,AsOfDate,"y")&amp;"y "&amp;DATEDIF(AH143,AsOfDate,"ym")&amp;"m "&amp;DATEDIF(AH143,AsOfDate,"md")&amp;"d"))</f>
        <v/>
      </c>
      <c r="N143" s="20" t="str">
        <f aca="false">IF(AG143=0,"",O143*HoursPerDay)</f>
        <v/>
      </c>
      <c r="O143" s="20" t="str">
        <f aca="false">IF(AG143=0,"",AZ143)</f>
        <v/>
      </c>
      <c r="P143" s="21"/>
      <c r="Q143" s="19"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19"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7" t="str">
        <f aca="false">IF(AG143=0,"",IF(AS143="None","",EDATE(AH143,BB143)))</f>
        <v/>
      </c>
      <c r="T143" s="20" t="str">
        <f aca="false">IF(AG143=0,"",IF(NOT(LH_Ready),"",IF(AH143&gt;PFYDate,0,IF(LH_ColPeriod=0,W143-U143+V143,SUMIFS(INDEX(LH_Data,0,LH_ColAcc),INDEX(LH_Data,0,LH_ColFirst),$A143,INDEX(LH_Data,0,LH_ColSur),$B143,INDEX(LH_Data,0,LH_ColCat),BonusCat,INDEX(LH_Data,0,LH_ColPeriod),LH_OpenLabel)*UnitFactor))))</f>
        <v/>
      </c>
      <c r="U143" s="20" t="str">
        <f aca="false">IF(AG143=0,"",IF(NOT(LH_Ready),"",SUMIFS(INDEX(LH_Data,0,LH_ColAcc),INDEX(LH_Data,0,LH_ColFirst),$A143,INDEX(LH_Data,0,LH_ColSur),$B143,INDEX(LH_Data,0,LH_ColCat),BonusCat,INDEX(LH_Data,0,LH_ColStart),"&gt;="&amp;AH143)*UnitFactor))</f>
        <v/>
      </c>
      <c r="V143" s="20" t="str">
        <f aca="false">IF(AG143=0,"",IF(NOT(LH_Ready),"",SUMIFS(INDEX(LH_Data,0,LH_ColTaken),INDEX(LH_Data,0,LH_ColFirst),$A143,INDEX(LH_Data,0,LH_ColSur),$B143,INDEX(LH_Data,0,LH_ColCat),BonusCat,INDEX(LH_Data,0,LH_ColStart),"&gt;="&amp;AH143)*UnitFactor))</f>
        <v/>
      </c>
      <c r="W143" s="20" t="str">
        <f aca="false">IF(AG143=0,"",IF(NOT(LH_Ready),"",IF(BD143=0,0,INDEX(INDEX(LH_Data,0,LH_ColClose),BD143-1)*UnitFactor)))</f>
        <v/>
      </c>
      <c r="X143" s="20" t="str">
        <f aca="false">IF(AG143=0,"",(AZ143-BA143)*HoursPerDay)</f>
        <v/>
      </c>
      <c r="Y143" s="20" t="str">
        <f aca="false">IF(AG143=0,"",IF(NOT(LH_Ready),"",IF(BC143=0,N143,IF(PFYDate&lt;$F143,N143-N(T143)-N(U143),X143-N(U143)))))</f>
        <v/>
      </c>
      <c r="Z143" s="19" t="str">
        <f aca="false">IF(OR(AG143=0,Y143=""),"",IF(Y143&gt;0,"Yes","No"))</f>
        <v/>
      </c>
      <c r="AA143" s="19"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20" t="str">
        <f aca="false">IF(OR(AG143=0,T143=""),"",BA143*HoursPerDay-T143)</f>
        <v/>
      </c>
      <c r="AC143" s="19" t="str">
        <f aca="false">IF(AG143=0,"",BC143)</f>
        <v/>
      </c>
      <c r="AD143" s="19"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20" t="str">
        <f aca="false">IF(AG143=0,"",O143-BH143)</f>
        <v/>
      </c>
      <c r="AF143" s="17" t="str">
        <f aca="false">IF(OR(AG143=0,AE143="",N(AE143)=0,BI143=""),"",EDATE(AH143,BI143))</f>
        <v/>
      </c>
      <c r="AG143" s="19" t="n">
        <f aca="false">IF(OR(LEN($A143&amp;$B143)=0,$F143=""),0,1)</f>
        <v>0</v>
      </c>
      <c r="AH143" s="17" t="str">
        <f aca="false">IF(AG143=0,"",IF($J143&lt;&gt;"",$J143,IF(OR(CasualCounts="Yes",COUNT($G143:$I143)=0,COUNT($H143:$I143)=0),$F143,MIN($H143:$I143))))</f>
        <v/>
      </c>
      <c r="AI143" s="19" t="str">
        <f aca="false">IF(AG143=0,"",COUNT($G143:$I143))</f>
        <v/>
      </c>
      <c r="AJ143" s="17" t="str">
        <f aca="false">IF(AG143=0,"",IFERROR(SMALL($G143:$I143,1),""))</f>
        <v/>
      </c>
      <c r="AK143" s="17" t="str">
        <f aca="false">IF(AG143=0,"",IFERROR(SMALL($G143:$I143,2),""))</f>
        <v/>
      </c>
      <c r="AL143" s="17" t="str">
        <f aca="false">IF(AG143=0,"",IFERROR(SMALL($G143:$I143,3),""))</f>
        <v/>
      </c>
      <c r="AM143" s="19" t="str">
        <f aca="false">IF(AG143=0,"",IF(AJ143="","",IF(AJ143=$H143,"Part-Time",IF(AJ143=$I143,"Full-Time","Casual"))))</f>
        <v/>
      </c>
      <c r="AN143" s="19" t="str">
        <f aca="false">IF(AG143=0,"",IF(AK143="","",IF(AK143=$H143,"Part-Time",IF(AK143=$I143,"Full-Time","Casual"))))</f>
        <v/>
      </c>
      <c r="AO143" s="19" t="str">
        <f aca="false">IF(AG143=0,"",IF(AL143="","",IF(AL143=$H143,"Part-Time",IF(AL143=$I143,"Full-Time","Casual"))))</f>
        <v/>
      </c>
      <c r="AP143" s="19"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19" t="str">
        <f aca="false">IF(AG143=0,"",IF(AI143&lt;2,"",IF(OR(ISNUMBER(SEARCH("full",AN143)),UPPER(TRIM(AN143))="FT",UPPER(TRIM(AN143))="FTE"),"FT",IF(AND(OR(ISNUMBER(SEARCH("part",AN143)),UPPER(TRIM(AN143))="PT",UPPER(TRIM(AN143))="PTE"),OR($P143="",N($P143)&gt;=PT_MinHours)),"PT","None"))))</f>
        <v/>
      </c>
      <c r="AR143" s="19" t="str">
        <f aca="false">IF(AG143=0,"",IF(AI143&lt;3,"",IF(OR(ISNUMBER(SEARCH("full",AO143)),UPPER(TRIM(AO143))="FT",UPPER(TRIM(AO143))="FTE"),"FT",IF(AND(OR(ISNUMBER(SEARCH("part",AO143)),UPPER(TRIM(AO143))="PT",UPPER(TRIM(AO143))="PTE"),OR($P143="",N($P143)&gt;=PT_MinHours)),"PT","None"))))</f>
        <v/>
      </c>
      <c r="AS143" s="19" t="str">
        <f aca="false">IF(AG143=0,"",IF(AND(AI143&gt;=3,AL143&lt;=AsOfDate),AR143,IF(AND(AI143&gt;=2,AK143&lt;=AsOfDate),AQ143,AP143)))</f>
        <v/>
      </c>
      <c r="AT143" s="19" t="str">
        <f aca="false">IF(AG143=0,"",IF(AsOfDate&lt;AH143,-1,12*(YEAR(AsOfDate)-YEAR(AH143))+MONTH(AsOfDate)-MONTH(AH143)-IF(DAY(AsOfDate)&lt;MIN(DAY(AH143),DAY(EOMONTH(AsOfDate,0))),1,0)))</f>
        <v/>
      </c>
      <c r="AU143" s="19" t="str">
        <f aca="false">IF(AG143=0,"",IF(OR(AI143&lt;2,AK143&gt;AsOfDate),AT143,IF((AK143-1)&lt;AH143,-1,12*(YEAR((AK143-1))-YEAR(AH143))+MONTH((AK143-1))-MONTH(AH143)-IF(DAY((AK143-1))&lt;MIN(DAY(AH143),DAY(EOMONTH((AK143-1),0))),1,0))))</f>
        <v/>
      </c>
      <c r="AV143" s="19" t="str">
        <f aca="false">IF(AG143=0,"",IF(OR(AI143&lt;3,AL143&gt;AsOfDate),AT143,IF((AL143-1)&lt;AH143,-1,12*(YEAR((AL143-1))-YEAR(AH143))+MONTH((AL143-1))-MONTH(AH143)-IF(DAY((AL143-1))&lt;MIN(DAY(AH143),DAY(EOMONTH((AL143-1),0))),1,0))))</f>
        <v/>
      </c>
      <c r="AW143" s="19" t="str">
        <f aca="false">IF(AG143=0,"",IF(PFYDate&lt;AH143,-1,12*(YEAR(PFYDate)-YEAR(AH143))+MONTH(PFYDate)-MONTH(AH143)-IF(DAY(PFYDate)&lt;MIN(DAY(AH143),DAY(EOMONTH(PFYDate,0))),1,0)))</f>
        <v/>
      </c>
      <c r="AX143" s="19" t="str">
        <f aca="false">IF(AG143=0,"",IF(OR(AI143&lt;2,AK143&gt;PFYDate),AW143,IF((AK143-1)&lt;AH143,-1,12*(YEAR((AK143-1))-YEAR(AH143))+MONTH((AK143-1))-MONTH(AH143)-IF(DAY((AK143-1))&lt;MIN(DAY(AH143),DAY(EOMONTH((AK143-1),0))),1,0))))</f>
        <v/>
      </c>
      <c r="AY143" s="19" t="str">
        <f aca="false">IF(AG143=0,"",IF(OR(AI143&lt;3,AL143&gt;PFYDate),AW143,IF((AL143-1)&lt;AH143,-1,12*(YEAR((AL143-1))-YEAR(AH143))+MONTH((AL143-1))-MONTH(AH143)-IF(DAY((AL143-1))&lt;MIN(DAY(AH143),DAY(EOMONTH((AL143-1),0))),1,0))))</f>
        <v/>
      </c>
      <c r="AZ143" s="19" t="str">
        <f aca="false">IF(AG143=0,"",IF(AP143="FT",IF(AU143&lt;FT_First,0,IF(AU143&lt;FT_Y5,1+INT((AU143-FT_First)/FT_Int1),FT_PreY5+FT_PerYear*INT((AU143-FT_Y5)/12)+FT_AnnivDays+INT(MOD(AU143-FT_Y5,12)/FT_Int2))),IF(AP143="PT",IF(AU143&lt;PT_First,0,1+INT((AU143-PT_First)/PT_Int)),0))+IF(AND(AI143&gt;=2,AK143&lt;=AsOfDate),IF(AQ143="FT",IF(AV143&lt;FT_First,0,IF(AV143&lt;FT_Y5,1+INT((AV143-FT_First)/FT_Int1),FT_PreY5+FT_PerYear*INT((AV143-FT_Y5)/12)+FT_AnnivDays+INT(MOD(AV143-FT_Y5,12)/FT_Int2))),IF(AQ143="PT",IF(AV143&lt;PT_First,0,1+INT((AV143-PT_First)/PT_Int)),0))-IF(AQ143="FT",IF(AU143&lt;FT_First,0,IF(AU143&lt;FT_Y5,1+INT((AU143-FT_First)/FT_Int1),FT_PreY5+FT_PerYear*INT((AU143-FT_Y5)/12)+FT_AnnivDays+INT(MOD(AU143-FT_Y5,12)/FT_Int2))),IF(AQ143="PT",IF(AU143&lt;PT_First,0,1+INT((AU143-PT_First)/PT_Int)),0)),0)+IF(AND(AI143&gt;=3,AL143&lt;=AsOfDate),IF(AR143="FT",IF(AT143&lt;FT_First,0,IF(AT143&lt;FT_Y5,1+INT((AT143-FT_First)/FT_Int1),FT_PreY5+FT_PerYear*INT((AT143-FT_Y5)/12)+FT_AnnivDays+INT(MOD(AT143-FT_Y5,12)/FT_Int2))),IF(AR143="PT",IF(AT143&lt;PT_First,0,1+INT((AT143-PT_First)/PT_Int)),0))-IF(AR143="FT",IF(AV143&lt;FT_First,0,IF(AV143&lt;FT_Y5,1+INT((AV143-FT_First)/FT_Int1),FT_PreY5+FT_PerYear*INT((AV143-FT_Y5)/12)+FT_AnnivDays+INT(MOD(AV143-FT_Y5,12)/FT_Int2))),IF(AR143="PT",IF(AV143&lt;PT_First,0,1+INT((AV143-PT_First)/PT_Int)),0)),0))</f>
        <v/>
      </c>
      <c r="BA143" s="19" t="str">
        <f aca="false">IF(AG143=0,"",IF(AP143="FT",IF(AX143&lt;FT_First,0,IF(AX143&lt;FT_Y5,1+INT((AX143-FT_First)/FT_Int1),FT_PreY5+FT_PerYear*INT((AX143-FT_Y5)/12)+FT_AnnivDays+INT(MOD(AX143-FT_Y5,12)/FT_Int2))),IF(AP143="PT",IF(AX143&lt;PT_First,0,1+INT((AX143-PT_First)/PT_Int)),0))+IF(AND(AI143&gt;=2,AK143&lt;=PFYDate),IF(AQ143="FT",IF(AY143&lt;FT_First,0,IF(AY143&lt;FT_Y5,1+INT((AY143-FT_First)/FT_Int1),FT_PreY5+FT_PerYear*INT((AY143-FT_Y5)/12)+FT_AnnivDays+INT(MOD(AY143-FT_Y5,12)/FT_Int2))),IF(AQ143="PT",IF(AY143&lt;PT_First,0,1+INT((AY143-PT_First)/PT_Int)),0))-IF(AQ143="FT",IF(AX143&lt;FT_First,0,IF(AX143&lt;FT_Y5,1+INT((AX143-FT_First)/FT_Int1),FT_PreY5+FT_PerYear*INT((AX143-FT_Y5)/12)+FT_AnnivDays+INT(MOD(AX143-FT_Y5,12)/FT_Int2))),IF(AQ143="PT",IF(AX143&lt;PT_First,0,1+INT((AX143-PT_First)/PT_Int)),0)),0)+IF(AND(AI143&gt;=3,AL143&lt;=PFYDate),IF(AR143="FT",IF(AW143&lt;FT_First,0,IF(AW143&lt;FT_Y5,1+INT((AW143-FT_First)/FT_Int1),FT_PreY5+FT_PerYear*INT((AW143-FT_Y5)/12)+FT_AnnivDays+INT(MOD(AW143-FT_Y5,12)/FT_Int2))),IF(AR143="PT",IF(AW143&lt;PT_First,0,1+INT((AW143-PT_First)/PT_Int)),0))-IF(AR143="FT",IF(AY143&lt;FT_First,0,IF(AY143&lt;FT_Y5,1+INT((AY143-FT_First)/FT_Int1),FT_PreY5+FT_PerYear*INT((AY143-FT_Y5)/12)+FT_AnnivDays+INT(MOD(AY143-FT_Y5,12)/FT_Int2))),IF(AR143="PT",IF(AY143&lt;PT_First,0,1+INT((AY143-PT_First)/PT_Int)),0)),0))</f>
        <v/>
      </c>
      <c r="BB143" s="19" t="str">
        <f aca="false">IF(AG143=0,"",IF(AS143="FT",IF(AT143&lt;FT_First,FT_First,IF(AT143&lt;FT_Y5,MIN(FT_Y5,FT_First+FT_Int1*(INT((AT143-FT_First)/FT_Int1)+1)),FT_Y5+12*INT((AT143-FT_Y5)/12)+FT_Int2*(INT(MOD(AT143-FT_Y5,12)/FT_Int2)+1))),IF(AS143="PT",IF(AT143&lt;PT_First,PT_First,PT_First+PT_Int*(INT((AT143-PT_First)/PT_Int)+1)),"")))</f>
        <v/>
      </c>
      <c r="BC143" s="19" t="str">
        <f aca="false">IF(AG143=0,"",IF(NOT(LH_Ready),0,COUNTIFS(INDEX(LH_Data,0,LH_ColFirst),$A143,INDEX(LH_Data,0,LH_ColSur),$B143,INDEX(LH_Data,0,LH_ColCat),BonusCat)))</f>
        <v/>
      </c>
      <c r="BD143" s="19" t="str">
        <f aca="false">IF(AG143=0,"",IF(OR(NOT(LH_Ready),BC143=0),0,SUMPRODUCT(MAX((INDEX(LH_Data,0,LH_ColFirst)=$A143)*(INDEX(LH_Data,0,LH_ColSur)=$B143)*(INDEX(LH_Data,0,LH_ColCat)=BonusCat)*ROW(LH_Data)))))</f>
        <v/>
      </c>
      <c r="BE143" s="19" t="str">
        <f aca="false">IF(AG143=0,"",IF(EOMONTH(AsOfDate,-1)&lt;AH143,-1,12*(YEAR(EOMONTH(AsOfDate,-1))-YEAR(AH143))+MONTH(EOMONTH(AsOfDate,-1))-MONTH(AH143)-IF(DAY(EOMONTH(AsOfDate,-1))&lt;MIN(DAY(AH143),DAY(EOMONTH(EOMONTH(AsOfDate,-1),0))),1,0)))</f>
        <v/>
      </c>
      <c r="BF143" s="19" t="str">
        <f aca="false">IF(AG143=0,"",IF(OR(AI143&lt;2,AK143&gt;EOMONTH(AsOfDate,-1)),BE143,IF((AK143-1)&lt;AH143,-1,12*(YEAR((AK143-1))-YEAR(AH143))+MONTH((AK143-1))-MONTH(AH143)-IF(DAY((AK143-1))&lt;MIN(DAY(AH143),DAY(EOMONTH((AK143-1),0))),1,0))))</f>
        <v/>
      </c>
      <c r="BG143" s="19" t="str">
        <f aca="false">IF(AG143=0,"",IF(OR(AI143&lt;3,AL143&gt;EOMONTH(AsOfDate,-1)),BE143,IF((AL143-1)&lt;AH143,-1,12*(YEAR((AL143-1))-YEAR(AH143))+MONTH((AL143-1))-MONTH(AH143)-IF(DAY((AL143-1))&lt;MIN(DAY(AH143),DAY(EOMONTH((AL143-1),0))),1,0))))</f>
        <v/>
      </c>
      <c r="BH143" s="19" t="str">
        <f aca="false">IF(AG143=0,"",IF(AP143="FT",IF(BF143&lt;FT_First,0,IF(BF143&lt;FT_Y5,1+INT((BF143-FT_First)/FT_Int1),FT_PreY5+FT_PerYear*INT((BF143-FT_Y5)/12)+FT_AnnivDays+INT(MOD(BF143-FT_Y5,12)/FT_Int2))),IF(AP143="PT",IF(BF143&lt;PT_First,0,1+INT((BF143-PT_First)/PT_Int)),0))+IF(AND(AI143&gt;=2,AK143&lt;=EOMONTH(AsOfDate,-1)),IF(AQ143="FT",IF(BG143&lt;FT_First,0,IF(BG143&lt;FT_Y5,1+INT((BG143-FT_First)/FT_Int1),FT_PreY5+FT_PerYear*INT((BG143-FT_Y5)/12)+FT_AnnivDays+INT(MOD(BG143-FT_Y5,12)/FT_Int2))),IF(AQ143="PT",IF(BG143&lt;PT_First,0,1+INT((BG143-PT_First)/PT_Int)),0))-IF(AQ143="FT",IF(BF143&lt;FT_First,0,IF(BF143&lt;FT_Y5,1+INT((BF143-FT_First)/FT_Int1),FT_PreY5+FT_PerYear*INT((BF143-FT_Y5)/12)+FT_AnnivDays+INT(MOD(BF143-FT_Y5,12)/FT_Int2))),IF(AQ143="PT",IF(BF143&lt;PT_First,0,1+INT((BF143-PT_First)/PT_Int)),0)),0)+IF(AND(AI143&gt;=3,AL143&lt;=EOMONTH(AsOfDate,-1)),IF(AR143="FT",IF(BE143&lt;FT_First,0,IF(BE143&lt;FT_Y5,1+INT((BE143-FT_First)/FT_Int1),FT_PreY5+FT_PerYear*INT((BE143-FT_Y5)/12)+FT_AnnivDays+INT(MOD(BE143-FT_Y5,12)/FT_Int2))),IF(AR143="PT",IF(BE143&lt;PT_First,0,1+INT((BE143-PT_First)/PT_Int)),0))-IF(AR143="FT",IF(BG143&lt;FT_First,0,IF(BG143&lt;FT_Y5,1+INT((BG143-FT_First)/FT_Int1),FT_PreY5+FT_PerYear*INT((BG143-FT_Y5)/12)+FT_AnnivDays+INT(MOD(BG143-FT_Y5,12)/FT_Int2))),IF(AR143="PT",IF(BG143&lt;PT_First,0,1+INT((BG143-PT_First)/PT_Int)),0)),0))</f>
        <v/>
      </c>
      <c r="BI143" s="19" t="str">
        <f aca="false">IF(AG143=0,"",IF(AS143="FT",IF(AT143&lt;FT_First,"",IF(AT143&lt;FT_Y5,FT_First+FT_Int1*INT((AT143-FT_First)/FT_Int1),FT_Y5+FT_Int2*INT((AT143-FT_Y5)/FT_Int2))),IF(AS143="PT",IF(AT143&lt;PT_First,"",PT_First+PT_Int*INT((AT143-PT_First)/PT_Int)),"")))</f>
        <v/>
      </c>
      <c r="BJ143" s="0" t="str">
        <f aca="false">IF(LEN($A143&amp;$B143)=0,"",$A143&amp;" "&amp;$B143)</f>
        <v/>
      </c>
    </row>
    <row r="144" customFormat="false" ht="15" hidden="false" customHeight="false" outlineLevel="0" collapsed="false">
      <c r="A144" s="15"/>
      <c r="B144" s="15"/>
      <c r="C144" s="15"/>
      <c r="D144" s="16"/>
      <c r="E144" s="17" t="str">
        <f aca="false">IF(OR(AG144=0,$D144=""),"",DATE(YEAR(AsOfDate)+IF(DATE(YEAR(AsOfDate),MONTH($D144),DAY($D144))&lt;=AsOfDate,1,0),MONTH($D144),DAY($D144)))</f>
        <v/>
      </c>
      <c r="F144" s="16"/>
      <c r="G144" s="16"/>
      <c r="H144" s="16"/>
      <c r="I144" s="16"/>
      <c r="J144" s="16"/>
      <c r="K144" s="17" t="str">
        <f aca="false">IF(AG144=0,"",DATE(YEAR(AsOfDate)+IF(DATE(YEAR(AsOfDate),MONTH(AH144),DAY(AH144))&lt;=AsOfDate,1,0),MONTH(AH144),DAY(AH144)))</f>
        <v/>
      </c>
      <c r="L144" s="18" t="str">
        <f aca="false">IF(AG144=0,"",ROUND((AsOfDate-AH144)/365.25,1))</f>
        <v/>
      </c>
      <c r="M144" s="19" t="str">
        <f aca="false">IF(AG144=0,"",IF(AsOfDate&lt;AH144,"-",DATEDIF(AH144,AsOfDate,"y")&amp;"y "&amp;DATEDIF(AH144,AsOfDate,"ym")&amp;"m "&amp;DATEDIF(AH144,AsOfDate,"md")&amp;"d"))</f>
        <v/>
      </c>
      <c r="N144" s="20" t="str">
        <f aca="false">IF(AG144=0,"",O144*HoursPerDay)</f>
        <v/>
      </c>
      <c r="O144" s="20" t="str">
        <f aca="false">IF(AG144=0,"",AZ144)</f>
        <v/>
      </c>
      <c r="P144" s="21"/>
      <c r="Q144" s="19"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19"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7" t="str">
        <f aca="false">IF(AG144=0,"",IF(AS144="None","",EDATE(AH144,BB144)))</f>
        <v/>
      </c>
      <c r="T144" s="20" t="str">
        <f aca="false">IF(AG144=0,"",IF(NOT(LH_Ready),"",IF(AH144&gt;PFYDate,0,IF(LH_ColPeriod=0,W144-U144+V144,SUMIFS(INDEX(LH_Data,0,LH_ColAcc),INDEX(LH_Data,0,LH_ColFirst),$A144,INDEX(LH_Data,0,LH_ColSur),$B144,INDEX(LH_Data,0,LH_ColCat),BonusCat,INDEX(LH_Data,0,LH_ColPeriod),LH_OpenLabel)*UnitFactor))))</f>
        <v/>
      </c>
      <c r="U144" s="20" t="str">
        <f aca="false">IF(AG144=0,"",IF(NOT(LH_Ready),"",SUMIFS(INDEX(LH_Data,0,LH_ColAcc),INDEX(LH_Data,0,LH_ColFirst),$A144,INDEX(LH_Data,0,LH_ColSur),$B144,INDEX(LH_Data,0,LH_ColCat),BonusCat,INDEX(LH_Data,0,LH_ColStart),"&gt;="&amp;AH144)*UnitFactor))</f>
        <v/>
      </c>
      <c r="V144" s="20" t="str">
        <f aca="false">IF(AG144=0,"",IF(NOT(LH_Ready),"",SUMIFS(INDEX(LH_Data,0,LH_ColTaken),INDEX(LH_Data,0,LH_ColFirst),$A144,INDEX(LH_Data,0,LH_ColSur),$B144,INDEX(LH_Data,0,LH_ColCat),BonusCat,INDEX(LH_Data,0,LH_ColStart),"&gt;="&amp;AH144)*UnitFactor))</f>
        <v/>
      </c>
      <c r="W144" s="20" t="str">
        <f aca="false">IF(AG144=0,"",IF(NOT(LH_Ready),"",IF(BD144=0,0,INDEX(INDEX(LH_Data,0,LH_ColClose),BD144-1)*UnitFactor)))</f>
        <v/>
      </c>
      <c r="X144" s="20" t="str">
        <f aca="false">IF(AG144=0,"",(AZ144-BA144)*HoursPerDay)</f>
        <v/>
      </c>
      <c r="Y144" s="20" t="str">
        <f aca="false">IF(AG144=0,"",IF(NOT(LH_Ready),"",IF(BC144=0,N144,IF(PFYDate&lt;$F144,N144-N(T144)-N(U144),X144-N(U144)))))</f>
        <v/>
      </c>
      <c r="Z144" s="19" t="str">
        <f aca="false">IF(OR(AG144=0,Y144=""),"",IF(Y144&gt;0,"Yes","No"))</f>
        <v/>
      </c>
      <c r="AA144" s="19"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20" t="str">
        <f aca="false">IF(OR(AG144=0,T144=""),"",BA144*HoursPerDay-T144)</f>
        <v/>
      </c>
      <c r="AC144" s="19" t="str">
        <f aca="false">IF(AG144=0,"",BC144)</f>
        <v/>
      </c>
      <c r="AD144" s="19"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20" t="str">
        <f aca="false">IF(AG144=0,"",O144-BH144)</f>
        <v/>
      </c>
      <c r="AF144" s="17" t="str">
        <f aca="false">IF(OR(AG144=0,AE144="",N(AE144)=0,BI144=""),"",EDATE(AH144,BI144))</f>
        <v/>
      </c>
      <c r="AG144" s="19" t="n">
        <f aca="false">IF(OR(LEN($A144&amp;$B144)=0,$F144=""),0,1)</f>
        <v>0</v>
      </c>
      <c r="AH144" s="17" t="str">
        <f aca="false">IF(AG144=0,"",IF($J144&lt;&gt;"",$J144,IF(OR(CasualCounts="Yes",COUNT($G144:$I144)=0,COUNT($H144:$I144)=0),$F144,MIN($H144:$I144))))</f>
        <v/>
      </c>
      <c r="AI144" s="19" t="str">
        <f aca="false">IF(AG144=0,"",COUNT($G144:$I144))</f>
        <v/>
      </c>
      <c r="AJ144" s="17" t="str">
        <f aca="false">IF(AG144=0,"",IFERROR(SMALL($G144:$I144,1),""))</f>
        <v/>
      </c>
      <c r="AK144" s="17" t="str">
        <f aca="false">IF(AG144=0,"",IFERROR(SMALL($G144:$I144,2),""))</f>
        <v/>
      </c>
      <c r="AL144" s="17" t="str">
        <f aca="false">IF(AG144=0,"",IFERROR(SMALL($G144:$I144,3),""))</f>
        <v/>
      </c>
      <c r="AM144" s="19" t="str">
        <f aca="false">IF(AG144=0,"",IF(AJ144="","",IF(AJ144=$H144,"Part-Time",IF(AJ144=$I144,"Full-Time","Casual"))))</f>
        <v/>
      </c>
      <c r="AN144" s="19" t="str">
        <f aca="false">IF(AG144=0,"",IF(AK144="","",IF(AK144=$H144,"Part-Time",IF(AK144=$I144,"Full-Time","Casual"))))</f>
        <v/>
      </c>
      <c r="AO144" s="19" t="str">
        <f aca="false">IF(AG144=0,"",IF(AL144="","",IF(AL144=$H144,"Part-Time",IF(AL144=$I144,"Full-Time","Casual"))))</f>
        <v/>
      </c>
      <c r="AP144" s="19"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19" t="str">
        <f aca="false">IF(AG144=0,"",IF(AI144&lt;2,"",IF(OR(ISNUMBER(SEARCH("full",AN144)),UPPER(TRIM(AN144))="FT",UPPER(TRIM(AN144))="FTE"),"FT",IF(AND(OR(ISNUMBER(SEARCH("part",AN144)),UPPER(TRIM(AN144))="PT",UPPER(TRIM(AN144))="PTE"),OR($P144="",N($P144)&gt;=PT_MinHours)),"PT","None"))))</f>
        <v/>
      </c>
      <c r="AR144" s="19" t="str">
        <f aca="false">IF(AG144=0,"",IF(AI144&lt;3,"",IF(OR(ISNUMBER(SEARCH("full",AO144)),UPPER(TRIM(AO144))="FT",UPPER(TRIM(AO144))="FTE"),"FT",IF(AND(OR(ISNUMBER(SEARCH("part",AO144)),UPPER(TRIM(AO144))="PT",UPPER(TRIM(AO144))="PTE"),OR($P144="",N($P144)&gt;=PT_MinHours)),"PT","None"))))</f>
        <v/>
      </c>
      <c r="AS144" s="19" t="str">
        <f aca="false">IF(AG144=0,"",IF(AND(AI144&gt;=3,AL144&lt;=AsOfDate),AR144,IF(AND(AI144&gt;=2,AK144&lt;=AsOfDate),AQ144,AP144)))</f>
        <v/>
      </c>
      <c r="AT144" s="19" t="str">
        <f aca="false">IF(AG144=0,"",IF(AsOfDate&lt;AH144,-1,12*(YEAR(AsOfDate)-YEAR(AH144))+MONTH(AsOfDate)-MONTH(AH144)-IF(DAY(AsOfDate)&lt;MIN(DAY(AH144),DAY(EOMONTH(AsOfDate,0))),1,0)))</f>
        <v/>
      </c>
      <c r="AU144" s="19" t="str">
        <f aca="false">IF(AG144=0,"",IF(OR(AI144&lt;2,AK144&gt;AsOfDate),AT144,IF((AK144-1)&lt;AH144,-1,12*(YEAR((AK144-1))-YEAR(AH144))+MONTH((AK144-1))-MONTH(AH144)-IF(DAY((AK144-1))&lt;MIN(DAY(AH144),DAY(EOMONTH((AK144-1),0))),1,0))))</f>
        <v/>
      </c>
      <c r="AV144" s="19" t="str">
        <f aca="false">IF(AG144=0,"",IF(OR(AI144&lt;3,AL144&gt;AsOfDate),AT144,IF((AL144-1)&lt;AH144,-1,12*(YEAR((AL144-1))-YEAR(AH144))+MONTH((AL144-1))-MONTH(AH144)-IF(DAY((AL144-1))&lt;MIN(DAY(AH144),DAY(EOMONTH((AL144-1),0))),1,0))))</f>
        <v/>
      </c>
      <c r="AW144" s="19" t="str">
        <f aca="false">IF(AG144=0,"",IF(PFYDate&lt;AH144,-1,12*(YEAR(PFYDate)-YEAR(AH144))+MONTH(PFYDate)-MONTH(AH144)-IF(DAY(PFYDate)&lt;MIN(DAY(AH144),DAY(EOMONTH(PFYDate,0))),1,0)))</f>
        <v/>
      </c>
      <c r="AX144" s="19" t="str">
        <f aca="false">IF(AG144=0,"",IF(OR(AI144&lt;2,AK144&gt;PFYDate),AW144,IF((AK144-1)&lt;AH144,-1,12*(YEAR((AK144-1))-YEAR(AH144))+MONTH((AK144-1))-MONTH(AH144)-IF(DAY((AK144-1))&lt;MIN(DAY(AH144),DAY(EOMONTH((AK144-1),0))),1,0))))</f>
        <v/>
      </c>
      <c r="AY144" s="19" t="str">
        <f aca="false">IF(AG144=0,"",IF(OR(AI144&lt;3,AL144&gt;PFYDate),AW144,IF((AL144-1)&lt;AH144,-1,12*(YEAR((AL144-1))-YEAR(AH144))+MONTH((AL144-1))-MONTH(AH144)-IF(DAY((AL144-1))&lt;MIN(DAY(AH144),DAY(EOMONTH((AL144-1),0))),1,0))))</f>
        <v/>
      </c>
      <c r="AZ144" s="19" t="str">
        <f aca="false">IF(AG144=0,"",IF(AP144="FT",IF(AU144&lt;FT_First,0,IF(AU144&lt;FT_Y5,1+INT((AU144-FT_First)/FT_Int1),FT_PreY5+FT_PerYear*INT((AU144-FT_Y5)/12)+FT_AnnivDays+INT(MOD(AU144-FT_Y5,12)/FT_Int2))),IF(AP144="PT",IF(AU144&lt;PT_First,0,1+INT((AU144-PT_First)/PT_Int)),0))+IF(AND(AI144&gt;=2,AK144&lt;=AsOfDate),IF(AQ144="FT",IF(AV144&lt;FT_First,0,IF(AV144&lt;FT_Y5,1+INT((AV144-FT_First)/FT_Int1),FT_PreY5+FT_PerYear*INT((AV144-FT_Y5)/12)+FT_AnnivDays+INT(MOD(AV144-FT_Y5,12)/FT_Int2))),IF(AQ144="PT",IF(AV144&lt;PT_First,0,1+INT((AV144-PT_First)/PT_Int)),0))-IF(AQ144="FT",IF(AU144&lt;FT_First,0,IF(AU144&lt;FT_Y5,1+INT((AU144-FT_First)/FT_Int1),FT_PreY5+FT_PerYear*INT((AU144-FT_Y5)/12)+FT_AnnivDays+INT(MOD(AU144-FT_Y5,12)/FT_Int2))),IF(AQ144="PT",IF(AU144&lt;PT_First,0,1+INT((AU144-PT_First)/PT_Int)),0)),0)+IF(AND(AI144&gt;=3,AL144&lt;=AsOfDate),IF(AR144="FT",IF(AT144&lt;FT_First,0,IF(AT144&lt;FT_Y5,1+INT((AT144-FT_First)/FT_Int1),FT_PreY5+FT_PerYear*INT((AT144-FT_Y5)/12)+FT_AnnivDays+INT(MOD(AT144-FT_Y5,12)/FT_Int2))),IF(AR144="PT",IF(AT144&lt;PT_First,0,1+INT((AT144-PT_First)/PT_Int)),0))-IF(AR144="FT",IF(AV144&lt;FT_First,0,IF(AV144&lt;FT_Y5,1+INT((AV144-FT_First)/FT_Int1),FT_PreY5+FT_PerYear*INT((AV144-FT_Y5)/12)+FT_AnnivDays+INT(MOD(AV144-FT_Y5,12)/FT_Int2))),IF(AR144="PT",IF(AV144&lt;PT_First,0,1+INT((AV144-PT_First)/PT_Int)),0)),0))</f>
        <v/>
      </c>
      <c r="BA144" s="19" t="str">
        <f aca="false">IF(AG144=0,"",IF(AP144="FT",IF(AX144&lt;FT_First,0,IF(AX144&lt;FT_Y5,1+INT((AX144-FT_First)/FT_Int1),FT_PreY5+FT_PerYear*INT((AX144-FT_Y5)/12)+FT_AnnivDays+INT(MOD(AX144-FT_Y5,12)/FT_Int2))),IF(AP144="PT",IF(AX144&lt;PT_First,0,1+INT((AX144-PT_First)/PT_Int)),0))+IF(AND(AI144&gt;=2,AK144&lt;=PFYDate),IF(AQ144="FT",IF(AY144&lt;FT_First,0,IF(AY144&lt;FT_Y5,1+INT((AY144-FT_First)/FT_Int1),FT_PreY5+FT_PerYear*INT((AY144-FT_Y5)/12)+FT_AnnivDays+INT(MOD(AY144-FT_Y5,12)/FT_Int2))),IF(AQ144="PT",IF(AY144&lt;PT_First,0,1+INT((AY144-PT_First)/PT_Int)),0))-IF(AQ144="FT",IF(AX144&lt;FT_First,0,IF(AX144&lt;FT_Y5,1+INT((AX144-FT_First)/FT_Int1),FT_PreY5+FT_PerYear*INT((AX144-FT_Y5)/12)+FT_AnnivDays+INT(MOD(AX144-FT_Y5,12)/FT_Int2))),IF(AQ144="PT",IF(AX144&lt;PT_First,0,1+INT((AX144-PT_First)/PT_Int)),0)),0)+IF(AND(AI144&gt;=3,AL144&lt;=PFYDate),IF(AR144="FT",IF(AW144&lt;FT_First,0,IF(AW144&lt;FT_Y5,1+INT((AW144-FT_First)/FT_Int1),FT_PreY5+FT_PerYear*INT((AW144-FT_Y5)/12)+FT_AnnivDays+INT(MOD(AW144-FT_Y5,12)/FT_Int2))),IF(AR144="PT",IF(AW144&lt;PT_First,0,1+INT((AW144-PT_First)/PT_Int)),0))-IF(AR144="FT",IF(AY144&lt;FT_First,0,IF(AY144&lt;FT_Y5,1+INT((AY144-FT_First)/FT_Int1),FT_PreY5+FT_PerYear*INT((AY144-FT_Y5)/12)+FT_AnnivDays+INT(MOD(AY144-FT_Y5,12)/FT_Int2))),IF(AR144="PT",IF(AY144&lt;PT_First,0,1+INT((AY144-PT_First)/PT_Int)),0)),0))</f>
        <v/>
      </c>
      <c r="BB144" s="19" t="str">
        <f aca="false">IF(AG144=0,"",IF(AS144="FT",IF(AT144&lt;FT_First,FT_First,IF(AT144&lt;FT_Y5,MIN(FT_Y5,FT_First+FT_Int1*(INT((AT144-FT_First)/FT_Int1)+1)),FT_Y5+12*INT((AT144-FT_Y5)/12)+FT_Int2*(INT(MOD(AT144-FT_Y5,12)/FT_Int2)+1))),IF(AS144="PT",IF(AT144&lt;PT_First,PT_First,PT_First+PT_Int*(INT((AT144-PT_First)/PT_Int)+1)),"")))</f>
        <v/>
      </c>
      <c r="BC144" s="19" t="str">
        <f aca="false">IF(AG144=0,"",IF(NOT(LH_Ready),0,COUNTIFS(INDEX(LH_Data,0,LH_ColFirst),$A144,INDEX(LH_Data,0,LH_ColSur),$B144,INDEX(LH_Data,0,LH_ColCat),BonusCat)))</f>
        <v/>
      </c>
      <c r="BD144" s="19" t="str">
        <f aca="false">IF(AG144=0,"",IF(OR(NOT(LH_Ready),BC144=0),0,SUMPRODUCT(MAX((INDEX(LH_Data,0,LH_ColFirst)=$A144)*(INDEX(LH_Data,0,LH_ColSur)=$B144)*(INDEX(LH_Data,0,LH_ColCat)=BonusCat)*ROW(LH_Data)))))</f>
        <v/>
      </c>
      <c r="BE144" s="19" t="str">
        <f aca="false">IF(AG144=0,"",IF(EOMONTH(AsOfDate,-1)&lt;AH144,-1,12*(YEAR(EOMONTH(AsOfDate,-1))-YEAR(AH144))+MONTH(EOMONTH(AsOfDate,-1))-MONTH(AH144)-IF(DAY(EOMONTH(AsOfDate,-1))&lt;MIN(DAY(AH144),DAY(EOMONTH(EOMONTH(AsOfDate,-1),0))),1,0)))</f>
        <v/>
      </c>
      <c r="BF144" s="19" t="str">
        <f aca="false">IF(AG144=0,"",IF(OR(AI144&lt;2,AK144&gt;EOMONTH(AsOfDate,-1)),BE144,IF((AK144-1)&lt;AH144,-1,12*(YEAR((AK144-1))-YEAR(AH144))+MONTH((AK144-1))-MONTH(AH144)-IF(DAY((AK144-1))&lt;MIN(DAY(AH144),DAY(EOMONTH((AK144-1),0))),1,0))))</f>
        <v/>
      </c>
      <c r="BG144" s="19" t="str">
        <f aca="false">IF(AG144=0,"",IF(OR(AI144&lt;3,AL144&gt;EOMONTH(AsOfDate,-1)),BE144,IF((AL144-1)&lt;AH144,-1,12*(YEAR((AL144-1))-YEAR(AH144))+MONTH((AL144-1))-MONTH(AH144)-IF(DAY((AL144-1))&lt;MIN(DAY(AH144),DAY(EOMONTH((AL144-1),0))),1,0))))</f>
        <v/>
      </c>
      <c r="BH144" s="19" t="str">
        <f aca="false">IF(AG144=0,"",IF(AP144="FT",IF(BF144&lt;FT_First,0,IF(BF144&lt;FT_Y5,1+INT((BF144-FT_First)/FT_Int1),FT_PreY5+FT_PerYear*INT((BF144-FT_Y5)/12)+FT_AnnivDays+INT(MOD(BF144-FT_Y5,12)/FT_Int2))),IF(AP144="PT",IF(BF144&lt;PT_First,0,1+INT((BF144-PT_First)/PT_Int)),0))+IF(AND(AI144&gt;=2,AK144&lt;=EOMONTH(AsOfDate,-1)),IF(AQ144="FT",IF(BG144&lt;FT_First,0,IF(BG144&lt;FT_Y5,1+INT((BG144-FT_First)/FT_Int1),FT_PreY5+FT_PerYear*INT((BG144-FT_Y5)/12)+FT_AnnivDays+INT(MOD(BG144-FT_Y5,12)/FT_Int2))),IF(AQ144="PT",IF(BG144&lt;PT_First,0,1+INT((BG144-PT_First)/PT_Int)),0))-IF(AQ144="FT",IF(BF144&lt;FT_First,0,IF(BF144&lt;FT_Y5,1+INT((BF144-FT_First)/FT_Int1),FT_PreY5+FT_PerYear*INT((BF144-FT_Y5)/12)+FT_AnnivDays+INT(MOD(BF144-FT_Y5,12)/FT_Int2))),IF(AQ144="PT",IF(BF144&lt;PT_First,0,1+INT((BF144-PT_First)/PT_Int)),0)),0)+IF(AND(AI144&gt;=3,AL144&lt;=EOMONTH(AsOfDate,-1)),IF(AR144="FT",IF(BE144&lt;FT_First,0,IF(BE144&lt;FT_Y5,1+INT((BE144-FT_First)/FT_Int1),FT_PreY5+FT_PerYear*INT((BE144-FT_Y5)/12)+FT_AnnivDays+INT(MOD(BE144-FT_Y5,12)/FT_Int2))),IF(AR144="PT",IF(BE144&lt;PT_First,0,1+INT((BE144-PT_First)/PT_Int)),0))-IF(AR144="FT",IF(BG144&lt;FT_First,0,IF(BG144&lt;FT_Y5,1+INT((BG144-FT_First)/FT_Int1),FT_PreY5+FT_PerYear*INT((BG144-FT_Y5)/12)+FT_AnnivDays+INT(MOD(BG144-FT_Y5,12)/FT_Int2))),IF(AR144="PT",IF(BG144&lt;PT_First,0,1+INT((BG144-PT_First)/PT_Int)),0)),0))</f>
        <v/>
      </c>
      <c r="BI144" s="19" t="str">
        <f aca="false">IF(AG144=0,"",IF(AS144="FT",IF(AT144&lt;FT_First,"",IF(AT144&lt;FT_Y5,FT_First+FT_Int1*INT((AT144-FT_First)/FT_Int1),FT_Y5+FT_Int2*INT((AT144-FT_Y5)/FT_Int2))),IF(AS144="PT",IF(AT144&lt;PT_First,"",PT_First+PT_Int*INT((AT144-PT_First)/PT_Int)),"")))</f>
        <v/>
      </c>
      <c r="BJ144" s="0" t="str">
        <f aca="false">IF(LEN($A144&amp;$B144)=0,"",$A144&amp;" "&amp;$B144)</f>
        <v/>
      </c>
    </row>
    <row r="145" customFormat="false" ht="15" hidden="false" customHeight="false" outlineLevel="0" collapsed="false">
      <c r="A145" s="15"/>
      <c r="B145" s="15"/>
      <c r="C145" s="15"/>
      <c r="D145" s="16"/>
      <c r="E145" s="17" t="str">
        <f aca="false">IF(OR(AG145=0,$D145=""),"",DATE(YEAR(AsOfDate)+IF(DATE(YEAR(AsOfDate),MONTH($D145),DAY($D145))&lt;=AsOfDate,1,0),MONTH($D145),DAY($D145)))</f>
        <v/>
      </c>
      <c r="F145" s="16"/>
      <c r="G145" s="16"/>
      <c r="H145" s="16"/>
      <c r="I145" s="16"/>
      <c r="J145" s="16"/>
      <c r="K145" s="17" t="str">
        <f aca="false">IF(AG145=0,"",DATE(YEAR(AsOfDate)+IF(DATE(YEAR(AsOfDate),MONTH(AH145),DAY(AH145))&lt;=AsOfDate,1,0),MONTH(AH145),DAY(AH145)))</f>
        <v/>
      </c>
      <c r="L145" s="18" t="str">
        <f aca="false">IF(AG145=0,"",ROUND((AsOfDate-AH145)/365.25,1))</f>
        <v/>
      </c>
      <c r="M145" s="19" t="str">
        <f aca="false">IF(AG145=0,"",IF(AsOfDate&lt;AH145,"-",DATEDIF(AH145,AsOfDate,"y")&amp;"y "&amp;DATEDIF(AH145,AsOfDate,"ym")&amp;"m "&amp;DATEDIF(AH145,AsOfDate,"md")&amp;"d"))</f>
        <v/>
      </c>
      <c r="N145" s="20" t="str">
        <f aca="false">IF(AG145=0,"",O145*HoursPerDay)</f>
        <v/>
      </c>
      <c r="O145" s="20" t="str">
        <f aca="false">IF(AG145=0,"",AZ145)</f>
        <v/>
      </c>
      <c r="P145" s="21"/>
      <c r="Q145" s="19"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19"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7" t="str">
        <f aca="false">IF(AG145=0,"",IF(AS145="None","",EDATE(AH145,BB145)))</f>
        <v/>
      </c>
      <c r="T145" s="20" t="str">
        <f aca="false">IF(AG145=0,"",IF(NOT(LH_Ready),"",IF(AH145&gt;PFYDate,0,IF(LH_ColPeriod=0,W145-U145+V145,SUMIFS(INDEX(LH_Data,0,LH_ColAcc),INDEX(LH_Data,0,LH_ColFirst),$A145,INDEX(LH_Data,0,LH_ColSur),$B145,INDEX(LH_Data,0,LH_ColCat),BonusCat,INDEX(LH_Data,0,LH_ColPeriod),LH_OpenLabel)*UnitFactor))))</f>
        <v/>
      </c>
      <c r="U145" s="20" t="str">
        <f aca="false">IF(AG145=0,"",IF(NOT(LH_Ready),"",SUMIFS(INDEX(LH_Data,0,LH_ColAcc),INDEX(LH_Data,0,LH_ColFirst),$A145,INDEX(LH_Data,0,LH_ColSur),$B145,INDEX(LH_Data,0,LH_ColCat),BonusCat,INDEX(LH_Data,0,LH_ColStart),"&gt;="&amp;AH145)*UnitFactor))</f>
        <v/>
      </c>
      <c r="V145" s="20" t="str">
        <f aca="false">IF(AG145=0,"",IF(NOT(LH_Ready),"",SUMIFS(INDEX(LH_Data,0,LH_ColTaken),INDEX(LH_Data,0,LH_ColFirst),$A145,INDEX(LH_Data,0,LH_ColSur),$B145,INDEX(LH_Data,0,LH_ColCat),BonusCat,INDEX(LH_Data,0,LH_ColStart),"&gt;="&amp;AH145)*UnitFactor))</f>
        <v/>
      </c>
      <c r="W145" s="20" t="str">
        <f aca="false">IF(AG145=0,"",IF(NOT(LH_Ready),"",IF(BD145=0,0,INDEX(INDEX(LH_Data,0,LH_ColClose),BD145-1)*UnitFactor)))</f>
        <v/>
      </c>
      <c r="X145" s="20" t="str">
        <f aca="false">IF(AG145=0,"",(AZ145-BA145)*HoursPerDay)</f>
        <v/>
      </c>
      <c r="Y145" s="20" t="str">
        <f aca="false">IF(AG145=0,"",IF(NOT(LH_Ready),"",IF(BC145=0,N145,IF(PFYDate&lt;$F145,N145-N(T145)-N(U145),X145-N(U145)))))</f>
        <v/>
      </c>
      <c r="Z145" s="19" t="str">
        <f aca="false">IF(OR(AG145=0,Y145=""),"",IF(Y145&gt;0,"Yes","No"))</f>
        <v/>
      </c>
      <c r="AA145" s="19"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20" t="str">
        <f aca="false">IF(OR(AG145=0,T145=""),"",BA145*HoursPerDay-T145)</f>
        <v/>
      </c>
      <c r="AC145" s="19" t="str">
        <f aca="false">IF(AG145=0,"",BC145)</f>
        <v/>
      </c>
      <c r="AD145" s="19"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20" t="str">
        <f aca="false">IF(AG145=0,"",O145-BH145)</f>
        <v/>
      </c>
      <c r="AF145" s="17" t="str">
        <f aca="false">IF(OR(AG145=0,AE145="",N(AE145)=0,BI145=""),"",EDATE(AH145,BI145))</f>
        <v/>
      </c>
      <c r="AG145" s="19" t="n">
        <f aca="false">IF(OR(LEN($A145&amp;$B145)=0,$F145=""),0,1)</f>
        <v>0</v>
      </c>
      <c r="AH145" s="17" t="str">
        <f aca="false">IF(AG145=0,"",IF($J145&lt;&gt;"",$J145,IF(OR(CasualCounts="Yes",COUNT($G145:$I145)=0,COUNT($H145:$I145)=0),$F145,MIN($H145:$I145))))</f>
        <v/>
      </c>
      <c r="AI145" s="19" t="str">
        <f aca="false">IF(AG145=0,"",COUNT($G145:$I145))</f>
        <v/>
      </c>
      <c r="AJ145" s="17" t="str">
        <f aca="false">IF(AG145=0,"",IFERROR(SMALL($G145:$I145,1),""))</f>
        <v/>
      </c>
      <c r="AK145" s="17" t="str">
        <f aca="false">IF(AG145=0,"",IFERROR(SMALL($G145:$I145,2),""))</f>
        <v/>
      </c>
      <c r="AL145" s="17" t="str">
        <f aca="false">IF(AG145=0,"",IFERROR(SMALL($G145:$I145,3),""))</f>
        <v/>
      </c>
      <c r="AM145" s="19" t="str">
        <f aca="false">IF(AG145=0,"",IF(AJ145="","",IF(AJ145=$H145,"Part-Time",IF(AJ145=$I145,"Full-Time","Casual"))))</f>
        <v/>
      </c>
      <c r="AN145" s="19" t="str">
        <f aca="false">IF(AG145=0,"",IF(AK145="","",IF(AK145=$H145,"Part-Time",IF(AK145=$I145,"Full-Time","Casual"))))</f>
        <v/>
      </c>
      <c r="AO145" s="19" t="str">
        <f aca="false">IF(AG145=0,"",IF(AL145="","",IF(AL145=$H145,"Part-Time",IF(AL145=$I145,"Full-Time","Casual"))))</f>
        <v/>
      </c>
      <c r="AP145" s="19"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19" t="str">
        <f aca="false">IF(AG145=0,"",IF(AI145&lt;2,"",IF(OR(ISNUMBER(SEARCH("full",AN145)),UPPER(TRIM(AN145))="FT",UPPER(TRIM(AN145))="FTE"),"FT",IF(AND(OR(ISNUMBER(SEARCH("part",AN145)),UPPER(TRIM(AN145))="PT",UPPER(TRIM(AN145))="PTE"),OR($P145="",N($P145)&gt;=PT_MinHours)),"PT","None"))))</f>
        <v/>
      </c>
      <c r="AR145" s="19" t="str">
        <f aca="false">IF(AG145=0,"",IF(AI145&lt;3,"",IF(OR(ISNUMBER(SEARCH("full",AO145)),UPPER(TRIM(AO145))="FT",UPPER(TRIM(AO145))="FTE"),"FT",IF(AND(OR(ISNUMBER(SEARCH("part",AO145)),UPPER(TRIM(AO145))="PT",UPPER(TRIM(AO145))="PTE"),OR($P145="",N($P145)&gt;=PT_MinHours)),"PT","None"))))</f>
        <v/>
      </c>
      <c r="AS145" s="19" t="str">
        <f aca="false">IF(AG145=0,"",IF(AND(AI145&gt;=3,AL145&lt;=AsOfDate),AR145,IF(AND(AI145&gt;=2,AK145&lt;=AsOfDate),AQ145,AP145)))</f>
        <v/>
      </c>
      <c r="AT145" s="19" t="str">
        <f aca="false">IF(AG145=0,"",IF(AsOfDate&lt;AH145,-1,12*(YEAR(AsOfDate)-YEAR(AH145))+MONTH(AsOfDate)-MONTH(AH145)-IF(DAY(AsOfDate)&lt;MIN(DAY(AH145),DAY(EOMONTH(AsOfDate,0))),1,0)))</f>
        <v/>
      </c>
      <c r="AU145" s="19" t="str">
        <f aca="false">IF(AG145=0,"",IF(OR(AI145&lt;2,AK145&gt;AsOfDate),AT145,IF((AK145-1)&lt;AH145,-1,12*(YEAR((AK145-1))-YEAR(AH145))+MONTH((AK145-1))-MONTH(AH145)-IF(DAY((AK145-1))&lt;MIN(DAY(AH145),DAY(EOMONTH((AK145-1),0))),1,0))))</f>
        <v/>
      </c>
      <c r="AV145" s="19" t="str">
        <f aca="false">IF(AG145=0,"",IF(OR(AI145&lt;3,AL145&gt;AsOfDate),AT145,IF((AL145-1)&lt;AH145,-1,12*(YEAR((AL145-1))-YEAR(AH145))+MONTH((AL145-1))-MONTH(AH145)-IF(DAY((AL145-1))&lt;MIN(DAY(AH145),DAY(EOMONTH((AL145-1),0))),1,0))))</f>
        <v/>
      </c>
      <c r="AW145" s="19" t="str">
        <f aca="false">IF(AG145=0,"",IF(PFYDate&lt;AH145,-1,12*(YEAR(PFYDate)-YEAR(AH145))+MONTH(PFYDate)-MONTH(AH145)-IF(DAY(PFYDate)&lt;MIN(DAY(AH145),DAY(EOMONTH(PFYDate,0))),1,0)))</f>
        <v/>
      </c>
      <c r="AX145" s="19" t="str">
        <f aca="false">IF(AG145=0,"",IF(OR(AI145&lt;2,AK145&gt;PFYDate),AW145,IF((AK145-1)&lt;AH145,-1,12*(YEAR((AK145-1))-YEAR(AH145))+MONTH((AK145-1))-MONTH(AH145)-IF(DAY((AK145-1))&lt;MIN(DAY(AH145),DAY(EOMONTH((AK145-1),0))),1,0))))</f>
        <v/>
      </c>
      <c r="AY145" s="19" t="str">
        <f aca="false">IF(AG145=0,"",IF(OR(AI145&lt;3,AL145&gt;PFYDate),AW145,IF((AL145-1)&lt;AH145,-1,12*(YEAR((AL145-1))-YEAR(AH145))+MONTH((AL145-1))-MONTH(AH145)-IF(DAY((AL145-1))&lt;MIN(DAY(AH145),DAY(EOMONTH((AL145-1),0))),1,0))))</f>
        <v/>
      </c>
      <c r="AZ145" s="19" t="str">
        <f aca="false">IF(AG145=0,"",IF(AP145="FT",IF(AU145&lt;FT_First,0,IF(AU145&lt;FT_Y5,1+INT((AU145-FT_First)/FT_Int1),FT_PreY5+FT_PerYear*INT((AU145-FT_Y5)/12)+FT_AnnivDays+INT(MOD(AU145-FT_Y5,12)/FT_Int2))),IF(AP145="PT",IF(AU145&lt;PT_First,0,1+INT((AU145-PT_First)/PT_Int)),0))+IF(AND(AI145&gt;=2,AK145&lt;=AsOfDate),IF(AQ145="FT",IF(AV145&lt;FT_First,0,IF(AV145&lt;FT_Y5,1+INT((AV145-FT_First)/FT_Int1),FT_PreY5+FT_PerYear*INT((AV145-FT_Y5)/12)+FT_AnnivDays+INT(MOD(AV145-FT_Y5,12)/FT_Int2))),IF(AQ145="PT",IF(AV145&lt;PT_First,0,1+INT((AV145-PT_First)/PT_Int)),0))-IF(AQ145="FT",IF(AU145&lt;FT_First,0,IF(AU145&lt;FT_Y5,1+INT((AU145-FT_First)/FT_Int1),FT_PreY5+FT_PerYear*INT((AU145-FT_Y5)/12)+FT_AnnivDays+INT(MOD(AU145-FT_Y5,12)/FT_Int2))),IF(AQ145="PT",IF(AU145&lt;PT_First,0,1+INT((AU145-PT_First)/PT_Int)),0)),0)+IF(AND(AI145&gt;=3,AL145&lt;=AsOfDate),IF(AR145="FT",IF(AT145&lt;FT_First,0,IF(AT145&lt;FT_Y5,1+INT((AT145-FT_First)/FT_Int1),FT_PreY5+FT_PerYear*INT((AT145-FT_Y5)/12)+FT_AnnivDays+INT(MOD(AT145-FT_Y5,12)/FT_Int2))),IF(AR145="PT",IF(AT145&lt;PT_First,0,1+INT((AT145-PT_First)/PT_Int)),0))-IF(AR145="FT",IF(AV145&lt;FT_First,0,IF(AV145&lt;FT_Y5,1+INT((AV145-FT_First)/FT_Int1),FT_PreY5+FT_PerYear*INT((AV145-FT_Y5)/12)+FT_AnnivDays+INT(MOD(AV145-FT_Y5,12)/FT_Int2))),IF(AR145="PT",IF(AV145&lt;PT_First,0,1+INT((AV145-PT_First)/PT_Int)),0)),0))</f>
        <v/>
      </c>
      <c r="BA145" s="19" t="str">
        <f aca="false">IF(AG145=0,"",IF(AP145="FT",IF(AX145&lt;FT_First,0,IF(AX145&lt;FT_Y5,1+INT((AX145-FT_First)/FT_Int1),FT_PreY5+FT_PerYear*INT((AX145-FT_Y5)/12)+FT_AnnivDays+INT(MOD(AX145-FT_Y5,12)/FT_Int2))),IF(AP145="PT",IF(AX145&lt;PT_First,0,1+INT((AX145-PT_First)/PT_Int)),0))+IF(AND(AI145&gt;=2,AK145&lt;=PFYDate),IF(AQ145="FT",IF(AY145&lt;FT_First,0,IF(AY145&lt;FT_Y5,1+INT((AY145-FT_First)/FT_Int1),FT_PreY5+FT_PerYear*INT((AY145-FT_Y5)/12)+FT_AnnivDays+INT(MOD(AY145-FT_Y5,12)/FT_Int2))),IF(AQ145="PT",IF(AY145&lt;PT_First,0,1+INT((AY145-PT_First)/PT_Int)),0))-IF(AQ145="FT",IF(AX145&lt;FT_First,0,IF(AX145&lt;FT_Y5,1+INT((AX145-FT_First)/FT_Int1),FT_PreY5+FT_PerYear*INT((AX145-FT_Y5)/12)+FT_AnnivDays+INT(MOD(AX145-FT_Y5,12)/FT_Int2))),IF(AQ145="PT",IF(AX145&lt;PT_First,0,1+INT((AX145-PT_First)/PT_Int)),0)),0)+IF(AND(AI145&gt;=3,AL145&lt;=PFYDate),IF(AR145="FT",IF(AW145&lt;FT_First,0,IF(AW145&lt;FT_Y5,1+INT((AW145-FT_First)/FT_Int1),FT_PreY5+FT_PerYear*INT((AW145-FT_Y5)/12)+FT_AnnivDays+INT(MOD(AW145-FT_Y5,12)/FT_Int2))),IF(AR145="PT",IF(AW145&lt;PT_First,0,1+INT((AW145-PT_First)/PT_Int)),0))-IF(AR145="FT",IF(AY145&lt;FT_First,0,IF(AY145&lt;FT_Y5,1+INT((AY145-FT_First)/FT_Int1),FT_PreY5+FT_PerYear*INT((AY145-FT_Y5)/12)+FT_AnnivDays+INT(MOD(AY145-FT_Y5,12)/FT_Int2))),IF(AR145="PT",IF(AY145&lt;PT_First,0,1+INT((AY145-PT_First)/PT_Int)),0)),0))</f>
        <v/>
      </c>
      <c r="BB145" s="19" t="str">
        <f aca="false">IF(AG145=0,"",IF(AS145="FT",IF(AT145&lt;FT_First,FT_First,IF(AT145&lt;FT_Y5,MIN(FT_Y5,FT_First+FT_Int1*(INT((AT145-FT_First)/FT_Int1)+1)),FT_Y5+12*INT((AT145-FT_Y5)/12)+FT_Int2*(INT(MOD(AT145-FT_Y5,12)/FT_Int2)+1))),IF(AS145="PT",IF(AT145&lt;PT_First,PT_First,PT_First+PT_Int*(INT((AT145-PT_First)/PT_Int)+1)),"")))</f>
        <v/>
      </c>
      <c r="BC145" s="19" t="str">
        <f aca="false">IF(AG145=0,"",IF(NOT(LH_Ready),0,COUNTIFS(INDEX(LH_Data,0,LH_ColFirst),$A145,INDEX(LH_Data,0,LH_ColSur),$B145,INDEX(LH_Data,0,LH_ColCat),BonusCat)))</f>
        <v/>
      </c>
      <c r="BD145" s="19" t="str">
        <f aca="false">IF(AG145=0,"",IF(OR(NOT(LH_Ready),BC145=0),0,SUMPRODUCT(MAX((INDEX(LH_Data,0,LH_ColFirst)=$A145)*(INDEX(LH_Data,0,LH_ColSur)=$B145)*(INDEX(LH_Data,0,LH_ColCat)=BonusCat)*ROW(LH_Data)))))</f>
        <v/>
      </c>
      <c r="BE145" s="19" t="str">
        <f aca="false">IF(AG145=0,"",IF(EOMONTH(AsOfDate,-1)&lt;AH145,-1,12*(YEAR(EOMONTH(AsOfDate,-1))-YEAR(AH145))+MONTH(EOMONTH(AsOfDate,-1))-MONTH(AH145)-IF(DAY(EOMONTH(AsOfDate,-1))&lt;MIN(DAY(AH145),DAY(EOMONTH(EOMONTH(AsOfDate,-1),0))),1,0)))</f>
        <v/>
      </c>
      <c r="BF145" s="19" t="str">
        <f aca="false">IF(AG145=0,"",IF(OR(AI145&lt;2,AK145&gt;EOMONTH(AsOfDate,-1)),BE145,IF((AK145-1)&lt;AH145,-1,12*(YEAR((AK145-1))-YEAR(AH145))+MONTH((AK145-1))-MONTH(AH145)-IF(DAY((AK145-1))&lt;MIN(DAY(AH145),DAY(EOMONTH((AK145-1),0))),1,0))))</f>
        <v/>
      </c>
      <c r="BG145" s="19" t="str">
        <f aca="false">IF(AG145=0,"",IF(OR(AI145&lt;3,AL145&gt;EOMONTH(AsOfDate,-1)),BE145,IF((AL145-1)&lt;AH145,-1,12*(YEAR((AL145-1))-YEAR(AH145))+MONTH((AL145-1))-MONTH(AH145)-IF(DAY((AL145-1))&lt;MIN(DAY(AH145),DAY(EOMONTH((AL145-1),0))),1,0))))</f>
        <v/>
      </c>
      <c r="BH145" s="19" t="str">
        <f aca="false">IF(AG145=0,"",IF(AP145="FT",IF(BF145&lt;FT_First,0,IF(BF145&lt;FT_Y5,1+INT((BF145-FT_First)/FT_Int1),FT_PreY5+FT_PerYear*INT((BF145-FT_Y5)/12)+FT_AnnivDays+INT(MOD(BF145-FT_Y5,12)/FT_Int2))),IF(AP145="PT",IF(BF145&lt;PT_First,0,1+INT((BF145-PT_First)/PT_Int)),0))+IF(AND(AI145&gt;=2,AK145&lt;=EOMONTH(AsOfDate,-1)),IF(AQ145="FT",IF(BG145&lt;FT_First,0,IF(BG145&lt;FT_Y5,1+INT((BG145-FT_First)/FT_Int1),FT_PreY5+FT_PerYear*INT((BG145-FT_Y5)/12)+FT_AnnivDays+INT(MOD(BG145-FT_Y5,12)/FT_Int2))),IF(AQ145="PT",IF(BG145&lt;PT_First,0,1+INT((BG145-PT_First)/PT_Int)),0))-IF(AQ145="FT",IF(BF145&lt;FT_First,0,IF(BF145&lt;FT_Y5,1+INT((BF145-FT_First)/FT_Int1),FT_PreY5+FT_PerYear*INT((BF145-FT_Y5)/12)+FT_AnnivDays+INT(MOD(BF145-FT_Y5,12)/FT_Int2))),IF(AQ145="PT",IF(BF145&lt;PT_First,0,1+INT((BF145-PT_First)/PT_Int)),0)),0)+IF(AND(AI145&gt;=3,AL145&lt;=EOMONTH(AsOfDate,-1)),IF(AR145="FT",IF(BE145&lt;FT_First,0,IF(BE145&lt;FT_Y5,1+INT((BE145-FT_First)/FT_Int1),FT_PreY5+FT_PerYear*INT((BE145-FT_Y5)/12)+FT_AnnivDays+INT(MOD(BE145-FT_Y5,12)/FT_Int2))),IF(AR145="PT",IF(BE145&lt;PT_First,0,1+INT((BE145-PT_First)/PT_Int)),0))-IF(AR145="FT",IF(BG145&lt;FT_First,0,IF(BG145&lt;FT_Y5,1+INT((BG145-FT_First)/FT_Int1),FT_PreY5+FT_PerYear*INT((BG145-FT_Y5)/12)+FT_AnnivDays+INT(MOD(BG145-FT_Y5,12)/FT_Int2))),IF(AR145="PT",IF(BG145&lt;PT_First,0,1+INT((BG145-PT_First)/PT_Int)),0)),0))</f>
        <v/>
      </c>
      <c r="BI145" s="19" t="str">
        <f aca="false">IF(AG145=0,"",IF(AS145="FT",IF(AT145&lt;FT_First,"",IF(AT145&lt;FT_Y5,FT_First+FT_Int1*INT((AT145-FT_First)/FT_Int1),FT_Y5+FT_Int2*INT((AT145-FT_Y5)/FT_Int2))),IF(AS145="PT",IF(AT145&lt;PT_First,"",PT_First+PT_Int*INT((AT145-PT_First)/PT_Int)),"")))</f>
        <v/>
      </c>
      <c r="BJ145" s="0" t="str">
        <f aca="false">IF(LEN($A145&amp;$B145)=0,"",$A145&amp;" "&amp;$B145)</f>
        <v/>
      </c>
    </row>
    <row r="146" customFormat="false" ht="15" hidden="false" customHeight="false" outlineLevel="0" collapsed="false">
      <c r="A146" s="15"/>
      <c r="B146" s="15"/>
      <c r="C146" s="15"/>
      <c r="D146" s="16"/>
      <c r="E146" s="17" t="str">
        <f aca="false">IF(OR(AG146=0,$D146=""),"",DATE(YEAR(AsOfDate)+IF(DATE(YEAR(AsOfDate),MONTH($D146),DAY($D146))&lt;=AsOfDate,1,0),MONTH($D146),DAY($D146)))</f>
        <v/>
      </c>
      <c r="F146" s="16"/>
      <c r="G146" s="16"/>
      <c r="H146" s="16"/>
      <c r="I146" s="16"/>
      <c r="J146" s="16"/>
      <c r="K146" s="17" t="str">
        <f aca="false">IF(AG146=0,"",DATE(YEAR(AsOfDate)+IF(DATE(YEAR(AsOfDate),MONTH(AH146),DAY(AH146))&lt;=AsOfDate,1,0),MONTH(AH146),DAY(AH146)))</f>
        <v/>
      </c>
      <c r="L146" s="18" t="str">
        <f aca="false">IF(AG146=0,"",ROUND((AsOfDate-AH146)/365.25,1))</f>
        <v/>
      </c>
      <c r="M146" s="19" t="str">
        <f aca="false">IF(AG146=0,"",IF(AsOfDate&lt;AH146,"-",DATEDIF(AH146,AsOfDate,"y")&amp;"y "&amp;DATEDIF(AH146,AsOfDate,"ym")&amp;"m "&amp;DATEDIF(AH146,AsOfDate,"md")&amp;"d"))</f>
        <v/>
      </c>
      <c r="N146" s="20" t="str">
        <f aca="false">IF(AG146=0,"",O146*HoursPerDay)</f>
        <v/>
      </c>
      <c r="O146" s="20" t="str">
        <f aca="false">IF(AG146=0,"",AZ146)</f>
        <v/>
      </c>
      <c r="P146" s="21"/>
      <c r="Q146" s="19"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19"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7" t="str">
        <f aca="false">IF(AG146=0,"",IF(AS146="None","",EDATE(AH146,BB146)))</f>
        <v/>
      </c>
      <c r="T146" s="20" t="str">
        <f aca="false">IF(AG146=0,"",IF(NOT(LH_Ready),"",IF(AH146&gt;PFYDate,0,IF(LH_ColPeriod=0,W146-U146+V146,SUMIFS(INDEX(LH_Data,0,LH_ColAcc),INDEX(LH_Data,0,LH_ColFirst),$A146,INDEX(LH_Data,0,LH_ColSur),$B146,INDEX(LH_Data,0,LH_ColCat),BonusCat,INDEX(LH_Data,0,LH_ColPeriod),LH_OpenLabel)*UnitFactor))))</f>
        <v/>
      </c>
      <c r="U146" s="20" t="str">
        <f aca="false">IF(AG146=0,"",IF(NOT(LH_Ready),"",SUMIFS(INDEX(LH_Data,0,LH_ColAcc),INDEX(LH_Data,0,LH_ColFirst),$A146,INDEX(LH_Data,0,LH_ColSur),$B146,INDEX(LH_Data,0,LH_ColCat),BonusCat,INDEX(LH_Data,0,LH_ColStart),"&gt;="&amp;AH146)*UnitFactor))</f>
        <v/>
      </c>
      <c r="V146" s="20" t="str">
        <f aca="false">IF(AG146=0,"",IF(NOT(LH_Ready),"",SUMIFS(INDEX(LH_Data,0,LH_ColTaken),INDEX(LH_Data,0,LH_ColFirst),$A146,INDEX(LH_Data,0,LH_ColSur),$B146,INDEX(LH_Data,0,LH_ColCat),BonusCat,INDEX(LH_Data,0,LH_ColStart),"&gt;="&amp;AH146)*UnitFactor))</f>
        <v/>
      </c>
      <c r="W146" s="20" t="str">
        <f aca="false">IF(AG146=0,"",IF(NOT(LH_Ready),"",IF(BD146=0,0,INDEX(INDEX(LH_Data,0,LH_ColClose),BD146-1)*UnitFactor)))</f>
        <v/>
      </c>
      <c r="X146" s="20" t="str">
        <f aca="false">IF(AG146=0,"",(AZ146-BA146)*HoursPerDay)</f>
        <v/>
      </c>
      <c r="Y146" s="20" t="str">
        <f aca="false">IF(AG146=0,"",IF(NOT(LH_Ready),"",IF(BC146=0,N146,IF(PFYDate&lt;$F146,N146-N(T146)-N(U146),X146-N(U146)))))</f>
        <v/>
      </c>
      <c r="Z146" s="19" t="str">
        <f aca="false">IF(OR(AG146=0,Y146=""),"",IF(Y146&gt;0,"Yes","No"))</f>
        <v/>
      </c>
      <c r="AA146" s="19"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20" t="str">
        <f aca="false">IF(OR(AG146=0,T146=""),"",BA146*HoursPerDay-T146)</f>
        <v/>
      </c>
      <c r="AC146" s="19" t="str">
        <f aca="false">IF(AG146=0,"",BC146)</f>
        <v/>
      </c>
      <c r="AD146" s="19"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20" t="str">
        <f aca="false">IF(AG146=0,"",O146-BH146)</f>
        <v/>
      </c>
      <c r="AF146" s="17" t="str">
        <f aca="false">IF(OR(AG146=0,AE146="",N(AE146)=0,BI146=""),"",EDATE(AH146,BI146))</f>
        <v/>
      </c>
      <c r="AG146" s="19" t="n">
        <f aca="false">IF(OR(LEN($A146&amp;$B146)=0,$F146=""),0,1)</f>
        <v>0</v>
      </c>
      <c r="AH146" s="17" t="str">
        <f aca="false">IF(AG146=0,"",IF($J146&lt;&gt;"",$J146,IF(OR(CasualCounts="Yes",COUNT($G146:$I146)=0,COUNT($H146:$I146)=0),$F146,MIN($H146:$I146))))</f>
        <v/>
      </c>
      <c r="AI146" s="19" t="str">
        <f aca="false">IF(AG146=0,"",COUNT($G146:$I146))</f>
        <v/>
      </c>
      <c r="AJ146" s="17" t="str">
        <f aca="false">IF(AG146=0,"",IFERROR(SMALL($G146:$I146,1),""))</f>
        <v/>
      </c>
      <c r="AK146" s="17" t="str">
        <f aca="false">IF(AG146=0,"",IFERROR(SMALL($G146:$I146,2),""))</f>
        <v/>
      </c>
      <c r="AL146" s="17" t="str">
        <f aca="false">IF(AG146=0,"",IFERROR(SMALL($G146:$I146,3),""))</f>
        <v/>
      </c>
      <c r="AM146" s="19" t="str">
        <f aca="false">IF(AG146=0,"",IF(AJ146="","",IF(AJ146=$H146,"Part-Time",IF(AJ146=$I146,"Full-Time","Casual"))))</f>
        <v/>
      </c>
      <c r="AN146" s="19" t="str">
        <f aca="false">IF(AG146=0,"",IF(AK146="","",IF(AK146=$H146,"Part-Time",IF(AK146=$I146,"Full-Time","Casual"))))</f>
        <v/>
      </c>
      <c r="AO146" s="19" t="str">
        <f aca="false">IF(AG146=0,"",IF(AL146="","",IF(AL146=$H146,"Part-Time",IF(AL146=$I146,"Full-Time","Casual"))))</f>
        <v/>
      </c>
      <c r="AP146" s="19"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19" t="str">
        <f aca="false">IF(AG146=0,"",IF(AI146&lt;2,"",IF(OR(ISNUMBER(SEARCH("full",AN146)),UPPER(TRIM(AN146))="FT",UPPER(TRIM(AN146))="FTE"),"FT",IF(AND(OR(ISNUMBER(SEARCH("part",AN146)),UPPER(TRIM(AN146))="PT",UPPER(TRIM(AN146))="PTE"),OR($P146="",N($P146)&gt;=PT_MinHours)),"PT","None"))))</f>
        <v/>
      </c>
      <c r="AR146" s="19" t="str">
        <f aca="false">IF(AG146=0,"",IF(AI146&lt;3,"",IF(OR(ISNUMBER(SEARCH("full",AO146)),UPPER(TRIM(AO146))="FT",UPPER(TRIM(AO146))="FTE"),"FT",IF(AND(OR(ISNUMBER(SEARCH("part",AO146)),UPPER(TRIM(AO146))="PT",UPPER(TRIM(AO146))="PTE"),OR($P146="",N($P146)&gt;=PT_MinHours)),"PT","None"))))</f>
        <v/>
      </c>
      <c r="AS146" s="19" t="str">
        <f aca="false">IF(AG146=0,"",IF(AND(AI146&gt;=3,AL146&lt;=AsOfDate),AR146,IF(AND(AI146&gt;=2,AK146&lt;=AsOfDate),AQ146,AP146)))</f>
        <v/>
      </c>
      <c r="AT146" s="19" t="str">
        <f aca="false">IF(AG146=0,"",IF(AsOfDate&lt;AH146,-1,12*(YEAR(AsOfDate)-YEAR(AH146))+MONTH(AsOfDate)-MONTH(AH146)-IF(DAY(AsOfDate)&lt;MIN(DAY(AH146),DAY(EOMONTH(AsOfDate,0))),1,0)))</f>
        <v/>
      </c>
      <c r="AU146" s="19" t="str">
        <f aca="false">IF(AG146=0,"",IF(OR(AI146&lt;2,AK146&gt;AsOfDate),AT146,IF((AK146-1)&lt;AH146,-1,12*(YEAR((AK146-1))-YEAR(AH146))+MONTH((AK146-1))-MONTH(AH146)-IF(DAY((AK146-1))&lt;MIN(DAY(AH146),DAY(EOMONTH((AK146-1),0))),1,0))))</f>
        <v/>
      </c>
      <c r="AV146" s="19" t="str">
        <f aca="false">IF(AG146=0,"",IF(OR(AI146&lt;3,AL146&gt;AsOfDate),AT146,IF((AL146-1)&lt;AH146,-1,12*(YEAR((AL146-1))-YEAR(AH146))+MONTH((AL146-1))-MONTH(AH146)-IF(DAY((AL146-1))&lt;MIN(DAY(AH146),DAY(EOMONTH((AL146-1),0))),1,0))))</f>
        <v/>
      </c>
      <c r="AW146" s="19" t="str">
        <f aca="false">IF(AG146=0,"",IF(PFYDate&lt;AH146,-1,12*(YEAR(PFYDate)-YEAR(AH146))+MONTH(PFYDate)-MONTH(AH146)-IF(DAY(PFYDate)&lt;MIN(DAY(AH146),DAY(EOMONTH(PFYDate,0))),1,0)))</f>
        <v/>
      </c>
      <c r="AX146" s="19" t="str">
        <f aca="false">IF(AG146=0,"",IF(OR(AI146&lt;2,AK146&gt;PFYDate),AW146,IF((AK146-1)&lt;AH146,-1,12*(YEAR((AK146-1))-YEAR(AH146))+MONTH((AK146-1))-MONTH(AH146)-IF(DAY((AK146-1))&lt;MIN(DAY(AH146),DAY(EOMONTH((AK146-1),0))),1,0))))</f>
        <v/>
      </c>
      <c r="AY146" s="19" t="str">
        <f aca="false">IF(AG146=0,"",IF(OR(AI146&lt;3,AL146&gt;PFYDate),AW146,IF((AL146-1)&lt;AH146,-1,12*(YEAR((AL146-1))-YEAR(AH146))+MONTH((AL146-1))-MONTH(AH146)-IF(DAY((AL146-1))&lt;MIN(DAY(AH146),DAY(EOMONTH((AL146-1),0))),1,0))))</f>
        <v/>
      </c>
      <c r="AZ146" s="19" t="str">
        <f aca="false">IF(AG146=0,"",IF(AP146="FT",IF(AU146&lt;FT_First,0,IF(AU146&lt;FT_Y5,1+INT((AU146-FT_First)/FT_Int1),FT_PreY5+FT_PerYear*INT((AU146-FT_Y5)/12)+FT_AnnivDays+INT(MOD(AU146-FT_Y5,12)/FT_Int2))),IF(AP146="PT",IF(AU146&lt;PT_First,0,1+INT((AU146-PT_First)/PT_Int)),0))+IF(AND(AI146&gt;=2,AK146&lt;=AsOfDate),IF(AQ146="FT",IF(AV146&lt;FT_First,0,IF(AV146&lt;FT_Y5,1+INT((AV146-FT_First)/FT_Int1),FT_PreY5+FT_PerYear*INT((AV146-FT_Y5)/12)+FT_AnnivDays+INT(MOD(AV146-FT_Y5,12)/FT_Int2))),IF(AQ146="PT",IF(AV146&lt;PT_First,0,1+INT((AV146-PT_First)/PT_Int)),0))-IF(AQ146="FT",IF(AU146&lt;FT_First,0,IF(AU146&lt;FT_Y5,1+INT((AU146-FT_First)/FT_Int1),FT_PreY5+FT_PerYear*INT((AU146-FT_Y5)/12)+FT_AnnivDays+INT(MOD(AU146-FT_Y5,12)/FT_Int2))),IF(AQ146="PT",IF(AU146&lt;PT_First,0,1+INT((AU146-PT_First)/PT_Int)),0)),0)+IF(AND(AI146&gt;=3,AL146&lt;=AsOfDate),IF(AR146="FT",IF(AT146&lt;FT_First,0,IF(AT146&lt;FT_Y5,1+INT((AT146-FT_First)/FT_Int1),FT_PreY5+FT_PerYear*INT((AT146-FT_Y5)/12)+FT_AnnivDays+INT(MOD(AT146-FT_Y5,12)/FT_Int2))),IF(AR146="PT",IF(AT146&lt;PT_First,0,1+INT((AT146-PT_First)/PT_Int)),0))-IF(AR146="FT",IF(AV146&lt;FT_First,0,IF(AV146&lt;FT_Y5,1+INT((AV146-FT_First)/FT_Int1),FT_PreY5+FT_PerYear*INT((AV146-FT_Y5)/12)+FT_AnnivDays+INT(MOD(AV146-FT_Y5,12)/FT_Int2))),IF(AR146="PT",IF(AV146&lt;PT_First,0,1+INT((AV146-PT_First)/PT_Int)),0)),0))</f>
        <v/>
      </c>
      <c r="BA146" s="19" t="str">
        <f aca="false">IF(AG146=0,"",IF(AP146="FT",IF(AX146&lt;FT_First,0,IF(AX146&lt;FT_Y5,1+INT((AX146-FT_First)/FT_Int1),FT_PreY5+FT_PerYear*INT((AX146-FT_Y5)/12)+FT_AnnivDays+INT(MOD(AX146-FT_Y5,12)/FT_Int2))),IF(AP146="PT",IF(AX146&lt;PT_First,0,1+INT((AX146-PT_First)/PT_Int)),0))+IF(AND(AI146&gt;=2,AK146&lt;=PFYDate),IF(AQ146="FT",IF(AY146&lt;FT_First,0,IF(AY146&lt;FT_Y5,1+INT((AY146-FT_First)/FT_Int1),FT_PreY5+FT_PerYear*INT((AY146-FT_Y5)/12)+FT_AnnivDays+INT(MOD(AY146-FT_Y5,12)/FT_Int2))),IF(AQ146="PT",IF(AY146&lt;PT_First,0,1+INT((AY146-PT_First)/PT_Int)),0))-IF(AQ146="FT",IF(AX146&lt;FT_First,0,IF(AX146&lt;FT_Y5,1+INT((AX146-FT_First)/FT_Int1),FT_PreY5+FT_PerYear*INT((AX146-FT_Y5)/12)+FT_AnnivDays+INT(MOD(AX146-FT_Y5,12)/FT_Int2))),IF(AQ146="PT",IF(AX146&lt;PT_First,0,1+INT((AX146-PT_First)/PT_Int)),0)),0)+IF(AND(AI146&gt;=3,AL146&lt;=PFYDate),IF(AR146="FT",IF(AW146&lt;FT_First,0,IF(AW146&lt;FT_Y5,1+INT((AW146-FT_First)/FT_Int1),FT_PreY5+FT_PerYear*INT((AW146-FT_Y5)/12)+FT_AnnivDays+INT(MOD(AW146-FT_Y5,12)/FT_Int2))),IF(AR146="PT",IF(AW146&lt;PT_First,0,1+INT((AW146-PT_First)/PT_Int)),0))-IF(AR146="FT",IF(AY146&lt;FT_First,0,IF(AY146&lt;FT_Y5,1+INT((AY146-FT_First)/FT_Int1),FT_PreY5+FT_PerYear*INT((AY146-FT_Y5)/12)+FT_AnnivDays+INT(MOD(AY146-FT_Y5,12)/FT_Int2))),IF(AR146="PT",IF(AY146&lt;PT_First,0,1+INT((AY146-PT_First)/PT_Int)),0)),0))</f>
        <v/>
      </c>
      <c r="BB146" s="19" t="str">
        <f aca="false">IF(AG146=0,"",IF(AS146="FT",IF(AT146&lt;FT_First,FT_First,IF(AT146&lt;FT_Y5,MIN(FT_Y5,FT_First+FT_Int1*(INT((AT146-FT_First)/FT_Int1)+1)),FT_Y5+12*INT((AT146-FT_Y5)/12)+FT_Int2*(INT(MOD(AT146-FT_Y5,12)/FT_Int2)+1))),IF(AS146="PT",IF(AT146&lt;PT_First,PT_First,PT_First+PT_Int*(INT((AT146-PT_First)/PT_Int)+1)),"")))</f>
        <v/>
      </c>
      <c r="BC146" s="19" t="str">
        <f aca="false">IF(AG146=0,"",IF(NOT(LH_Ready),0,COUNTIFS(INDEX(LH_Data,0,LH_ColFirst),$A146,INDEX(LH_Data,0,LH_ColSur),$B146,INDEX(LH_Data,0,LH_ColCat),BonusCat)))</f>
        <v/>
      </c>
      <c r="BD146" s="19" t="str">
        <f aca="false">IF(AG146=0,"",IF(OR(NOT(LH_Ready),BC146=0),0,SUMPRODUCT(MAX((INDEX(LH_Data,0,LH_ColFirst)=$A146)*(INDEX(LH_Data,0,LH_ColSur)=$B146)*(INDEX(LH_Data,0,LH_ColCat)=BonusCat)*ROW(LH_Data)))))</f>
        <v/>
      </c>
      <c r="BE146" s="19" t="str">
        <f aca="false">IF(AG146=0,"",IF(EOMONTH(AsOfDate,-1)&lt;AH146,-1,12*(YEAR(EOMONTH(AsOfDate,-1))-YEAR(AH146))+MONTH(EOMONTH(AsOfDate,-1))-MONTH(AH146)-IF(DAY(EOMONTH(AsOfDate,-1))&lt;MIN(DAY(AH146),DAY(EOMONTH(EOMONTH(AsOfDate,-1),0))),1,0)))</f>
        <v/>
      </c>
      <c r="BF146" s="19" t="str">
        <f aca="false">IF(AG146=0,"",IF(OR(AI146&lt;2,AK146&gt;EOMONTH(AsOfDate,-1)),BE146,IF((AK146-1)&lt;AH146,-1,12*(YEAR((AK146-1))-YEAR(AH146))+MONTH((AK146-1))-MONTH(AH146)-IF(DAY((AK146-1))&lt;MIN(DAY(AH146),DAY(EOMONTH((AK146-1),0))),1,0))))</f>
        <v/>
      </c>
      <c r="BG146" s="19" t="str">
        <f aca="false">IF(AG146=0,"",IF(OR(AI146&lt;3,AL146&gt;EOMONTH(AsOfDate,-1)),BE146,IF((AL146-1)&lt;AH146,-1,12*(YEAR((AL146-1))-YEAR(AH146))+MONTH((AL146-1))-MONTH(AH146)-IF(DAY((AL146-1))&lt;MIN(DAY(AH146),DAY(EOMONTH((AL146-1),0))),1,0))))</f>
        <v/>
      </c>
      <c r="BH146" s="19" t="str">
        <f aca="false">IF(AG146=0,"",IF(AP146="FT",IF(BF146&lt;FT_First,0,IF(BF146&lt;FT_Y5,1+INT((BF146-FT_First)/FT_Int1),FT_PreY5+FT_PerYear*INT((BF146-FT_Y5)/12)+FT_AnnivDays+INT(MOD(BF146-FT_Y5,12)/FT_Int2))),IF(AP146="PT",IF(BF146&lt;PT_First,0,1+INT((BF146-PT_First)/PT_Int)),0))+IF(AND(AI146&gt;=2,AK146&lt;=EOMONTH(AsOfDate,-1)),IF(AQ146="FT",IF(BG146&lt;FT_First,0,IF(BG146&lt;FT_Y5,1+INT((BG146-FT_First)/FT_Int1),FT_PreY5+FT_PerYear*INT((BG146-FT_Y5)/12)+FT_AnnivDays+INT(MOD(BG146-FT_Y5,12)/FT_Int2))),IF(AQ146="PT",IF(BG146&lt;PT_First,0,1+INT((BG146-PT_First)/PT_Int)),0))-IF(AQ146="FT",IF(BF146&lt;FT_First,0,IF(BF146&lt;FT_Y5,1+INT((BF146-FT_First)/FT_Int1),FT_PreY5+FT_PerYear*INT((BF146-FT_Y5)/12)+FT_AnnivDays+INT(MOD(BF146-FT_Y5,12)/FT_Int2))),IF(AQ146="PT",IF(BF146&lt;PT_First,0,1+INT((BF146-PT_First)/PT_Int)),0)),0)+IF(AND(AI146&gt;=3,AL146&lt;=EOMONTH(AsOfDate,-1)),IF(AR146="FT",IF(BE146&lt;FT_First,0,IF(BE146&lt;FT_Y5,1+INT((BE146-FT_First)/FT_Int1),FT_PreY5+FT_PerYear*INT((BE146-FT_Y5)/12)+FT_AnnivDays+INT(MOD(BE146-FT_Y5,12)/FT_Int2))),IF(AR146="PT",IF(BE146&lt;PT_First,0,1+INT((BE146-PT_First)/PT_Int)),0))-IF(AR146="FT",IF(BG146&lt;FT_First,0,IF(BG146&lt;FT_Y5,1+INT((BG146-FT_First)/FT_Int1),FT_PreY5+FT_PerYear*INT((BG146-FT_Y5)/12)+FT_AnnivDays+INT(MOD(BG146-FT_Y5,12)/FT_Int2))),IF(AR146="PT",IF(BG146&lt;PT_First,0,1+INT((BG146-PT_First)/PT_Int)),0)),0))</f>
        <v/>
      </c>
      <c r="BI146" s="19" t="str">
        <f aca="false">IF(AG146=0,"",IF(AS146="FT",IF(AT146&lt;FT_First,"",IF(AT146&lt;FT_Y5,FT_First+FT_Int1*INT((AT146-FT_First)/FT_Int1),FT_Y5+FT_Int2*INT((AT146-FT_Y5)/FT_Int2))),IF(AS146="PT",IF(AT146&lt;PT_First,"",PT_First+PT_Int*INT((AT146-PT_First)/PT_Int)),"")))</f>
        <v/>
      </c>
      <c r="BJ146" s="0" t="str">
        <f aca="false">IF(LEN($A146&amp;$B146)=0,"",$A146&amp;" "&amp;$B146)</f>
        <v/>
      </c>
    </row>
    <row r="147" customFormat="false" ht="15" hidden="false" customHeight="false" outlineLevel="0" collapsed="false">
      <c r="A147" s="15"/>
      <c r="B147" s="15"/>
      <c r="C147" s="15"/>
      <c r="D147" s="16"/>
      <c r="E147" s="17" t="str">
        <f aca="false">IF(OR(AG147=0,$D147=""),"",DATE(YEAR(AsOfDate)+IF(DATE(YEAR(AsOfDate),MONTH($D147),DAY($D147))&lt;=AsOfDate,1,0),MONTH($D147),DAY($D147)))</f>
        <v/>
      </c>
      <c r="F147" s="16"/>
      <c r="G147" s="16"/>
      <c r="H147" s="16"/>
      <c r="I147" s="16"/>
      <c r="J147" s="16"/>
      <c r="K147" s="17" t="str">
        <f aca="false">IF(AG147=0,"",DATE(YEAR(AsOfDate)+IF(DATE(YEAR(AsOfDate),MONTH(AH147),DAY(AH147))&lt;=AsOfDate,1,0),MONTH(AH147),DAY(AH147)))</f>
        <v/>
      </c>
      <c r="L147" s="18" t="str">
        <f aca="false">IF(AG147=0,"",ROUND((AsOfDate-AH147)/365.25,1))</f>
        <v/>
      </c>
      <c r="M147" s="19" t="str">
        <f aca="false">IF(AG147=0,"",IF(AsOfDate&lt;AH147,"-",DATEDIF(AH147,AsOfDate,"y")&amp;"y "&amp;DATEDIF(AH147,AsOfDate,"ym")&amp;"m "&amp;DATEDIF(AH147,AsOfDate,"md")&amp;"d"))</f>
        <v/>
      </c>
      <c r="N147" s="20" t="str">
        <f aca="false">IF(AG147=0,"",O147*HoursPerDay)</f>
        <v/>
      </c>
      <c r="O147" s="20" t="str">
        <f aca="false">IF(AG147=0,"",AZ147)</f>
        <v/>
      </c>
      <c r="P147" s="21"/>
      <c r="Q147" s="19"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19"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7" t="str">
        <f aca="false">IF(AG147=0,"",IF(AS147="None","",EDATE(AH147,BB147)))</f>
        <v/>
      </c>
      <c r="T147" s="20" t="str">
        <f aca="false">IF(AG147=0,"",IF(NOT(LH_Ready),"",IF(AH147&gt;PFYDate,0,IF(LH_ColPeriod=0,W147-U147+V147,SUMIFS(INDEX(LH_Data,0,LH_ColAcc),INDEX(LH_Data,0,LH_ColFirst),$A147,INDEX(LH_Data,0,LH_ColSur),$B147,INDEX(LH_Data,0,LH_ColCat),BonusCat,INDEX(LH_Data,0,LH_ColPeriod),LH_OpenLabel)*UnitFactor))))</f>
        <v/>
      </c>
      <c r="U147" s="20" t="str">
        <f aca="false">IF(AG147=0,"",IF(NOT(LH_Ready),"",SUMIFS(INDEX(LH_Data,0,LH_ColAcc),INDEX(LH_Data,0,LH_ColFirst),$A147,INDEX(LH_Data,0,LH_ColSur),$B147,INDEX(LH_Data,0,LH_ColCat),BonusCat,INDEX(LH_Data,0,LH_ColStart),"&gt;="&amp;AH147)*UnitFactor))</f>
        <v/>
      </c>
      <c r="V147" s="20" t="str">
        <f aca="false">IF(AG147=0,"",IF(NOT(LH_Ready),"",SUMIFS(INDEX(LH_Data,0,LH_ColTaken),INDEX(LH_Data,0,LH_ColFirst),$A147,INDEX(LH_Data,0,LH_ColSur),$B147,INDEX(LH_Data,0,LH_ColCat),BonusCat,INDEX(LH_Data,0,LH_ColStart),"&gt;="&amp;AH147)*UnitFactor))</f>
        <v/>
      </c>
      <c r="W147" s="20" t="str">
        <f aca="false">IF(AG147=0,"",IF(NOT(LH_Ready),"",IF(BD147=0,0,INDEX(INDEX(LH_Data,0,LH_ColClose),BD147-1)*UnitFactor)))</f>
        <v/>
      </c>
      <c r="X147" s="20" t="str">
        <f aca="false">IF(AG147=0,"",(AZ147-BA147)*HoursPerDay)</f>
        <v/>
      </c>
      <c r="Y147" s="20" t="str">
        <f aca="false">IF(AG147=0,"",IF(NOT(LH_Ready),"",IF(BC147=0,N147,IF(PFYDate&lt;$F147,N147-N(T147)-N(U147),X147-N(U147)))))</f>
        <v/>
      </c>
      <c r="Z147" s="19" t="str">
        <f aca="false">IF(OR(AG147=0,Y147=""),"",IF(Y147&gt;0,"Yes","No"))</f>
        <v/>
      </c>
      <c r="AA147" s="19"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20" t="str">
        <f aca="false">IF(OR(AG147=0,T147=""),"",BA147*HoursPerDay-T147)</f>
        <v/>
      </c>
      <c r="AC147" s="19" t="str">
        <f aca="false">IF(AG147=0,"",BC147)</f>
        <v/>
      </c>
      <c r="AD147" s="19"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20" t="str">
        <f aca="false">IF(AG147=0,"",O147-BH147)</f>
        <v/>
      </c>
      <c r="AF147" s="17" t="str">
        <f aca="false">IF(OR(AG147=0,AE147="",N(AE147)=0,BI147=""),"",EDATE(AH147,BI147))</f>
        <v/>
      </c>
      <c r="AG147" s="19" t="n">
        <f aca="false">IF(OR(LEN($A147&amp;$B147)=0,$F147=""),0,1)</f>
        <v>0</v>
      </c>
      <c r="AH147" s="17" t="str">
        <f aca="false">IF(AG147=0,"",IF($J147&lt;&gt;"",$J147,IF(OR(CasualCounts="Yes",COUNT($G147:$I147)=0,COUNT($H147:$I147)=0),$F147,MIN($H147:$I147))))</f>
        <v/>
      </c>
      <c r="AI147" s="19" t="str">
        <f aca="false">IF(AG147=0,"",COUNT($G147:$I147))</f>
        <v/>
      </c>
      <c r="AJ147" s="17" t="str">
        <f aca="false">IF(AG147=0,"",IFERROR(SMALL($G147:$I147,1),""))</f>
        <v/>
      </c>
      <c r="AK147" s="17" t="str">
        <f aca="false">IF(AG147=0,"",IFERROR(SMALL($G147:$I147,2),""))</f>
        <v/>
      </c>
      <c r="AL147" s="17" t="str">
        <f aca="false">IF(AG147=0,"",IFERROR(SMALL($G147:$I147,3),""))</f>
        <v/>
      </c>
      <c r="AM147" s="19" t="str">
        <f aca="false">IF(AG147=0,"",IF(AJ147="","",IF(AJ147=$H147,"Part-Time",IF(AJ147=$I147,"Full-Time","Casual"))))</f>
        <v/>
      </c>
      <c r="AN147" s="19" t="str">
        <f aca="false">IF(AG147=0,"",IF(AK147="","",IF(AK147=$H147,"Part-Time",IF(AK147=$I147,"Full-Time","Casual"))))</f>
        <v/>
      </c>
      <c r="AO147" s="19" t="str">
        <f aca="false">IF(AG147=0,"",IF(AL147="","",IF(AL147=$H147,"Part-Time",IF(AL147=$I147,"Full-Time","Casual"))))</f>
        <v/>
      </c>
      <c r="AP147" s="19"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19" t="str">
        <f aca="false">IF(AG147=0,"",IF(AI147&lt;2,"",IF(OR(ISNUMBER(SEARCH("full",AN147)),UPPER(TRIM(AN147))="FT",UPPER(TRIM(AN147))="FTE"),"FT",IF(AND(OR(ISNUMBER(SEARCH("part",AN147)),UPPER(TRIM(AN147))="PT",UPPER(TRIM(AN147))="PTE"),OR($P147="",N($P147)&gt;=PT_MinHours)),"PT","None"))))</f>
        <v/>
      </c>
      <c r="AR147" s="19" t="str">
        <f aca="false">IF(AG147=0,"",IF(AI147&lt;3,"",IF(OR(ISNUMBER(SEARCH("full",AO147)),UPPER(TRIM(AO147))="FT",UPPER(TRIM(AO147))="FTE"),"FT",IF(AND(OR(ISNUMBER(SEARCH("part",AO147)),UPPER(TRIM(AO147))="PT",UPPER(TRIM(AO147))="PTE"),OR($P147="",N($P147)&gt;=PT_MinHours)),"PT","None"))))</f>
        <v/>
      </c>
      <c r="AS147" s="19" t="str">
        <f aca="false">IF(AG147=0,"",IF(AND(AI147&gt;=3,AL147&lt;=AsOfDate),AR147,IF(AND(AI147&gt;=2,AK147&lt;=AsOfDate),AQ147,AP147)))</f>
        <v/>
      </c>
      <c r="AT147" s="19" t="str">
        <f aca="false">IF(AG147=0,"",IF(AsOfDate&lt;AH147,-1,12*(YEAR(AsOfDate)-YEAR(AH147))+MONTH(AsOfDate)-MONTH(AH147)-IF(DAY(AsOfDate)&lt;MIN(DAY(AH147),DAY(EOMONTH(AsOfDate,0))),1,0)))</f>
        <v/>
      </c>
      <c r="AU147" s="19" t="str">
        <f aca="false">IF(AG147=0,"",IF(OR(AI147&lt;2,AK147&gt;AsOfDate),AT147,IF((AK147-1)&lt;AH147,-1,12*(YEAR((AK147-1))-YEAR(AH147))+MONTH((AK147-1))-MONTH(AH147)-IF(DAY((AK147-1))&lt;MIN(DAY(AH147),DAY(EOMONTH((AK147-1),0))),1,0))))</f>
        <v/>
      </c>
      <c r="AV147" s="19" t="str">
        <f aca="false">IF(AG147=0,"",IF(OR(AI147&lt;3,AL147&gt;AsOfDate),AT147,IF((AL147-1)&lt;AH147,-1,12*(YEAR((AL147-1))-YEAR(AH147))+MONTH((AL147-1))-MONTH(AH147)-IF(DAY((AL147-1))&lt;MIN(DAY(AH147),DAY(EOMONTH((AL147-1),0))),1,0))))</f>
        <v/>
      </c>
      <c r="AW147" s="19" t="str">
        <f aca="false">IF(AG147=0,"",IF(PFYDate&lt;AH147,-1,12*(YEAR(PFYDate)-YEAR(AH147))+MONTH(PFYDate)-MONTH(AH147)-IF(DAY(PFYDate)&lt;MIN(DAY(AH147),DAY(EOMONTH(PFYDate,0))),1,0)))</f>
        <v/>
      </c>
      <c r="AX147" s="19" t="str">
        <f aca="false">IF(AG147=0,"",IF(OR(AI147&lt;2,AK147&gt;PFYDate),AW147,IF((AK147-1)&lt;AH147,-1,12*(YEAR((AK147-1))-YEAR(AH147))+MONTH((AK147-1))-MONTH(AH147)-IF(DAY((AK147-1))&lt;MIN(DAY(AH147),DAY(EOMONTH((AK147-1),0))),1,0))))</f>
        <v/>
      </c>
      <c r="AY147" s="19" t="str">
        <f aca="false">IF(AG147=0,"",IF(OR(AI147&lt;3,AL147&gt;PFYDate),AW147,IF((AL147-1)&lt;AH147,-1,12*(YEAR((AL147-1))-YEAR(AH147))+MONTH((AL147-1))-MONTH(AH147)-IF(DAY((AL147-1))&lt;MIN(DAY(AH147),DAY(EOMONTH((AL147-1),0))),1,0))))</f>
        <v/>
      </c>
      <c r="AZ147" s="19" t="str">
        <f aca="false">IF(AG147=0,"",IF(AP147="FT",IF(AU147&lt;FT_First,0,IF(AU147&lt;FT_Y5,1+INT((AU147-FT_First)/FT_Int1),FT_PreY5+FT_PerYear*INT((AU147-FT_Y5)/12)+FT_AnnivDays+INT(MOD(AU147-FT_Y5,12)/FT_Int2))),IF(AP147="PT",IF(AU147&lt;PT_First,0,1+INT((AU147-PT_First)/PT_Int)),0))+IF(AND(AI147&gt;=2,AK147&lt;=AsOfDate),IF(AQ147="FT",IF(AV147&lt;FT_First,0,IF(AV147&lt;FT_Y5,1+INT((AV147-FT_First)/FT_Int1),FT_PreY5+FT_PerYear*INT((AV147-FT_Y5)/12)+FT_AnnivDays+INT(MOD(AV147-FT_Y5,12)/FT_Int2))),IF(AQ147="PT",IF(AV147&lt;PT_First,0,1+INT((AV147-PT_First)/PT_Int)),0))-IF(AQ147="FT",IF(AU147&lt;FT_First,0,IF(AU147&lt;FT_Y5,1+INT((AU147-FT_First)/FT_Int1),FT_PreY5+FT_PerYear*INT((AU147-FT_Y5)/12)+FT_AnnivDays+INT(MOD(AU147-FT_Y5,12)/FT_Int2))),IF(AQ147="PT",IF(AU147&lt;PT_First,0,1+INT((AU147-PT_First)/PT_Int)),0)),0)+IF(AND(AI147&gt;=3,AL147&lt;=AsOfDate),IF(AR147="FT",IF(AT147&lt;FT_First,0,IF(AT147&lt;FT_Y5,1+INT((AT147-FT_First)/FT_Int1),FT_PreY5+FT_PerYear*INT((AT147-FT_Y5)/12)+FT_AnnivDays+INT(MOD(AT147-FT_Y5,12)/FT_Int2))),IF(AR147="PT",IF(AT147&lt;PT_First,0,1+INT((AT147-PT_First)/PT_Int)),0))-IF(AR147="FT",IF(AV147&lt;FT_First,0,IF(AV147&lt;FT_Y5,1+INT((AV147-FT_First)/FT_Int1),FT_PreY5+FT_PerYear*INT((AV147-FT_Y5)/12)+FT_AnnivDays+INT(MOD(AV147-FT_Y5,12)/FT_Int2))),IF(AR147="PT",IF(AV147&lt;PT_First,0,1+INT((AV147-PT_First)/PT_Int)),0)),0))</f>
        <v/>
      </c>
      <c r="BA147" s="19" t="str">
        <f aca="false">IF(AG147=0,"",IF(AP147="FT",IF(AX147&lt;FT_First,0,IF(AX147&lt;FT_Y5,1+INT((AX147-FT_First)/FT_Int1),FT_PreY5+FT_PerYear*INT((AX147-FT_Y5)/12)+FT_AnnivDays+INT(MOD(AX147-FT_Y5,12)/FT_Int2))),IF(AP147="PT",IF(AX147&lt;PT_First,0,1+INT((AX147-PT_First)/PT_Int)),0))+IF(AND(AI147&gt;=2,AK147&lt;=PFYDate),IF(AQ147="FT",IF(AY147&lt;FT_First,0,IF(AY147&lt;FT_Y5,1+INT((AY147-FT_First)/FT_Int1),FT_PreY5+FT_PerYear*INT((AY147-FT_Y5)/12)+FT_AnnivDays+INT(MOD(AY147-FT_Y5,12)/FT_Int2))),IF(AQ147="PT",IF(AY147&lt;PT_First,0,1+INT((AY147-PT_First)/PT_Int)),0))-IF(AQ147="FT",IF(AX147&lt;FT_First,0,IF(AX147&lt;FT_Y5,1+INT((AX147-FT_First)/FT_Int1),FT_PreY5+FT_PerYear*INT((AX147-FT_Y5)/12)+FT_AnnivDays+INT(MOD(AX147-FT_Y5,12)/FT_Int2))),IF(AQ147="PT",IF(AX147&lt;PT_First,0,1+INT((AX147-PT_First)/PT_Int)),0)),0)+IF(AND(AI147&gt;=3,AL147&lt;=PFYDate),IF(AR147="FT",IF(AW147&lt;FT_First,0,IF(AW147&lt;FT_Y5,1+INT((AW147-FT_First)/FT_Int1),FT_PreY5+FT_PerYear*INT((AW147-FT_Y5)/12)+FT_AnnivDays+INT(MOD(AW147-FT_Y5,12)/FT_Int2))),IF(AR147="PT",IF(AW147&lt;PT_First,0,1+INT((AW147-PT_First)/PT_Int)),0))-IF(AR147="FT",IF(AY147&lt;FT_First,0,IF(AY147&lt;FT_Y5,1+INT((AY147-FT_First)/FT_Int1),FT_PreY5+FT_PerYear*INT((AY147-FT_Y5)/12)+FT_AnnivDays+INT(MOD(AY147-FT_Y5,12)/FT_Int2))),IF(AR147="PT",IF(AY147&lt;PT_First,0,1+INT((AY147-PT_First)/PT_Int)),0)),0))</f>
        <v/>
      </c>
      <c r="BB147" s="19" t="str">
        <f aca="false">IF(AG147=0,"",IF(AS147="FT",IF(AT147&lt;FT_First,FT_First,IF(AT147&lt;FT_Y5,MIN(FT_Y5,FT_First+FT_Int1*(INT((AT147-FT_First)/FT_Int1)+1)),FT_Y5+12*INT((AT147-FT_Y5)/12)+FT_Int2*(INT(MOD(AT147-FT_Y5,12)/FT_Int2)+1))),IF(AS147="PT",IF(AT147&lt;PT_First,PT_First,PT_First+PT_Int*(INT((AT147-PT_First)/PT_Int)+1)),"")))</f>
        <v/>
      </c>
      <c r="BC147" s="19" t="str">
        <f aca="false">IF(AG147=0,"",IF(NOT(LH_Ready),0,COUNTIFS(INDEX(LH_Data,0,LH_ColFirst),$A147,INDEX(LH_Data,0,LH_ColSur),$B147,INDEX(LH_Data,0,LH_ColCat),BonusCat)))</f>
        <v/>
      </c>
      <c r="BD147" s="19" t="str">
        <f aca="false">IF(AG147=0,"",IF(OR(NOT(LH_Ready),BC147=0),0,SUMPRODUCT(MAX((INDEX(LH_Data,0,LH_ColFirst)=$A147)*(INDEX(LH_Data,0,LH_ColSur)=$B147)*(INDEX(LH_Data,0,LH_ColCat)=BonusCat)*ROW(LH_Data)))))</f>
        <v/>
      </c>
      <c r="BE147" s="19" t="str">
        <f aca="false">IF(AG147=0,"",IF(EOMONTH(AsOfDate,-1)&lt;AH147,-1,12*(YEAR(EOMONTH(AsOfDate,-1))-YEAR(AH147))+MONTH(EOMONTH(AsOfDate,-1))-MONTH(AH147)-IF(DAY(EOMONTH(AsOfDate,-1))&lt;MIN(DAY(AH147),DAY(EOMONTH(EOMONTH(AsOfDate,-1),0))),1,0)))</f>
        <v/>
      </c>
      <c r="BF147" s="19" t="str">
        <f aca="false">IF(AG147=0,"",IF(OR(AI147&lt;2,AK147&gt;EOMONTH(AsOfDate,-1)),BE147,IF((AK147-1)&lt;AH147,-1,12*(YEAR((AK147-1))-YEAR(AH147))+MONTH((AK147-1))-MONTH(AH147)-IF(DAY((AK147-1))&lt;MIN(DAY(AH147),DAY(EOMONTH((AK147-1),0))),1,0))))</f>
        <v/>
      </c>
      <c r="BG147" s="19" t="str">
        <f aca="false">IF(AG147=0,"",IF(OR(AI147&lt;3,AL147&gt;EOMONTH(AsOfDate,-1)),BE147,IF((AL147-1)&lt;AH147,-1,12*(YEAR((AL147-1))-YEAR(AH147))+MONTH((AL147-1))-MONTH(AH147)-IF(DAY((AL147-1))&lt;MIN(DAY(AH147),DAY(EOMONTH((AL147-1),0))),1,0))))</f>
        <v/>
      </c>
      <c r="BH147" s="19" t="str">
        <f aca="false">IF(AG147=0,"",IF(AP147="FT",IF(BF147&lt;FT_First,0,IF(BF147&lt;FT_Y5,1+INT((BF147-FT_First)/FT_Int1),FT_PreY5+FT_PerYear*INT((BF147-FT_Y5)/12)+FT_AnnivDays+INT(MOD(BF147-FT_Y5,12)/FT_Int2))),IF(AP147="PT",IF(BF147&lt;PT_First,0,1+INT((BF147-PT_First)/PT_Int)),0))+IF(AND(AI147&gt;=2,AK147&lt;=EOMONTH(AsOfDate,-1)),IF(AQ147="FT",IF(BG147&lt;FT_First,0,IF(BG147&lt;FT_Y5,1+INT((BG147-FT_First)/FT_Int1),FT_PreY5+FT_PerYear*INT((BG147-FT_Y5)/12)+FT_AnnivDays+INT(MOD(BG147-FT_Y5,12)/FT_Int2))),IF(AQ147="PT",IF(BG147&lt;PT_First,0,1+INT((BG147-PT_First)/PT_Int)),0))-IF(AQ147="FT",IF(BF147&lt;FT_First,0,IF(BF147&lt;FT_Y5,1+INT((BF147-FT_First)/FT_Int1),FT_PreY5+FT_PerYear*INT((BF147-FT_Y5)/12)+FT_AnnivDays+INT(MOD(BF147-FT_Y5,12)/FT_Int2))),IF(AQ147="PT",IF(BF147&lt;PT_First,0,1+INT((BF147-PT_First)/PT_Int)),0)),0)+IF(AND(AI147&gt;=3,AL147&lt;=EOMONTH(AsOfDate,-1)),IF(AR147="FT",IF(BE147&lt;FT_First,0,IF(BE147&lt;FT_Y5,1+INT((BE147-FT_First)/FT_Int1),FT_PreY5+FT_PerYear*INT((BE147-FT_Y5)/12)+FT_AnnivDays+INT(MOD(BE147-FT_Y5,12)/FT_Int2))),IF(AR147="PT",IF(BE147&lt;PT_First,0,1+INT((BE147-PT_First)/PT_Int)),0))-IF(AR147="FT",IF(BG147&lt;FT_First,0,IF(BG147&lt;FT_Y5,1+INT((BG147-FT_First)/FT_Int1),FT_PreY5+FT_PerYear*INT((BG147-FT_Y5)/12)+FT_AnnivDays+INT(MOD(BG147-FT_Y5,12)/FT_Int2))),IF(AR147="PT",IF(BG147&lt;PT_First,0,1+INT((BG147-PT_First)/PT_Int)),0)),0))</f>
        <v/>
      </c>
      <c r="BI147" s="19" t="str">
        <f aca="false">IF(AG147=0,"",IF(AS147="FT",IF(AT147&lt;FT_First,"",IF(AT147&lt;FT_Y5,FT_First+FT_Int1*INT((AT147-FT_First)/FT_Int1),FT_Y5+FT_Int2*INT((AT147-FT_Y5)/FT_Int2))),IF(AS147="PT",IF(AT147&lt;PT_First,"",PT_First+PT_Int*INT((AT147-PT_First)/PT_Int)),"")))</f>
        <v/>
      </c>
      <c r="BJ147" s="0" t="str">
        <f aca="false">IF(LEN($A147&amp;$B147)=0,"",$A147&amp;" "&amp;$B147)</f>
        <v/>
      </c>
    </row>
    <row r="148" customFormat="false" ht="15" hidden="false" customHeight="false" outlineLevel="0" collapsed="false">
      <c r="A148" s="15"/>
      <c r="B148" s="15"/>
      <c r="C148" s="15"/>
      <c r="D148" s="16"/>
      <c r="E148" s="17" t="str">
        <f aca="false">IF(OR(AG148=0,$D148=""),"",DATE(YEAR(AsOfDate)+IF(DATE(YEAR(AsOfDate),MONTH($D148),DAY($D148))&lt;=AsOfDate,1,0),MONTH($D148),DAY($D148)))</f>
        <v/>
      </c>
      <c r="F148" s="16"/>
      <c r="G148" s="16"/>
      <c r="H148" s="16"/>
      <c r="I148" s="16"/>
      <c r="J148" s="16"/>
      <c r="K148" s="17" t="str">
        <f aca="false">IF(AG148=0,"",DATE(YEAR(AsOfDate)+IF(DATE(YEAR(AsOfDate),MONTH(AH148),DAY(AH148))&lt;=AsOfDate,1,0),MONTH(AH148),DAY(AH148)))</f>
        <v/>
      </c>
      <c r="L148" s="18" t="str">
        <f aca="false">IF(AG148=0,"",ROUND((AsOfDate-AH148)/365.25,1))</f>
        <v/>
      </c>
      <c r="M148" s="19" t="str">
        <f aca="false">IF(AG148=0,"",IF(AsOfDate&lt;AH148,"-",DATEDIF(AH148,AsOfDate,"y")&amp;"y "&amp;DATEDIF(AH148,AsOfDate,"ym")&amp;"m "&amp;DATEDIF(AH148,AsOfDate,"md")&amp;"d"))</f>
        <v/>
      </c>
      <c r="N148" s="20" t="str">
        <f aca="false">IF(AG148=0,"",O148*HoursPerDay)</f>
        <v/>
      </c>
      <c r="O148" s="20" t="str">
        <f aca="false">IF(AG148=0,"",AZ148)</f>
        <v/>
      </c>
      <c r="P148" s="21"/>
      <c r="Q148" s="19"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19"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7" t="str">
        <f aca="false">IF(AG148=0,"",IF(AS148="None","",EDATE(AH148,BB148)))</f>
        <v/>
      </c>
      <c r="T148" s="20" t="str">
        <f aca="false">IF(AG148=0,"",IF(NOT(LH_Ready),"",IF(AH148&gt;PFYDate,0,IF(LH_ColPeriod=0,W148-U148+V148,SUMIFS(INDEX(LH_Data,0,LH_ColAcc),INDEX(LH_Data,0,LH_ColFirst),$A148,INDEX(LH_Data,0,LH_ColSur),$B148,INDEX(LH_Data,0,LH_ColCat),BonusCat,INDEX(LH_Data,0,LH_ColPeriod),LH_OpenLabel)*UnitFactor))))</f>
        <v/>
      </c>
      <c r="U148" s="20" t="str">
        <f aca="false">IF(AG148=0,"",IF(NOT(LH_Ready),"",SUMIFS(INDEX(LH_Data,0,LH_ColAcc),INDEX(LH_Data,0,LH_ColFirst),$A148,INDEX(LH_Data,0,LH_ColSur),$B148,INDEX(LH_Data,0,LH_ColCat),BonusCat,INDEX(LH_Data,0,LH_ColStart),"&gt;="&amp;AH148)*UnitFactor))</f>
        <v/>
      </c>
      <c r="V148" s="20" t="str">
        <f aca="false">IF(AG148=0,"",IF(NOT(LH_Ready),"",SUMIFS(INDEX(LH_Data,0,LH_ColTaken),INDEX(LH_Data,0,LH_ColFirst),$A148,INDEX(LH_Data,0,LH_ColSur),$B148,INDEX(LH_Data,0,LH_ColCat),BonusCat,INDEX(LH_Data,0,LH_ColStart),"&gt;="&amp;AH148)*UnitFactor))</f>
        <v/>
      </c>
      <c r="W148" s="20" t="str">
        <f aca="false">IF(AG148=0,"",IF(NOT(LH_Ready),"",IF(BD148=0,0,INDEX(INDEX(LH_Data,0,LH_ColClose),BD148-1)*UnitFactor)))</f>
        <v/>
      </c>
      <c r="X148" s="20" t="str">
        <f aca="false">IF(AG148=0,"",(AZ148-BA148)*HoursPerDay)</f>
        <v/>
      </c>
      <c r="Y148" s="20" t="str">
        <f aca="false">IF(AG148=0,"",IF(NOT(LH_Ready),"",IF(BC148=0,N148,IF(PFYDate&lt;$F148,N148-N(T148)-N(U148),X148-N(U148)))))</f>
        <v/>
      </c>
      <c r="Z148" s="19" t="str">
        <f aca="false">IF(OR(AG148=0,Y148=""),"",IF(Y148&gt;0,"Yes","No"))</f>
        <v/>
      </c>
      <c r="AA148" s="19"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20" t="str">
        <f aca="false">IF(OR(AG148=0,T148=""),"",BA148*HoursPerDay-T148)</f>
        <v/>
      </c>
      <c r="AC148" s="19" t="str">
        <f aca="false">IF(AG148=0,"",BC148)</f>
        <v/>
      </c>
      <c r="AD148" s="19"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20" t="str">
        <f aca="false">IF(AG148=0,"",O148-BH148)</f>
        <v/>
      </c>
      <c r="AF148" s="17" t="str">
        <f aca="false">IF(OR(AG148=0,AE148="",N(AE148)=0,BI148=""),"",EDATE(AH148,BI148))</f>
        <v/>
      </c>
      <c r="AG148" s="19" t="n">
        <f aca="false">IF(OR(LEN($A148&amp;$B148)=0,$F148=""),0,1)</f>
        <v>0</v>
      </c>
      <c r="AH148" s="17" t="str">
        <f aca="false">IF(AG148=0,"",IF($J148&lt;&gt;"",$J148,IF(OR(CasualCounts="Yes",COUNT($G148:$I148)=0,COUNT($H148:$I148)=0),$F148,MIN($H148:$I148))))</f>
        <v/>
      </c>
      <c r="AI148" s="19" t="str">
        <f aca="false">IF(AG148=0,"",COUNT($G148:$I148))</f>
        <v/>
      </c>
      <c r="AJ148" s="17" t="str">
        <f aca="false">IF(AG148=0,"",IFERROR(SMALL($G148:$I148,1),""))</f>
        <v/>
      </c>
      <c r="AK148" s="17" t="str">
        <f aca="false">IF(AG148=0,"",IFERROR(SMALL($G148:$I148,2),""))</f>
        <v/>
      </c>
      <c r="AL148" s="17" t="str">
        <f aca="false">IF(AG148=0,"",IFERROR(SMALL($G148:$I148,3),""))</f>
        <v/>
      </c>
      <c r="AM148" s="19" t="str">
        <f aca="false">IF(AG148=0,"",IF(AJ148="","",IF(AJ148=$H148,"Part-Time",IF(AJ148=$I148,"Full-Time","Casual"))))</f>
        <v/>
      </c>
      <c r="AN148" s="19" t="str">
        <f aca="false">IF(AG148=0,"",IF(AK148="","",IF(AK148=$H148,"Part-Time",IF(AK148=$I148,"Full-Time","Casual"))))</f>
        <v/>
      </c>
      <c r="AO148" s="19" t="str">
        <f aca="false">IF(AG148=0,"",IF(AL148="","",IF(AL148=$H148,"Part-Time",IF(AL148=$I148,"Full-Time","Casual"))))</f>
        <v/>
      </c>
      <c r="AP148" s="19"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19" t="str">
        <f aca="false">IF(AG148=0,"",IF(AI148&lt;2,"",IF(OR(ISNUMBER(SEARCH("full",AN148)),UPPER(TRIM(AN148))="FT",UPPER(TRIM(AN148))="FTE"),"FT",IF(AND(OR(ISNUMBER(SEARCH("part",AN148)),UPPER(TRIM(AN148))="PT",UPPER(TRIM(AN148))="PTE"),OR($P148="",N($P148)&gt;=PT_MinHours)),"PT","None"))))</f>
        <v/>
      </c>
      <c r="AR148" s="19" t="str">
        <f aca="false">IF(AG148=0,"",IF(AI148&lt;3,"",IF(OR(ISNUMBER(SEARCH("full",AO148)),UPPER(TRIM(AO148))="FT",UPPER(TRIM(AO148))="FTE"),"FT",IF(AND(OR(ISNUMBER(SEARCH("part",AO148)),UPPER(TRIM(AO148))="PT",UPPER(TRIM(AO148))="PTE"),OR($P148="",N($P148)&gt;=PT_MinHours)),"PT","None"))))</f>
        <v/>
      </c>
      <c r="AS148" s="19" t="str">
        <f aca="false">IF(AG148=0,"",IF(AND(AI148&gt;=3,AL148&lt;=AsOfDate),AR148,IF(AND(AI148&gt;=2,AK148&lt;=AsOfDate),AQ148,AP148)))</f>
        <v/>
      </c>
      <c r="AT148" s="19" t="str">
        <f aca="false">IF(AG148=0,"",IF(AsOfDate&lt;AH148,-1,12*(YEAR(AsOfDate)-YEAR(AH148))+MONTH(AsOfDate)-MONTH(AH148)-IF(DAY(AsOfDate)&lt;MIN(DAY(AH148),DAY(EOMONTH(AsOfDate,0))),1,0)))</f>
        <v/>
      </c>
      <c r="AU148" s="19" t="str">
        <f aca="false">IF(AG148=0,"",IF(OR(AI148&lt;2,AK148&gt;AsOfDate),AT148,IF((AK148-1)&lt;AH148,-1,12*(YEAR((AK148-1))-YEAR(AH148))+MONTH((AK148-1))-MONTH(AH148)-IF(DAY((AK148-1))&lt;MIN(DAY(AH148),DAY(EOMONTH((AK148-1),0))),1,0))))</f>
        <v/>
      </c>
      <c r="AV148" s="19" t="str">
        <f aca="false">IF(AG148=0,"",IF(OR(AI148&lt;3,AL148&gt;AsOfDate),AT148,IF((AL148-1)&lt;AH148,-1,12*(YEAR((AL148-1))-YEAR(AH148))+MONTH((AL148-1))-MONTH(AH148)-IF(DAY((AL148-1))&lt;MIN(DAY(AH148),DAY(EOMONTH((AL148-1),0))),1,0))))</f>
        <v/>
      </c>
      <c r="AW148" s="19" t="str">
        <f aca="false">IF(AG148=0,"",IF(PFYDate&lt;AH148,-1,12*(YEAR(PFYDate)-YEAR(AH148))+MONTH(PFYDate)-MONTH(AH148)-IF(DAY(PFYDate)&lt;MIN(DAY(AH148),DAY(EOMONTH(PFYDate,0))),1,0)))</f>
        <v/>
      </c>
      <c r="AX148" s="19" t="str">
        <f aca="false">IF(AG148=0,"",IF(OR(AI148&lt;2,AK148&gt;PFYDate),AW148,IF((AK148-1)&lt;AH148,-1,12*(YEAR((AK148-1))-YEAR(AH148))+MONTH((AK148-1))-MONTH(AH148)-IF(DAY((AK148-1))&lt;MIN(DAY(AH148),DAY(EOMONTH((AK148-1),0))),1,0))))</f>
        <v/>
      </c>
      <c r="AY148" s="19" t="str">
        <f aca="false">IF(AG148=0,"",IF(OR(AI148&lt;3,AL148&gt;PFYDate),AW148,IF((AL148-1)&lt;AH148,-1,12*(YEAR((AL148-1))-YEAR(AH148))+MONTH((AL148-1))-MONTH(AH148)-IF(DAY((AL148-1))&lt;MIN(DAY(AH148),DAY(EOMONTH((AL148-1),0))),1,0))))</f>
        <v/>
      </c>
      <c r="AZ148" s="19" t="str">
        <f aca="false">IF(AG148=0,"",IF(AP148="FT",IF(AU148&lt;FT_First,0,IF(AU148&lt;FT_Y5,1+INT((AU148-FT_First)/FT_Int1),FT_PreY5+FT_PerYear*INT((AU148-FT_Y5)/12)+FT_AnnivDays+INT(MOD(AU148-FT_Y5,12)/FT_Int2))),IF(AP148="PT",IF(AU148&lt;PT_First,0,1+INT((AU148-PT_First)/PT_Int)),0))+IF(AND(AI148&gt;=2,AK148&lt;=AsOfDate),IF(AQ148="FT",IF(AV148&lt;FT_First,0,IF(AV148&lt;FT_Y5,1+INT((AV148-FT_First)/FT_Int1),FT_PreY5+FT_PerYear*INT((AV148-FT_Y5)/12)+FT_AnnivDays+INT(MOD(AV148-FT_Y5,12)/FT_Int2))),IF(AQ148="PT",IF(AV148&lt;PT_First,0,1+INT((AV148-PT_First)/PT_Int)),0))-IF(AQ148="FT",IF(AU148&lt;FT_First,0,IF(AU148&lt;FT_Y5,1+INT((AU148-FT_First)/FT_Int1),FT_PreY5+FT_PerYear*INT((AU148-FT_Y5)/12)+FT_AnnivDays+INT(MOD(AU148-FT_Y5,12)/FT_Int2))),IF(AQ148="PT",IF(AU148&lt;PT_First,0,1+INT((AU148-PT_First)/PT_Int)),0)),0)+IF(AND(AI148&gt;=3,AL148&lt;=AsOfDate),IF(AR148="FT",IF(AT148&lt;FT_First,0,IF(AT148&lt;FT_Y5,1+INT((AT148-FT_First)/FT_Int1),FT_PreY5+FT_PerYear*INT((AT148-FT_Y5)/12)+FT_AnnivDays+INT(MOD(AT148-FT_Y5,12)/FT_Int2))),IF(AR148="PT",IF(AT148&lt;PT_First,0,1+INT((AT148-PT_First)/PT_Int)),0))-IF(AR148="FT",IF(AV148&lt;FT_First,0,IF(AV148&lt;FT_Y5,1+INT((AV148-FT_First)/FT_Int1),FT_PreY5+FT_PerYear*INT((AV148-FT_Y5)/12)+FT_AnnivDays+INT(MOD(AV148-FT_Y5,12)/FT_Int2))),IF(AR148="PT",IF(AV148&lt;PT_First,0,1+INT((AV148-PT_First)/PT_Int)),0)),0))</f>
        <v/>
      </c>
      <c r="BA148" s="19" t="str">
        <f aca="false">IF(AG148=0,"",IF(AP148="FT",IF(AX148&lt;FT_First,0,IF(AX148&lt;FT_Y5,1+INT((AX148-FT_First)/FT_Int1),FT_PreY5+FT_PerYear*INT((AX148-FT_Y5)/12)+FT_AnnivDays+INT(MOD(AX148-FT_Y5,12)/FT_Int2))),IF(AP148="PT",IF(AX148&lt;PT_First,0,1+INT((AX148-PT_First)/PT_Int)),0))+IF(AND(AI148&gt;=2,AK148&lt;=PFYDate),IF(AQ148="FT",IF(AY148&lt;FT_First,0,IF(AY148&lt;FT_Y5,1+INT((AY148-FT_First)/FT_Int1),FT_PreY5+FT_PerYear*INT((AY148-FT_Y5)/12)+FT_AnnivDays+INT(MOD(AY148-FT_Y5,12)/FT_Int2))),IF(AQ148="PT",IF(AY148&lt;PT_First,0,1+INT((AY148-PT_First)/PT_Int)),0))-IF(AQ148="FT",IF(AX148&lt;FT_First,0,IF(AX148&lt;FT_Y5,1+INT((AX148-FT_First)/FT_Int1),FT_PreY5+FT_PerYear*INT((AX148-FT_Y5)/12)+FT_AnnivDays+INT(MOD(AX148-FT_Y5,12)/FT_Int2))),IF(AQ148="PT",IF(AX148&lt;PT_First,0,1+INT((AX148-PT_First)/PT_Int)),0)),0)+IF(AND(AI148&gt;=3,AL148&lt;=PFYDate),IF(AR148="FT",IF(AW148&lt;FT_First,0,IF(AW148&lt;FT_Y5,1+INT((AW148-FT_First)/FT_Int1),FT_PreY5+FT_PerYear*INT((AW148-FT_Y5)/12)+FT_AnnivDays+INT(MOD(AW148-FT_Y5,12)/FT_Int2))),IF(AR148="PT",IF(AW148&lt;PT_First,0,1+INT((AW148-PT_First)/PT_Int)),0))-IF(AR148="FT",IF(AY148&lt;FT_First,0,IF(AY148&lt;FT_Y5,1+INT((AY148-FT_First)/FT_Int1),FT_PreY5+FT_PerYear*INT((AY148-FT_Y5)/12)+FT_AnnivDays+INT(MOD(AY148-FT_Y5,12)/FT_Int2))),IF(AR148="PT",IF(AY148&lt;PT_First,0,1+INT((AY148-PT_First)/PT_Int)),0)),0))</f>
        <v/>
      </c>
      <c r="BB148" s="19" t="str">
        <f aca="false">IF(AG148=0,"",IF(AS148="FT",IF(AT148&lt;FT_First,FT_First,IF(AT148&lt;FT_Y5,MIN(FT_Y5,FT_First+FT_Int1*(INT((AT148-FT_First)/FT_Int1)+1)),FT_Y5+12*INT((AT148-FT_Y5)/12)+FT_Int2*(INT(MOD(AT148-FT_Y5,12)/FT_Int2)+1))),IF(AS148="PT",IF(AT148&lt;PT_First,PT_First,PT_First+PT_Int*(INT((AT148-PT_First)/PT_Int)+1)),"")))</f>
        <v/>
      </c>
      <c r="BC148" s="19" t="str">
        <f aca="false">IF(AG148=0,"",IF(NOT(LH_Ready),0,COUNTIFS(INDEX(LH_Data,0,LH_ColFirst),$A148,INDEX(LH_Data,0,LH_ColSur),$B148,INDEX(LH_Data,0,LH_ColCat),BonusCat)))</f>
        <v/>
      </c>
      <c r="BD148" s="19" t="str">
        <f aca="false">IF(AG148=0,"",IF(OR(NOT(LH_Ready),BC148=0),0,SUMPRODUCT(MAX((INDEX(LH_Data,0,LH_ColFirst)=$A148)*(INDEX(LH_Data,0,LH_ColSur)=$B148)*(INDEX(LH_Data,0,LH_ColCat)=BonusCat)*ROW(LH_Data)))))</f>
        <v/>
      </c>
      <c r="BE148" s="19" t="str">
        <f aca="false">IF(AG148=0,"",IF(EOMONTH(AsOfDate,-1)&lt;AH148,-1,12*(YEAR(EOMONTH(AsOfDate,-1))-YEAR(AH148))+MONTH(EOMONTH(AsOfDate,-1))-MONTH(AH148)-IF(DAY(EOMONTH(AsOfDate,-1))&lt;MIN(DAY(AH148),DAY(EOMONTH(EOMONTH(AsOfDate,-1),0))),1,0)))</f>
        <v/>
      </c>
      <c r="BF148" s="19" t="str">
        <f aca="false">IF(AG148=0,"",IF(OR(AI148&lt;2,AK148&gt;EOMONTH(AsOfDate,-1)),BE148,IF((AK148-1)&lt;AH148,-1,12*(YEAR((AK148-1))-YEAR(AH148))+MONTH((AK148-1))-MONTH(AH148)-IF(DAY((AK148-1))&lt;MIN(DAY(AH148),DAY(EOMONTH((AK148-1),0))),1,0))))</f>
        <v/>
      </c>
      <c r="BG148" s="19" t="str">
        <f aca="false">IF(AG148=0,"",IF(OR(AI148&lt;3,AL148&gt;EOMONTH(AsOfDate,-1)),BE148,IF((AL148-1)&lt;AH148,-1,12*(YEAR((AL148-1))-YEAR(AH148))+MONTH((AL148-1))-MONTH(AH148)-IF(DAY((AL148-1))&lt;MIN(DAY(AH148),DAY(EOMONTH((AL148-1),0))),1,0))))</f>
        <v/>
      </c>
      <c r="BH148" s="19" t="str">
        <f aca="false">IF(AG148=0,"",IF(AP148="FT",IF(BF148&lt;FT_First,0,IF(BF148&lt;FT_Y5,1+INT((BF148-FT_First)/FT_Int1),FT_PreY5+FT_PerYear*INT((BF148-FT_Y5)/12)+FT_AnnivDays+INT(MOD(BF148-FT_Y5,12)/FT_Int2))),IF(AP148="PT",IF(BF148&lt;PT_First,0,1+INT((BF148-PT_First)/PT_Int)),0))+IF(AND(AI148&gt;=2,AK148&lt;=EOMONTH(AsOfDate,-1)),IF(AQ148="FT",IF(BG148&lt;FT_First,0,IF(BG148&lt;FT_Y5,1+INT((BG148-FT_First)/FT_Int1),FT_PreY5+FT_PerYear*INT((BG148-FT_Y5)/12)+FT_AnnivDays+INT(MOD(BG148-FT_Y5,12)/FT_Int2))),IF(AQ148="PT",IF(BG148&lt;PT_First,0,1+INT((BG148-PT_First)/PT_Int)),0))-IF(AQ148="FT",IF(BF148&lt;FT_First,0,IF(BF148&lt;FT_Y5,1+INT((BF148-FT_First)/FT_Int1),FT_PreY5+FT_PerYear*INT((BF148-FT_Y5)/12)+FT_AnnivDays+INT(MOD(BF148-FT_Y5,12)/FT_Int2))),IF(AQ148="PT",IF(BF148&lt;PT_First,0,1+INT((BF148-PT_First)/PT_Int)),0)),0)+IF(AND(AI148&gt;=3,AL148&lt;=EOMONTH(AsOfDate,-1)),IF(AR148="FT",IF(BE148&lt;FT_First,0,IF(BE148&lt;FT_Y5,1+INT((BE148-FT_First)/FT_Int1),FT_PreY5+FT_PerYear*INT((BE148-FT_Y5)/12)+FT_AnnivDays+INT(MOD(BE148-FT_Y5,12)/FT_Int2))),IF(AR148="PT",IF(BE148&lt;PT_First,0,1+INT((BE148-PT_First)/PT_Int)),0))-IF(AR148="FT",IF(BG148&lt;FT_First,0,IF(BG148&lt;FT_Y5,1+INT((BG148-FT_First)/FT_Int1),FT_PreY5+FT_PerYear*INT((BG148-FT_Y5)/12)+FT_AnnivDays+INT(MOD(BG148-FT_Y5,12)/FT_Int2))),IF(AR148="PT",IF(BG148&lt;PT_First,0,1+INT((BG148-PT_First)/PT_Int)),0)),0))</f>
        <v/>
      </c>
      <c r="BI148" s="19" t="str">
        <f aca="false">IF(AG148=0,"",IF(AS148="FT",IF(AT148&lt;FT_First,"",IF(AT148&lt;FT_Y5,FT_First+FT_Int1*INT((AT148-FT_First)/FT_Int1),FT_Y5+FT_Int2*INT((AT148-FT_Y5)/FT_Int2))),IF(AS148="PT",IF(AT148&lt;PT_First,"",PT_First+PT_Int*INT((AT148-PT_First)/PT_Int)),"")))</f>
        <v/>
      </c>
      <c r="BJ148" s="0" t="str">
        <f aca="false">IF(LEN($A148&amp;$B148)=0,"",$A148&amp;" "&amp;$B148)</f>
        <v/>
      </c>
    </row>
    <row r="149" customFormat="false" ht="15" hidden="false" customHeight="false" outlineLevel="0" collapsed="false">
      <c r="A149" s="15"/>
      <c r="B149" s="15"/>
      <c r="C149" s="15"/>
      <c r="D149" s="16"/>
      <c r="E149" s="17" t="str">
        <f aca="false">IF(OR(AG149=0,$D149=""),"",DATE(YEAR(AsOfDate)+IF(DATE(YEAR(AsOfDate),MONTH($D149),DAY($D149))&lt;=AsOfDate,1,0),MONTH($D149),DAY($D149)))</f>
        <v/>
      </c>
      <c r="F149" s="16"/>
      <c r="G149" s="16"/>
      <c r="H149" s="16"/>
      <c r="I149" s="16"/>
      <c r="J149" s="16"/>
      <c r="K149" s="17" t="str">
        <f aca="false">IF(AG149=0,"",DATE(YEAR(AsOfDate)+IF(DATE(YEAR(AsOfDate),MONTH(AH149),DAY(AH149))&lt;=AsOfDate,1,0),MONTH(AH149),DAY(AH149)))</f>
        <v/>
      </c>
      <c r="L149" s="18" t="str">
        <f aca="false">IF(AG149=0,"",ROUND((AsOfDate-AH149)/365.25,1))</f>
        <v/>
      </c>
      <c r="M149" s="19" t="str">
        <f aca="false">IF(AG149=0,"",IF(AsOfDate&lt;AH149,"-",DATEDIF(AH149,AsOfDate,"y")&amp;"y "&amp;DATEDIF(AH149,AsOfDate,"ym")&amp;"m "&amp;DATEDIF(AH149,AsOfDate,"md")&amp;"d"))</f>
        <v/>
      </c>
      <c r="N149" s="20" t="str">
        <f aca="false">IF(AG149=0,"",O149*HoursPerDay)</f>
        <v/>
      </c>
      <c r="O149" s="20" t="str">
        <f aca="false">IF(AG149=0,"",AZ149)</f>
        <v/>
      </c>
      <c r="P149" s="21"/>
      <c r="Q149" s="19"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19"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7" t="str">
        <f aca="false">IF(AG149=0,"",IF(AS149="None","",EDATE(AH149,BB149)))</f>
        <v/>
      </c>
      <c r="T149" s="20" t="str">
        <f aca="false">IF(AG149=0,"",IF(NOT(LH_Ready),"",IF(AH149&gt;PFYDate,0,IF(LH_ColPeriod=0,W149-U149+V149,SUMIFS(INDEX(LH_Data,0,LH_ColAcc),INDEX(LH_Data,0,LH_ColFirst),$A149,INDEX(LH_Data,0,LH_ColSur),$B149,INDEX(LH_Data,0,LH_ColCat),BonusCat,INDEX(LH_Data,0,LH_ColPeriod),LH_OpenLabel)*UnitFactor))))</f>
        <v/>
      </c>
      <c r="U149" s="20" t="str">
        <f aca="false">IF(AG149=0,"",IF(NOT(LH_Ready),"",SUMIFS(INDEX(LH_Data,0,LH_ColAcc),INDEX(LH_Data,0,LH_ColFirst),$A149,INDEX(LH_Data,0,LH_ColSur),$B149,INDEX(LH_Data,0,LH_ColCat),BonusCat,INDEX(LH_Data,0,LH_ColStart),"&gt;="&amp;AH149)*UnitFactor))</f>
        <v/>
      </c>
      <c r="V149" s="20" t="str">
        <f aca="false">IF(AG149=0,"",IF(NOT(LH_Ready),"",SUMIFS(INDEX(LH_Data,0,LH_ColTaken),INDEX(LH_Data,0,LH_ColFirst),$A149,INDEX(LH_Data,0,LH_ColSur),$B149,INDEX(LH_Data,0,LH_ColCat),BonusCat,INDEX(LH_Data,0,LH_ColStart),"&gt;="&amp;AH149)*UnitFactor))</f>
        <v/>
      </c>
      <c r="W149" s="20" t="str">
        <f aca="false">IF(AG149=0,"",IF(NOT(LH_Ready),"",IF(BD149=0,0,INDEX(INDEX(LH_Data,0,LH_ColClose),BD149-1)*UnitFactor)))</f>
        <v/>
      </c>
      <c r="X149" s="20" t="str">
        <f aca="false">IF(AG149=0,"",(AZ149-BA149)*HoursPerDay)</f>
        <v/>
      </c>
      <c r="Y149" s="20" t="str">
        <f aca="false">IF(AG149=0,"",IF(NOT(LH_Ready),"",IF(BC149=0,N149,IF(PFYDate&lt;$F149,N149-N(T149)-N(U149),X149-N(U149)))))</f>
        <v/>
      </c>
      <c r="Z149" s="19" t="str">
        <f aca="false">IF(OR(AG149=0,Y149=""),"",IF(Y149&gt;0,"Yes","No"))</f>
        <v/>
      </c>
      <c r="AA149" s="19"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20" t="str">
        <f aca="false">IF(OR(AG149=0,T149=""),"",BA149*HoursPerDay-T149)</f>
        <v/>
      </c>
      <c r="AC149" s="19" t="str">
        <f aca="false">IF(AG149=0,"",BC149)</f>
        <v/>
      </c>
      <c r="AD149" s="19"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20" t="str">
        <f aca="false">IF(AG149=0,"",O149-BH149)</f>
        <v/>
      </c>
      <c r="AF149" s="17" t="str">
        <f aca="false">IF(OR(AG149=0,AE149="",N(AE149)=0,BI149=""),"",EDATE(AH149,BI149))</f>
        <v/>
      </c>
      <c r="AG149" s="19" t="n">
        <f aca="false">IF(OR(LEN($A149&amp;$B149)=0,$F149=""),0,1)</f>
        <v>0</v>
      </c>
      <c r="AH149" s="17" t="str">
        <f aca="false">IF(AG149=0,"",IF($J149&lt;&gt;"",$J149,IF(OR(CasualCounts="Yes",COUNT($G149:$I149)=0,COUNT($H149:$I149)=0),$F149,MIN($H149:$I149))))</f>
        <v/>
      </c>
      <c r="AI149" s="19" t="str">
        <f aca="false">IF(AG149=0,"",COUNT($G149:$I149))</f>
        <v/>
      </c>
      <c r="AJ149" s="17" t="str">
        <f aca="false">IF(AG149=0,"",IFERROR(SMALL($G149:$I149,1),""))</f>
        <v/>
      </c>
      <c r="AK149" s="17" t="str">
        <f aca="false">IF(AG149=0,"",IFERROR(SMALL($G149:$I149,2),""))</f>
        <v/>
      </c>
      <c r="AL149" s="17" t="str">
        <f aca="false">IF(AG149=0,"",IFERROR(SMALL($G149:$I149,3),""))</f>
        <v/>
      </c>
      <c r="AM149" s="19" t="str">
        <f aca="false">IF(AG149=0,"",IF(AJ149="","",IF(AJ149=$H149,"Part-Time",IF(AJ149=$I149,"Full-Time","Casual"))))</f>
        <v/>
      </c>
      <c r="AN149" s="19" t="str">
        <f aca="false">IF(AG149=0,"",IF(AK149="","",IF(AK149=$H149,"Part-Time",IF(AK149=$I149,"Full-Time","Casual"))))</f>
        <v/>
      </c>
      <c r="AO149" s="19" t="str">
        <f aca="false">IF(AG149=0,"",IF(AL149="","",IF(AL149=$H149,"Part-Time",IF(AL149=$I149,"Full-Time","Casual"))))</f>
        <v/>
      </c>
      <c r="AP149" s="19"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19" t="str">
        <f aca="false">IF(AG149=0,"",IF(AI149&lt;2,"",IF(OR(ISNUMBER(SEARCH("full",AN149)),UPPER(TRIM(AN149))="FT",UPPER(TRIM(AN149))="FTE"),"FT",IF(AND(OR(ISNUMBER(SEARCH("part",AN149)),UPPER(TRIM(AN149))="PT",UPPER(TRIM(AN149))="PTE"),OR($P149="",N($P149)&gt;=PT_MinHours)),"PT","None"))))</f>
        <v/>
      </c>
      <c r="AR149" s="19" t="str">
        <f aca="false">IF(AG149=0,"",IF(AI149&lt;3,"",IF(OR(ISNUMBER(SEARCH("full",AO149)),UPPER(TRIM(AO149))="FT",UPPER(TRIM(AO149))="FTE"),"FT",IF(AND(OR(ISNUMBER(SEARCH("part",AO149)),UPPER(TRIM(AO149))="PT",UPPER(TRIM(AO149))="PTE"),OR($P149="",N($P149)&gt;=PT_MinHours)),"PT","None"))))</f>
        <v/>
      </c>
      <c r="AS149" s="19" t="str">
        <f aca="false">IF(AG149=0,"",IF(AND(AI149&gt;=3,AL149&lt;=AsOfDate),AR149,IF(AND(AI149&gt;=2,AK149&lt;=AsOfDate),AQ149,AP149)))</f>
        <v/>
      </c>
      <c r="AT149" s="19" t="str">
        <f aca="false">IF(AG149=0,"",IF(AsOfDate&lt;AH149,-1,12*(YEAR(AsOfDate)-YEAR(AH149))+MONTH(AsOfDate)-MONTH(AH149)-IF(DAY(AsOfDate)&lt;MIN(DAY(AH149),DAY(EOMONTH(AsOfDate,0))),1,0)))</f>
        <v/>
      </c>
      <c r="AU149" s="19" t="str">
        <f aca="false">IF(AG149=0,"",IF(OR(AI149&lt;2,AK149&gt;AsOfDate),AT149,IF((AK149-1)&lt;AH149,-1,12*(YEAR((AK149-1))-YEAR(AH149))+MONTH((AK149-1))-MONTH(AH149)-IF(DAY((AK149-1))&lt;MIN(DAY(AH149),DAY(EOMONTH((AK149-1),0))),1,0))))</f>
        <v/>
      </c>
      <c r="AV149" s="19" t="str">
        <f aca="false">IF(AG149=0,"",IF(OR(AI149&lt;3,AL149&gt;AsOfDate),AT149,IF((AL149-1)&lt;AH149,-1,12*(YEAR((AL149-1))-YEAR(AH149))+MONTH((AL149-1))-MONTH(AH149)-IF(DAY((AL149-1))&lt;MIN(DAY(AH149),DAY(EOMONTH((AL149-1),0))),1,0))))</f>
        <v/>
      </c>
      <c r="AW149" s="19" t="str">
        <f aca="false">IF(AG149=0,"",IF(PFYDate&lt;AH149,-1,12*(YEAR(PFYDate)-YEAR(AH149))+MONTH(PFYDate)-MONTH(AH149)-IF(DAY(PFYDate)&lt;MIN(DAY(AH149),DAY(EOMONTH(PFYDate,0))),1,0)))</f>
        <v/>
      </c>
      <c r="AX149" s="19" t="str">
        <f aca="false">IF(AG149=0,"",IF(OR(AI149&lt;2,AK149&gt;PFYDate),AW149,IF((AK149-1)&lt;AH149,-1,12*(YEAR((AK149-1))-YEAR(AH149))+MONTH((AK149-1))-MONTH(AH149)-IF(DAY((AK149-1))&lt;MIN(DAY(AH149),DAY(EOMONTH((AK149-1),0))),1,0))))</f>
        <v/>
      </c>
      <c r="AY149" s="19" t="str">
        <f aca="false">IF(AG149=0,"",IF(OR(AI149&lt;3,AL149&gt;PFYDate),AW149,IF((AL149-1)&lt;AH149,-1,12*(YEAR((AL149-1))-YEAR(AH149))+MONTH((AL149-1))-MONTH(AH149)-IF(DAY((AL149-1))&lt;MIN(DAY(AH149),DAY(EOMONTH((AL149-1),0))),1,0))))</f>
        <v/>
      </c>
      <c r="AZ149" s="19" t="str">
        <f aca="false">IF(AG149=0,"",IF(AP149="FT",IF(AU149&lt;FT_First,0,IF(AU149&lt;FT_Y5,1+INT((AU149-FT_First)/FT_Int1),FT_PreY5+FT_PerYear*INT((AU149-FT_Y5)/12)+FT_AnnivDays+INT(MOD(AU149-FT_Y5,12)/FT_Int2))),IF(AP149="PT",IF(AU149&lt;PT_First,0,1+INT((AU149-PT_First)/PT_Int)),0))+IF(AND(AI149&gt;=2,AK149&lt;=AsOfDate),IF(AQ149="FT",IF(AV149&lt;FT_First,0,IF(AV149&lt;FT_Y5,1+INT((AV149-FT_First)/FT_Int1),FT_PreY5+FT_PerYear*INT((AV149-FT_Y5)/12)+FT_AnnivDays+INT(MOD(AV149-FT_Y5,12)/FT_Int2))),IF(AQ149="PT",IF(AV149&lt;PT_First,0,1+INT((AV149-PT_First)/PT_Int)),0))-IF(AQ149="FT",IF(AU149&lt;FT_First,0,IF(AU149&lt;FT_Y5,1+INT((AU149-FT_First)/FT_Int1),FT_PreY5+FT_PerYear*INT((AU149-FT_Y5)/12)+FT_AnnivDays+INT(MOD(AU149-FT_Y5,12)/FT_Int2))),IF(AQ149="PT",IF(AU149&lt;PT_First,0,1+INT((AU149-PT_First)/PT_Int)),0)),0)+IF(AND(AI149&gt;=3,AL149&lt;=AsOfDate),IF(AR149="FT",IF(AT149&lt;FT_First,0,IF(AT149&lt;FT_Y5,1+INT((AT149-FT_First)/FT_Int1),FT_PreY5+FT_PerYear*INT((AT149-FT_Y5)/12)+FT_AnnivDays+INT(MOD(AT149-FT_Y5,12)/FT_Int2))),IF(AR149="PT",IF(AT149&lt;PT_First,0,1+INT((AT149-PT_First)/PT_Int)),0))-IF(AR149="FT",IF(AV149&lt;FT_First,0,IF(AV149&lt;FT_Y5,1+INT((AV149-FT_First)/FT_Int1),FT_PreY5+FT_PerYear*INT((AV149-FT_Y5)/12)+FT_AnnivDays+INT(MOD(AV149-FT_Y5,12)/FT_Int2))),IF(AR149="PT",IF(AV149&lt;PT_First,0,1+INT((AV149-PT_First)/PT_Int)),0)),0))</f>
        <v/>
      </c>
      <c r="BA149" s="19" t="str">
        <f aca="false">IF(AG149=0,"",IF(AP149="FT",IF(AX149&lt;FT_First,0,IF(AX149&lt;FT_Y5,1+INT((AX149-FT_First)/FT_Int1),FT_PreY5+FT_PerYear*INT((AX149-FT_Y5)/12)+FT_AnnivDays+INT(MOD(AX149-FT_Y5,12)/FT_Int2))),IF(AP149="PT",IF(AX149&lt;PT_First,0,1+INT((AX149-PT_First)/PT_Int)),0))+IF(AND(AI149&gt;=2,AK149&lt;=PFYDate),IF(AQ149="FT",IF(AY149&lt;FT_First,0,IF(AY149&lt;FT_Y5,1+INT((AY149-FT_First)/FT_Int1),FT_PreY5+FT_PerYear*INT((AY149-FT_Y5)/12)+FT_AnnivDays+INT(MOD(AY149-FT_Y5,12)/FT_Int2))),IF(AQ149="PT",IF(AY149&lt;PT_First,0,1+INT((AY149-PT_First)/PT_Int)),0))-IF(AQ149="FT",IF(AX149&lt;FT_First,0,IF(AX149&lt;FT_Y5,1+INT((AX149-FT_First)/FT_Int1),FT_PreY5+FT_PerYear*INT((AX149-FT_Y5)/12)+FT_AnnivDays+INT(MOD(AX149-FT_Y5,12)/FT_Int2))),IF(AQ149="PT",IF(AX149&lt;PT_First,0,1+INT((AX149-PT_First)/PT_Int)),0)),0)+IF(AND(AI149&gt;=3,AL149&lt;=PFYDate),IF(AR149="FT",IF(AW149&lt;FT_First,0,IF(AW149&lt;FT_Y5,1+INT((AW149-FT_First)/FT_Int1),FT_PreY5+FT_PerYear*INT((AW149-FT_Y5)/12)+FT_AnnivDays+INT(MOD(AW149-FT_Y5,12)/FT_Int2))),IF(AR149="PT",IF(AW149&lt;PT_First,0,1+INT((AW149-PT_First)/PT_Int)),0))-IF(AR149="FT",IF(AY149&lt;FT_First,0,IF(AY149&lt;FT_Y5,1+INT((AY149-FT_First)/FT_Int1),FT_PreY5+FT_PerYear*INT((AY149-FT_Y5)/12)+FT_AnnivDays+INT(MOD(AY149-FT_Y5,12)/FT_Int2))),IF(AR149="PT",IF(AY149&lt;PT_First,0,1+INT((AY149-PT_First)/PT_Int)),0)),0))</f>
        <v/>
      </c>
      <c r="BB149" s="19" t="str">
        <f aca="false">IF(AG149=0,"",IF(AS149="FT",IF(AT149&lt;FT_First,FT_First,IF(AT149&lt;FT_Y5,MIN(FT_Y5,FT_First+FT_Int1*(INT((AT149-FT_First)/FT_Int1)+1)),FT_Y5+12*INT((AT149-FT_Y5)/12)+FT_Int2*(INT(MOD(AT149-FT_Y5,12)/FT_Int2)+1))),IF(AS149="PT",IF(AT149&lt;PT_First,PT_First,PT_First+PT_Int*(INT((AT149-PT_First)/PT_Int)+1)),"")))</f>
        <v/>
      </c>
      <c r="BC149" s="19" t="str">
        <f aca="false">IF(AG149=0,"",IF(NOT(LH_Ready),0,COUNTIFS(INDEX(LH_Data,0,LH_ColFirst),$A149,INDEX(LH_Data,0,LH_ColSur),$B149,INDEX(LH_Data,0,LH_ColCat),BonusCat)))</f>
        <v/>
      </c>
      <c r="BD149" s="19" t="str">
        <f aca="false">IF(AG149=0,"",IF(OR(NOT(LH_Ready),BC149=0),0,SUMPRODUCT(MAX((INDEX(LH_Data,0,LH_ColFirst)=$A149)*(INDEX(LH_Data,0,LH_ColSur)=$B149)*(INDEX(LH_Data,0,LH_ColCat)=BonusCat)*ROW(LH_Data)))))</f>
        <v/>
      </c>
      <c r="BE149" s="19" t="str">
        <f aca="false">IF(AG149=0,"",IF(EOMONTH(AsOfDate,-1)&lt;AH149,-1,12*(YEAR(EOMONTH(AsOfDate,-1))-YEAR(AH149))+MONTH(EOMONTH(AsOfDate,-1))-MONTH(AH149)-IF(DAY(EOMONTH(AsOfDate,-1))&lt;MIN(DAY(AH149),DAY(EOMONTH(EOMONTH(AsOfDate,-1),0))),1,0)))</f>
        <v/>
      </c>
      <c r="BF149" s="19" t="str">
        <f aca="false">IF(AG149=0,"",IF(OR(AI149&lt;2,AK149&gt;EOMONTH(AsOfDate,-1)),BE149,IF((AK149-1)&lt;AH149,-1,12*(YEAR((AK149-1))-YEAR(AH149))+MONTH((AK149-1))-MONTH(AH149)-IF(DAY((AK149-1))&lt;MIN(DAY(AH149),DAY(EOMONTH((AK149-1),0))),1,0))))</f>
        <v/>
      </c>
      <c r="BG149" s="19" t="str">
        <f aca="false">IF(AG149=0,"",IF(OR(AI149&lt;3,AL149&gt;EOMONTH(AsOfDate,-1)),BE149,IF((AL149-1)&lt;AH149,-1,12*(YEAR((AL149-1))-YEAR(AH149))+MONTH((AL149-1))-MONTH(AH149)-IF(DAY((AL149-1))&lt;MIN(DAY(AH149),DAY(EOMONTH((AL149-1),0))),1,0))))</f>
        <v/>
      </c>
      <c r="BH149" s="19" t="str">
        <f aca="false">IF(AG149=0,"",IF(AP149="FT",IF(BF149&lt;FT_First,0,IF(BF149&lt;FT_Y5,1+INT((BF149-FT_First)/FT_Int1),FT_PreY5+FT_PerYear*INT((BF149-FT_Y5)/12)+FT_AnnivDays+INT(MOD(BF149-FT_Y5,12)/FT_Int2))),IF(AP149="PT",IF(BF149&lt;PT_First,0,1+INT((BF149-PT_First)/PT_Int)),0))+IF(AND(AI149&gt;=2,AK149&lt;=EOMONTH(AsOfDate,-1)),IF(AQ149="FT",IF(BG149&lt;FT_First,0,IF(BG149&lt;FT_Y5,1+INT((BG149-FT_First)/FT_Int1),FT_PreY5+FT_PerYear*INT((BG149-FT_Y5)/12)+FT_AnnivDays+INT(MOD(BG149-FT_Y5,12)/FT_Int2))),IF(AQ149="PT",IF(BG149&lt;PT_First,0,1+INT((BG149-PT_First)/PT_Int)),0))-IF(AQ149="FT",IF(BF149&lt;FT_First,0,IF(BF149&lt;FT_Y5,1+INT((BF149-FT_First)/FT_Int1),FT_PreY5+FT_PerYear*INT((BF149-FT_Y5)/12)+FT_AnnivDays+INT(MOD(BF149-FT_Y5,12)/FT_Int2))),IF(AQ149="PT",IF(BF149&lt;PT_First,0,1+INT((BF149-PT_First)/PT_Int)),0)),0)+IF(AND(AI149&gt;=3,AL149&lt;=EOMONTH(AsOfDate,-1)),IF(AR149="FT",IF(BE149&lt;FT_First,0,IF(BE149&lt;FT_Y5,1+INT((BE149-FT_First)/FT_Int1),FT_PreY5+FT_PerYear*INT((BE149-FT_Y5)/12)+FT_AnnivDays+INT(MOD(BE149-FT_Y5,12)/FT_Int2))),IF(AR149="PT",IF(BE149&lt;PT_First,0,1+INT((BE149-PT_First)/PT_Int)),0))-IF(AR149="FT",IF(BG149&lt;FT_First,0,IF(BG149&lt;FT_Y5,1+INT((BG149-FT_First)/FT_Int1),FT_PreY5+FT_PerYear*INT((BG149-FT_Y5)/12)+FT_AnnivDays+INT(MOD(BG149-FT_Y5,12)/FT_Int2))),IF(AR149="PT",IF(BG149&lt;PT_First,0,1+INT((BG149-PT_First)/PT_Int)),0)),0))</f>
        <v/>
      </c>
      <c r="BI149" s="19" t="str">
        <f aca="false">IF(AG149=0,"",IF(AS149="FT",IF(AT149&lt;FT_First,"",IF(AT149&lt;FT_Y5,FT_First+FT_Int1*INT((AT149-FT_First)/FT_Int1),FT_Y5+FT_Int2*INT((AT149-FT_Y5)/FT_Int2))),IF(AS149="PT",IF(AT149&lt;PT_First,"",PT_First+PT_Int*INT((AT149-PT_First)/PT_Int)),"")))</f>
        <v/>
      </c>
      <c r="BJ149" s="0" t="str">
        <f aca="false">IF(LEN($A149&amp;$B149)=0,"",$A149&amp;" "&amp;$B149)</f>
        <v/>
      </c>
    </row>
    <row r="150" customFormat="false" ht="15" hidden="false" customHeight="false" outlineLevel="0" collapsed="false">
      <c r="A150" s="15"/>
      <c r="B150" s="15"/>
      <c r="C150" s="15"/>
      <c r="D150" s="16"/>
      <c r="E150" s="17" t="str">
        <f aca="false">IF(OR(AG150=0,$D150=""),"",DATE(YEAR(AsOfDate)+IF(DATE(YEAR(AsOfDate),MONTH($D150),DAY($D150))&lt;=AsOfDate,1,0),MONTH($D150),DAY($D150)))</f>
        <v/>
      </c>
      <c r="F150" s="16"/>
      <c r="G150" s="16"/>
      <c r="H150" s="16"/>
      <c r="I150" s="16"/>
      <c r="J150" s="16"/>
      <c r="K150" s="17" t="str">
        <f aca="false">IF(AG150=0,"",DATE(YEAR(AsOfDate)+IF(DATE(YEAR(AsOfDate),MONTH(AH150),DAY(AH150))&lt;=AsOfDate,1,0),MONTH(AH150),DAY(AH150)))</f>
        <v/>
      </c>
      <c r="L150" s="18" t="str">
        <f aca="false">IF(AG150=0,"",ROUND((AsOfDate-AH150)/365.25,1))</f>
        <v/>
      </c>
      <c r="M150" s="19" t="str">
        <f aca="false">IF(AG150=0,"",IF(AsOfDate&lt;AH150,"-",DATEDIF(AH150,AsOfDate,"y")&amp;"y "&amp;DATEDIF(AH150,AsOfDate,"ym")&amp;"m "&amp;DATEDIF(AH150,AsOfDate,"md")&amp;"d"))</f>
        <v/>
      </c>
      <c r="N150" s="20" t="str">
        <f aca="false">IF(AG150=0,"",O150*HoursPerDay)</f>
        <v/>
      </c>
      <c r="O150" s="20" t="str">
        <f aca="false">IF(AG150=0,"",AZ150)</f>
        <v/>
      </c>
      <c r="P150" s="21"/>
      <c r="Q150" s="19"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19"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7" t="str">
        <f aca="false">IF(AG150=0,"",IF(AS150="None","",EDATE(AH150,BB150)))</f>
        <v/>
      </c>
      <c r="T150" s="20" t="str">
        <f aca="false">IF(AG150=0,"",IF(NOT(LH_Ready),"",IF(AH150&gt;PFYDate,0,IF(LH_ColPeriod=0,W150-U150+V150,SUMIFS(INDEX(LH_Data,0,LH_ColAcc),INDEX(LH_Data,0,LH_ColFirst),$A150,INDEX(LH_Data,0,LH_ColSur),$B150,INDEX(LH_Data,0,LH_ColCat),BonusCat,INDEX(LH_Data,0,LH_ColPeriod),LH_OpenLabel)*UnitFactor))))</f>
        <v/>
      </c>
      <c r="U150" s="20" t="str">
        <f aca="false">IF(AG150=0,"",IF(NOT(LH_Ready),"",SUMIFS(INDEX(LH_Data,0,LH_ColAcc),INDEX(LH_Data,0,LH_ColFirst),$A150,INDEX(LH_Data,0,LH_ColSur),$B150,INDEX(LH_Data,0,LH_ColCat),BonusCat,INDEX(LH_Data,0,LH_ColStart),"&gt;="&amp;AH150)*UnitFactor))</f>
        <v/>
      </c>
      <c r="V150" s="20" t="str">
        <f aca="false">IF(AG150=0,"",IF(NOT(LH_Ready),"",SUMIFS(INDEX(LH_Data,0,LH_ColTaken),INDEX(LH_Data,0,LH_ColFirst),$A150,INDEX(LH_Data,0,LH_ColSur),$B150,INDEX(LH_Data,0,LH_ColCat),BonusCat,INDEX(LH_Data,0,LH_ColStart),"&gt;="&amp;AH150)*UnitFactor))</f>
        <v/>
      </c>
      <c r="W150" s="20" t="str">
        <f aca="false">IF(AG150=0,"",IF(NOT(LH_Ready),"",IF(BD150=0,0,INDEX(INDEX(LH_Data,0,LH_ColClose),BD150-1)*UnitFactor)))</f>
        <v/>
      </c>
      <c r="X150" s="20" t="str">
        <f aca="false">IF(AG150=0,"",(AZ150-BA150)*HoursPerDay)</f>
        <v/>
      </c>
      <c r="Y150" s="20" t="str">
        <f aca="false">IF(AG150=0,"",IF(NOT(LH_Ready),"",IF(BC150=0,N150,IF(PFYDate&lt;$F150,N150-N(T150)-N(U150),X150-N(U150)))))</f>
        <v/>
      </c>
      <c r="Z150" s="19" t="str">
        <f aca="false">IF(OR(AG150=0,Y150=""),"",IF(Y150&gt;0,"Yes","No"))</f>
        <v/>
      </c>
      <c r="AA150" s="19"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20" t="str">
        <f aca="false">IF(OR(AG150=0,T150=""),"",BA150*HoursPerDay-T150)</f>
        <v/>
      </c>
      <c r="AC150" s="19" t="str">
        <f aca="false">IF(AG150=0,"",BC150)</f>
        <v/>
      </c>
      <c r="AD150" s="19"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20" t="str">
        <f aca="false">IF(AG150=0,"",O150-BH150)</f>
        <v/>
      </c>
      <c r="AF150" s="17" t="str">
        <f aca="false">IF(OR(AG150=0,AE150="",N(AE150)=0,BI150=""),"",EDATE(AH150,BI150))</f>
        <v/>
      </c>
      <c r="AG150" s="19" t="n">
        <f aca="false">IF(OR(LEN($A150&amp;$B150)=0,$F150=""),0,1)</f>
        <v>0</v>
      </c>
      <c r="AH150" s="17" t="str">
        <f aca="false">IF(AG150=0,"",IF($J150&lt;&gt;"",$J150,IF(OR(CasualCounts="Yes",COUNT($G150:$I150)=0,COUNT($H150:$I150)=0),$F150,MIN($H150:$I150))))</f>
        <v/>
      </c>
      <c r="AI150" s="19" t="str">
        <f aca="false">IF(AG150=0,"",COUNT($G150:$I150))</f>
        <v/>
      </c>
      <c r="AJ150" s="17" t="str">
        <f aca="false">IF(AG150=0,"",IFERROR(SMALL($G150:$I150,1),""))</f>
        <v/>
      </c>
      <c r="AK150" s="17" t="str">
        <f aca="false">IF(AG150=0,"",IFERROR(SMALL($G150:$I150,2),""))</f>
        <v/>
      </c>
      <c r="AL150" s="17" t="str">
        <f aca="false">IF(AG150=0,"",IFERROR(SMALL($G150:$I150,3),""))</f>
        <v/>
      </c>
      <c r="AM150" s="19" t="str">
        <f aca="false">IF(AG150=0,"",IF(AJ150="","",IF(AJ150=$H150,"Part-Time",IF(AJ150=$I150,"Full-Time","Casual"))))</f>
        <v/>
      </c>
      <c r="AN150" s="19" t="str">
        <f aca="false">IF(AG150=0,"",IF(AK150="","",IF(AK150=$H150,"Part-Time",IF(AK150=$I150,"Full-Time","Casual"))))</f>
        <v/>
      </c>
      <c r="AO150" s="19" t="str">
        <f aca="false">IF(AG150=0,"",IF(AL150="","",IF(AL150=$H150,"Part-Time",IF(AL150=$I150,"Full-Time","Casual"))))</f>
        <v/>
      </c>
      <c r="AP150" s="19"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19" t="str">
        <f aca="false">IF(AG150=0,"",IF(AI150&lt;2,"",IF(OR(ISNUMBER(SEARCH("full",AN150)),UPPER(TRIM(AN150))="FT",UPPER(TRIM(AN150))="FTE"),"FT",IF(AND(OR(ISNUMBER(SEARCH("part",AN150)),UPPER(TRIM(AN150))="PT",UPPER(TRIM(AN150))="PTE"),OR($P150="",N($P150)&gt;=PT_MinHours)),"PT","None"))))</f>
        <v/>
      </c>
      <c r="AR150" s="19" t="str">
        <f aca="false">IF(AG150=0,"",IF(AI150&lt;3,"",IF(OR(ISNUMBER(SEARCH("full",AO150)),UPPER(TRIM(AO150))="FT",UPPER(TRIM(AO150))="FTE"),"FT",IF(AND(OR(ISNUMBER(SEARCH("part",AO150)),UPPER(TRIM(AO150))="PT",UPPER(TRIM(AO150))="PTE"),OR($P150="",N($P150)&gt;=PT_MinHours)),"PT","None"))))</f>
        <v/>
      </c>
      <c r="AS150" s="19" t="str">
        <f aca="false">IF(AG150=0,"",IF(AND(AI150&gt;=3,AL150&lt;=AsOfDate),AR150,IF(AND(AI150&gt;=2,AK150&lt;=AsOfDate),AQ150,AP150)))</f>
        <v/>
      </c>
      <c r="AT150" s="19" t="str">
        <f aca="false">IF(AG150=0,"",IF(AsOfDate&lt;AH150,-1,12*(YEAR(AsOfDate)-YEAR(AH150))+MONTH(AsOfDate)-MONTH(AH150)-IF(DAY(AsOfDate)&lt;MIN(DAY(AH150),DAY(EOMONTH(AsOfDate,0))),1,0)))</f>
        <v/>
      </c>
      <c r="AU150" s="19" t="str">
        <f aca="false">IF(AG150=0,"",IF(OR(AI150&lt;2,AK150&gt;AsOfDate),AT150,IF((AK150-1)&lt;AH150,-1,12*(YEAR((AK150-1))-YEAR(AH150))+MONTH((AK150-1))-MONTH(AH150)-IF(DAY((AK150-1))&lt;MIN(DAY(AH150),DAY(EOMONTH((AK150-1),0))),1,0))))</f>
        <v/>
      </c>
      <c r="AV150" s="19" t="str">
        <f aca="false">IF(AG150=0,"",IF(OR(AI150&lt;3,AL150&gt;AsOfDate),AT150,IF((AL150-1)&lt;AH150,-1,12*(YEAR((AL150-1))-YEAR(AH150))+MONTH((AL150-1))-MONTH(AH150)-IF(DAY((AL150-1))&lt;MIN(DAY(AH150),DAY(EOMONTH((AL150-1),0))),1,0))))</f>
        <v/>
      </c>
      <c r="AW150" s="19" t="str">
        <f aca="false">IF(AG150=0,"",IF(PFYDate&lt;AH150,-1,12*(YEAR(PFYDate)-YEAR(AH150))+MONTH(PFYDate)-MONTH(AH150)-IF(DAY(PFYDate)&lt;MIN(DAY(AH150),DAY(EOMONTH(PFYDate,0))),1,0)))</f>
        <v/>
      </c>
      <c r="AX150" s="19" t="str">
        <f aca="false">IF(AG150=0,"",IF(OR(AI150&lt;2,AK150&gt;PFYDate),AW150,IF((AK150-1)&lt;AH150,-1,12*(YEAR((AK150-1))-YEAR(AH150))+MONTH((AK150-1))-MONTH(AH150)-IF(DAY((AK150-1))&lt;MIN(DAY(AH150),DAY(EOMONTH((AK150-1),0))),1,0))))</f>
        <v/>
      </c>
      <c r="AY150" s="19" t="str">
        <f aca="false">IF(AG150=0,"",IF(OR(AI150&lt;3,AL150&gt;PFYDate),AW150,IF((AL150-1)&lt;AH150,-1,12*(YEAR((AL150-1))-YEAR(AH150))+MONTH((AL150-1))-MONTH(AH150)-IF(DAY((AL150-1))&lt;MIN(DAY(AH150),DAY(EOMONTH((AL150-1),0))),1,0))))</f>
        <v/>
      </c>
      <c r="AZ150" s="19" t="str">
        <f aca="false">IF(AG150=0,"",IF(AP150="FT",IF(AU150&lt;FT_First,0,IF(AU150&lt;FT_Y5,1+INT((AU150-FT_First)/FT_Int1),FT_PreY5+FT_PerYear*INT((AU150-FT_Y5)/12)+FT_AnnivDays+INT(MOD(AU150-FT_Y5,12)/FT_Int2))),IF(AP150="PT",IF(AU150&lt;PT_First,0,1+INT((AU150-PT_First)/PT_Int)),0))+IF(AND(AI150&gt;=2,AK150&lt;=AsOfDate),IF(AQ150="FT",IF(AV150&lt;FT_First,0,IF(AV150&lt;FT_Y5,1+INT((AV150-FT_First)/FT_Int1),FT_PreY5+FT_PerYear*INT((AV150-FT_Y5)/12)+FT_AnnivDays+INT(MOD(AV150-FT_Y5,12)/FT_Int2))),IF(AQ150="PT",IF(AV150&lt;PT_First,0,1+INT((AV150-PT_First)/PT_Int)),0))-IF(AQ150="FT",IF(AU150&lt;FT_First,0,IF(AU150&lt;FT_Y5,1+INT((AU150-FT_First)/FT_Int1),FT_PreY5+FT_PerYear*INT((AU150-FT_Y5)/12)+FT_AnnivDays+INT(MOD(AU150-FT_Y5,12)/FT_Int2))),IF(AQ150="PT",IF(AU150&lt;PT_First,0,1+INT((AU150-PT_First)/PT_Int)),0)),0)+IF(AND(AI150&gt;=3,AL150&lt;=AsOfDate),IF(AR150="FT",IF(AT150&lt;FT_First,0,IF(AT150&lt;FT_Y5,1+INT((AT150-FT_First)/FT_Int1),FT_PreY5+FT_PerYear*INT((AT150-FT_Y5)/12)+FT_AnnivDays+INT(MOD(AT150-FT_Y5,12)/FT_Int2))),IF(AR150="PT",IF(AT150&lt;PT_First,0,1+INT((AT150-PT_First)/PT_Int)),0))-IF(AR150="FT",IF(AV150&lt;FT_First,0,IF(AV150&lt;FT_Y5,1+INT((AV150-FT_First)/FT_Int1),FT_PreY5+FT_PerYear*INT((AV150-FT_Y5)/12)+FT_AnnivDays+INT(MOD(AV150-FT_Y5,12)/FT_Int2))),IF(AR150="PT",IF(AV150&lt;PT_First,0,1+INT((AV150-PT_First)/PT_Int)),0)),0))</f>
        <v/>
      </c>
      <c r="BA150" s="19" t="str">
        <f aca="false">IF(AG150=0,"",IF(AP150="FT",IF(AX150&lt;FT_First,0,IF(AX150&lt;FT_Y5,1+INT((AX150-FT_First)/FT_Int1),FT_PreY5+FT_PerYear*INT((AX150-FT_Y5)/12)+FT_AnnivDays+INT(MOD(AX150-FT_Y5,12)/FT_Int2))),IF(AP150="PT",IF(AX150&lt;PT_First,0,1+INT((AX150-PT_First)/PT_Int)),0))+IF(AND(AI150&gt;=2,AK150&lt;=PFYDate),IF(AQ150="FT",IF(AY150&lt;FT_First,0,IF(AY150&lt;FT_Y5,1+INT((AY150-FT_First)/FT_Int1),FT_PreY5+FT_PerYear*INT((AY150-FT_Y5)/12)+FT_AnnivDays+INT(MOD(AY150-FT_Y5,12)/FT_Int2))),IF(AQ150="PT",IF(AY150&lt;PT_First,0,1+INT((AY150-PT_First)/PT_Int)),0))-IF(AQ150="FT",IF(AX150&lt;FT_First,0,IF(AX150&lt;FT_Y5,1+INT((AX150-FT_First)/FT_Int1),FT_PreY5+FT_PerYear*INT((AX150-FT_Y5)/12)+FT_AnnivDays+INT(MOD(AX150-FT_Y5,12)/FT_Int2))),IF(AQ150="PT",IF(AX150&lt;PT_First,0,1+INT((AX150-PT_First)/PT_Int)),0)),0)+IF(AND(AI150&gt;=3,AL150&lt;=PFYDate),IF(AR150="FT",IF(AW150&lt;FT_First,0,IF(AW150&lt;FT_Y5,1+INT((AW150-FT_First)/FT_Int1),FT_PreY5+FT_PerYear*INT((AW150-FT_Y5)/12)+FT_AnnivDays+INT(MOD(AW150-FT_Y5,12)/FT_Int2))),IF(AR150="PT",IF(AW150&lt;PT_First,0,1+INT((AW150-PT_First)/PT_Int)),0))-IF(AR150="FT",IF(AY150&lt;FT_First,0,IF(AY150&lt;FT_Y5,1+INT((AY150-FT_First)/FT_Int1),FT_PreY5+FT_PerYear*INT((AY150-FT_Y5)/12)+FT_AnnivDays+INT(MOD(AY150-FT_Y5,12)/FT_Int2))),IF(AR150="PT",IF(AY150&lt;PT_First,0,1+INT((AY150-PT_First)/PT_Int)),0)),0))</f>
        <v/>
      </c>
      <c r="BB150" s="19" t="str">
        <f aca="false">IF(AG150=0,"",IF(AS150="FT",IF(AT150&lt;FT_First,FT_First,IF(AT150&lt;FT_Y5,MIN(FT_Y5,FT_First+FT_Int1*(INT((AT150-FT_First)/FT_Int1)+1)),FT_Y5+12*INT((AT150-FT_Y5)/12)+FT_Int2*(INT(MOD(AT150-FT_Y5,12)/FT_Int2)+1))),IF(AS150="PT",IF(AT150&lt;PT_First,PT_First,PT_First+PT_Int*(INT((AT150-PT_First)/PT_Int)+1)),"")))</f>
        <v/>
      </c>
      <c r="BC150" s="19" t="str">
        <f aca="false">IF(AG150=0,"",IF(NOT(LH_Ready),0,COUNTIFS(INDEX(LH_Data,0,LH_ColFirst),$A150,INDEX(LH_Data,0,LH_ColSur),$B150,INDEX(LH_Data,0,LH_ColCat),BonusCat)))</f>
        <v/>
      </c>
      <c r="BD150" s="19" t="str">
        <f aca="false">IF(AG150=0,"",IF(OR(NOT(LH_Ready),BC150=0),0,SUMPRODUCT(MAX((INDEX(LH_Data,0,LH_ColFirst)=$A150)*(INDEX(LH_Data,0,LH_ColSur)=$B150)*(INDEX(LH_Data,0,LH_ColCat)=BonusCat)*ROW(LH_Data)))))</f>
        <v/>
      </c>
      <c r="BE150" s="19" t="str">
        <f aca="false">IF(AG150=0,"",IF(EOMONTH(AsOfDate,-1)&lt;AH150,-1,12*(YEAR(EOMONTH(AsOfDate,-1))-YEAR(AH150))+MONTH(EOMONTH(AsOfDate,-1))-MONTH(AH150)-IF(DAY(EOMONTH(AsOfDate,-1))&lt;MIN(DAY(AH150),DAY(EOMONTH(EOMONTH(AsOfDate,-1),0))),1,0)))</f>
        <v/>
      </c>
      <c r="BF150" s="19" t="str">
        <f aca="false">IF(AG150=0,"",IF(OR(AI150&lt;2,AK150&gt;EOMONTH(AsOfDate,-1)),BE150,IF((AK150-1)&lt;AH150,-1,12*(YEAR((AK150-1))-YEAR(AH150))+MONTH((AK150-1))-MONTH(AH150)-IF(DAY((AK150-1))&lt;MIN(DAY(AH150),DAY(EOMONTH((AK150-1),0))),1,0))))</f>
        <v/>
      </c>
      <c r="BG150" s="19" t="str">
        <f aca="false">IF(AG150=0,"",IF(OR(AI150&lt;3,AL150&gt;EOMONTH(AsOfDate,-1)),BE150,IF((AL150-1)&lt;AH150,-1,12*(YEAR((AL150-1))-YEAR(AH150))+MONTH((AL150-1))-MONTH(AH150)-IF(DAY((AL150-1))&lt;MIN(DAY(AH150),DAY(EOMONTH((AL150-1),0))),1,0))))</f>
        <v/>
      </c>
      <c r="BH150" s="19" t="str">
        <f aca="false">IF(AG150=0,"",IF(AP150="FT",IF(BF150&lt;FT_First,0,IF(BF150&lt;FT_Y5,1+INT((BF150-FT_First)/FT_Int1),FT_PreY5+FT_PerYear*INT((BF150-FT_Y5)/12)+FT_AnnivDays+INT(MOD(BF150-FT_Y5,12)/FT_Int2))),IF(AP150="PT",IF(BF150&lt;PT_First,0,1+INT((BF150-PT_First)/PT_Int)),0))+IF(AND(AI150&gt;=2,AK150&lt;=EOMONTH(AsOfDate,-1)),IF(AQ150="FT",IF(BG150&lt;FT_First,0,IF(BG150&lt;FT_Y5,1+INT((BG150-FT_First)/FT_Int1),FT_PreY5+FT_PerYear*INT((BG150-FT_Y5)/12)+FT_AnnivDays+INT(MOD(BG150-FT_Y5,12)/FT_Int2))),IF(AQ150="PT",IF(BG150&lt;PT_First,0,1+INT((BG150-PT_First)/PT_Int)),0))-IF(AQ150="FT",IF(BF150&lt;FT_First,0,IF(BF150&lt;FT_Y5,1+INT((BF150-FT_First)/FT_Int1),FT_PreY5+FT_PerYear*INT((BF150-FT_Y5)/12)+FT_AnnivDays+INT(MOD(BF150-FT_Y5,12)/FT_Int2))),IF(AQ150="PT",IF(BF150&lt;PT_First,0,1+INT((BF150-PT_First)/PT_Int)),0)),0)+IF(AND(AI150&gt;=3,AL150&lt;=EOMONTH(AsOfDate,-1)),IF(AR150="FT",IF(BE150&lt;FT_First,0,IF(BE150&lt;FT_Y5,1+INT((BE150-FT_First)/FT_Int1),FT_PreY5+FT_PerYear*INT((BE150-FT_Y5)/12)+FT_AnnivDays+INT(MOD(BE150-FT_Y5,12)/FT_Int2))),IF(AR150="PT",IF(BE150&lt;PT_First,0,1+INT((BE150-PT_First)/PT_Int)),0))-IF(AR150="FT",IF(BG150&lt;FT_First,0,IF(BG150&lt;FT_Y5,1+INT((BG150-FT_First)/FT_Int1),FT_PreY5+FT_PerYear*INT((BG150-FT_Y5)/12)+FT_AnnivDays+INT(MOD(BG150-FT_Y5,12)/FT_Int2))),IF(AR150="PT",IF(BG150&lt;PT_First,0,1+INT((BG150-PT_First)/PT_Int)),0)),0))</f>
        <v/>
      </c>
      <c r="BI150" s="19" t="str">
        <f aca="false">IF(AG150=0,"",IF(AS150="FT",IF(AT150&lt;FT_First,"",IF(AT150&lt;FT_Y5,FT_First+FT_Int1*INT((AT150-FT_First)/FT_Int1),FT_Y5+FT_Int2*INT((AT150-FT_Y5)/FT_Int2))),IF(AS150="PT",IF(AT150&lt;PT_First,"",PT_First+PT_Int*INT((AT150-PT_First)/PT_Int)),"")))</f>
        <v/>
      </c>
      <c r="BJ150" s="0" t="str">
        <f aca="false">IF(LEN($A150&amp;$B150)=0,"",$A150&amp;" "&amp;$B150)</f>
        <v/>
      </c>
    </row>
    <row r="151" customFormat="false" ht="15" hidden="false" customHeight="false" outlineLevel="0" collapsed="false">
      <c r="A151" s="15"/>
      <c r="B151" s="15"/>
      <c r="C151" s="15"/>
      <c r="D151" s="16"/>
      <c r="E151" s="17" t="str">
        <f aca="false">IF(OR(AG151=0,$D151=""),"",DATE(YEAR(AsOfDate)+IF(DATE(YEAR(AsOfDate),MONTH($D151),DAY($D151))&lt;=AsOfDate,1,0),MONTH($D151),DAY($D151)))</f>
        <v/>
      </c>
      <c r="F151" s="16"/>
      <c r="G151" s="16"/>
      <c r="H151" s="16"/>
      <c r="I151" s="16"/>
      <c r="J151" s="16"/>
      <c r="K151" s="17" t="str">
        <f aca="false">IF(AG151=0,"",DATE(YEAR(AsOfDate)+IF(DATE(YEAR(AsOfDate),MONTH(AH151),DAY(AH151))&lt;=AsOfDate,1,0),MONTH(AH151),DAY(AH151)))</f>
        <v/>
      </c>
      <c r="L151" s="18" t="str">
        <f aca="false">IF(AG151=0,"",ROUND((AsOfDate-AH151)/365.25,1))</f>
        <v/>
      </c>
      <c r="M151" s="19" t="str">
        <f aca="false">IF(AG151=0,"",IF(AsOfDate&lt;AH151,"-",DATEDIF(AH151,AsOfDate,"y")&amp;"y "&amp;DATEDIF(AH151,AsOfDate,"ym")&amp;"m "&amp;DATEDIF(AH151,AsOfDate,"md")&amp;"d"))</f>
        <v/>
      </c>
      <c r="N151" s="20" t="str">
        <f aca="false">IF(AG151=0,"",O151*HoursPerDay)</f>
        <v/>
      </c>
      <c r="O151" s="20" t="str">
        <f aca="false">IF(AG151=0,"",AZ151)</f>
        <v/>
      </c>
      <c r="P151" s="21"/>
      <c r="Q151" s="19"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19"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7" t="str">
        <f aca="false">IF(AG151=0,"",IF(AS151="None","",EDATE(AH151,BB151)))</f>
        <v/>
      </c>
      <c r="T151" s="20" t="str">
        <f aca="false">IF(AG151=0,"",IF(NOT(LH_Ready),"",IF(AH151&gt;PFYDate,0,IF(LH_ColPeriod=0,W151-U151+V151,SUMIFS(INDEX(LH_Data,0,LH_ColAcc),INDEX(LH_Data,0,LH_ColFirst),$A151,INDEX(LH_Data,0,LH_ColSur),$B151,INDEX(LH_Data,0,LH_ColCat),BonusCat,INDEX(LH_Data,0,LH_ColPeriod),LH_OpenLabel)*UnitFactor))))</f>
        <v/>
      </c>
      <c r="U151" s="20" t="str">
        <f aca="false">IF(AG151=0,"",IF(NOT(LH_Ready),"",SUMIFS(INDEX(LH_Data,0,LH_ColAcc),INDEX(LH_Data,0,LH_ColFirst),$A151,INDEX(LH_Data,0,LH_ColSur),$B151,INDEX(LH_Data,0,LH_ColCat),BonusCat,INDEX(LH_Data,0,LH_ColStart),"&gt;="&amp;AH151)*UnitFactor))</f>
        <v/>
      </c>
      <c r="V151" s="20" t="str">
        <f aca="false">IF(AG151=0,"",IF(NOT(LH_Ready),"",SUMIFS(INDEX(LH_Data,0,LH_ColTaken),INDEX(LH_Data,0,LH_ColFirst),$A151,INDEX(LH_Data,0,LH_ColSur),$B151,INDEX(LH_Data,0,LH_ColCat),BonusCat,INDEX(LH_Data,0,LH_ColStart),"&gt;="&amp;AH151)*UnitFactor))</f>
        <v/>
      </c>
      <c r="W151" s="20" t="str">
        <f aca="false">IF(AG151=0,"",IF(NOT(LH_Ready),"",IF(BD151=0,0,INDEX(INDEX(LH_Data,0,LH_ColClose),BD151-1)*UnitFactor)))</f>
        <v/>
      </c>
      <c r="X151" s="20" t="str">
        <f aca="false">IF(AG151=0,"",(AZ151-BA151)*HoursPerDay)</f>
        <v/>
      </c>
      <c r="Y151" s="20" t="str">
        <f aca="false">IF(AG151=0,"",IF(NOT(LH_Ready),"",IF(BC151=0,N151,IF(PFYDate&lt;$F151,N151-N(T151)-N(U151),X151-N(U151)))))</f>
        <v/>
      </c>
      <c r="Z151" s="19" t="str">
        <f aca="false">IF(OR(AG151=0,Y151=""),"",IF(Y151&gt;0,"Yes","No"))</f>
        <v/>
      </c>
      <c r="AA151" s="19"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20" t="str">
        <f aca="false">IF(OR(AG151=0,T151=""),"",BA151*HoursPerDay-T151)</f>
        <v/>
      </c>
      <c r="AC151" s="19" t="str">
        <f aca="false">IF(AG151=0,"",BC151)</f>
        <v/>
      </c>
      <c r="AD151" s="19"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20" t="str">
        <f aca="false">IF(AG151=0,"",O151-BH151)</f>
        <v/>
      </c>
      <c r="AF151" s="17" t="str">
        <f aca="false">IF(OR(AG151=0,AE151="",N(AE151)=0,BI151=""),"",EDATE(AH151,BI151))</f>
        <v/>
      </c>
      <c r="AG151" s="19" t="n">
        <f aca="false">IF(OR(LEN($A151&amp;$B151)=0,$F151=""),0,1)</f>
        <v>0</v>
      </c>
      <c r="AH151" s="17" t="str">
        <f aca="false">IF(AG151=0,"",IF($J151&lt;&gt;"",$J151,IF(OR(CasualCounts="Yes",COUNT($G151:$I151)=0,COUNT($H151:$I151)=0),$F151,MIN($H151:$I151))))</f>
        <v/>
      </c>
      <c r="AI151" s="19" t="str">
        <f aca="false">IF(AG151=0,"",COUNT($G151:$I151))</f>
        <v/>
      </c>
      <c r="AJ151" s="17" t="str">
        <f aca="false">IF(AG151=0,"",IFERROR(SMALL($G151:$I151,1),""))</f>
        <v/>
      </c>
      <c r="AK151" s="17" t="str">
        <f aca="false">IF(AG151=0,"",IFERROR(SMALL($G151:$I151,2),""))</f>
        <v/>
      </c>
      <c r="AL151" s="17" t="str">
        <f aca="false">IF(AG151=0,"",IFERROR(SMALL($G151:$I151,3),""))</f>
        <v/>
      </c>
      <c r="AM151" s="19" t="str">
        <f aca="false">IF(AG151=0,"",IF(AJ151="","",IF(AJ151=$H151,"Part-Time",IF(AJ151=$I151,"Full-Time","Casual"))))</f>
        <v/>
      </c>
      <c r="AN151" s="19" t="str">
        <f aca="false">IF(AG151=0,"",IF(AK151="","",IF(AK151=$H151,"Part-Time",IF(AK151=$I151,"Full-Time","Casual"))))</f>
        <v/>
      </c>
      <c r="AO151" s="19" t="str">
        <f aca="false">IF(AG151=0,"",IF(AL151="","",IF(AL151=$H151,"Part-Time",IF(AL151=$I151,"Full-Time","Casual"))))</f>
        <v/>
      </c>
      <c r="AP151" s="19"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19" t="str">
        <f aca="false">IF(AG151=0,"",IF(AI151&lt;2,"",IF(OR(ISNUMBER(SEARCH("full",AN151)),UPPER(TRIM(AN151))="FT",UPPER(TRIM(AN151))="FTE"),"FT",IF(AND(OR(ISNUMBER(SEARCH("part",AN151)),UPPER(TRIM(AN151))="PT",UPPER(TRIM(AN151))="PTE"),OR($P151="",N($P151)&gt;=PT_MinHours)),"PT","None"))))</f>
        <v/>
      </c>
      <c r="AR151" s="19" t="str">
        <f aca="false">IF(AG151=0,"",IF(AI151&lt;3,"",IF(OR(ISNUMBER(SEARCH("full",AO151)),UPPER(TRIM(AO151))="FT",UPPER(TRIM(AO151))="FTE"),"FT",IF(AND(OR(ISNUMBER(SEARCH("part",AO151)),UPPER(TRIM(AO151))="PT",UPPER(TRIM(AO151))="PTE"),OR($P151="",N($P151)&gt;=PT_MinHours)),"PT","None"))))</f>
        <v/>
      </c>
      <c r="AS151" s="19" t="str">
        <f aca="false">IF(AG151=0,"",IF(AND(AI151&gt;=3,AL151&lt;=AsOfDate),AR151,IF(AND(AI151&gt;=2,AK151&lt;=AsOfDate),AQ151,AP151)))</f>
        <v/>
      </c>
      <c r="AT151" s="19" t="str">
        <f aca="false">IF(AG151=0,"",IF(AsOfDate&lt;AH151,-1,12*(YEAR(AsOfDate)-YEAR(AH151))+MONTH(AsOfDate)-MONTH(AH151)-IF(DAY(AsOfDate)&lt;MIN(DAY(AH151),DAY(EOMONTH(AsOfDate,0))),1,0)))</f>
        <v/>
      </c>
      <c r="AU151" s="19" t="str">
        <f aca="false">IF(AG151=0,"",IF(OR(AI151&lt;2,AK151&gt;AsOfDate),AT151,IF((AK151-1)&lt;AH151,-1,12*(YEAR((AK151-1))-YEAR(AH151))+MONTH((AK151-1))-MONTH(AH151)-IF(DAY((AK151-1))&lt;MIN(DAY(AH151),DAY(EOMONTH((AK151-1),0))),1,0))))</f>
        <v/>
      </c>
      <c r="AV151" s="19" t="str">
        <f aca="false">IF(AG151=0,"",IF(OR(AI151&lt;3,AL151&gt;AsOfDate),AT151,IF((AL151-1)&lt;AH151,-1,12*(YEAR((AL151-1))-YEAR(AH151))+MONTH((AL151-1))-MONTH(AH151)-IF(DAY((AL151-1))&lt;MIN(DAY(AH151),DAY(EOMONTH((AL151-1),0))),1,0))))</f>
        <v/>
      </c>
      <c r="AW151" s="19" t="str">
        <f aca="false">IF(AG151=0,"",IF(PFYDate&lt;AH151,-1,12*(YEAR(PFYDate)-YEAR(AH151))+MONTH(PFYDate)-MONTH(AH151)-IF(DAY(PFYDate)&lt;MIN(DAY(AH151),DAY(EOMONTH(PFYDate,0))),1,0)))</f>
        <v/>
      </c>
      <c r="AX151" s="19" t="str">
        <f aca="false">IF(AG151=0,"",IF(OR(AI151&lt;2,AK151&gt;PFYDate),AW151,IF((AK151-1)&lt;AH151,-1,12*(YEAR((AK151-1))-YEAR(AH151))+MONTH((AK151-1))-MONTH(AH151)-IF(DAY((AK151-1))&lt;MIN(DAY(AH151),DAY(EOMONTH((AK151-1),0))),1,0))))</f>
        <v/>
      </c>
      <c r="AY151" s="19" t="str">
        <f aca="false">IF(AG151=0,"",IF(OR(AI151&lt;3,AL151&gt;PFYDate),AW151,IF((AL151-1)&lt;AH151,-1,12*(YEAR((AL151-1))-YEAR(AH151))+MONTH((AL151-1))-MONTH(AH151)-IF(DAY((AL151-1))&lt;MIN(DAY(AH151),DAY(EOMONTH((AL151-1),0))),1,0))))</f>
        <v/>
      </c>
      <c r="AZ151" s="19" t="str">
        <f aca="false">IF(AG151=0,"",IF(AP151="FT",IF(AU151&lt;FT_First,0,IF(AU151&lt;FT_Y5,1+INT((AU151-FT_First)/FT_Int1),FT_PreY5+FT_PerYear*INT((AU151-FT_Y5)/12)+FT_AnnivDays+INT(MOD(AU151-FT_Y5,12)/FT_Int2))),IF(AP151="PT",IF(AU151&lt;PT_First,0,1+INT((AU151-PT_First)/PT_Int)),0))+IF(AND(AI151&gt;=2,AK151&lt;=AsOfDate),IF(AQ151="FT",IF(AV151&lt;FT_First,0,IF(AV151&lt;FT_Y5,1+INT((AV151-FT_First)/FT_Int1),FT_PreY5+FT_PerYear*INT((AV151-FT_Y5)/12)+FT_AnnivDays+INT(MOD(AV151-FT_Y5,12)/FT_Int2))),IF(AQ151="PT",IF(AV151&lt;PT_First,0,1+INT((AV151-PT_First)/PT_Int)),0))-IF(AQ151="FT",IF(AU151&lt;FT_First,0,IF(AU151&lt;FT_Y5,1+INT((AU151-FT_First)/FT_Int1),FT_PreY5+FT_PerYear*INT((AU151-FT_Y5)/12)+FT_AnnivDays+INT(MOD(AU151-FT_Y5,12)/FT_Int2))),IF(AQ151="PT",IF(AU151&lt;PT_First,0,1+INT((AU151-PT_First)/PT_Int)),0)),0)+IF(AND(AI151&gt;=3,AL151&lt;=AsOfDate),IF(AR151="FT",IF(AT151&lt;FT_First,0,IF(AT151&lt;FT_Y5,1+INT((AT151-FT_First)/FT_Int1),FT_PreY5+FT_PerYear*INT((AT151-FT_Y5)/12)+FT_AnnivDays+INT(MOD(AT151-FT_Y5,12)/FT_Int2))),IF(AR151="PT",IF(AT151&lt;PT_First,0,1+INT((AT151-PT_First)/PT_Int)),0))-IF(AR151="FT",IF(AV151&lt;FT_First,0,IF(AV151&lt;FT_Y5,1+INT((AV151-FT_First)/FT_Int1),FT_PreY5+FT_PerYear*INT((AV151-FT_Y5)/12)+FT_AnnivDays+INT(MOD(AV151-FT_Y5,12)/FT_Int2))),IF(AR151="PT",IF(AV151&lt;PT_First,0,1+INT((AV151-PT_First)/PT_Int)),0)),0))</f>
        <v/>
      </c>
      <c r="BA151" s="19" t="str">
        <f aca="false">IF(AG151=0,"",IF(AP151="FT",IF(AX151&lt;FT_First,0,IF(AX151&lt;FT_Y5,1+INT((AX151-FT_First)/FT_Int1),FT_PreY5+FT_PerYear*INT((AX151-FT_Y5)/12)+FT_AnnivDays+INT(MOD(AX151-FT_Y5,12)/FT_Int2))),IF(AP151="PT",IF(AX151&lt;PT_First,0,1+INT((AX151-PT_First)/PT_Int)),0))+IF(AND(AI151&gt;=2,AK151&lt;=PFYDate),IF(AQ151="FT",IF(AY151&lt;FT_First,0,IF(AY151&lt;FT_Y5,1+INT((AY151-FT_First)/FT_Int1),FT_PreY5+FT_PerYear*INT((AY151-FT_Y5)/12)+FT_AnnivDays+INT(MOD(AY151-FT_Y5,12)/FT_Int2))),IF(AQ151="PT",IF(AY151&lt;PT_First,0,1+INT((AY151-PT_First)/PT_Int)),0))-IF(AQ151="FT",IF(AX151&lt;FT_First,0,IF(AX151&lt;FT_Y5,1+INT((AX151-FT_First)/FT_Int1),FT_PreY5+FT_PerYear*INT((AX151-FT_Y5)/12)+FT_AnnivDays+INT(MOD(AX151-FT_Y5,12)/FT_Int2))),IF(AQ151="PT",IF(AX151&lt;PT_First,0,1+INT((AX151-PT_First)/PT_Int)),0)),0)+IF(AND(AI151&gt;=3,AL151&lt;=PFYDate),IF(AR151="FT",IF(AW151&lt;FT_First,0,IF(AW151&lt;FT_Y5,1+INT((AW151-FT_First)/FT_Int1),FT_PreY5+FT_PerYear*INT((AW151-FT_Y5)/12)+FT_AnnivDays+INT(MOD(AW151-FT_Y5,12)/FT_Int2))),IF(AR151="PT",IF(AW151&lt;PT_First,0,1+INT((AW151-PT_First)/PT_Int)),0))-IF(AR151="FT",IF(AY151&lt;FT_First,0,IF(AY151&lt;FT_Y5,1+INT((AY151-FT_First)/FT_Int1),FT_PreY5+FT_PerYear*INT((AY151-FT_Y5)/12)+FT_AnnivDays+INT(MOD(AY151-FT_Y5,12)/FT_Int2))),IF(AR151="PT",IF(AY151&lt;PT_First,0,1+INT((AY151-PT_First)/PT_Int)),0)),0))</f>
        <v/>
      </c>
      <c r="BB151" s="19" t="str">
        <f aca="false">IF(AG151=0,"",IF(AS151="FT",IF(AT151&lt;FT_First,FT_First,IF(AT151&lt;FT_Y5,MIN(FT_Y5,FT_First+FT_Int1*(INT((AT151-FT_First)/FT_Int1)+1)),FT_Y5+12*INT((AT151-FT_Y5)/12)+FT_Int2*(INT(MOD(AT151-FT_Y5,12)/FT_Int2)+1))),IF(AS151="PT",IF(AT151&lt;PT_First,PT_First,PT_First+PT_Int*(INT((AT151-PT_First)/PT_Int)+1)),"")))</f>
        <v/>
      </c>
      <c r="BC151" s="19" t="str">
        <f aca="false">IF(AG151=0,"",IF(NOT(LH_Ready),0,COUNTIFS(INDEX(LH_Data,0,LH_ColFirst),$A151,INDEX(LH_Data,0,LH_ColSur),$B151,INDEX(LH_Data,0,LH_ColCat),BonusCat)))</f>
        <v/>
      </c>
      <c r="BD151" s="19" t="str">
        <f aca="false">IF(AG151=0,"",IF(OR(NOT(LH_Ready),BC151=0),0,SUMPRODUCT(MAX((INDEX(LH_Data,0,LH_ColFirst)=$A151)*(INDEX(LH_Data,0,LH_ColSur)=$B151)*(INDEX(LH_Data,0,LH_ColCat)=BonusCat)*ROW(LH_Data)))))</f>
        <v/>
      </c>
      <c r="BE151" s="19" t="str">
        <f aca="false">IF(AG151=0,"",IF(EOMONTH(AsOfDate,-1)&lt;AH151,-1,12*(YEAR(EOMONTH(AsOfDate,-1))-YEAR(AH151))+MONTH(EOMONTH(AsOfDate,-1))-MONTH(AH151)-IF(DAY(EOMONTH(AsOfDate,-1))&lt;MIN(DAY(AH151),DAY(EOMONTH(EOMONTH(AsOfDate,-1),0))),1,0)))</f>
        <v/>
      </c>
      <c r="BF151" s="19" t="str">
        <f aca="false">IF(AG151=0,"",IF(OR(AI151&lt;2,AK151&gt;EOMONTH(AsOfDate,-1)),BE151,IF((AK151-1)&lt;AH151,-1,12*(YEAR((AK151-1))-YEAR(AH151))+MONTH((AK151-1))-MONTH(AH151)-IF(DAY((AK151-1))&lt;MIN(DAY(AH151),DAY(EOMONTH((AK151-1),0))),1,0))))</f>
        <v/>
      </c>
      <c r="BG151" s="19" t="str">
        <f aca="false">IF(AG151=0,"",IF(OR(AI151&lt;3,AL151&gt;EOMONTH(AsOfDate,-1)),BE151,IF((AL151-1)&lt;AH151,-1,12*(YEAR((AL151-1))-YEAR(AH151))+MONTH((AL151-1))-MONTH(AH151)-IF(DAY((AL151-1))&lt;MIN(DAY(AH151),DAY(EOMONTH((AL151-1),0))),1,0))))</f>
        <v/>
      </c>
      <c r="BH151" s="19" t="str">
        <f aca="false">IF(AG151=0,"",IF(AP151="FT",IF(BF151&lt;FT_First,0,IF(BF151&lt;FT_Y5,1+INT((BF151-FT_First)/FT_Int1),FT_PreY5+FT_PerYear*INT((BF151-FT_Y5)/12)+FT_AnnivDays+INT(MOD(BF151-FT_Y5,12)/FT_Int2))),IF(AP151="PT",IF(BF151&lt;PT_First,0,1+INT((BF151-PT_First)/PT_Int)),0))+IF(AND(AI151&gt;=2,AK151&lt;=EOMONTH(AsOfDate,-1)),IF(AQ151="FT",IF(BG151&lt;FT_First,0,IF(BG151&lt;FT_Y5,1+INT((BG151-FT_First)/FT_Int1),FT_PreY5+FT_PerYear*INT((BG151-FT_Y5)/12)+FT_AnnivDays+INT(MOD(BG151-FT_Y5,12)/FT_Int2))),IF(AQ151="PT",IF(BG151&lt;PT_First,0,1+INT((BG151-PT_First)/PT_Int)),0))-IF(AQ151="FT",IF(BF151&lt;FT_First,0,IF(BF151&lt;FT_Y5,1+INT((BF151-FT_First)/FT_Int1),FT_PreY5+FT_PerYear*INT((BF151-FT_Y5)/12)+FT_AnnivDays+INT(MOD(BF151-FT_Y5,12)/FT_Int2))),IF(AQ151="PT",IF(BF151&lt;PT_First,0,1+INT((BF151-PT_First)/PT_Int)),0)),0)+IF(AND(AI151&gt;=3,AL151&lt;=EOMONTH(AsOfDate,-1)),IF(AR151="FT",IF(BE151&lt;FT_First,0,IF(BE151&lt;FT_Y5,1+INT((BE151-FT_First)/FT_Int1),FT_PreY5+FT_PerYear*INT((BE151-FT_Y5)/12)+FT_AnnivDays+INT(MOD(BE151-FT_Y5,12)/FT_Int2))),IF(AR151="PT",IF(BE151&lt;PT_First,0,1+INT((BE151-PT_First)/PT_Int)),0))-IF(AR151="FT",IF(BG151&lt;FT_First,0,IF(BG151&lt;FT_Y5,1+INT((BG151-FT_First)/FT_Int1),FT_PreY5+FT_PerYear*INT((BG151-FT_Y5)/12)+FT_AnnivDays+INT(MOD(BG151-FT_Y5,12)/FT_Int2))),IF(AR151="PT",IF(BG151&lt;PT_First,0,1+INT((BG151-PT_First)/PT_Int)),0)),0))</f>
        <v/>
      </c>
      <c r="BI151" s="19" t="str">
        <f aca="false">IF(AG151=0,"",IF(AS151="FT",IF(AT151&lt;FT_First,"",IF(AT151&lt;FT_Y5,FT_First+FT_Int1*INT((AT151-FT_First)/FT_Int1),FT_Y5+FT_Int2*INT((AT151-FT_Y5)/FT_Int2))),IF(AS151="PT",IF(AT151&lt;PT_First,"",PT_First+PT_Int*INT((AT151-PT_First)/PT_Int)),"")))</f>
        <v/>
      </c>
      <c r="BJ151" s="0" t="str">
        <f aca="false">IF(LEN($A151&amp;$B151)=0,"",$A151&amp;" "&amp;$B151)</f>
        <v/>
      </c>
    </row>
    <row r="152" customFormat="false" ht="15" hidden="false" customHeight="false" outlineLevel="0" collapsed="false">
      <c r="A152" s="15"/>
      <c r="B152" s="15"/>
      <c r="C152" s="15"/>
      <c r="D152" s="16"/>
      <c r="E152" s="17" t="str">
        <f aca="false">IF(OR(AG152=0,$D152=""),"",DATE(YEAR(AsOfDate)+IF(DATE(YEAR(AsOfDate),MONTH($D152),DAY($D152))&lt;=AsOfDate,1,0),MONTH($D152),DAY($D152)))</f>
        <v/>
      </c>
      <c r="F152" s="16"/>
      <c r="G152" s="16"/>
      <c r="H152" s="16"/>
      <c r="I152" s="16"/>
      <c r="J152" s="16"/>
      <c r="K152" s="17" t="str">
        <f aca="false">IF(AG152=0,"",DATE(YEAR(AsOfDate)+IF(DATE(YEAR(AsOfDate),MONTH(AH152),DAY(AH152))&lt;=AsOfDate,1,0),MONTH(AH152),DAY(AH152)))</f>
        <v/>
      </c>
      <c r="L152" s="18" t="str">
        <f aca="false">IF(AG152=0,"",ROUND((AsOfDate-AH152)/365.25,1))</f>
        <v/>
      </c>
      <c r="M152" s="19" t="str">
        <f aca="false">IF(AG152=0,"",IF(AsOfDate&lt;AH152,"-",DATEDIF(AH152,AsOfDate,"y")&amp;"y "&amp;DATEDIF(AH152,AsOfDate,"ym")&amp;"m "&amp;DATEDIF(AH152,AsOfDate,"md")&amp;"d"))</f>
        <v/>
      </c>
      <c r="N152" s="20" t="str">
        <f aca="false">IF(AG152=0,"",O152*HoursPerDay)</f>
        <v/>
      </c>
      <c r="O152" s="20" t="str">
        <f aca="false">IF(AG152=0,"",AZ152)</f>
        <v/>
      </c>
      <c r="P152" s="21"/>
      <c r="Q152" s="19"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19"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7" t="str">
        <f aca="false">IF(AG152=0,"",IF(AS152="None","",EDATE(AH152,BB152)))</f>
        <v/>
      </c>
      <c r="T152" s="20" t="str">
        <f aca="false">IF(AG152=0,"",IF(NOT(LH_Ready),"",IF(AH152&gt;PFYDate,0,IF(LH_ColPeriod=0,W152-U152+V152,SUMIFS(INDEX(LH_Data,0,LH_ColAcc),INDEX(LH_Data,0,LH_ColFirst),$A152,INDEX(LH_Data,0,LH_ColSur),$B152,INDEX(LH_Data,0,LH_ColCat),BonusCat,INDEX(LH_Data,0,LH_ColPeriod),LH_OpenLabel)*UnitFactor))))</f>
        <v/>
      </c>
      <c r="U152" s="20" t="str">
        <f aca="false">IF(AG152=0,"",IF(NOT(LH_Ready),"",SUMIFS(INDEX(LH_Data,0,LH_ColAcc),INDEX(LH_Data,0,LH_ColFirst),$A152,INDEX(LH_Data,0,LH_ColSur),$B152,INDEX(LH_Data,0,LH_ColCat),BonusCat,INDEX(LH_Data,0,LH_ColStart),"&gt;="&amp;AH152)*UnitFactor))</f>
        <v/>
      </c>
      <c r="V152" s="20" t="str">
        <f aca="false">IF(AG152=0,"",IF(NOT(LH_Ready),"",SUMIFS(INDEX(LH_Data,0,LH_ColTaken),INDEX(LH_Data,0,LH_ColFirst),$A152,INDEX(LH_Data,0,LH_ColSur),$B152,INDEX(LH_Data,0,LH_ColCat),BonusCat,INDEX(LH_Data,0,LH_ColStart),"&gt;="&amp;AH152)*UnitFactor))</f>
        <v/>
      </c>
      <c r="W152" s="20" t="str">
        <f aca="false">IF(AG152=0,"",IF(NOT(LH_Ready),"",IF(BD152=0,0,INDEX(INDEX(LH_Data,0,LH_ColClose),BD152-1)*UnitFactor)))</f>
        <v/>
      </c>
      <c r="X152" s="20" t="str">
        <f aca="false">IF(AG152=0,"",(AZ152-BA152)*HoursPerDay)</f>
        <v/>
      </c>
      <c r="Y152" s="20" t="str">
        <f aca="false">IF(AG152=0,"",IF(NOT(LH_Ready),"",IF(BC152=0,N152,IF(PFYDate&lt;$F152,N152-N(T152)-N(U152),X152-N(U152)))))</f>
        <v/>
      </c>
      <c r="Z152" s="19" t="str">
        <f aca="false">IF(OR(AG152=0,Y152=""),"",IF(Y152&gt;0,"Yes","No"))</f>
        <v/>
      </c>
      <c r="AA152" s="19"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20" t="str">
        <f aca="false">IF(OR(AG152=0,T152=""),"",BA152*HoursPerDay-T152)</f>
        <v/>
      </c>
      <c r="AC152" s="19" t="str">
        <f aca="false">IF(AG152=0,"",BC152)</f>
        <v/>
      </c>
      <c r="AD152" s="19"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20" t="str">
        <f aca="false">IF(AG152=0,"",O152-BH152)</f>
        <v/>
      </c>
      <c r="AF152" s="17" t="str">
        <f aca="false">IF(OR(AG152=0,AE152="",N(AE152)=0,BI152=""),"",EDATE(AH152,BI152))</f>
        <v/>
      </c>
      <c r="AG152" s="19" t="n">
        <f aca="false">IF(OR(LEN($A152&amp;$B152)=0,$F152=""),0,1)</f>
        <v>0</v>
      </c>
      <c r="AH152" s="17" t="str">
        <f aca="false">IF(AG152=0,"",IF($J152&lt;&gt;"",$J152,IF(OR(CasualCounts="Yes",COUNT($G152:$I152)=0,COUNT($H152:$I152)=0),$F152,MIN($H152:$I152))))</f>
        <v/>
      </c>
      <c r="AI152" s="19" t="str">
        <f aca="false">IF(AG152=0,"",COUNT($G152:$I152))</f>
        <v/>
      </c>
      <c r="AJ152" s="17" t="str">
        <f aca="false">IF(AG152=0,"",IFERROR(SMALL($G152:$I152,1),""))</f>
        <v/>
      </c>
      <c r="AK152" s="17" t="str">
        <f aca="false">IF(AG152=0,"",IFERROR(SMALL($G152:$I152,2),""))</f>
        <v/>
      </c>
      <c r="AL152" s="17" t="str">
        <f aca="false">IF(AG152=0,"",IFERROR(SMALL($G152:$I152,3),""))</f>
        <v/>
      </c>
      <c r="AM152" s="19" t="str">
        <f aca="false">IF(AG152=0,"",IF(AJ152="","",IF(AJ152=$H152,"Part-Time",IF(AJ152=$I152,"Full-Time","Casual"))))</f>
        <v/>
      </c>
      <c r="AN152" s="19" t="str">
        <f aca="false">IF(AG152=0,"",IF(AK152="","",IF(AK152=$H152,"Part-Time",IF(AK152=$I152,"Full-Time","Casual"))))</f>
        <v/>
      </c>
      <c r="AO152" s="19" t="str">
        <f aca="false">IF(AG152=0,"",IF(AL152="","",IF(AL152=$H152,"Part-Time",IF(AL152=$I152,"Full-Time","Casual"))))</f>
        <v/>
      </c>
      <c r="AP152" s="19"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19" t="str">
        <f aca="false">IF(AG152=0,"",IF(AI152&lt;2,"",IF(OR(ISNUMBER(SEARCH("full",AN152)),UPPER(TRIM(AN152))="FT",UPPER(TRIM(AN152))="FTE"),"FT",IF(AND(OR(ISNUMBER(SEARCH("part",AN152)),UPPER(TRIM(AN152))="PT",UPPER(TRIM(AN152))="PTE"),OR($P152="",N($P152)&gt;=PT_MinHours)),"PT","None"))))</f>
        <v/>
      </c>
      <c r="AR152" s="19" t="str">
        <f aca="false">IF(AG152=0,"",IF(AI152&lt;3,"",IF(OR(ISNUMBER(SEARCH("full",AO152)),UPPER(TRIM(AO152))="FT",UPPER(TRIM(AO152))="FTE"),"FT",IF(AND(OR(ISNUMBER(SEARCH("part",AO152)),UPPER(TRIM(AO152))="PT",UPPER(TRIM(AO152))="PTE"),OR($P152="",N($P152)&gt;=PT_MinHours)),"PT","None"))))</f>
        <v/>
      </c>
      <c r="AS152" s="19" t="str">
        <f aca="false">IF(AG152=0,"",IF(AND(AI152&gt;=3,AL152&lt;=AsOfDate),AR152,IF(AND(AI152&gt;=2,AK152&lt;=AsOfDate),AQ152,AP152)))</f>
        <v/>
      </c>
      <c r="AT152" s="19" t="str">
        <f aca="false">IF(AG152=0,"",IF(AsOfDate&lt;AH152,-1,12*(YEAR(AsOfDate)-YEAR(AH152))+MONTH(AsOfDate)-MONTH(AH152)-IF(DAY(AsOfDate)&lt;MIN(DAY(AH152),DAY(EOMONTH(AsOfDate,0))),1,0)))</f>
        <v/>
      </c>
      <c r="AU152" s="19" t="str">
        <f aca="false">IF(AG152=0,"",IF(OR(AI152&lt;2,AK152&gt;AsOfDate),AT152,IF((AK152-1)&lt;AH152,-1,12*(YEAR((AK152-1))-YEAR(AH152))+MONTH((AK152-1))-MONTH(AH152)-IF(DAY((AK152-1))&lt;MIN(DAY(AH152),DAY(EOMONTH((AK152-1),0))),1,0))))</f>
        <v/>
      </c>
      <c r="AV152" s="19" t="str">
        <f aca="false">IF(AG152=0,"",IF(OR(AI152&lt;3,AL152&gt;AsOfDate),AT152,IF((AL152-1)&lt;AH152,-1,12*(YEAR((AL152-1))-YEAR(AH152))+MONTH((AL152-1))-MONTH(AH152)-IF(DAY((AL152-1))&lt;MIN(DAY(AH152),DAY(EOMONTH((AL152-1),0))),1,0))))</f>
        <v/>
      </c>
      <c r="AW152" s="19" t="str">
        <f aca="false">IF(AG152=0,"",IF(PFYDate&lt;AH152,-1,12*(YEAR(PFYDate)-YEAR(AH152))+MONTH(PFYDate)-MONTH(AH152)-IF(DAY(PFYDate)&lt;MIN(DAY(AH152),DAY(EOMONTH(PFYDate,0))),1,0)))</f>
        <v/>
      </c>
      <c r="AX152" s="19" t="str">
        <f aca="false">IF(AG152=0,"",IF(OR(AI152&lt;2,AK152&gt;PFYDate),AW152,IF((AK152-1)&lt;AH152,-1,12*(YEAR((AK152-1))-YEAR(AH152))+MONTH((AK152-1))-MONTH(AH152)-IF(DAY((AK152-1))&lt;MIN(DAY(AH152),DAY(EOMONTH((AK152-1),0))),1,0))))</f>
        <v/>
      </c>
      <c r="AY152" s="19" t="str">
        <f aca="false">IF(AG152=0,"",IF(OR(AI152&lt;3,AL152&gt;PFYDate),AW152,IF((AL152-1)&lt;AH152,-1,12*(YEAR((AL152-1))-YEAR(AH152))+MONTH((AL152-1))-MONTH(AH152)-IF(DAY((AL152-1))&lt;MIN(DAY(AH152),DAY(EOMONTH((AL152-1),0))),1,0))))</f>
        <v/>
      </c>
      <c r="AZ152" s="19" t="str">
        <f aca="false">IF(AG152=0,"",IF(AP152="FT",IF(AU152&lt;FT_First,0,IF(AU152&lt;FT_Y5,1+INT((AU152-FT_First)/FT_Int1),FT_PreY5+FT_PerYear*INT((AU152-FT_Y5)/12)+FT_AnnivDays+INT(MOD(AU152-FT_Y5,12)/FT_Int2))),IF(AP152="PT",IF(AU152&lt;PT_First,0,1+INT((AU152-PT_First)/PT_Int)),0))+IF(AND(AI152&gt;=2,AK152&lt;=AsOfDate),IF(AQ152="FT",IF(AV152&lt;FT_First,0,IF(AV152&lt;FT_Y5,1+INT((AV152-FT_First)/FT_Int1),FT_PreY5+FT_PerYear*INT((AV152-FT_Y5)/12)+FT_AnnivDays+INT(MOD(AV152-FT_Y5,12)/FT_Int2))),IF(AQ152="PT",IF(AV152&lt;PT_First,0,1+INT((AV152-PT_First)/PT_Int)),0))-IF(AQ152="FT",IF(AU152&lt;FT_First,0,IF(AU152&lt;FT_Y5,1+INT((AU152-FT_First)/FT_Int1),FT_PreY5+FT_PerYear*INT((AU152-FT_Y5)/12)+FT_AnnivDays+INT(MOD(AU152-FT_Y5,12)/FT_Int2))),IF(AQ152="PT",IF(AU152&lt;PT_First,0,1+INT((AU152-PT_First)/PT_Int)),0)),0)+IF(AND(AI152&gt;=3,AL152&lt;=AsOfDate),IF(AR152="FT",IF(AT152&lt;FT_First,0,IF(AT152&lt;FT_Y5,1+INT((AT152-FT_First)/FT_Int1),FT_PreY5+FT_PerYear*INT((AT152-FT_Y5)/12)+FT_AnnivDays+INT(MOD(AT152-FT_Y5,12)/FT_Int2))),IF(AR152="PT",IF(AT152&lt;PT_First,0,1+INT((AT152-PT_First)/PT_Int)),0))-IF(AR152="FT",IF(AV152&lt;FT_First,0,IF(AV152&lt;FT_Y5,1+INT((AV152-FT_First)/FT_Int1),FT_PreY5+FT_PerYear*INT((AV152-FT_Y5)/12)+FT_AnnivDays+INT(MOD(AV152-FT_Y5,12)/FT_Int2))),IF(AR152="PT",IF(AV152&lt;PT_First,0,1+INT((AV152-PT_First)/PT_Int)),0)),0))</f>
        <v/>
      </c>
      <c r="BA152" s="19" t="str">
        <f aca="false">IF(AG152=0,"",IF(AP152="FT",IF(AX152&lt;FT_First,0,IF(AX152&lt;FT_Y5,1+INT((AX152-FT_First)/FT_Int1),FT_PreY5+FT_PerYear*INT((AX152-FT_Y5)/12)+FT_AnnivDays+INT(MOD(AX152-FT_Y5,12)/FT_Int2))),IF(AP152="PT",IF(AX152&lt;PT_First,0,1+INT((AX152-PT_First)/PT_Int)),0))+IF(AND(AI152&gt;=2,AK152&lt;=PFYDate),IF(AQ152="FT",IF(AY152&lt;FT_First,0,IF(AY152&lt;FT_Y5,1+INT((AY152-FT_First)/FT_Int1),FT_PreY5+FT_PerYear*INT((AY152-FT_Y5)/12)+FT_AnnivDays+INT(MOD(AY152-FT_Y5,12)/FT_Int2))),IF(AQ152="PT",IF(AY152&lt;PT_First,0,1+INT((AY152-PT_First)/PT_Int)),0))-IF(AQ152="FT",IF(AX152&lt;FT_First,0,IF(AX152&lt;FT_Y5,1+INT((AX152-FT_First)/FT_Int1),FT_PreY5+FT_PerYear*INT((AX152-FT_Y5)/12)+FT_AnnivDays+INT(MOD(AX152-FT_Y5,12)/FT_Int2))),IF(AQ152="PT",IF(AX152&lt;PT_First,0,1+INT((AX152-PT_First)/PT_Int)),0)),0)+IF(AND(AI152&gt;=3,AL152&lt;=PFYDate),IF(AR152="FT",IF(AW152&lt;FT_First,0,IF(AW152&lt;FT_Y5,1+INT((AW152-FT_First)/FT_Int1),FT_PreY5+FT_PerYear*INT((AW152-FT_Y5)/12)+FT_AnnivDays+INT(MOD(AW152-FT_Y5,12)/FT_Int2))),IF(AR152="PT",IF(AW152&lt;PT_First,0,1+INT((AW152-PT_First)/PT_Int)),0))-IF(AR152="FT",IF(AY152&lt;FT_First,0,IF(AY152&lt;FT_Y5,1+INT((AY152-FT_First)/FT_Int1),FT_PreY5+FT_PerYear*INT((AY152-FT_Y5)/12)+FT_AnnivDays+INT(MOD(AY152-FT_Y5,12)/FT_Int2))),IF(AR152="PT",IF(AY152&lt;PT_First,0,1+INT((AY152-PT_First)/PT_Int)),0)),0))</f>
        <v/>
      </c>
      <c r="BB152" s="19" t="str">
        <f aca="false">IF(AG152=0,"",IF(AS152="FT",IF(AT152&lt;FT_First,FT_First,IF(AT152&lt;FT_Y5,MIN(FT_Y5,FT_First+FT_Int1*(INT((AT152-FT_First)/FT_Int1)+1)),FT_Y5+12*INT((AT152-FT_Y5)/12)+FT_Int2*(INT(MOD(AT152-FT_Y5,12)/FT_Int2)+1))),IF(AS152="PT",IF(AT152&lt;PT_First,PT_First,PT_First+PT_Int*(INT((AT152-PT_First)/PT_Int)+1)),"")))</f>
        <v/>
      </c>
      <c r="BC152" s="19" t="str">
        <f aca="false">IF(AG152=0,"",IF(NOT(LH_Ready),0,COUNTIFS(INDEX(LH_Data,0,LH_ColFirst),$A152,INDEX(LH_Data,0,LH_ColSur),$B152,INDEX(LH_Data,0,LH_ColCat),BonusCat)))</f>
        <v/>
      </c>
      <c r="BD152" s="19" t="str">
        <f aca="false">IF(AG152=0,"",IF(OR(NOT(LH_Ready),BC152=0),0,SUMPRODUCT(MAX((INDEX(LH_Data,0,LH_ColFirst)=$A152)*(INDEX(LH_Data,0,LH_ColSur)=$B152)*(INDEX(LH_Data,0,LH_ColCat)=BonusCat)*ROW(LH_Data)))))</f>
        <v/>
      </c>
      <c r="BE152" s="19" t="str">
        <f aca="false">IF(AG152=0,"",IF(EOMONTH(AsOfDate,-1)&lt;AH152,-1,12*(YEAR(EOMONTH(AsOfDate,-1))-YEAR(AH152))+MONTH(EOMONTH(AsOfDate,-1))-MONTH(AH152)-IF(DAY(EOMONTH(AsOfDate,-1))&lt;MIN(DAY(AH152),DAY(EOMONTH(EOMONTH(AsOfDate,-1),0))),1,0)))</f>
        <v/>
      </c>
      <c r="BF152" s="19" t="str">
        <f aca="false">IF(AG152=0,"",IF(OR(AI152&lt;2,AK152&gt;EOMONTH(AsOfDate,-1)),BE152,IF((AK152-1)&lt;AH152,-1,12*(YEAR((AK152-1))-YEAR(AH152))+MONTH((AK152-1))-MONTH(AH152)-IF(DAY((AK152-1))&lt;MIN(DAY(AH152),DAY(EOMONTH((AK152-1),0))),1,0))))</f>
        <v/>
      </c>
      <c r="BG152" s="19" t="str">
        <f aca="false">IF(AG152=0,"",IF(OR(AI152&lt;3,AL152&gt;EOMONTH(AsOfDate,-1)),BE152,IF((AL152-1)&lt;AH152,-1,12*(YEAR((AL152-1))-YEAR(AH152))+MONTH((AL152-1))-MONTH(AH152)-IF(DAY((AL152-1))&lt;MIN(DAY(AH152),DAY(EOMONTH((AL152-1),0))),1,0))))</f>
        <v/>
      </c>
      <c r="BH152" s="19" t="str">
        <f aca="false">IF(AG152=0,"",IF(AP152="FT",IF(BF152&lt;FT_First,0,IF(BF152&lt;FT_Y5,1+INT((BF152-FT_First)/FT_Int1),FT_PreY5+FT_PerYear*INT((BF152-FT_Y5)/12)+FT_AnnivDays+INT(MOD(BF152-FT_Y5,12)/FT_Int2))),IF(AP152="PT",IF(BF152&lt;PT_First,0,1+INT((BF152-PT_First)/PT_Int)),0))+IF(AND(AI152&gt;=2,AK152&lt;=EOMONTH(AsOfDate,-1)),IF(AQ152="FT",IF(BG152&lt;FT_First,0,IF(BG152&lt;FT_Y5,1+INT((BG152-FT_First)/FT_Int1),FT_PreY5+FT_PerYear*INT((BG152-FT_Y5)/12)+FT_AnnivDays+INT(MOD(BG152-FT_Y5,12)/FT_Int2))),IF(AQ152="PT",IF(BG152&lt;PT_First,0,1+INT((BG152-PT_First)/PT_Int)),0))-IF(AQ152="FT",IF(BF152&lt;FT_First,0,IF(BF152&lt;FT_Y5,1+INT((BF152-FT_First)/FT_Int1),FT_PreY5+FT_PerYear*INT((BF152-FT_Y5)/12)+FT_AnnivDays+INT(MOD(BF152-FT_Y5,12)/FT_Int2))),IF(AQ152="PT",IF(BF152&lt;PT_First,0,1+INT((BF152-PT_First)/PT_Int)),0)),0)+IF(AND(AI152&gt;=3,AL152&lt;=EOMONTH(AsOfDate,-1)),IF(AR152="FT",IF(BE152&lt;FT_First,0,IF(BE152&lt;FT_Y5,1+INT((BE152-FT_First)/FT_Int1),FT_PreY5+FT_PerYear*INT((BE152-FT_Y5)/12)+FT_AnnivDays+INT(MOD(BE152-FT_Y5,12)/FT_Int2))),IF(AR152="PT",IF(BE152&lt;PT_First,0,1+INT((BE152-PT_First)/PT_Int)),0))-IF(AR152="FT",IF(BG152&lt;FT_First,0,IF(BG152&lt;FT_Y5,1+INT((BG152-FT_First)/FT_Int1),FT_PreY5+FT_PerYear*INT((BG152-FT_Y5)/12)+FT_AnnivDays+INT(MOD(BG152-FT_Y5,12)/FT_Int2))),IF(AR152="PT",IF(BG152&lt;PT_First,0,1+INT((BG152-PT_First)/PT_Int)),0)),0))</f>
        <v/>
      </c>
      <c r="BI152" s="19" t="str">
        <f aca="false">IF(AG152=0,"",IF(AS152="FT",IF(AT152&lt;FT_First,"",IF(AT152&lt;FT_Y5,FT_First+FT_Int1*INT((AT152-FT_First)/FT_Int1),FT_Y5+FT_Int2*INT((AT152-FT_Y5)/FT_Int2))),IF(AS152="PT",IF(AT152&lt;PT_First,"",PT_First+PT_Int*INT((AT152-PT_First)/PT_Int)),"")))</f>
        <v/>
      </c>
      <c r="BJ152" s="0" t="str">
        <f aca="false">IF(LEN($A152&amp;$B152)=0,"",$A152&amp;" "&amp;$B152)</f>
        <v/>
      </c>
    </row>
    <row r="153" customFormat="false" ht="15" hidden="false" customHeight="false" outlineLevel="0" collapsed="false">
      <c r="A153" s="15"/>
      <c r="B153" s="15"/>
      <c r="C153" s="15"/>
      <c r="D153" s="16"/>
      <c r="E153" s="17" t="str">
        <f aca="false">IF(OR(AG153=0,$D153=""),"",DATE(YEAR(AsOfDate)+IF(DATE(YEAR(AsOfDate),MONTH($D153),DAY($D153))&lt;=AsOfDate,1,0),MONTH($D153),DAY($D153)))</f>
        <v/>
      </c>
      <c r="F153" s="16"/>
      <c r="G153" s="16"/>
      <c r="H153" s="16"/>
      <c r="I153" s="16"/>
      <c r="J153" s="16"/>
      <c r="K153" s="17" t="str">
        <f aca="false">IF(AG153=0,"",DATE(YEAR(AsOfDate)+IF(DATE(YEAR(AsOfDate),MONTH(AH153),DAY(AH153))&lt;=AsOfDate,1,0),MONTH(AH153),DAY(AH153)))</f>
        <v/>
      </c>
      <c r="L153" s="18" t="str">
        <f aca="false">IF(AG153=0,"",ROUND((AsOfDate-AH153)/365.25,1))</f>
        <v/>
      </c>
      <c r="M153" s="19" t="str">
        <f aca="false">IF(AG153=0,"",IF(AsOfDate&lt;AH153,"-",DATEDIF(AH153,AsOfDate,"y")&amp;"y "&amp;DATEDIF(AH153,AsOfDate,"ym")&amp;"m "&amp;DATEDIF(AH153,AsOfDate,"md")&amp;"d"))</f>
        <v/>
      </c>
      <c r="N153" s="20" t="str">
        <f aca="false">IF(AG153=0,"",O153*HoursPerDay)</f>
        <v/>
      </c>
      <c r="O153" s="20" t="str">
        <f aca="false">IF(AG153=0,"",AZ153)</f>
        <v/>
      </c>
      <c r="P153" s="21"/>
      <c r="Q153" s="19"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19"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7" t="str">
        <f aca="false">IF(AG153=0,"",IF(AS153="None","",EDATE(AH153,BB153)))</f>
        <v/>
      </c>
      <c r="T153" s="20" t="str">
        <f aca="false">IF(AG153=0,"",IF(NOT(LH_Ready),"",IF(AH153&gt;PFYDate,0,IF(LH_ColPeriod=0,W153-U153+V153,SUMIFS(INDEX(LH_Data,0,LH_ColAcc),INDEX(LH_Data,0,LH_ColFirst),$A153,INDEX(LH_Data,0,LH_ColSur),$B153,INDEX(LH_Data,0,LH_ColCat),BonusCat,INDEX(LH_Data,0,LH_ColPeriod),LH_OpenLabel)*UnitFactor))))</f>
        <v/>
      </c>
      <c r="U153" s="20" t="str">
        <f aca="false">IF(AG153=0,"",IF(NOT(LH_Ready),"",SUMIFS(INDEX(LH_Data,0,LH_ColAcc),INDEX(LH_Data,0,LH_ColFirst),$A153,INDEX(LH_Data,0,LH_ColSur),$B153,INDEX(LH_Data,0,LH_ColCat),BonusCat,INDEX(LH_Data,0,LH_ColStart),"&gt;="&amp;AH153)*UnitFactor))</f>
        <v/>
      </c>
      <c r="V153" s="20" t="str">
        <f aca="false">IF(AG153=0,"",IF(NOT(LH_Ready),"",SUMIFS(INDEX(LH_Data,0,LH_ColTaken),INDEX(LH_Data,0,LH_ColFirst),$A153,INDEX(LH_Data,0,LH_ColSur),$B153,INDEX(LH_Data,0,LH_ColCat),BonusCat,INDEX(LH_Data,0,LH_ColStart),"&gt;="&amp;AH153)*UnitFactor))</f>
        <v/>
      </c>
      <c r="W153" s="20" t="str">
        <f aca="false">IF(AG153=0,"",IF(NOT(LH_Ready),"",IF(BD153=0,0,INDEX(INDEX(LH_Data,0,LH_ColClose),BD153-1)*UnitFactor)))</f>
        <v/>
      </c>
      <c r="X153" s="20" t="str">
        <f aca="false">IF(AG153=0,"",(AZ153-BA153)*HoursPerDay)</f>
        <v/>
      </c>
      <c r="Y153" s="20" t="str">
        <f aca="false">IF(AG153=0,"",IF(NOT(LH_Ready),"",IF(BC153=0,N153,IF(PFYDate&lt;$F153,N153-N(T153)-N(U153),X153-N(U153)))))</f>
        <v/>
      </c>
      <c r="Z153" s="19" t="str">
        <f aca="false">IF(OR(AG153=0,Y153=""),"",IF(Y153&gt;0,"Yes","No"))</f>
        <v/>
      </c>
      <c r="AA153" s="19"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20" t="str">
        <f aca="false">IF(OR(AG153=0,T153=""),"",BA153*HoursPerDay-T153)</f>
        <v/>
      </c>
      <c r="AC153" s="19" t="str">
        <f aca="false">IF(AG153=0,"",BC153)</f>
        <v/>
      </c>
      <c r="AD153" s="19"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20" t="str">
        <f aca="false">IF(AG153=0,"",O153-BH153)</f>
        <v/>
      </c>
      <c r="AF153" s="17" t="str">
        <f aca="false">IF(OR(AG153=0,AE153="",N(AE153)=0,BI153=""),"",EDATE(AH153,BI153))</f>
        <v/>
      </c>
      <c r="AG153" s="19" t="n">
        <f aca="false">IF(OR(LEN($A153&amp;$B153)=0,$F153=""),0,1)</f>
        <v>0</v>
      </c>
      <c r="AH153" s="17" t="str">
        <f aca="false">IF(AG153=0,"",IF($J153&lt;&gt;"",$J153,IF(OR(CasualCounts="Yes",COUNT($G153:$I153)=0,COUNT($H153:$I153)=0),$F153,MIN($H153:$I153))))</f>
        <v/>
      </c>
      <c r="AI153" s="19" t="str">
        <f aca="false">IF(AG153=0,"",COUNT($G153:$I153))</f>
        <v/>
      </c>
      <c r="AJ153" s="17" t="str">
        <f aca="false">IF(AG153=0,"",IFERROR(SMALL($G153:$I153,1),""))</f>
        <v/>
      </c>
      <c r="AK153" s="17" t="str">
        <f aca="false">IF(AG153=0,"",IFERROR(SMALL($G153:$I153,2),""))</f>
        <v/>
      </c>
      <c r="AL153" s="17" t="str">
        <f aca="false">IF(AG153=0,"",IFERROR(SMALL($G153:$I153,3),""))</f>
        <v/>
      </c>
      <c r="AM153" s="19" t="str">
        <f aca="false">IF(AG153=0,"",IF(AJ153="","",IF(AJ153=$H153,"Part-Time",IF(AJ153=$I153,"Full-Time","Casual"))))</f>
        <v/>
      </c>
      <c r="AN153" s="19" t="str">
        <f aca="false">IF(AG153=0,"",IF(AK153="","",IF(AK153=$H153,"Part-Time",IF(AK153=$I153,"Full-Time","Casual"))))</f>
        <v/>
      </c>
      <c r="AO153" s="19" t="str">
        <f aca="false">IF(AG153=0,"",IF(AL153="","",IF(AL153=$H153,"Part-Time",IF(AL153=$I153,"Full-Time","Casual"))))</f>
        <v/>
      </c>
      <c r="AP153" s="19"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19" t="str">
        <f aca="false">IF(AG153=0,"",IF(AI153&lt;2,"",IF(OR(ISNUMBER(SEARCH("full",AN153)),UPPER(TRIM(AN153))="FT",UPPER(TRIM(AN153))="FTE"),"FT",IF(AND(OR(ISNUMBER(SEARCH("part",AN153)),UPPER(TRIM(AN153))="PT",UPPER(TRIM(AN153))="PTE"),OR($P153="",N($P153)&gt;=PT_MinHours)),"PT","None"))))</f>
        <v/>
      </c>
      <c r="AR153" s="19" t="str">
        <f aca="false">IF(AG153=0,"",IF(AI153&lt;3,"",IF(OR(ISNUMBER(SEARCH("full",AO153)),UPPER(TRIM(AO153))="FT",UPPER(TRIM(AO153))="FTE"),"FT",IF(AND(OR(ISNUMBER(SEARCH("part",AO153)),UPPER(TRIM(AO153))="PT",UPPER(TRIM(AO153))="PTE"),OR($P153="",N($P153)&gt;=PT_MinHours)),"PT","None"))))</f>
        <v/>
      </c>
      <c r="AS153" s="19" t="str">
        <f aca="false">IF(AG153=0,"",IF(AND(AI153&gt;=3,AL153&lt;=AsOfDate),AR153,IF(AND(AI153&gt;=2,AK153&lt;=AsOfDate),AQ153,AP153)))</f>
        <v/>
      </c>
      <c r="AT153" s="19" t="str">
        <f aca="false">IF(AG153=0,"",IF(AsOfDate&lt;AH153,-1,12*(YEAR(AsOfDate)-YEAR(AH153))+MONTH(AsOfDate)-MONTH(AH153)-IF(DAY(AsOfDate)&lt;MIN(DAY(AH153),DAY(EOMONTH(AsOfDate,0))),1,0)))</f>
        <v/>
      </c>
      <c r="AU153" s="19" t="str">
        <f aca="false">IF(AG153=0,"",IF(OR(AI153&lt;2,AK153&gt;AsOfDate),AT153,IF((AK153-1)&lt;AH153,-1,12*(YEAR((AK153-1))-YEAR(AH153))+MONTH((AK153-1))-MONTH(AH153)-IF(DAY((AK153-1))&lt;MIN(DAY(AH153),DAY(EOMONTH((AK153-1),0))),1,0))))</f>
        <v/>
      </c>
      <c r="AV153" s="19" t="str">
        <f aca="false">IF(AG153=0,"",IF(OR(AI153&lt;3,AL153&gt;AsOfDate),AT153,IF((AL153-1)&lt;AH153,-1,12*(YEAR((AL153-1))-YEAR(AH153))+MONTH((AL153-1))-MONTH(AH153)-IF(DAY((AL153-1))&lt;MIN(DAY(AH153),DAY(EOMONTH((AL153-1),0))),1,0))))</f>
        <v/>
      </c>
      <c r="AW153" s="19" t="str">
        <f aca="false">IF(AG153=0,"",IF(PFYDate&lt;AH153,-1,12*(YEAR(PFYDate)-YEAR(AH153))+MONTH(PFYDate)-MONTH(AH153)-IF(DAY(PFYDate)&lt;MIN(DAY(AH153),DAY(EOMONTH(PFYDate,0))),1,0)))</f>
        <v/>
      </c>
      <c r="AX153" s="19" t="str">
        <f aca="false">IF(AG153=0,"",IF(OR(AI153&lt;2,AK153&gt;PFYDate),AW153,IF((AK153-1)&lt;AH153,-1,12*(YEAR((AK153-1))-YEAR(AH153))+MONTH((AK153-1))-MONTH(AH153)-IF(DAY((AK153-1))&lt;MIN(DAY(AH153),DAY(EOMONTH((AK153-1),0))),1,0))))</f>
        <v/>
      </c>
      <c r="AY153" s="19" t="str">
        <f aca="false">IF(AG153=0,"",IF(OR(AI153&lt;3,AL153&gt;PFYDate),AW153,IF((AL153-1)&lt;AH153,-1,12*(YEAR((AL153-1))-YEAR(AH153))+MONTH((AL153-1))-MONTH(AH153)-IF(DAY((AL153-1))&lt;MIN(DAY(AH153),DAY(EOMONTH((AL153-1),0))),1,0))))</f>
        <v/>
      </c>
      <c r="AZ153" s="19" t="str">
        <f aca="false">IF(AG153=0,"",IF(AP153="FT",IF(AU153&lt;FT_First,0,IF(AU153&lt;FT_Y5,1+INT((AU153-FT_First)/FT_Int1),FT_PreY5+FT_PerYear*INT((AU153-FT_Y5)/12)+FT_AnnivDays+INT(MOD(AU153-FT_Y5,12)/FT_Int2))),IF(AP153="PT",IF(AU153&lt;PT_First,0,1+INT((AU153-PT_First)/PT_Int)),0))+IF(AND(AI153&gt;=2,AK153&lt;=AsOfDate),IF(AQ153="FT",IF(AV153&lt;FT_First,0,IF(AV153&lt;FT_Y5,1+INT((AV153-FT_First)/FT_Int1),FT_PreY5+FT_PerYear*INT((AV153-FT_Y5)/12)+FT_AnnivDays+INT(MOD(AV153-FT_Y5,12)/FT_Int2))),IF(AQ153="PT",IF(AV153&lt;PT_First,0,1+INT((AV153-PT_First)/PT_Int)),0))-IF(AQ153="FT",IF(AU153&lt;FT_First,0,IF(AU153&lt;FT_Y5,1+INT((AU153-FT_First)/FT_Int1),FT_PreY5+FT_PerYear*INT((AU153-FT_Y5)/12)+FT_AnnivDays+INT(MOD(AU153-FT_Y5,12)/FT_Int2))),IF(AQ153="PT",IF(AU153&lt;PT_First,0,1+INT((AU153-PT_First)/PT_Int)),0)),0)+IF(AND(AI153&gt;=3,AL153&lt;=AsOfDate),IF(AR153="FT",IF(AT153&lt;FT_First,0,IF(AT153&lt;FT_Y5,1+INT((AT153-FT_First)/FT_Int1),FT_PreY5+FT_PerYear*INT((AT153-FT_Y5)/12)+FT_AnnivDays+INT(MOD(AT153-FT_Y5,12)/FT_Int2))),IF(AR153="PT",IF(AT153&lt;PT_First,0,1+INT((AT153-PT_First)/PT_Int)),0))-IF(AR153="FT",IF(AV153&lt;FT_First,0,IF(AV153&lt;FT_Y5,1+INT((AV153-FT_First)/FT_Int1),FT_PreY5+FT_PerYear*INT((AV153-FT_Y5)/12)+FT_AnnivDays+INT(MOD(AV153-FT_Y5,12)/FT_Int2))),IF(AR153="PT",IF(AV153&lt;PT_First,0,1+INT((AV153-PT_First)/PT_Int)),0)),0))</f>
        <v/>
      </c>
      <c r="BA153" s="19" t="str">
        <f aca="false">IF(AG153=0,"",IF(AP153="FT",IF(AX153&lt;FT_First,0,IF(AX153&lt;FT_Y5,1+INT((AX153-FT_First)/FT_Int1),FT_PreY5+FT_PerYear*INT((AX153-FT_Y5)/12)+FT_AnnivDays+INT(MOD(AX153-FT_Y5,12)/FT_Int2))),IF(AP153="PT",IF(AX153&lt;PT_First,0,1+INT((AX153-PT_First)/PT_Int)),0))+IF(AND(AI153&gt;=2,AK153&lt;=PFYDate),IF(AQ153="FT",IF(AY153&lt;FT_First,0,IF(AY153&lt;FT_Y5,1+INT((AY153-FT_First)/FT_Int1),FT_PreY5+FT_PerYear*INT((AY153-FT_Y5)/12)+FT_AnnivDays+INT(MOD(AY153-FT_Y5,12)/FT_Int2))),IF(AQ153="PT",IF(AY153&lt;PT_First,0,1+INT((AY153-PT_First)/PT_Int)),0))-IF(AQ153="FT",IF(AX153&lt;FT_First,0,IF(AX153&lt;FT_Y5,1+INT((AX153-FT_First)/FT_Int1),FT_PreY5+FT_PerYear*INT((AX153-FT_Y5)/12)+FT_AnnivDays+INT(MOD(AX153-FT_Y5,12)/FT_Int2))),IF(AQ153="PT",IF(AX153&lt;PT_First,0,1+INT((AX153-PT_First)/PT_Int)),0)),0)+IF(AND(AI153&gt;=3,AL153&lt;=PFYDate),IF(AR153="FT",IF(AW153&lt;FT_First,0,IF(AW153&lt;FT_Y5,1+INT((AW153-FT_First)/FT_Int1),FT_PreY5+FT_PerYear*INT((AW153-FT_Y5)/12)+FT_AnnivDays+INT(MOD(AW153-FT_Y5,12)/FT_Int2))),IF(AR153="PT",IF(AW153&lt;PT_First,0,1+INT((AW153-PT_First)/PT_Int)),0))-IF(AR153="FT",IF(AY153&lt;FT_First,0,IF(AY153&lt;FT_Y5,1+INT((AY153-FT_First)/FT_Int1),FT_PreY5+FT_PerYear*INT((AY153-FT_Y5)/12)+FT_AnnivDays+INT(MOD(AY153-FT_Y5,12)/FT_Int2))),IF(AR153="PT",IF(AY153&lt;PT_First,0,1+INT((AY153-PT_First)/PT_Int)),0)),0))</f>
        <v/>
      </c>
      <c r="BB153" s="19" t="str">
        <f aca="false">IF(AG153=0,"",IF(AS153="FT",IF(AT153&lt;FT_First,FT_First,IF(AT153&lt;FT_Y5,MIN(FT_Y5,FT_First+FT_Int1*(INT((AT153-FT_First)/FT_Int1)+1)),FT_Y5+12*INT((AT153-FT_Y5)/12)+FT_Int2*(INT(MOD(AT153-FT_Y5,12)/FT_Int2)+1))),IF(AS153="PT",IF(AT153&lt;PT_First,PT_First,PT_First+PT_Int*(INT((AT153-PT_First)/PT_Int)+1)),"")))</f>
        <v/>
      </c>
      <c r="BC153" s="19" t="str">
        <f aca="false">IF(AG153=0,"",IF(NOT(LH_Ready),0,COUNTIFS(INDEX(LH_Data,0,LH_ColFirst),$A153,INDEX(LH_Data,0,LH_ColSur),$B153,INDEX(LH_Data,0,LH_ColCat),BonusCat)))</f>
        <v/>
      </c>
      <c r="BD153" s="19" t="str">
        <f aca="false">IF(AG153=0,"",IF(OR(NOT(LH_Ready),BC153=0),0,SUMPRODUCT(MAX((INDEX(LH_Data,0,LH_ColFirst)=$A153)*(INDEX(LH_Data,0,LH_ColSur)=$B153)*(INDEX(LH_Data,0,LH_ColCat)=BonusCat)*ROW(LH_Data)))))</f>
        <v/>
      </c>
      <c r="BE153" s="19" t="str">
        <f aca="false">IF(AG153=0,"",IF(EOMONTH(AsOfDate,-1)&lt;AH153,-1,12*(YEAR(EOMONTH(AsOfDate,-1))-YEAR(AH153))+MONTH(EOMONTH(AsOfDate,-1))-MONTH(AH153)-IF(DAY(EOMONTH(AsOfDate,-1))&lt;MIN(DAY(AH153),DAY(EOMONTH(EOMONTH(AsOfDate,-1),0))),1,0)))</f>
        <v/>
      </c>
      <c r="BF153" s="19" t="str">
        <f aca="false">IF(AG153=0,"",IF(OR(AI153&lt;2,AK153&gt;EOMONTH(AsOfDate,-1)),BE153,IF((AK153-1)&lt;AH153,-1,12*(YEAR((AK153-1))-YEAR(AH153))+MONTH((AK153-1))-MONTH(AH153)-IF(DAY((AK153-1))&lt;MIN(DAY(AH153),DAY(EOMONTH((AK153-1),0))),1,0))))</f>
        <v/>
      </c>
      <c r="BG153" s="19" t="str">
        <f aca="false">IF(AG153=0,"",IF(OR(AI153&lt;3,AL153&gt;EOMONTH(AsOfDate,-1)),BE153,IF((AL153-1)&lt;AH153,-1,12*(YEAR((AL153-1))-YEAR(AH153))+MONTH((AL153-1))-MONTH(AH153)-IF(DAY((AL153-1))&lt;MIN(DAY(AH153),DAY(EOMONTH((AL153-1),0))),1,0))))</f>
        <v/>
      </c>
      <c r="BH153" s="19" t="str">
        <f aca="false">IF(AG153=0,"",IF(AP153="FT",IF(BF153&lt;FT_First,0,IF(BF153&lt;FT_Y5,1+INT((BF153-FT_First)/FT_Int1),FT_PreY5+FT_PerYear*INT((BF153-FT_Y5)/12)+FT_AnnivDays+INT(MOD(BF153-FT_Y5,12)/FT_Int2))),IF(AP153="PT",IF(BF153&lt;PT_First,0,1+INT((BF153-PT_First)/PT_Int)),0))+IF(AND(AI153&gt;=2,AK153&lt;=EOMONTH(AsOfDate,-1)),IF(AQ153="FT",IF(BG153&lt;FT_First,0,IF(BG153&lt;FT_Y5,1+INT((BG153-FT_First)/FT_Int1),FT_PreY5+FT_PerYear*INT((BG153-FT_Y5)/12)+FT_AnnivDays+INT(MOD(BG153-FT_Y5,12)/FT_Int2))),IF(AQ153="PT",IF(BG153&lt;PT_First,0,1+INT((BG153-PT_First)/PT_Int)),0))-IF(AQ153="FT",IF(BF153&lt;FT_First,0,IF(BF153&lt;FT_Y5,1+INT((BF153-FT_First)/FT_Int1),FT_PreY5+FT_PerYear*INT((BF153-FT_Y5)/12)+FT_AnnivDays+INT(MOD(BF153-FT_Y5,12)/FT_Int2))),IF(AQ153="PT",IF(BF153&lt;PT_First,0,1+INT((BF153-PT_First)/PT_Int)),0)),0)+IF(AND(AI153&gt;=3,AL153&lt;=EOMONTH(AsOfDate,-1)),IF(AR153="FT",IF(BE153&lt;FT_First,0,IF(BE153&lt;FT_Y5,1+INT((BE153-FT_First)/FT_Int1),FT_PreY5+FT_PerYear*INT((BE153-FT_Y5)/12)+FT_AnnivDays+INT(MOD(BE153-FT_Y5,12)/FT_Int2))),IF(AR153="PT",IF(BE153&lt;PT_First,0,1+INT((BE153-PT_First)/PT_Int)),0))-IF(AR153="FT",IF(BG153&lt;FT_First,0,IF(BG153&lt;FT_Y5,1+INT((BG153-FT_First)/FT_Int1),FT_PreY5+FT_PerYear*INT((BG153-FT_Y5)/12)+FT_AnnivDays+INT(MOD(BG153-FT_Y5,12)/FT_Int2))),IF(AR153="PT",IF(BG153&lt;PT_First,0,1+INT((BG153-PT_First)/PT_Int)),0)),0))</f>
        <v/>
      </c>
      <c r="BI153" s="19" t="str">
        <f aca="false">IF(AG153=0,"",IF(AS153="FT",IF(AT153&lt;FT_First,"",IF(AT153&lt;FT_Y5,FT_First+FT_Int1*INT((AT153-FT_First)/FT_Int1),FT_Y5+FT_Int2*INT((AT153-FT_Y5)/FT_Int2))),IF(AS153="PT",IF(AT153&lt;PT_First,"",PT_First+PT_Int*INT((AT153-PT_First)/PT_Int)),"")))</f>
        <v/>
      </c>
      <c r="BJ153" s="0" t="str">
        <f aca="false">IF(LEN($A153&amp;$B153)=0,"",$A153&amp;" "&amp;$B153)</f>
        <v/>
      </c>
    </row>
    <row r="154" customFormat="false" ht="15" hidden="false" customHeight="false" outlineLevel="0" collapsed="false">
      <c r="A154" s="15"/>
      <c r="B154" s="15"/>
      <c r="C154" s="15"/>
      <c r="D154" s="16"/>
      <c r="E154" s="17" t="str">
        <f aca="false">IF(OR(AG154=0,$D154=""),"",DATE(YEAR(AsOfDate)+IF(DATE(YEAR(AsOfDate),MONTH($D154),DAY($D154))&lt;=AsOfDate,1,0),MONTH($D154),DAY($D154)))</f>
        <v/>
      </c>
      <c r="F154" s="16"/>
      <c r="G154" s="16"/>
      <c r="H154" s="16"/>
      <c r="I154" s="16"/>
      <c r="J154" s="16"/>
      <c r="K154" s="17" t="str">
        <f aca="false">IF(AG154=0,"",DATE(YEAR(AsOfDate)+IF(DATE(YEAR(AsOfDate),MONTH(AH154),DAY(AH154))&lt;=AsOfDate,1,0),MONTH(AH154),DAY(AH154)))</f>
        <v/>
      </c>
      <c r="L154" s="18" t="str">
        <f aca="false">IF(AG154=0,"",ROUND((AsOfDate-AH154)/365.25,1))</f>
        <v/>
      </c>
      <c r="M154" s="19" t="str">
        <f aca="false">IF(AG154=0,"",IF(AsOfDate&lt;AH154,"-",DATEDIF(AH154,AsOfDate,"y")&amp;"y "&amp;DATEDIF(AH154,AsOfDate,"ym")&amp;"m "&amp;DATEDIF(AH154,AsOfDate,"md")&amp;"d"))</f>
        <v/>
      </c>
      <c r="N154" s="20" t="str">
        <f aca="false">IF(AG154=0,"",O154*HoursPerDay)</f>
        <v/>
      </c>
      <c r="O154" s="20" t="str">
        <f aca="false">IF(AG154=0,"",AZ154)</f>
        <v/>
      </c>
      <c r="P154" s="21"/>
      <c r="Q154" s="19"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19"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7" t="str">
        <f aca="false">IF(AG154=0,"",IF(AS154="None","",EDATE(AH154,BB154)))</f>
        <v/>
      </c>
      <c r="T154" s="20" t="str">
        <f aca="false">IF(AG154=0,"",IF(NOT(LH_Ready),"",IF(AH154&gt;PFYDate,0,IF(LH_ColPeriod=0,W154-U154+V154,SUMIFS(INDEX(LH_Data,0,LH_ColAcc),INDEX(LH_Data,0,LH_ColFirst),$A154,INDEX(LH_Data,0,LH_ColSur),$B154,INDEX(LH_Data,0,LH_ColCat),BonusCat,INDEX(LH_Data,0,LH_ColPeriod),LH_OpenLabel)*UnitFactor))))</f>
        <v/>
      </c>
      <c r="U154" s="20" t="str">
        <f aca="false">IF(AG154=0,"",IF(NOT(LH_Ready),"",SUMIFS(INDEX(LH_Data,0,LH_ColAcc),INDEX(LH_Data,0,LH_ColFirst),$A154,INDEX(LH_Data,0,LH_ColSur),$B154,INDEX(LH_Data,0,LH_ColCat),BonusCat,INDEX(LH_Data,0,LH_ColStart),"&gt;="&amp;AH154)*UnitFactor))</f>
        <v/>
      </c>
      <c r="V154" s="20" t="str">
        <f aca="false">IF(AG154=0,"",IF(NOT(LH_Ready),"",SUMIFS(INDEX(LH_Data,0,LH_ColTaken),INDEX(LH_Data,0,LH_ColFirst),$A154,INDEX(LH_Data,0,LH_ColSur),$B154,INDEX(LH_Data,0,LH_ColCat),BonusCat,INDEX(LH_Data,0,LH_ColStart),"&gt;="&amp;AH154)*UnitFactor))</f>
        <v/>
      </c>
      <c r="W154" s="20" t="str">
        <f aca="false">IF(AG154=0,"",IF(NOT(LH_Ready),"",IF(BD154=0,0,INDEX(INDEX(LH_Data,0,LH_ColClose),BD154-1)*UnitFactor)))</f>
        <v/>
      </c>
      <c r="X154" s="20" t="str">
        <f aca="false">IF(AG154=0,"",(AZ154-BA154)*HoursPerDay)</f>
        <v/>
      </c>
      <c r="Y154" s="20" t="str">
        <f aca="false">IF(AG154=0,"",IF(NOT(LH_Ready),"",IF(BC154=0,N154,IF(PFYDate&lt;$F154,N154-N(T154)-N(U154),X154-N(U154)))))</f>
        <v/>
      </c>
      <c r="Z154" s="19" t="str">
        <f aca="false">IF(OR(AG154=0,Y154=""),"",IF(Y154&gt;0,"Yes","No"))</f>
        <v/>
      </c>
      <c r="AA154" s="19"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20" t="str">
        <f aca="false">IF(OR(AG154=0,T154=""),"",BA154*HoursPerDay-T154)</f>
        <v/>
      </c>
      <c r="AC154" s="19" t="str">
        <f aca="false">IF(AG154=0,"",BC154)</f>
        <v/>
      </c>
      <c r="AD154" s="19"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20" t="str">
        <f aca="false">IF(AG154=0,"",O154-BH154)</f>
        <v/>
      </c>
      <c r="AF154" s="17" t="str">
        <f aca="false">IF(OR(AG154=0,AE154="",N(AE154)=0,BI154=""),"",EDATE(AH154,BI154))</f>
        <v/>
      </c>
      <c r="AG154" s="19" t="n">
        <f aca="false">IF(OR(LEN($A154&amp;$B154)=0,$F154=""),0,1)</f>
        <v>0</v>
      </c>
      <c r="AH154" s="17" t="str">
        <f aca="false">IF(AG154=0,"",IF($J154&lt;&gt;"",$J154,IF(OR(CasualCounts="Yes",COUNT($G154:$I154)=0,COUNT($H154:$I154)=0),$F154,MIN($H154:$I154))))</f>
        <v/>
      </c>
      <c r="AI154" s="19" t="str">
        <f aca="false">IF(AG154=0,"",COUNT($G154:$I154))</f>
        <v/>
      </c>
      <c r="AJ154" s="17" t="str">
        <f aca="false">IF(AG154=0,"",IFERROR(SMALL($G154:$I154,1),""))</f>
        <v/>
      </c>
      <c r="AK154" s="17" t="str">
        <f aca="false">IF(AG154=0,"",IFERROR(SMALL($G154:$I154,2),""))</f>
        <v/>
      </c>
      <c r="AL154" s="17" t="str">
        <f aca="false">IF(AG154=0,"",IFERROR(SMALL($G154:$I154,3),""))</f>
        <v/>
      </c>
      <c r="AM154" s="19" t="str">
        <f aca="false">IF(AG154=0,"",IF(AJ154="","",IF(AJ154=$H154,"Part-Time",IF(AJ154=$I154,"Full-Time","Casual"))))</f>
        <v/>
      </c>
      <c r="AN154" s="19" t="str">
        <f aca="false">IF(AG154=0,"",IF(AK154="","",IF(AK154=$H154,"Part-Time",IF(AK154=$I154,"Full-Time","Casual"))))</f>
        <v/>
      </c>
      <c r="AO154" s="19" t="str">
        <f aca="false">IF(AG154=0,"",IF(AL154="","",IF(AL154=$H154,"Part-Time",IF(AL154=$I154,"Full-Time","Casual"))))</f>
        <v/>
      </c>
      <c r="AP154" s="19"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19" t="str">
        <f aca="false">IF(AG154=0,"",IF(AI154&lt;2,"",IF(OR(ISNUMBER(SEARCH("full",AN154)),UPPER(TRIM(AN154))="FT",UPPER(TRIM(AN154))="FTE"),"FT",IF(AND(OR(ISNUMBER(SEARCH("part",AN154)),UPPER(TRIM(AN154))="PT",UPPER(TRIM(AN154))="PTE"),OR($P154="",N($P154)&gt;=PT_MinHours)),"PT","None"))))</f>
        <v/>
      </c>
      <c r="AR154" s="19" t="str">
        <f aca="false">IF(AG154=0,"",IF(AI154&lt;3,"",IF(OR(ISNUMBER(SEARCH("full",AO154)),UPPER(TRIM(AO154))="FT",UPPER(TRIM(AO154))="FTE"),"FT",IF(AND(OR(ISNUMBER(SEARCH("part",AO154)),UPPER(TRIM(AO154))="PT",UPPER(TRIM(AO154))="PTE"),OR($P154="",N($P154)&gt;=PT_MinHours)),"PT","None"))))</f>
        <v/>
      </c>
      <c r="AS154" s="19" t="str">
        <f aca="false">IF(AG154=0,"",IF(AND(AI154&gt;=3,AL154&lt;=AsOfDate),AR154,IF(AND(AI154&gt;=2,AK154&lt;=AsOfDate),AQ154,AP154)))</f>
        <v/>
      </c>
      <c r="AT154" s="19" t="str">
        <f aca="false">IF(AG154=0,"",IF(AsOfDate&lt;AH154,-1,12*(YEAR(AsOfDate)-YEAR(AH154))+MONTH(AsOfDate)-MONTH(AH154)-IF(DAY(AsOfDate)&lt;MIN(DAY(AH154),DAY(EOMONTH(AsOfDate,0))),1,0)))</f>
        <v/>
      </c>
      <c r="AU154" s="19" t="str">
        <f aca="false">IF(AG154=0,"",IF(OR(AI154&lt;2,AK154&gt;AsOfDate),AT154,IF((AK154-1)&lt;AH154,-1,12*(YEAR((AK154-1))-YEAR(AH154))+MONTH((AK154-1))-MONTH(AH154)-IF(DAY((AK154-1))&lt;MIN(DAY(AH154),DAY(EOMONTH((AK154-1),0))),1,0))))</f>
        <v/>
      </c>
      <c r="AV154" s="19" t="str">
        <f aca="false">IF(AG154=0,"",IF(OR(AI154&lt;3,AL154&gt;AsOfDate),AT154,IF((AL154-1)&lt;AH154,-1,12*(YEAR((AL154-1))-YEAR(AH154))+MONTH((AL154-1))-MONTH(AH154)-IF(DAY((AL154-1))&lt;MIN(DAY(AH154),DAY(EOMONTH((AL154-1),0))),1,0))))</f>
        <v/>
      </c>
      <c r="AW154" s="19" t="str">
        <f aca="false">IF(AG154=0,"",IF(PFYDate&lt;AH154,-1,12*(YEAR(PFYDate)-YEAR(AH154))+MONTH(PFYDate)-MONTH(AH154)-IF(DAY(PFYDate)&lt;MIN(DAY(AH154),DAY(EOMONTH(PFYDate,0))),1,0)))</f>
        <v/>
      </c>
      <c r="AX154" s="19" t="str">
        <f aca="false">IF(AG154=0,"",IF(OR(AI154&lt;2,AK154&gt;PFYDate),AW154,IF((AK154-1)&lt;AH154,-1,12*(YEAR((AK154-1))-YEAR(AH154))+MONTH((AK154-1))-MONTH(AH154)-IF(DAY((AK154-1))&lt;MIN(DAY(AH154),DAY(EOMONTH((AK154-1),0))),1,0))))</f>
        <v/>
      </c>
      <c r="AY154" s="19" t="str">
        <f aca="false">IF(AG154=0,"",IF(OR(AI154&lt;3,AL154&gt;PFYDate),AW154,IF((AL154-1)&lt;AH154,-1,12*(YEAR((AL154-1))-YEAR(AH154))+MONTH((AL154-1))-MONTH(AH154)-IF(DAY((AL154-1))&lt;MIN(DAY(AH154),DAY(EOMONTH((AL154-1),0))),1,0))))</f>
        <v/>
      </c>
      <c r="AZ154" s="19" t="str">
        <f aca="false">IF(AG154=0,"",IF(AP154="FT",IF(AU154&lt;FT_First,0,IF(AU154&lt;FT_Y5,1+INT((AU154-FT_First)/FT_Int1),FT_PreY5+FT_PerYear*INT((AU154-FT_Y5)/12)+FT_AnnivDays+INT(MOD(AU154-FT_Y5,12)/FT_Int2))),IF(AP154="PT",IF(AU154&lt;PT_First,0,1+INT((AU154-PT_First)/PT_Int)),0))+IF(AND(AI154&gt;=2,AK154&lt;=AsOfDate),IF(AQ154="FT",IF(AV154&lt;FT_First,0,IF(AV154&lt;FT_Y5,1+INT((AV154-FT_First)/FT_Int1),FT_PreY5+FT_PerYear*INT((AV154-FT_Y5)/12)+FT_AnnivDays+INT(MOD(AV154-FT_Y5,12)/FT_Int2))),IF(AQ154="PT",IF(AV154&lt;PT_First,0,1+INT((AV154-PT_First)/PT_Int)),0))-IF(AQ154="FT",IF(AU154&lt;FT_First,0,IF(AU154&lt;FT_Y5,1+INT((AU154-FT_First)/FT_Int1),FT_PreY5+FT_PerYear*INT((AU154-FT_Y5)/12)+FT_AnnivDays+INT(MOD(AU154-FT_Y5,12)/FT_Int2))),IF(AQ154="PT",IF(AU154&lt;PT_First,0,1+INT((AU154-PT_First)/PT_Int)),0)),0)+IF(AND(AI154&gt;=3,AL154&lt;=AsOfDate),IF(AR154="FT",IF(AT154&lt;FT_First,0,IF(AT154&lt;FT_Y5,1+INT((AT154-FT_First)/FT_Int1),FT_PreY5+FT_PerYear*INT((AT154-FT_Y5)/12)+FT_AnnivDays+INT(MOD(AT154-FT_Y5,12)/FT_Int2))),IF(AR154="PT",IF(AT154&lt;PT_First,0,1+INT((AT154-PT_First)/PT_Int)),0))-IF(AR154="FT",IF(AV154&lt;FT_First,0,IF(AV154&lt;FT_Y5,1+INT((AV154-FT_First)/FT_Int1),FT_PreY5+FT_PerYear*INT((AV154-FT_Y5)/12)+FT_AnnivDays+INT(MOD(AV154-FT_Y5,12)/FT_Int2))),IF(AR154="PT",IF(AV154&lt;PT_First,0,1+INT((AV154-PT_First)/PT_Int)),0)),0))</f>
        <v/>
      </c>
      <c r="BA154" s="19" t="str">
        <f aca="false">IF(AG154=0,"",IF(AP154="FT",IF(AX154&lt;FT_First,0,IF(AX154&lt;FT_Y5,1+INT((AX154-FT_First)/FT_Int1),FT_PreY5+FT_PerYear*INT((AX154-FT_Y5)/12)+FT_AnnivDays+INT(MOD(AX154-FT_Y5,12)/FT_Int2))),IF(AP154="PT",IF(AX154&lt;PT_First,0,1+INT((AX154-PT_First)/PT_Int)),0))+IF(AND(AI154&gt;=2,AK154&lt;=PFYDate),IF(AQ154="FT",IF(AY154&lt;FT_First,0,IF(AY154&lt;FT_Y5,1+INT((AY154-FT_First)/FT_Int1),FT_PreY5+FT_PerYear*INT((AY154-FT_Y5)/12)+FT_AnnivDays+INT(MOD(AY154-FT_Y5,12)/FT_Int2))),IF(AQ154="PT",IF(AY154&lt;PT_First,0,1+INT((AY154-PT_First)/PT_Int)),0))-IF(AQ154="FT",IF(AX154&lt;FT_First,0,IF(AX154&lt;FT_Y5,1+INT((AX154-FT_First)/FT_Int1),FT_PreY5+FT_PerYear*INT((AX154-FT_Y5)/12)+FT_AnnivDays+INT(MOD(AX154-FT_Y5,12)/FT_Int2))),IF(AQ154="PT",IF(AX154&lt;PT_First,0,1+INT((AX154-PT_First)/PT_Int)),0)),0)+IF(AND(AI154&gt;=3,AL154&lt;=PFYDate),IF(AR154="FT",IF(AW154&lt;FT_First,0,IF(AW154&lt;FT_Y5,1+INT((AW154-FT_First)/FT_Int1),FT_PreY5+FT_PerYear*INT((AW154-FT_Y5)/12)+FT_AnnivDays+INT(MOD(AW154-FT_Y5,12)/FT_Int2))),IF(AR154="PT",IF(AW154&lt;PT_First,0,1+INT((AW154-PT_First)/PT_Int)),0))-IF(AR154="FT",IF(AY154&lt;FT_First,0,IF(AY154&lt;FT_Y5,1+INT((AY154-FT_First)/FT_Int1),FT_PreY5+FT_PerYear*INT((AY154-FT_Y5)/12)+FT_AnnivDays+INT(MOD(AY154-FT_Y5,12)/FT_Int2))),IF(AR154="PT",IF(AY154&lt;PT_First,0,1+INT((AY154-PT_First)/PT_Int)),0)),0))</f>
        <v/>
      </c>
      <c r="BB154" s="19" t="str">
        <f aca="false">IF(AG154=0,"",IF(AS154="FT",IF(AT154&lt;FT_First,FT_First,IF(AT154&lt;FT_Y5,MIN(FT_Y5,FT_First+FT_Int1*(INT((AT154-FT_First)/FT_Int1)+1)),FT_Y5+12*INT((AT154-FT_Y5)/12)+FT_Int2*(INT(MOD(AT154-FT_Y5,12)/FT_Int2)+1))),IF(AS154="PT",IF(AT154&lt;PT_First,PT_First,PT_First+PT_Int*(INT((AT154-PT_First)/PT_Int)+1)),"")))</f>
        <v/>
      </c>
      <c r="BC154" s="19" t="str">
        <f aca="false">IF(AG154=0,"",IF(NOT(LH_Ready),0,COUNTIFS(INDEX(LH_Data,0,LH_ColFirst),$A154,INDEX(LH_Data,0,LH_ColSur),$B154,INDEX(LH_Data,0,LH_ColCat),BonusCat)))</f>
        <v/>
      </c>
      <c r="BD154" s="19" t="str">
        <f aca="false">IF(AG154=0,"",IF(OR(NOT(LH_Ready),BC154=0),0,SUMPRODUCT(MAX((INDEX(LH_Data,0,LH_ColFirst)=$A154)*(INDEX(LH_Data,0,LH_ColSur)=$B154)*(INDEX(LH_Data,0,LH_ColCat)=BonusCat)*ROW(LH_Data)))))</f>
        <v/>
      </c>
      <c r="BE154" s="19" t="str">
        <f aca="false">IF(AG154=0,"",IF(EOMONTH(AsOfDate,-1)&lt;AH154,-1,12*(YEAR(EOMONTH(AsOfDate,-1))-YEAR(AH154))+MONTH(EOMONTH(AsOfDate,-1))-MONTH(AH154)-IF(DAY(EOMONTH(AsOfDate,-1))&lt;MIN(DAY(AH154),DAY(EOMONTH(EOMONTH(AsOfDate,-1),0))),1,0)))</f>
        <v/>
      </c>
      <c r="BF154" s="19" t="str">
        <f aca="false">IF(AG154=0,"",IF(OR(AI154&lt;2,AK154&gt;EOMONTH(AsOfDate,-1)),BE154,IF((AK154-1)&lt;AH154,-1,12*(YEAR((AK154-1))-YEAR(AH154))+MONTH((AK154-1))-MONTH(AH154)-IF(DAY((AK154-1))&lt;MIN(DAY(AH154),DAY(EOMONTH((AK154-1),0))),1,0))))</f>
        <v/>
      </c>
      <c r="BG154" s="19" t="str">
        <f aca="false">IF(AG154=0,"",IF(OR(AI154&lt;3,AL154&gt;EOMONTH(AsOfDate,-1)),BE154,IF((AL154-1)&lt;AH154,-1,12*(YEAR((AL154-1))-YEAR(AH154))+MONTH((AL154-1))-MONTH(AH154)-IF(DAY((AL154-1))&lt;MIN(DAY(AH154),DAY(EOMONTH((AL154-1),0))),1,0))))</f>
        <v/>
      </c>
      <c r="BH154" s="19" t="str">
        <f aca="false">IF(AG154=0,"",IF(AP154="FT",IF(BF154&lt;FT_First,0,IF(BF154&lt;FT_Y5,1+INT((BF154-FT_First)/FT_Int1),FT_PreY5+FT_PerYear*INT((BF154-FT_Y5)/12)+FT_AnnivDays+INT(MOD(BF154-FT_Y5,12)/FT_Int2))),IF(AP154="PT",IF(BF154&lt;PT_First,0,1+INT((BF154-PT_First)/PT_Int)),0))+IF(AND(AI154&gt;=2,AK154&lt;=EOMONTH(AsOfDate,-1)),IF(AQ154="FT",IF(BG154&lt;FT_First,0,IF(BG154&lt;FT_Y5,1+INT((BG154-FT_First)/FT_Int1),FT_PreY5+FT_PerYear*INT((BG154-FT_Y5)/12)+FT_AnnivDays+INT(MOD(BG154-FT_Y5,12)/FT_Int2))),IF(AQ154="PT",IF(BG154&lt;PT_First,0,1+INT((BG154-PT_First)/PT_Int)),0))-IF(AQ154="FT",IF(BF154&lt;FT_First,0,IF(BF154&lt;FT_Y5,1+INT((BF154-FT_First)/FT_Int1),FT_PreY5+FT_PerYear*INT((BF154-FT_Y5)/12)+FT_AnnivDays+INT(MOD(BF154-FT_Y5,12)/FT_Int2))),IF(AQ154="PT",IF(BF154&lt;PT_First,0,1+INT((BF154-PT_First)/PT_Int)),0)),0)+IF(AND(AI154&gt;=3,AL154&lt;=EOMONTH(AsOfDate,-1)),IF(AR154="FT",IF(BE154&lt;FT_First,0,IF(BE154&lt;FT_Y5,1+INT((BE154-FT_First)/FT_Int1),FT_PreY5+FT_PerYear*INT((BE154-FT_Y5)/12)+FT_AnnivDays+INT(MOD(BE154-FT_Y5,12)/FT_Int2))),IF(AR154="PT",IF(BE154&lt;PT_First,0,1+INT((BE154-PT_First)/PT_Int)),0))-IF(AR154="FT",IF(BG154&lt;FT_First,0,IF(BG154&lt;FT_Y5,1+INT((BG154-FT_First)/FT_Int1),FT_PreY5+FT_PerYear*INT((BG154-FT_Y5)/12)+FT_AnnivDays+INT(MOD(BG154-FT_Y5,12)/FT_Int2))),IF(AR154="PT",IF(BG154&lt;PT_First,0,1+INT((BG154-PT_First)/PT_Int)),0)),0))</f>
        <v/>
      </c>
      <c r="BI154" s="19" t="str">
        <f aca="false">IF(AG154=0,"",IF(AS154="FT",IF(AT154&lt;FT_First,"",IF(AT154&lt;FT_Y5,FT_First+FT_Int1*INT((AT154-FT_First)/FT_Int1),FT_Y5+FT_Int2*INT((AT154-FT_Y5)/FT_Int2))),IF(AS154="PT",IF(AT154&lt;PT_First,"",PT_First+PT_Int*INT((AT154-PT_First)/PT_Int)),"")))</f>
        <v/>
      </c>
      <c r="BJ154" s="0" t="str">
        <f aca="false">IF(LEN($A154&amp;$B154)=0,"",$A154&amp;" "&amp;$B154)</f>
        <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Z5:Z154">
    <cfRule type="expression" priority="6" aboveAverage="0" equalAverage="0" bottom="0" percent="0" rank="0" text="" dxfId="14">
      <formula>Z5="Yes"</formula>
    </cfRule>
  </conditionalFormatting>
  <conditionalFormatting sqref="AE5:AE154">
    <cfRule type="expression" priority="7" aboveAverage="0" equalAverage="0" bottom="0" percent="0" rank="0" text="" dxfId="14">
      <formula>AE5&gt;0</formula>
    </cfRule>
  </conditionalFormatting>
  <conditionalFormatting sqref="R5:R154">
    <cfRule type="expression" priority="8" aboveAverage="0" equalAverage="0" bottom="0" percent="0" rank="0" text="" dxfId="15">
      <formula>LEFT(R5,3)="Yes"</formula>
    </cfRule>
  </conditionalFormatting>
  <conditionalFormatting sqref="Q5:Q154">
    <cfRule type="expression" priority="9" aboveAverage="0" equalAverage="0" bottom="0" percent="0" rank="0" text="" dxfId="16">
      <formula>Q5&lt;&gt;""</formula>
    </cfRule>
  </conditionalFormatting>
  <conditionalFormatting sqref="AD5:AD154">
    <cfRule type="expression" priority="10" aboveAverage="0" equalAverage="0" bottom="0" percent="0" rank="0" text="" dxfId="17">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8" t="s">
        <v>278</v>
      </c>
      <c r="B1" s="8" t="s">
        <v>279</v>
      </c>
      <c r="C1" s="8" t="s">
        <v>280</v>
      </c>
      <c r="D1" s="8" t="s">
        <v>75</v>
      </c>
      <c r="E1" s="8" t="s">
        <v>281</v>
      </c>
      <c r="F1" s="8" t="s">
        <v>282</v>
      </c>
      <c r="G1" s="8" t="s">
        <v>283</v>
      </c>
      <c r="H1" s="8" t="s">
        <v>284</v>
      </c>
      <c r="I1" s="8" t="s">
        <v>285</v>
      </c>
      <c r="J1" s="8" t="s">
        <v>286</v>
      </c>
      <c r="K1" s="8" t="s">
        <v>287</v>
      </c>
      <c r="L1" s="8" t="s">
        <v>288</v>
      </c>
      <c r="N1" s="22" t="s">
        <v>289</v>
      </c>
      <c r="O1" s="22" t="s">
        <v>290</v>
      </c>
    </row>
    <row r="2" customFormat="false" ht="15" hidden="false" customHeight="false" outlineLevel="0" collapsed="false">
      <c r="A2" s="0" t="n">
        <v>4745756</v>
      </c>
      <c r="B2" s="0" t="s">
        <v>291</v>
      </c>
      <c r="C2" s="0" t="s">
        <v>292</v>
      </c>
      <c r="D2" s="0" t="s">
        <v>293</v>
      </c>
      <c r="E2" s="0" t="s">
        <v>294</v>
      </c>
      <c r="F2" s="0" t="n">
        <v>0</v>
      </c>
      <c r="G2" s="0" t="n">
        <v>0</v>
      </c>
      <c r="H2" s="0" t="s">
        <v>295</v>
      </c>
      <c r="J2" s="0" t="n">
        <v>8</v>
      </c>
      <c r="K2" s="0" t="n">
        <v>0</v>
      </c>
      <c r="L2" s="0" t="s">
        <v>296</v>
      </c>
      <c r="N2" s="7" t="str">
        <f aca="false">IF(H2="","",IFERROR(LEFT(H2,FIND(" ",H2)-1),H2))</f>
        <v>Opening</v>
      </c>
      <c r="O2" s="23" t="n">
        <f aca="false">IFERROR(DATE(VALUE(MID(N2,FIND("/",N2,FIND("/",N2)+1)+1,4)),VALUE(MID(N2,FIND("/",N2)+1,FIND("/",N2,FIND("/",N2)+1)-FIND("/",N2)-1)),VALUE(LEFT(N2,FIND("/",N2)-1))),0)</f>
        <v>0</v>
      </c>
      <c r="Q2" s="7" t="s">
        <v>297</v>
      </c>
    </row>
    <row r="3" customFormat="false" ht="15" hidden="false" customHeight="false" outlineLevel="0" collapsed="false">
      <c r="A3" s="0" t="n">
        <v>4745756</v>
      </c>
      <c r="B3" s="0" t="s">
        <v>291</v>
      </c>
      <c r="C3" s="0" t="s">
        <v>292</v>
      </c>
      <c r="D3" s="0" t="s">
        <v>293</v>
      </c>
      <c r="E3" s="0" t="s">
        <v>294</v>
      </c>
      <c r="F3" s="0" t="n">
        <v>0</v>
      </c>
      <c r="G3" s="0" t="n">
        <v>0</v>
      </c>
      <c r="H3" s="0" t="s">
        <v>298</v>
      </c>
      <c r="J3" s="0" t="n">
        <v>8</v>
      </c>
      <c r="K3" s="0" t="n">
        <v>0</v>
      </c>
      <c r="L3" s="0" t="s">
        <v>296</v>
      </c>
      <c r="N3" s="0" t="str">
        <f aca="false">IF(H3="","",IFERROR(LEFT(H3,FIND(" ",H3)-1),H3))</f>
        <v>10/9/2022</v>
      </c>
      <c r="O3" s="23" t="n">
        <f aca="false">IFERROR(DATE(VALUE(MID(N3,FIND("/",N3,FIND("/",N3)+1)+1,4)),VALUE(MID(N3,FIND("/",N3)+1,FIND("/",N3,FIND("/",N3)+1)-FIND("/",N3)-1)),VALUE(LEFT(N3,FIND("/",N3)-1))),0)</f>
        <v>44814</v>
      </c>
    </row>
    <row r="4" customFormat="false" ht="15" hidden="false" customHeight="false" outlineLevel="0" collapsed="false">
      <c r="A4" s="0" t="n">
        <v>4745756</v>
      </c>
      <c r="B4" s="0" t="s">
        <v>291</v>
      </c>
      <c r="C4" s="0" t="s">
        <v>292</v>
      </c>
      <c r="D4" s="0" t="s">
        <v>293</v>
      </c>
      <c r="E4" s="0" t="s">
        <v>294</v>
      </c>
      <c r="F4" s="0" t="n">
        <v>0</v>
      </c>
      <c r="G4" s="0" t="n">
        <v>0</v>
      </c>
      <c r="H4" s="0" t="s">
        <v>299</v>
      </c>
      <c r="J4" s="0" t="n">
        <v>0</v>
      </c>
      <c r="K4" s="0" t="n">
        <v>16</v>
      </c>
      <c r="L4" s="0" t="s">
        <v>296</v>
      </c>
      <c r="N4" s="0" t="str">
        <f aca="false">IF(H4="","",IFERROR(LEFT(H4,FIND(" ",H4)-1),H4))</f>
        <v>8/10/2022</v>
      </c>
      <c r="O4" s="23" t="n">
        <f aca="false">IFERROR(DATE(VALUE(MID(N4,FIND("/",N4,FIND("/",N4)+1)+1,4)),VALUE(MID(N4,FIND("/",N4)+1,FIND("/",N4,FIND("/",N4)+1)-FIND("/",N4)-1)),VALUE(LEFT(N4,FIND("/",N4)-1))),0)</f>
        <v>44842</v>
      </c>
    </row>
    <row r="5" customFormat="false" ht="15" hidden="false" customHeight="false" outlineLevel="0" collapsed="false">
      <c r="A5" s="0" t="n">
        <v>4746000</v>
      </c>
      <c r="B5" s="0" t="s">
        <v>300</v>
      </c>
      <c r="C5" s="0" t="s">
        <v>301</v>
      </c>
      <c r="D5" s="0" t="s">
        <v>302</v>
      </c>
      <c r="E5" s="0" t="s">
        <v>294</v>
      </c>
      <c r="F5" s="0" t="n">
        <v>0</v>
      </c>
      <c r="G5" s="0" t="n">
        <v>0</v>
      </c>
      <c r="H5" s="0" t="s">
        <v>303</v>
      </c>
      <c r="I5" s="0" t="s">
        <v>304</v>
      </c>
      <c r="J5" s="0" t="n">
        <v>8</v>
      </c>
      <c r="K5" s="0" t="n">
        <v>0</v>
      </c>
      <c r="L5" s="0" t="s">
        <v>296</v>
      </c>
      <c r="N5" s="0" t="str">
        <f aca="false">IF(H5="","",IFERROR(LEFT(H5,FIND(" ",H5)-1),H5))</f>
        <v>24/8/2024</v>
      </c>
      <c r="O5" s="23" t="n">
        <f aca="false">IFERROR(DATE(VALUE(MID(N5,FIND("/",N5,FIND("/",N5)+1)+1,4)),VALUE(MID(N5,FIND("/",N5)+1,FIND("/",N5,FIND("/",N5)+1)-FIND("/",N5)-1)),VALUE(LEFT(N5,FIND("/",N5)-1))),0)</f>
        <v>45528</v>
      </c>
    </row>
    <row r="6" customFormat="false" ht="15" hidden="false" customHeight="false" outlineLevel="0" collapsed="false">
      <c r="A6" s="0" t="n">
        <v>4746000</v>
      </c>
      <c r="B6" s="0" t="s">
        <v>300</v>
      </c>
      <c r="C6" s="0" t="s">
        <v>301</v>
      </c>
      <c r="D6" s="0" t="s">
        <v>302</v>
      </c>
      <c r="E6" s="0" t="s">
        <v>294</v>
      </c>
      <c r="F6" s="0" t="n">
        <v>0</v>
      </c>
      <c r="G6" s="0" t="n">
        <v>0</v>
      </c>
      <c r="H6" s="0" t="s">
        <v>305</v>
      </c>
      <c r="I6" s="0" t="s">
        <v>306</v>
      </c>
      <c r="J6" s="0" t="n">
        <v>8</v>
      </c>
      <c r="K6" s="0" t="n">
        <v>0</v>
      </c>
      <c r="L6" s="0" t="s">
        <v>296</v>
      </c>
      <c r="N6" s="0" t="str">
        <f aca="false">IF(H6="","",IFERROR(LEFT(H6,FIND(" ",H6)-1),H6))</f>
        <v>14/12/2024</v>
      </c>
      <c r="O6" s="23" t="n">
        <f aca="false">IFERROR(DATE(VALUE(MID(N6,FIND("/",N6,FIND("/",N6)+1)+1,4)),VALUE(MID(N6,FIND("/",N6)+1,FIND("/",N6,FIND("/",N6)+1)-FIND("/",N6)-1)),VALUE(LEFT(N6,FIND("/",N6)-1))),0)</f>
        <v>45640</v>
      </c>
    </row>
    <row r="7" customFormat="false" ht="15" hidden="false" customHeight="false" outlineLevel="0" collapsed="false">
      <c r="A7" s="0" t="n">
        <v>4746000</v>
      </c>
      <c r="B7" s="0" t="s">
        <v>300</v>
      </c>
      <c r="C7" s="0" t="s">
        <v>301</v>
      </c>
      <c r="D7" s="0" t="s">
        <v>302</v>
      </c>
      <c r="E7" s="0" t="s">
        <v>294</v>
      </c>
      <c r="F7" s="0" t="n">
        <v>0</v>
      </c>
      <c r="G7" s="0" t="n">
        <v>0</v>
      </c>
      <c r="H7" s="0" t="s">
        <v>307</v>
      </c>
      <c r="I7" s="0" t="s">
        <v>308</v>
      </c>
      <c r="J7" s="0" t="n">
        <v>0</v>
      </c>
      <c r="K7" s="0" t="n">
        <v>3</v>
      </c>
      <c r="L7" s="0" t="s">
        <v>296</v>
      </c>
      <c r="N7" s="0" t="str">
        <f aca="false">IF(H7="","",IFERROR(LEFT(H7,FIND(" ",H7)-1),H7))</f>
        <v>5/4/2025</v>
      </c>
      <c r="O7" s="23" t="n">
        <f aca="false">IFERROR(DATE(VALUE(MID(N7,FIND("/",N7,FIND("/",N7)+1)+1,4)),VALUE(MID(N7,FIND("/",N7)+1,FIND("/",N7,FIND("/",N7)+1)-FIND("/",N7)-1)),VALUE(LEFT(N7,FIND("/",N7)-1))),0)</f>
        <v>45752</v>
      </c>
    </row>
    <row r="8" customFormat="false" ht="15" hidden="false" customHeight="false" outlineLevel="0" collapsed="false">
      <c r="A8" s="0" t="n">
        <v>4746000</v>
      </c>
      <c r="B8" s="0" t="s">
        <v>300</v>
      </c>
      <c r="C8" s="0" t="s">
        <v>301</v>
      </c>
      <c r="D8" s="0" t="s">
        <v>302</v>
      </c>
      <c r="E8" s="0" t="s">
        <v>294</v>
      </c>
      <c r="F8" s="0" t="n">
        <v>0</v>
      </c>
      <c r="G8" s="0" t="n">
        <v>0</v>
      </c>
      <c r="H8" s="0" t="s">
        <v>307</v>
      </c>
      <c r="I8" s="0" t="s">
        <v>309</v>
      </c>
      <c r="J8" s="0" t="n">
        <v>0</v>
      </c>
      <c r="K8" s="0" t="n">
        <v>3</v>
      </c>
      <c r="L8" s="0" t="s">
        <v>296</v>
      </c>
      <c r="N8" s="0" t="str">
        <f aca="false">IF(H8="","",IFERROR(LEFT(H8,FIND(" ",H8)-1),H8))</f>
        <v>5/4/2025</v>
      </c>
      <c r="O8" s="23" t="n">
        <f aca="false">IFERROR(DATE(VALUE(MID(N8,FIND("/",N8,FIND("/",N8)+1)+1,4)),VALUE(MID(N8,FIND("/",N8)+1,FIND("/",N8,FIND("/",N8)+1)-FIND("/",N8)-1)),VALUE(LEFT(N8,FIND("/",N8)-1))),0)</f>
        <v>45752</v>
      </c>
    </row>
    <row r="9" customFormat="false" ht="15" hidden="false" customHeight="false" outlineLevel="0" collapsed="false">
      <c r="A9" s="0" t="n">
        <v>4746000</v>
      </c>
      <c r="B9" s="0" t="s">
        <v>300</v>
      </c>
      <c r="C9" s="0" t="s">
        <v>301</v>
      </c>
      <c r="D9" s="0" t="s">
        <v>302</v>
      </c>
      <c r="E9" s="0" t="s">
        <v>294</v>
      </c>
      <c r="F9" s="0" t="n">
        <v>0</v>
      </c>
      <c r="G9" s="0" t="n">
        <v>0</v>
      </c>
      <c r="H9" s="0" t="s">
        <v>307</v>
      </c>
      <c r="I9" s="0" t="s">
        <v>310</v>
      </c>
      <c r="J9" s="0" t="n">
        <v>0</v>
      </c>
      <c r="K9" s="0" t="n">
        <v>3</v>
      </c>
      <c r="L9" s="0" t="s">
        <v>296</v>
      </c>
      <c r="N9" s="0" t="str">
        <f aca="false">IF(H9="","",IFERROR(LEFT(H9,FIND(" ",H9)-1),H9))</f>
        <v>5/4/2025</v>
      </c>
      <c r="O9" s="23" t="n">
        <f aca="false">IFERROR(DATE(VALUE(MID(N9,FIND("/",N9,FIND("/",N9)+1)+1,4)),VALUE(MID(N9,FIND("/",N9)+1,FIND("/",N9,FIND("/",N9)+1)-FIND("/",N9)-1)),VALUE(LEFT(N9,FIND("/",N9)-1))),0)</f>
        <v>45752</v>
      </c>
    </row>
    <row r="10" customFormat="false" ht="15" hidden="false" customHeight="false" outlineLevel="0" collapsed="false">
      <c r="A10" s="0" t="n">
        <v>4746000</v>
      </c>
      <c r="B10" s="0" t="s">
        <v>300</v>
      </c>
      <c r="C10" s="0" t="s">
        <v>301</v>
      </c>
      <c r="D10" s="0" t="s">
        <v>302</v>
      </c>
      <c r="E10" s="0" t="s">
        <v>294</v>
      </c>
      <c r="F10" s="0" t="n">
        <v>0</v>
      </c>
      <c r="G10" s="0" t="n">
        <v>0</v>
      </c>
      <c r="H10" s="0" t="s">
        <v>307</v>
      </c>
      <c r="I10" s="0" t="s">
        <v>311</v>
      </c>
      <c r="J10" s="0" t="n">
        <v>0</v>
      </c>
      <c r="K10" s="0" t="n">
        <v>2</v>
      </c>
      <c r="L10" s="0" t="s">
        <v>296</v>
      </c>
      <c r="N10" s="0" t="str">
        <f aca="false">IF(H10="","",IFERROR(LEFT(H10,FIND(" ",H10)-1),H10))</f>
        <v>5/4/2025</v>
      </c>
      <c r="O10" s="23" t="n">
        <f aca="false">IFERROR(DATE(VALUE(MID(N10,FIND("/",N10,FIND("/",N10)+1)+1,4)),VALUE(MID(N10,FIND("/",N10)+1,FIND("/",N10,FIND("/",N10)+1)-FIND("/",N10)-1)),VALUE(LEFT(N10,FIND("/",N10)-1))),0)</f>
        <v>45752</v>
      </c>
    </row>
    <row r="11" customFormat="false" ht="15" hidden="false" customHeight="false" outlineLevel="0" collapsed="false">
      <c r="A11" s="0" t="n">
        <v>4746000</v>
      </c>
      <c r="B11" s="0" t="s">
        <v>300</v>
      </c>
      <c r="C11" s="0" t="s">
        <v>301</v>
      </c>
      <c r="D11" s="0" t="s">
        <v>302</v>
      </c>
      <c r="E11" s="0" t="s">
        <v>294</v>
      </c>
      <c r="F11" s="0" t="n">
        <v>0</v>
      </c>
      <c r="G11" s="0" t="n">
        <v>0</v>
      </c>
      <c r="H11" s="0" t="s">
        <v>307</v>
      </c>
      <c r="I11" s="0" t="s">
        <v>312</v>
      </c>
      <c r="J11" s="0" t="n">
        <v>0</v>
      </c>
      <c r="K11" s="0" t="n">
        <v>3</v>
      </c>
      <c r="L11" s="0" t="s">
        <v>296</v>
      </c>
      <c r="N11" s="0" t="str">
        <f aca="false">IF(H11="","",IFERROR(LEFT(H11,FIND(" ",H11)-1),H11))</f>
        <v>5/4/2025</v>
      </c>
      <c r="O11" s="23" t="n">
        <f aca="false">IFERROR(DATE(VALUE(MID(N11,FIND("/",N11,FIND("/",N11)+1)+1,4)),VALUE(MID(N11,FIND("/",N11)+1,FIND("/",N11,FIND("/",N11)+1)-FIND("/",N11)-1)),VALUE(LEFT(N11,FIND("/",N11)-1))),0)</f>
        <v>45752</v>
      </c>
    </row>
    <row r="12" customFormat="false" ht="15" hidden="false" customHeight="false" outlineLevel="0" collapsed="false">
      <c r="A12" s="0" t="n">
        <v>4746000</v>
      </c>
      <c r="B12" s="0" t="s">
        <v>300</v>
      </c>
      <c r="C12" s="0" t="s">
        <v>301</v>
      </c>
      <c r="D12" s="0" t="s">
        <v>302</v>
      </c>
      <c r="E12" s="0" t="s">
        <v>294</v>
      </c>
      <c r="F12" s="0" t="n">
        <v>0</v>
      </c>
      <c r="G12" s="0" t="n">
        <v>0</v>
      </c>
      <c r="H12" s="0" t="s">
        <v>307</v>
      </c>
      <c r="I12" s="0" t="s">
        <v>313</v>
      </c>
      <c r="J12" s="0" t="n">
        <v>8</v>
      </c>
      <c r="K12" s="0" t="n">
        <v>0</v>
      </c>
      <c r="L12" s="0" t="s">
        <v>296</v>
      </c>
      <c r="N12" s="0" t="str">
        <f aca="false">IF(H12="","",IFERROR(LEFT(H12,FIND(" ",H12)-1),H12))</f>
        <v>5/4/2025</v>
      </c>
      <c r="O12" s="23" t="n">
        <f aca="false">IFERROR(DATE(VALUE(MID(N12,FIND("/",N12,FIND("/",N12)+1)+1,4)),VALUE(MID(N12,FIND("/",N12)+1,FIND("/",N12,FIND("/",N12)+1)-FIND("/",N12)-1)),VALUE(LEFT(N12,FIND("/",N12)-1))),0)</f>
        <v>45752</v>
      </c>
    </row>
    <row r="13" customFormat="false" ht="15" hidden="false" customHeight="false" outlineLevel="0" collapsed="false">
      <c r="A13" s="0" t="n">
        <v>4746000</v>
      </c>
      <c r="B13" s="0" t="s">
        <v>300</v>
      </c>
      <c r="C13" s="0" t="s">
        <v>301</v>
      </c>
      <c r="D13" s="0" t="s">
        <v>302</v>
      </c>
      <c r="E13" s="0" t="s">
        <v>294</v>
      </c>
      <c r="F13" s="0" t="n">
        <v>0</v>
      </c>
      <c r="G13" s="0" t="n">
        <v>0</v>
      </c>
      <c r="H13" s="0" t="s">
        <v>314</v>
      </c>
      <c r="J13" s="0" t="n">
        <v>0</v>
      </c>
      <c r="K13" s="0" t="n">
        <v>10</v>
      </c>
      <c r="L13" s="0" t="s">
        <v>296</v>
      </c>
      <c r="N13" s="0" t="str">
        <f aca="false">IF(H13="","",IFERROR(LEFT(H13,FIND(" ",H13)-1),H13))</f>
        <v>23/8/2025</v>
      </c>
      <c r="O13" s="23" t="n">
        <f aca="false">IFERROR(DATE(VALUE(MID(N13,FIND("/",N13,FIND("/",N13)+1)+1,4)),VALUE(MID(N13,FIND("/",N13)+1,FIND("/",N13,FIND("/",N13)+1)-FIND("/",N13)-1)),VALUE(LEFT(N13,FIND("/",N13)-1))),0)</f>
        <v>45892</v>
      </c>
    </row>
    <row r="14" customFormat="false" ht="15" hidden="false" customHeight="false" outlineLevel="0" collapsed="false">
      <c r="A14" s="0" t="n">
        <v>4745755</v>
      </c>
      <c r="B14" s="0" t="s">
        <v>315</v>
      </c>
      <c r="C14" s="0" t="s">
        <v>316</v>
      </c>
      <c r="D14" s="0" t="s">
        <v>317</v>
      </c>
      <c r="E14" s="0" t="s">
        <v>294</v>
      </c>
      <c r="F14" s="0" t="n">
        <v>0</v>
      </c>
      <c r="G14" s="0" t="n">
        <v>0</v>
      </c>
      <c r="H14" s="0" t="s">
        <v>295</v>
      </c>
      <c r="J14" s="0" t="n">
        <v>8</v>
      </c>
      <c r="K14" s="0" t="n">
        <v>0</v>
      </c>
      <c r="L14" s="0" t="s">
        <v>296</v>
      </c>
      <c r="N14" s="0" t="str">
        <f aca="false">IF(H14="","",IFERROR(LEFT(H14,FIND(" ",H14)-1),H14))</f>
        <v>Opening</v>
      </c>
      <c r="O14" s="23" t="n">
        <f aca="false">IFERROR(DATE(VALUE(MID(N14,FIND("/",N14,FIND("/",N14)+1)+1,4)),VALUE(MID(N14,FIND("/",N14)+1,FIND("/",N14,FIND("/",N14)+1)-FIND("/",N14)-1)),VALUE(LEFT(N14,FIND("/",N14)-1))),0)</f>
        <v>0</v>
      </c>
    </row>
    <row r="15" customFormat="false" ht="15" hidden="false" customHeight="false" outlineLevel="0" collapsed="false">
      <c r="A15" s="0" t="n">
        <v>4745755</v>
      </c>
      <c r="B15" s="0" t="s">
        <v>315</v>
      </c>
      <c r="C15" s="0" t="s">
        <v>316</v>
      </c>
      <c r="D15" s="0" t="s">
        <v>317</v>
      </c>
      <c r="E15" s="0" t="s">
        <v>294</v>
      </c>
      <c r="F15" s="0" t="n">
        <v>0</v>
      </c>
      <c r="G15" s="0" t="n">
        <v>0</v>
      </c>
      <c r="H15" s="0" t="s">
        <v>298</v>
      </c>
      <c r="J15" s="0" t="n">
        <v>8</v>
      </c>
      <c r="K15" s="0" t="n">
        <v>0</v>
      </c>
      <c r="L15" s="0" t="s">
        <v>296</v>
      </c>
      <c r="N15" s="0" t="str">
        <f aca="false">IF(H15="","",IFERROR(LEFT(H15,FIND(" ",H15)-1),H15))</f>
        <v>10/9/2022</v>
      </c>
      <c r="O15" s="23" t="n">
        <f aca="false">IFERROR(DATE(VALUE(MID(N15,FIND("/",N15,FIND("/",N15)+1)+1,4)),VALUE(MID(N15,FIND("/",N15)+1,FIND("/",N15,FIND("/",N15)+1)-FIND("/",N15)-1)),VALUE(LEFT(N15,FIND("/",N15)-1))),0)</f>
        <v>44814</v>
      </c>
    </row>
    <row r="16" customFormat="false" ht="15" hidden="false" customHeight="false" outlineLevel="0" collapsed="false">
      <c r="A16" s="0" t="n">
        <v>4745755</v>
      </c>
      <c r="B16" s="0" t="s">
        <v>315</v>
      </c>
      <c r="C16" s="0" t="s">
        <v>316</v>
      </c>
      <c r="D16" s="0" t="s">
        <v>317</v>
      </c>
      <c r="E16" s="0" t="s">
        <v>294</v>
      </c>
      <c r="F16" s="0" t="n">
        <v>0</v>
      </c>
      <c r="G16" s="0" t="n">
        <v>0</v>
      </c>
      <c r="H16" s="0" t="s">
        <v>318</v>
      </c>
      <c r="J16" s="0" t="n">
        <v>8</v>
      </c>
      <c r="K16" s="0" t="n">
        <v>0</v>
      </c>
      <c r="L16" s="0" t="s">
        <v>296</v>
      </c>
      <c r="N16" s="0" t="str">
        <f aca="false">IF(H16="","",IFERROR(LEFT(H16,FIND(" ",H16)-1),H16))</f>
        <v>5/11/2022</v>
      </c>
      <c r="O16" s="23" t="n">
        <f aca="false">IFERROR(DATE(VALUE(MID(N16,FIND("/",N16,FIND("/",N16)+1)+1,4)),VALUE(MID(N16,FIND("/",N16)+1,FIND("/",N16,FIND("/",N16)+1)-FIND("/",N16)-1)),VALUE(LEFT(N16,FIND("/",N16)-1))),0)</f>
        <v>44870</v>
      </c>
    </row>
    <row r="17" customFormat="false" ht="15" hidden="false" customHeight="false" outlineLevel="0" collapsed="false">
      <c r="A17" s="0" t="n">
        <v>4745755</v>
      </c>
      <c r="B17" s="0" t="s">
        <v>315</v>
      </c>
      <c r="C17" s="0" t="s">
        <v>316</v>
      </c>
      <c r="D17" s="0" t="s">
        <v>317</v>
      </c>
      <c r="E17" s="0" t="s">
        <v>294</v>
      </c>
      <c r="F17" s="0" t="n">
        <v>0</v>
      </c>
      <c r="G17" s="0" t="n">
        <v>0</v>
      </c>
      <c r="H17" s="0" t="s">
        <v>319</v>
      </c>
      <c r="J17" s="0" t="n">
        <v>8</v>
      </c>
      <c r="K17" s="0" t="n">
        <v>0</v>
      </c>
      <c r="L17" s="0" t="s">
        <v>296</v>
      </c>
      <c r="N17" s="0" t="str">
        <f aca="false">IF(H17="","",IFERROR(LEFT(H17,FIND(" ",H17)-1),H17))</f>
        <v>11/2/2023</v>
      </c>
      <c r="O17" s="23" t="n">
        <f aca="false">IFERROR(DATE(VALUE(MID(N17,FIND("/",N17,FIND("/",N17)+1)+1,4)),VALUE(MID(N17,FIND("/",N17)+1,FIND("/",N17,FIND("/",N17)+1)-FIND("/",N17)-1)),VALUE(LEFT(N17,FIND("/",N17)-1))),0)</f>
        <v>44968</v>
      </c>
    </row>
    <row r="18" customFormat="false" ht="15" hidden="false" customHeight="false" outlineLevel="0" collapsed="false">
      <c r="A18" s="0" t="n">
        <v>4745755</v>
      </c>
      <c r="B18" s="0" t="s">
        <v>315</v>
      </c>
      <c r="C18" s="0" t="s">
        <v>316</v>
      </c>
      <c r="D18" s="0" t="s">
        <v>317</v>
      </c>
      <c r="E18" s="0" t="s">
        <v>294</v>
      </c>
      <c r="F18" s="0" t="n">
        <v>0</v>
      </c>
      <c r="G18" s="0" t="n">
        <v>0</v>
      </c>
      <c r="H18" s="0" t="s">
        <v>320</v>
      </c>
      <c r="I18" s="0" t="s">
        <v>321</v>
      </c>
      <c r="J18" s="0" t="n">
        <v>16</v>
      </c>
      <c r="K18" s="0" t="n">
        <v>0</v>
      </c>
      <c r="L18" s="0" t="s">
        <v>296</v>
      </c>
      <c r="N18" s="0" t="str">
        <f aca="false">IF(H18="","",IFERROR(LEFT(H18,FIND(" ",H18)-1),H18))</f>
        <v>18/11/2023</v>
      </c>
      <c r="O18" s="23" t="n">
        <f aca="false">IFERROR(DATE(VALUE(MID(N18,FIND("/",N18,FIND("/",N18)+1)+1,4)),VALUE(MID(N18,FIND("/",N18)+1,FIND("/",N18,FIND("/",N18)+1)-FIND("/",N18)-1)),VALUE(LEFT(N18,FIND("/",N18)-1))),0)</f>
        <v>45248</v>
      </c>
    </row>
    <row r="19" customFormat="false" ht="15" hidden="false" customHeight="false" outlineLevel="0" collapsed="false">
      <c r="A19" s="0" t="n">
        <v>4745755</v>
      </c>
      <c r="B19" s="0" t="s">
        <v>315</v>
      </c>
      <c r="C19" s="0" t="s">
        <v>316</v>
      </c>
      <c r="D19" s="0" t="s">
        <v>317</v>
      </c>
      <c r="E19" s="0" t="s">
        <v>294</v>
      </c>
      <c r="F19" s="0" t="n">
        <v>0</v>
      </c>
      <c r="G19" s="0" t="n">
        <v>0</v>
      </c>
      <c r="H19" s="0" t="s">
        <v>322</v>
      </c>
      <c r="I19" s="0" t="s">
        <v>294</v>
      </c>
      <c r="J19" s="0" t="n">
        <v>8</v>
      </c>
      <c r="K19" s="0" t="n">
        <v>0</v>
      </c>
      <c r="L19" s="0" t="s">
        <v>296</v>
      </c>
      <c r="N19" s="0" t="str">
        <f aca="false">IF(H19="","",IFERROR(LEFT(H19,FIND(" ",H19)-1),H19))</f>
        <v>6/4/2024</v>
      </c>
      <c r="O19" s="23" t="n">
        <f aca="false">IFERROR(DATE(VALUE(MID(N19,FIND("/",N19,FIND("/",N19)+1)+1,4)),VALUE(MID(N19,FIND("/",N19)+1,FIND("/",N19,FIND("/",N19)+1)-FIND("/",N19)-1)),VALUE(LEFT(N19,FIND("/",N19)-1))),0)</f>
        <v>45388</v>
      </c>
    </row>
    <row r="20" customFormat="false" ht="15" hidden="false" customHeight="false" outlineLevel="0" collapsed="false">
      <c r="A20" s="0" t="n">
        <v>4745755</v>
      </c>
      <c r="B20" s="0" t="s">
        <v>315</v>
      </c>
      <c r="C20" s="0" t="s">
        <v>316</v>
      </c>
      <c r="D20" s="0" t="s">
        <v>317</v>
      </c>
      <c r="E20" s="0" t="s">
        <v>294</v>
      </c>
      <c r="F20" s="0" t="n">
        <v>0</v>
      </c>
      <c r="G20" s="0" t="n">
        <v>0</v>
      </c>
      <c r="H20" s="0" t="s">
        <v>323</v>
      </c>
      <c r="I20" s="0" t="s">
        <v>324</v>
      </c>
      <c r="J20" s="0" t="n">
        <v>8</v>
      </c>
      <c r="K20" s="0" t="n">
        <v>0</v>
      </c>
      <c r="L20" s="0" t="s">
        <v>296</v>
      </c>
      <c r="N20" s="0" t="str">
        <f aca="false">IF(H20="","",IFERROR(LEFT(H20,FIND(" ",H20)-1),H20))</f>
        <v>13/7/2024</v>
      </c>
      <c r="O20" s="23" t="n">
        <f aca="false">IFERROR(DATE(VALUE(MID(N20,FIND("/",N20,FIND("/",N20)+1)+1,4)),VALUE(MID(N20,FIND("/",N20)+1,FIND("/",N20,FIND("/",N20)+1)-FIND("/",N20)-1)),VALUE(LEFT(N20,FIND("/",N20)-1))),0)</f>
        <v>45486</v>
      </c>
    </row>
    <row r="21" customFormat="false" ht="15" hidden="false" customHeight="false" outlineLevel="0" collapsed="false">
      <c r="A21" s="0" t="n">
        <v>4745755</v>
      </c>
      <c r="B21" s="0" t="s">
        <v>315</v>
      </c>
      <c r="C21" s="0" t="s">
        <v>316</v>
      </c>
      <c r="D21" s="0" t="s">
        <v>317</v>
      </c>
      <c r="E21" s="0" t="s">
        <v>294</v>
      </c>
      <c r="F21" s="0" t="n">
        <v>0</v>
      </c>
      <c r="G21" s="0" t="n">
        <v>0</v>
      </c>
      <c r="H21" s="0" t="s">
        <v>325</v>
      </c>
      <c r="I21" s="0" t="s">
        <v>326</v>
      </c>
      <c r="J21" s="0" t="n">
        <v>8</v>
      </c>
      <c r="K21" s="0" t="n">
        <v>0</v>
      </c>
      <c r="L21" s="0" t="s">
        <v>296</v>
      </c>
      <c r="N21" s="0" t="str">
        <f aca="false">IF(H21="","",IFERROR(LEFT(H21,FIND(" ",H21)-1),H21))</f>
        <v>19/10/2024</v>
      </c>
      <c r="O21" s="23" t="n">
        <f aca="false">IFERROR(DATE(VALUE(MID(N21,FIND("/",N21,FIND("/",N21)+1)+1,4)),VALUE(MID(N21,FIND("/",N21)+1,FIND("/",N21,FIND("/",N21)+1)-FIND("/",N21)-1)),VALUE(LEFT(N21,FIND("/",N21)-1))),0)</f>
        <v>45584</v>
      </c>
    </row>
    <row r="22" customFormat="false" ht="15" hidden="false" customHeight="false" outlineLevel="0" collapsed="false">
      <c r="A22" s="0" t="n">
        <v>4745755</v>
      </c>
      <c r="B22" s="0" t="s">
        <v>315</v>
      </c>
      <c r="C22" s="0" t="s">
        <v>316</v>
      </c>
      <c r="D22" s="0" t="s">
        <v>317</v>
      </c>
      <c r="E22" s="0" t="s">
        <v>294</v>
      </c>
      <c r="F22" s="0" t="n">
        <v>0</v>
      </c>
      <c r="G22" s="0" t="n">
        <v>0</v>
      </c>
      <c r="H22" s="0" t="s">
        <v>327</v>
      </c>
      <c r="I22" s="0" t="s">
        <v>328</v>
      </c>
      <c r="J22" s="0" t="n">
        <v>8</v>
      </c>
      <c r="K22" s="0" t="n">
        <v>0</v>
      </c>
      <c r="L22" s="0" t="s">
        <v>296</v>
      </c>
      <c r="N22" s="0" t="str">
        <f aca="false">IF(H22="","",IFERROR(LEFT(H22,FIND(" ",H22)-1),H22))</f>
        <v>8/2/2025</v>
      </c>
      <c r="O22" s="23" t="n">
        <f aca="false">IFERROR(DATE(VALUE(MID(N22,FIND("/",N22,FIND("/",N22)+1)+1,4)),VALUE(MID(N22,FIND("/",N22)+1,FIND("/",N22,FIND("/",N22)+1)-FIND("/",N22)-1)),VALUE(LEFT(N22,FIND("/",N22)-1))),0)</f>
        <v>45696</v>
      </c>
    </row>
    <row r="23" customFormat="false" ht="15" hidden="false" customHeight="false" outlineLevel="0" collapsed="false">
      <c r="A23" s="0" t="n">
        <v>4745755</v>
      </c>
      <c r="B23" s="0" t="s">
        <v>315</v>
      </c>
      <c r="C23" s="0" t="s">
        <v>316</v>
      </c>
      <c r="D23" s="0" t="s">
        <v>317</v>
      </c>
      <c r="E23" s="0" t="s">
        <v>294</v>
      </c>
      <c r="F23" s="0" t="n">
        <v>0</v>
      </c>
      <c r="G23" s="0" t="n">
        <v>0</v>
      </c>
      <c r="H23" s="0" t="s">
        <v>329</v>
      </c>
      <c r="I23" s="0" t="s">
        <v>330</v>
      </c>
      <c r="J23" s="0" t="n">
        <v>0</v>
      </c>
      <c r="K23" s="0" t="n">
        <v>8</v>
      </c>
      <c r="L23" s="0" t="s">
        <v>296</v>
      </c>
      <c r="N23" s="0" t="str">
        <f aca="false">IF(H23="","",IFERROR(LEFT(H23,FIND(" ",H23)-1),H23))</f>
        <v>8/3/2025</v>
      </c>
      <c r="O23" s="23" t="n">
        <f aca="false">IFERROR(DATE(VALUE(MID(N23,FIND("/",N23,FIND("/",N23)+1)+1,4)),VALUE(MID(N23,FIND("/",N23)+1,FIND("/",N23,FIND("/",N23)+1)-FIND("/",N23)-1)),VALUE(LEFT(N23,FIND("/",N23)-1))),0)</f>
        <v>45724</v>
      </c>
    </row>
    <row r="24" customFormat="false" ht="15" hidden="false" customHeight="false" outlineLevel="0" collapsed="false">
      <c r="A24" s="0" t="n">
        <v>4745755</v>
      </c>
      <c r="B24" s="0" t="s">
        <v>315</v>
      </c>
      <c r="C24" s="0" t="s">
        <v>316</v>
      </c>
      <c r="D24" s="0" t="s">
        <v>317</v>
      </c>
      <c r="E24" s="0" t="s">
        <v>294</v>
      </c>
      <c r="F24" s="0" t="n">
        <v>0</v>
      </c>
      <c r="G24" s="0" t="n">
        <v>0</v>
      </c>
      <c r="H24" s="0" t="s">
        <v>329</v>
      </c>
      <c r="I24" s="0" t="s">
        <v>331</v>
      </c>
      <c r="J24" s="0" t="n">
        <v>0</v>
      </c>
      <c r="K24" s="0" t="n">
        <v>8</v>
      </c>
      <c r="L24" s="0" t="s">
        <v>296</v>
      </c>
      <c r="N24" s="0" t="str">
        <f aca="false">IF(H24="","",IFERROR(LEFT(H24,FIND(" ",H24)-1),H24))</f>
        <v>8/3/2025</v>
      </c>
      <c r="O24" s="23" t="n">
        <f aca="false">IFERROR(DATE(VALUE(MID(N24,FIND("/",N24,FIND("/",N24)+1)+1,4)),VALUE(MID(N24,FIND("/",N24)+1,FIND("/",N24,FIND("/",N24)+1)-FIND("/",N24)-1)),VALUE(LEFT(N24,FIND("/",N24)-1))),0)</f>
        <v>45724</v>
      </c>
    </row>
    <row r="25" customFormat="false" ht="15" hidden="false" customHeight="false" outlineLevel="0" collapsed="false">
      <c r="A25" s="0" t="n">
        <v>4745755</v>
      </c>
      <c r="B25" s="0" t="s">
        <v>315</v>
      </c>
      <c r="C25" s="0" t="s">
        <v>316</v>
      </c>
      <c r="D25" s="0" t="s">
        <v>317</v>
      </c>
      <c r="E25" s="0" t="s">
        <v>294</v>
      </c>
      <c r="F25" s="0" t="n">
        <v>0</v>
      </c>
      <c r="G25" s="0" t="n">
        <v>0</v>
      </c>
      <c r="H25" s="0" t="s">
        <v>329</v>
      </c>
      <c r="I25" s="0" t="s">
        <v>332</v>
      </c>
      <c r="J25" s="0" t="n">
        <v>0</v>
      </c>
      <c r="K25" s="0" t="n">
        <v>8</v>
      </c>
      <c r="L25" s="0" t="s">
        <v>296</v>
      </c>
      <c r="N25" s="0" t="str">
        <f aca="false">IF(H25="","",IFERROR(LEFT(H25,FIND(" ",H25)-1),H25))</f>
        <v>8/3/2025</v>
      </c>
      <c r="O25" s="23" t="n">
        <f aca="false">IFERROR(DATE(VALUE(MID(N25,FIND("/",N25,FIND("/",N25)+1)+1,4)),VALUE(MID(N25,FIND("/",N25)+1,FIND("/",N25,FIND("/",N25)+1)-FIND("/",N25)-1)),VALUE(LEFT(N25,FIND("/",N25)-1))),0)</f>
        <v>45724</v>
      </c>
    </row>
    <row r="26" customFormat="false" ht="15" hidden="false" customHeight="false" outlineLevel="0" collapsed="false">
      <c r="A26" s="0" t="n">
        <v>4745755</v>
      </c>
      <c r="B26" s="0" t="s">
        <v>315</v>
      </c>
      <c r="C26" s="0" t="s">
        <v>316</v>
      </c>
      <c r="D26" s="0" t="s">
        <v>317</v>
      </c>
      <c r="E26" s="0" t="s">
        <v>294</v>
      </c>
      <c r="F26" s="0" t="n">
        <v>0</v>
      </c>
      <c r="G26" s="0" t="n">
        <v>0</v>
      </c>
      <c r="H26" s="0" t="s">
        <v>333</v>
      </c>
      <c r="I26" s="0" t="s">
        <v>334</v>
      </c>
      <c r="J26" s="0" t="n">
        <v>0</v>
      </c>
      <c r="K26" s="0" t="n">
        <v>40</v>
      </c>
      <c r="L26" s="0" t="s">
        <v>296</v>
      </c>
      <c r="N26" s="0" t="str">
        <f aca="false">IF(H26="","",IFERROR(LEFT(H26,FIND(" ",H26)-1),H26))</f>
        <v>22/3/2025</v>
      </c>
      <c r="O26" s="23" t="n">
        <f aca="false">IFERROR(DATE(VALUE(MID(N26,FIND("/",N26,FIND("/",N26)+1)+1,4)),VALUE(MID(N26,FIND("/",N26)+1,FIND("/",N26,FIND("/",N26)+1)-FIND("/",N26)-1)),VALUE(LEFT(N26,FIND("/",N26)-1))),0)</f>
        <v>45738</v>
      </c>
    </row>
    <row r="27" customFormat="false" ht="15" hidden="false" customHeight="false" outlineLevel="0" collapsed="false">
      <c r="A27" s="0" t="n">
        <v>4745755</v>
      </c>
      <c r="B27" s="0" t="s">
        <v>315</v>
      </c>
      <c r="C27" s="0" t="s">
        <v>316</v>
      </c>
      <c r="D27" s="0" t="s">
        <v>317</v>
      </c>
      <c r="E27" s="0" t="s">
        <v>294</v>
      </c>
      <c r="F27" s="0" t="n">
        <v>0</v>
      </c>
      <c r="G27" s="0" t="n">
        <v>0</v>
      </c>
      <c r="H27" s="0" t="s">
        <v>335</v>
      </c>
      <c r="I27" s="0" t="s">
        <v>336</v>
      </c>
      <c r="J27" s="0" t="n">
        <v>8</v>
      </c>
      <c r="K27" s="0" t="n">
        <v>0</v>
      </c>
      <c r="L27" s="0" t="s">
        <v>296</v>
      </c>
      <c r="N27" s="0" t="str">
        <f aca="false">IF(H27="","",IFERROR(LEFT(H27,FIND(" ",H27)-1),H27))</f>
        <v>3/5/2025</v>
      </c>
      <c r="O27" s="23" t="n">
        <f aca="false">IFERROR(DATE(VALUE(MID(N27,FIND("/",N27,FIND("/",N27)+1)+1,4)),VALUE(MID(N27,FIND("/",N27)+1,FIND("/",N27,FIND("/",N27)+1)-FIND("/",N27)-1)),VALUE(LEFT(N27,FIND("/",N27)-1))),0)</f>
        <v>45780</v>
      </c>
    </row>
    <row r="28" customFormat="false" ht="15" hidden="false" customHeight="false" outlineLevel="0" collapsed="false">
      <c r="A28" s="0" t="n">
        <v>4745755</v>
      </c>
      <c r="B28" s="0" t="s">
        <v>315</v>
      </c>
      <c r="C28" s="0" t="s">
        <v>316</v>
      </c>
      <c r="D28" s="0" t="s">
        <v>317</v>
      </c>
      <c r="E28" s="0" t="s">
        <v>294</v>
      </c>
      <c r="F28" s="0" t="n">
        <v>0</v>
      </c>
      <c r="G28" s="0" t="n">
        <v>0</v>
      </c>
      <c r="H28" s="0" t="s">
        <v>337</v>
      </c>
      <c r="I28" s="0" t="s">
        <v>338</v>
      </c>
      <c r="J28" s="0" t="n">
        <v>8</v>
      </c>
      <c r="K28" s="0" t="n">
        <v>0</v>
      </c>
      <c r="L28" s="0" t="s">
        <v>296</v>
      </c>
      <c r="N28" s="0" t="str">
        <f aca="false">IF(H28="","",IFERROR(LEFT(H28,FIND(" ",H28)-1),H28))</f>
        <v>9/8/2025</v>
      </c>
      <c r="O28" s="23" t="n">
        <f aca="false">IFERROR(DATE(VALUE(MID(N28,FIND("/",N28,FIND("/",N28)+1)+1,4)),VALUE(MID(N28,FIND("/",N28)+1,FIND("/",N28,FIND("/",N28)+1)-FIND("/",N28)-1)),VALUE(LEFT(N28,FIND("/",N28)-1))),0)</f>
        <v>45878</v>
      </c>
    </row>
    <row r="29" customFormat="false" ht="15" hidden="false" customHeight="false" outlineLevel="0" collapsed="false">
      <c r="A29" s="0" t="n">
        <v>4745755</v>
      </c>
      <c r="B29" s="0" t="s">
        <v>315</v>
      </c>
      <c r="C29" s="0" t="s">
        <v>316</v>
      </c>
      <c r="D29" s="0" t="s">
        <v>317</v>
      </c>
      <c r="E29" s="0" t="s">
        <v>294</v>
      </c>
      <c r="F29" s="0" t="n">
        <v>0</v>
      </c>
      <c r="G29" s="0" t="n">
        <v>0</v>
      </c>
      <c r="H29" s="0" t="s">
        <v>339</v>
      </c>
      <c r="I29" s="0" t="s">
        <v>340</v>
      </c>
      <c r="J29" s="0" t="n">
        <v>8</v>
      </c>
      <c r="K29" s="0" t="n">
        <v>0</v>
      </c>
      <c r="L29" s="0" t="s">
        <v>296</v>
      </c>
      <c r="N29" s="0" t="str">
        <f aca="false">IF(H29="","",IFERROR(LEFT(H29,FIND(" ",H29)-1),H29))</f>
        <v>15/11/2025</v>
      </c>
      <c r="O29" s="23" t="n">
        <f aca="false">IFERROR(DATE(VALUE(MID(N29,FIND("/",N29,FIND("/",N29)+1)+1,4)),VALUE(MID(N29,FIND("/",N29)+1,FIND("/",N29,FIND("/",N29)+1)-FIND("/",N29)-1)),VALUE(LEFT(N29,FIND("/",N29)-1))),0)</f>
        <v>45976</v>
      </c>
    </row>
    <row r="30" customFormat="false" ht="15" hidden="false" customHeight="false" outlineLevel="0" collapsed="false">
      <c r="A30" s="0" t="n">
        <v>4745755</v>
      </c>
      <c r="B30" s="0" t="s">
        <v>315</v>
      </c>
      <c r="C30" s="0" t="s">
        <v>316</v>
      </c>
      <c r="D30" s="0" t="s">
        <v>317</v>
      </c>
      <c r="E30" s="0" t="s">
        <v>294</v>
      </c>
      <c r="F30" s="0" t="n">
        <v>0</v>
      </c>
      <c r="G30" s="0" t="n">
        <v>0</v>
      </c>
      <c r="H30" s="0" t="s">
        <v>341</v>
      </c>
      <c r="I30" s="0" t="s">
        <v>342</v>
      </c>
      <c r="J30" s="0" t="n">
        <v>8</v>
      </c>
      <c r="K30" s="0" t="n">
        <v>0</v>
      </c>
      <c r="L30" s="0" t="s">
        <v>296</v>
      </c>
      <c r="N30" s="0" t="str">
        <f aca="false">IF(H30="","",IFERROR(LEFT(H30,FIND(" ",H30)-1),H30))</f>
        <v>27/12/2025</v>
      </c>
      <c r="O30" s="23" t="n">
        <f aca="false">IFERROR(DATE(VALUE(MID(N30,FIND("/",N30,FIND("/",N30)+1)+1,4)),VALUE(MID(N30,FIND("/",N30)+1,FIND("/",N30,FIND("/",N30)+1)-FIND("/",N30)-1)),VALUE(LEFT(N30,FIND("/",N30)-1))),0)</f>
        <v>46018</v>
      </c>
    </row>
    <row r="31" customFormat="false" ht="15" hidden="false" customHeight="false" outlineLevel="0" collapsed="false">
      <c r="A31" s="0" t="n">
        <v>4745755</v>
      </c>
      <c r="B31" s="0" t="s">
        <v>315</v>
      </c>
      <c r="C31" s="0" t="s">
        <v>316</v>
      </c>
      <c r="D31" s="0" t="s">
        <v>317</v>
      </c>
      <c r="E31" s="0" t="s">
        <v>294</v>
      </c>
      <c r="F31" s="0" t="n">
        <v>0</v>
      </c>
      <c r="G31" s="0" t="n">
        <v>0</v>
      </c>
      <c r="H31" s="0" t="s">
        <v>343</v>
      </c>
      <c r="I31" s="0" t="s">
        <v>344</v>
      </c>
      <c r="J31" s="0" t="n">
        <v>16</v>
      </c>
      <c r="K31" s="0" t="n">
        <v>0</v>
      </c>
      <c r="L31" s="0" t="s">
        <v>296</v>
      </c>
      <c r="N31" s="0" t="str">
        <f aca="false">IF(H31="","",IFERROR(LEFT(H31,FIND(" ",H31)-1),H31))</f>
        <v>7/2/2026</v>
      </c>
      <c r="O31" s="23" t="n">
        <f aca="false">IFERROR(DATE(VALUE(MID(N31,FIND("/",N31,FIND("/",N31)+1)+1,4)),VALUE(MID(N31,FIND("/",N31)+1,FIND("/",N31,FIND("/",N31)+1)-FIND("/",N31)-1)),VALUE(LEFT(N31,FIND("/",N31)-1))),0)</f>
        <v>46060</v>
      </c>
    </row>
    <row r="32" customFormat="false" ht="15" hidden="false" customHeight="false" outlineLevel="0" collapsed="false">
      <c r="A32" s="0" t="n">
        <v>4745755</v>
      </c>
      <c r="B32" s="0" t="s">
        <v>315</v>
      </c>
      <c r="C32" s="0" t="s">
        <v>316</v>
      </c>
      <c r="D32" s="0" t="s">
        <v>317</v>
      </c>
      <c r="E32" s="0" t="s">
        <v>294</v>
      </c>
      <c r="F32" s="0" t="n">
        <v>0</v>
      </c>
      <c r="G32" s="0" t="n">
        <v>0</v>
      </c>
      <c r="H32" s="0" t="s">
        <v>345</v>
      </c>
      <c r="I32" s="0" t="s">
        <v>346</v>
      </c>
      <c r="J32" s="0" t="n">
        <v>0</v>
      </c>
      <c r="K32" s="0" t="n">
        <v>64</v>
      </c>
      <c r="L32" s="0" t="s">
        <v>296</v>
      </c>
      <c r="N32" s="0" t="str">
        <f aca="false">IF(H32="","",IFERROR(LEFT(H32,FIND(" ",H32)-1),H32))</f>
        <v>21/3/2026</v>
      </c>
      <c r="O32" s="23" t="n">
        <f aca="false">IFERROR(DATE(VALUE(MID(N32,FIND("/",N32,FIND("/",N32)+1)+1,4)),VALUE(MID(N32,FIND("/",N32)+1,FIND("/",N32,FIND("/",N32)+1)-FIND("/",N32)-1)),VALUE(LEFT(N32,FIND("/",N32)-1))),0)</f>
        <v>46102</v>
      </c>
    </row>
    <row r="33" customFormat="false" ht="15" hidden="false" customHeight="false" outlineLevel="0" collapsed="false">
      <c r="A33" s="0" t="n">
        <v>4745736</v>
      </c>
      <c r="B33" s="0" t="s">
        <v>347</v>
      </c>
      <c r="C33" s="0" t="s">
        <v>168</v>
      </c>
      <c r="D33" s="0" t="s">
        <v>169</v>
      </c>
      <c r="E33" s="0" t="s">
        <v>294</v>
      </c>
      <c r="F33" s="0" t="n">
        <v>0</v>
      </c>
      <c r="G33" s="0" t="n">
        <v>208</v>
      </c>
      <c r="H33" s="0" t="s">
        <v>295</v>
      </c>
      <c r="J33" s="0" t="n">
        <v>80</v>
      </c>
      <c r="K33" s="0" t="n">
        <v>0</v>
      </c>
      <c r="L33" s="0" t="s">
        <v>296</v>
      </c>
      <c r="N33" s="0" t="str">
        <f aca="false">IF(H33="","",IFERROR(LEFT(H33,FIND(" ",H33)-1),H33))</f>
        <v>Opening</v>
      </c>
      <c r="O33" s="23" t="n">
        <f aca="false">IFERROR(DATE(VALUE(MID(N33,FIND("/",N33,FIND("/",N33)+1)+1,4)),VALUE(MID(N33,FIND("/",N33)+1,FIND("/",N33,FIND("/",N33)+1)-FIND("/",N33)-1)),VALUE(LEFT(N33,FIND("/",N33)-1))),0)</f>
        <v>0</v>
      </c>
    </row>
    <row r="34" customFormat="false" ht="15" hidden="false" customHeight="false" outlineLevel="0" collapsed="false">
      <c r="A34" s="0" t="n">
        <v>4745736</v>
      </c>
      <c r="B34" s="0" t="s">
        <v>347</v>
      </c>
      <c r="C34" s="0" t="s">
        <v>168</v>
      </c>
      <c r="D34" s="0" t="s">
        <v>169</v>
      </c>
      <c r="E34" s="0" t="s">
        <v>294</v>
      </c>
      <c r="F34" s="0" t="n">
        <v>0</v>
      </c>
      <c r="G34" s="0" t="n">
        <v>208</v>
      </c>
      <c r="H34" s="0" t="s">
        <v>299</v>
      </c>
      <c r="J34" s="0" t="n">
        <v>0</v>
      </c>
      <c r="K34" s="0" t="n">
        <v>32</v>
      </c>
      <c r="L34" s="0" t="s">
        <v>296</v>
      </c>
      <c r="N34" s="0" t="str">
        <f aca="false">IF(H34="","",IFERROR(LEFT(H34,FIND(" ",H34)-1),H34))</f>
        <v>8/10/2022</v>
      </c>
      <c r="O34" s="23" t="n">
        <f aca="false">IFERROR(DATE(VALUE(MID(N34,FIND("/",N34,FIND("/",N34)+1)+1,4)),VALUE(MID(N34,FIND("/",N34)+1,FIND("/",N34,FIND("/",N34)+1)-FIND("/",N34)-1)),VALUE(LEFT(N34,FIND("/",N34)-1))),0)</f>
        <v>44842</v>
      </c>
    </row>
    <row r="35" customFormat="false" ht="15" hidden="false" customHeight="false" outlineLevel="0" collapsed="false">
      <c r="A35" s="0" t="n">
        <v>4745736</v>
      </c>
      <c r="B35" s="0" t="s">
        <v>347</v>
      </c>
      <c r="C35" s="0" t="s">
        <v>168</v>
      </c>
      <c r="D35" s="0" t="s">
        <v>169</v>
      </c>
      <c r="E35" s="0" t="s">
        <v>294</v>
      </c>
      <c r="F35" s="0" t="n">
        <v>0</v>
      </c>
      <c r="G35" s="0" t="n">
        <v>208</v>
      </c>
      <c r="H35" s="0" t="s">
        <v>318</v>
      </c>
      <c r="J35" s="0" t="n">
        <v>8</v>
      </c>
      <c r="K35" s="0" t="n">
        <v>0</v>
      </c>
      <c r="L35" s="0" t="s">
        <v>296</v>
      </c>
      <c r="N35" s="0" t="str">
        <f aca="false">IF(H35="","",IFERROR(LEFT(H35,FIND(" ",H35)-1),H35))</f>
        <v>5/11/2022</v>
      </c>
      <c r="O35" s="23" t="n">
        <f aca="false">IFERROR(DATE(VALUE(MID(N35,FIND("/",N35,FIND("/",N35)+1)+1,4)),VALUE(MID(N35,FIND("/",N35)+1,FIND("/",N35,FIND("/",N35)+1)-FIND("/",N35)-1)),VALUE(LEFT(N35,FIND("/",N35)-1))),0)</f>
        <v>44870</v>
      </c>
    </row>
    <row r="36" customFormat="false" ht="15" hidden="false" customHeight="false" outlineLevel="0" collapsed="false">
      <c r="A36" s="0" t="n">
        <v>4745736</v>
      </c>
      <c r="B36" s="0" t="s">
        <v>347</v>
      </c>
      <c r="C36" s="0" t="s">
        <v>168</v>
      </c>
      <c r="D36" s="0" t="s">
        <v>169</v>
      </c>
      <c r="E36" s="0" t="s">
        <v>294</v>
      </c>
      <c r="F36" s="0" t="n">
        <v>0</v>
      </c>
      <c r="G36" s="0" t="n">
        <v>208</v>
      </c>
      <c r="H36" s="0" t="s">
        <v>348</v>
      </c>
      <c r="J36" s="0" t="n">
        <v>8</v>
      </c>
      <c r="K36" s="0" t="n">
        <v>0</v>
      </c>
      <c r="L36" s="0" t="s">
        <v>296</v>
      </c>
      <c r="N36" s="0" t="str">
        <f aca="false">IF(H36="","",IFERROR(LEFT(H36,FIND(" ",H36)-1),H36))</f>
        <v>14/1/2023</v>
      </c>
      <c r="O36" s="23" t="n">
        <f aca="false">IFERROR(DATE(VALUE(MID(N36,FIND("/",N36,FIND("/",N36)+1)+1,4)),VALUE(MID(N36,FIND("/",N36)+1,FIND("/",N36,FIND("/",N36)+1)-FIND("/",N36)-1)),VALUE(LEFT(N36,FIND("/",N36)-1))),0)</f>
        <v>44940</v>
      </c>
    </row>
    <row r="37" customFormat="false" ht="15" hidden="false" customHeight="false" outlineLevel="0" collapsed="false">
      <c r="A37" s="0" t="n">
        <v>4745736</v>
      </c>
      <c r="B37" s="0" t="s">
        <v>347</v>
      </c>
      <c r="C37" s="0" t="s">
        <v>168</v>
      </c>
      <c r="D37" s="0" t="s">
        <v>169</v>
      </c>
      <c r="E37" s="0" t="s">
        <v>294</v>
      </c>
      <c r="F37" s="0" t="n">
        <v>0</v>
      </c>
      <c r="G37" s="0" t="n">
        <v>208</v>
      </c>
      <c r="H37" s="0" t="s">
        <v>349</v>
      </c>
      <c r="I37" s="0" t="s">
        <v>350</v>
      </c>
      <c r="J37" s="0" t="n">
        <v>8</v>
      </c>
      <c r="K37" s="0" t="n">
        <v>0</v>
      </c>
      <c r="L37" s="0" t="s">
        <v>296</v>
      </c>
      <c r="N37" s="0" t="str">
        <f aca="false">IF(H37="","",IFERROR(LEFT(H37,FIND(" ",H37)-1),H37))</f>
        <v>25/2/2023</v>
      </c>
      <c r="O37" s="23" t="n">
        <f aca="false">IFERROR(DATE(VALUE(MID(N37,FIND("/",N37,FIND("/",N37)+1)+1,4)),VALUE(MID(N37,FIND("/",N37)+1,FIND("/",N37,FIND("/",N37)+1)-FIND("/",N37)-1)),VALUE(LEFT(N37,FIND("/",N37)-1))),0)</f>
        <v>44982</v>
      </c>
    </row>
    <row r="38" customFormat="false" ht="15" hidden="false" customHeight="false" outlineLevel="0" collapsed="false">
      <c r="A38" s="0" t="n">
        <v>4745736</v>
      </c>
      <c r="B38" s="0" t="s">
        <v>347</v>
      </c>
      <c r="C38" s="0" t="s">
        <v>168</v>
      </c>
      <c r="D38" s="0" t="s">
        <v>169</v>
      </c>
      <c r="E38" s="0" t="s">
        <v>294</v>
      </c>
      <c r="F38" s="0" t="n">
        <v>0</v>
      </c>
      <c r="G38" s="0" t="n">
        <v>208</v>
      </c>
      <c r="H38" s="0" t="s">
        <v>320</v>
      </c>
      <c r="I38" s="0" t="s">
        <v>321</v>
      </c>
      <c r="J38" s="0" t="n">
        <v>24</v>
      </c>
      <c r="K38" s="0" t="n">
        <v>0</v>
      </c>
      <c r="L38" s="0" t="s">
        <v>296</v>
      </c>
      <c r="N38" s="0" t="str">
        <f aca="false">IF(H38="","",IFERROR(LEFT(H38,FIND(" ",H38)-1),H38))</f>
        <v>18/11/2023</v>
      </c>
      <c r="O38" s="23" t="n">
        <f aca="false">IFERROR(DATE(VALUE(MID(N38,FIND("/",N38,FIND("/",N38)+1)+1,4)),VALUE(MID(N38,FIND("/",N38)+1,FIND("/",N38,FIND("/",N38)+1)-FIND("/",N38)-1)),VALUE(LEFT(N38,FIND("/",N38)-1))),0)</f>
        <v>45248</v>
      </c>
    </row>
    <row r="39" customFormat="false" ht="15" hidden="false" customHeight="false" outlineLevel="0" collapsed="false">
      <c r="A39" s="0" t="n">
        <v>4745736</v>
      </c>
      <c r="B39" s="0" t="s">
        <v>347</v>
      </c>
      <c r="C39" s="0" t="s">
        <v>168</v>
      </c>
      <c r="D39" s="0" t="s">
        <v>169</v>
      </c>
      <c r="E39" s="0" t="s">
        <v>294</v>
      </c>
      <c r="F39" s="0" t="n">
        <v>0</v>
      </c>
      <c r="G39" s="0" t="n">
        <v>208</v>
      </c>
      <c r="H39" s="0" t="s">
        <v>351</v>
      </c>
      <c r="J39" s="0" t="n">
        <v>8</v>
      </c>
      <c r="K39" s="0" t="n">
        <v>0</v>
      </c>
      <c r="L39" s="0" t="s">
        <v>296</v>
      </c>
      <c r="N39" s="0" t="str">
        <f aca="false">IF(H39="","",IFERROR(LEFT(H39,FIND(" ",H39)-1),H39))</f>
        <v>10/2/2024</v>
      </c>
      <c r="O39" s="23" t="n">
        <f aca="false">IFERROR(DATE(VALUE(MID(N39,FIND("/",N39,FIND("/",N39)+1)+1,4)),VALUE(MID(N39,FIND("/",N39)+1,FIND("/",N39,FIND("/",N39)+1)-FIND("/",N39)-1)),VALUE(LEFT(N39,FIND("/",N39)-1))),0)</f>
        <v>45332</v>
      </c>
    </row>
    <row r="40" customFormat="false" ht="15" hidden="false" customHeight="false" outlineLevel="0" collapsed="false">
      <c r="A40" s="0" t="n">
        <v>4745736</v>
      </c>
      <c r="B40" s="0" t="s">
        <v>347</v>
      </c>
      <c r="C40" s="0" t="s">
        <v>168</v>
      </c>
      <c r="D40" s="0" t="s">
        <v>169</v>
      </c>
      <c r="E40" s="0" t="s">
        <v>294</v>
      </c>
      <c r="F40" s="0" t="n">
        <v>0</v>
      </c>
      <c r="G40" s="0" t="n">
        <v>208</v>
      </c>
      <c r="H40" s="0" t="s">
        <v>322</v>
      </c>
      <c r="I40" s="0" t="s">
        <v>294</v>
      </c>
      <c r="J40" s="0" t="n">
        <v>8</v>
      </c>
      <c r="K40" s="0" t="n">
        <v>0</v>
      </c>
      <c r="L40" s="0" t="s">
        <v>296</v>
      </c>
      <c r="N40" s="0" t="str">
        <f aca="false">IF(H40="","",IFERROR(LEFT(H40,FIND(" ",H40)-1),H40))</f>
        <v>6/4/2024</v>
      </c>
      <c r="O40" s="23" t="n">
        <f aca="false">IFERROR(DATE(VALUE(MID(N40,FIND("/",N40,FIND("/",N40)+1)+1,4)),VALUE(MID(N40,FIND("/",N40)+1,FIND("/",N40,FIND("/",N40)+1)-FIND("/",N40)-1)),VALUE(LEFT(N40,FIND("/",N40)-1))),0)</f>
        <v>45388</v>
      </c>
    </row>
    <row r="41" customFormat="false" ht="15" hidden="false" customHeight="false" outlineLevel="0" collapsed="false">
      <c r="A41" s="0" t="n">
        <v>4745736</v>
      </c>
      <c r="B41" s="0" t="s">
        <v>347</v>
      </c>
      <c r="C41" s="0" t="s">
        <v>168</v>
      </c>
      <c r="D41" s="0" t="s">
        <v>169</v>
      </c>
      <c r="E41" s="0" t="s">
        <v>294</v>
      </c>
      <c r="F41" s="0" t="n">
        <v>0</v>
      </c>
      <c r="G41" s="0" t="n">
        <v>208</v>
      </c>
      <c r="H41" s="0" t="s">
        <v>323</v>
      </c>
      <c r="I41" s="0" t="s">
        <v>352</v>
      </c>
      <c r="J41" s="0" t="n">
        <v>16</v>
      </c>
      <c r="K41" s="0" t="n">
        <v>0</v>
      </c>
      <c r="L41" s="0" t="s">
        <v>296</v>
      </c>
      <c r="N41" s="0" t="str">
        <f aca="false">IF(H41="","",IFERROR(LEFT(H41,FIND(" ",H41)-1),H41))</f>
        <v>13/7/2024</v>
      </c>
      <c r="O41" s="23" t="n">
        <f aca="false">IFERROR(DATE(VALUE(MID(N41,FIND("/",N41,FIND("/",N41)+1)+1,4)),VALUE(MID(N41,FIND("/",N41)+1,FIND("/",N41,FIND("/",N41)+1)-FIND("/",N41)-1)),VALUE(LEFT(N41,FIND("/",N41)-1))),0)</f>
        <v>45486</v>
      </c>
    </row>
    <row r="42" customFormat="false" ht="15" hidden="false" customHeight="false" outlineLevel="0" collapsed="false">
      <c r="A42" s="0" t="n">
        <v>4745736</v>
      </c>
      <c r="B42" s="0" t="s">
        <v>347</v>
      </c>
      <c r="C42" s="0" t="s">
        <v>168</v>
      </c>
      <c r="D42" s="0" t="s">
        <v>169</v>
      </c>
      <c r="E42" s="0" t="s">
        <v>294</v>
      </c>
      <c r="F42" s="0" t="n">
        <v>0</v>
      </c>
      <c r="G42" s="0" t="n">
        <v>208</v>
      </c>
      <c r="H42" s="0" t="s">
        <v>353</v>
      </c>
      <c r="I42" s="0" t="s">
        <v>354</v>
      </c>
      <c r="J42" s="0" t="n">
        <v>8</v>
      </c>
      <c r="K42" s="0" t="n">
        <v>0</v>
      </c>
      <c r="L42" s="0" t="s">
        <v>296</v>
      </c>
      <c r="N42" s="0" t="str">
        <f aca="false">IF(H42="","",IFERROR(LEFT(H42,FIND(" ",H42)-1),H42))</f>
        <v>7/9/2024</v>
      </c>
      <c r="O42" s="23" t="n">
        <f aca="false">IFERROR(DATE(VALUE(MID(N42,FIND("/",N42,FIND("/",N42)+1)+1,4)),VALUE(MID(N42,FIND("/",N42)+1,FIND("/",N42,FIND("/",N42)+1)-FIND("/",N42)-1)),VALUE(LEFT(N42,FIND("/",N42)-1))),0)</f>
        <v>45542</v>
      </c>
    </row>
    <row r="43" customFormat="false" ht="15" hidden="false" customHeight="false" outlineLevel="0" collapsed="false">
      <c r="A43" s="0" t="n">
        <v>4745736</v>
      </c>
      <c r="B43" s="0" t="s">
        <v>347</v>
      </c>
      <c r="C43" s="0" t="s">
        <v>168</v>
      </c>
      <c r="D43" s="0" t="s">
        <v>169</v>
      </c>
      <c r="E43" s="0" t="s">
        <v>294</v>
      </c>
      <c r="F43" s="0" t="n">
        <v>0</v>
      </c>
      <c r="G43" s="0" t="n">
        <v>208</v>
      </c>
      <c r="H43" s="0" t="s">
        <v>305</v>
      </c>
      <c r="I43" s="0" t="s">
        <v>306</v>
      </c>
      <c r="J43" s="0" t="n">
        <v>8</v>
      </c>
      <c r="K43" s="0" t="n">
        <v>0</v>
      </c>
      <c r="L43" s="0" t="s">
        <v>296</v>
      </c>
      <c r="N43" s="0" t="str">
        <f aca="false">IF(H43="","",IFERROR(LEFT(H43,FIND(" ",H43)-1),H43))</f>
        <v>14/12/2024</v>
      </c>
      <c r="O43" s="23" t="n">
        <f aca="false">IFERROR(DATE(VALUE(MID(N43,FIND("/",N43,FIND("/",N43)+1)+1,4)),VALUE(MID(N43,FIND("/",N43)+1,FIND("/",N43,FIND("/",N43)+1)-FIND("/",N43)-1)),VALUE(LEFT(N43,FIND("/",N43)-1))),0)</f>
        <v>45640</v>
      </c>
    </row>
    <row r="44" customFormat="false" ht="15" hidden="false" customHeight="false" outlineLevel="0" collapsed="false">
      <c r="A44" s="0" t="n">
        <v>4745736</v>
      </c>
      <c r="B44" s="0" t="s">
        <v>347</v>
      </c>
      <c r="C44" s="0" t="s">
        <v>168</v>
      </c>
      <c r="D44" s="0" t="s">
        <v>169</v>
      </c>
      <c r="E44" s="0" t="s">
        <v>294</v>
      </c>
      <c r="F44" s="0" t="n">
        <v>0</v>
      </c>
      <c r="G44" s="0" t="n">
        <v>208</v>
      </c>
      <c r="H44" s="0" t="s">
        <v>329</v>
      </c>
      <c r="I44" s="0" t="s">
        <v>355</v>
      </c>
      <c r="J44" s="0" t="n">
        <v>8</v>
      </c>
      <c r="K44" s="0" t="n">
        <v>0</v>
      </c>
      <c r="L44" s="0" t="s">
        <v>296</v>
      </c>
      <c r="N44" s="0" t="str">
        <f aca="false">IF(H44="","",IFERROR(LEFT(H44,FIND(" ",H44)-1),H44))</f>
        <v>8/3/2025</v>
      </c>
      <c r="O44" s="23" t="n">
        <f aca="false">IFERROR(DATE(VALUE(MID(N44,FIND("/",N44,FIND("/",N44)+1)+1,4)),VALUE(MID(N44,FIND("/",N44)+1,FIND("/",N44,FIND("/",N44)+1)-FIND("/",N44)-1)),VALUE(LEFT(N44,FIND("/",N44)-1))),0)</f>
        <v>45724</v>
      </c>
    </row>
    <row r="45" customFormat="false" ht="15" hidden="false" customHeight="false" outlineLevel="0" collapsed="false">
      <c r="A45" s="0" t="n">
        <v>4745736</v>
      </c>
      <c r="B45" s="0" t="s">
        <v>347</v>
      </c>
      <c r="C45" s="0" t="s">
        <v>168</v>
      </c>
      <c r="D45" s="0" t="s">
        <v>169</v>
      </c>
      <c r="E45" s="0" t="s">
        <v>294</v>
      </c>
      <c r="F45" s="0" t="n">
        <v>0</v>
      </c>
      <c r="G45" s="0" t="n">
        <v>208</v>
      </c>
      <c r="H45" s="0" t="s">
        <v>356</v>
      </c>
      <c r="I45" s="0" t="s">
        <v>357</v>
      </c>
      <c r="J45" s="0" t="n">
        <v>16</v>
      </c>
      <c r="K45" s="0" t="n">
        <v>0</v>
      </c>
      <c r="L45" s="0" t="s">
        <v>296</v>
      </c>
      <c r="N45" s="0" t="str">
        <f aca="false">IF(H45="","",IFERROR(LEFT(H45,FIND(" ",H45)-1),H45))</f>
        <v>31/5/2025</v>
      </c>
      <c r="O45" s="23" t="n">
        <f aca="false">IFERROR(DATE(VALUE(MID(N45,FIND("/",N45,FIND("/",N45)+1)+1,4)),VALUE(MID(N45,FIND("/",N45)+1,FIND("/",N45,FIND("/",N45)+1)-FIND("/",N45)-1)),VALUE(LEFT(N45,FIND("/",N45)-1))),0)</f>
        <v>45808</v>
      </c>
    </row>
    <row r="46" customFormat="false" ht="15" hidden="false" customHeight="false" outlineLevel="0" collapsed="false">
      <c r="A46" s="0" t="n">
        <v>4745736</v>
      </c>
      <c r="B46" s="0" t="s">
        <v>347</v>
      </c>
      <c r="C46" s="0" t="s">
        <v>168</v>
      </c>
      <c r="D46" s="0" t="s">
        <v>169</v>
      </c>
      <c r="E46" s="0" t="s">
        <v>294</v>
      </c>
      <c r="F46" s="0" t="n">
        <v>0</v>
      </c>
      <c r="G46" s="0" t="n">
        <v>208</v>
      </c>
      <c r="H46" s="0" t="s">
        <v>358</v>
      </c>
      <c r="I46" s="0" t="s">
        <v>359</v>
      </c>
      <c r="J46" s="0" t="n">
        <v>8</v>
      </c>
      <c r="K46" s="0" t="n">
        <v>0</v>
      </c>
      <c r="L46" s="0" t="s">
        <v>296</v>
      </c>
      <c r="N46" s="0" t="str">
        <f aca="false">IF(H46="","",IFERROR(LEFT(H46,FIND(" ",H46)-1),H46))</f>
        <v>6/9/2025</v>
      </c>
      <c r="O46" s="23" t="n">
        <f aca="false">IFERROR(DATE(VALUE(MID(N46,FIND("/",N46,FIND("/",N46)+1)+1,4)),VALUE(MID(N46,FIND("/",N46)+1,FIND("/",N46,FIND("/",N46)+1)-FIND("/",N46)-1)),VALUE(LEFT(N46,FIND("/",N46)-1))),0)</f>
        <v>45906</v>
      </c>
    </row>
    <row r="47" customFormat="false" ht="15" hidden="false" customHeight="false" outlineLevel="0" collapsed="false">
      <c r="A47" s="0" t="n">
        <v>4745736</v>
      </c>
      <c r="B47" s="0" t="s">
        <v>347</v>
      </c>
      <c r="C47" s="0" t="s">
        <v>168</v>
      </c>
      <c r="D47" s="0" t="s">
        <v>169</v>
      </c>
      <c r="E47" s="0" t="s">
        <v>294</v>
      </c>
      <c r="F47" s="0" t="n">
        <v>0</v>
      </c>
      <c r="G47" s="0" t="n">
        <v>208</v>
      </c>
      <c r="H47" s="0" t="s">
        <v>341</v>
      </c>
      <c r="I47" s="0" t="s">
        <v>342</v>
      </c>
      <c r="J47" s="0" t="n">
        <v>8</v>
      </c>
      <c r="K47" s="0" t="n">
        <v>0</v>
      </c>
      <c r="L47" s="0" t="s">
        <v>296</v>
      </c>
      <c r="N47" s="0" t="str">
        <f aca="false">IF(H47="","",IFERROR(LEFT(H47,FIND(" ",H47)-1),H47))</f>
        <v>27/12/2025</v>
      </c>
      <c r="O47" s="23" t="n">
        <f aca="false">IFERROR(DATE(VALUE(MID(N47,FIND("/",N47,FIND("/",N47)+1)+1,4)),VALUE(MID(N47,FIND("/",N47)+1,FIND("/",N47,FIND("/",N47)+1)-FIND("/",N47)-1)),VALUE(LEFT(N47,FIND("/",N47)-1))),0)</f>
        <v>46018</v>
      </c>
    </row>
    <row r="48" customFormat="false" ht="15" hidden="false" customHeight="false" outlineLevel="0" collapsed="false">
      <c r="A48" s="0" t="n">
        <v>4745736</v>
      </c>
      <c r="B48" s="0" t="s">
        <v>347</v>
      </c>
      <c r="C48" s="0" t="s">
        <v>168</v>
      </c>
      <c r="D48" s="0" t="s">
        <v>169</v>
      </c>
      <c r="E48" s="0" t="s">
        <v>294</v>
      </c>
      <c r="F48" s="0" t="n">
        <v>0</v>
      </c>
      <c r="G48" s="0" t="n">
        <v>208</v>
      </c>
      <c r="H48" s="0" t="s">
        <v>360</v>
      </c>
      <c r="I48" s="0" t="s">
        <v>361</v>
      </c>
      <c r="J48" s="0" t="n">
        <v>8</v>
      </c>
      <c r="K48" s="0" t="n">
        <v>0</v>
      </c>
      <c r="L48" s="0" t="s">
        <v>296</v>
      </c>
      <c r="N48" s="0" t="str">
        <f aca="false">IF(H48="","",IFERROR(LEFT(H48,FIND(" ",H48)-1),H48))</f>
        <v>7/3/2026</v>
      </c>
      <c r="O48" s="23" t="n">
        <f aca="false">IFERROR(DATE(VALUE(MID(N48,FIND("/",N48,FIND("/",N48)+1)+1,4)),VALUE(MID(N48,FIND("/",N48)+1,FIND("/",N48,FIND("/",N48)+1)-FIND("/",N48)-1)),VALUE(LEFT(N48,FIND("/",N48)-1))),0)</f>
        <v>46088</v>
      </c>
    </row>
    <row r="49" customFormat="false" ht="15" hidden="false" customHeight="false" outlineLevel="0" collapsed="false">
      <c r="A49" s="0" t="n">
        <v>4745736</v>
      </c>
      <c r="B49" s="0" t="s">
        <v>347</v>
      </c>
      <c r="C49" s="0" t="s">
        <v>168</v>
      </c>
      <c r="D49" s="0" t="s">
        <v>169</v>
      </c>
      <c r="E49" s="0" t="s">
        <v>294</v>
      </c>
      <c r="F49" s="0" t="n">
        <v>0</v>
      </c>
      <c r="G49" s="0" t="n">
        <v>208</v>
      </c>
      <c r="H49" s="0" t="s">
        <v>362</v>
      </c>
      <c r="I49" s="0" t="s">
        <v>363</v>
      </c>
      <c r="J49" s="0" t="n">
        <v>16</v>
      </c>
      <c r="K49" s="0" t="n">
        <v>0</v>
      </c>
      <c r="L49" s="0" t="s">
        <v>296</v>
      </c>
      <c r="N49" s="0" t="str">
        <f aca="false">IF(H49="","",IFERROR(LEFT(H49,FIND(" ",H49)-1),H49))</f>
        <v>30/5/2026</v>
      </c>
      <c r="O49" s="23" t="n">
        <f aca="false">IFERROR(DATE(VALUE(MID(N49,FIND("/",N49,FIND("/",N49)+1)+1,4)),VALUE(MID(N49,FIND("/",N49)+1,FIND("/",N49,FIND("/",N49)+1)-FIND("/",N49)-1)),VALUE(LEFT(N49,FIND("/",N49)-1))),0)</f>
        <v>46172</v>
      </c>
    </row>
    <row r="50" customFormat="false" ht="15" hidden="false" customHeight="false" outlineLevel="0" collapsed="false">
      <c r="A50" s="0" t="n">
        <v>4745773</v>
      </c>
      <c r="B50" s="0" t="s">
        <v>364</v>
      </c>
      <c r="C50" s="0" t="s">
        <v>170</v>
      </c>
      <c r="D50" s="0" t="s">
        <v>171</v>
      </c>
      <c r="E50" s="0" t="s">
        <v>294</v>
      </c>
      <c r="F50" s="0" t="n">
        <v>0</v>
      </c>
      <c r="G50" s="0" t="n">
        <v>40</v>
      </c>
      <c r="H50" s="0" t="s">
        <v>327</v>
      </c>
      <c r="I50" s="0" t="s">
        <v>365</v>
      </c>
      <c r="J50" s="0" t="n">
        <v>8</v>
      </c>
      <c r="K50" s="0" t="n">
        <v>0</v>
      </c>
      <c r="L50" s="0" t="s">
        <v>296</v>
      </c>
      <c r="N50" s="0" t="str">
        <f aca="false">IF(H50="","",IFERROR(LEFT(H50,FIND(" ",H50)-1),H50))</f>
        <v>8/2/2025</v>
      </c>
      <c r="O50" s="23" t="n">
        <f aca="false">IFERROR(DATE(VALUE(MID(N50,FIND("/",N50,FIND("/",N50)+1)+1,4)),VALUE(MID(N50,FIND("/",N50)+1,FIND("/",N50,FIND("/",N50)+1)-FIND("/",N50)-1)),VALUE(LEFT(N50,FIND("/",N50)-1))),0)</f>
        <v>45696</v>
      </c>
    </row>
    <row r="51" customFormat="false" ht="15" hidden="false" customHeight="false" outlineLevel="0" collapsed="false">
      <c r="A51" s="0" t="n">
        <v>4745773</v>
      </c>
      <c r="B51" s="0" t="s">
        <v>364</v>
      </c>
      <c r="C51" s="0" t="s">
        <v>170</v>
      </c>
      <c r="D51" s="0" t="s">
        <v>171</v>
      </c>
      <c r="E51" s="0" t="s">
        <v>294</v>
      </c>
      <c r="F51" s="0" t="n">
        <v>0</v>
      </c>
      <c r="G51" s="0" t="n">
        <v>40</v>
      </c>
      <c r="H51" s="0" t="s">
        <v>335</v>
      </c>
      <c r="I51" s="0" t="s">
        <v>336</v>
      </c>
      <c r="J51" s="0" t="n">
        <v>8</v>
      </c>
      <c r="K51" s="0" t="n">
        <v>0</v>
      </c>
      <c r="L51" s="0" t="s">
        <v>296</v>
      </c>
      <c r="N51" s="0" t="str">
        <f aca="false">IF(H51="","",IFERROR(LEFT(H51,FIND(" ",H51)-1),H51))</f>
        <v>3/5/2025</v>
      </c>
      <c r="O51" s="23" t="n">
        <f aca="false">IFERROR(DATE(VALUE(MID(N51,FIND("/",N51,FIND("/",N51)+1)+1,4)),VALUE(MID(N51,FIND("/",N51)+1,FIND("/",N51,FIND("/",N51)+1)-FIND("/",N51)-1)),VALUE(LEFT(N51,FIND("/",N51)-1))),0)</f>
        <v>45780</v>
      </c>
    </row>
    <row r="52" customFormat="false" ht="15" hidden="false" customHeight="false" outlineLevel="0" collapsed="false">
      <c r="A52" s="0" t="n">
        <v>4745773</v>
      </c>
      <c r="B52" s="0" t="s">
        <v>364</v>
      </c>
      <c r="C52" s="0" t="s">
        <v>170</v>
      </c>
      <c r="D52" s="0" t="s">
        <v>171</v>
      </c>
      <c r="E52" s="0" t="s">
        <v>294</v>
      </c>
      <c r="F52" s="0" t="n">
        <v>0</v>
      </c>
      <c r="G52" s="0" t="n">
        <v>40</v>
      </c>
      <c r="H52" s="0" t="s">
        <v>358</v>
      </c>
      <c r="I52" s="0" t="s">
        <v>359</v>
      </c>
      <c r="J52" s="0" t="n">
        <v>8</v>
      </c>
      <c r="K52" s="0" t="n">
        <v>0</v>
      </c>
      <c r="L52" s="0" t="s">
        <v>296</v>
      </c>
      <c r="N52" s="0" t="str">
        <f aca="false">IF(H52="","",IFERROR(LEFT(H52,FIND(" ",H52)-1),H52))</f>
        <v>6/9/2025</v>
      </c>
      <c r="O52" s="23" t="n">
        <f aca="false">IFERROR(DATE(VALUE(MID(N52,FIND("/",N52,FIND("/",N52)+1)+1,4)),VALUE(MID(N52,FIND("/",N52)+1,FIND("/",N52,FIND("/",N52)+1)-FIND("/",N52)-1)),VALUE(LEFT(N52,FIND("/",N52)-1))),0)</f>
        <v>45906</v>
      </c>
    </row>
    <row r="53" customFormat="false" ht="15" hidden="false" customHeight="false" outlineLevel="0" collapsed="false">
      <c r="A53" s="0" t="n">
        <v>4745773</v>
      </c>
      <c r="B53" s="0" t="s">
        <v>364</v>
      </c>
      <c r="C53" s="0" t="s">
        <v>170</v>
      </c>
      <c r="D53" s="0" t="s">
        <v>171</v>
      </c>
      <c r="E53" s="0" t="s">
        <v>294</v>
      </c>
      <c r="F53" s="0" t="n">
        <v>0</v>
      </c>
      <c r="G53" s="0" t="n">
        <v>40</v>
      </c>
      <c r="H53" s="0" t="s">
        <v>366</v>
      </c>
      <c r="I53" s="0" t="s">
        <v>367</v>
      </c>
      <c r="J53" s="0" t="n">
        <v>8</v>
      </c>
      <c r="K53" s="0" t="n">
        <v>0</v>
      </c>
      <c r="L53" s="0" t="s">
        <v>296</v>
      </c>
      <c r="N53" s="0" t="str">
        <f aca="false">IF(H53="","",IFERROR(LEFT(H53,FIND(" ",H53)-1),H53))</f>
        <v>10/1/2026</v>
      </c>
      <c r="O53" s="23" t="n">
        <f aca="false">IFERROR(DATE(VALUE(MID(N53,FIND("/",N53,FIND("/",N53)+1)+1,4)),VALUE(MID(N53,FIND("/",N53)+1,FIND("/",N53,FIND("/",N53)+1)-FIND("/",N53)-1)),VALUE(LEFT(N53,FIND("/",N53)-1))),0)</f>
        <v>46032</v>
      </c>
    </row>
    <row r="54" customFormat="false" ht="15" hidden="false" customHeight="false" outlineLevel="0" collapsed="false">
      <c r="A54" s="0" t="n">
        <v>4745773</v>
      </c>
      <c r="B54" s="0" t="s">
        <v>364</v>
      </c>
      <c r="C54" s="0" t="s">
        <v>170</v>
      </c>
      <c r="D54" s="0" t="s">
        <v>171</v>
      </c>
      <c r="E54" s="0" t="s">
        <v>294</v>
      </c>
      <c r="F54" s="0" t="n">
        <v>0</v>
      </c>
      <c r="G54" s="0" t="n">
        <v>40</v>
      </c>
      <c r="H54" s="0" t="s">
        <v>368</v>
      </c>
      <c r="I54" s="0" t="s">
        <v>369</v>
      </c>
      <c r="J54" s="0" t="n">
        <v>8</v>
      </c>
      <c r="K54" s="0" t="n">
        <v>0</v>
      </c>
      <c r="L54" s="0" t="s">
        <v>296</v>
      </c>
      <c r="N54" s="0" t="str">
        <f aca="false">IF(H54="","",IFERROR(LEFT(H54,FIND(" ",H54)-1),H54))</f>
        <v>2/5/2026</v>
      </c>
      <c r="O54" s="23" t="n">
        <f aca="false">IFERROR(DATE(VALUE(MID(N54,FIND("/",N54,FIND("/",N54)+1)+1,4)),VALUE(MID(N54,FIND("/",N54)+1,FIND("/",N54,FIND("/",N54)+1)-FIND("/",N54)-1)),VALUE(LEFT(N54,FIND("/",N54)-1))),0)</f>
        <v>46144</v>
      </c>
    </row>
    <row r="55" customFormat="false" ht="15" hidden="false" customHeight="false" outlineLevel="0" collapsed="false">
      <c r="A55" s="0" t="n">
        <v>4745777</v>
      </c>
      <c r="B55" s="0" t="s">
        <v>370</v>
      </c>
      <c r="C55" s="0" t="s">
        <v>371</v>
      </c>
      <c r="D55" s="0" t="s">
        <v>372</v>
      </c>
      <c r="E55" s="0" t="s">
        <v>294</v>
      </c>
      <c r="F55" s="0" t="n">
        <v>0</v>
      </c>
      <c r="G55" s="0" t="n">
        <v>0</v>
      </c>
      <c r="H55" s="0" t="s">
        <v>303</v>
      </c>
      <c r="I55" s="0" t="s">
        <v>304</v>
      </c>
      <c r="J55" s="0" t="n">
        <v>8</v>
      </c>
      <c r="K55" s="0" t="n">
        <v>0</v>
      </c>
      <c r="L55" s="0" t="s">
        <v>296</v>
      </c>
      <c r="N55" s="0" t="str">
        <f aca="false">IF(H55="","",IFERROR(LEFT(H55,FIND(" ",H55)-1),H55))</f>
        <v>24/8/2024</v>
      </c>
      <c r="O55" s="23" t="n">
        <f aca="false">IFERROR(DATE(VALUE(MID(N55,FIND("/",N55,FIND("/",N55)+1)+1,4)),VALUE(MID(N55,FIND("/",N55)+1,FIND("/",N55,FIND("/",N55)+1)-FIND("/",N55)-1)),VALUE(LEFT(N55,FIND("/",N55)-1))),0)</f>
        <v>45528</v>
      </c>
    </row>
    <row r="56" customFormat="false" ht="15" hidden="false" customHeight="false" outlineLevel="0" collapsed="false">
      <c r="A56" s="0" t="n">
        <v>4745777</v>
      </c>
      <c r="B56" s="0" t="s">
        <v>370</v>
      </c>
      <c r="C56" s="0" t="s">
        <v>371</v>
      </c>
      <c r="D56" s="0" t="s">
        <v>372</v>
      </c>
      <c r="E56" s="0" t="s">
        <v>294</v>
      </c>
      <c r="F56" s="0" t="n">
        <v>0</v>
      </c>
      <c r="G56" s="0" t="n">
        <v>0</v>
      </c>
      <c r="H56" s="0" t="s">
        <v>353</v>
      </c>
      <c r="I56" s="0" t="s">
        <v>354</v>
      </c>
      <c r="J56" s="0" t="n">
        <v>8</v>
      </c>
      <c r="K56" s="0" t="n">
        <v>0</v>
      </c>
      <c r="L56" s="0" t="s">
        <v>296</v>
      </c>
      <c r="N56" s="0" t="str">
        <f aca="false">IF(H56="","",IFERROR(LEFT(H56,FIND(" ",H56)-1),H56))</f>
        <v>7/9/2024</v>
      </c>
      <c r="O56" s="23" t="n">
        <f aca="false">IFERROR(DATE(VALUE(MID(N56,FIND("/",N56,FIND("/",N56)+1)+1,4)),VALUE(MID(N56,FIND("/",N56)+1,FIND("/",N56,FIND("/",N56)+1)-FIND("/",N56)-1)),VALUE(LEFT(N56,FIND("/",N56)-1))),0)</f>
        <v>45542</v>
      </c>
    </row>
    <row r="57" customFormat="false" ht="15" hidden="false" customHeight="false" outlineLevel="0" collapsed="false">
      <c r="A57" s="0" t="n">
        <v>4745777</v>
      </c>
      <c r="B57" s="0" t="s">
        <v>370</v>
      </c>
      <c r="C57" s="0" t="s">
        <v>371</v>
      </c>
      <c r="D57" s="0" t="s">
        <v>372</v>
      </c>
      <c r="E57" s="0" t="s">
        <v>294</v>
      </c>
      <c r="F57" s="0" t="n">
        <v>0</v>
      </c>
      <c r="G57" s="0" t="n">
        <v>0</v>
      </c>
      <c r="H57" s="0" t="s">
        <v>373</v>
      </c>
      <c r="I57" s="0" t="s">
        <v>374</v>
      </c>
      <c r="J57" s="0" t="n">
        <v>8</v>
      </c>
      <c r="K57" s="0" t="n">
        <v>0</v>
      </c>
      <c r="L57" s="0" t="s">
        <v>296</v>
      </c>
      <c r="N57" s="0" t="str">
        <f aca="false">IF(H57="","",IFERROR(LEFT(H57,FIND(" ",H57)-1),H57))</f>
        <v>11/1/2025</v>
      </c>
      <c r="O57" s="23" t="n">
        <f aca="false">IFERROR(DATE(VALUE(MID(N57,FIND("/",N57,FIND("/",N57)+1)+1,4)),VALUE(MID(N57,FIND("/",N57)+1,FIND("/",N57,FIND("/",N57)+1)-FIND("/",N57)-1)),VALUE(LEFT(N57,FIND("/",N57)-1))),0)</f>
        <v>45668</v>
      </c>
    </row>
    <row r="58" customFormat="false" ht="15" hidden="false" customHeight="false" outlineLevel="0" collapsed="false">
      <c r="A58" s="0" t="n">
        <v>4745777</v>
      </c>
      <c r="B58" s="0" t="s">
        <v>370</v>
      </c>
      <c r="C58" s="0" t="s">
        <v>371</v>
      </c>
      <c r="D58" s="0" t="s">
        <v>372</v>
      </c>
      <c r="E58" s="0" t="s">
        <v>294</v>
      </c>
      <c r="F58" s="0" t="n">
        <v>0</v>
      </c>
      <c r="G58" s="0" t="n">
        <v>0</v>
      </c>
      <c r="H58" s="0" t="s">
        <v>335</v>
      </c>
      <c r="I58" s="0" t="s">
        <v>336</v>
      </c>
      <c r="J58" s="0" t="n">
        <v>8</v>
      </c>
      <c r="K58" s="0" t="n">
        <v>0</v>
      </c>
      <c r="L58" s="0" t="s">
        <v>296</v>
      </c>
      <c r="N58" s="0" t="str">
        <f aca="false">IF(H58="","",IFERROR(LEFT(H58,FIND(" ",H58)-1),H58))</f>
        <v>3/5/2025</v>
      </c>
      <c r="O58" s="23" t="n">
        <f aca="false">IFERROR(DATE(VALUE(MID(N58,FIND("/",N58,FIND("/",N58)+1)+1,4)),VALUE(MID(N58,FIND("/",N58)+1,FIND("/",N58,FIND("/",N58)+1)-FIND("/",N58)-1)),VALUE(LEFT(N58,FIND("/",N58)-1))),0)</f>
        <v>45780</v>
      </c>
    </row>
    <row r="59" customFormat="false" ht="15" hidden="false" customHeight="false" outlineLevel="0" collapsed="false">
      <c r="A59" s="0" t="n">
        <v>4745777</v>
      </c>
      <c r="B59" s="0" t="s">
        <v>370</v>
      </c>
      <c r="C59" s="0" t="s">
        <v>371</v>
      </c>
      <c r="D59" s="0" t="s">
        <v>372</v>
      </c>
      <c r="E59" s="0" t="s">
        <v>294</v>
      </c>
      <c r="F59" s="0" t="n">
        <v>0</v>
      </c>
      <c r="G59" s="0" t="n">
        <v>0</v>
      </c>
      <c r="H59" s="0" t="s">
        <v>358</v>
      </c>
      <c r="I59" s="0" t="s">
        <v>359</v>
      </c>
      <c r="J59" s="0" t="n">
        <v>8</v>
      </c>
      <c r="K59" s="0" t="n">
        <v>0</v>
      </c>
      <c r="L59" s="0" t="s">
        <v>296</v>
      </c>
      <c r="N59" s="0" t="str">
        <f aca="false">IF(H59="","",IFERROR(LEFT(H59,FIND(" ",H59)-1),H59))</f>
        <v>6/9/2025</v>
      </c>
      <c r="O59" s="23" t="n">
        <f aca="false">IFERROR(DATE(VALUE(MID(N59,FIND("/",N59,FIND("/",N59)+1)+1,4)),VALUE(MID(N59,FIND("/",N59)+1,FIND("/",N59,FIND("/",N59)+1)-FIND("/",N59)-1)),VALUE(LEFT(N59,FIND("/",N59)-1))),0)</f>
        <v>45906</v>
      </c>
    </row>
    <row r="60" customFormat="false" ht="15" hidden="false" customHeight="false" outlineLevel="0" collapsed="false">
      <c r="A60" s="0" t="n">
        <v>4745777</v>
      </c>
      <c r="B60" s="0" t="s">
        <v>370</v>
      </c>
      <c r="C60" s="0" t="s">
        <v>371</v>
      </c>
      <c r="D60" s="0" t="s">
        <v>372</v>
      </c>
      <c r="E60" s="0" t="s">
        <v>294</v>
      </c>
      <c r="F60" s="0" t="n">
        <v>0</v>
      </c>
      <c r="G60" s="0" t="n">
        <v>0</v>
      </c>
      <c r="H60" s="0" t="s">
        <v>375</v>
      </c>
      <c r="I60" s="0" t="s">
        <v>376</v>
      </c>
      <c r="J60" s="0" t="n">
        <v>0</v>
      </c>
      <c r="K60" s="0" t="n">
        <v>8</v>
      </c>
      <c r="L60" s="0" t="s">
        <v>296</v>
      </c>
      <c r="N60" s="0" t="str">
        <f aca="false">IF(H60="","",IFERROR(LEFT(H60,FIND(" ",H60)-1),H60))</f>
        <v>13/12/2025</v>
      </c>
      <c r="O60" s="23" t="n">
        <f aca="false">IFERROR(DATE(VALUE(MID(N60,FIND("/",N60,FIND("/",N60)+1)+1,4)),VALUE(MID(N60,FIND("/",N60)+1,FIND("/",N60,FIND("/",N60)+1)-FIND("/",N60)-1)),VALUE(LEFT(N60,FIND("/",N60)-1))),0)</f>
        <v>46004</v>
      </c>
    </row>
    <row r="61" customFormat="false" ht="15" hidden="false" customHeight="false" outlineLevel="0" collapsed="false">
      <c r="A61" s="0" t="n">
        <v>4745777</v>
      </c>
      <c r="B61" s="0" t="s">
        <v>370</v>
      </c>
      <c r="C61" s="0" t="s">
        <v>371</v>
      </c>
      <c r="D61" s="0" t="s">
        <v>372</v>
      </c>
      <c r="E61" s="0" t="s">
        <v>294</v>
      </c>
      <c r="F61" s="0" t="n">
        <v>0</v>
      </c>
      <c r="G61" s="0" t="n">
        <v>0</v>
      </c>
      <c r="H61" s="0" t="s">
        <v>341</v>
      </c>
      <c r="I61" s="0" t="s">
        <v>377</v>
      </c>
      <c r="J61" s="0" t="n">
        <v>0</v>
      </c>
      <c r="K61" s="0" t="n">
        <v>8</v>
      </c>
      <c r="L61" s="0" t="s">
        <v>296</v>
      </c>
      <c r="N61" s="0" t="str">
        <f aca="false">IF(H61="","",IFERROR(LEFT(H61,FIND(" ",H61)-1),H61))</f>
        <v>27/12/2025</v>
      </c>
      <c r="O61" s="23" t="n">
        <f aca="false">IFERROR(DATE(VALUE(MID(N61,FIND("/",N61,FIND("/",N61)+1)+1,4)),VALUE(MID(N61,FIND("/",N61)+1,FIND("/",N61,FIND("/",N61)+1)-FIND("/",N61)-1)),VALUE(LEFT(N61,FIND("/",N61)-1))),0)</f>
        <v>46018</v>
      </c>
    </row>
    <row r="62" customFormat="false" ht="15" hidden="false" customHeight="false" outlineLevel="0" collapsed="false">
      <c r="A62" s="0" t="n">
        <v>4745777</v>
      </c>
      <c r="B62" s="0" t="s">
        <v>370</v>
      </c>
      <c r="C62" s="0" t="s">
        <v>371</v>
      </c>
      <c r="D62" s="0" t="s">
        <v>372</v>
      </c>
      <c r="E62" s="0" t="s">
        <v>294</v>
      </c>
      <c r="F62" s="0" t="n">
        <v>0</v>
      </c>
      <c r="G62" s="0" t="n">
        <v>0</v>
      </c>
      <c r="H62" s="0" t="s">
        <v>341</v>
      </c>
      <c r="I62" s="0" t="s">
        <v>378</v>
      </c>
      <c r="J62" s="0" t="n">
        <v>0</v>
      </c>
      <c r="K62" s="0" t="n">
        <v>8</v>
      </c>
      <c r="L62" s="0" t="s">
        <v>296</v>
      </c>
      <c r="N62" s="0" t="str">
        <f aca="false">IF(H62="","",IFERROR(LEFT(H62,FIND(" ",H62)-1),H62))</f>
        <v>27/12/2025</v>
      </c>
      <c r="O62" s="23" t="n">
        <f aca="false">IFERROR(DATE(VALUE(MID(N62,FIND("/",N62,FIND("/",N62)+1)+1,4)),VALUE(MID(N62,FIND("/",N62)+1,FIND("/",N62,FIND("/",N62)+1)-FIND("/",N62)-1)),VALUE(LEFT(N62,FIND("/",N62)-1))),0)</f>
        <v>46018</v>
      </c>
    </row>
    <row r="63" customFormat="false" ht="15" hidden="false" customHeight="false" outlineLevel="0" collapsed="false">
      <c r="A63" s="0" t="n">
        <v>4745777</v>
      </c>
      <c r="B63" s="0" t="s">
        <v>370</v>
      </c>
      <c r="C63" s="0" t="s">
        <v>371</v>
      </c>
      <c r="D63" s="0" t="s">
        <v>372</v>
      </c>
      <c r="E63" s="0" t="s">
        <v>294</v>
      </c>
      <c r="F63" s="0" t="n">
        <v>0</v>
      </c>
      <c r="G63" s="0" t="n">
        <v>0</v>
      </c>
      <c r="H63" s="0" t="s">
        <v>341</v>
      </c>
      <c r="I63" s="0" t="s">
        <v>379</v>
      </c>
      <c r="J63" s="0" t="n">
        <v>0</v>
      </c>
      <c r="K63" s="0" t="n">
        <v>8</v>
      </c>
      <c r="L63" s="0" t="s">
        <v>296</v>
      </c>
      <c r="N63" s="0" t="str">
        <f aca="false">IF(H63="","",IFERROR(LEFT(H63,FIND(" ",H63)-1),H63))</f>
        <v>27/12/2025</v>
      </c>
      <c r="O63" s="23" t="n">
        <f aca="false">IFERROR(DATE(VALUE(MID(N63,FIND("/",N63,FIND("/",N63)+1)+1,4)),VALUE(MID(N63,FIND("/",N63)+1,FIND("/",N63,FIND("/",N63)+1)-FIND("/",N63)-1)),VALUE(LEFT(N63,FIND("/",N63)-1))),0)</f>
        <v>46018</v>
      </c>
    </row>
    <row r="64" customFormat="false" ht="15" hidden="false" customHeight="false" outlineLevel="0" collapsed="false">
      <c r="A64" s="0" t="n">
        <v>4745777</v>
      </c>
      <c r="B64" s="0" t="s">
        <v>370</v>
      </c>
      <c r="C64" s="0" t="s">
        <v>371</v>
      </c>
      <c r="D64" s="0" t="s">
        <v>372</v>
      </c>
      <c r="E64" s="0" t="s">
        <v>294</v>
      </c>
      <c r="F64" s="0" t="n">
        <v>0</v>
      </c>
      <c r="G64" s="0" t="n">
        <v>0</v>
      </c>
      <c r="H64" s="0" t="s">
        <v>341</v>
      </c>
      <c r="I64" s="0" t="s">
        <v>380</v>
      </c>
      <c r="J64" s="0" t="n">
        <v>0</v>
      </c>
      <c r="K64" s="0" t="n">
        <v>8</v>
      </c>
      <c r="L64" s="0" t="s">
        <v>296</v>
      </c>
      <c r="N64" s="0" t="str">
        <f aca="false">IF(H64="","",IFERROR(LEFT(H64,FIND(" ",H64)-1),H64))</f>
        <v>27/12/2025</v>
      </c>
      <c r="O64" s="23" t="n">
        <f aca="false">IFERROR(DATE(VALUE(MID(N64,FIND("/",N64,FIND("/",N64)+1)+1,4)),VALUE(MID(N64,FIND("/",N64)+1,FIND("/",N64,FIND("/",N64)+1)-FIND("/",N64)-1)),VALUE(LEFT(N64,FIND("/",N64)-1))),0)</f>
        <v>46018</v>
      </c>
    </row>
    <row r="65" customFormat="false" ht="15" hidden="false" customHeight="false" outlineLevel="0" collapsed="false">
      <c r="A65" s="0" t="n">
        <v>4745968</v>
      </c>
      <c r="B65" s="0" t="s">
        <v>381</v>
      </c>
      <c r="C65" s="0" t="s">
        <v>176</v>
      </c>
      <c r="D65" s="0" t="s">
        <v>177</v>
      </c>
      <c r="E65" s="0" t="s">
        <v>294</v>
      </c>
      <c r="F65" s="0" t="n">
        <v>0</v>
      </c>
      <c r="G65" s="0" t="n">
        <v>348</v>
      </c>
      <c r="H65" s="0" t="s">
        <v>295</v>
      </c>
      <c r="J65" s="0" t="n">
        <v>208</v>
      </c>
      <c r="K65" s="0" t="n">
        <v>0</v>
      </c>
      <c r="L65" s="0" t="s">
        <v>296</v>
      </c>
      <c r="N65" s="0" t="str">
        <f aca="false">IF(H65="","",IFERROR(LEFT(H65,FIND(" ",H65)-1),H65))</f>
        <v>Opening</v>
      </c>
      <c r="O65" s="23" t="n">
        <f aca="false">IFERROR(DATE(VALUE(MID(N65,FIND("/",N65,FIND("/",N65)+1)+1,4)),VALUE(MID(N65,FIND("/",N65)+1,FIND("/",N65,FIND("/",N65)+1)-FIND("/",N65)-1)),VALUE(LEFT(N65,FIND("/",N65)-1))),0)</f>
        <v>0</v>
      </c>
    </row>
    <row r="66" customFormat="false" ht="15" hidden="false" customHeight="false" outlineLevel="0" collapsed="false">
      <c r="A66" s="0" t="n">
        <v>4745968</v>
      </c>
      <c r="B66" s="0" t="s">
        <v>381</v>
      </c>
      <c r="C66" s="0" t="s">
        <v>176</v>
      </c>
      <c r="D66" s="0" t="s">
        <v>177</v>
      </c>
      <c r="E66" s="0" t="s">
        <v>294</v>
      </c>
      <c r="F66" s="0" t="n">
        <v>0</v>
      </c>
      <c r="G66" s="0" t="n">
        <v>348</v>
      </c>
      <c r="H66" s="0" t="s">
        <v>298</v>
      </c>
      <c r="I66" s="0" t="s">
        <v>382</v>
      </c>
      <c r="J66" s="0" t="n">
        <v>0</v>
      </c>
      <c r="K66" s="0" t="n">
        <v>8</v>
      </c>
      <c r="L66" s="0" t="s">
        <v>296</v>
      </c>
      <c r="N66" s="0" t="str">
        <f aca="false">IF(H66="","",IFERROR(LEFT(H66,FIND(" ",H66)-1),H66))</f>
        <v>10/9/2022</v>
      </c>
      <c r="O66" s="23" t="n">
        <f aca="false">IFERROR(DATE(VALUE(MID(N66,FIND("/",N66,FIND("/",N66)+1)+1,4)),VALUE(MID(N66,FIND("/",N66)+1,FIND("/",N66,FIND("/",N66)+1)-FIND("/",N66)-1)),VALUE(LEFT(N66,FIND("/",N66)-1))),0)</f>
        <v>44814</v>
      </c>
    </row>
    <row r="67" customFormat="false" ht="15" hidden="false" customHeight="false" outlineLevel="0" collapsed="false">
      <c r="A67" s="0" t="n">
        <v>4745968</v>
      </c>
      <c r="B67" s="0" t="s">
        <v>381</v>
      </c>
      <c r="C67" s="0" t="s">
        <v>176</v>
      </c>
      <c r="D67" s="0" t="s">
        <v>177</v>
      </c>
      <c r="E67" s="0" t="s">
        <v>294</v>
      </c>
      <c r="F67" s="0" t="n">
        <v>0</v>
      </c>
      <c r="G67" s="0" t="n">
        <v>348</v>
      </c>
      <c r="H67" s="0" t="s">
        <v>318</v>
      </c>
      <c r="J67" s="0" t="n">
        <v>8</v>
      </c>
      <c r="K67" s="0" t="n">
        <v>0</v>
      </c>
      <c r="L67" s="0" t="s">
        <v>296</v>
      </c>
      <c r="N67" s="0" t="str">
        <f aca="false">IF(H67="","",IFERROR(LEFT(H67,FIND(" ",H67)-1),H67))</f>
        <v>5/11/2022</v>
      </c>
      <c r="O67" s="23" t="n">
        <f aca="false">IFERROR(DATE(VALUE(MID(N67,FIND("/",N67,FIND("/",N67)+1)+1,4)),VALUE(MID(N67,FIND("/",N67)+1,FIND("/",N67,FIND("/",N67)+1)-FIND("/",N67)-1)),VALUE(LEFT(N67,FIND("/",N67)-1))),0)</f>
        <v>44870</v>
      </c>
    </row>
    <row r="68" customFormat="false" ht="15" hidden="false" customHeight="false" outlineLevel="0" collapsed="false">
      <c r="A68" s="0" t="n">
        <v>4745968</v>
      </c>
      <c r="B68" s="0" t="s">
        <v>381</v>
      </c>
      <c r="C68" s="0" t="s">
        <v>176</v>
      </c>
      <c r="D68" s="0" t="s">
        <v>177</v>
      </c>
      <c r="E68" s="0" t="s">
        <v>294</v>
      </c>
      <c r="F68" s="0" t="n">
        <v>0</v>
      </c>
      <c r="G68" s="0" t="n">
        <v>348</v>
      </c>
      <c r="H68" s="0" t="s">
        <v>348</v>
      </c>
      <c r="J68" s="0" t="n">
        <v>8</v>
      </c>
      <c r="K68" s="0" t="n">
        <v>0</v>
      </c>
      <c r="L68" s="0" t="s">
        <v>296</v>
      </c>
      <c r="N68" s="0" t="str">
        <f aca="false">IF(H68="","",IFERROR(LEFT(H68,FIND(" ",H68)-1),H68))</f>
        <v>14/1/2023</v>
      </c>
      <c r="O68" s="23" t="n">
        <f aca="false">IFERROR(DATE(VALUE(MID(N68,FIND("/",N68,FIND("/",N68)+1)+1,4)),VALUE(MID(N68,FIND("/",N68)+1,FIND("/",N68,FIND("/",N68)+1)-FIND("/",N68)-1)),VALUE(LEFT(N68,FIND("/",N68)-1))),0)</f>
        <v>44940</v>
      </c>
    </row>
    <row r="69" customFormat="false" ht="15" hidden="false" customHeight="false" outlineLevel="0" collapsed="false">
      <c r="A69" s="0" t="n">
        <v>4745968</v>
      </c>
      <c r="B69" s="0" t="s">
        <v>381</v>
      </c>
      <c r="C69" s="0" t="s">
        <v>176</v>
      </c>
      <c r="D69" s="0" t="s">
        <v>177</v>
      </c>
      <c r="E69" s="0" t="s">
        <v>294</v>
      </c>
      <c r="F69" s="0" t="n">
        <v>0</v>
      </c>
      <c r="G69" s="0" t="n">
        <v>348</v>
      </c>
      <c r="H69" s="0" t="s">
        <v>383</v>
      </c>
      <c r="I69" s="0" t="s">
        <v>384</v>
      </c>
      <c r="J69" s="0" t="n">
        <v>0</v>
      </c>
      <c r="K69" s="0" t="n">
        <v>4</v>
      </c>
      <c r="L69" s="0" t="s">
        <v>296</v>
      </c>
      <c r="N69" s="0" t="str">
        <f aca="false">IF(H69="","",IFERROR(LEFT(H69,FIND(" ",H69)-1),H69))</f>
        <v>15/7/2023</v>
      </c>
      <c r="O69" s="23" t="n">
        <f aca="false">IFERROR(DATE(VALUE(MID(N69,FIND("/",N69,FIND("/",N69)+1)+1,4)),VALUE(MID(N69,FIND("/",N69)+1,FIND("/",N69,FIND("/",N69)+1)-FIND("/",N69)-1)),VALUE(LEFT(N69,FIND("/",N69)-1))),0)</f>
        <v>45122</v>
      </c>
    </row>
    <row r="70" customFormat="false" ht="15" hidden="false" customHeight="false" outlineLevel="0" collapsed="false">
      <c r="A70" s="0" t="n">
        <v>4745968</v>
      </c>
      <c r="B70" s="0" t="s">
        <v>381</v>
      </c>
      <c r="C70" s="0" t="s">
        <v>176</v>
      </c>
      <c r="D70" s="0" t="s">
        <v>177</v>
      </c>
      <c r="E70" s="0" t="s">
        <v>294</v>
      </c>
      <c r="F70" s="0" t="n">
        <v>0</v>
      </c>
      <c r="G70" s="0" t="n">
        <v>348</v>
      </c>
      <c r="H70" s="0" t="s">
        <v>320</v>
      </c>
      <c r="I70" s="0" t="s">
        <v>321</v>
      </c>
      <c r="J70" s="0" t="n">
        <v>24</v>
      </c>
      <c r="K70" s="0" t="n">
        <v>0</v>
      </c>
      <c r="L70" s="0" t="s">
        <v>296</v>
      </c>
      <c r="N70" s="0" t="str">
        <f aca="false">IF(H70="","",IFERROR(LEFT(H70,FIND(" ",H70)-1),H70))</f>
        <v>18/11/2023</v>
      </c>
      <c r="O70" s="23" t="n">
        <f aca="false">IFERROR(DATE(VALUE(MID(N70,FIND("/",N70,FIND("/",N70)+1)+1,4)),VALUE(MID(N70,FIND("/",N70)+1,FIND("/",N70,FIND("/",N70)+1)-FIND("/",N70)-1)),VALUE(LEFT(N70,FIND("/",N70)-1))),0)</f>
        <v>45248</v>
      </c>
    </row>
    <row r="71" customFormat="false" ht="15" hidden="false" customHeight="false" outlineLevel="0" collapsed="false">
      <c r="A71" s="0" t="n">
        <v>4745968</v>
      </c>
      <c r="B71" s="0" t="s">
        <v>381</v>
      </c>
      <c r="C71" s="0" t="s">
        <v>176</v>
      </c>
      <c r="D71" s="0" t="s">
        <v>177</v>
      </c>
      <c r="E71" s="0" t="s">
        <v>294</v>
      </c>
      <c r="F71" s="0" t="n">
        <v>0</v>
      </c>
      <c r="G71" s="0" t="n">
        <v>348</v>
      </c>
      <c r="H71" s="0" t="s">
        <v>351</v>
      </c>
      <c r="J71" s="0" t="n">
        <v>16</v>
      </c>
      <c r="K71" s="0" t="n">
        <v>0</v>
      </c>
      <c r="L71" s="0" t="s">
        <v>296</v>
      </c>
      <c r="N71" s="0" t="str">
        <f aca="false">IF(H71="","",IFERROR(LEFT(H71,FIND(" ",H71)-1),H71))</f>
        <v>10/2/2024</v>
      </c>
      <c r="O71" s="23" t="n">
        <f aca="false">IFERROR(DATE(VALUE(MID(N71,FIND("/",N71,FIND("/",N71)+1)+1,4)),VALUE(MID(N71,FIND("/",N71)+1,FIND("/",N71,FIND("/",N71)+1)-FIND("/",N71)-1)),VALUE(LEFT(N71,FIND("/",N71)-1))),0)</f>
        <v>45332</v>
      </c>
    </row>
    <row r="72" customFormat="false" ht="15" hidden="false" customHeight="false" outlineLevel="0" collapsed="false">
      <c r="A72" s="0" t="n">
        <v>4745968</v>
      </c>
      <c r="B72" s="0" t="s">
        <v>381</v>
      </c>
      <c r="C72" s="0" t="s">
        <v>176</v>
      </c>
      <c r="D72" s="0" t="s">
        <v>177</v>
      </c>
      <c r="E72" s="0" t="s">
        <v>294</v>
      </c>
      <c r="F72" s="0" t="n">
        <v>0</v>
      </c>
      <c r="G72" s="0" t="n">
        <v>348</v>
      </c>
      <c r="H72" s="0" t="s">
        <v>385</v>
      </c>
      <c r="I72" s="0" t="s">
        <v>386</v>
      </c>
      <c r="J72" s="0" t="n">
        <v>8</v>
      </c>
      <c r="K72" s="0" t="n">
        <v>0</v>
      </c>
      <c r="L72" s="0" t="s">
        <v>296</v>
      </c>
      <c r="N72" s="0" t="str">
        <f aca="false">IF(H72="","",IFERROR(LEFT(H72,FIND(" ",H72)-1),H72))</f>
        <v>4/5/2024</v>
      </c>
      <c r="O72" s="23" t="n">
        <f aca="false">IFERROR(DATE(VALUE(MID(N72,FIND("/",N72,FIND("/",N72)+1)+1,4)),VALUE(MID(N72,FIND("/",N72)+1,FIND("/",N72,FIND("/",N72)+1)-FIND("/",N72)-1)),VALUE(LEFT(N72,FIND("/",N72)-1))),0)</f>
        <v>45416</v>
      </c>
    </row>
    <row r="73" customFormat="false" ht="15" hidden="false" customHeight="false" outlineLevel="0" collapsed="false">
      <c r="A73" s="0" t="n">
        <v>4745968</v>
      </c>
      <c r="B73" s="0" t="s">
        <v>381</v>
      </c>
      <c r="C73" s="0" t="s">
        <v>176</v>
      </c>
      <c r="D73" s="0" t="s">
        <v>177</v>
      </c>
      <c r="E73" s="0" t="s">
        <v>294</v>
      </c>
      <c r="F73" s="0" t="n">
        <v>0</v>
      </c>
      <c r="G73" s="0" t="n">
        <v>348</v>
      </c>
      <c r="H73" s="0" t="s">
        <v>303</v>
      </c>
      <c r="I73" s="0" t="s">
        <v>304</v>
      </c>
      <c r="J73" s="0" t="n">
        <v>8</v>
      </c>
      <c r="K73" s="0" t="n">
        <v>0</v>
      </c>
      <c r="L73" s="0" t="s">
        <v>296</v>
      </c>
      <c r="N73" s="0" t="str">
        <f aca="false">IF(H73="","",IFERROR(LEFT(H73,FIND(" ",H73)-1),H73))</f>
        <v>24/8/2024</v>
      </c>
      <c r="O73" s="23" t="n">
        <f aca="false">IFERROR(DATE(VALUE(MID(N73,FIND("/",N73,FIND("/",N73)+1)+1,4)),VALUE(MID(N73,FIND("/",N73)+1,FIND("/",N73,FIND("/",N73)+1)-FIND("/",N73)-1)),VALUE(LEFT(N73,FIND("/",N73)-1))),0)</f>
        <v>45528</v>
      </c>
    </row>
    <row r="74" customFormat="false" ht="15" hidden="false" customHeight="false" outlineLevel="0" collapsed="false">
      <c r="A74" s="0" t="n">
        <v>4745968</v>
      </c>
      <c r="B74" s="0" t="s">
        <v>381</v>
      </c>
      <c r="C74" s="0" t="s">
        <v>176</v>
      </c>
      <c r="D74" s="0" t="s">
        <v>177</v>
      </c>
      <c r="E74" s="0" t="s">
        <v>294</v>
      </c>
      <c r="F74" s="0" t="n">
        <v>0</v>
      </c>
      <c r="G74" s="0" t="n">
        <v>348</v>
      </c>
      <c r="H74" s="0" t="s">
        <v>325</v>
      </c>
      <c r="I74" s="0" t="s">
        <v>326</v>
      </c>
      <c r="J74" s="0" t="n">
        <v>8</v>
      </c>
      <c r="K74" s="0" t="n">
        <v>0</v>
      </c>
      <c r="L74" s="0" t="s">
        <v>296</v>
      </c>
      <c r="N74" s="0" t="str">
        <f aca="false">IF(H74="","",IFERROR(LEFT(H74,FIND(" ",H74)-1),H74))</f>
        <v>19/10/2024</v>
      </c>
      <c r="O74" s="23" t="n">
        <f aca="false">IFERROR(DATE(VALUE(MID(N74,FIND("/",N74,FIND("/",N74)+1)+1,4)),VALUE(MID(N74,FIND("/",N74)+1,FIND("/",N74,FIND("/",N74)+1)-FIND("/",N74)-1)),VALUE(LEFT(N74,FIND("/",N74)-1))),0)</f>
        <v>45584</v>
      </c>
    </row>
    <row r="75" customFormat="false" ht="15" hidden="false" customHeight="false" outlineLevel="0" collapsed="false">
      <c r="A75" s="0" t="n">
        <v>4745968</v>
      </c>
      <c r="B75" s="0" t="s">
        <v>381</v>
      </c>
      <c r="C75" s="0" t="s">
        <v>176</v>
      </c>
      <c r="D75" s="0" t="s">
        <v>177</v>
      </c>
      <c r="E75" s="0" t="s">
        <v>294</v>
      </c>
      <c r="F75" s="0" t="n">
        <v>0</v>
      </c>
      <c r="G75" s="0" t="n">
        <v>348</v>
      </c>
      <c r="H75" s="0" t="s">
        <v>373</v>
      </c>
      <c r="I75" s="0" t="s">
        <v>387</v>
      </c>
      <c r="J75" s="0" t="n">
        <v>16</v>
      </c>
      <c r="K75" s="0" t="n">
        <v>0</v>
      </c>
      <c r="L75" s="0" t="s">
        <v>296</v>
      </c>
      <c r="N75" s="0" t="str">
        <f aca="false">IF(H75="","",IFERROR(LEFT(H75,FIND(" ",H75)-1),H75))</f>
        <v>11/1/2025</v>
      </c>
      <c r="O75" s="23" t="n">
        <f aca="false">IFERROR(DATE(VALUE(MID(N75,FIND("/",N75,FIND("/",N75)+1)+1,4)),VALUE(MID(N75,FIND("/",N75)+1,FIND("/",N75,FIND("/",N75)+1)-FIND("/",N75)-1)),VALUE(LEFT(N75,FIND("/",N75)-1))),0)</f>
        <v>45668</v>
      </c>
    </row>
    <row r="76" customFormat="false" ht="15" hidden="false" customHeight="false" outlineLevel="0" collapsed="false">
      <c r="A76" s="0" t="n">
        <v>4745968</v>
      </c>
      <c r="B76" s="0" t="s">
        <v>381</v>
      </c>
      <c r="C76" s="0" t="s">
        <v>176</v>
      </c>
      <c r="D76" s="0" t="s">
        <v>177</v>
      </c>
      <c r="E76" s="0" t="s">
        <v>294</v>
      </c>
      <c r="F76" s="0" t="n">
        <v>0</v>
      </c>
      <c r="G76" s="0" t="n">
        <v>348</v>
      </c>
      <c r="H76" s="0" t="s">
        <v>307</v>
      </c>
      <c r="I76" s="0" t="s">
        <v>313</v>
      </c>
      <c r="J76" s="0" t="n">
        <v>8</v>
      </c>
      <c r="K76" s="0" t="n">
        <v>0</v>
      </c>
      <c r="L76" s="0" t="s">
        <v>296</v>
      </c>
      <c r="N76" s="0" t="str">
        <f aca="false">IF(H76="","",IFERROR(LEFT(H76,FIND(" ",H76)-1),H76))</f>
        <v>5/4/2025</v>
      </c>
      <c r="O76" s="23" t="n">
        <f aca="false">IFERROR(DATE(VALUE(MID(N76,FIND("/",N76,FIND("/",N76)+1)+1,4)),VALUE(MID(N76,FIND("/",N76)+1,FIND("/",N76,FIND("/",N76)+1)-FIND("/",N76)-1)),VALUE(LEFT(N76,FIND("/",N76)-1))),0)</f>
        <v>45752</v>
      </c>
    </row>
    <row r="77" customFormat="false" ht="15" hidden="false" customHeight="false" outlineLevel="0" collapsed="false">
      <c r="A77" s="0" t="n">
        <v>4745968</v>
      </c>
      <c r="B77" s="0" t="s">
        <v>381</v>
      </c>
      <c r="C77" s="0" t="s">
        <v>176</v>
      </c>
      <c r="D77" s="0" t="s">
        <v>177</v>
      </c>
      <c r="E77" s="0" t="s">
        <v>294</v>
      </c>
      <c r="F77" s="0" t="n">
        <v>0</v>
      </c>
      <c r="G77" s="0" t="n">
        <v>348</v>
      </c>
      <c r="H77" s="0" t="s">
        <v>388</v>
      </c>
      <c r="I77" s="0" t="s">
        <v>389</v>
      </c>
      <c r="J77" s="0" t="n">
        <v>8</v>
      </c>
      <c r="K77" s="0" t="n">
        <v>0</v>
      </c>
      <c r="L77" s="0" t="s">
        <v>296</v>
      </c>
      <c r="N77" s="0" t="str">
        <f aca="false">IF(H77="","",IFERROR(LEFT(H77,FIND(" ",H77)-1),H77))</f>
        <v>12/7/2025</v>
      </c>
      <c r="O77" s="23" t="n">
        <f aca="false">IFERROR(DATE(VALUE(MID(N77,FIND("/",N77,FIND("/",N77)+1)+1,4)),VALUE(MID(N77,FIND("/",N77)+1,FIND("/",N77,FIND("/",N77)+1)-FIND("/",N77)-1)),VALUE(LEFT(N77,FIND("/",N77)-1))),0)</f>
        <v>45850</v>
      </c>
    </row>
    <row r="78" customFormat="false" ht="15" hidden="false" customHeight="false" outlineLevel="0" collapsed="false">
      <c r="A78" s="0" t="n">
        <v>4745968</v>
      </c>
      <c r="B78" s="0" t="s">
        <v>381</v>
      </c>
      <c r="C78" s="0" t="s">
        <v>176</v>
      </c>
      <c r="D78" s="0" t="s">
        <v>177</v>
      </c>
      <c r="E78" s="0" t="s">
        <v>294</v>
      </c>
      <c r="F78" s="0" t="n">
        <v>0</v>
      </c>
      <c r="G78" s="0" t="n">
        <v>348</v>
      </c>
      <c r="H78" s="0" t="s">
        <v>390</v>
      </c>
      <c r="I78" s="0" t="s">
        <v>391</v>
      </c>
      <c r="J78" s="0" t="n">
        <v>8</v>
      </c>
      <c r="K78" s="0" t="n">
        <v>0</v>
      </c>
      <c r="L78" s="0" t="s">
        <v>296</v>
      </c>
      <c r="N78" s="0" t="str">
        <f aca="false">IF(H78="","",IFERROR(LEFT(H78,FIND(" ",H78)-1),H78))</f>
        <v>18/10/2025</v>
      </c>
      <c r="O78" s="23" t="n">
        <f aca="false">IFERROR(DATE(VALUE(MID(N78,FIND("/",N78,FIND("/",N78)+1)+1,4)),VALUE(MID(N78,FIND("/",N78)+1,FIND("/",N78,FIND("/",N78)+1)-FIND("/",N78)-1)),VALUE(LEFT(N78,FIND("/",N78)-1))),0)</f>
        <v>45948</v>
      </c>
    </row>
    <row r="79" customFormat="false" ht="15" hidden="false" customHeight="false" outlineLevel="0" collapsed="false">
      <c r="A79" s="0" t="n">
        <v>4745968</v>
      </c>
      <c r="B79" s="0" t="s">
        <v>381</v>
      </c>
      <c r="C79" s="0" t="s">
        <v>176</v>
      </c>
      <c r="D79" s="0" t="s">
        <v>177</v>
      </c>
      <c r="E79" s="0" t="s">
        <v>294</v>
      </c>
      <c r="F79" s="0" t="n">
        <v>0</v>
      </c>
      <c r="G79" s="0" t="n">
        <v>348</v>
      </c>
      <c r="H79" s="0" t="s">
        <v>366</v>
      </c>
      <c r="I79" s="0" t="s">
        <v>392</v>
      </c>
      <c r="J79" s="0" t="n">
        <v>16</v>
      </c>
      <c r="K79" s="0" t="n">
        <v>0</v>
      </c>
      <c r="L79" s="0" t="s">
        <v>296</v>
      </c>
      <c r="N79" s="0" t="str">
        <f aca="false">IF(H79="","",IFERROR(LEFT(H79,FIND(" ",H79)-1),H79))</f>
        <v>10/1/2026</v>
      </c>
      <c r="O79" s="23" t="n">
        <f aca="false">IFERROR(DATE(VALUE(MID(N79,FIND("/",N79,FIND("/",N79)+1)+1,4)),VALUE(MID(N79,FIND("/",N79)+1,FIND("/",N79,FIND("/",N79)+1)-FIND("/",N79)-1)),VALUE(LEFT(N79,FIND("/",N79)-1))),0)</f>
        <v>46032</v>
      </c>
    </row>
    <row r="80" customFormat="false" ht="15" hidden="false" customHeight="false" outlineLevel="0" collapsed="false">
      <c r="A80" s="0" t="n">
        <v>4745968</v>
      </c>
      <c r="B80" s="0" t="s">
        <v>381</v>
      </c>
      <c r="C80" s="0" t="s">
        <v>176</v>
      </c>
      <c r="D80" s="0" t="s">
        <v>177</v>
      </c>
      <c r="E80" s="0" t="s">
        <v>294</v>
      </c>
      <c r="F80" s="0" t="n">
        <v>0</v>
      </c>
      <c r="G80" s="0" t="n">
        <v>348</v>
      </c>
      <c r="H80" s="0" t="s">
        <v>393</v>
      </c>
      <c r="I80" s="0" t="s">
        <v>394</v>
      </c>
      <c r="J80" s="0" t="n">
        <v>8</v>
      </c>
      <c r="K80" s="0" t="n">
        <v>0</v>
      </c>
      <c r="L80" s="0" t="s">
        <v>296</v>
      </c>
      <c r="N80" s="0" t="str">
        <f aca="false">IF(H80="","",IFERROR(LEFT(H80,FIND(" ",H80)-1),H80))</f>
        <v>4/4/2026</v>
      </c>
      <c r="O80" s="23" t="n">
        <f aca="false">IFERROR(DATE(VALUE(MID(N80,FIND("/",N80,FIND("/",N80)+1)+1,4)),VALUE(MID(N80,FIND("/",N80)+1,FIND("/",N80,FIND("/",N80)+1)-FIND("/",N80)-1)),VALUE(LEFT(N80,FIND("/",N80)-1))),0)</f>
        <v>46116</v>
      </c>
    </row>
    <row r="81" customFormat="false" ht="15" hidden="false" customHeight="false" outlineLevel="0" collapsed="false">
      <c r="A81" s="0" t="n">
        <v>4745968</v>
      </c>
      <c r="B81" s="0" t="s">
        <v>381</v>
      </c>
      <c r="C81" s="0" t="s">
        <v>176</v>
      </c>
      <c r="D81" s="0" t="s">
        <v>177</v>
      </c>
      <c r="E81" s="0" t="s">
        <v>294</v>
      </c>
      <c r="F81" s="0" t="n">
        <v>0</v>
      </c>
      <c r="G81" s="0" t="n">
        <v>348</v>
      </c>
      <c r="H81" s="0" t="s">
        <v>395</v>
      </c>
      <c r="I81" s="0" t="s">
        <v>396</v>
      </c>
      <c r="J81" s="0" t="n">
        <v>8</v>
      </c>
      <c r="K81" s="0" t="n">
        <v>0</v>
      </c>
      <c r="L81" s="0" t="s">
        <v>296</v>
      </c>
      <c r="N81" s="0" t="str">
        <f aca="false">IF(H81="","",IFERROR(LEFT(H81,FIND(" ",H81)-1),H81))</f>
        <v>25/7/2026</v>
      </c>
      <c r="O81" s="23" t="n">
        <f aca="false">IFERROR(DATE(VALUE(MID(N81,FIND("/",N81,FIND("/",N81)+1)+1,4)),VALUE(MID(N81,FIND("/",N81)+1,FIND("/",N81,FIND("/",N81)+1)-FIND("/",N81)-1)),VALUE(LEFT(N81,FIND("/",N81)-1))),0)</f>
        <v>46228</v>
      </c>
    </row>
    <row r="82" customFormat="false" ht="15" hidden="false" customHeight="false" outlineLevel="0" collapsed="false">
      <c r="A82" s="0" t="n">
        <v>4745971</v>
      </c>
      <c r="B82" s="0" t="s">
        <v>397</v>
      </c>
      <c r="C82" s="0" t="s">
        <v>191</v>
      </c>
      <c r="D82" s="0" t="s">
        <v>192</v>
      </c>
      <c r="E82" s="0" t="s">
        <v>294</v>
      </c>
      <c r="F82" s="0" t="n">
        <v>0</v>
      </c>
      <c r="G82" s="0" t="n">
        <v>0</v>
      </c>
      <c r="H82" s="0" t="s">
        <v>295</v>
      </c>
      <c r="J82" s="0" t="n">
        <v>88</v>
      </c>
      <c r="K82" s="0" t="n">
        <v>0</v>
      </c>
      <c r="L82" s="0" t="s">
        <v>296</v>
      </c>
      <c r="N82" s="0" t="str">
        <f aca="false">IF(H82="","",IFERROR(LEFT(H82,FIND(" ",H82)-1),H82))</f>
        <v>Opening</v>
      </c>
      <c r="O82" s="23" t="n">
        <f aca="false">IFERROR(DATE(VALUE(MID(N82,FIND("/",N82,FIND("/",N82)+1)+1,4)),VALUE(MID(N82,FIND("/",N82)+1,FIND("/",N82,FIND("/",N82)+1)-FIND("/",N82)-1)),VALUE(LEFT(N82,FIND("/",N82)-1))),0)</f>
        <v>0</v>
      </c>
    </row>
    <row r="83" customFormat="false" ht="15" hidden="false" customHeight="false" outlineLevel="0" collapsed="false">
      <c r="A83" s="0" t="n">
        <v>4745971</v>
      </c>
      <c r="B83" s="0" t="s">
        <v>397</v>
      </c>
      <c r="C83" s="0" t="s">
        <v>191</v>
      </c>
      <c r="D83" s="0" t="s">
        <v>192</v>
      </c>
      <c r="E83" s="0" t="s">
        <v>294</v>
      </c>
      <c r="F83" s="0" t="n">
        <v>0</v>
      </c>
      <c r="G83" s="0" t="n">
        <v>0</v>
      </c>
      <c r="H83" s="0" t="s">
        <v>298</v>
      </c>
      <c r="J83" s="0" t="n">
        <v>8</v>
      </c>
      <c r="K83" s="0" t="n">
        <v>0</v>
      </c>
      <c r="L83" s="0" t="s">
        <v>296</v>
      </c>
      <c r="N83" s="0" t="str">
        <f aca="false">IF(H83="","",IFERROR(LEFT(H83,FIND(" ",H83)-1),H83))</f>
        <v>10/9/2022</v>
      </c>
      <c r="O83" s="23" t="n">
        <f aca="false">IFERROR(DATE(VALUE(MID(N83,FIND("/",N83,FIND("/",N83)+1)+1,4)),VALUE(MID(N83,FIND("/",N83)+1,FIND("/",N83,FIND("/",N83)+1)-FIND("/",N83)-1)),VALUE(LEFT(N83,FIND("/",N83)-1))),0)</f>
        <v>44814</v>
      </c>
    </row>
    <row r="84" customFormat="false" ht="15" hidden="false" customHeight="false" outlineLevel="0" collapsed="false">
      <c r="A84" s="0" t="n">
        <v>4745971</v>
      </c>
      <c r="B84" s="0" t="s">
        <v>397</v>
      </c>
      <c r="C84" s="0" t="s">
        <v>191</v>
      </c>
      <c r="D84" s="0" t="s">
        <v>192</v>
      </c>
      <c r="E84" s="0" t="s">
        <v>294</v>
      </c>
      <c r="F84" s="0" t="n">
        <v>0</v>
      </c>
      <c r="G84" s="0" t="n">
        <v>0</v>
      </c>
      <c r="H84" s="0" t="s">
        <v>348</v>
      </c>
      <c r="I84" s="0" t="s">
        <v>398</v>
      </c>
      <c r="J84" s="0" t="n">
        <v>8</v>
      </c>
      <c r="K84" s="0" t="n">
        <v>0</v>
      </c>
      <c r="L84" s="0" t="s">
        <v>296</v>
      </c>
      <c r="N84" s="0" t="str">
        <f aca="false">IF(H84="","",IFERROR(LEFT(H84,FIND(" ",H84)-1),H84))</f>
        <v>14/1/2023</v>
      </c>
      <c r="O84" s="23" t="n">
        <f aca="false">IFERROR(DATE(VALUE(MID(N84,FIND("/",N84,FIND("/",N84)+1)+1,4)),VALUE(MID(N84,FIND("/",N84)+1,FIND("/",N84,FIND("/",N84)+1)-FIND("/",N84)-1)),VALUE(LEFT(N84,FIND("/",N84)-1))),0)</f>
        <v>44940</v>
      </c>
    </row>
    <row r="85" customFormat="false" ht="15" hidden="false" customHeight="false" outlineLevel="0" collapsed="false">
      <c r="A85" s="0" t="n">
        <v>4745971</v>
      </c>
      <c r="B85" s="0" t="s">
        <v>397</v>
      </c>
      <c r="C85" s="0" t="s">
        <v>191</v>
      </c>
      <c r="D85" s="0" t="s">
        <v>192</v>
      </c>
      <c r="E85" s="0" t="s">
        <v>294</v>
      </c>
      <c r="F85" s="0" t="n">
        <v>0</v>
      </c>
      <c r="G85" s="0" t="n">
        <v>0</v>
      </c>
      <c r="H85" s="0" t="s">
        <v>348</v>
      </c>
      <c r="I85" s="0" t="s">
        <v>399</v>
      </c>
      <c r="J85" s="0" t="n">
        <v>0</v>
      </c>
      <c r="K85" s="0" t="n">
        <v>4</v>
      </c>
      <c r="L85" s="0" t="s">
        <v>296</v>
      </c>
      <c r="N85" s="0" t="str">
        <f aca="false">IF(H85="","",IFERROR(LEFT(H85,FIND(" ",H85)-1),H85))</f>
        <v>14/1/2023</v>
      </c>
      <c r="O85" s="23" t="n">
        <f aca="false">IFERROR(DATE(VALUE(MID(N85,FIND("/",N85,FIND("/",N85)+1)+1,4)),VALUE(MID(N85,FIND("/",N85)+1,FIND("/",N85,FIND("/",N85)+1)-FIND("/",N85)-1)),VALUE(LEFT(N85,FIND("/",N85)-1))),0)</f>
        <v>44940</v>
      </c>
    </row>
    <row r="86" customFormat="false" ht="15" hidden="false" customHeight="false" outlineLevel="0" collapsed="false">
      <c r="A86" s="0" t="n">
        <v>4745971</v>
      </c>
      <c r="B86" s="0" t="s">
        <v>397</v>
      </c>
      <c r="C86" s="0" t="s">
        <v>191</v>
      </c>
      <c r="D86" s="0" t="s">
        <v>192</v>
      </c>
      <c r="E86" s="0" t="s">
        <v>294</v>
      </c>
      <c r="F86" s="0" t="n">
        <v>0</v>
      </c>
      <c r="G86" s="0" t="n">
        <v>0</v>
      </c>
      <c r="H86" s="0" t="s">
        <v>319</v>
      </c>
      <c r="J86" s="0" t="n">
        <v>16</v>
      </c>
      <c r="K86" s="0" t="n">
        <v>0</v>
      </c>
      <c r="L86" s="0" t="s">
        <v>296</v>
      </c>
      <c r="N86" s="0" t="str">
        <f aca="false">IF(H86="","",IFERROR(LEFT(H86,FIND(" ",H86)-1),H86))</f>
        <v>11/2/2023</v>
      </c>
      <c r="O86" s="23" t="n">
        <f aca="false">IFERROR(DATE(VALUE(MID(N86,FIND("/",N86,FIND("/",N86)+1)+1,4)),VALUE(MID(N86,FIND("/",N86)+1,FIND("/",N86,FIND("/",N86)+1)-FIND("/",N86)-1)),VALUE(LEFT(N86,FIND("/",N86)-1))),0)</f>
        <v>44968</v>
      </c>
    </row>
    <row r="87" customFormat="false" ht="15" hidden="false" customHeight="false" outlineLevel="0" collapsed="false">
      <c r="A87" s="0" t="n">
        <v>4745971</v>
      </c>
      <c r="B87" s="0" t="s">
        <v>397</v>
      </c>
      <c r="C87" s="0" t="s">
        <v>191</v>
      </c>
      <c r="D87" s="0" t="s">
        <v>192</v>
      </c>
      <c r="E87" s="0" t="s">
        <v>294</v>
      </c>
      <c r="F87" s="0" t="n">
        <v>0</v>
      </c>
      <c r="G87" s="0" t="n">
        <v>0</v>
      </c>
      <c r="H87" s="0" t="s">
        <v>349</v>
      </c>
      <c r="I87" s="0" t="s">
        <v>400</v>
      </c>
      <c r="J87" s="0" t="n">
        <v>0</v>
      </c>
      <c r="K87" s="0" t="n">
        <v>8</v>
      </c>
      <c r="L87" s="0" t="s">
        <v>296</v>
      </c>
      <c r="N87" s="0" t="str">
        <f aca="false">IF(H87="","",IFERROR(LEFT(H87,FIND(" ",H87)-1),H87))</f>
        <v>25/2/2023</v>
      </c>
      <c r="O87" s="23" t="n">
        <f aca="false">IFERROR(DATE(VALUE(MID(N87,FIND("/",N87,FIND("/",N87)+1)+1,4)),VALUE(MID(N87,FIND("/",N87)+1,FIND("/",N87,FIND("/",N87)+1)-FIND("/",N87)-1)),VALUE(LEFT(N87,FIND("/",N87)-1))),0)</f>
        <v>44982</v>
      </c>
    </row>
    <row r="88" customFormat="false" ht="15" hidden="false" customHeight="false" outlineLevel="0" collapsed="false">
      <c r="A88" s="0" t="n">
        <v>4745971</v>
      </c>
      <c r="B88" s="0" t="s">
        <v>397</v>
      </c>
      <c r="C88" s="0" t="s">
        <v>191</v>
      </c>
      <c r="D88" s="0" t="s">
        <v>192</v>
      </c>
      <c r="E88" s="0" t="s">
        <v>294</v>
      </c>
      <c r="F88" s="0" t="n">
        <v>0</v>
      </c>
      <c r="G88" s="0" t="n">
        <v>0</v>
      </c>
      <c r="H88" s="0" t="s">
        <v>401</v>
      </c>
      <c r="I88" s="0" t="s">
        <v>402</v>
      </c>
      <c r="J88" s="0" t="n">
        <v>0</v>
      </c>
      <c r="K88" s="0" t="n">
        <v>8</v>
      </c>
      <c r="L88" s="0" t="s">
        <v>296</v>
      </c>
      <c r="N88" s="0" t="str">
        <f aca="false">IF(H88="","",IFERROR(LEFT(H88,FIND(" ",H88)-1),H88))</f>
        <v>3/6/2023</v>
      </c>
      <c r="O88" s="23" t="n">
        <f aca="false">IFERROR(DATE(VALUE(MID(N88,FIND("/",N88,FIND("/",N88)+1)+1,4)),VALUE(MID(N88,FIND("/",N88)+1,FIND("/",N88,FIND("/",N88)+1)-FIND("/",N88)-1)),VALUE(LEFT(N88,FIND("/",N88)-1))),0)</f>
        <v>45080</v>
      </c>
    </row>
    <row r="89" customFormat="false" ht="15" hidden="false" customHeight="false" outlineLevel="0" collapsed="false">
      <c r="A89" s="0" t="n">
        <v>4745971</v>
      </c>
      <c r="B89" s="0" t="s">
        <v>397</v>
      </c>
      <c r="C89" s="0" t="s">
        <v>191</v>
      </c>
      <c r="D89" s="0" t="s">
        <v>192</v>
      </c>
      <c r="E89" s="0" t="s">
        <v>294</v>
      </c>
      <c r="F89" s="0" t="n">
        <v>0</v>
      </c>
      <c r="G89" s="0" t="n">
        <v>0</v>
      </c>
      <c r="H89" s="0" t="s">
        <v>403</v>
      </c>
      <c r="I89" s="0" t="s">
        <v>404</v>
      </c>
      <c r="J89" s="0" t="n">
        <v>0</v>
      </c>
      <c r="K89" s="0" t="n">
        <v>8</v>
      </c>
      <c r="L89" s="0" t="s">
        <v>296</v>
      </c>
      <c r="N89" s="0" t="str">
        <f aca="false">IF(H89="","",IFERROR(LEFT(H89,FIND(" ",H89)-1),H89))</f>
        <v>12/8/2023</v>
      </c>
      <c r="O89" s="23" t="n">
        <f aca="false">IFERROR(DATE(VALUE(MID(N89,FIND("/",N89,FIND("/",N89)+1)+1,4)),VALUE(MID(N89,FIND("/",N89)+1,FIND("/",N89,FIND("/",N89)+1)-FIND("/",N89)-1)),VALUE(LEFT(N89,FIND("/",N89)-1))),0)</f>
        <v>45150</v>
      </c>
    </row>
    <row r="90" customFormat="false" ht="15" hidden="false" customHeight="false" outlineLevel="0" collapsed="false">
      <c r="A90" s="0" t="n">
        <v>4745971</v>
      </c>
      <c r="B90" s="0" t="s">
        <v>397</v>
      </c>
      <c r="C90" s="0" t="s">
        <v>191</v>
      </c>
      <c r="D90" s="0" t="s">
        <v>192</v>
      </c>
      <c r="E90" s="0" t="s">
        <v>294</v>
      </c>
      <c r="F90" s="0" t="n">
        <v>0</v>
      </c>
      <c r="G90" s="0" t="n">
        <v>0</v>
      </c>
      <c r="H90" s="0" t="s">
        <v>405</v>
      </c>
      <c r="I90" s="0" t="s">
        <v>406</v>
      </c>
      <c r="J90" s="0" t="n">
        <v>0</v>
      </c>
      <c r="K90" s="0" t="n">
        <v>8</v>
      </c>
      <c r="L90" s="0" t="s">
        <v>296</v>
      </c>
      <c r="N90" s="0" t="str">
        <f aca="false">IF(H90="","",IFERROR(LEFT(H90,FIND(" ",H90)-1),H90))</f>
        <v>26/8/2023</v>
      </c>
      <c r="O90" s="23" t="n">
        <f aca="false">IFERROR(DATE(VALUE(MID(N90,FIND("/",N90,FIND("/",N90)+1)+1,4)),VALUE(MID(N90,FIND("/",N90)+1,FIND("/",N90,FIND("/",N90)+1)-FIND("/",N90)-1)),VALUE(LEFT(N90,FIND("/",N90)-1))),0)</f>
        <v>45164</v>
      </c>
    </row>
    <row r="91" customFormat="false" ht="15" hidden="false" customHeight="false" outlineLevel="0" collapsed="false">
      <c r="A91" s="0" t="n">
        <v>4745971</v>
      </c>
      <c r="B91" s="0" t="s">
        <v>397</v>
      </c>
      <c r="C91" s="0" t="s">
        <v>191</v>
      </c>
      <c r="D91" s="0" t="s">
        <v>192</v>
      </c>
      <c r="E91" s="0" t="s">
        <v>294</v>
      </c>
      <c r="F91" s="0" t="n">
        <v>0</v>
      </c>
      <c r="G91" s="0" t="n">
        <v>0</v>
      </c>
      <c r="H91" s="0" t="s">
        <v>407</v>
      </c>
      <c r="I91" s="0" t="s">
        <v>408</v>
      </c>
      <c r="J91" s="0" t="n">
        <v>0</v>
      </c>
      <c r="K91" s="0" t="n">
        <v>8</v>
      </c>
      <c r="L91" s="0" t="s">
        <v>296</v>
      </c>
      <c r="N91" s="0" t="str">
        <f aca="false">IF(H91="","",IFERROR(LEFT(H91,FIND(" ",H91)-1),H91))</f>
        <v>23/9/2023</v>
      </c>
      <c r="O91" s="23" t="n">
        <f aca="false">IFERROR(DATE(VALUE(MID(N91,FIND("/",N91,FIND("/",N91)+1)+1,4)),VALUE(MID(N91,FIND("/",N91)+1,FIND("/",N91,FIND("/",N91)+1)-FIND("/",N91)-1)),VALUE(LEFT(N91,FIND("/",N91)-1))),0)</f>
        <v>45192</v>
      </c>
    </row>
    <row r="92" customFormat="false" ht="15" hidden="false" customHeight="false" outlineLevel="0" collapsed="false">
      <c r="A92" s="0" t="n">
        <v>4745971</v>
      </c>
      <c r="B92" s="0" t="s">
        <v>397</v>
      </c>
      <c r="C92" s="0" t="s">
        <v>191</v>
      </c>
      <c r="D92" s="0" t="s">
        <v>192</v>
      </c>
      <c r="E92" s="0" t="s">
        <v>294</v>
      </c>
      <c r="F92" s="0" t="n">
        <v>0</v>
      </c>
      <c r="G92" s="0" t="n">
        <v>0</v>
      </c>
      <c r="H92" s="0" t="s">
        <v>407</v>
      </c>
      <c r="I92" s="0" t="s">
        <v>409</v>
      </c>
      <c r="J92" s="0" t="n">
        <v>0</v>
      </c>
      <c r="K92" s="0" t="n">
        <v>8</v>
      </c>
      <c r="L92" s="0" t="s">
        <v>296</v>
      </c>
      <c r="N92" s="0" t="str">
        <f aca="false">IF(H92="","",IFERROR(LEFT(H92,FIND(" ",H92)-1),H92))</f>
        <v>23/9/2023</v>
      </c>
      <c r="O92" s="23" t="n">
        <f aca="false">IFERROR(DATE(VALUE(MID(N92,FIND("/",N92,FIND("/",N92)+1)+1,4)),VALUE(MID(N92,FIND("/",N92)+1,FIND("/",N92,FIND("/",N92)+1)-FIND("/",N92)-1)),VALUE(LEFT(N92,FIND("/",N92)-1))),0)</f>
        <v>45192</v>
      </c>
    </row>
    <row r="93" customFormat="false" ht="15" hidden="false" customHeight="false" outlineLevel="0" collapsed="false">
      <c r="A93" s="0" t="n">
        <v>4745971</v>
      </c>
      <c r="B93" s="0" t="s">
        <v>397</v>
      </c>
      <c r="C93" s="0" t="s">
        <v>191</v>
      </c>
      <c r="D93" s="0" t="s">
        <v>192</v>
      </c>
      <c r="E93" s="0" t="s">
        <v>294</v>
      </c>
      <c r="F93" s="0" t="n">
        <v>0</v>
      </c>
      <c r="G93" s="0" t="n">
        <v>0</v>
      </c>
      <c r="H93" s="0" t="s">
        <v>320</v>
      </c>
      <c r="I93" s="0" t="s">
        <v>321</v>
      </c>
      <c r="J93" s="0" t="n">
        <v>16</v>
      </c>
      <c r="K93" s="0" t="n">
        <v>0</v>
      </c>
      <c r="L93" s="0" t="s">
        <v>296</v>
      </c>
      <c r="N93" s="0" t="str">
        <f aca="false">IF(H93="","",IFERROR(LEFT(H93,FIND(" ",H93)-1),H93))</f>
        <v>18/11/2023</v>
      </c>
      <c r="O93" s="23" t="n">
        <f aca="false">IFERROR(DATE(VALUE(MID(N93,FIND("/",N93,FIND("/",N93)+1)+1,4)),VALUE(MID(N93,FIND("/",N93)+1,FIND("/",N93,FIND("/",N93)+1)-FIND("/",N93)-1)),VALUE(LEFT(N93,FIND("/",N93)-1))),0)</f>
        <v>45248</v>
      </c>
    </row>
    <row r="94" customFormat="false" ht="15" hidden="false" customHeight="false" outlineLevel="0" collapsed="false">
      <c r="A94" s="0" t="n">
        <v>4745971</v>
      </c>
      <c r="B94" s="0" t="s">
        <v>397</v>
      </c>
      <c r="C94" s="0" t="s">
        <v>191</v>
      </c>
      <c r="D94" s="0" t="s">
        <v>192</v>
      </c>
      <c r="E94" s="0" t="s">
        <v>294</v>
      </c>
      <c r="F94" s="0" t="n">
        <v>0</v>
      </c>
      <c r="G94" s="0" t="n">
        <v>0</v>
      </c>
      <c r="H94" s="0" t="s">
        <v>351</v>
      </c>
      <c r="J94" s="0" t="n">
        <v>8</v>
      </c>
      <c r="K94" s="0" t="n">
        <v>0</v>
      </c>
      <c r="L94" s="0" t="s">
        <v>296</v>
      </c>
      <c r="N94" s="0" t="str">
        <f aca="false">IF(H94="","",IFERROR(LEFT(H94,FIND(" ",H94)-1),H94))</f>
        <v>10/2/2024</v>
      </c>
      <c r="O94" s="23" t="n">
        <f aca="false">IFERROR(DATE(VALUE(MID(N94,FIND("/",N94,FIND("/",N94)+1)+1,4)),VALUE(MID(N94,FIND("/",N94)+1,FIND("/",N94,FIND("/",N94)+1)-FIND("/",N94)-1)),VALUE(LEFT(N94,FIND("/",N94)-1))),0)</f>
        <v>45332</v>
      </c>
    </row>
    <row r="95" customFormat="false" ht="15" hidden="false" customHeight="false" outlineLevel="0" collapsed="false">
      <c r="A95" s="0" t="n">
        <v>4745971</v>
      </c>
      <c r="B95" s="0" t="s">
        <v>397</v>
      </c>
      <c r="C95" s="0" t="s">
        <v>191</v>
      </c>
      <c r="D95" s="0" t="s">
        <v>192</v>
      </c>
      <c r="E95" s="0" t="s">
        <v>294</v>
      </c>
      <c r="F95" s="0" t="n">
        <v>0</v>
      </c>
      <c r="G95" s="0" t="n">
        <v>0</v>
      </c>
      <c r="H95" s="0" t="s">
        <v>322</v>
      </c>
      <c r="I95" s="0" t="s">
        <v>294</v>
      </c>
      <c r="J95" s="0" t="n">
        <v>16</v>
      </c>
      <c r="K95" s="0" t="n">
        <v>0</v>
      </c>
      <c r="L95" s="0" t="s">
        <v>296</v>
      </c>
      <c r="N95" s="0" t="str">
        <f aca="false">IF(H95="","",IFERROR(LEFT(H95,FIND(" ",H95)-1),H95))</f>
        <v>6/4/2024</v>
      </c>
      <c r="O95" s="23" t="n">
        <f aca="false">IFERROR(DATE(VALUE(MID(N95,FIND("/",N95,FIND("/",N95)+1)+1,4)),VALUE(MID(N95,FIND("/",N95)+1,FIND("/",N95,FIND("/",N95)+1)-FIND("/",N95)-1)),VALUE(LEFT(N95,FIND("/",N95)-1))),0)</f>
        <v>45388</v>
      </c>
    </row>
    <row r="96" customFormat="false" ht="15" hidden="false" customHeight="false" outlineLevel="0" collapsed="false">
      <c r="A96" s="0" t="n">
        <v>4745971</v>
      </c>
      <c r="B96" s="0" t="s">
        <v>397</v>
      </c>
      <c r="C96" s="0" t="s">
        <v>191</v>
      </c>
      <c r="D96" s="0" t="s">
        <v>192</v>
      </c>
      <c r="E96" s="0" t="s">
        <v>294</v>
      </c>
      <c r="F96" s="0" t="n">
        <v>0</v>
      </c>
      <c r="G96" s="0" t="n">
        <v>0</v>
      </c>
      <c r="H96" s="0" t="s">
        <v>410</v>
      </c>
      <c r="I96" s="0" t="s">
        <v>411</v>
      </c>
      <c r="J96" s="0" t="n">
        <v>8</v>
      </c>
      <c r="K96" s="0" t="n">
        <v>0</v>
      </c>
      <c r="L96" s="0" t="s">
        <v>296</v>
      </c>
      <c r="N96" s="0" t="str">
        <f aca="false">IF(H96="","",IFERROR(LEFT(H96,FIND(" ",H96)-1),H96))</f>
        <v>1/6/2024</v>
      </c>
      <c r="O96" s="23" t="n">
        <f aca="false">IFERROR(DATE(VALUE(MID(N96,FIND("/",N96,FIND("/",N96)+1)+1,4)),VALUE(MID(N96,FIND("/",N96)+1,FIND("/",N96,FIND("/",N96)+1)-FIND("/",N96)-1)),VALUE(LEFT(N96,FIND("/",N96)-1))),0)</f>
        <v>45444</v>
      </c>
    </row>
    <row r="97" customFormat="false" ht="15" hidden="false" customHeight="false" outlineLevel="0" collapsed="false">
      <c r="A97" s="0" t="n">
        <v>4745971</v>
      </c>
      <c r="B97" s="0" t="s">
        <v>397</v>
      </c>
      <c r="C97" s="0" t="s">
        <v>191</v>
      </c>
      <c r="D97" s="0" t="s">
        <v>192</v>
      </c>
      <c r="E97" s="0" t="s">
        <v>294</v>
      </c>
      <c r="F97" s="0" t="n">
        <v>0</v>
      </c>
      <c r="G97" s="0" t="n">
        <v>0</v>
      </c>
      <c r="H97" s="0" t="s">
        <v>303</v>
      </c>
      <c r="I97" s="0" t="s">
        <v>304</v>
      </c>
      <c r="J97" s="0" t="n">
        <v>8</v>
      </c>
      <c r="K97" s="0" t="n">
        <v>0</v>
      </c>
      <c r="L97" s="0" t="s">
        <v>296</v>
      </c>
      <c r="N97" s="0" t="str">
        <f aca="false">IF(H97="","",IFERROR(LEFT(H97,FIND(" ",H97)-1),H97))</f>
        <v>24/8/2024</v>
      </c>
      <c r="O97" s="23" t="n">
        <f aca="false">IFERROR(DATE(VALUE(MID(N97,FIND("/",N97,FIND("/",N97)+1)+1,4)),VALUE(MID(N97,FIND("/",N97)+1,FIND("/",N97,FIND("/",N97)+1)-FIND("/",N97)-1)),VALUE(LEFT(N97,FIND("/",N97)-1))),0)</f>
        <v>45528</v>
      </c>
    </row>
    <row r="98" customFormat="false" ht="15" hidden="false" customHeight="false" outlineLevel="0" collapsed="false">
      <c r="A98" s="0" t="n">
        <v>4745971</v>
      </c>
      <c r="B98" s="0" t="s">
        <v>397</v>
      </c>
      <c r="C98" s="0" t="s">
        <v>191</v>
      </c>
      <c r="D98" s="0" t="s">
        <v>192</v>
      </c>
      <c r="E98" s="0" t="s">
        <v>294</v>
      </c>
      <c r="F98" s="0" t="n">
        <v>0</v>
      </c>
      <c r="G98" s="0" t="n">
        <v>0</v>
      </c>
      <c r="H98" s="0" t="s">
        <v>412</v>
      </c>
      <c r="I98" s="0" t="s">
        <v>413</v>
      </c>
      <c r="J98" s="0" t="n">
        <v>8</v>
      </c>
      <c r="K98" s="0" t="n">
        <v>0</v>
      </c>
      <c r="L98" s="0" t="s">
        <v>296</v>
      </c>
      <c r="N98" s="0" t="str">
        <f aca="false">IF(H98="","",IFERROR(LEFT(H98,FIND(" ",H98)-1),H98))</f>
        <v>16/11/2024</v>
      </c>
      <c r="O98" s="23" t="n">
        <f aca="false">IFERROR(DATE(VALUE(MID(N98,FIND("/",N98,FIND("/",N98)+1)+1,4)),VALUE(MID(N98,FIND("/",N98)+1,FIND("/",N98,FIND("/",N98)+1)-FIND("/",N98)-1)),VALUE(LEFT(N98,FIND("/",N98)-1))),0)</f>
        <v>45612</v>
      </c>
    </row>
    <row r="99" customFormat="false" ht="15" hidden="false" customHeight="false" outlineLevel="0" collapsed="false">
      <c r="A99" s="0" t="n">
        <v>4745971</v>
      </c>
      <c r="B99" s="0" t="s">
        <v>397</v>
      </c>
      <c r="C99" s="0" t="s">
        <v>191</v>
      </c>
      <c r="D99" s="0" t="s">
        <v>192</v>
      </c>
      <c r="E99" s="0" t="s">
        <v>294</v>
      </c>
      <c r="F99" s="0" t="n">
        <v>0</v>
      </c>
      <c r="G99" s="0" t="n">
        <v>0</v>
      </c>
      <c r="H99" s="0" t="s">
        <v>327</v>
      </c>
      <c r="I99" s="0" t="s">
        <v>414</v>
      </c>
      <c r="J99" s="0" t="n">
        <v>16</v>
      </c>
      <c r="K99" s="0" t="n">
        <v>0</v>
      </c>
      <c r="L99" s="0" t="s">
        <v>296</v>
      </c>
      <c r="N99" s="0" t="str">
        <f aca="false">IF(H99="","",IFERROR(LEFT(H99,FIND(" ",H99)-1),H99))</f>
        <v>8/2/2025</v>
      </c>
      <c r="O99" s="23" t="n">
        <f aca="false">IFERROR(DATE(VALUE(MID(N99,FIND("/",N99,FIND("/",N99)+1)+1,4)),VALUE(MID(N99,FIND("/",N99)+1,FIND("/",N99,FIND("/",N99)+1)-FIND("/",N99)-1)),VALUE(LEFT(N99,FIND("/",N99)-1))),0)</f>
        <v>45696</v>
      </c>
    </row>
    <row r="100" customFormat="false" ht="15" hidden="false" customHeight="false" outlineLevel="0" collapsed="false">
      <c r="A100" s="0" t="n">
        <v>4745971</v>
      </c>
      <c r="B100" s="0" t="s">
        <v>397</v>
      </c>
      <c r="C100" s="0" t="s">
        <v>191</v>
      </c>
      <c r="D100" s="0" t="s">
        <v>192</v>
      </c>
      <c r="E100" s="0" t="s">
        <v>294</v>
      </c>
      <c r="F100" s="0" t="n">
        <v>0</v>
      </c>
      <c r="G100" s="0" t="n">
        <v>0</v>
      </c>
      <c r="H100" s="0" t="s">
        <v>415</v>
      </c>
      <c r="I100" s="0" t="s">
        <v>416</v>
      </c>
      <c r="J100" s="0" t="n">
        <v>0</v>
      </c>
      <c r="K100" s="0" t="n">
        <v>8</v>
      </c>
      <c r="L100" s="0" t="s">
        <v>296</v>
      </c>
      <c r="N100" s="0" t="str">
        <f aca="false">IF(H100="","",IFERROR(LEFT(H100,FIND(" ",H100)-1),H100))</f>
        <v>22/2/2025</v>
      </c>
      <c r="O100" s="23" t="n">
        <f aca="false">IFERROR(DATE(VALUE(MID(N100,FIND("/",N100,FIND("/",N100)+1)+1,4)),VALUE(MID(N100,FIND("/",N100)+1,FIND("/",N100,FIND("/",N100)+1)-FIND("/",N100)-1)),VALUE(LEFT(N100,FIND("/",N100)-1))),0)</f>
        <v>45710</v>
      </c>
    </row>
    <row r="101" customFormat="false" ht="15" hidden="false" customHeight="false" outlineLevel="0" collapsed="false">
      <c r="A101" s="0" t="n">
        <v>4745971</v>
      </c>
      <c r="B101" s="0" t="s">
        <v>397</v>
      </c>
      <c r="C101" s="0" t="s">
        <v>191</v>
      </c>
      <c r="D101" s="0" t="s">
        <v>192</v>
      </c>
      <c r="E101" s="0" t="s">
        <v>294</v>
      </c>
      <c r="F101" s="0" t="n">
        <v>0</v>
      </c>
      <c r="G101" s="0" t="n">
        <v>0</v>
      </c>
      <c r="H101" s="0" t="s">
        <v>415</v>
      </c>
      <c r="I101" s="0" t="s">
        <v>417</v>
      </c>
      <c r="J101" s="0" t="n">
        <v>0</v>
      </c>
      <c r="K101" s="0" t="n">
        <v>8</v>
      </c>
      <c r="L101" s="0" t="s">
        <v>296</v>
      </c>
      <c r="N101" s="0" t="str">
        <f aca="false">IF(H101="","",IFERROR(LEFT(H101,FIND(" ",H101)-1),H101))</f>
        <v>22/2/2025</v>
      </c>
      <c r="O101" s="23" t="n">
        <f aca="false">IFERROR(DATE(VALUE(MID(N101,FIND("/",N101,FIND("/",N101)+1)+1,4)),VALUE(MID(N101,FIND("/",N101)+1,FIND("/",N101,FIND("/",N101)+1)-FIND("/",N101)-1)),VALUE(LEFT(N101,FIND("/",N101)-1))),0)</f>
        <v>45710</v>
      </c>
    </row>
    <row r="102" customFormat="false" ht="15" hidden="false" customHeight="false" outlineLevel="0" collapsed="false">
      <c r="A102" s="0" t="n">
        <v>4745971</v>
      </c>
      <c r="B102" s="0" t="s">
        <v>397</v>
      </c>
      <c r="C102" s="0" t="s">
        <v>191</v>
      </c>
      <c r="D102" s="0" t="s">
        <v>192</v>
      </c>
      <c r="E102" s="0" t="s">
        <v>294</v>
      </c>
      <c r="F102" s="0" t="n">
        <v>0</v>
      </c>
      <c r="G102" s="0" t="n">
        <v>0</v>
      </c>
      <c r="H102" s="0" t="s">
        <v>329</v>
      </c>
      <c r="I102" s="0" t="s">
        <v>418</v>
      </c>
      <c r="J102" s="0" t="n">
        <v>0</v>
      </c>
      <c r="K102" s="0" t="n">
        <v>8</v>
      </c>
      <c r="L102" s="0" t="s">
        <v>296</v>
      </c>
      <c r="N102" s="0" t="str">
        <f aca="false">IF(H102="","",IFERROR(LEFT(H102,FIND(" ",H102)-1),H102))</f>
        <v>8/3/2025</v>
      </c>
      <c r="O102" s="23" t="n">
        <f aca="false">IFERROR(DATE(VALUE(MID(N102,FIND("/",N102,FIND("/",N102)+1)+1,4)),VALUE(MID(N102,FIND("/",N102)+1,FIND("/",N102,FIND("/",N102)+1)-FIND("/",N102)-1)),VALUE(LEFT(N102,FIND("/",N102)-1))),0)</f>
        <v>45724</v>
      </c>
    </row>
    <row r="103" customFormat="false" ht="15" hidden="false" customHeight="false" outlineLevel="0" collapsed="false">
      <c r="A103" s="0" t="n">
        <v>4745971</v>
      </c>
      <c r="B103" s="0" t="s">
        <v>397</v>
      </c>
      <c r="C103" s="0" t="s">
        <v>191</v>
      </c>
      <c r="D103" s="0" t="s">
        <v>192</v>
      </c>
      <c r="E103" s="0" t="s">
        <v>294</v>
      </c>
      <c r="F103" s="0" t="n">
        <v>0</v>
      </c>
      <c r="G103" s="0" t="n">
        <v>0</v>
      </c>
      <c r="H103" s="0" t="s">
        <v>329</v>
      </c>
      <c r="I103" s="0" t="s">
        <v>419</v>
      </c>
      <c r="J103" s="0" t="n">
        <v>0</v>
      </c>
      <c r="K103" s="0" t="n">
        <v>8</v>
      </c>
      <c r="L103" s="0" t="s">
        <v>296</v>
      </c>
      <c r="N103" s="0" t="str">
        <f aca="false">IF(H103="","",IFERROR(LEFT(H103,FIND(" ",H103)-1),H103))</f>
        <v>8/3/2025</v>
      </c>
      <c r="O103" s="23" t="n">
        <f aca="false">IFERROR(DATE(VALUE(MID(N103,FIND("/",N103,FIND("/",N103)+1)+1,4)),VALUE(MID(N103,FIND("/",N103)+1,FIND("/",N103,FIND("/",N103)+1)-FIND("/",N103)-1)),VALUE(LEFT(N103,FIND("/",N103)-1))),0)</f>
        <v>45724</v>
      </c>
    </row>
    <row r="104" customFormat="false" ht="15" hidden="false" customHeight="false" outlineLevel="0" collapsed="false">
      <c r="A104" s="0" t="n">
        <v>4745971</v>
      </c>
      <c r="B104" s="0" t="s">
        <v>397</v>
      </c>
      <c r="C104" s="0" t="s">
        <v>191</v>
      </c>
      <c r="D104" s="0" t="s">
        <v>192</v>
      </c>
      <c r="E104" s="0" t="s">
        <v>294</v>
      </c>
      <c r="F104" s="0" t="n">
        <v>0</v>
      </c>
      <c r="G104" s="0" t="n">
        <v>0</v>
      </c>
      <c r="H104" s="0" t="s">
        <v>329</v>
      </c>
      <c r="I104" s="0" t="s">
        <v>420</v>
      </c>
      <c r="J104" s="0" t="n">
        <v>0</v>
      </c>
      <c r="K104" s="0" t="n">
        <v>8</v>
      </c>
      <c r="L104" s="0" t="s">
        <v>296</v>
      </c>
      <c r="N104" s="0" t="str">
        <f aca="false">IF(H104="","",IFERROR(LEFT(H104,FIND(" ",H104)-1),H104))</f>
        <v>8/3/2025</v>
      </c>
      <c r="O104" s="23" t="n">
        <f aca="false">IFERROR(DATE(VALUE(MID(N104,FIND("/",N104,FIND("/",N104)+1)+1,4)),VALUE(MID(N104,FIND("/",N104)+1,FIND("/",N104,FIND("/",N104)+1)-FIND("/",N104)-1)),VALUE(LEFT(N104,FIND("/",N104)-1))),0)</f>
        <v>45724</v>
      </c>
    </row>
    <row r="105" customFormat="false" ht="15" hidden="false" customHeight="false" outlineLevel="0" collapsed="false">
      <c r="A105" s="0" t="n">
        <v>4745971</v>
      </c>
      <c r="B105" s="0" t="s">
        <v>397</v>
      </c>
      <c r="C105" s="0" t="s">
        <v>191</v>
      </c>
      <c r="D105" s="0" t="s">
        <v>192</v>
      </c>
      <c r="E105" s="0" t="s">
        <v>294</v>
      </c>
      <c r="F105" s="0" t="n">
        <v>0</v>
      </c>
      <c r="G105" s="0" t="n">
        <v>0</v>
      </c>
      <c r="H105" s="0" t="s">
        <v>329</v>
      </c>
      <c r="I105" s="0" t="s">
        <v>421</v>
      </c>
      <c r="J105" s="0" t="n">
        <v>0</v>
      </c>
      <c r="K105" s="0" t="n">
        <v>8</v>
      </c>
      <c r="L105" s="0" t="s">
        <v>296</v>
      </c>
      <c r="N105" s="0" t="str">
        <f aca="false">IF(H105="","",IFERROR(LEFT(H105,FIND(" ",H105)-1),H105))</f>
        <v>8/3/2025</v>
      </c>
      <c r="O105" s="23" t="n">
        <f aca="false">IFERROR(DATE(VALUE(MID(N105,FIND("/",N105,FIND("/",N105)+1)+1,4)),VALUE(MID(N105,FIND("/",N105)+1,FIND("/",N105,FIND("/",N105)+1)-FIND("/",N105)-1)),VALUE(LEFT(N105,FIND("/",N105)-1))),0)</f>
        <v>45724</v>
      </c>
    </row>
    <row r="106" customFormat="false" ht="15" hidden="false" customHeight="false" outlineLevel="0" collapsed="false">
      <c r="A106" s="0" t="n">
        <v>4745971</v>
      </c>
      <c r="B106" s="0" t="s">
        <v>397</v>
      </c>
      <c r="C106" s="0" t="s">
        <v>191</v>
      </c>
      <c r="D106" s="0" t="s">
        <v>192</v>
      </c>
      <c r="E106" s="0" t="s">
        <v>294</v>
      </c>
      <c r="F106" s="0" t="n">
        <v>0</v>
      </c>
      <c r="G106" s="0" t="n">
        <v>0</v>
      </c>
      <c r="H106" s="0" t="s">
        <v>329</v>
      </c>
      <c r="I106" s="0" t="s">
        <v>422</v>
      </c>
      <c r="J106" s="0" t="n">
        <v>0</v>
      </c>
      <c r="K106" s="0" t="n">
        <v>8</v>
      </c>
      <c r="L106" s="0" t="s">
        <v>296</v>
      </c>
      <c r="N106" s="0" t="str">
        <f aca="false">IF(H106="","",IFERROR(LEFT(H106,FIND(" ",H106)-1),H106))</f>
        <v>8/3/2025</v>
      </c>
      <c r="O106" s="23" t="n">
        <f aca="false">IFERROR(DATE(VALUE(MID(N106,FIND("/",N106,FIND("/",N106)+1)+1,4)),VALUE(MID(N106,FIND("/",N106)+1,FIND("/",N106,FIND("/",N106)+1)-FIND("/",N106)-1)),VALUE(LEFT(N106,FIND("/",N106)-1))),0)</f>
        <v>45724</v>
      </c>
    </row>
    <row r="107" customFormat="false" ht="15" hidden="false" customHeight="false" outlineLevel="0" collapsed="false">
      <c r="A107" s="0" t="n">
        <v>4745971</v>
      </c>
      <c r="B107" s="0" t="s">
        <v>397</v>
      </c>
      <c r="C107" s="0" t="s">
        <v>191</v>
      </c>
      <c r="D107" s="0" t="s">
        <v>192</v>
      </c>
      <c r="E107" s="0" t="s">
        <v>294</v>
      </c>
      <c r="F107" s="0" t="n">
        <v>0</v>
      </c>
      <c r="G107" s="0" t="n">
        <v>0</v>
      </c>
      <c r="H107" s="0" t="s">
        <v>329</v>
      </c>
      <c r="I107" s="0" t="s">
        <v>423</v>
      </c>
      <c r="J107" s="0" t="n">
        <v>0</v>
      </c>
      <c r="K107" s="0" t="n">
        <v>8</v>
      </c>
      <c r="L107" s="0" t="s">
        <v>296</v>
      </c>
      <c r="N107" s="0" t="str">
        <f aca="false">IF(H107="","",IFERROR(LEFT(H107,FIND(" ",H107)-1),H107))</f>
        <v>8/3/2025</v>
      </c>
      <c r="O107" s="23" t="n">
        <f aca="false">IFERROR(DATE(VALUE(MID(N107,FIND("/",N107,FIND("/",N107)+1)+1,4)),VALUE(MID(N107,FIND("/",N107)+1,FIND("/",N107,FIND("/",N107)+1)-FIND("/",N107)-1)),VALUE(LEFT(N107,FIND("/",N107)-1))),0)</f>
        <v>45724</v>
      </c>
    </row>
    <row r="108" customFormat="false" ht="15" hidden="false" customHeight="false" outlineLevel="0" collapsed="false">
      <c r="A108" s="0" t="n">
        <v>4745971</v>
      </c>
      <c r="B108" s="0" t="s">
        <v>397</v>
      </c>
      <c r="C108" s="0" t="s">
        <v>191</v>
      </c>
      <c r="D108" s="0" t="s">
        <v>192</v>
      </c>
      <c r="E108" s="0" t="s">
        <v>294</v>
      </c>
      <c r="F108" s="0" t="n">
        <v>0</v>
      </c>
      <c r="G108" s="0" t="n">
        <v>0</v>
      </c>
      <c r="H108" s="0" t="s">
        <v>335</v>
      </c>
      <c r="I108" s="0" t="s">
        <v>336</v>
      </c>
      <c r="J108" s="0" t="n">
        <v>8</v>
      </c>
      <c r="K108" s="0" t="n">
        <v>0</v>
      </c>
      <c r="L108" s="0" t="s">
        <v>296</v>
      </c>
      <c r="N108" s="0" t="str">
        <f aca="false">IF(H108="","",IFERROR(LEFT(H108,FIND(" ",H108)-1),H108))</f>
        <v>3/5/2025</v>
      </c>
      <c r="O108" s="23" t="n">
        <f aca="false">IFERROR(DATE(VALUE(MID(N108,FIND("/",N108,FIND("/",N108)+1)+1,4)),VALUE(MID(N108,FIND("/",N108)+1,FIND("/",N108,FIND("/",N108)+1)-FIND("/",N108)-1)),VALUE(LEFT(N108,FIND("/",N108)-1))),0)</f>
        <v>45780</v>
      </c>
    </row>
    <row r="109" customFormat="false" ht="15" hidden="false" customHeight="false" outlineLevel="0" collapsed="false">
      <c r="A109" s="0" t="n">
        <v>4745971</v>
      </c>
      <c r="B109" s="0" t="s">
        <v>397</v>
      </c>
      <c r="C109" s="0" t="s">
        <v>191</v>
      </c>
      <c r="D109" s="0" t="s">
        <v>192</v>
      </c>
      <c r="E109" s="0" t="s">
        <v>294</v>
      </c>
      <c r="F109" s="0" t="n">
        <v>0</v>
      </c>
      <c r="G109" s="0" t="n">
        <v>0</v>
      </c>
      <c r="H109" s="0" t="s">
        <v>337</v>
      </c>
      <c r="I109" s="0" t="s">
        <v>338</v>
      </c>
      <c r="J109" s="0" t="n">
        <v>8</v>
      </c>
      <c r="K109" s="0" t="n">
        <v>0</v>
      </c>
      <c r="L109" s="0" t="s">
        <v>296</v>
      </c>
      <c r="N109" s="0" t="str">
        <f aca="false">IF(H109="","",IFERROR(LEFT(H109,FIND(" ",H109)-1),H109))</f>
        <v>9/8/2025</v>
      </c>
      <c r="O109" s="23" t="n">
        <f aca="false">IFERROR(DATE(VALUE(MID(N109,FIND("/",N109,FIND("/",N109)+1)+1,4)),VALUE(MID(N109,FIND("/",N109)+1,FIND("/",N109,FIND("/",N109)+1)-FIND("/",N109)-1)),VALUE(LEFT(N109,FIND("/",N109)-1))),0)</f>
        <v>45878</v>
      </c>
    </row>
    <row r="110" customFormat="false" ht="15" hidden="false" customHeight="false" outlineLevel="0" collapsed="false">
      <c r="A110" s="0" t="n">
        <v>4745971</v>
      </c>
      <c r="B110" s="0" t="s">
        <v>397</v>
      </c>
      <c r="C110" s="0" t="s">
        <v>191</v>
      </c>
      <c r="D110" s="0" t="s">
        <v>192</v>
      </c>
      <c r="E110" s="0" t="s">
        <v>294</v>
      </c>
      <c r="F110" s="0" t="n">
        <v>0</v>
      </c>
      <c r="G110" s="0" t="n">
        <v>0</v>
      </c>
      <c r="H110" s="0" t="s">
        <v>390</v>
      </c>
      <c r="I110" s="0" t="s">
        <v>424</v>
      </c>
      <c r="J110" s="0" t="n">
        <v>0</v>
      </c>
      <c r="K110" s="0" t="n">
        <v>8</v>
      </c>
      <c r="L110" s="0" t="s">
        <v>296</v>
      </c>
      <c r="N110" s="0" t="str">
        <f aca="false">IF(H110="","",IFERROR(LEFT(H110,FIND(" ",H110)-1),H110))</f>
        <v>18/10/2025</v>
      </c>
      <c r="O110" s="23" t="n">
        <f aca="false">IFERROR(DATE(VALUE(MID(N110,FIND("/",N110,FIND("/",N110)+1)+1,4)),VALUE(MID(N110,FIND("/",N110)+1,FIND("/",N110,FIND("/",N110)+1)-FIND("/",N110)-1)),VALUE(LEFT(N110,FIND("/",N110)-1))),0)</f>
        <v>45948</v>
      </c>
    </row>
    <row r="111" customFormat="false" ht="15" hidden="false" customHeight="false" outlineLevel="0" collapsed="false">
      <c r="A111" s="0" t="n">
        <v>4745971</v>
      </c>
      <c r="B111" s="0" t="s">
        <v>397</v>
      </c>
      <c r="C111" s="0" t="s">
        <v>191</v>
      </c>
      <c r="D111" s="0" t="s">
        <v>192</v>
      </c>
      <c r="E111" s="0" t="s">
        <v>294</v>
      </c>
      <c r="F111" s="0" t="n">
        <v>0</v>
      </c>
      <c r="G111" s="0" t="n">
        <v>0</v>
      </c>
      <c r="H111" s="0" t="s">
        <v>390</v>
      </c>
      <c r="I111" s="0" t="s">
        <v>425</v>
      </c>
      <c r="J111" s="0" t="n">
        <v>0</v>
      </c>
      <c r="K111" s="0" t="n">
        <v>8</v>
      </c>
      <c r="L111" s="0" t="s">
        <v>296</v>
      </c>
      <c r="N111" s="0" t="str">
        <f aca="false">IF(H111="","",IFERROR(LEFT(H111,FIND(" ",H111)-1),H111))</f>
        <v>18/10/2025</v>
      </c>
      <c r="O111" s="23" t="n">
        <f aca="false">IFERROR(DATE(VALUE(MID(N111,FIND("/",N111,FIND("/",N111)+1)+1,4)),VALUE(MID(N111,FIND("/",N111)+1,FIND("/",N111,FIND("/",N111)+1)-FIND("/",N111)-1)),VALUE(LEFT(N111,FIND("/",N111)-1))),0)</f>
        <v>45948</v>
      </c>
    </row>
    <row r="112" customFormat="false" ht="15" hidden="false" customHeight="false" outlineLevel="0" collapsed="false">
      <c r="A112" s="0" t="n">
        <v>4745971</v>
      </c>
      <c r="B112" s="0" t="s">
        <v>397</v>
      </c>
      <c r="C112" s="0" t="s">
        <v>191</v>
      </c>
      <c r="D112" s="0" t="s">
        <v>192</v>
      </c>
      <c r="E112" s="0" t="s">
        <v>294</v>
      </c>
      <c r="F112" s="0" t="n">
        <v>0</v>
      </c>
      <c r="G112" s="0" t="n">
        <v>0</v>
      </c>
      <c r="H112" s="0" t="s">
        <v>390</v>
      </c>
      <c r="I112" s="0" t="s">
        <v>426</v>
      </c>
      <c r="J112" s="0" t="n">
        <v>0</v>
      </c>
      <c r="K112" s="0" t="n">
        <v>8</v>
      </c>
      <c r="L112" s="0" t="s">
        <v>296</v>
      </c>
      <c r="N112" s="0" t="str">
        <f aca="false">IF(H112="","",IFERROR(LEFT(H112,FIND(" ",H112)-1),H112))</f>
        <v>18/10/2025</v>
      </c>
      <c r="O112" s="23" t="n">
        <f aca="false">IFERROR(DATE(VALUE(MID(N112,FIND("/",N112,FIND("/",N112)+1)+1,4)),VALUE(MID(N112,FIND("/",N112)+1,FIND("/",N112,FIND("/",N112)+1)-FIND("/",N112)-1)),VALUE(LEFT(N112,FIND("/",N112)-1))),0)</f>
        <v>45948</v>
      </c>
    </row>
    <row r="113" customFormat="false" ht="15" hidden="false" customHeight="false" outlineLevel="0" collapsed="false">
      <c r="A113" s="0" t="n">
        <v>4745971</v>
      </c>
      <c r="B113" s="0" t="s">
        <v>397</v>
      </c>
      <c r="C113" s="0" t="s">
        <v>191</v>
      </c>
      <c r="D113" s="0" t="s">
        <v>192</v>
      </c>
      <c r="E113" s="0" t="s">
        <v>294</v>
      </c>
      <c r="F113" s="0" t="n">
        <v>0</v>
      </c>
      <c r="G113" s="0" t="n">
        <v>0</v>
      </c>
      <c r="H113" s="0" t="s">
        <v>427</v>
      </c>
      <c r="I113" s="0" t="s">
        <v>428</v>
      </c>
      <c r="J113" s="0" t="n">
        <v>0</v>
      </c>
      <c r="K113" s="0" t="n">
        <v>8</v>
      </c>
      <c r="L113" s="0" t="s">
        <v>296</v>
      </c>
      <c r="N113" s="0" t="str">
        <f aca="false">IF(H113="","",IFERROR(LEFT(H113,FIND(" ",H113)-1),H113))</f>
        <v>1/11/2025</v>
      </c>
      <c r="O113" s="23" t="n">
        <f aca="false">IFERROR(DATE(VALUE(MID(N113,FIND("/",N113,FIND("/",N113)+1)+1,4)),VALUE(MID(N113,FIND("/",N113)+1,FIND("/",N113,FIND("/",N113)+1)-FIND("/",N113)-1)),VALUE(LEFT(N113,FIND("/",N113)-1))),0)</f>
        <v>45962</v>
      </c>
    </row>
    <row r="114" customFormat="false" ht="15" hidden="false" customHeight="false" outlineLevel="0" collapsed="false">
      <c r="A114" s="0" t="n">
        <v>4745971</v>
      </c>
      <c r="B114" s="0" t="s">
        <v>397</v>
      </c>
      <c r="C114" s="0" t="s">
        <v>191</v>
      </c>
      <c r="D114" s="0" t="s">
        <v>192</v>
      </c>
      <c r="E114" s="0" t="s">
        <v>294</v>
      </c>
      <c r="F114" s="0" t="n">
        <v>0</v>
      </c>
      <c r="G114" s="0" t="n">
        <v>0</v>
      </c>
      <c r="H114" s="0" t="s">
        <v>375</v>
      </c>
      <c r="J114" s="0" t="n">
        <v>0</v>
      </c>
      <c r="K114" s="0" t="n">
        <v>68</v>
      </c>
      <c r="L114" s="0" t="s">
        <v>296</v>
      </c>
      <c r="N114" s="0" t="str">
        <f aca="false">IF(H114="","",IFERROR(LEFT(H114,FIND(" ",H114)-1),H114))</f>
        <v>13/12/2025</v>
      </c>
      <c r="O114" s="23" t="n">
        <f aca="false">IFERROR(DATE(VALUE(MID(N114,FIND("/",N114,FIND("/",N114)+1)+1,4)),VALUE(MID(N114,FIND("/",N114)+1,FIND("/",N114,FIND("/",N114)+1)-FIND("/",N114)-1)),VALUE(LEFT(N114,FIND("/",N114)-1))),0)</f>
        <v>46004</v>
      </c>
    </row>
    <row r="115" customFormat="false" ht="15" hidden="false" customHeight="false" outlineLevel="0" collapsed="false">
      <c r="A115" s="0" t="n">
        <v>4745974</v>
      </c>
      <c r="B115" s="0" t="s">
        <v>429</v>
      </c>
      <c r="C115" s="0" t="s">
        <v>193</v>
      </c>
      <c r="D115" s="0" t="s">
        <v>430</v>
      </c>
      <c r="E115" s="0" t="s">
        <v>294</v>
      </c>
      <c r="F115" s="0" t="n">
        <v>0</v>
      </c>
      <c r="G115" s="0" t="n">
        <v>16</v>
      </c>
      <c r="H115" s="0" t="s">
        <v>295</v>
      </c>
      <c r="J115" s="0" t="n">
        <v>48</v>
      </c>
      <c r="K115" s="0" t="n">
        <v>0</v>
      </c>
      <c r="L115" s="0" t="s">
        <v>296</v>
      </c>
      <c r="N115" s="0" t="str">
        <f aca="false">IF(H115="","",IFERROR(LEFT(H115,FIND(" ",H115)-1),H115))</f>
        <v>Opening</v>
      </c>
      <c r="O115" s="23" t="n">
        <f aca="false">IFERROR(DATE(VALUE(MID(N115,FIND("/",N115,FIND("/",N115)+1)+1,4)),VALUE(MID(N115,FIND("/",N115)+1,FIND("/",N115,FIND("/",N115)+1)-FIND("/",N115)-1)),VALUE(LEFT(N115,FIND("/",N115)-1))),0)</f>
        <v>0</v>
      </c>
    </row>
    <row r="116" customFormat="false" ht="15" hidden="false" customHeight="false" outlineLevel="0" collapsed="false">
      <c r="A116" s="0" t="n">
        <v>4745974</v>
      </c>
      <c r="B116" s="0" t="s">
        <v>429</v>
      </c>
      <c r="C116" s="0" t="s">
        <v>193</v>
      </c>
      <c r="D116" s="0" t="s">
        <v>430</v>
      </c>
      <c r="E116" s="0" t="s">
        <v>294</v>
      </c>
      <c r="F116" s="0" t="n">
        <v>0</v>
      </c>
      <c r="G116" s="0" t="n">
        <v>16</v>
      </c>
      <c r="H116" s="0" t="s">
        <v>318</v>
      </c>
      <c r="J116" s="0" t="n">
        <v>8</v>
      </c>
      <c r="K116" s="0" t="n">
        <v>0</v>
      </c>
      <c r="L116" s="0" t="s">
        <v>296</v>
      </c>
      <c r="N116" s="0" t="str">
        <f aca="false">IF(H116="","",IFERROR(LEFT(H116,FIND(" ",H116)-1),H116))</f>
        <v>5/11/2022</v>
      </c>
      <c r="O116" s="23" t="n">
        <f aca="false">IFERROR(DATE(VALUE(MID(N116,FIND("/",N116,FIND("/",N116)+1)+1,4)),VALUE(MID(N116,FIND("/",N116)+1,FIND("/",N116,FIND("/",N116)+1)-FIND("/",N116)-1)),VALUE(LEFT(N116,FIND("/",N116)-1))),0)</f>
        <v>44870</v>
      </c>
    </row>
    <row r="117" customFormat="false" ht="15" hidden="false" customHeight="false" outlineLevel="0" collapsed="false">
      <c r="A117" s="0" t="n">
        <v>4745974</v>
      </c>
      <c r="B117" s="0" t="s">
        <v>429</v>
      </c>
      <c r="C117" s="0" t="s">
        <v>193</v>
      </c>
      <c r="D117" s="0" t="s">
        <v>430</v>
      </c>
      <c r="E117" s="0" t="s">
        <v>294</v>
      </c>
      <c r="F117" s="0" t="n">
        <v>0</v>
      </c>
      <c r="G117" s="0" t="n">
        <v>16</v>
      </c>
      <c r="H117" s="0" t="s">
        <v>348</v>
      </c>
      <c r="J117" s="0" t="n">
        <v>16</v>
      </c>
      <c r="K117" s="0" t="n">
        <v>0</v>
      </c>
      <c r="L117" s="0" t="s">
        <v>296</v>
      </c>
      <c r="N117" s="0" t="str">
        <f aca="false">IF(H117="","",IFERROR(LEFT(H117,FIND(" ",H117)-1),H117))</f>
        <v>14/1/2023</v>
      </c>
      <c r="O117" s="23" t="n">
        <f aca="false">IFERROR(DATE(VALUE(MID(N117,FIND("/",N117,FIND("/",N117)+1)+1,4)),VALUE(MID(N117,FIND("/",N117)+1,FIND("/",N117,FIND("/",N117)+1)-FIND("/",N117)-1)),VALUE(LEFT(N117,FIND("/",N117)-1))),0)</f>
        <v>44940</v>
      </c>
    </row>
    <row r="118" customFormat="false" ht="15" hidden="false" customHeight="false" outlineLevel="0" collapsed="false">
      <c r="A118" s="0" t="n">
        <v>4745974</v>
      </c>
      <c r="B118" s="0" t="s">
        <v>429</v>
      </c>
      <c r="C118" s="0" t="s">
        <v>193</v>
      </c>
      <c r="D118" s="0" t="s">
        <v>430</v>
      </c>
      <c r="E118" s="0" t="s">
        <v>294</v>
      </c>
      <c r="F118" s="0" t="n">
        <v>0</v>
      </c>
      <c r="G118" s="0" t="n">
        <v>16</v>
      </c>
      <c r="H118" s="0" t="s">
        <v>320</v>
      </c>
      <c r="I118" s="0" t="s">
        <v>321</v>
      </c>
      <c r="J118" s="0" t="n">
        <v>24</v>
      </c>
      <c r="K118" s="0" t="n">
        <v>0</v>
      </c>
      <c r="L118" s="0" t="s">
        <v>296</v>
      </c>
      <c r="N118" s="0" t="str">
        <f aca="false">IF(H118="","",IFERROR(LEFT(H118,FIND(" ",H118)-1),H118))</f>
        <v>18/11/2023</v>
      </c>
      <c r="O118" s="23" t="n">
        <f aca="false">IFERROR(DATE(VALUE(MID(N118,FIND("/",N118,FIND("/",N118)+1)+1,4)),VALUE(MID(N118,FIND("/",N118)+1,FIND("/",N118,FIND("/",N118)+1)-FIND("/",N118)-1)),VALUE(LEFT(N118,FIND("/",N118)-1))),0)</f>
        <v>45248</v>
      </c>
    </row>
    <row r="119" customFormat="false" ht="15" hidden="false" customHeight="false" outlineLevel="0" collapsed="false">
      <c r="A119" s="0" t="n">
        <v>4745974</v>
      </c>
      <c r="B119" s="0" t="s">
        <v>429</v>
      </c>
      <c r="C119" s="0" t="s">
        <v>193</v>
      </c>
      <c r="D119" s="0" t="s">
        <v>430</v>
      </c>
      <c r="E119" s="0" t="s">
        <v>294</v>
      </c>
      <c r="F119" s="0" t="n">
        <v>0</v>
      </c>
      <c r="G119" s="0" t="n">
        <v>16</v>
      </c>
      <c r="H119" s="0" t="s">
        <v>431</v>
      </c>
      <c r="I119" s="0" t="s">
        <v>432</v>
      </c>
      <c r="J119" s="0" t="n">
        <v>0</v>
      </c>
      <c r="K119" s="0" t="n">
        <v>8</v>
      </c>
      <c r="L119" s="0" t="s">
        <v>296</v>
      </c>
      <c r="N119" s="0" t="str">
        <f aca="false">IF(H119="","",IFERROR(LEFT(H119,FIND(" ",H119)-1),H119))</f>
        <v>13/1/2024</v>
      </c>
      <c r="O119" s="23" t="n">
        <f aca="false">IFERROR(DATE(VALUE(MID(N119,FIND("/",N119,FIND("/",N119)+1)+1,4)),VALUE(MID(N119,FIND("/",N119)+1,FIND("/",N119,FIND("/",N119)+1)-FIND("/",N119)-1)),VALUE(LEFT(N119,FIND("/",N119)-1))),0)</f>
        <v>45304</v>
      </c>
    </row>
    <row r="120" customFormat="false" ht="15" hidden="false" customHeight="false" outlineLevel="0" collapsed="false">
      <c r="A120" s="0" t="n">
        <v>4745974</v>
      </c>
      <c r="B120" s="0" t="s">
        <v>429</v>
      </c>
      <c r="C120" s="0" t="s">
        <v>193</v>
      </c>
      <c r="D120" s="0" t="s">
        <v>430</v>
      </c>
      <c r="E120" s="0" t="s">
        <v>294</v>
      </c>
      <c r="F120" s="0" t="n">
        <v>0</v>
      </c>
      <c r="G120" s="0" t="n">
        <v>16</v>
      </c>
      <c r="H120" s="0" t="s">
        <v>433</v>
      </c>
      <c r="J120" s="0" t="n">
        <v>0</v>
      </c>
      <c r="K120" s="0" t="n">
        <v>72</v>
      </c>
      <c r="L120" s="0" t="s">
        <v>296</v>
      </c>
      <c r="N120" s="0" t="str">
        <f aca="false">IF(H120="","",IFERROR(LEFT(H120,FIND(" ",H120)-1),H120))</f>
        <v>27/1/2024</v>
      </c>
      <c r="O120" s="23" t="n">
        <f aca="false">IFERROR(DATE(VALUE(MID(N120,FIND("/",N120,FIND("/",N120)+1)+1,4)),VALUE(MID(N120,FIND("/",N120)+1,FIND("/",N120,FIND("/",N120)+1)-FIND("/",N120)-1)),VALUE(LEFT(N120,FIND("/",N120)-1))),0)</f>
        <v>45318</v>
      </c>
    </row>
    <row r="121" customFormat="false" ht="15" hidden="false" customHeight="false" outlineLevel="0" collapsed="false">
      <c r="A121" s="0" t="n">
        <v>4540144</v>
      </c>
      <c r="B121" s="0" t="s">
        <v>434</v>
      </c>
      <c r="C121" s="0" t="s">
        <v>435</v>
      </c>
      <c r="D121" s="0" t="s">
        <v>436</v>
      </c>
      <c r="E121" s="0" t="s">
        <v>294</v>
      </c>
      <c r="F121" s="0" t="n">
        <v>0</v>
      </c>
      <c r="G121" s="0" t="n">
        <v>40</v>
      </c>
      <c r="H121" s="0" t="s">
        <v>295</v>
      </c>
      <c r="J121" s="0" t="n">
        <v>72</v>
      </c>
      <c r="K121" s="0" t="n">
        <v>0</v>
      </c>
      <c r="L121" s="0" t="s">
        <v>296</v>
      </c>
      <c r="N121" s="0" t="str">
        <f aca="false">IF(H121="","",IFERROR(LEFT(H121,FIND(" ",H121)-1),H121))</f>
        <v>Opening</v>
      </c>
      <c r="O121" s="23" t="n">
        <f aca="false">IFERROR(DATE(VALUE(MID(N121,FIND("/",N121,FIND("/",N121)+1)+1,4)),VALUE(MID(N121,FIND("/",N121)+1,FIND("/",N121,FIND("/",N121)+1)-FIND("/",N121)-1)),VALUE(LEFT(N121,FIND("/",N121)-1))),0)</f>
        <v>0</v>
      </c>
    </row>
    <row r="122" customFormat="false" ht="15" hidden="false" customHeight="false" outlineLevel="0" collapsed="false">
      <c r="A122" s="0" t="n">
        <v>4540144</v>
      </c>
      <c r="B122" s="0" t="s">
        <v>434</v>
      </c>
      <c r="C122" s="0" t="s">
        <v>435</v>
      </c>
      <c r="D122" s="0" t="s">
        <v>436</v>
      </c>
      <c r="E122" s="0" t="s">
        <v>294</v>
      </c>
      <c r="F122" s="0" t="n">
        <v>0</v>
      </c>
      <c r="G122" s="0" t="n">
        <v>40</v>
      </c>
      <c r="H122" s="0" t="s">
        <v>298</v>
      </c>
      <c r="J122" s="0" t="n">
        <v>0</v>
      </c>
      <c r="K122" s="0" t="n">
        <v>2.05</v>
      </c>
      <c r="L122" s="0" t="s">
        <v>296</v>
      </c>
      <c r="N122" s="0" t="str">
        <f aca="false">IF(H122="","",IFERROR(LEFT(H122,FIND(" ",H122)-1),H122))</f>
        <v>10/9/2022</v>
      </c>
      <c r="O122" s="23" t="n">
        <f aca="false">IFERROR(DATE(VALUE(MID(N122,FIND("/",N122,FIND("/",N122)+1)+1,4)),VALUE(MID(N122,FIND("/",N122)+1,FIND("/",N122,FIND("/",N122)+1)-FIND("/",N122)-1)),VALUE(LEFT(N122,FIND("/",N122)-1))),0)</f>
        <v>44814</v>
      </c>
    </row>
    <row r="123" customFormat="false" ht="15" hidden="false" customHeight="false" outlineLevel="0" collapsed="false">
      <c r="A123" s="0" t="n">
        <v>4540144</v>
      </c>
      <c r="B123" s="0" t="s">
        <v>434</v>
      </c>
      <c r="C123" s="0" t="s">
        <v>435</v>
      </c>
      <c r="D123" s="0" t="s">
        <v>436</v>
      </c>
      <c r="E123" s="0" t="s">
        <v>294</v>
      </c>
      <c r="F123" s="0" t="n">
        <v>0</v>
      </c>
      <c r="G123" s="0" t="n">
        <v>40</v>
      </c>
      <c r="H123" s="0" t="s">
        <v>437</v>
      </c>
      <c r="J123" s="0" t="n">
        <v>0</v>
      </c>
      <c r="K123" s="0" t="n">
        <v>40</v>
      </c>
      <c r="L123" s="0" t="s">
        <v>296</v>
      </c>
      <c r="N123" s="0" t="str">
        <f aca="false">IF(H123="","",IFERROR(LEFT(H123,FIND(" ",H123)-1),H123))</f>
        <v>24/9/2022</v>
      </c>
      <c r="O123" s="23" t="n">
        <f aca="false">IFERROR(DATE(VALUE(MID(N123,FIND("/",N123,FIND("/",N123)+1)+1,4)),VALUE(MID(N123,FIND("/",N123)+1,FIND("/",N123,FIND("/",N123)+1)-FIND("/",N123)-1)),VALUE(LEFT(N123,FIND("/",N123)-1))),0)</f>
        <v>44828</v>
      </c>
    </row>
    <row r="124" customFormat="false" ht="15" hidden="false" customHeight="false" outlineLevel="0" collapsed="false">
      <c r="A124" s="0" t="n">
        <v>4540144</v>
      </c>
      <c r="B124" s="0" t="s">
        <v>434</v>
      </c>
      <c r="C124" s="0" t="s">
        <v>435</v>
      </c>
      <c r="D124" s="0" t="s">
        <v>436</v>
      </c>
      <c r="E124" s="0" t="s">
        <v>294</v>
      </c>
      <c r="F124" s="0" t="n">
        <v>0</v>
      </c>
      <c r="G124" s="0" t="n">
        <v>40</v>
      </c>
      <c r="H124" s="0" t="s">
        <v>299</v>
      </c>
      <c r="J124" s="0" t="n">
        <v>0</v>
      </c>
      <c r="K124" s="0" t="n">
        <v>29.95</v>
      </c>
      <c r="L124" s="0" t="s">
        <v>296</v>
      </c>
      <c r="N124" s="0" t="str">
        <f aca="false">IF(H124="","",IFERROR(LEFT(H124,FIND(" ",H124)-1),H124))</f>
        <v>8/10/2022</v>
      </c>
      <c r="O124" s="23" t="n">
        <f aca="false">IFERROR(DATE(VALUE(MID(N124,FIND("/",N124,FIND("/",N124)+1)+1,4)),VALUE(MID(N124,FIND("/",N124)+1,FIND("/",N124,FIND("/",N124)+1)-FIND("/",N124)-1)),VALUE(LEFT(N124,FIND("/",N124)-1))),0)</f>
        <v>44842</v>
      </c>
    </row>
    <row r="125" customFormat="false" ht="15" hidden="false" customHeight="false" outlineLevel="0" collapsed="false">
      <c r="A125" s="0" t="n">
        <v>4540144</v>
      </c>
      <c r="B125" s="0" t="s">
        <v>434</v>
      </c>
      <c r="C125" s="0" t="s">
        <v>435</v>
      </c>
      <c r="D125" s="0" t="s">
        <v>436</v>
      </c>
      <c r="E125" s="0" t="s">
        <v>294</v>
      </c>
      <c r="F125" s="0" t="n">
        <v>0</v>
      </c>
      <c r="G125" s="0" t="n">
        <v>40</v>
      </c>
      <c r="H125" s="0" t="s">
        <v>318</v>
      </c>
      <c r="J125" s="0" t="n">
        <v>8</v>
      </c>
      <c r="K125" s="0" t="n">
        <v>0</v>
      </c>
      <c r="L125" s="0" t="s">
        <v>296</v>
      </c>
      <c r="N125" s="0" t="str">
        <f aca="false">IF(H125="","",IFERROR(LEFT(H125,FIND(" ",H125)-1),H125))</f>
        <v>5/11/2022</v>
      </c>
      <c r="O125" s="23" t="n">
        <f aca="false">IFERROR(DATE(VALUE(MID(N125,FIND("/",N125,FIND("/",N125)+1)+1,4)),VALUE(MID(N125,FIND("/",N125)+1,FIND("/",N125,FIND("/",N125)+1)-FIND("/",N125)-1)),VALUE(LEFT(N125,FIND("/",N125)-1))),0)</f>
        <v>44870</v>
      </c>
    </row>
    <row r="126" customFormat="false" ht="15" hidden="false" customHeight="false" outlineLevel="0" collapsed="false">
      <c r="A126" s="0" t="n">
        <v>4540144</v>
      </c>
      <c r="B126" s="0" t="s">
        <v>434</v>
      </c>
      <c r="C126" s="0" t="s">
        <v>435</v>
      </c>
      <c r="D126" s="0" t="s">
        <v>436</v>
      </c>
      <c r="E126" s="0" t="s">
        <v>294</v>
      </c>
      <c r="F126" s="0" t="n">
        <v>0</v>
      </c>
      <c r="G126" s="0" t="n">
        <v>40</v>
      </c>
      <c r="H126" s="0" t="s">
        <v>438</v>
      </c>
      <c r="I126" s="0" t="s">
        <v>439</v>
      </c>
      <c r="J126" s="0" t="n">
        <v>0</v>
      </c>
      <c r="K126" s="0" t="n">
        <v>8</v>
      </c>
      <c r="L126" s="0" t="s">
        <v>296</v>
      </c>
      <c r="N126" s="0" t="str">
        <f aca="false">IF(H126="","",IFERROR(LEFT(H126,FIND(" ",H126)-1),H126))</f>
        <v>31/12/2022</v>
      </c>
      <c r="O126" s="23" t="n">
        <f aca="false">IFERROR(DATE(VALUE(MID(N126,FIND("/",N126,FIND("/",N126)+1)+1,4)),VALUE(MID(N126,FIND("/",N126)+1,FIND("/",N126,FIND("/",N126)+1)-FIND("/",N126)-1)),VALUE(LEFT(N126,FIND("/",N126)-1))),0)</f>
        <v>44926</v>
      </c>
    </row>
    <row r="127" customFormat="false" ht="15" hidden="false" customHeight="false" outlineLevel="0" collapsed="false">
      <c r="A127" s="0" t="n">
        <v>4540144</v>
      </c>
      <c r="B127" s="0" t="s">
        <v>434</v>
      </c>
      <c r="C127" s="0" t="s">
        <v>435</v>
      </c>
      <c r="D127" s="0" t="s">
        <v>436</v>
      </c>
      <c r="E127" s="0" t="s">
        <v>294</v>
      </c>
      <c r="F127" s="0" t="n">
        <v>0</v>
      </c>
      <c r="G127" s="0" t="n">
        <v>40</v>
      </c>
      <c r="H127" s="0" t="s">
        <v>348</v>
      </c>
      <c r="J127" s="0" t="n">
        <v>8</v>
      </c>
      <c r="K127" s="0" t="n">
        <v>0</v>
      </c>
      <c r="L127" s="0" t="s">
        <v>296</v>
      </c>
      <c r="N127" s="0" t="str">
        <f aca="false">IF(H127="","",IFERROR(LEFT(H127,FIND(" ",H127)-1),H127))</f>
        <v>14/1/2023</v>
      </c>
      <c r="O127" s="23" t="n">
        <f aca="false">IFERROR(DATE(VALUE(MID(N127,FIND("/",N127,FIND("/",N127)+1)+1,4)),VALUE(MID(N127,FIND("/",N127)+1,FIND("/",N127,FIND("/",N127)+1)-FIND("/",N127)-1)),VALUE(LEFT(N127,FIND("/",N127)-1))),0)</f>
        <v>44940</v>
      </c>
    </row>
    <row r="128" customFormat="false" ht="15" hidden="false" customHeight="false" outlineLevel="0" collapsed="false">
      <c r="A128" s="0" t="n">
        <v>4540144</v>
      </c>
      <c r="B128" s="0" t="s">
        <v>434</v>
      </c>
      <c r="C128" s="0" t="s">
        <v>435</v>
      </c>
      <c r="D128" s="0" t="s">
        <v>436</v>
      </c>
      <c r="E128" s="0" t="s">
        <v>294</v>
      </c>
      <c r="F128" s="0" t="n">
        <v>0</v>
      </c>
      <c r="G128" s="0" t="n">
        <v>40</v>
      </c>
      <c r="H128" s="0" t="s">
        <v>349</v>
      </c>
      <c r="I128" s="0" t="s">
        <v>350</v>
      </c>
      <c r="J128" s="0" t="n">
        <v>8</v>
      </c>
      <c r="K128" s="0" t="n">
        <v>0</v>
      </c>
      <c r="L128" s="0" t="s">
        <v>296</v>
      </c>
      <c r="N128" s="0" t="str">
        <f aca="false">IF(H128="","",IFERROR(LEFT(H128,FIND(" ",H128)-1),H128))</f>
        <v>25/2/2023</v>
      </c>
      <c r="O128" s="23" t="n">
        <f aca="false">IFERROR(DATE(VALUE(MID(N128,FIND("/",N128,FIND("/",N128)+1)+1,4)),VALUE(MID(N128,FIND("/",N128)+1,FIND("/",N128,FIND("/",N128)+1)-FIND("/",N128)-1)),VALUE(LEFT(N128,FIND("/",N128)-1))),0)</f>
        <v>44982</v>
      </c>
    </row>
    <row r="129" customFormat="false" ht="15" hidden="false" customHeight="false" outlineLevel="0" collapsed="false">
      <c r="A129" s="0" t="n">
        <v>4540144</v>
      </c>
      <c r="B129" s="0" t="s">
        <v>434</v>
      </c>
      <c r="C129" s="0" t="s">
        <v>435</v>
      </c>
      <c r="D129" s="0" t="s">
        <v>436</v>
      </c>
      <c r="E129" s="0" t="s">
        <v>294</v>
      </c>
      <c r="F129" s="0" t="n">
        <v>0</v>
      </c>
      <c r="G129" s="0" t="n">
        <v>40</v>
      </c>
      <c r="H129" s="0" t="s">
        <v>320</v>
      </c>
      <c r="I129" s="0" t="s">
        <v>321</v>
      </c>
      <c r="J129" s="0" t="n">
        <v>24</v>
      </c>
      <c r="K129" s="0" t="n">
        <v>0</v>
      </c>
      <c r="L129" s="0" t="s">
        <v>296</v>
      </c>
      <c r="N129" s="0" t="str">
        <f aca="false">IF(H129="","",IFERROR(LEFT(H129,FIND(" ",H129)-1),H129))</f>
        <v>18/11/2023</v>
      </c>
      <c r="O129" s="23" t="n">
        <f aca="false">IFERROR(DATE(VALUE(MID(N129,FIND("/",N129,FIND("/",N129)+1)+1,4)),VALUE(MID(N129,FIND("/",N129)+1,FIND("/",N129,FIND("/",N129)+1)-FIND("/",N129)-1)),VALUE(LEFT(N129,FIND("/",N129)-1))),0)</f>
        <v>45248</v>
      </c>
    </row>
    <row r="130" customFormat="false" ht="15" hidden="false" customHeight="false" outlineLevel="0" collapsed="false">
      <c r="A130" s="0" t="n">
        <v>4540144</v>
      </c>
      <c r="B130" s="0" t="s">
        <v>434</v>
      </c>
      <c r="C130" s="0" t="s">
        <v>435</v>
      </c>
      <c r="D130" s="0" t="s">
        <v>436</v>
      </c>
      <c r="E130" s="0" t="s">
        <v>294</v>
      </c>
      <c r="F130" s="0" t="n">
        <v>0</v>
      </c>
      <c r="G130" s="0" t="n">
        <v>40</v>
      </c>
      <c r="H130" s="0" t="s">
        <v>351</v>
      </c>
      <c r="J130" s="0" t="n">
        <v>8</v>
      </c>
      <c r="K130" s="0" t="n">
        <v>0</v>
      </c>
      <c r="L130" s="0" t="s">
        <v>296</v>
      </c>
      <c r="N130" s="0" t="str">
        <f aca="false">IF(H130="","",IFERROR(LEFT(H130,FIND(" ",H130)-1),H130))</f>
        <v>10/2/2024</v>
      </c>
      <c r="O130" s="23" t="n">
        <f aca="false">IFERROR(DATE(VALUE(MID(N130,FIND("/",N130,FIND("/",N130)+1)+1,4)),VALUE(MID(N130,FIND("/",N130)+1,FIND("/",N130,FIND("/",N130)+1)-FIND("/",N130)-1)),VALUE(LEFT(N130,FIND("/",N130)-1))),0)</f>
        <v>45332</v>
      </c>
    </row>
    <row r="131" customFormat="false" ht="15" hidden="false" customHeight="false" outlineLevel="0" collapsed="false">
      <c r="A131" s="0" t="n">
        <v>4540144</v>
      </c>
      <c r="B131" s="0" t="s">
        <v>434</v>
      </c>
      <c r="C131" s="0" t="s">
        <v>435</v>
      </c>
      <c r="D131" s="0" t="s">
        <v>436</v>
      </c>
      <c r="E131" s="0" t="s">
        <v>294</v>
      </c>
      <c r="F131" s="0" t="n">
        <v>0</v>
      </c>
      <c r="G131" s="0" t="n">
        <v>40</v>
      </c>
      <c r="H131" s="0" t="s">
        <v>322</v>
      </c>
      <c r="I131" s="0" t="s">
        <v>294</v>
      </c>
      <c r="J131" s="0" t="n">
        <v>8</v>
      </c>
      <c r="K131" s="0" t="n">
        <v>0</v>
      </c>
      <c r="L131" s="0" t="s">
        <v>296</v>
      </c>
      <c r="N131" s="0" t="str">
        <f aca="false">IF(H131="","",IFERROR(LEFT(H131,FIND(" ",H131)-1),H131))</f>
        <v>6/4/2024</v>
      </c>
      <c r="O131" s="23" t="n">
        <f aca="false">IFERROR(DATE(VALUE(MID(N131,FIND("/",N131,FIND("/",N131)+1)+1,4)),VALUE(MID(N131,FIND("/",N131)+1,FIND("/",N131,FIND("/",N131)+1)-FIND("/",N131)-1)),VALUE(LEFT(N131,FIND("/",N131)-1))),0)</f>
        <v>45388</v>
      </c>
    </row>
    <row r="132" customFormat="false" ht="15" hidden="false" customHeight="false" outlineLevel="0" collapsed="false">
      <c r="A132" s="0" t="n">
        <v>4540144</v>
      </c>
      <c r="B132" s="0" t="s">
        <v>434</v>
      </c>
      <c r="C132" s="0" t="s">
        <v>435</v>
      </c>
      <c r="D132" s="0" t="s">
        <v>436</v>
      </c>
      <c r="E132" s="0" t="s">
        <v>294</v>
      </c>
      <c r="F132" s="0" t="n">
        <v>0</v>
      </c>
      <c r="G132" s="0" t="n">
        <v>40</v>
      </c>
      <c r="H132" s="0" t="s">
        <v>323</v>
      </c>
      <c r="I132" s="0" t="s">
        <v>352</v>
      </c>
      <c r="J132" s="0" t="n">
        <v>16</v>
      </c>
      <c r="K132" s="0" t="n">
        <v>0</v>
      </c>
      <c r="L132" s="0" t="s">
        <v>296</v>
      </c>
      <c r="N132" s="0" t="str">
        <f aca="false">IF(H132="","",IFERROR(LEFT(H132,FIND(" ",H132)-1),H132))</f>
        <v>13/7/2024</v>
      </c>
      <c r="O132" s="23" t="n">
        <f aca="false">IFERROR(DATE(VALUE(MID(N132,FIND("/",N132,FIND("/",N132)+1)+1,4)),VALUE(MID(N132,FIND("/",N132)+1,FIND("/",N132,FIND("/",N132)+1)-FIND("/",N132)-1)),VALUE(LEFT(N132,FIND("/",N132)-1))),0)</f>
        <v>45486</v>
      </c>
    </row>
    <row r="133" customFormat="false" ht="15" hidden="false" customHeight="false" outlineLevel="0" collapsed="false">
      <c r="A133" s="0" t="n">
        <v>4540144</v>
      </c>
      <c r="B133" s="0" t="s">
        <v>434</v>
      </c>
      <c r="C133" s="0" t="s">
        <v>435</v>
      </c>
      <c r="D133" s="0" t="s">
        <v>436</v>
      </c>
      <c r="E133" s="0" t="s">
        <v>294</v>
      </c>
      <c r="F133" s="0" t="n">
        <v>0</v>
      </c>
      <c r="G133" s="0" t="n">
        <v>40</v>
      </c>
      <c r="H133" s="0" t="s">
        <v>353</v>
      </c>
      <c r="I133" s="0" t="s">
        <v>354</v>
      </c>
      <c r="J133" s="0" t="n">
        <v>8</v>
      </c>
      <c r="K133" s="0" t="n">
        <v>0</v>
      </c>
      <c r="L133" s="0" t="s">
        <v>296</v>
      </c>
      <c r="N133" s="0" t="str">
        <f aca="false">IF(H133="","",IFERROR(LEFT(H133,FIND(" ",H133)-1),H133))</f>
        <v>7/9/2024</v>
      </c>
      <c r="O133" s="23" t="n">
        <f aca="false">IFERROR(DATE(VALUE(MID(N133,FIND("/",N133,FIND("/",N133)+1)+1,4)),VALUE(MID(N133,FIND("/",N133)+1,FIND("/",N133,FIND("/",N133)+1)-FIND("/",N133)-1)),VALUE(LEFT(N133,FIND("/",N133)-1))),0)</f>
        <v>45542</v>
      </c>
    </row>
    <row r="134" customFormat="false" ht="15" hidden="false" customHeight="false" outlineLevel="0" collapsed="false">
      <c r="A134" s="0" t="n">
        <v>4540144</v>
      </c>
      <c r="B134" s="0" t="s">
        <v>434</v>
      </c>
      <c r="C134" s="0" t="s">
        <v>435</v>
      </c>
      <c r="D134" s="0" t="s">
        <v>436</v>
      </c>
      <c r="E134" s="0" t="s">
        <v>294</v>
      </c>
      <c r="F134" s="0" t="n">
        <v>0</v>
      </c>
      <c r="G134" s="0" t="n">
        <v>40</v>
      </c>
      <c r="H134" s="0" t="s">
        <v>305</v>
      </c>
      <c r="I134" s="0" t="s">
        <v>306</v>
      </c>
      <c r="J134" s="0" t="n">
        <v>8</v>
      </c>
      <c r="K134" s="0" t="n">
        <v>0</v>
      </c>
      <c r="L134" s="0" t="s">
        <v>296</v>
      </c>
      <c r="N134" s="0" t="str">
        <f aca="false">IF(H134="","",IFERROR(LEFT(H134,FIND(" ",H134)-1),H134))</f>
        <v>14/12/2024</v>
      </c>
      <c r="O134" s="23" t="n">
        <f aca="false">IFERROR(DATE(VALUE(MID(N134,FIND("/",N134,FIND("/",N134)+1)+1,4)),VALUE(MID(N134,FIND("/",N134)+1,FIND("/",N134,FIND("/",N134)+1)-FIND("/",N134)-1)),VALUE(LEFT(N134,FIND("/",N134)-1))),0)</f>
        <v>45640</v>
      </c>
    </row>
    <row r="135" customFormat="false" ht="15" hidden="false" customHeight="false" outlineLevel="0" collapsed="false">
      <c r="A135" s="0" t="n">
        <v>4540144</v>
      </c>
      <c r="B135" s="0" t="s">
        <v>434</v>
      </c>
      <c r="C135" s="0" t="s">
        <v>435</v>
      </c>
      <c r="D135" s="0" t="s">
        <v>436</v>
      </c>
      <c r="E135" s="0" t="s">
        <v>294</v>
      </c>
      <c r="F135" s="0" t="n">
        <v>0</v>
      </c>
      <c r="G135" s="0" t="n">
        <v>40</v>
      </c>
      <c r="H135" s="0" t="s">
        <v>329</v>
      </c>
      <c r="I135" s="0" t="s">
        <v>355</v>
      </c>
      <c r="J135" s="0" t="n">
        <v>8</v>
      </c>
      <c r="K135" s="0" t="n">
        <v>0</v>
      </c>
      <c r="L135" s="0" t="s">
        <v>296</v>
      </c>
      <c r="N135" s="0" t="str">
        <f aca="false">IF(H135="","",IFERROR(LEFT(H135,FIND(" ",H135)-1),H135))</f>
        <v>8/3/2025</v>
      </c>
      <c r="O135" s="23" t="n">
        <f aca="false">IFERROR(DATE(VALUE(MID(N135,FIND("/",N135,FIND("/",N135)+1)+1,4)),VALUE(MID(N135,FIND("/",N135)+1,FIND("/",N135,FIND("/",N135)+1)-FIND("/",N135)-1)),VALUE(LEFT(N135,FIND("/",N135)-1))),0)</f>
        <v>45724</v>
      </c>
    </row>
    <row r="136" customFormat="false" ht="15" hidden="false" customHeight="false" outlineLevel="0" collapsed="false">
      <c r="A136" s="0" t="n">
        <v>4540144</v>
      </c>
      <c r="B136" s="0" t="s">
        <v>434</v>
      </c>
      <c r="C136" s="0" t="s">
        <v>435</v>
      </c>
      <c r="D136" s="0" t="s">
        <v>436</v>
      </c>
      <c r="E136" s="0" t="s">
        <v>294</v>
      </c>
      <c r="F136" s="0" t="n">
        <v>0</v>
      </c>
      <c r="G136" s="0" t="n">
        <v>40</v>
      </c>
      <c r="H136" s="0" t="s">
        <v>335</v>
      </c>
      <c r="J136" s="0" t="n">
        <v>0</v>
      </c>
      <c r="K136" s="0" t="n">
        <v>56</v>
      </c>
      <c r="L136" s="0" t="s">
        <v>296</v>
      </c>
      <c r="N136" s="0" t="str">
        <f aca="false">IF(H136="","",IFERROR(LEFT(H136,FIND(" ",H136)-1),H136))</f>
        <v>3/5/2025</v>
      </c>
      <c r="O136" s="23" t="n">
        <f aca="false">IFERROR(DATE(VALUE(MID(N136,FIND("/",N136,FIND("/",N136)+1)+1,4)),VALUE(MID(N136,FIND("/",N136)+1,FIND("/",N136,FIND("/",N136)+1)-FIND("/",N136)-1)),VALUE(LEFT(N136,FIND("/",N136)-1))),0)</f>
        <v>45780</v>
      </c>
    </row>
    <row r="137" customFormat="false" ht="15" hidden="false" customHeight="false" outlineLevel="0" collapsed="false">
      <c r="A137" s="0" t="n">
        <v>4745990</v>
      </c>
      <c r="B137" s="0" t="s">
        <v>440</v>
      </c>
      <c r="C137" s="0" t="s">
        <v>203</v>
      </c>
      <c r="D137" s="0" t="s">
        <v>204</v>
      </c>
      <c r="E137" s="0" t="s">
        <v>294</v>
      </c>
      <c r="F137" s="0" t="n">
        <v>0</v>
      </c>
      <c r="G137" s="0" t="n">
        <v>0</v>
      </c>
      <c r="H137" s="0" t="s">
        <v>295</v>
      </c>
      <c r="J137" s="0" t="n">
        <v>16</v>
      </c>
      <c r="K137" s="0" t="n">
        <v>0</v>
      </c>
      <c r="L137" s="0" t="s">
        <v>296</v>
      </c>
      <c r="N137" s="0" t="str">
        <f aca="false">IF(H137="","",IFERROR(LEFT(H137,FIND(" ",H137)-1),H137))</f>
        <v>Opening</v>
      </c>
      <c r="O137" s="23" t="n">
        <f aca="false">IFERROR(DATE(VALUE(MID(N137,FIND("/",N137,FIND("/",N137)+1)+1,4)),VALUE(MID(N137,FIND("/",N137)+1,FIND("/",N137,FIND("/",N137)+1)-FIND("/",N137)-1)),VALUE(LEFT(N137,FIND("/",N137)-1))),0)</f>
        <v>0</v>
      </c>
    </row>
    <row r="138" customFormat="false" ht="15" hidden="false" customHeight="false" outlineLevel="0" collapsed="false">
      <c r="A138" s="0" t="n">
        <v>4745990</v>
      </c>
      <c r="B138" s="0" t="s">
        <v>440</v>
      </c>
      <c r="C138" s="0" t="s">
        <v>203</v>
      </c>
      <c r="D138" s="0" t="s">
        <v>204</v>
      </c>
      <c r="E138" s="0" t="s">
        <v>294</v>
      </c>
      <c r="F138" s="0" t="n">
        <v>0</v>
      </c>
      <c r="G138" s="0" t="n">
        <v>0</v>
      </c>
      <c r="H138" s="0" t="s">
        <v>298</v>
      </c>
      <c r="J138" s="0" t="n">
        <v>8</v>
      </c>
      <c r="K138" s="0" t="n">
        <v>0</v>
      </c>
      <c r="L138" s="0" t="s">
        <v>296</v>
      </c>
      <c r="N138" s="0" t="str">
        <f aca="false">IF(H138="","",IFERROR(LEFT(H138,FIND(" ",H138)-1),H138))</f>
        <v>10/9/2022</v>
      </c>
      <c r="O138" s="23" t="n">
        <f aca="false">IFERROR(DATE(VALUE(MID(N138,FIND("/",N138,FIND("/",N138)+1)+1,4)),VALUE(MID(N138,FIND("/",N138)+1,FIND("/",N138,FIND("/",N138)+1)-FIND("/",N138)-1)),VALUE(LEFT(N138,FIND("/",N138)-1))),0)</f>
        <v>44814</v>
      </c>
    </row>
    <row r="139" customFormat="false" ht="15" hidden="false" customHeight="false" outlineLevel="0" collapsed="false">
      <c r="A139" s="0" t="n">
        <v>4745990</v>
      </c>
      <c r="B139" s="0" t="s">
        <v>440</v>
      </c>
      <c r="C139" s="0" t="s">
        <v>203</v>
      </c>
      <c r="D139" s="0" t="s">
        <v>204</v>
      </c>
      <c r="E139" s="0" t="s">
        <v>294</v>
      </c>
      <c r="F139" s="0" t="n">
        <v>0</v>
      </c>
      <c r="G139" s="0" t="n">
        <v>0</v>
      </c>
      <c r="H139" s="0" t="s">
        <v>348</v>
      </c>
      <c r="J139" s="0" t="n">
        <v>8</v>
      </c>
      <c r="K139" s="0" t="n">
        <v>0</v>
      </c>
      <c r="L139" s="0" t="s">
        <v>296</v>
      </c>
      <c r="N139" s="0" t="str">
        <f aca="false">IF(H139="","",IFERROR(LEFT(H139,FIND(" ",H139)-1),H139))</f>
        <v>14/1/2023</v>
      </c>
      <c r="O139" s="23" t="n">
        <f aca="false">IFERROR(DATE(VALUE(MID(N139,FIND("/",N139,FIND("/",N139)+1)+1,4)),VALUE(MID(N139,FIND("/",N139)+1,FIND("/",N139,FIND("/",N139)+1)-FIND("/",N139)-1)),VALUE(LEFT(N139,FIND("/",N139)-1))),0)</f>
        <v>44940</v>
      </c>
    </row>
    <row r="140" customFormat="false" ht="15" hidden="false" customHeight="false" outlineLevel="0" collapsed="false">
      <c r="A140" s="0" t="n">
        <v>4745990</v>
      </c>
      <c r="B140" s="0" t="s">
        <v>440</v>
      </c>
      <c r="C140" s="0" t="s">
        <v>203</v>
      </c>
      <c r="D140" s="0" t="s">
        <v>204</v>
      </c>
      <c r="E140" s="0" t="s">
        <v>294</v>
      </c>
      <c r="F140" s="0" t="n">
        <v>0</v>
      </c>
      <c r="G140" s="0" t="n">
        <v>0</v>
      </c>
      <c r="H140" s="0" t="s">
        <v>320</v>
      </c>
      <c r="I140" s="0" t="s">
        <v>321</v>
      </c>
      <c r="J140" s="0" t="n">
        <v>16</v>
      </c>
      <c r="K140" s="0" t="n">
        <v>0</v>
      </c>
      <c r="L140" s="0" t="s">
        <v>296</v>
      </c>
      <c r="N140" s="0" t="str">
        <f aca="false">IF(H140="","",IFERROR(LEFT(H140,FIND(" ",H140)-1),H140))</f>
        <v>18/11/2023</v>
      </c>
      <c r="O140" s="23" t="n">
        <f aca="false">IFERROR(DATE(VALUE(MID(N140,FIND("/",N140,FIND("/",N140)+1)+1,4)),VALUE(MID(N140,FIND("/",N140)+1,FIND("/",N140,FIND("/",N140)+1)-FIND("/",N140)-1)),VALUE(LEFT(N140,FIND("/",N140)-1))),0)</f>
        <v>45248</v>
      </c>
    </row>
    <row r="141" customFormat="false" ht="15" hidden="false" customHeight="false" outlineLevel="0" collapsed="false">
      <c r="A141" s="0" t="n">
        <v>4745990</v>
      </c>
      <c r="B141" s="0" t="s">
        <v>440</v>
      </c>
      <c r="C141" s="0" t="s">
        <v>203</v>
      </c>
      <c r="D141" s="0" t="s">
        <v>204</v>
      </c>
      <c r="E141" s="0" t="s">
        <v>294</v>
      </c>
      <c r="F141" s="0" t="n">
        <v>0</v>
      </c>
      <c r="G141" s="0" t="n">
        <v>0</v>
      </c>
      <c r="H141" s="0" t="s">
        <v>351</v>
      </c>
      <c r="J141" s="0" t="n">
        <v>8</v>
      </c>
      <c r="K141" s="0" t="n">
        <v>0</v>
      </c>
      <c r="L141" s="0" t="s">
        <v>296</v>
      </c>
      <c r="N141" s="0" t="str">
        <f aca="false">IF(H141="","",IFERROR(LEFT(H141,FIND(" ",H141)-1),H141))</f>
        <v>10/2/2024</v>
      </c>
      <c r="O141" s="23" t="n">
        <f aca="false">IFERROR(DATE(VALUE(MID(N141,FIND("/",N141,FIND("/",N141)+1)+1,4)),VALUE(MID(N141,FIND("/",N141)+1,FIND("/",N141,FIND("/",N141)+1)-FIND("/",N141)-1)),VALUE(LEFT(N141,FIND("/",N141)-1))),0)</f>
        <v>45332</v>
      </c>
    </row>
    <row r="142" customFormat="false" ht="15" hidden="false" customHeight="false" outlineLevel="0" collapsed="false">
      <c r="A142" s="0" t="n">
        <v>4745990</v>
      </c>
      <c r="B142" s="0" t="s">
        <v>440</v>
      </c>
      <c r="C142" s="0" t="s">
        <v>203</v>
      </c>
      <c r="D142" s="0" t="s">
        <v>204</v>
      </c>
      <c r="E142" s="0" t="s">
        <v>294</v>
      </c>
      <c r="F142" s="0" t="n">
        <v>0</v>
      </c>
      <c r="G142" s="0" t="n">
        <v>0</v>
      </c>
      <c r="H142" s="0" t="s">
        <v>385</v>
      </c>
      <c r="I142" s="0" t="s">
        <v>386</v>
      </c>
      <c r="J142" s="0" t="n">
        <v>8</v>
      </c>
      <c r="K142" s="0" t="n">
        <v>0</v>
      </c>
      <c r="L142" s="0" t="s">
        <v>296</v>
      </c>
      <c r="N142" s="0" t="str">
        <f aca="false">IF(H142="","",IFERROR(LEFT(H142,FIND(" ",H142)-1),H142))</f>
        <v>4/5/2024</v>
      </c>
      <c r="O142" s="23" t="n">
        <f aca="false">IFERROR(DATE(VALUE(MID(N142,FIND("/",N142,FIND("/",N142)+1)+1,4)),VALUE(MID(N142,FIND("/",N142)+1,FIND("/",N142,FIND("/",N142)+1)-FIND("/",N142)-1)),VALUE(LEFT(N142,FIND("/",N142)-1))),0)</f>
        <v>45416</v>
      </c>
    </row>
    <row r="143" customFormat="false" ht="15" hidden="false" customHeight="false" outlineLevel="0" collapsed="false">
      <c r="A143" s="0" t="n">
        <v>4745990</v>
      </c>
      <c r="B143" s="0" t="s">
        <v>440</v>
      </c>
      <c r="C143" s="0" t="s">
        <v>203</v>
      </c>
      <c r="D143" s="0" t="s">
        <v>204</v>
      </c>
      <c r="E143" s="0" t="s">
        <v>294</v>
      </c>
      <c r="F143" s="0" t="n">
        <v>0</v>
      </c>
      <c r="G143" s="0" t="n">
        <v>0</v>
      </c>
      <c r="H143" s="0" t="s">
        <v>303</v>
      </c>
      <c r="I143" s="0" t="s">
        <v>304</v>
      </c>
      <c r="J143" s="0" t="n">
        <v>8</v>
      </c>
      <c r="K143" s="0" t="n">
        <v>0</v>
      </c>
      <c r="L143" s="0" t="s">
        <v>296</v>
      </c>
      <c r="N143" s="0" t="str">
        <f aca="false">IF(H143="","",IFERROR(LEFT(H143,FIND(" ",H143)-1),H143))</f>
        <v>24/8/2024</v>
      </c>
      <c r="O143" s="23" t="n">
        <f aca="false">IFERROR(DATE(VALUE(MID(N143,FIND("/",N143,FIND("/",N143)+1)+1,4)),VALUE(MID(N143,FIND("/",N143)+1,FIND("/",N143,FIND("/",N143)+1)-FIND("/",N143)-1)),VALUE(LEFT(N143,FIND("/",N143)-1))),0)</f>
        <v>45528</v>
      </c>
    </row>
    <row r="144" customFormat="false" ht="15" hidden="false" customHeight="false" outlineLevel="0" collapsed="false">
      <c r="A144" s="0" t="n">
        <v>4745990</v>
      </c>
      <c r="B144" s="0" t="s">
        <v>440</v>
      </c>
      <c r="C144" s="0" t="s">
        <v>203</v>
      </c>
      <c r="D144" s="0" t="s">
        <v>204</v>
      </c>
      <c r="E144" s="0" t="s">
        <v>294</v>
      </c>
      <c r="F144" s="0" t="n">
        <v>0</v>
      </c>
      <c r="G144" s="0" t="n">
        <v>0</v>
      </c>
      <c r="H144" s="0" t="s">
        <v>441</v>
      </c>
      <c r="J144" s="0" t="n">
        <v>0</v>
      </c>
      <c r="K144" s="0" t="n">
        <v>48</v>
      </c>
      <c r="L144" s="0" t="s">
        <v>296</v>
      </c>
      <c r="N144" s="0" t="str">
        <f aca="false">IF(H144="","",IFERROR(LEFT(H144,FIND(" ",H144)-1),H144))</f>
        <v>30/11/2024</v>
      </c>
      <c r="O144" s="23" t="n">
        <f aca="false">IFERROR(DATE(VALUE(MID(N144,FIND("/",N144,FIND("/",N144)+1)+1,4)),VALUE(MID(N144,FIND("/",N144)+1,FIND("/",N144,FIND("/",N144)+1)-FIND("/",N144)-1)),VALUE(LEFT(N144,FIND("/",N144)-1))),0)</f>
        <v>45626</v>
      </c>
    </row>
    <row r="145" customFormat="false" ht="15" hidden="false" customHeight="false" outlineLevel="0" collapsed="false">
      <c r="A145" s="0" t="n">
        <v>4745990</v>
      </c>
      <c r="B145" s="0" t="s">
        <v>440</v>
      </c>
      <c r="C145" s="0" t="s">
        <v>203</v>
      </c>
      <c r="D145" s="0" t="s">
        <v>204</v>
      </c>
      <c r="E145" s="0" t="s">
        <v>294</v>
      </c>
      <c r="F145" s="0" t="n">
        <v>0</v>
      </c>
      <c r="G145" s="0" t="n">
        <v>0</v>
      </c>
      <c r="H145" s="0" t="s">
        <v>335</v>
      </c>
      <c r="I145" s="0" t="s">
        <v>442</v>
      </c>
      <c r="J145" s="0" t="n">
        <v>0</v>
      </c>
      <c r="K145" s="0" t="n">
        <v>24</v>
      </c>
      <c r="L145" s="0" t="s">
        <v>296</v>
      </c>
      <c r="N145" s="0" t="str">
        <f aca="false">IF(H145="","",IFERROR(LEFT(H145,FIND(" ",H145)-1),H145))</f>
        <v>3/5/2025</v>
      </c>
      <c r="O145" s="23" t="n">
        <f aca="false">IFERROR(DATE(VALUE(MID(N145,FIND("/",N145,FIND("/",N145)+1)+1,4)),VALUE(MID(N145,FIND("/",N145)+1,FIND("/",N145,FIND("/",N145)+1)-FIND("/",N145)-1)),VALUE(LEFT(N145,FIND("/",N145)-1))),0)</f>
        <v>45780</v>
      </c>
    </row>
    <row r="146" customFormat="false" ht="15" hidden="false" customHeight="false" outlineLevel="0" collapsed="false">
      <c r="A146" s="0" t="n">
        <v>4745979</v>
      </c>
      <c r="B146" s="0" t="s">
        <v>443</v>
      </c>
      <c r="C146" s="0" t="s">
        <v>207</v>
      </c>
      <c r="D146" s="0" t="s">
        <v>208</v>
      </c>
      <c r="E146" s="0" t="s">
        <v>294</v>
      </c>
      <c r="F146" s="0" t="n">
        <v>0</v>
      </c>
      <c r="G146" s="0" t="n">
        <v>0</v>
      </c>
      <c r="H146" s="0" t="s">
        <v>295</v>
      </c>
      <c r="J146" s="0" t="n">
        <v>16</v>
      </c>
      <c r="K146" s="0" t="n">
        <v>0</v>
      </c>
      <c r="L146" s="0" t="s">
        <v>296</v>
      </c>
      <c r="N146" s="0" t="str">
        <f aca="false">IF(H146="","",IFERROR(LEFT(H146,FIND(" ",H146)-1),H146))</f>
        <v>Opening</v>
      </c>
      <c r="O146" s="23" t="n">
        <f aca="false">IFERROR(DATE(VALUE(MID(N146,FIND("/",N146,FIND("/",N146)+1)+1,4)),VALUE(MID(N146,FIND("/",N146)+1,FIND("/",N146,FIND("/",N146)+1)-FIND("/",N146)-1)),VALUE(LEFT(N146,FIND("/",N146)-1))),0)</f>
        <v>0</v>
      </c>
    </row>
    <row r="147" customFormat="false" ht="15" hidden="false" customHeight="false" outlineLevel="0" collapsed="false">
      <c r="A147" s="0" t="n">
        <v>4745979</v>
      </c>
      <c r="B147" s="0" t="s">
        <v>443</v>
      </c>
      <c r="C147" s="0" t="s">
        <v>207</v>
      </c>
      <c r="D147" s="0" t="s">
        <v>208</v>
      </c>
      <c r="E147" s="0" t="s">
        <v>294</v>
      </c>
      <c r="F147" s="0" t="n">
        <v>0</v>
      </c>
      <c r="G147" s="0" t="n">
        <v>0</v>
      </c>
      <c r="H147" s="0" t="s">
        <v>318</v>
      </c>
      <c r="J147" s="0" t="n">
        <v>8</v>
      </c>
      <c r="K147" s="0" t="n">
        <v>0</v>
      </c>
      <c r="L147" s="0" t="s">
        <v>296</v>
      </c>
      <c r="N147" s="0" t="str">
        <f aca="false">IF(H147="","",IFERROR(LEFT(H147,FIND(" ",H147)-1),H147))</f>
        <v>5/11/2022</v>
      </c>
      <c r="O147" s="23" t="n">
        <f aca="false">IFERROR(DATE(VALUE(MID(N147,FIND("/",N147,FIND("/",N147)+1)+1,4)),VALUE(MID(N147,FIND("/",N147)+1,FIND("/",N147,FIND("/",N147)+1)-FIND("/",N147)-1)),VALUE(LEFT(N147,FIND("/",N147)-1))),0)</f>
        <v>44870</v>
      </c>
    </row>
    <row r="148" customFormat="false" ht="15" hidden="false" customHeight="false" outlineLevel="0" collapsed="false">
      <c r="A148" s="0" t="n">
        <v>4745979</v>
      </c>
      <c r="B148" s="0" t="s">
        <v>443</v>
      </c>
      <c r="C148" s="0" t="s">
        <v>207</v>
      </c>
      <c r="D148" s="0" t="s">
        <v>208</v>
      </c>
      <c r="E148" s="0" t="s">
        <v>294</v>
      </c>
      <c r="F148" s="0" t="n">
        <v>0</v>
      </c>
      <c r="G148" s="0" t="n">
        <v>0</v>
      </c>
      <c r="H148" s="0" t="s">
        <v>319</v>
      </c>
      <c r="J148" s="0" t="n">
        <v>8</v>
      </c>
      <c r="K148" s="0" t="n">
        <v>0</v>
      </c>
      <c r="L148" s="0" t="s">
        <v>296</v>
      </c>
      <c r="N148" s="0" t="str">
        <f aca="false">IF(H148="","",IFERROR(LEFT(H148,FIND(" ",H148)-1),H148))</f>
        <v>11/2/2023</v>
      </c>
      <c r="O148" s="23" t="n">
        <f aca="false">IFERROR(DATE(VALUE(MID(N148,FIND("/",N148,FIND("/",N148)+1)+1,4)),VALUE(MID(N148,FIND("/",N148)+1,FIND("/",N148,FIND("/",N148)+1)-FIND("/",N148)-1)),VALUE(LEFT(N148,FIND("/",N148)-1))),0)</f>
        <v>44968</v>
      </c>
    </row>
    <row r="149" customFormat="false" ht="15" hidden="false" customHeight="false" outlineLevel="0" collapsed="false">
      <c r="A149" s="0" t="n">
        <v>4745979</v>
      </c>
      <c r="B149" s="0" t="s">
        <v>443</v>
      </c>
      <c r="C149" s="0" t="s">
        <v>207</v>
      </c>
      <c r="D149" s="0" t="s">
        <v>208</v>
      </c>
      <c r="E149" s="0" t="s">
        <v>294</v>
      </c>
      <c r="F149" s="0" t="n">
        <v>0</v>
      </c>
      <c r="G149" s="0" t="n">
        <v>0</v>
      </c>
      <c r="H149" s="0" t="s">
        <v>320</v>
      </c>
      <c r="I149" s="0" t="s">
        <v>321</v>
      </c>
      <c r="J149" s="0" t="n">
        <v>16</v>
      </c>
      <c r="K149" s="0" t="n">
        <v>0</v>
      </c>
      <c r="L149" s="0" t="s">
        <v>296</v>
      </c>
      <c r="N149" s="0" t="str">
        <f aca="false">IF(H149="","",IFERROR(LEFT(H149,FIND(" ",H149)-1),H149))</f>
        <v>18/11/2023</v>
      </c>
      <c r="O149" s="23" t="n">
        <f aca="false">IFERROR(DATE(VALUE(MID(N149,FIND("/",N149,FIND("/",N149)+1)+1,4)),VALUE(MID(N149,FIND("/",N149)+1,FIND("/",N149,FIND("/",N149)+1)-FIND("/",N149)-1)),VALUE(LEFT(N149,FIND("/",N149)-1))),0)</f>
        <v>45248</v>
      </c>
    </row>
    <row r="150" customFormat="false" ht="15" hidden="false" customHeight="false" outlineLevel="0" collapsed="false">
      <c r="A150" s="0" t="n">
        <v>4745979</v>
      </c>
      <c r="B150" s="0" t="s">
        <v>443</v>
      </c>
      <c r="C150" s="0" t="s">
        <v>207</v>
      </c>
      <c r="D150" s="0" t="s">
        <v>208</v>
      </c>
      <c r="E150" s="0" t="s">
        <v>294</v>
      </c>
      <c r="F150" s="0" t="n">
        <v>0</v>
      </c>
      <c r="G150" s="0" t="n">
        <v>0</v>
      </c>
      <c r="H150" s="0" t="s">
        <v>322</v>
      </c>
      <c r="I150" s="0" t="s">
        <v>294</v>
      </c>
      <c r="J150" s="0" t="n">
        <v>8</v>
      </c>
      <c r="K150" s="0" t="n">
        <v>0</v>
      </c>
      <c r="L150" s="0" t="s">
        <v>296</v>
      </c>
      <c r="N150" s="0" t="str">
        <f aca="false">IF(H150="","",IFERROR(LEFT(H150,FIND(" ",H150)-1),H150))</f>
        <v>6/4/2024</v>
      </c>
      <c r="O150" s="23" t="n">
        <f aca="false">IFERROR(DATE(VALUE(MID(N150,FIND("/",N150,FIND("/",N150)+1)+1,4)),VALUE(MID(N150,FIND("/",N150)+1,FIND("/",N150,FIND("/",N150)+1)-FIND("/",N150)-1)),VALUE(LEFT(N150,FIND("/",N150)-1))),0)</f>
        <v>45388</v>
      </c>
    </row>
    <row r="151" customFormat="false" ht="15" hidden="false" customHeight="false" outlineLevel="0" collapsed="false">
      <c r="A151" s="0" t="n">
        <v>4745979</v>
      </c>
      <c r="B151" s="0" t="s">
        <v>443</v>
      </c>
      <c r="C151" s="0" t="s">
        <v>207</v>
      </c>
      <c r="D151" s="0" t="s">
        <v>208</v>
      </c>
      <c r="E151" s="0" t="s">
        <v>294</v>
      </c>
      <c r="F151" s="0" t="n">
        <v>0</v>
      </c>
      <c r="G151" s="0" t="n">
        <v>0</v>
      </c>
      <c r="H151" s="0" t="s">
        <v>323</v>
      </c>
      <c r="I151" s="0" t="s">
        <v>324</v>
      </c>
      <c r="J151" s="0" t="n">
        <v>8</v>
      </c>
      <c r="K151" s="0" t="n">
        <v>0</v>
      </c>
      <c r="L151" s="0" t="s">
        <v>296</v>
      </c>
      <c r="N151" s="0" t="str">
        <f aca="false">IF(H151="","",IFERROR(LEFT(H151,FIND(" ",H151)-1),H151))</f>
        <v>13/7/2024</v>
      </c>
      <c r="O151" s="23" t="n">
        <f aca="false">IFERROR(DATE(VALUE(MID(N151,FIND("/",N151,FIND("/",N151)+1)+1,4)),VALUE(MID(N151,FIND("/",N151)+1,FIND("/",N151,FIND("/",N151)+1)-FIND("/",N151)-1)),VALUE(LEFT(N151,FIND("/",N151)-1))),0)</f>
        <v>45486</v>
      </c>
    </row>
    <row r="152" customFormat="false" ht="15" hidden="false" customHeight="false" outlineLevel="0" collapsed="false">
      <c r="A152" s="0" t="n">
        <v>4745979</v>
      </c>
      <c r="B152" s="0" t="s">
        <v>443</v>
      </c>
      <c r="C152" s="0" t="s">
        <v>207</v>
      </c>
      <c r="D152" s="0" t="s">
        <v>208</v>
      </c>
      <c r="E152" s="0" t="s">
        <v>294</v>
      </c>
      <c r="F152" s="0" t="n">
        <v>0</v>
      </c>
      <c r="G152" s="0" t="n">
        <v>0</v>
      </c>
      <c r="H152" s="0" t="s">
        <v>325</v>
      </c>
      <c r="I152" s="0" t="s">
        <v>326</v>
      </c>
      <c r="J152" s="0" t="n">
        <v>8</v>
      </c>
      <c r="K152" s="0" t="n">
        <v>0</v>
      </c>
      <c r="L152" s="0" t="s">
        <v>296</v>
      </c>
      <c r="N152" s="0" t="str">
        <f aca="false">IF(H152="","",IFERROR(LEFT(H152,FIND(" ",H152)-1),H152))</f>
        <v>19/10/2024</v>
      </c>
      <c r="O152" s="23" t="n">
        <f aca="false">IFERROR(DATE(VALUE(MID(N152,FIND("/",N152,FIND("/",N152)+1)+1,4)),VALUE(MID(N152,FIND("/",N152)+1,FIND("/",N152,FIND("/",N152)+1)-FIND("/",N152)-1)),VALUE(LEFT(N152,FIND("/",N152)-1))),0)</f>
        <v>45584</v>
      </c>
    </row>
    <row r="153" customFormat="false" ht="15" hidden="false" customHeight="false" outlineLevel="0" collapsed="false">
      <c r="A153" s="0" t="n">
        <v>4745979</v>
      </c>
      <c r="B153" s="0" t="s">
        <v>443</v>
      </c>
      <c r="C153" s="0" t="s">
        <v>207</v>
      </c>
      <c r="D153" s="0" t="s">
        <v>208</v>
      </c>
      <c r="E153" s="0" t="s">
        <v>294</v>
      </c>
      <c r="F153" s="0" t="n">
        <v>0</v>
      </c>
      <c r="G153" s="0" t="n">
        <v>0</v>
      </c>
      <c r="H153" s="0" t="s">
        <v>327</v>
      </c>
      <c r="I153" s="0" t="s">
        <v>328</v>
      </c>
      <c r="J153" s="0" t="n">
        <v>8</v>
      </c>
      <c r="K153" s="0" t="n">
        <v>0</v>
      </c>
      <c r="L153" s="0" t="s">
        <v>296</v>
      </c>
      <c r="N153" s="0" t="str">
        <f aca="false">IF(H153="","",IFERROR(LEFT(H153,FIND(" ",H153)-1),H153))</f>
        <v>8/2/2025</v>
      </c>
      <c r="O153" s="23" t="n">
        <f aca="false">IFERROR(DATE(VALUE(MID(N153,FIND("/",N153,FIND("/",N153)+1)+1,4)),VALUE(MID(N153,FIND("/",N153)+1,FIND("/",N153,FIND("/",N153)+1)-FIND("/",N153)-1)),VALUE(LEFT(N153,FIND("/",N153)-1))),0)</f>
        <v>45696</v>
      </c>
    </row>
    <row r="154" customFormat="false" ht="15" hidden="false" customHeight="false" outlineLevel="0" collapsed="false">
      <c r="A154" s="0" t="n">
        <v>4745979</v>
      </c>
      <c r="B154" s="0" t="s">
        <v>443</v>
      </c>
      <c r="C154" s="0" t="s">
        <v>207</v>
      </c>
      <c r="D154" s="0" t="s">
        <v>208</v>
      </c>
      <c r="E154" s="0" t="s">
        <v>294</v>
      </c>
      <c r="F154" s="0" t="n">
        <v>0</v>
      </c>
      <c r="G154" s="0" t="n">
        <v>0</v>
      </c>
      <c r="H154" s="0" t="s">
        <v>335</v>
      </c>
      <c r="I154" s="0" t="s">
        <v>336</v>
      </c>
      <c r="J154" s="0" t="n">
        <v>8</v>
      </c>
      <c r="K154" s="0" t="n">
        <v>0</v>
      </c>
      <c r="L154" s="0" t="s">
        <v>296</v>
      </c>
      <c r="N154" s="0" t="str">
        <f aca="false">IF(H154="","",IFERROR(LEFT(H154,FIND(" ",H154)-1),H154))</f>
        <v>3/5/2025</v>
      </c>
      <c r="O154" s="23" t="n">
        <f aca="false">IFERROR(DATE(VALUE(MID(N154,FIND("/",N154,FIND("/",N154)+1)+1,4)),VALUE(MID(N154,FIND("/",N154)+1,FIND("/",N154,FIND("/",N154)+1)-FIND("/",N154)-1)),VALUE(LEFT(N154,FIND("/",N154)-1))),0)</f>
        <v>45780</v>
      </c>
    </row>
    <row r="155" customFormat="false" ht="15" hidden="false" customHeight="false" outlineLevel="0" collapsed="false">
      <c r="A155" s="0" t="n">
        <v>4745979</v>
      </c>
      <c r="B155" s="0" t="s">
        <v>443</v>
      </c>
      <c r="C155" s="0" t="s">
        <v>207</v>
      </c>
      <c r="D155" s="0" t="s">
        <v>208</v>
      </c>
      <c r="E155" s="0" t="s">
        <v>294</v>
      </c>
      <c r="F155" s="0" t="n">
        <v>0</v>
      </c>
      <c r="G155" s="0" t="n">
        <v>0</v>
      </c>
      <c r="H155" s="0" t="s">
        <v>337</v>
      </c>
      <c r="I155" s="0" t="s">
        <v>338</v>
      </c>
      <c r="J155" s="0" t="n">
        <v>8</v>
      </c>
      <c r="K155" s="0" t="n">
        <v>0</v>
      </c>
      <c r="L155" s="0" t="s">
        <v>296</v>
      </c>
      <c r="N155" s="0" t="str">
        <f aca="false">IF(H155="","",IFERROR(LEFT(H155,FIND(" ",H155)-1),H155))</f>
        <v>9/8/2025</v>
      </c>
      <c r="O155" s="23" t="n">
        <f aca="false">IFERROR(DATE(VALUE(MID(N155,FIND("/",N155,FIND("/",N155)+1)+1,4)),VALUE(MID(N155,FIND("/",N155)+1,FIND("/",N155,FIND("/",N155)+1)-FIND("/",N155)-1)),VALUE(LEFT(N155,FIND("/",N155)-1))),0)</f>
        <v>45878</v>
      </c>
    </row>
    <row r="156" customFormat="false" ht="15" hidden="false" customHeight="false" outlineLevel="0" collapsed="false">
      <c r="A156" s="0" t="n">
        <v>4745979</v>
      </c>
      <c r="B156" s="0" t="s">
        <v>443</v>
      </c>
      <c r="C156" s="0" t="s">
        <v>207</v>
      </c>
      <c r="D156" s="0" t="s">
        <v>208</v>
      </c>
      <c r="E156" s="0" t="s">
        <v>294</v>
      </c>
      <c r="F156" s="0" t="n">
        <v>0</v>
      </c>
      <c r="G156" s="0" t="n">
        <v>0</v>
      </c>
      <c r="H156" s="0" t="s">
        <v>375</v>
      </c>
      <c r="J156" s="0" t="n">
        <v>0</v>
      </c>
      <c r="K156" s="0" t="n">
        <v>96</v>
      </c>
      <c r="L156" s="0" t="s">
        <v>296</v>
      </c>
      <c r="N156" s="0" t="str">
        <f aca="false">IF(H156="","",IFERROR(LEFT(H156,FIND(" ",H156)-1),H156))</f>
        <v>13/12/2025</v>
      </c>
      <c r="O156" s="23" t="n">
        <f aca="false">IFERROR(DATE(VALUE(MID(N156,FIND("/",N156,FIND("/",N156)+1)+1,4)),VALUE(MID(N156,FIND("/",N156)+1,FIND("/",N156,FIND("/",N156)+1)-FIND("/",N156)-1)),VALUE(LEFT(N156,FIND("/",N156)-1))),0)</f>
        <v>46004</v>
      </c>
    </row>
    <row r="157" customFormat="false" ht="15" hidden="false" customHeight="false" outlineLevel="0" collapsed="false">
      <c r="A157" s="0" t="n">
        <v>4745975</v>
      </c>
      <c r="B157" s="0" t="s">
        <v>444</v>
      </c>
      <c r="C157" s="0" t="s">
        <v>215</v>
      </c>
      <c r="D157" s="0" t="s">
        <v>445</v>
      </c>
      <c r="E157" s="0" t="s">
        <v>294</v>
      </c>
      <c r="F157" s="0" t="n">
        <v>0</v>
      </c>
      <c r="G157" s="0" t="n">
        <v>0</v>
      </c>
      <c r="H157" s="0" t="s">
        <v>295</v>
      </c>
      <c r="J157" s="0" t="n">
        <v>56</v>
      </c>
      <c r="K157" s="0" t="n">
        <v>0</v>
      </c>
      <c r="L157" s="0" t="s">
        <v>296</v>
      </c>
      <c r="N157" s="0" t="str">
        <f aca="false">IF(H157="","",IFERROR(LEFT(H157,FIND(" ",H157)-1),H157))</f>
        <v>Opening</v>
      </c>
      <c r="O157" s="23" t="n">
        <f aca="false">IFERROR(DATE(VALUE(MID(N157,FIND("/",N157,FIND("/",N157)+1)+1,4)),VALUE(MID(N157,FIND("/",N157)+1,FIND("/",N157,FIND("/",N157)+1)-FIND("/",N157)-1)),VALUE(LEFT(N157,FIND("/",N157)-1))),0)</f>
        <v>0</v>
      </c>
    </row>
    <row r="158" customFormat="false" ht="15" hidden="false" customHeight="false" outlineLevel="0" collapsed="false">
      <c r="A158" s="0" t="n">
        <v>4745975</v>
      </c>
      <c r="B158" s="0" t="s">
        <v>444</v>
      </c>
      <c r="C158" s="0" t="s">
        <v>215</v>
      </c>
      <c r="D158" s="0" t="s">
        <v>445</v>
      </c>
      <c r="E158" s="0" t="s">
        <v>294</v>
      </c>
      <c r="F158" s="0" t="n">
        <v>0</v>
      </c>
      <c r="G158" s="0" t="n">
        <v>0</v>
      </c>
      <c r="H158" s="0" t="s">
        <v>298</v>
      </c>
      <c r="J158" s="0" t="n">
        <v>8</v>
      </c>
      <c r="K158" s="0" t="n">
        <v>0</v>
      </c>
      <c r="L158" s="0" t="s">
        <v>296</v>
      </c>
      <c r="N158" s="0" t="str">
        <f aca="false">IF(H158="","",IFERROR(LEFT(H158,FIND(" ",H158)-1),H158))</f>
        <v>10/9/2022</v>
      </c>
      <c r="O158" s="23" t="n">
        <f aca="false">IFERROR(DATE(VALUE(MID(N158,FIND("/",N158,FIND("/",N158)+1)+1,4)),VALUE(MID(N158,FIND("/",N158)+1,FIND("/",N158,FIND("/",N158)+1)-FIND("/",N158)-1)),VALUE(LEFT(N158,FIND("/",N158)-1))),0)</f>
        <v>44814</v>
      </c>
    </row>
    <row r="159" customFormat="false" ht="15" hidden="false" customHeight="false" outlineLevel="0" collapsed="false">
      <c r="A159" s="0" t="n">
        <v>4745975</v>
      </c>
      <c r="B159" s="0" t="s">
        <v>444</v>
      </c>
      <c r="C159" s="0" t="s">
        <v>215</v>
      </c>
      <c r="D159" s="0" t="s">
        <v>445</v>
      </c>
      <c r="E159" s="0" t="s">
        <v>294</v>
      </c>
      <c r="F159" s="0" t="n">
        <v>0</v>
      </c>
      <c r="G159" s="0" t="n">
        <v>0</v>
      </c>
      <c r="H159" s="0" t="s">
        <v>348</v>
      </c>
      <c r="J159" s="0" t="n">
        <v>8</v>
      </c>
      <c r="K159" s="0" t="n">
        <v>0</v>
      </c>
      <c r="L159" s="0" t="s">
        <v>296</v>
      </c>
      <c r="N159" s="0" t="str">
        <f aca="false">IF(H159="","",IFERROR(LEFT(H159,FIND(" ",H159)-1),H159))</f>
        <v>14/1/2023</v>
      </c>
      <c r="O159" s="23" t="n">
        <f aca="false">IFERROR(DATE(VALUE(MID(N159,FIND("/",N159,FIND("/",N159)+1)+1,4)),VALUE(MID(N159,FIND("/",N159)+1,FIND("/",N159,FIND("/",N159)+1)-FIND("/",N159)-1)),VALUE(LEFT(N159,FIND("/",N159)-1))),0)</f>
        <v>44940</v>
      </c>
    </row>
    <row r="160" customFormat="false" ht="15" hidden="false" customHeight="false" outlineLevel="0" collapsed="false">
      <c r="A160" s="0" t="n">
        <v>4745975</v>
      </c>
      <c r="B160" s="0" t="s">
        <v>444</v>
      </c>
      <c r="C160" s="0" t="s">
        <v>215</v>
      </c>
      <c r="D160" s="0" t="s">
        <v>445</v>
      </c>
      <c r="E160" s="0" t="s">
        <v>294</v>
      </c>
      <c r="F160" s="0" t="n">
        <v>0</v>
      </c>
      <c r="G160" s="0" t="n">
        <v>0</v>
      </c>
      <c r="H160" s="0" t="s">
        <v>319</v>
      </c>
      <c r="J160" s="0" t="n">
        <v>8</v>
      </c>
      <c r="K160" s="0" t="n">
        <v>0</v>
      </c>
      <c r="L160" s="0" t="s">
        <v>296</v>
      </c>
      <c r="N160" s="0" t="str">
        <f aca="false">IF(H160="","",IFERROR(LEFT(H160,FIND(" ",H160)-1),H160))</f>
        <v>11/2/2023</v>
      </c>
      <c r="O160" s="23" t="n">
        <f aca="false">IFERROR(DATE(VALUE(MID(N160,FIND("/",N160,FIND("/",N160)+1)+1,4)),VALUE(MID(N160,FIND("/",N160)+1,FIND("/",N160,FIND("/",N160)+1)-FIND("/",N160)-1)),VALUE(LEFT(N160,FIND("/",N160)-1))),0)</f>
        <v>44968</v>
      </c>
    </row>
    <row r="161" customFormat="false" ht="15" hidden="false" customHeight="false" outlineLevel="0" collapsed="false">
      <c r="A161" s="0" t="n">
        <v>4745975</v>
      </c>
      <c r="B161" s="0" t="s">
        <v>444</v>
      </c>
      <c r="C161" s="0" t="s">
        <v>215</v>
      </c>
      <c r="D161" s="0" t="s">
        <v>445</v>
      </c>
      <c r="E161" s="0" t="s">
        <v>294</v>
      </c>
      <c r="F161" s="0" t="n">
        <v>0</v>
      </c>
      <c r="G161" s="0" t="n">
        <v>0</v>
      </c>
      <c r="H161" s="0" t="s">
        <v>320</v>
      </c>
      <c r="I161" s="0" t="s">
        <v>321</v>
      </c>
      <c r="J161" s="0" t="n">
        <v>24</v>
      </c>
      <c r="K161" s="0" t="n">
        <v>0</v>
      </c>
      <c r="L161" s="0" t="s">
        <v>296</v>
      </c>
      <c r="N161" s="0" t="str">
        <f aca="false">IF(H161="","",IFERROR(LEFT(H161,FIND(" ",H161)-1),H161))</f>
        <v>18/11/2023</v>
      </c>
      <c r="O161" s="23" t="n">
        <f aca="false">IFERROR(DATE(VALUE(MID(N161,FIND("/",N161,FIND("/",N161)+1)+1,4)),VALUE(MID(N161,FIND("/",N161)+1,FIND("/",N161,FIND("/",N161)+1)-FIND("/",N161)-1)),VALUE(LEFT(N161,FIND("/",N161)-1))),0)</f>
        <v>45248</v>
      </c>
    </row>
    <row r="162" customFormat="false" ht="15" hidden="false" customHeight="false" outlineLevel="0" collapsed="false">
      <c r="A162" s="0" t="n">
        <v>4745975</v>
      </c>
      <c r="B162" s="0" t="s">
        <v>444</v>
      </c>
      <c r="C162" s="0" t="s">
        <v>215</v>
      </c>
      <c r="D162" s="0" t="s">
        <v>445</v>
      </c>
      <c r="E162" s="0" t="s">
        <v>294</v>
      </c>
      <c r="F162" s="0" t="n">
        <v>0</v>
      </c>
      <c r="G162" s="0" t="n">
        <v>0</v>
      </c>
      <c r="H162" s="0" t="s">
        <v>351</v>
      </c>
      <c r="J162" s="0" t="n">
        <v>8</v>
      </c>
      <c r="K162" s="0" t="n">
        <v>0</v>
      </c>
      <c r="L162" s="0" t="s">
        <v>296</v>
      </c>
      <c r="N162" s="0" t="str">
        <f aca="false">IF(H162="","",IFERROR(LEFT(H162,FIND(" ",H162)-1),H162))</f>
        <v>10/2/2024</v>
      </c>
      <c r="O162" s="23" t="n">
        <f aca="false">IFERROR(DATE(VALUE(MID(N162,FIND("/",N162,FIND("/",N162)+1)+1,4)),VALUE(MID(N162,FIND("/",N162)+1,FIND("/",N162,FIND("/",N162)+1)-FIND("/",N162)-1)),VALUE(LEFT(N162,FIND("/",N162)-1))),0)</f>
        <v>45332</v>
      </c>
    </row>
    <row r="163" customFormat="false" ht="15" hidden="false" customHeight="false" outlineLevel="0" collapsed="false">
      <c r="A163" s="0" t="n">
        <v>4745975</v>
      </c>
      <c r="B163" s="0" t="s">
        <v>444</v>
      </c>
      <c r="C163" s="0" t="s">
        <v>215</v>
      </c>
      <c r="D163" s="0" t="s">
        <v>445</v>
      </c>
      <c r="E163" s="0" t="s">
        <v>294</v>
      </c>
      <c r="F163" s="0" t="n">
        <v>0</v>
      </c>
      <c r="G163" s="0" t="n">
        <v>0</v>
      </c>
      <c r="H163" s="0" t="s">
        <v>322</v>
      </c>
      <c r="I163" s="0" t="s">
        <v>294</v>
      </c>
      <c r="J163" s="0" t="n">
        <v>8</v>
      </c>
      <c r="K163" s="0" t="n">
        <v>0</v>
      </c>
      <c r="L163" s="0" t="s">
        <v>296</v>
      </c>
      <c r="N163" s="0" t="str">
        <f aca="false">IF(H163="","",IFERROR(LEFT(H163,FIND(" ",H163)-1),H163))</f>
        <v>6/4/2024</v>
      </c>
      <c r="O163" s="23" t="n">
        <f aca="false">IFERROR(DATE(VALUE(MID(N163,FIND("/",N163,FIND("/",N163)+1)+1,4)),VALUE(MID(N163,FIND("/",N163)+1,FIND("/",N163,FIND("/",N163)+1)-FIND("/",N163)-1)),VALUE(LEFT(N163,FIND("/",N163)-1))),0)</f>
        <v>45388</v>
      </c>
    </row>
    <row r="164" customFormat="false" ht="15" hidden="false" customHeight="false" outlineLevel="0" collapsed="false">
      <c r="A164" s="0" t="n">
        <v>4745975</v>
      </c>
      <c r="B164" s="0" t="s">
        <v>444</v>
      </c>
      <c r="C164" s="0" t="s">
        <v>215</v>
      </c>
      <c r="D164" s="0" t="s">
        <v>445</v>
      </c>
      <c r="E164" s="0" t="s">
        <v>294</v>
      </c>
      <c r="F164" s="0" t="n">
        <v>0</v>
      </c>
      <c r="G164" s="0" t="n">
        <v>0</v>
      </c>
      <c r="H164" s="0" t="s">
        <v>410</v>
      </c>
      <c r="I164" s="0" t="s">
        <v>446</v>
      </c>
      <c r="J164" s="0" t="n">
        <v>16</v>
      </c>
      <c r="K164" s="0" t="n">
        <v>0</v>
      </c>
      <c r="L164" s="0" t="s">
        <v>296</v>
      </c>
      <c r="N164" s="0" t="str">
        <f aca="false">IF(H164="","",IFERROR(LEFT(H164,FIND(" ",H164)-1),H164))</f>
        <v>1/6/2024</v>
      </c>
      <c r="O164" s="23" t="n">
        <f aca="false">IFERROR(DATE(VALUE(MID(N164,FIND("/",N164,FIND("/",N164)+1)+1,4)),VALUE(MID(N164,FIND("/",N164)+1,FIND("/",N164,FIND("/",N164)+1)-FIND("/",N164)-1)),VALUE(LEFT(N164,FIND("/",N164)-1))),0)</f>
        <v>45444</v>
      </c>
    </row>
    <row r="165" customFormat="false" ht="15" hidden="false" customHeight="false" outlineLevel="0" collapsed="false">
      <c r="A165" s="0" t="n">
        <v>4745975</v>
      </c>
      <c r="B165" s="0" t="s">
        <v>444</v>
      </c>
      <c r="C165" s="0" t="s">
        <v>215</v>
      </c>
      <c r="D165" s="0" t="s">
        <v>445</v>
      </c>
      <c r="E165" s="0" t="s">
        <v>294</v>
      </c>
      <c r="F165" s="0" t="n">
        <v>0</v>
      </c>
      <c r="G165" s="0" t="n">
        <v>0</v>
      </c>
      <c r="H165" s="0" t="s">
        <v>303</v>
      </c>
      <c r="I165" s="0" t="s">
        <v>304</v>
      </c>
      <c r="J165" s="0" t="n">
        <v>8</v>
      </c>
      <c r="K165" s="0" t="n">
        <v>0</v>
      </c>
      <c r="L165" s="0" t="s">
        <v>296</v>
      </c>
      <c r="N165" s="0" t="str">
        <f aca="false">IF(H165="","",IFERROR(LEFT(H165,FIND(" ",H165)-1),H165))</f>
        <v>24/8/2024</v>
      </c>
      <c r="O165" s="23" t="n">
        <f aca="false">IFERROR(DATE(VALUE(MID(N165,FIND("/",N165,FIND("/",N165)+1)+1,4)),VALUE(MID(N165,FIND("/",N165)+1,FIND("/",N165,FIND("/",N165)+1)-FIND("/",N165)-1)),VALUE(LEFT(N165,FIND("/",N165)-1))),0)</f>
        <v>45528</v>
      </c>
    </row>
    <row r="166" customFormat="false" ht="15" hidden="false" customHeight="false" outlineLevel="0" collapsed="false">
      <c r="A166" s="0" t="n">
        <v>4745975</v>
      </c>
      <c r="B166" s="0" t="s">
        <v>444</v>
      </c>
      <c r="C166" s="0" t="s">
        <v>215</v>
      </c>
      <c r="D166" s="0" t="s">
        <v>445</v>
      </c>
      <c r="E166" s="0" t="s">
        <v>294</v>
      </c>
      <c r="F166" s="0" t="n">
        <v>0</v>
      </c>
      <c r="G166" s="0" t="n">
        <v>0</v>
      </c>
      <c r="H166" s="0" t="s">
        <v>447</v>
      </c>
      <c r="J166" s="0" t="n">
        <v>0</v>
      </c>
      <c r="K166" s="0" t="n">
        <v>104</v>
      </c>
      <c r="L166" s="0" t="s">
        <v>296</v>
      </c>
      <c r="N166" s="0" t="str">
        <f aca="false">IF(H166="","",IFERROR(LEFT(H166,FIND(" ",H166)-1),H166))</f>
        <v>5/10/2024</v>
      </c>
      <c r="O166" s="23" t="n">
        <f aca="false">IFERROR(DATE(VALUE(MID(N166,FIND("/",N166,FIND("/",N166)+1)+1,4)),VALUE(MID(N166,FIND("/",N166)+1,FIND("/",N166,FIND("/",N166)+1)-FIND("/",N166)-1)),VALUE(LEFT(N166,FIND("/",N166)-1))),0)</f>
        <v>45570</v>
      </c>
    </row>
    <row r="167" customFormat="false" ht="15" hidden="false" customHeight="false" outlineLevel="0" collapsed="false">
      <c r="A167" s="0" t="n">
        <v>4745975</v>
      </c>
      <c r="B167" s="0" t="s">
        <v>444</v>
      </c>
      <c r="C167" s="0" t="s">
        <v>215</v>
      </c>
      <c r="D167" s="0" t="s">
        <v>445</v>
      </c>
      <c r="E167" s="0" t="s">
        <v>294</v>
      </c>
      <c r="F167" s="0" t="n">
        <v>0</v>
      </c>
      <c r="G167" s="0" t="n">
        <v>0</v>
      </c>
      <c r="H167" s="0" t="s">
        <v>448</v>
      </c>
      <c r="I167" s="0" t="s">
        <v>449</v>
      </c>
      <c r="J167" s="0" t="n">
        <v>0</v>
      </c>
      <c r="K167" s="0" t="n">
        <v>40</v>
      </c>
      <c r="L167" s="0" t="s">
        <v>296</v>
      </c>
      <c r="N167" s="0" t="str">
        <f aca="false">IF(H167="","",IFERROR(LEFT(H167,FIND(" ",H167)-1),H167))</f>
        <v>28/6/2025</v>
      </c>
      <c r="O167" s="23" t="n">
        <f aca="false">IFERROR(DATE(VALUE(MID(N167,FIND("/",N167,FIND("/",N167)+1)+1,4)),VALUE(MID(N167,FIND("/",N167)+1,FIND("/",N167,FIND("/",N167)+1)-FIND("/",N167)-1)),VALUE(LEFT(N167,FIND("/",N167)-1))),0)</f>
        <v>45836</v>
      </c>
    </row>
    <row r="168" customFormat="false" ht="15" hidden="false" customHeight="false" outlineLevel="0" collapsed="false">
      <c r="A168" s="0" t="n">
        <v>4745741</v>
      </c>
      <c r="B168" s="0" t="s">
        <v>450</v>
      </c>
      <c r="C168" s="0" t="s">
        <v>219</v>
      </c>
      <c r="D168" s="0" t="s">
        <v>220</v>
      </c>
      <c r="E168" s="0" t="s">
        <v>294</v>
      </c>
      <c r="F168" s="0" t="n">
        <v>0</v>
      </c>
      <c r="G168" s="0" t="n">
        <v>184</v>
      </c>
      <c r="H168" s="0" t="s">
        <v>295</v>
      </c>
      <c r="J168" s="0" t="n">
        <v>88</v>
      </c>
      <c r="K168" s="0" t="n">
        <v>0</v>
      </c>
      <c r="L168" s="0" t="s">
        <v>296</v>
      </c>
      <c r="N168" s="0" t="str">
        <f aca="false">IF(H168="","",IFERROR(LEFT(H168,FIND(" ",H168)-1),H168))</f>
        <v>Opening</v>
      </c>
      <c r="O168" s="23" t="n">
        <f aca="false">IFERROR(DATE(VALUE(MID(N168,FIND("/",N168,FIND("/",N168)+1)+1,4)),VALUE(MID(N168,FIND("/",N168)+1,FIND("/",N168,FIND("/",N168)+1)-FIND("/",N168)-1)),VALUE(LEFT(N168,FIND("/",N168)-1))),0)</f>
        <v>0</v>
      </c>
    </row>
    <row r="169" customFormat="false" ht="15" hidden="false" customHeight="false" outlineLevel="0" collapsed="false">
      <c r="A169" s="0" t="n">
        <v>4745741</v>
      </c>
      <c r="B169" s="0" t="s">
        <v>450</v>
      </c>
      <c r="C169" s="0" t="s">
        <v>219</v>
      </c>
      <c r="D169" s="0" t="s">
        <v>220</v>
      </c>
      <c r="E169" s="0" t="s">
        <v>294</v>
      </c>
      <c r="F169" s="0" t="n">
        <v>0</v>
      </c>
      <c r="G169" s="0" t="n">
        <v>184</v>
      </c>
      <c r="H169" s="0" t="s">
        <v>318</v>
      </c>
      <c r="J169" s="0" t="n">
        <v>8</v>
      </c>
      <c r="K169" s="0" t="n">
        <v>0</v>
      </c>
      <c r="L169" s="0" t="s">
        <v>296</v>
      </c>
      <c r="N169" s="0" t="str">
        <f aca="false">IF(H169="","",IFERROR(LEFT(H169,FIND(" ",H169)-1),H169))</f>
        <v>5/11/2022</v>
      </c>
      <c r="O169" s="23" t="n">
        <f aca="false">IFERROR(DATE(VALUE(MID(N169,FIND("/",N169,FIND("/",N169)+1)+1,4)),VALUE(MID(N169,FIND("/",N169)+1,FIND("/",N169,FIND("/",N169)+1)-FIND("/",N169)-1)),VALUE(LEFT(N169,FIND("/",N169)-1))),0)</f>
        <v>44870</v>
      </c>
    </row>
    <row r="170" customFormat="false" ht="15" hidden="false" customHeight="false" outlineLevel="0" collapsed="false">
      <c r="A170" s="0" t="n">
        <v>4745741</v>
      </c>
      <c r="B170" s="0" t="s">
        <v>450</v>
      </c>
      <c r="C170" s="0" t="s">
        <v>219</v>
      </c>
      <c r="D170" s="0" t="s">
        <v>220</v>
      </c>
      <c r="E170" s="0" t="s">
        <v>294</v>
      </c>
      <c r="F170" s="0" t="n">
        <v>0</v>
      </c>
      <c r="G170" s="0" t="n">
        <v>184</v>
      </c>
      <c r="H170" s="0" t="s">
        <v>348</v>
      </c>
      <c r="J170" s="0" t="n">
        <v>8</v>
      </c>
      <c r="K170" s="0" t="n">
        <v>0</v>
      </c>
      <c r="L170" s="0" t="s">
        <v>296</v>
      </c>
      <c r="N170" s="0" t="str">
        <f aca="false">IF(H170="","",IFERROR(LEFT(H170,FIND(" ",H170)-1),H170))</f>
        <v>14/1/2023</v>
      </c>
      <c r="O170" s="23" t="n">
        <f aca="false">IFERROR(DATE(VALUE(MID(N170,FIND("/",N170,FIND("/",N170)+1)+1,4)),VALUE(MID(N170,FIND("/",N170)+1,FIND("/",N170,FIND("/",N170)+1)-FIND("/",N170)-1)),VALUE(LEFT(N170,FIND("/",N170)-1))),0)</f>
        <v>44940</v>
      </c>
    </row>
    <row r="171" customFormat="false" ht="15" hidden="false" customHeight="false" outlineLevel="0" collapsed="false">
      <c r="A171" s="0" t="n">
        <v>4745741</v>
      </c>
      <c r="B171" s="0" t="s">
        <v>450</v>
      </c>
      <c r="C171" s="0" t="s">
        <v>219</v>
      </c>
      <c r="D171" s="0" t="s">
        <v>220</v>
      </c>
      <c r="E171" s="0" t="s">
        <v>294</v>
      </c>
      <c r="F171" s="0" t="n">
        <v>0</v>
      </c>
      <c r="G171" s="0" t="n">
        <v>184</v>
      </c>
      <c r="H171" s="0" t="s">
        <v>349</v>
      </c>
      <c r="I171" s="0" t="s">
        <v>350</v>
      </c>
      <c r="J171" s="0" t="n">
        <v>16</v>
      </c>
      <c r="K171" s="0" t="n">
        <v>0</v>
      </c>
      <c r="L171" s="0" t="s">
        <v>296</v>
      </c>
      <c r="N171" s="0" t="str">
        <f aca="false">IF(H171="","",IFERROR(LEFT(H171,FIND(" ",H171)-1),H171))</f>
        <v>25/2/2023</v>
      </c>
      <c r="O171" s="23" t="n">
        <f aca="false">IFERROR(DATE(VALUE(MID(N171,FIND("/",N171,FIND("/",N171)+1)+1,4)),VALUE(MID(N171,FIND("/",N171)+1,FIND("/",N171,FIND("/",N171)+1)-FIND("/",N171)-1)),VALUE(LEFT(N171,FIND("/",N171)-1))),0)</f>
        <v>44982</v>
      </c>
    </row>
    <row r="172" customFormat="false" ht="15" hidden="false" customHeight="false" outlineLevel="0" collapsed="false">
      <c r="A172" s="0" t="n">
        <v>4745741</v>
      </c>
      <c r="B172" s="0" t="s">
        <v>450</v>
      </c>
      <c r="C172" s="0" t="s">
        <v>219</v>
      </c>
      <c r="D172" s="0" t="s">
        <v>220</v>
      </c>
      <c r="E172" s="0" t="s">
        <v>294</v>
      </c>
      <c r="F172" s="0" t="n">
        <v>0</v>
      </c>
      <c r="G172" s="0" t="n">
        <v>184</v>
      </c>
      <c r="H172" s="0" t="s">
        <v>320</v>
      </c>
      <c r="I172" s="0" t="s">
        <v>321</v>
      </c>
      <c r="J172" s="0" t="n">
        <v>16</v>
      </c>
      <c r="K172" s="0" t="n">
        <v>0</v>
      </c>
      <c r="L172" s="0" t="s">
        <v>296</v>
      </c>
      <c r="N172" s="0" t="str">
        <f aca="false">IF(H172="","",IFERROR(LEFT(H172,FIND(" ",H172)-1),H172))</f>
        <v>18/11/2023</v>
      </c>
      <c r="O172" s="23" t="n">
        <f aca="false">IFERROR(DATE(VALUE(MID(N172,FIND("/",N172,FIND("/",N172)+1)+1,4)),VALUE(MID(N172,FIND("/",N172)+1,FIND("/",N172,FIND("/",N172)+1)-FIND("/",N172)-1)),VALUE(LEFT(N172,FIND("/",N172)-1))),0)</f>
        <v>45248</v>
      </c>
    </row>
    <row r="173" customFormat="false" ht="15" hidden="false" customHeight="false" outlineLevel="0" collapsed="false">
      <c r="A173" s="0" t="n">
        <v>4745741</v>
      </c>
      <c r="B173" s="0" t="s">
        <v>450</v>
      </c>
      <c r="C173" s="0" t="s">
        <v>219</v>
      </c>
      <c r="D173" s="0" t="s">
        <v>220</v>
      </c>
      <c r="E173" s="0" t="s">
        <v>294</v>
      </c>
      <c r="F173" s="0" t="n">
        <v>0</v>
      </c>
      <c r="G173" s="0" t="n">
        <v>184</v>
      </c>
      <c r="H173" s="0" t="s">
        <v>351</v>
      </c>
      <c r="J173" s="0" t="n">
        <v>8</v>
      </c>
      <c r="K173" s="0" t="n">
        <v>0</v>
      </c>
      <c r="L173" s="0" t="s">
        <v>296</v>
      </c>
      <c r="N173" s="0" t="str">
        <f aca="false">IF(H173="","",IFERROR(LEFT(H173,FIND(" ",H173)-1),H173))</f>
        <v>10/2/2024</v>
      </c>
      <c r="O173" s="23" t="n">
        <f aca="false">IFERROR(DATE(VALUE(MID(N173,FIND("/",N173,FIND("/",N173)+1)+1,4)),VALUE(MID(N173,FIND("/",N173)+1,FIND("/",N173,FIND("/",N173)+1)-FIND("/",N173)-1)),VALUE(LEFT(N173,FIND("/",N173)-1))),0)</f>
        <v>45332</v>
      </c>
    </row>
    <row r="174" customFormat="false" ht="15" hidden="false" customHeight="false" outlineLevel="0" collapsed="false">
      <c r="A174" s="0" t="n">
        <v>4745741</v>
      </c>
      <c r="B174" s="0" t="s">
        <v>450</v>
      </c>
      <c r="C174" s="0" t="s">
        <v>219</v>
      </c>
      <c r="D174" s="0" t="s">
        <v>220</v>
      </c>
      <c r="E174" s="0" t="s">
        <v>294</v>
      </c>
      <c r="F174" s="0" t="n">
        <v>0</v>
      </c>
      <c r="G174" s="0" t="n">
        <v>184</v>
      </c>
      <c r="H174" s="0" t="s">
        <v>322</v>
      </c>
      <c r="I174" s="0" t="s">
        <v>294</v>
      </c>
      <c r="J174" s="0" t="n">
        <v>16</v>
      </c>
      <c r="K174" s="0" t="n">
        <v>0</v>
      </c>
      <c r="L174" s="0" t="s">
        <v>296</v>
      </c>
      <c r="N174" s="0" t="str">
        <f aca="false">IF(H174="","",IFERROR(LEFT(H174,FIND(" ",H174)-1),H174))</f>
        <v>6/4/2024</v>
      </c>
      <c r="O174" s="23" t="n">
        <f aca="false">IFERROR(DATE(VALUE(MID(N174,FIND("/",N174,FIND("/",N174)+1)+1,4)),VALUE(MID(N174,FIND("/",N174)+1,FIND("/",N174,FIND("/",N174)+1)-FIND("/",N174)-1)),VALUE(LEFT(N174,FIND("/",N174)-1))),0)</f>
        <v>45388</v>
      </c>
    </row>
    <row r="175" customFormat="false" ht="15" hidden="false" customHeight="false" outlineLevel="0" collapsed="false">
      <c r="A175" s="0" t="n">
        <v>4745741</v>
      </c>
      <c r="B175" s="0" t="s">
        <v>450</v>
      </c>
      <c r="C175" s="0" t="s">
        <v>219</v>
      </c>
      <c r="D175" s="0" t="s">
        <v>220</v>
      </c>
      <c r="E175" s="0" t="s">
        <v>294</v>
      </c>
      <c r="F175" s="0" t="n">
        <v>0</v>
      </c>
      <c r="G175" s="0" t="n">
        <v>184</v>
      </c>
      <c r="H175" s="0" t="s">
        <v>451</v>
      </c>
      <c r="I175" s="0" t="s">
        <v>452</v>
      </c>
      <c r="J175" s="0" t="n">
        <v>0</v>
      </c>
      <c r="K175" s="0" t="n">
        <v>8</v>
      </c>
      <c r="L175" s="0" t="s">
        <v>296</v>
      </c>
      <c r="N175" s="0" t="str">
        <f aca="false">IF(H175="","",IFERROR(LEFT(H175,FIND(" ",H175)-1),H175))</f>
        <v>29/6/2024</v>
      </c>
      <c r="O175" s="23" t="n">
        <f aca="false">IFERROR(DATE(VALUE(MID(N175,FIND("/",N175,FIND("/",N175)+1)+1,4)),VALUE(MID(N175,FIND("/",N175)+1,FIND("/",N175,FIND("/",N175)+1)-FIND("/",N175)-1)),VALUE(LEFT(N175,FIND("/",N175)-1))),0)</f>
        <v>45472</v>
      </c>
    </row>
    <row r="176" customFormat="false" ht="15" hidden="false" customHeight="false" outlineLevel="0" collapsed="false">
      <c r="A176" s="0" t="n">
        <v>4745741</v>
      </c>
      <c r="B176" s="0" t="s">
        <v>450</v>
      </c>
      <c r="C176" s="0" t="s">
        <v>219</v>
      </c>
      <c r="D176" s="0" t="s">
        <v>220</v>
      </c>
      <c r="E176" s="0" t="s">
        <v>294</v>
      </c>
      <c r="F176" s="0" t="n">
        <v>0</v>
      </c>
      <c r="G176" s="0" t="n">
        <v>184</v>
      </c>
      <c r="H176" s="0" t="s">
        <v>451</v>
      </c>
      <c r="I176" s="0" t="s">
        <v>453</v>
      </c>
      <c r="J176" s="0" t="n">
        <v>16</v>
      </c>
      <c r="K176" s="0" t="n">
        <v>0</v>
      </c>
      <c r="L176" s="0" t="s">
        <v>296</v>
      </c>
      <c r="N176" s="0" t="str">
        <f aca="false">IF(H176="","",IFERROR(LEFT(H176,FIND(" ",H176)-1),H176))</f>
        <v>29/6/2024</v>
      </c>
      <c r="O176" s="23" t="n">
        <f aca="false">IFERROR(DATE(VALUE(MID(N176,FIND("/",N176,FIND("/",N176)+1)+1,4)),VALUE(MID(N176,FIND("/",N176)+1,FIND("/",N176,FIND("/",N176)+1)-FIND("/",N176)-1)),VALUE(LEFT(N176,FIND("/",N176)-1))),0)</f>
        <v>45472</v>
      </c>
    </row>
    <row r="177" customFormat="false" ht="15" hidden="false" customHeight="false" outlineLevel="0" collapsed="false">
      <c r="A177" s="0" t="n">
        <v>4745741</v>
      </c>
      <c r="B177" s="0" t="s">
        <v>450</v>
      </c>
      <c r="C177" s="0" t="s">
        <v>219</v>
      </c>
      <c r="D177" s="0" t="s">
        <v>220</v>
      </c>
      <c r="E177" s="0" t="s">
        <v>294</v>
      </c>
      <c r="F177" s="0" t="n">
        <v>0</v>
      </c>
      <c r="G177" s="0" t="n">
        <v>184</v>
      </c>
      <c r="H177" s="0" t="s">
        <v>323</v>
      </c>
      <c r="I177" s="0" t="s">
        <v>454</v>
      </c>
      <c r="J177" s="0" t="n">
        <v>0</v>
      </c>
      <c r="K177" s="0" t="n">
        <v>8</v>
      </c>
      <c r="L177" s="0" t="s">
        <v>296</v>
      </c>
      <c r="N177" s="0" t="str">
        <f aca="false">IF(H177="","",IFERROR(LEFT(H177,FIND(" ",H177)-1),H177))</f>
        <v>13/7/2024</v>
      </c>
      <c r="O177" s="23" t="n">
        <f aca="false">IFERROR(DATE(VALUE(MID(N177,FIND("/",N177,FIND("/",N177)+1)+1,4)),VALUE(MID(N177,FIND("/",N177)+1,FIND("/",N177,FIND("/",N177)+1)-FIND("/",N177)-1)),VALUE(LEFT(N177,FIND("/",N177)-1))),0)</f>
        <v>45486</v>
      </c>
    </row>
    <row r="178" customFormat="false" ht="15" hidden="false" customHeight="false" outlineLevel="0" collapsed="false">
      <c r="A178" s="0" t="n">
        <v>4745741</v>
      </c>
      <c r="B178" s="0" t="s">
        <v>450</v>
      </c>
      <c r="C178" s="0" t="s">
        <v>219</v>
      </c>
      <c r="D178" s="0" t="s">
        <v>220</v>
      </c>
      <c r="E178" s="0" t="s">
        <v>294</v>
      </c>
      <c r="F178" s="0" t="n">
        <v>0</v>
      </c>
      <c r="G178" s="0" t="n">
        <v>184</v>
      </c>
      <c r="H178" s="0" t="s">
        <v>323</v>
      </c>
      <c r="I178" s="0" t="s">
        <v>324</v>
      </c>
      <c r="J178" s="0" t="n">
        <v>8</v>
      </c>
      <c r="K178" s="0" t="n">
        <v>0</v>
      </c>
      <c r="L178" s="0" t="s">
        <v>296</v>
      </c>
      <c r="N178" s="0" t="str">
        <f aca="false">IF(H178="","",IFERROR(LEFT(H178,FIND(" ",H178)-1),H178))</f>
        <v>13/7/2024</v>
      </c>
      <c r="O178" s="23" t="n">
        <f aca="false">IFERROR(DATE(VALUE(MID(N178,FIND("/",N178,FIND("/",N178)+1)+1,4)),VALUE(MID(N178,FIND("/",N178)+1,FIND("/",N178,FIND("/",N178)+1)-FIND("/",N178)-1)),VALUE(LEFT(N178,FIND("/",N178)-1))),0)</f>
        <v>45486</v>
      </c>
    </row>
    <row r="179" customFormat="false" ht="15" hidden="false" customHeight="false" outlineLevel="0" collapsed="false">
      <c r="A179" s="0" t="n">
        <v>4745741</v>
      </c>
      <c r="B179" s="0" t="s">
        <v>450</v>
      </c>
      <c r="C179" s="0" t="s">
        <v>219</v>
      </c>
      <c r="D179" s="0" t="s">
        <v>220</v>
      </c>
      <c r="E179" s="0" t="s">
        <v>294</v>
      </c>
      <c r="F179" s="0" t="n">
        <v>0</v>
      </c>
      <c r="G179" s="0" t="n">
        <v>184</v>
      </c>
      <c r="H179" s="0" t="s">
        <v>353</v>
      </c>
      <c r="I179" s="0" t="s">
        <v>354</v>
      </c>
      <c r="J179" s="0" t="n">
        <v>8</v>
      </c>
      <c r="K179" s="0" t="n">
        <v>0</v>
      </c>
      <c r="L179" s="0" t="s">
        <v>296</v>
      </c>
      <c r="N179" s="0" t="str">
        <f aca="false">IF(H179="","",IFERROR(LEFT(H179,FIND(" ",H179)-1),H179))</f>
        <v>7/9/2024</v>
      </c>
      <c r="O179" s="23" t="n">
        <f aca="false">IFERROR(DATE(VALUE(MID(N179,FIND("/",N179,FIND("/",N179)+1)+1,4)),VALUE(MID(N179,FIND("/",N179)+1,FIND("/",N179,FIND("/",N179)+1)-FIND("/",N179)-1)),VALUE(LEFT(N179,FIND("/",N179)-1))),0)</f>
        <v>45542</v>
      </c>
    </row>
    <row r="180" customFormat="false" ht="15" hidden="false" customHeight="false" outlineLevel="0" collapsed="false">
      <c r="A180" s="0" t="n">
        <v>4745741</v>
      </c>
      <c r="B180" s="0" t="s">
        <v>450</v>
      </c>
      <c r="C180" s="0" t="s">
        <v>219</v>
      </c>
      <c r="D180" s="0" t="s">
        <v>220</v>
      </c>
      <c r="E180" s="0" t="s">
        <v>294</v>
      </c>
      <c r="F180" s="0" t="n">
        <v>0</v>
      </c>
      <c r="G180" s="0" t="n">
        <v>184</v>
      </c>
      <c r="H180" s="0" t="s">
        <v>305</v>
      </c>
      <c r="I180" s="0" t="s">
        <v>306</v>
      </c>
      <c r="J180" s="0" t="n">
        <v>8</v>
      </c>
      <c r="K180" s="0" t="n">
        <v>0</v>
      </c>
      <c r="L180" s="0" t="s">
        <v>296</v>
      </c>
      <c r="N180" s="0" t="str">
        <f aca="false">IF(H180="","",IFERROR(LEFT(H180,FIND(" ",H180)-1),H180))</f>
        <v>14/12/2024</v>
      </c>
      <c r="O180" s="23" t="n">
        <f aca="false">IFERROR(DATE(VALUE(MID(N180,FIND("/",N180,FIND("/",N180)+1)+1,4)),VALUE(MID(N180,FIND("/",N180)+1,FIND("/",N180,FIND("/",N180)+1)-FIND("/",N180)-1)),VALUE(LEFT(N180,FIND("/",N180)-1))),0)</f>
        <v>45640</v>
      </c>
    </row>
    <row r="181" customFormat="false" ht="15" hidden="false" customHeight="false" outlineLevel="0" collapsed="false">
      <c r="A181" s="0" t="n">
        <v>4745741</v>
      </c>
      <c r="B181" s="0" t="s">
        <v>450</v>
      </c>
      <c r="C181" s="0" t="s">
        <v>219</v>
      </c>
      <c r="D181" s="0" t="s">
        <v>220</v>
      </c>
      <c r="E181" s="0" t="s">
        <v>294</v>
      </c>
      <c r="F181" s="0" t="n">
        <v>0</v>
      </c>
      <c r="G181" s="0" t="n">
        <v>184</v>
      </c>
      <c r="H181" s="0" t="s">
        <v>329</v>
      </c>
      <c r="I181" s="0" t="s">
        <v>455</v>
      </c>
      <c r="J181" s="0" t="n">
        <v>16</v>
      </c>
      <c r="K181" s="0" t="n">
        <v>0</v>
      </c>
      <c r="L181" s="0" t="s">
        <v>296</v>
      </c>
      <c r="N181" s="0" t="str">
        <f aca="false">IF(H181="","",IFERROR(LEFT(H181,FIND(" ",H181)-1),H181))</f>
        <v>8/3/2025</v>
      </c>
      <c r="O181" s="23" t="n">
        <f aca="false">IFERROR(DATE(VALUE(MID(N181,FIND("/",N181,FIND("/",N181)+1)+1,4)),VALUE(MID(N181,FIND("/",N181)+1,FIND("/",N181,FIND("/",N181)+1)-FIND("/",N181)-1)),VALUE(LEFT(N181,FIND("/",N181)-1))),0)</f>
        <v>45724</v>
      </c>
    </row>
    <row r="182" customFormat="false" ht="15" hidden="false" customHeight="false" outlineLevel="0" collapsed="false">
      <c r="A182" s="0" t="n">
        <v>4745741</v>
      </c>
      <c r="B182" s="0" t="s">
        <v>450</v>
      </c>
      <c r="C182" s="0" t="s">
        <v>219</v>
      </c>
      <c r="D182" s="0" t="s">
        <v>220</v>
      </c>
      <c r="E182" s="0" t="s">
        <v>294</v>
      </c>
      <c r="F182" s="0" t="n">
        <v>0</v>
      </c>
      <c r="G182" s="0" t="n">
        <v>184</v>
      </c>
      <c r="H182" s="0" t="s">
        <v>356</v>
      </c>
      <c r="I182" s="0" t="s">
        <v>456</v>
      </c>
      <c r="J182" s="0" t="n">
        <v>8</v>
      </c>
      <c r="K182" s="0" t="n">
        <v>0</v>
      </c>
      <c r="L182" s="0" t="s">
        <v>296</v>
      </c>
      <c r="N182" s="0" t="str">
        <f aca="false">IF(H182="","",IFERROR(LEFT(H182,FIND(" ",H182)-1),H182))</f>
        <v>31/5/2025</v>
      </c>
      <c r="O182" s="23" t="n">
        <f aca="false">IFERROR(DATE(VALUE(MID(N182,FIND("/",N182,FIND("/",N182)+1)+1,4)),VALUE(MID(N182,FIND("/",N182)+1,FIND("/",N182,FIND("/",N182)+1)-FIND("/",N182)-1)),VALUE(LEFT(N182,FIND("/",N182)-1))),0)</f>
        <v>45808</v>
      </c>
    </row>
    <row r="183" customFormat="false" ht="15" hidden="false" customHeight="false" outlineLevel="0" collapsed="false">
      <c r="A183" s="0" t="n">
        <v>4745741</v>
      </c>
      <c r="B183" s="0" t="s">
        <v>450</v>
      </c>
      <c r="C183" s="0" t="s">
        <v>219</v>
      </c>
      <c r="D183" s="0" t="s">
        <v>220</v>
      </c>
      <c r="E183" s="0" t="s">
        <v>294</v>
      </c>
      <c r="F183" s="0" t="n">
        <v>0</v>
      </c>
      <c r="G183" s="0" t="n">
        <v>184</v>
      </c>
      <c r="H183" s="0" t="s">
        <v>358</v>
      </c>
      <c r="I183" s="0" t="s">
        <v>359</v>
      </c>
      <c r="J183" s="0" t="n">
        <v>8</v>
      </c>
      <c r="K183" s="0" t="n">
        <v>0</v>
      </c>
      <c r="L183" s="0" t="s">
        <v>296</v>
      </c>
      <c r="N183" s="0" t="str">
        <f aca="false">IF(H183="","",IFERROR(LEFT(H183,FIND(" ",H183)-1),H183))</f>
        <v>6/9/2025</v>
      </c>
      <c r="O183" s="23" t="n">
        <f aca="false">IFERROR(DATE(VALUE(MID(N183,FIND("/",N183,FIND("/",N183)+1)+1,4)),VALUE(MID(N183,FIND("/",N183)+1,FIND("/",N183,FIND("/",N183)+1)-FIND("/",N183)-1)),VALUE(LEFT(N183,FIND("/",N183)-1))),0)</f>
        <v>45906</v>
      </c>
    </row>
    <row r="184" customFormat="false" ht="15" hidden="false" customHeight="false" outlineLevel="0" collapsed="false">
      <c r="A184" s="0" t="n">
        <v>4745741</v>
      </c>
      <c r="B184" s="0" t="s">
        <v>450</v>
      </c>
      <c r="C184" s="0" t="s">
        <v>219</v>
      </c>
      <c r="D184" s="0" t="s">
        <v>220</v>
      </c>
      <c r="E184" s="0" t="s">
        <v>294</v>
      </c>
      <c r="F184" s="0" t="n">
        <v>0</v>
      </c>
      <c r="G184" s="0" t="n">
        <v>184</v>
      </c>
      <c r="H184" s="0" t="s">
        <v>341</v>
      </c>
      <c r="I184" s="0" t="s">
        <v>342</v>
      </c>
      <c r="J184" s="0" t="n">
        <v>8</v>
      </c>
      <c r="K184" s="0" t="n">
        <v>0</v>
      </c>
      <c r="L184" s="0" t="s">
        <v>296</v>
      </c>
      <c r="N184" s="0" t="str">
        <f aca="false">IF(H184="","",IFERROR(LEFT(H184,FIND(" ",H184)-1),H184))</f>
        <v>27/12/2025</v>
      </c>
      <c r="O184" s="23" t="n">
        <f aca="false">IFERROR(DATE(VALUE(MID(N184,FIND("/",N184,FIND("/",N184)+1)+1,4)),VALUE(MID(N184,FIND("/",N184)+1,FIND("/",N184,FIND("/",N184)+1)-FIND("/",N184)-1)),VALUE(LEFT(N184,FIND("/",N184)-1))),0)</f>
        <v>46018</v>
      </c>
    </row>
    <row r="185" customFormat="false" ht="15" hidden="false" customHeight="false" outlineLevel="0" collapsed="false">
      <c r="A185" s="0" t="n">
        <v>4745741</v>
      </c>
      <c r="B185" s="0" t="s">
        <v>450</v>
      </c>
      <c r="C185" s="0" t="s">
        <v>219</v>
      </c>
      <c r="D185" s="0" t="s">
        <v>220</v>
      </c>
      <c r="E185" s="0" t="s">
        <v>294</v>
      </c>
      <c r="F185" s="0" t="n">
        <v>0</v>
      </c>
      <c r="G185" s="0" t="n">
        <v>184</v>
      </c>
      <c r="H185" s="0" t="s">
        <v>360</v>
      </c>
      <c r="I185" s="0" t="s">
        <v>457</v>
      </c>
      <c r="J185" s="0" t="n">
        <v>16</v>
      </c>
      <c r="K185" s="0" t="n">
        <v>0</v>
      </c>
      <c r="L185" s="0" t="s">
        <v>296</v>
      </c>
      <c r="N185" s="0" t="str">
        <f aca="false">IF(H185="","",IFERROR(LEFT(H185,FIND(" ",H185)-1),H185))</f>
        <v>7/3/2026</v>
      </c>
      <c r="O185" s="23" t="n">
        <f aca="false">IFERROR(DATE(VALUE(MID(N185,FIND("/",N185,FIND("/",N185)+1)+1,4)),VALUE(MID(N185,FIND("/",N185)+1,FIND("/",N185,FIND("/",N185)+1)-FIND("/",N185)-1)),VALUE(LEFT(N185,FIND("/",N185)-1))),0)</f>
        <v>46088</v>
      </c>
    </row>
    <row r="186" customFormat="false" ht="15" hidden="false" customHeight="false" outlineLevel="0" collapsed="false">
      <c r="A186" s="0" t="n">
        <v>4745741</v>
      </c>
      <c r="B186" s="0" t="s">
        <v>450</v>
      </c>
      <c r="C186" s="0" t="s">
        <v>219</v>
      </c>
      <c r="D186" s="0" t="s">
        <v>220</v>
      </c>
      <c r="E186" s="0" t="s">
        <v>294</v>
      </c>
      <c r="F186" s="0" t="n">
        <v>0</v>
      </c>
      <c r="G186" s="0" t="n">
        <v>184</v>
      </c>
      <c r="H186" s="0" t="s">
        <v>368</v>
      </c>
      <c r="I186" s="0" t="s">
        <v>458</v>
      </c>
      <c r="J186" s="0" t="n">
        <v>0</v>
      </c>
      <c r="K186" s="0" t="n">
        <v>8</v>
      </c>
      <c r="L186" s="0" t="s">
        <v>296</v>
      </c>
      <c r="N186" s="0" t="str">
        <f aca="false">IF(H186="","",IFERROR(LEFT(H186,FIND(" ",H186)-1),H186))</f>
        <v>2/5/2026</v>
      </c>
      <c r="O186" s="23" t="n">
        <f aca="false">IFERROR(DATE(VALUE(MID(N186,FIND("/",N186,FIND("/",N186)+1)+1,4)),VALUE(MID(N186,FIND("/",N186)+1,FIND("/",N186,FIND("/",N186)+1)-FIND("/",N186)-1)),VALUE(LEFT(N186,FIND("/",N186)-1))),0)</f>
        <v>46144</v>
      </c>
    </row>
    <row r="187" customFormat="false" ht="15" hidden="false" customHeight="false" outlineLevel="0" collapsed="false">
      <c r="A187" s="0" t="n">
        <v>4745741</v>
      </c>
      <c r="B187" s="0" t="s">
        <v>450</v>
      </c>
      <c r="C187" s="0" t="s">
        <v>219</v>
      </c>
      <c r="D187" s="0" t="s">
        <v>220</v>
      </c>
      <c r="E187" s="0" t="s">
        <v>294</v>
      </c>
      <c r="F187" s="0" t="n">
        <v>0</v>
      </c>
      <c r="G187" s="0" t="n">
        <v>184</v>
      </c>
      <c r="H187" s="0" t="s">
        <v>368</v>
      </c>
      <c r="I187" s="0" t="s">
        <v>459</v>
      </c>
      <c r="J187" s="0" t="n">
        <v>0</v>
      </c>
      <c r="K187" s="0" t="n">
        <v>8</v>
      </c>
      <c r="L187" s="0" t="s">
        <v>296</v>
      </c>
      <c r="N187" s="0" t="str">
        <f aca="false">IF(H187="","",IFERROR(LEFT(H187,FIND(" ",H187)-1),H187))</f>
        <v>2/5/2026</v>
      </c>
      <c r="O187" s="23" t="n">
        <f aca="false">IFERROR(DATE(VALUE(MID(N187,FIND("/",N187,FIND("/",N187)+1)+1,4)),VALUE(MID(N187,FIND("/",N187)+1,FIND("/",N187,FIND("/",N187)+1)-FIND("/",N187)-1)),VALUE(LEFT(N187,FIND("/",N187)-1))),0)</f>
        <v>46144</v>
      </c>
    </row>
    <row r="188" customFormat="false" ht="15" hidden="false" customHeight="false" outlineLevel="0" collapsed="false">
      <c r="A188" s="0" t="n">
        <v>4745741</v>
      </c>
      <c r="B188" s="0" t="s">
        <v>450</v>
      </c>
      <c r="C188" s="0" t="s">
        <v>219</v>
      </c>
      <c r="D188" s="0" t="s">
        <v>220</v>
      </c>
      <c r="E188" s="0" t="s">
        <v>294</v>
      </c>
      <c r="F188" s="0" t="n">
        <v>0</v>
      </c>
      <c r="G188" s="0" t="n">
        <v>184</v>
      </c>
      <c r="H188" s="0" t="s">
        <v>368</v>
      </c>
      <c r="I188" s="0" t="s">
        <v>460</v>
      </c>
      <c r="J188" s="0" t="n">
        <v>0</v>
      </c>
      <c r="K188" s="0" t="n">
        <v>8</v>
      </c>
      <c r="L188" s="0" t="s">
        <v>296</v>
      </c>
      <c r="N188" s="0" t="str">
        <f aca="false">IF(H188="","",IFERROR(LEFT(H188,FIND(" ",H188)-1),H188))</f>
        <v>2/5/2026</v>
      </c>
      <c r="O188" s="23" t="n">
        <f aca="false">IFERROR(DATE(VALUE(MID(N188,FIND("/",N188,FIND("/",N188)+1)+1,4)),VALUE(MID(N188,FIND("/",N188)+1,FIND("/",N188,FIND("/",N188)+1)-FIND("/",N188)-1)),VALUE(LEFT(N188,FIND("/",N188)-1))),0)</f>
        <v>46144</v>
      </c>
    </row>
    <row r="189" customFormat="false" ht="15" hidden="false" customHeight="false" outlineLevel="0" collapsed="false">
      <c r="A189" s="0" t="n">
        <v>4745741</v>
      </c>
      <c r="B189" s="0" t="s">
        <v>450</v>
      </c>
      <c r="C189" s="0" t="s">
        <v>219</v>
      </c>
      <c r="D189" s="0" t="s">
        <v>220</v>
      </c>
      <c r="E189" s="0" t="s">
        <v>294</v>
      </c>
      <c r="F189" s="0" t="n">
        <v>0</v>
      </c>
      <c r="G189" s="0" t="n">
        <v>184</v>
      </c>
      <c r="H189" s="0" t="s">
        <v>368</v>
      </c>
      <c r="I189" s="0" t="s">
        <v>461</v>
      </c>
      <c r="J189" s="0" t="n">
        <v>0</v>
      </c>
      <c r="K189" s="0" t="n">
        <v>8</v>
      </c>
      <c r="L189" s="0" t="s">
        <v>296</v>
      </c>
      <c r="N189" s="0" t="str">
        <f aca="false">IF(H189="","",IFERROR(LEFT(H189,FIND(" ",H189)-1),H189))</f>
        <v>2/5/2026</v>
      </c>
      <c r="O189" s="23" t="n">
        <f aca="false">IFERROR(DATE(VALUE(MID(N189,FIND("/",N189,FIND("/",N189)+1)+1,4)),VALUE(MID(N189,FIND("/",N189)+1,FIND("/",N189,FIND("/",N189)+1)-FIND("/",N189)-1)),VALUE(LEFT(N189,FIND("/",N189)-1))),0)</f>
        <v>46144</v>
      </c>
    </row>
    <row r="190" customFormat="false" ht="15" hidden="false" customHeight="false" outlineLevel="0" collapsed="false">
      <c r="A190" s="0" t="n">
        <v>4745741</v>
      </c>
      <c r="B190" s="0" t="s">
        <v>450</v>
      </c>
      <c r="C190" s="0" t="s">
        <v>219</v>
      </c>
      <c r="D190" s="0" t="s">
        <v>220</v>
      </c>
      <c r="E190" s="0" t="s">
        <v>294</v>
      </c>
      <c r="F190" s="0" t="n">
        <v>0</v>
      </c>
      <c r="G190" s="0" t="n">
        <v>184</v>
      </c>
      <c r="H190" s="0" t="s">
        <v>362</v>
      </c>
      <c r="I190" s="0" t="s">
        <v>462</v>
      </c>
      <c r="J190" s="0" t="n">
        <v>8</v>
      </c>
      <c r="K190" s="0" t="n">
        <v>0</v>
      </c>
      <c r="L190" s="0" t="s">
        <v>296</v>
      </c>
      <c r="N190" s="0" t="str">
        <f aca="false">IF(H190="","",IFERROR(LEFT(H190,FIND(" ",H190)-1),H190))</f>
        <v>30/5/2026</v>
      </c>
      <c r="O190" s="23" t="n">
        <f aca="false">IFERROR(DATE(VALUE(MID(N190,FIND("/",N190,FIND("/",N190)+1)+1,4)),VALUE(MID(N190,FIND("/",N190)+1,FIND("/",N190,FIND("/",N190)+1)-FIND("/",N190)-1)),VALUE(LEFT(N190,FIND("/",N190)-1))),0)</f>
        <v>46172</v>
      </c>
    </row>
    <row r="191" customFormat="false" ht="15" hidden="false" customHeight="false" outlineLevel="0" collapsed="false">
      <c r="A191" s="0" t="n">
        <v>4745741</v>
      </c>
      <c r="B191" s="0" t="s">
        <v>450</v>
      </c>
      <c r="C191" s="0" t="s">
        <v>219</v>
      </c>
      <c r="D191" s="0" t="s">
        <v>220</v>
      </c>
      <c r="E191" s="0" t="s">
        <v>294</v>
      </c>
      <c r="F191" s="0" t="n">
        <v>0</v>
      </c>
      <c r="G191" s="0" t="n">
        <v>184</v>
      </c>
      <c r="H191" s="0" t="s">
        <v>463</v>
      </c>
      <c r="I191" s="0" t="s">
        <v>464</v>
      </c>
      <c r="J191" s="0" t="n">
        <v>0</v>
      </c>
      <c r="K191" s="0" t="n">
        <v>32</v>
      </c>
      <c r="L191" s="0" t="s">
        <v>296</v>
      </c>
      <c r="N191" s="0" t="str">
        <f aca="false">IF(H191="","",IFERROR(LEFT(H191,FIND(" ",H191)-1),H191))</f>
        <v>22/8/2026</v>
      </c>
      <c r="O191" s="23" t="n">
        <f aca="false">IFERROR(DATE(VALUE(MID(N191,FIND("/",N191,FIND("/",N191)+1)+1,4)),VALUE(MID(N191,FIND("/",N191)+1,FIND("/",N191,FIND("/",N191)+1)-FIND("/",N191)-1)),VALUE(LEFT(N191,FIND("/",N191)-1))),0)</f>
        <v>46256</v>
      </c>
    </row>
    <row r="192" customFormat="false" ht="15" hidden="false" customHeight="false" outlineLevel="0" collapsed="false">
      <c r="A192" s="0" t="n">
        <v>4745746</v>
      </c>
      <c r="B192" s="0" t="s">
        <v>465</v>
      </c>
      <c r="C192" s="0" t="s">
        <v>466</v>
      </c>
      <c r="D192" s="0" t="s">
        <v>467</v>
      </c>
      <c r="E192" s="0" t="s">
        <v>294</v>
      </c>
      <c r="F192" s="0" t="n">
        <v>0</v>
      </c>
      <c r="G192" s="0" t="n">
        <v>56</v>
      </c>
      <c r="H192" s="0" t="s">
        <v>295</v>
      </c>
      <c r="J192" s="0" t="n">
        <v>40</v>
      </c>
      <c r="K192" s="0" t="n">
        <v>0</v>
      </c>
      <c r="L192" s="0" t="s">
        <v>296</v>
      </c>
      <c r="N192" s="0" t="str">
        <f aca="false">IF(H192="","",IFERROR(LEFT(H192,FIND(" ",H192)-1),H192))</f>
        <v>Opening</v>
      </c>
      <c r="O192" s="23" t="n">
        <f aca="false">IFERROR(DATE(VALUE(MID(N192,FIND("/",N192,FIND("/",N192)+1)+1,4)),VALUE(MID(N192,FIND("/",N192)+1,FIND("/",N192,FIND("/",N192)+1)-FIND("/",N192)-1)),VALUE(LEFT(N192,FIND("/",N192)-1))),0)</f>
        <v>0</v>
      </c>
    </row>
    <row r="193" customFormat="false" ht="15" hidden="false" customHeight="false" outlineLevel="0" collapsed="false">
      <c r="A193" s="0" t="n">
        <v>4745746</v>
      </c>
      <c r="B193" s="0" t="s">
        <v>465</v>
      </c>
      <c r="C193" s="0" t="s">
        <v>466</v>
      </c>
      <c r="D193" s="0" t="s">
        <v>467</v>
      </c>
      <c r="E193" s="0" t="s">
        <v>294</v>
      </c>
      <c r="F193" s="0" t="n">
        <v>0</v>
      </c>
      <c r="G193" s="0" t="n">
        <v>56</v>
      </c>
      <c r="H193" s="0" t="s">
        <v>348</v>
      </c>
      <c r="J193" s="0" t="n">
        <v>8</v>
      </c>
      <c r="K193" s="0" t="n">
        <v>0</v>
      </c>
      <c r="L193" s="0" t="s">
        <v>296</v>
      </c>
      <c r="N193" s="0" t="str">
        <f aca="false">IF(H193="","",IFERROR(LEFT(H193,FIND(" ",H193)-1),H193))</f>
        <v>14/1/2023</v>
      </c>
      <c r="O193" s="23" t="n">
        <f aca="false">IFERROR(DATE(VALUE(MID(N193,FIND("/",N193,FIND("/",N193)+1)+1,4)),VALUE(MID(N193,FIND("/",N193)+1,FIND("/",N193,FIND("/",N193)+1)-FIND("/",N193)-1)),VALUE(LEFT(N193,FIND("/",N193)-1))),0)</f>
        <v>44940</v>
      </c>
    </row>
    <row r="194" customFormat="false" ht="15" hidden="false" customHeight="false" outlineLevel="0" collapsed="false">
      <c r="A194" s="0" t="n">
        <v>4745746</v>
      </c>
      <c r="B194" s="0" t="s">
        <v>465</v>
      </c>
      <c r="C194" s="0" t="s">
        <v>466</v>
      </c>
      <c r="D194" s="0" t="s">
        <v>467</v>
      </c>
      <c r="E194" s="0" t="s">
        <v>294</v>
      </c>
      <c r="F194" s="0" t="n">
        <v>0</v>
      </c>
      <c r="G194" s="0" t="n">
        <v>56</v>
      </c>
      <c r="H194" s="0" t="s">
        <v>349</v>
      </c>
      <c r="I194" s="0" t="s">
        <v>350</v>
      </c>
      <c r="J194" s="0" t="n">
        <v>8</v>
      </c>
      <c r="K194" s="0" t="n">
        <v>0</v>
      </c>
      <c r="L194" s="0" t="s">
        <v>296</v>
      </c>
      <c r="N194" s="0" t="str">
        <f aca="false">IF(H194="","",IFERROR(LEFT(H194,FIND(" ",H194)-1),H194))</f>
        <v>25/2/2023</v>
      </c>
      <c r="O194" s="23" t="n">
        <f aca="false">IFERROR(DATE(VALUE(MID(N194,FIND("/",N194,FIND("/",N194)+1)+1,4)),VALUE(MID(N194,FIND("/",N194)+1,FIND("/",N194,FIND("/",N194)+1)-FIND("/",N194)-1)),VALUE(LEFT(N194,FIND("/",N194)-1))),0)</f>
        <v>44982</v>
      </c>
    </row>
    <row r="195" customFormat="false" ht="15" hidden="false" customHeight="false" outlineLevel="0" collapsed="false">
      <c r="A195" s="0" t="n">
        <v>4987973</v>
      </c>
      <c r="B195" s="0" t="s">
        <v>468</v>
      </c>
      <c r="C195" s="0" t="s">
        <v>229</v>
      </c>
      <c r="D195" s="0" t="s">
        <v>230</v>
      </c>
      <c r="E195" s="0" t="s">
        <v>294</v>
      </c>
      <c r="F195" s="0" t="n">
        <v>0</v>
      </c>
      <c r="G195" s="0" t="n">
        <v>32</v>
      </c>
      <c r="H195" s="0" t="s">
        <v>469</v>
      </c>
      <c r="I195" s="0" t="s">
        <v>470</v>
      </c>
      <c r="J195" s="0" t="n">
        <v>8</v>
      </c>
      <c r="K195" s="0" t="n">
        <v>0</v>
      </c>
      <c r="L195" s="0" t="s">
        <v>296</v>
      </c>
      <c r="N195" s="0" t="str">
        <f aca="false">IF(H195="","",IFERROR(LEFT(H195,FIND(" ",H195)-1),H195))</f>
        <v>20/9/2025</v>
      </c>
      <c r="O195" s="23" t="n">
        <f aca="false">IFERROR(DATE(VALUE(MID(N195,FIND("/",N195,FIND("/",N195)+1)+1,4)),VALUE(MID(N195,FIND("/",N195)+1,FIND("/",N195,FIND("/",N195)+1)-FIND("/",N195)-1)),VALUE(LEFT(N195,FIND("/",N195)-1))),0)</f>
        <v>45920</v>
      </c>
    </row>
    <row r="196" customFormat="false" ht="15" hidden="false" customHeight="false" outlineLevel="0" collapsed="false">
      <c r="A196" s="0" t="n">
        <v>4987973</v>
      </c>
      <c r="B196" s="0" t="s">
        <v>468</v>
      </c>
      <c r="C196" s="0" t="s">
        <v>229</v>
      </c>
      <c r="D196" s="0" t="s">
        <v>230</v>
      </c>
      <c r="E196" s="0" t="s">
        <v>294</v>
      </c>
      <c r="F196" s="0" t="n">
        <v>0</v>
      </c>
      <c r="G196" s="0" t="n">
        <v>32</v>
      </c>
      <c r="H196" s="0" t="s">
        <v>341</v>
      </c>
      <c r="I196" s="0" t="s">
        <v>342</v>
      </c>
      <c r="J196" s="0" t="n">
        <v>8</v>
      </c>
      <c r="K196" s="0" t="n">
        <v>0</v>
      </c>
      <c r="L196" s="0" t="s">
        <v>296</v>
      </c>
      <c r="N196" s="0" t="str">
        <f aca="false">IF(H196="","",IFERROR(LEFT(H196,FIND(" ",H196)-1),H196))</f>
        <v>27/12/2025</v>
      </c>
      <c r="O196" s="23" t="n">
        <f aca="false">IFERROR(DATE(VALUE(MID(N196,FIND("/",N196,FIND("/",N196)+1)+1,4)),VALUE(MID(N196,FIND("/",N196)+1,FIND("/",N196,FIND("/",N196)+1)-FIND("/",N196)-1)),VALUE(LEFT(N196,FIND("/",N196)-1))),0)</f>
        <v>46018</v>
      </c>
    </row>
    <row r="197" customFormat="false" ht="15" hidden="false" customHeight="false" outlineLevel="0" collapsed="false">
      <c r="A197" s="0" t="n">
        <v>4987973</v>
      </c>
      <c r="B197" s="0" t="s">
        <v>468</v>
      </c>
      <c r="C197" s="0" t="s">
        <v>229</v>
      </c>
      <c r="D197" s="0" t="s">
        <v>230</v>
      </c>
      <c r="E197" s="0" t="s">
        <v>294</v>
      </c>
      <c r="F197" s="0" t="n">
        <v>0</v>
      </c>
      <c r="G197" s="0" t="n">
        <v>32</v>
      </c>
      <c r="H197" s="0" t="s">
        <v>393</v>
      </c>
      <c r="I197" s="0" t="s">
        <v>394</v>
      </c>
      <c r="J197" s="0" t="n">
        <v>8</v>
      </c>
      <c r="K197" s="0" t="n">
        <v>0</v>
      </c>
      <c r="L197" s="0" t="s">
        <v>296</v>
      </c>
      <c r="N197" s="0" t="str">
        <f aca="false">IF(H197="","",IFERROR(LEFT(H197,FIND(" ",H197)-1),H197))</f>
        <v>4/4/2026</v>
      </c>
      <c r="O197" s="23" t="n">
        <f aca="false">IFERROR(DATE(VALUE(MID(N197,FIND("/",N197,FIND("/",N197)+1)+1,4)),VALUE(MID(N197,FIND("/",N197)+1,FIND("/",N197,FIND("/",N197)+1)-FIND("/",N197)-1)),VALUE(LEFT(N197,FIND("/",N197)-1))),0)</f>
        <v>46116</v>
      </c>
    </row>
    <row r="198" customFormat="false" ht="15" hidden="false" customHeight="false" outlineLevel="0" collapsed="false">
      <c r="A198" s="0" t="n">
        <v>4987973</v>
      </c>
      <c r="B198" s="0" t="s">
        <v>468</v>
      </c>
      <c r="C198" s="0" t="s">
        <v>229</v>
      </c>
      <c r="D198" s="0" t="s">
        <v>230</v>
      </c>
      <c r="E198" s="0" t="s">
        <v>294</v>
      </c>
      <c r="F198" s="0" t="n">
        <v>0</v>
      </c>
      <c r="G198" s="0" t="n">
        <v>32</v>
      </c>
      <c r="H198" s="0" t="s">
        <v>471</v>
      </c>
      <c r="I198" s="0" t="s">
        <v>472</v>
      </c>
      <c r="J198" s="0" t="n">
        <v>8</v>
      </c>
      <c r="K198" s="0" t="n">
        <v>0</v>
      </c>
      <c r="L198" s="0" t="s">
        <v>296</v>
      </c>
      <c r="N198" s="0" t="str">
        <f aca="false">IF(H198="","",IFERROR(LEFT(H198,FIND(" ",H198)-1),H198))</f>
        <v>8/8/2026</v>
      </c>
      <c r="O198" s="23" t="n">
        <f aca="false">IFERROR(DATE(VALUE(MID(N198,FIND("/",N198,FIND("/",N198)+1)+1,4)),VALUE(MID(N198,FIND("/",N198)+1,FIND("/",N198,FIND("/",N198)+1)-FIND("/",N198)-1)),VALUE(LEFT(N198,FIND("/",N198)-1))),0)</f>
        <v>46242</v>
      </c>
    </row>
    <row r="199" customFormat="false" ht="15" hidden="false" customHeight="false" outlineLevel="0" collapsed="false">
      <c r="A199" s="0" t="n">
        <v>4745989</v>
      </c>
      <c r="B199" s="0" t="s">
        <v>473</v>
      </c>
      <c r="C199" s="0" t="s">
        <v>474</v>
      </c>
      <c r="D199" s="0" t="s">
        <v>475</v>
      </c>
      <c r="E199" s="0" t="s">
        <v>294</v>
      </c>
      <c r="F199" s="0" t="n">
        <v>0</v>
      </c>
      <c r="G199" s="0" t="n">
        <v>0</v>
      </c>
      <c r="H199" s="0" t="s">
        <v>295</v>
      </c>
      <c r="J199" s="0" t="n">
        <v>16</v>
      </c>
      <c r="K199" s="0" t="n">
        <v>0</v>
      </c>
      <c r="L199" s="0" t="s">
        <v>296</v>
      </c>
      <c r="N199" s="0" t="str">
        <f aca="false">IF(H199="","",IFERROR(LEFT(H199,FIND(" ",H199)-1),H199))</f>
        <v>Opening</v>
      </c>
      <c r="O199" s="23" t="n">
        <f aca="false">IFERROR(DATE(VALUE(MID(N199,FIND("/",N199,FIND("/",N199)+1)+1,4)),VALUE(MID(N199,FIND("/",N199)+1,FIND("/",N199,FIND("/",N199)+1)-FIND("/",N199)-1)),VALUE(LEFT(N199,FIND("/",N199)-1))),0)</f>
        <v>0</v>
      </c>
    </row>
    <row r="200" customFormat="false" ht="15" hidden="false" customHeight="false" outlineLevel="0" collapsed="false">
      <c r="A200" s="0" t="n">
        <v>4745989</v>
      </c>
      <c r="B200" s="0" t="s">
        <v>473</v>
      </c>
      <c r="C200" s="0" t="s">
        <v>474</v>
      </c>
      <c r="D200" s="0" t="s">
        <v>475</v>
      </c>
      <c r="E200" s="0" t="s">
        <v>294</v>
      </c>
      <c r="F200" s="0" t="n">
        <v>0</v>
      </c>
      <c r="G200" s="0" t="n">
        <v>0</v>
      </c>
      <c r="H200" s="0" t="s">
        <v>299</v>
      </c>
      <c r="J200" s="0" t="n">
        <v>0</v>
      </c>
      <c r="K200" s="0" t="n">
        <v>16</v>
      </c>
      <c r="L200" s="0" t="s">
        <v>296</v>
      </c>
      <c r="N200" s="0" t="str">
        <f aca="false">IF(H200="","",IFERROR(LEFT(H200,FIND(" ",H200)-1),H200))</f>
        <v>8/10/2022</v>
      </c>
      <c r="O200" s="23" t="n">
        <f aca="false">IFERROR(DATE(VALUE(MID(N200,FIND("/",N200,FIND("/",N200)+1)+1,4)),VALUE(MID(N200,FIND("/",N200)+1,FIND("/",N200,FIND("/",N200)+1)-FIND("/",N200)-1)),VALUE(LEFT(N200,FIND("/",N200)-1))),0)</f>
        <v>44842</v>
      </c>
    </row>
    <row r="201" customFormat="false" ht="15" hidden="false" customHeight="false" outlineLevel="0" collapsed="false">
      <c r="A201" s="0" t="n">
        <v>4745993</v>
      </c>
      <c r="B201" s="0" t="s">
        <v>476</v>
      </c>
      <c r="C201" s="0" t="s">
        <v>237</v>
      </c>
      <c r="D201" s="0" t="s">
        <v>238</v>
      </c>
      <c r="E201" s="0" t="s">
        <v>294</v>
      </c>
      <c r="F201" s="0" t="n">
        <v>0</v>
      </c>
      <c r="G201" s="0" t="n">
        <v>112</v>
      </c>
      <c r="H201" s="0" t="s">
        <v>319</v>
      </c>
      <c r="J201" s="0" t="n">
        <v>8</v>
      </c>
      <c r="K201" s="0" t="n">
        <v>0</v>
      </c>
      <c r="L201" s="0" t="s">
        <v>296</v>
      </c>
      <c r="N201" s="0" t="str">
        <f aca="false">IF(H201="","",IFERROR(LEFT(H201,FIND(" ",H201)-1),H201))</f>
        <v>11/2/2023</v>
      </c>
      <c r="O201" s="23" t="n">
        <f aca="false">IFERROR(DATE(VALUE(MID(N201,FIND("/",N201,FIND("/",N201)+1)+1,4)),VALUE(MID(N201,FIND("/",N201)+1,FIND("/",N201,FIND("/",N201)+1)-FIND("/",N201)-1)),VALUE(LEFT(N201,FIND("/",N201)-1))),0)</f>
        <v>44968</v>
      </c>
    </row>
    <row r="202" customFormat="false" ht="15" hidden="false" customHeight="false" outlineLevel="0" collapsed="false">
      <c r="A202" s="0" t="n">
        <v>4745993</v>
      </c>
      <c r="B202" s="0" t="s">
        <v>476</v>
      </c>
      <c r="C202" s="0" t="s">
        <v>237</v>
      </c>
      <c r="D202" s="0" t="s">
        <v>238</v>
      </c>
      <c r="E202" s="0" t="s">
        <v>294</v>
      </c>
      <c r="F202" s="0" t="n">
        <v>0</v>
      </c>
      <c r="G202" s="0" t="n">
        <v>112</v>
      </c>
      <c r="H202" s="0" t="s">
        <v>320</v>
      </c>
      <c r="I202" s="0" t="s">
        <v>321</v>
      </c>
      <c r="J202" s="0" t="n">
        <v>16</v>
      </c>
      <c r="K202" s="0" t="n">
        <v>0</v>
      </c>
      <c r="L202" s="0" t="s">
        <v>296</v>
      </c>
      <c r="N202" s="0" t="str">
        <f aca="false">IF(H202="","",IFERROR(LEFT(H202,FIND(" ",H202)-1),H202))</f>
        <v>18/11/2023</v>
      </c>
      <c r="O202" s="23" t="n">
        <f aca="false">IFERROR(DATE(VALUE(MID(N202,FIND("/",N202,FIND("/",N202)+1)+1,4)),VALUE(MID(N202,FIND("/",N202)+1,FIND("/",N202,FIND("/",N202)+1)-FIND("/",N202)-1)),VALUE(LEFT(N202,FIND("/",N202)-1))),0)</f>
        <v>45248</v>
      </c>
    </row>
    <row r="203" customFormat="false" ht="15" hidden="false" customHeight="false" outlineLevel="0" collapsed="false">
      <c r="A203" s="0" t="n">
        <v>4745993</v>
      </c>
      <c r="B203" s="0" t="s">
        <v>476</v>
      </c>
      <c r="C203" s="0" t="s">
        <v>237</v>
      </c>
      <c r="D203" s="0" t="s">
        <v>238</v>
      </c>
      <c r="E203" s="0" t="s">
        <v>294</v>
      </c>
      <c r="F203" s="0" t="n">
        <v>0</v>
      </c>
      <c r="G203" s="0" t="n">
        <v>112</v>
      </c>
      <c r="H203" s="0" t="s">
        <v>351</v>
      </c>
      <c r="J203" s="0" t="n">
        <v>8</v>
      </c>
      <c r="K203" s="0" t="n">
        <v>0</v>
      </c>
      <c r="L203" s="0" t="s">
        <v>296</v>
      </c>
      <c r="N203" s="0" t="str">
        <f aca="false">IF(H203="","",IFERROR(LEFT(H203,FIND(" ",H203)-1),H203))</f>
        <v>10/2/2024</v>
      </c>
      <c r="O203" s="23" t="n">
        <f aca="false">IFERROR(DATE(VALUE(MID(N203,FIND("/",N203,FIND("/",N203)+1)+1,4)),VALUE(MID(N203,FIND("/",N203)+1,FIND("/",N203,FIND("/",N203)+1)-FIND("/",N203)-1)),VALUE(LEFT(N203,FIND("/",N203)-1))),0)</f>
        <v>45332</v>
      </c>
    </row>
    <row r="204" customFormat="false" ht="15" hidden="false" customHeight="false" outlineLevel="0" collapsed="false">
      <c r="A204" s="0" t="n">
        <v>4745993</v>
      </c>
      <c r="B204" s="0" t="s">
        <v>476</v>
      </c>
      <c r="C204" s="0" t="s">
        <v>237</v>
      </c>
      <c r="D204" s="0" t="s">
        <v>238</v>
      </c>
      <c r="E204" s="0" t="s">
        <v>294</v>
      </c>
      <c r="F204" s="0" t="n">
        <v>0</v>
      </c>
      <c r="G204" s="0" t="n">
        <v>112</v>
      </c>
      <c r="H204" s="0" t="s">
        <v>410</v>
      </c>
      <c r="I204" s="0" t="s">
        <v>411</v>
      </c>
      <c r="J204" s="0" t="n">
        <v>8</v>
      </c>
      <c r="K204" s="0" t="n">
        <v>0</v>
      </c>
      <c r="L204" s="0" t="s">
        <v>296</v>
      </c>
      <c r="N204" s="0" t="str">
        <f aca="false">IF(H204="","",IFERROR(LEFT(H204,FIND(" ",H204)-1),H204))</f>
        <v>1/6/2024</v>
      </c>
      <c r="O204" s="23" t="n">
        <f aca="false">IFERROR(DATE(VALUE(MID(N204,FIND("/",N204,FIND("/",N204)+1)+1,4)),VALUE(MID(N204,FIND("/",N204)+1,FIND("/",N204,FIND("/",N204)+1)-FIND("/",N204)-1)),VALUE(LEFT(N204,FIND("/",N204)-1))),0)</f>
        <v>45444</v>
      </c>
    </row>
    <row r="205" customFormat="false" ht="15" hidden="false" customHeight="false" outlineLevel="0" collapsed="false">
      <c r="A205" s="0" t="n">
        <v>4745993</v>
      </c>
      <c r="B205" s="0" t="s">
        <v>476</v>
      </c>
      <c r="C205" s="0" t="s">
        <v>237</v>
      </c>
      <c r="D205" s="0" t="s">
        <v>238</v>
      </c>
      <c r="E205" s="0" t="s">
        <v>294</v>
      </c>
      <c r="F205" s="0" t="n">
        <v>0</v>
      </c>
      <c r="G205" s="0" t="n">
        <v>112</v>
      </c>
      <c r="H205" s="0" t="s">
        <v>353</v>
      </c>
      <c r="I205" s="0" t="s">
        <v>354</v>
      </c>
      <c r="J205" s="0" t="n">
        <v>8</v>
      </c>
      <c r="K205" s="0" t="n">
        <v>0</v>
      </c>
      <c r="L205" s="0" t="s">
        <v>296</v>
      </c>
      <c r="N205" s="0" t="str">
        <f aca="false">IF(H205="","",IFERROR(LEFT(H205,FIND(" ",H205)-1),H205))</f>
        <v>7/9/2024</v>
      </c>
      <c r="O205" s="23" t="n">
        <f aca="false">IFERROR(DATE(VALUE(MID(N205,FIND("/",N205,FIND("/",N205)+1)+1,4)),VALUE(MID(N205,FIND("/",N205)+1,FIND("/",N205,FIND("/",N205)+1)-FIND("/",N205)-1)),VALUE(LEFT(N205,FIND("/",N205)-1))),0)</f>
        <v>45542</v>
      </c>
    </row>
    <row r="206" customFormat="false" ht="15" hidden="false" customHeight="false" outlineLevel="0" collapsed="false">
      <c r="A206" s="0" t="n">
        <v>4745993</v>
      </c>
      <c r="B206" s="0" t="s">
        <v>476</v>
      </c>
      <c r="C206" s="0" t="s">
        <v>237</v>
      </c>
      <c r="D206" s="0" t="s">
        <v>238</v>
      </c>
      <c r="E206" s="0" t="s">
        <v>294</v>
      </c>
      <c r="F206" s="0" t="n">
        <v>0</v>
      </c>
      <c r="G206" s="0" t="n">
        <v>112</v>
      </c>
      <c r="H206" s="0" t="s">
        <v>373</v>
      </c>
      <c r="I206" s="0" t="s">
        <v>374</v>
      </c>
      <c r="J206" s="0" t="n">
        <v>8</v>
      </c>
      <c r="K206" s="0" t="n">
        <v>0</v>
      </c>
      <c r="L206" s="0" t="s">
        <v>296</v>
      </c>
      <c r="N206" s="0" t="str">
        <f aca="false">IF(H206="","",IFERROR(LEFT(H206,FIND(" ",H206)-1),H206))</f>
        <v>11/1/2025</v>
      </c>
      <c r="O206" s="23" t="n">
        <f aca="false">IFERROR(DATE(VALUE(MID(N206,FIND("/",N206,FIND("/",N206)+1)+1,4)),VALUE(MID(N206,FIND("/",N206)+1,FIND("/",N206,FIND("/",N206)+1)-FIND("/",N206)-1)),VALUE(LEFT(N206,FIND("/",N206)-1))),0)</f>
        <v>45668</v>
      </c>
    </row>
    <row r="207" customFormat="false" ht="15" hidden="false" customHeight="false" outlineLevel="0" collapsed="false">
      <c r="A207" s="0" t="n">
        <v>4745993</v>
      </c>
      <c r="B207" s="0" t="s">
        <v>476</v>
      </c>
      <c r="C207" s="0" t="s">
        <v>237</v>
      </c>
      <c r="D207" s="0" t="s">
        <v>238</v>
      </c>
      <c r="E207" s="0" t="s">
        <v>294</v>
      </c>
      <c r="F207" s="0" t="n">
        <v>0</v>
      </c>
      <c r="G207" s="0" t="n">
        <v>112</v>
      </c>
      <c r="H207" s="0" t="s">
        <v>335</v>
      </c>
      <c r="I207" s="0" t="s">
        <v>336</v>
      </c>
      <c r="J207" s="0" t="n">
        <v>8</v>
      </c>
      <c r="K207" s="0" t="n">
        <v>0</v>
      </c>
      <c r="L207" s="0" t="s">
        <v>296</v>
      </c>
      <c r="N207" s="0" t="str">
        <f aca="false">IF(H207="","",IFERROR(LEFT(H207,FIND(" ",H207)-1),H207))</f>
        <v>3/5/2025</v>
      </c>
      <c r="O207" s="23" t="n">
        <f aca="false">IFERROR(DATE(VALUE(MID(N207,FIND("/",N207,FIND("/",N207)+1)+1,4)),VALUE(MID(N207,FIND("/",N207)+1,FIND("/",N207,FIND("/",N207)+1)-FIND("/",N207)-1)),VALUE(LEFT(N207,FIND("/",N207)-1))),0)</f>
        <v>45780</v>
      </c>
    </row>
    <row r="208" customFormat="false" ht="15" hidden="false" customHeight="false" outlineLevel="0" collapsed="false">
      <c r="A208" s="0" t="n">
        <v>4745993</v>
      </c>
      <c r="B208" s="0" t="s">
        <v>476</v>
      </c>
      <c r="C208" s="0" t="s">
        <v>237</v>
      </c>
      <c r="D208" s="0" t="s">
        <v>238</v>
      </c>
      <c r="E208" s="0" t="s">
        <v>294</v>
      </c>
      <c r="F208" s="0" t="n">
        <v>0</v>
      </c>
      <c r="G208" s="0" t="n">
        <v>112</v>
      </c>
      <c r="H208" s="0" t="s">
        <v>358</v>
      </c>
      <c r="I208" s="0" t="s">
        <v>359</v>
      </c>
      <c r="J208" s="0" t="n">
        <v>8</v>
      </c>
      <c r="K208" s="0" t="n">
        <v>0</v>
      </c>
      <c r="L208" s="0" t="s">
        <v>296</v>
      </c>
      <c r="N208" s="0" t="str">
        <f aca="false">IF(H208="","",IFERROR(LEFT(H208,FIND(" ",H208)-1),H208))</f>
        <v>6/9/2025</v>
      </c>
      <c r="O208" s="23" t="n">
        <f aca="false">IFERROR(DATE(VALUE(MID(N208,FIND("/",N208,FIND("/",N208)+1)+1,4)),VALUE(MID(N208,FIND("/",N208)+1,FIND("/",N208,FIND("/",N208)+1)-FIND("/",N208)-1)),VALUE(LEFT(N208,FIND("/",N208)-1))),0)</f>
        <v>45906</v>
      </c>
    </row>
    <row r="209" customFormat="false" ht="15" hidden="false" customHeight="false" outlineLevel="0" collapsed="false">
      <c r="A209" s="0" t="n">
        <v>4745993</v>
      </c>
      <c r="B209" s="0" t="s">
        <v>476</v>
      </c>
      <c r="C209" s="0" t="s">
        <v>237</v>
      </c>
      <c r="D209" s="0" t="s">
        <v>238</v>
      </c>
      <c r="E209" s="0" t="s">
        <v>294</v>
      </c>
      <c r="F209" s="0" t="n">
        <v>0</v>
      </c>
      <c r="G209" s="0" t="n">
        <v>112</v>
      </c>
      <c r="H209" s="0" t="s">
        <v>341</v>
      </c>
      <c r="I209" s="0" t="s">
        <v>477</v>
      </c>
      <c r="J209" s="0" t="n">
        <v>24</v>
      </c>
      <c r="K209" s="0" t="n">
        <v>0</v>
      </c>
      <c r="L209" s="0" t="s">
        <v>296</v>
      </c>
      <c r="N209" s="0" t="str">
        <f aca="false">IF(H209="","",IFERROR(LEFT(H209,FIND(" ",H209)-1),H209))</f>
        <v>27/12/2025</v>
      </c>
      <c r="O209" s="23" t="n">
        <f aca="false">IFERROR(DATE(VALUE(MID(N209,FIND("/",N209,FIND("/",N209)+1)+1,4)),VALUE(MID(N209,FIND("/",N209)+1,FIND("/",N209,FIND("/",N209)+1)-FIND("/",N209)-1)),VALUE(LEFT(N209,FIND("/",N209)-1))),0)</f>
        <v>46018</v>
      </c>
    </row>
    <row r="210" customFormat="false" ht="15" hidden="false" customHeight="false" outlineLevel="0" collapsed="false">
      <c r="A210" s="0" t="n">
        <v>4745993</v>
      </c>
      <c r="B210" s="0" t="s">
        <v>476</v>
      </c>
      <c r="C210" s="0" t="s">
        <v>237</v>
      </c>
      <c r="D210" s="0" t="s">
        <v>238</v>
      </c>
      <c r="E210" s="0" t="s">
        <v>294</v>
      </c>
      <c r="F210" s="0" t="n">
        <v>0</v>
      </c>
      <c r="G210" s="0" t="n">
        <v>112</v>
      </c>
      <c r="H210" s="0" t="s">
        <v>360</v>
      </c>
      <c r="I210" s="0" t="s">
        <v>361</v>
      </c>
      <c r="J210" s="0" t="n">
        <v>8</v>
      </c>
      <c r="K210" s="0" t="n">
        <v>0</v>
      </c>
      <c r="L210" s="0" t="s">
        <v>296</v>
      </c>
      <c r="N210" s="0" t="str">
        <f aca="false">IF(H210="","",IFERROR(LEFT(H210,FIND(" ",H210)-1),H210))</f>
        <v>7/3/2026</v>
      </c>
      <c r="O210" s="23" t="n">
        <f aca="false">IFERROR(DATE(VALUE(MID(N210,FIND("/",N210,FIND("/",N210)+1)+1,4)),VALUE(MID(N210,FIND("/",N210)+1,FIND("/",N210,FIND("/",N210)+1)-FIND("/",N210)-1)),VALUE(LEFT(N210,FIND("/",N210)-1))),0)</f>
        <v>46088</v>
      </c>
    </row>
    <row r="211" customFormat="false" ht="15" hidden="false" customHeight="false" outlineLevel="0" collapsed="false">
      <c r="A211" s="0" t="n">
        <v>4745993</v>
      </c>
      <c r="B211" s="0" t="s">
        <v>476</v>
      </c>
      <c r="C211" s="0" t="s">
        <v>237</v>
      </c>
      <c r="D211" s="0" t="s">
        <v>238</v>
      </c>
      <c r="E211" s="0" t="s">
        <v>294</v>
      </c>
      <c r="F211" s="0" t="n">
        <v>0</v>
      </c>
      <c r="G211" s="0" t="n">
        <v>112</v>
      </c>
      <c r="H211" s="0" t="s">
        <v>362</v>
      </c>
      <c r="I211" s="0" t="s">
        <v>462</v>
      </c>
      <c r="J211" s="0" t="n">
        <v>8</v>
      </c>
      <c r="K211" s="0" t="n">
        <v>0</v>
      </c>
      <c r="L211" s="0" t="s">
        <v>296</v>
      </c>
      <c r="N211" s="0" t="str">
        <f aca="false">IF(H211="","",IFERROR(LEFT(H211,FIND(" ",H211)-1),H211))</f>
        <v>30/5/2026</v>
      </c>
      <c r="O211" s="23" t="n">
        <f aca="false">IFERROR(DATE(VALUE(MID(N211,FIND("/",N211,FIND("/",N211)+1)+1,4)),VALUE(MID(N211,FIND("/",N211)+1,FIND("/",N211,FIND("/",N211)+1)-FIND("/",N211)-1)),VALUE(LEFT(N211,FIND("/",N211)-1))),0)</f>
        <v>46172</v>
      </c>
    </row>
    <row r="212" customFormat="false" ht="15" hidden="false" customHeight="false" outlineLevel="0" collapsed="false">
      <c r="A212" s="0" t="n">
        <v>4745762</v>
      </c>
      <c r="B212" s="0" t="s">
        <v>478</v>
      </c>
      <c r="C212" s="0" t="s">
        <v>479</v>
      </c>
      <c r="D212" s="0" t="s">
        <v>480</v>
      </c>
      <c r="E212" s="0" t="s">
        <v>294</v>
      </c>
      <c r="F212" s="0" t="n">
        <v>0</v>
      </c>
      <c r="G212" s="0" t="n">
        <v>0</v>
      </c>
      <c r="H212" s="0" t="s">
        <v>319</v>
      </c>
      <c r="J212" s="0" t="n">
        <v>8</v>
      </c>
      <c r="K212" s="0" t="n">
        <v>0</v>
      </c>
      <c r="L212" s="0" t="s">
        <v>296</v>
      </c>
      <c r="N212" s="0" t="str">
        <f aca="false">IF(H212="","",IFERROR(LEFT(H212,FIND(" ",H212)-1),H212))</f>
        <v>11/2/2023</v>
      </c>
      <c r="O212" s="23" t="n">
        <f aca="false">IFERROR(DATE(VALUE(MID(N212,FIND("/",N212,FIND("/",N212)+1)+1,4)),VALUE(MID(N212,FIND("/",N212)+1,FIND("/",N212,FIND("/",N212)+1)-FIND("/",N212)-1)),VALUE(LEFT(N212,FIND("/",N212)-1))),0)</f>
        <v>44968</v>
      </c>
    </row>
    <row r="213" customFormat="false" ht="15" hidden="false" customHeight="false" outlineLevel="0" collapsed="false">
      <c r="A213" s="0" t="n">
        <v>4745762</v>
      </c>
      <c r="B213" s="0" t="s">
        <v>478</v>
      </c>
      <c r="C213" s="0" t="s">
        <v>479</v>
      </c>
      <c r="D213" s="0" t="s">
        <v>480</v>
      </c>
      <c r="E213" s="0" t="s">
        <v>294</v>
      </c>
      <c r="F213" s="0" t="n">
        <v>0</v>
      </c>
      <c r="G213" s="0" t="n">
        <v>0</v>
      </c>
      <c r="H213" s="0" t="s">
        <v>320</v>
      </c>
      <c r="I213" s="0" t="s">
        <v>321</v>
      </c>
      <c r="J213" s="0" t="n">
        <v>16</v>
      </c>
      <c r="K213" s="0" t="n">
        <v>0</v>
      </c>
      <c r="L213" s="0" t="s">
        <v>296</v>
      </c>
      <c r="N213" s="0" t="str">
        <f aca="false">IF(H213="","",IFERROR(LEFT(H213,FIND(" ",H213)-1),H213))</f>
        <v>18/11/2023</v>
      </c>
      <c r="O213" s="23" t="n">
        <f aca="false">IFERROR(DATE(VALUE(MID(N213,FIND("/",N213,FIND("/",N213)+1)+1,4)),VALUE(MID(N213,FIND("/",N213)+1,FIND("/",N213,FIND("/",N213)+1)-FIND("/",N213)-1)),VALUE(LEFT(N213,FIND("/",N213)-1))),0)</f>
        <v>45248</v>
      </c>
    </row>
    <row r="214" customFormat="false" ht="15" hidden="false" customHeight="false" outlineLevel="0" collapsed="false">
      <c r="A214" s="0" t="n">
        <v>4745762</v>
      </c>
      <c r="B214" s="0" t="s">
        <v>478</v>
      </c>
      <c r="C214" s="0" t="s">
        <v>479</v>
      </c>
      <c r="D214" s="0" t="s">
        <v>480</v>
      </c>
      <c r="E214" s="0" t="s">
        <v>294</v>
      </c>
      <c r="F214" s="0" t="n">
        <v>0</v>
      </c>
      <c r="G214" s="0" t="n">
        <v>0</v>
      </c>
      <c r="H214" s="0" t="s">
        <v>351</v>
      </c>
      <c r="J214" s="0" t="n">
        <v>8</v>
      </c>
      <c r="K214" s="0" t="n">
        <v>0</v>
      </c>
      <c r="L214" s="0" t="s">
        <v>296</v>
      </c>
      <c r="N214" s="0" t="str">
        <f aca="false">IF(H214="","",IFERROR(LEFT(H214,FIND(" ",H214)-1),H214))</f>
        <v>10/2/2024</v>
      </c>
      <c r="O214" s="23" t="n">
        <f aca="false">IFERROR(DATE(VALUE(MID(N214,FIND("/",N214,FIND("/",N214)+1)+1,4)),VALUE(MID(N214,FIND("/",N214)+1,FIND("/",N214,FIND("/",N214)+1)-FIND("/",N214)-1)),VALUE(LEFT(N214,FIND("/",N214)-1))),0)</f>
        <v>45332</v>
      </c>
    </row>
    <row r="215" customFormat="false" ht="15" hidden="false" customHeight="false" outlineLevel="0" collapsed="false">
      <c r="A215" s="0" t="n">
        <v>4745762</v>
      </c>
      <c r="B215" s="0" t="s">
        <v>478</v>
      </c>
      <c r="C215" s="0" t="s">
        <v>479</v>
      </c>
      <c r="D215" s="0" t="s">
        <v>480</v>
      </c>
      <c r="E215" s="0" t="s">
        <v>294</v>
      </c>
      <c r="F215" s="0" t="n">
        <v>0</v>
      </c>
      <c r="G215" s="0" t="n">
        <v>0</v>
      </c>
      <c r="H215" s="0" t="s">
        <v>385</v>
      </c>
      <c r="I215" s="0" t="s">
        <v>386</v>
      </c>
      <c r="J215" s="0" t="n">
        <v>8</v>
      </c>
      <c r="K215" s="0" t="n">
        <v>0</v>
      </c>
      <c r="L215" s="0" t="s">
        <v>296</v>
      </c>
      <c r="N215" s="0" t="str">
        <f aca="false">IF(H215="","",IFERROR(LEFT(H215,FIND(" ",H215)-1),H215))</f>
        <v>4/5/2024</v>
      </c>
      <c r="O215" s="23" t="n">
        <f aca="false">IFERROR(DATE(VALUE(MID(N215,FIND("/",N215,FIND("/",N215)+1)+1,4)),VALUE(MID(N215,FIND("/",N215)+1,FIND("/",N215,FIND("/",N215)+1)-FIND("/",N215)-1)),VALUE(LEFT(N215,FIND("/",N215)-1))),0)</f>
        <v>45416</v>
      </c>
    </row>
    <row r="216" customFormat="false" ht="15" hidden="false" customHeight="false" outlineLevel="0" collapsed="false">
      <c r="A216" s="0" t="n">
        <v>4745762</v>
      </c>
      <c r="B216" s="0" t="s">
        <v>478</v>
      </c>
      <c r="C216" s="0" t="s">
        <v>479</v>
      </c>
      <c r="D216" s="0" t="s">
        <v>480</v>
      </c>
      <c r="E216" s="0" t="s">
        <v>294</v>
      </c>
      <c r="F216" s="0" t="n">
        <v>0</v>
      </c>
      <c r="G216" s="0" t="n">
        <v>0</v>
      </c>
      <c r="H216" s="0" t="s">
        <v>303</v>
      </c>
      <c r="I216" s="0" t="s">
        <v>304</v>
      </c>
      <c r="J216" s="0" t="n">
        <v>8</v>
      </c>
      <c r="K216" s="0" t="n">
        <v>0</v>
      </c>
      <c r="L216" s="0" t="s">
        <v>296</v>
      </c>
      <c r="N216" s="0" t="str">
        <f aca="false">IF(H216="","",IFERROR(LEFT(H216,FIND(" ",H216)-1),H216))</f>
        <v>24/8/2024</v>
      </c>
      <c r="O216" s="23" t="n">
        <f aca="false">IFERROR(DATE(VALUE(MID(N216,FIND("/",N216,FIND("/",N216)+1)+1,4)),VALUE(MID(N216,FIND("/",N216)+1,FIND("/",N216,FIND("/",N216)+1)-FIND("/",N216)-1)),VALUE(LEFT(N216,FIND("/",N216)-1))),0)</f>
        <v>45528</v>
      </c>
    </row>
    <row r="217" customFormat="false" ht="15" hidden="false" customHeight="false" outlineLevel="0" collapsed="false">
      <c r="A217" s="0" t="n">
        <v>4745762</v>
      </c>
      <c r="B217" s="0" t="s">
        <v>478</v>
      </c>
      <c r="C217" s="0" t="s">
        <v>479</v>
      </c>
      <c r="D217" s="0" t="s">
        <v>480</v>
      </c>
      <c r="E217" s="0" t="s">
        <v>294</v>
      </c>
      <c r="F217" s="0" t="n">
        <v>0</v>
      </c>
      <c r="G217" s="0" t="n">
        <v>0</v>
      </c>
      <c r="H217" s="0" t="s">
        <v>305</v>
      </c>
      <c r="I217" s="0" t="s">
        <v>306</v>
      </c>
      <c r="J217" s="0" t="n">
        <v>8</v>
      </c>
      <c r="K217" s="0" t="n">
        <v>0</v>
      </c>
      <c r="L217" s="0" t="s">
        <v>296</v>
      </c>
      <c r="N217" s="0" t="str">
        <f aca="false">IF(H217="","",IFERROR(LEFT(H217,FIND(" ",H217)-1),H217))</f>
        <v>14/12/2024</v>
      </c>
      <c r="O217" s="23" t="n">
        <f aca="false">IFERROR(DATE(VALUE(MID(N217,FIND("/",N217,FIND("/",N217)+1)+1,4)),VALUE(MID(N217,FIND("/",N217)+1,FIND("/",N217,FIND("/",N217)+1)-FIND("/",N217)-1)),VALUE(LEFT(N217,FIND("/",N217)-1))),0)</f>
        <v>45640</v>
      </c>
    </row>
    <row r="218" customFormat="false" ht="15" hidden="false" customHeight="false" outlineLevel="0" collapsed="false">
      <c r="A218" s="0" t="n">
        <v>4745762</v>
      </c>
      <c r="B218" s="0" t="s">
        <v>478</v>
      </c>
      <c r="C218" s="0" t="s">
        <v>479</v>
      </c>
      <c r="D218" s="0" t="s">
        <v>480</v>
      </c>
      <c r="E218" s="0" t="s">
        <v>294</v>
      </c>
      <c r="F218" s="0" t="n">
        <v>0</v>
      </c>
      <c r="G218" s="0" t="n">
        <v>0</v>
      </c>
      <c r="H218" s="0" t="s">
        <v>481</v>
      </c>
      <c r="I218" s="0" t="s">
        <v>482</v>
      </c>
      <c r="J218" s="0" t="n">
        <v>0</v>
      </c>
      <c r="K218" s="0" t="n">
        <v>8</v>
      </c>
      <c r="L218" s="0" t="s">
        <v>296</v>
      </c>
      <c r="N218" s="0" t="str">
        <f aca="false">IF(H218="","",IFERROR(LEFT(H218,FIND(" ",H218)-1),H218))</f>
        <v>25/1/2025</v>
      </c>
      <c r="O218" s="23" t="n">
        <f aca="false">IFERROR(DATE(VALUE(MID(N218,FIND("/",N218,FIND("/",N218)+1)+1,4)),VALUE(MID(N218,FIND("/",N218)+1,FIND("/",N218,FIND("/",N218)+1)-FIND("/",N218)-1)),VALUE(LEFT(N218,FIND("/",N218)-1))),0)</f>
        <v>45682</v>
      </c>
    </row>
    <row r="219" customFormat="false" ht="15" hidden="false" customHeight="false" outlineLevel="0" collapsed="false">
      <c r="A219" s="0" t="n">
        <v>4745762</v>
      </c>
      <c r="B219" s="0" t="s">
        <v>478</v>
      </c>
      <c r="C219" s="0" t="s">
        <v>479</v>
      </c>
      <c r="D219" s="0" t="s">
        <v>480</v>
      </c>
      <c r="E219" s="0" t="s">
        <v>294</v>
      </c>
      <c r="F219" s="0" t="n">
        <v>0</v>
      </c>
      <c r="G219" s="0" t="n">
        <v>0</v>
      </c>
      <c r="H219" s="0" t="s">
        <v>327</v>
      </c>
      <c r="I219" s="0" t="s">
        <v>483</v>
      </c>
      <c r="J219" s="0" t="n">
        <v>0</v>
      </c>
      <c r="K219" s="0" t="n">
        <v>8</v>
      </c>
      <c r="L219" s="0" t="s">
        <v>296</v>
      </c>
      <c r="N219" s="0" t="str">
        <f aca="false">IF(H219="","",IFERROR(LEFT(H219,FIND(" ",H219)-1),H219))</f>
        <v>8/2/2025</v>
      </c>
      <c r="O219" s="23" t="n">
        <f aca="false">IFERROR(DATE(VALUE(MID(N219,FIND("/",N219,FIND("/",N219)+1)+1,4)),VALUE(MID(N219,FIND("/",N219)+1,FIND("/",N219,FIND("/",N219)+1)-FIND("/",N219)-1)),VALUE(LEFT(N219,FIND("/",N219)-1))),0)</f>
        <v>45696</v>
      </c>
    </row>
    <row r="220" customFormat="false" ht="15" hidden="false" customHeight="false" outlineLevel="0" collapsed="false">
      <c r="A220" s="0" t="n">
        <v>4745762</v>
      </c>
      <c r="B220" s="0" t="s">
        <v>478</v>
      </c>
      <c r="C220" s="0" t="s">
        <v>479</v>
      </c>
      <c r="D220" s="0" t="s">
        <v>480</v>
      </c>
      <c r="E220" s="0" t="s">
        <v>294</v>
      </c>
      <c r="F220" s="0" t="n">
        <v>0</v>
      </c>
      <c r="G220" s="0" t="n">
        <v>0</v>
      </c>
      <c r="H220" s="0" t="s">
        <v>327</v>
      </c>
      <c r="I220" s="0" t="s">
        <v>484</v>
      </c>
      <c r="J220" s="0" t="n">
        <v>0</v>
      </c>
      <c r="K220" s="0" t="n">
        <v>8</v>
      </c>
      <c r="L220" s="0" t="s">
        <v>296</v>
      </c>
      <c r="N220" s="0" t="str">
        <f aca="false">IF(H220="","",IFERROR(LEFT(H220,FIND(" ",H220)-1),H220))</f>
        <v>8/2/2025</v>
      </c>
      <c r="O220" s="23" t="n">
        <f aca="false">IFERROR(DATE(VALUE(MID(N220,FIND("/",N220,FIND("/",N220)+1)+1,4)),VALUE(MID(N220,FIND("/",N220)+1,FIND("/",N220,FIND("/",N220)+1)-FIND("/",N220)-1)),VALUE(LEFT(N220,FIND("/",N220)-1))),0)</f>
        <v>45696</v>
      </c>
    </row>
    <row r="221" customFormat="false" ht="15" hidden="false" customHeight="false" outlineLevel="0" collapsed="false">
      <c r="A221" s="0" t="n">
        <v>4745762</v>
      </c>
      <c r="B221" s="0" t="s">
        <v>478</v>
      </c>
      <c r="C221" s="0" t="s">
        <v>479</v>
      </c>
      <c r="D221" s="0" t="s">
        <v>480</v>
      </c>
      <c r="E221" s="0" t="s">
        <v>294</v>
      </c>
      <c r="F221" s="0" t="n">
        <v>0</v>
      </c>
      <c r="G221" s="0" t="n">
        <v>0</v>
      </c>
      <c r="H221" s="0" t="s">
        <v>415</v>
      </c>
      <c r="I221" s="0" t="s">
        <v>485</v>
      </c>
      <c r="J221" s="0" t="n">
        <v>0</v>
      </c>
      <c r="K221" s="0" t="n">
        <v>8</v>
      </c>
      <c r="L221" s="0" t="s">
        <v>296</v>
      </c>
      <c r="N221" s="0" t="str">
        <f aca="false">IF(H221="","",IFERROR(LEFT(H221,FIND(" ",H221)-1),H221))</f>
        <v>22/2/2025</v>
      </c>
      <c r="O221" s="23" t="n">
        <f aca="false">IFERROR(DATE(VALUE(MID(N221,FIND("/",N221,FIND("/",N221)+1)+1,4)),VALUE(MID(N221,FIND("/",N221)+1,FIND("/",N221,FIND("/",N221)+1)-FIND("/",N221)-1)),VALUE(LEFT(N221,FIND("/",N221)-1))),0)</f>
        <v>45710</v>
      </c>
    </row>
    <row r="222" customFormat="false" ht="15" hidden="false" customHeight="false" outlineLevel="0" collapsed="false">
      <c r="A222" s="0" t="n">
        <v>4745762</v>
      </c>
      <c r="B222" s="0" t="s">
        <v>478</v>
      </c>
      <c r="C222" s="0" t="s">
        <v>479</v>
      </c>
      <c r="D222" s="0" t="s">
        <v>480</v>
      </c>
      <c r="E222" s="0" t="s">
        <v>294</v>
      </c>
      <c r="F222" s="0" t="n">
        <v>0</v>
      </c>
      <c r="G222" s="0" t="n">
        <v>0</v>
      </c>
      <c r="H222" s="0" t="s">
        <v>415</v>
      </c>
      <c r="I222" s="0" t="s">
        <v>417</v>
      </c>
      <c r="J222" s="0" t="n">
        <v>0</v>
      </c>
      <c r="K222" s="0" t="n">
        <v>8</v>
      </c>
      <c r="L222" s="0" t="s">
        <v>296</v>
      </c>
      <c r="N222" s="0" t="str">
        <f aca="false">IF(H222="","",IFERROR(LEFT(H222,FIND(" ",H222)-1),H222))</f>
        <v>22/2/2025</v>
      </c>
      <c r="O222" s="23" t="n">
        <f aca="false">IFERROR(DATE(VALUE(MID(N222,FIND("/",N222,FIND("/",N222)+1)+1,4)),VALUE(MID(N222,FIND("/",N222)+1,FIND("/",N222,FIND("/",N222)+1)-FIND("/",N222)-1)),VALUE(LEFT(N222,FIND("/",N222)-1))),0)</f>
        <v>45710</v>
      </c>
    </row>
    <row r="223" customFormat="false" ht="15" hidden="false" customHeight="false" outlineLevel="0" collapsed="false">
      <c r="A223" s="0" t="n">
        <v>4745762</v>
      </c>
      <c r="B223" s="0" t="s">
        <v>478</v>
      </c>
      <c r="C223" s="0" t="s">
        <v>479</v>
      </c>
      <c r="D223" s="0" t="s">
        <v>480</v>
      </c>
      <c r="E223" s="0" t="s">
        <v>294</v>
      </c>
      <c r="F223" s="0" t="n">
        <v>0</v>
      </c>
      <c r="G223" s="0" t="n">
        <v>0</v>
      </c>
      <c r="H223" s="0" t="s">
        <v>307</v>
      </c>
      <c r="I223" s="0" t="s">
        <v>486</v>
      </c>
      <c r="J223" s="0" t="n">
        <v>0</v>
      </c>
      <c r="K223" s="0" t="n">
        <v>8</v>
      </c>
      <c r="L223" s="0" t="s">
        <v>296</v>
      </c>
      <c r="N223" s="0" t="str">
        <f aca="false">IF(H223="","",IFERROR(LEFT(H223,FIND(" ",H223)-1),H223))</f>
        <v>5/4/2025</v>
      </c>
      <c r="O223" s="23" t="n">
        <f aca="false">IFERROR(DATE(VALUE(MID(N223,FIND("/",N223,FIND("/",N223)+1)+1,4)),VALUE(MID(N223,FIND("/",N223)+1,FIND("/",N223,FIND("/",N223)+1)-FIND("/",N223)-1)),VALUE(LEFT(N223,FIND("/",N223)-1))),0)</f>
        <v>45752</v>
      </c>
    </row>
    <row r="224" customFormat="false" ht="15" hidden="false" customHeight="false" outlineLevel="0" collapsed="false">
      <c r="A224" s="0" t="n">
        <v>4745762</v>
      </c>
      <c r="B224" s="0" t="s">
        <v>478</v>
      </c>
      <c r="C224" s="0" t="s">
        <v>479</v>
      </c>
      <c r="D224" s="0" t="s">
        <v>480</v>
      </c>
      <c r="E224" s="0" t="s">
        <v>294</v>
      </c>
      <c r="F224" s="0" t="n">
        <v>0</v>
      </c>
      <c r="G224" s="0" t="n">
        <v>0</v>
      </c>
      <c r="H224" s="0" t="s">
        <v>307</v>
      </c>
      <c r="I224" s="0" t="s">
        <v>487</v>
      </c>
      <c r="J224" s="0" t="n">
        <v>0</v>
      </c>
      <c r="K224" s="0" t="n">
        <v>8</v>
      </c>
      <c r="L224" s="0" t="s">
        <v>296</v>
      </c>
      <c r="N224" s="0" t="str">
        <f aca="false">IF(H224="","",IFERROR(LEFT(H224,FIND(" ",H224)-1),H224))</f>
        <v>5/4/2025</v>
      </c>
      <c r="O224" s="23" t="n">
        <f aca="false">IFERROR(DATE(VALUE(MID(N224,FIND("/",N224,FIND("/",N224)+1)+1,4)),VALUE(MID(N224,FIND("/",N224)+1,FIND("/",N224,FIND("/",N224)+1)-FIND("/",N224)-1)),VALUE(LEFT(N224,FIND("/",N224)-1))),0)</f>
        <v>45752</v>
      </c>
    </row>
    <row r="225" customFormat="false" ht="15" hidden="false" customHeight="false" outlineLevel="0" collapsed="false">
      <c r="A225" s="0" t="n">
        <v>4745762</v>
      </c>
      <c r="B225" s="0" t="s">
        <v>478</v>
      </c>
      <c r="C225" s="0" t="s">
        <v>479</v>
      </c>
      <c r="D225" s="0" t="s">
        <v>480</v>
      </c>
      <c r="E225" s="0" t="s">
        <v>294</v>
      </c>
      <c r="F225" s="0" t="n">
        <v>0</v>
      </c>
      <c r="G225" s="0" t="n">
        <v>0</v>
      </c>
      <c r="H225" s="0" t="s">
        <v>307</v>
      </c>
      <c r="I225" s="0" t="s">
        <v>488</v>
      </c>
      <c r="J225" s="0" t="n">
        <v>8</v>
      </c>
      <c r="K225" s="0" t="n">
        <v>0</v>
      </c>
      <c r="L225" s="0" t="s">
        <v>296</v>
      </c>
      <c r="N225" s="0" t="str">
        <f aca="false">IF(H225="","",IFERROR(LEFT(H225,FIND(" ",H225)-1),H225))</f>
        <v>5/4/2025</v>
      </c>
      <c r="O225" s="23" t="n">
        <f aca="false">IFERROR(DATE(VALUE(MID(N225,FIND("/",N225,FIND("/",N225)+1)+1,4)),VALUE(MID(N225,FIND("/",N225)+1,FIND("/",N225,FIND("/",N225)+1)-FIND("/",N225)-1)),VALUE(LEFT(N225,FIND("/",N225)-1))),0)</f>
        <v>45752</v>
      </c>
    </row>
    <row r="226" customFormat="false" ht="15" hidden="false" customHeight="false" outlineLevel="0" collapsed="false">
      <c r="A226" s="0" t="n">
        <v>4745762</v>
      </c>
      <c r="B226" s="0" t="s">
        <v>478</v>
      </c>
      <c r="C226" s="0" t="s">
        <v>479</v>
      </c>
      <c r="D226" s="0" t="s">
        <v>480</v>
      </c>
      <c r="E226" s="0" t="s">
        <v>294</v>
      </c>
      <c r="F226" s="0" t="n">
        <v>0</v>
      </c>
      <c r="G226" s="0" t="n">
        <v>0</v>
      </c>
      <c r="H226" s="0" t="s">
        <v>489</v>
      </c>
      <c r="I226" s="0" t="s">
        <v>490</v>
      </c>
      <c r="J226" s="0" t="n">
        <v>0</v>
      </c>
      <c r="K226" s="0" t="n">
        <v>8</v>
      </c>
      <c r="L226" s="0" t="s">
        <v>296</v>
      </c>
      <c r="N226" s="0" t="str">
        <f aca="false">IF(H226="","",IFERROR(LEFT(H226,FIND(" ",H226)-1),H226))</f>
        <v>19/4/2025</v>
      </c>
      <c r="O226" s="23" t="n">
        <f aca="false">IFERROR(DATE(VALUE(MID(N226,FIND("/",N226,FIND("/",N226)+1)+1,4)),VALUE(MID(N226,FIND("/",N226)+1,FIND("/",N226,FIND("/",N226)+1)-FIND("/",N226)-1)),VALUE(LEFT(N226,FIND("/",N226)-1))),0)</f>
        <v>45766</v>
      </c>
    </row>
    <row r="227" customFormat="false" ht="15" hidden="false" customHeight="false" outlineLevel="0" collapsed="false">
      <c r="A227" s="0" t="n">
        <v>4745762</v>
      </c>
      <c r="B227" s="0" t="s">
        <v>478</v>
      </c>
      <c r="C227" s="0" t="s">
        <v>479</v>
      </c>
      <c r="D227" s="0" t="s">
        <v>480</v>
      </c>
      <c r="E227" s="0" t="s">
        <v>294</v>
      </c>
      <c r="F227" s="0" t="n">
        <v>0</v>
      </c>
      <c r="G227" s="0" t="n">
        <v>0</v>
      </c>
      <c r="H227" s="0" t="s">
        <v>337</v>
      </c>
      <c r="I227" s="0" t="s">
        <v>338</v>
      </c>
      <c r="J227" s="0" t="n">
        <v>8</v>
      </c>
      <c r="K227" s="0" t="n">
        <v>0</v>
      </c>
      <c r="L227" s="0" t="s">
        <v>296</v>
      </c>
      <c r="N227" s="0" t="str">
        <f aca="false">IF(H227="","",IFERROR(LEFT(H227,FIND(" ",H227)-1),H227))</f>
        <v>9/8/2025</v>
      </c>
      <c r="O227" s="23" t="n">
        <f aca="false">IFERROR(DATE(VALUE(MID(N227,FIND("/",N227,FIND("/",N227)+1)+1,4)),VALUE(MID(N227,FIND("/",N227)+1,FIND("/",N227,FIND("/",N227)+1)-FIND("/",N227)-1)),VALUE(LEFT(N227,FIND("/",N227)-1))),0)</f>
        <v>45878</v>
      </c>
    </row>
    <row r="228" customFormat="false" ht="15" hidden="false" customHeight="false" outlineLevel="0" collapsed="false">
      <c r="A228" s="0" t="n">
        <v>4745762</v>
      </c>
      <c r="B228" s="0" t="s">
        <v>478</v>
      </c>
      <c r="C228" s="0" t="s">
        <v>479</v>
      </c>
      <c r="D228" s="0" t="s">
        <v>480</v>
      </c>
      <c r="E228" s="0" t="s">
        <v>294</v>
      </c>
      <c r="F228" s="0" t="n">
        <v>0</v>
      </c>
      <c r="G228" s="0" t="n">
        <v>0</v>
      </c>
      <c r="H228" s="0" t="s">
        <v>341</v>
      </c>
      <c r="I228" s="0" t="s">
        <v>380</v>
      </c>
      <c r="J228" s="0" t="n">
        <v>0</v>
      </c>
      <c r="K228" s="0" t="n">
        <v>8</v>
      </c>
      <c r="L228" s="0" t="s">
        <v>296</v>
      </c>
      <c r="N228" s="0" t="str">
        <f aca="false">IF(H228="","",IFERROR(LEFT(H228,FIND(" ",H228)-1),H228))</f>
        <v>27/12/2025</v>
      </c>
      <c r="O228" s="23" t="n">
        <f aca="false">IFERROR(DATE(VALUE(MID(N228,FIND("/",N228,FIND("/",N228)+1)+1,4)),VALUE(MID(N228,FIND("/",N228)+1,FIND("/",N228,FIND("/",N228)+1)-FIND("/",N228)-1)),VALUE(LEFT(N228,FIND("/",N228)-1))),0)</f>
        <v>46018</v>
      </c>
    </row>
    <row r="229" customFormat="false" ht="15" hidden="false" customHeight="false" outlineLevel="0" collapsed="false">
      <c r="A229" s="0" t="n">
        <v>4745762</v>
      </c>
      <c r="B229" s="0" t="s">
        <v>478</v>
      </c>
      <c r="C229" s="0" t="s">
        <v>479</v>
      </c>
      <c r="D229" s="0" t="s">
        <v>480</v>
      </c>
      <c r="E229" s="0" t="s">
        <v>294</v>
      </c>
      <c r="F229" s="0" t="n">
        <v>0</v>
      </c>
      <c r="G229" s="0" t="n">
        <v>0</v>
      </c>
      <c r="H229" s="0" t="s">
        <v>341</v>
      </c>
      <c r="I229" s="0" t="s">
        <v>491</v>
      </c>
      <c r="J229" s="0" t="n">
        <v>0</v>
      </c>
      <c r="K229" s="0" t="n">
        <v>8</v>
      </c>
      <c r="L229" s="0" t="s">
        <v>296</v>
      </c>
      <c r="N229" s="0" t="str">
        <f aca="false">IF(H229="","",IFERROR(LEFT(H229,FIND(" ",H229)-1),H229))</f>
        <v>27/12/2025</v>
      </c>
      <c r="O229" s="23" t="n">
        <f aca="false">IFERROR(DATE(VALUE(MID(N229,FIND("/",N229,FIND("/",N229)+1)+1,4)),VALUE(MID(N229,FIND("/",N229)+1,FIND("/",N229,FIND("/",N229)+1)-FIND("/",N229)-1)),VALUE(LEFT(N229,FIND("/",N229)-1))),0)</f>
        <v>46018</v>
      </c>
    </row>
    <row r="230" customFormat="false" ht="15" hidden="false" customHeight="false" outlineLevel="0" collapsed="false">
      <c r="A230" s="0" t="n">
        <v>4745762</v>
      </c>
      <c r="B230" s="0" t="s">
        <v>478</v>
      </c>
      <c r="C230" s="0" t="s">
        <v>479</v>
      </c>
      <c r="D230" s="0" t="s">
        <v>480</v>
      </c>
      <c r="E230" s="0" t="s">
        <v>294</v>
      </c>
      <c r="F230" s="0" t="n">
        <v>0</v>
      </c>
      <c r="G230" s="0" t="n">
        <v>0</v>
      </c>
      <c r="H230" s="0" t="s">
        <v>341</v>
      </c>
      <c r="I230" s="0" t="s">
        <v>492</v>
      </c>
      <c r="J230" s="0" t="n">
        <v>0</v>
      </c>
      <c r="K230" s="0" t="n">
        <v>8</v>
      </c>
      <c r="L230" s="0" t="s">
        <v>296</v>
      </c>
      <c r="N230" s="0" t="str">
        <f aca="false">IF(H230="","",IFERROR(LEFT(H230,FIND(" ",H230)-1),H230))</f>
        <v>27/12/2025</v>
      </c>
      <c r="O230" s="23" t="n">
        <f aca="false">IFERROR(DATE(VALUE(MID(N230,FIND("/",N230,FIND("/",N230)+1)+1,4)),VALUE(MID(N230,FIND("/",N230)+1,FIND("/",N230,FIND("/",N230)+1)-FIND("/",N230)-1)),VALUE(LEFT(N230,FIND("/",N230)-1))),0)</f>
        <v>46018</v>
      </c>
    </row>
    <row r="231" customFormat="false" ht="15" hidden="false" customHeight="false" outlineLevel="0" collapsed="false">
      <c r="A231" s="0" t="n">
        <v>4745762</v>
      </c>
      <c r="B231" s="0" t="s">
        <v>478</v>
      </c>
      <c r="C231" s="0" t="s">
        <v>479</v>
      </c>
      <c r="D231" s="0" t="s">
        <v>480</v>
      </c>
      <c r="E231" s="0" t="s">
        <v>294</v>
      </c>
      <c r="F231" s="0" t="n">
        <v>0</v>
      </c>
      <c r="G231" s="0" t="n">
        <v>0</v>
      </c>
      <c r="H231" s="0" t="s">
        <v>341</v>
      </c>
      <c r="I231" s="0" t="s">
        <v>493</v>
      </c>
      <c r="J231" s="0" t="n">
        <v>0</v>
      </c>
      <c r="K231" s="0" t="n">
        <v>6</v>
      </c>
      <c r="L231" s="0" t="s">
        <v>296</v>
      </c>
      <c r="N231" s="0" t="str">
        <f aca="false">IF(H231="","",IFERROR(LEFT(H231,FIND(" ",H231)-1),H231))</f>
        <v>27/12/2025</v>
      </c>
      <c r="O231" s="23" t="n">
        <f aca="false">IFERROR(DATE(VALUE(MID(N231,FIND("/",N231,FIND("/",N231)+1)+1,4)),VALUE(MID(N231,FIND("/",N231)+1,FIND("/",N231,FIND("/",N231)+1)-FIND("/",N231)-1)),VALUE(LEFT(N231,FIND("/",N231)-1))),0)</f>
        <v>46018</v>
      </c>
    </row>
    <row r="232" customFormat="false" ht="15" hidden="false" customHeight="false" outlineLevel="0" collapsed="false">
      <c r="A232" s="0" t="n">
        <v>4745762</v>
      </c>
      <c r="B232" s="0" t="s">
        <v>478</v>
      </c>
      <c r="C232" s="0" t="s">
        <v>479</v>
      </c>
      <c r="D232" s="0" t="s">
        <v>480</v>
      </c>
      <c r="E232" s="0" t="s">
        <v>294</v>
      </c>
      <c r="F232" s="0" t="n">
        <v>0</v>
      </c>
      <c r="G232" s="0" t="n">
        <v>0</v>
      </c>
      <c r="H232" s="0" t="s">
        <v>341</v>
      </c>
      <c r="I232" s="0" t="s">
        <v>477</v>
      </c>
      <c r="J232" s="0" t="n">
        <v>24</v>
      </c>
      <c r="K232" s="0" t="n">
        <v>0</v>
      </c>
      <c r="L232" s="0" t="s">
        <v>296</v>
      </c>
      <c r="N232" s="0" t="str">
        <f aca="false">IF(H232="","",IFERROR(LEFT(H232,FIND(" ",H232)-1),H232))</f>
        <v>27/12/2025</v>
      </c>
      <c r="O232" s="23" t="n">
        <f aca="false">IFERROR(DATE(VALUE(MID(N232,FIND("/",N232,FIND("/",N232)+1)+1,4)),VALUE(MID(N232,FIND("/",N232)+1,FIND("/",N232,FIND("/",N232)+1)-FIND("/",N232)-1)),VALUE(LEFT(N232,FIND("/",N232)-1))),0)</f>
        <v>46018</v>
      </c>
    </row>
    <row r="233" customFormat="false" ht="15" hidden="false" customHeight="false" outlineLevel="0" collapsed="false">
      <c r="A233" s="0" t="n">
        <v>4745762</v>
      </c>
      <c r="B233" s="0" t="s">
        <v>478</v>
      </c>
      <c r="C233" s="0" t="s">
        <v>479</v>
      </c>
      <c r="D233" s="0" t="s">
        <v>480</v>
      </c>
      <c r="E233" s="0" t="s">
        <v>294</v>
      </c>
      <c r="F233" s="0" t="n">
        <v>0</v>
      </c>
      <c r="G233" s="0" t="n">
        <v>0</v>
      </c>
      <c r="H233" s="0" t="s">
        <v>360</v>
      </c>
      <c r="I233" s="0" t="s">
        <v>361</v>
      </c>
      <c r="J233" s="0" t="n">
        <v>8</v>
      </c>
      <c r="K233" s="0" t="n">
        <v>0</v>
      </c>
      <c r="L233" s="0" t="s">
        <v>296</v>
      </c>
      <c r="N233" s="0" t="str">
        <f aca="false">IF(H233="","",IFERROR(LEFT(H233,FIND(" ",H233)-1),H233))</f>
        <v>7/3/2026</v>
      </c>
      <c r="O233" s="23" t="n">
        <f aca="false">IFERROR(DATE(VALUE(MID(N233,FIND("/",N233,FIND("/",N233)+1)+1,4)),VALUE(MID(N233,FIND("/",N233)+1,FIND("/",N233,FIND("/",N233)+1)-FIND("/",N233)-1)),VALUE(LEFT(N233,FIND("/",N233)-1))),0)</f>
        <v>46088</v>
      </c>
    </row>
    <row r="234" customFormat="false" ht="15" hidden="false" customHeight="false" outlineLevel="0" collapsed="false">
      <c r="A234" s="0" t="n">
        <v>4745762</v>
      </c>
      <c r="B234" s="0" t="s">
        <v>478</v>
      </c>
      <c r="C234" s="0" t="s">
        <v>479</v>
      </c>
      <c r="D234" s="0" t="s">
        <v>480</v>
      </c>
      <c r="E234" s="0" t="s">
        <v>294</v>
      </c>
      <c r="F234" s="0" t="n">
        <v>0</v>
      </c>
      <c r="G234" s="0" t="n">
        <v>0</v>
      </c>
      <c r="H234" s="0" t="s">
        <v>494</v>
      </c>
      <c r="I234" s="0" t="s">
        <v>495</v>
      </c>
      <c r="J234" s="0" t="n">
        <v>0</v>
      </c>
      <c r="K234" s="0" t="n">
        <v>10</v>
      </c>
      <c r="L234" s="0" t="s">
        <v>296</v>
      </c>
      <c r="N234" s="0" t="str">
        <f aca="false">IF(H234="","",IFERROR(LEFT(H234,FIND(" ",H234)-1),H234))</f>
        <v>13/6/2026</v>
      </c>
      <c r="O234" s="23" t="n">
        <f aca="false">IFERROR(DATE(VALUE(MID(N234,FIND("/",N234,FIND("/",N234)+1)+1,4)),VALUE(MID(N234,FIND("/",N234)+1,FIND("/",N234,FIND("/",N234)+1)-FIND("/",N234)-1)),VALUE(LEFT(N234,FIND("/",N234)-1))),0)</f>
        <v>46186</v>
      </c>
    </row>
    <row r="235" customFormat="false" ht="15" hidden="false" customHeight="false" outlineLevel="0" collapsed="false">
      <c r="A235" s="0" t="n">
        <v>4745754</v>
      </c>
      <c r="B235" s="0" t="s">
        <v>496</v>
      </c>
      <c r="C235" s="0" t="s">
        <v>497</v>
      </c>
      <c r="D235" s="0" t="s">
        <v>498</v>
      </c>
      <c r="E235" s="0" t="s">
        <v>294</v>
      </c>
      <c r="F235" s="0" t="n">
        <v>0</v>
      </c>
      <c r="G235" s="0" t="n">
        <v>0</v>
      </c>
      <c r="H235" s="0" t="s">
        <v>295</v>
      </c>
      <c r="J235" s="0" t="n">
        <v>8</v>
      </c>
      <c r="K235" s="0" t="n">
        <v>0</v>
      </c>
      <c r="L235" s="0" t="s">
        <v>296</v>
      </c>
      <c r="N235" s="0" t="str">
        <f aca="false">IF(H235="","",IFERROR(LEFT(H235,FIND(" ",H235)-1),H235))</f>
        <v>Opening</v>
      </c>
      <c r="O235" s="23" t="n">
        <f aca="false">IFERROR(DATE(VALUE(MID(N235,FIND("/",N235,FIND("/",N235)+1)+1,4)),VALUE(MID(N235,FIND("/",N235)+1,FIND("/",N235,FIND("/",N235)+1)-FIND("/",N235)-1)),VALUE(LEFT(N235,FIND("/",N235)-1))),0)</f>
        <v>0</v>
      </c>
    </row>
    <row r="236" customFormat="false" ht="15" hidden="false" customHeight="false" outlineLevel="0" collapsed="false">
      <c r="A236" s="0" t="n">
        <v>4745754</v>
      </c>
      <c r="B236" s="0" t="s">
        <v>496</v>
      </c>
      <c r="C236" s="0" t="s">
        <v>497</v>
      </c>
      <c r="D236" s="0" t="s">
        <v>498</v>
      </c>
      <c r="E236" s="0" t="s">
        <v>294</v>
      </c>
      <c r="F236" s="0" t="n">
        <v>0</v>
      </c>
      <c r="G236" s="0" t="n">
        <v>0</v>
      </c>
      <c r="H236" s="0" t="s">
        <v>298</v>
      </c>
      <c r="J236" s="0" t="n">
        <v>8</v>
      </c>
      <c r="K236" s="0" t="n">
        <v>0</v>
      </c>
      <c r="L236" s="0" t="s">
        <v>296</v>
      </c>
      <c r="N236" s="0" t="str">
        <f aca="false">IF(H236="","",IFERROR(LEFT(H236,FIND(" ",H236)-1),H236))</f>
        <v>10/9/2022</v>
      </c>
      <c r="O236" s="23" t="n">
        <f aca="false">IFERROR(DATE(VALUE(MID(N236,FIND("/",N236,FIND("/",N236)+1)+1,4)),VALUE(MID(N236,FIND("/",N236)+1,FIND("/",N236,FIND("/",N236)+1)-FIND("/",N236)-1)),VALUE(LEFT(N236,FIND("/",N236)-1))),0)</f>
        <v>44814</v>
      </c>
    </row>
    <row r="237" customFormat="false" ht="15" hidden="false" customHeight="false" outlineLevel="0" collapsed="false">
      <c r="A237" s="0" t="n">
        <v>4745754</v>
      </c>
      <c r="B237" s="0" t="s">
        <v>496</v>
      </c>
      <c r="C237" s="0" t="s">
        <v>497</v>
      </c>
      <c r="D237" s="0" t="s">
        <v>498</v>
      </c>
      <c r="E237" s="0" t="s">
        <v>294</v>
      </c>
      <c r="F237" s="0" t="n">
        <v>0</v>
      </c>
      <c r="G237" s="0" t="n">
        <v>0</v>
      </c>
      <c r="H237" s="0" t="s">
        <v>318</v>
      </c>
      <c r="J237" s="0" t="n">
        <v>8</v>
      </c>
      <c r="K237" s="0" t="n">
        <v>0</v>
      </c>
      <c r="L237" s="0" t="s">
        <v>296</v>
      </c>
      <c r="N237" s="0" t="str">
        <f aca="false">IF(H237="","",IFERROR(LEFT(H237,FIND(" ",H237)-1),H237))</f>
        <v>5/11/2022</v>
      </c>
      <c r="O237" s="23" t="n">
        <f aca="false">IFERROR(DATE(VALUE(MID(N237,FIND("/",N237,FIND("/",N237)+1)+1,4)),VALUE(MID(N237,FIND("/",N237)+1,FIND("/",N237,FIND("/",N237)+1)-FIND("/",N237)-1)),VALUE(LEFT(N237,FIND("/",N237)-1))),0)</f>
        <v>44870</v>
      </c>
    </row>
    <row r="238" customFormat="false" ht="15" hidden="false" customHeight="false" outlineLevel="0" collapsed="false">
      <c r="A238" s="0" t="n">
        <v>4745754</v>
      </c>
      <c r="B238" s="0" t="s">
        <v>496</v>
      </c>
      <c r="C238" s="0" t="s">
        <v>497</v>
      </c>
      <c r="D238" s="0" t="s">
        <v>498</v>
      </c>
      <c r="E238" s="0" t="s">
        <v>294</v>
      </c>
      <c r="F238" s="0" t="n">
        <v>0</v>
      </c>
      <c r="G238" s="0" t="n">
        <v>0</v>
      </c>
      <c r="H238" s="0" t="s">
        <v>319</v>
      </c>
      <c r="J238" s="0" t="n">
        <v>8</v>
      </c>
      <c r="K238" s="0" t="n">
        <v>0</v>
      </c>
      <c r="L238" s="0" t="s">
        <v>296</v>
      </c>
      <c r="N238" s="0" t="str">
        <f aca="false">IF(H238="","",IFERROR(LEFT(H238,FIND(" ",H238)-1),H238))</f>
        <v>11/2/2023</v>
      </c>
      <c r="O238" s="23" t="n">
        <f aca="false">IFERROR(DATE(VALUE(MID(N238,FIND("/",N238,FIND("/",N238)+1)+1,4)),VALUE(MID(N238,FIND("/",N238)+1,FIND("/",N238,FIND("/",N238)+1)-FIND("/",N238)-1)),VALUE(LEFT(N238,FIND("/",N238)-1))),0)</f>
        <v>44968</v>
      </c>
    </row>
    <row r="239" customFormat="false" ht="15" hidden="false" customHeight="false" outlineLevel="0" collapsed="false">
      <c r="A239" s="0" t="n">
        <v>4745754</v>
      </c>
      <c r="B239" s="0" t="s">
        <v>496</v>
      </c>
      <c r="C239" s="0" t="s">
        <v>497</v>
      </c>
      <c r="D239" s="0" t="s">
        <v>498</v>
      </c>
      <c r="E239" s="0" t="s">
        <v>294</v>
      </c>
      <c r="F239" s="0" t="n">
        <v>0</v>
      </c>
      <c r="G239" s="0" t="n">
        <v>0</v>
      </c>
      <c r="H239" s="0" t="s">
        <v>320</v>
      </c>
      <c r="I239" s="0" t="s">
        <v>321</v>
      </c>
      <c r="J239" s="0" t="n">
        <v>16</v>
      </c>
      <c r="K239" s="0" t="n">
        <v>0</v>
      </c>
      <c r="L239" s="0" t="s">
        <v>296</v>
      </c>
      <c r="N239" s="0" t="str">
        <f aca="false">IF(H239="","",IFERROR(LEFT(H239,FIND(" ",H239)-1),H239))</f>
        <v>18/11/2023</v>
      </c>
      <c r="O239" s="23" t="n">
        <f aca="false">IFERROR(DATE(VALUE(MID(N239,FIND("/",N239,FIND("/",N239)+1)+1,4)),VALUE(MID(N239,FIND("/",N239)+1,FIND("/",N239,FIND("/",N239)+1)-FIND("/",N239)-1)),VALUE(LEFT(N239,FIND("/",N239)-1))),0)</f>
        <v>45248</v>
      </c>
    </row>
    <row r="240" customFormat="false" ht="15" hidden="false" customHeight="false" outlineLevel="0" collapsed="false">
      <c r="A240" s="0" t="n">
        <v>4745754</v>
      </c>
      <c r="B240" s="0" t="s">
        <v>496</v>
      </c>
      <c r="C240" s="0" t="s">
        <v>497</v>
      </c>
      <c r="D240" s="0" t="s">
        <v>498</v>
      </c>
      <c r="E240" s="0" t="s">
        <v>294</v>
      </c>
      <c r="F240" s="0" t="n">
        <v>0</v>
      </c>
      <c r="G240" s="0" t="n">
        <v>0</v>
      </c>
      <c r="H240" s="0" t="s">
        <v>322</v>
      </c>
      <c r="I240" s="0" t="s">
        <v>294</v>
      </c>
      <c r="J240" s="0" t="n">
        <v>8</v>
      </c>
      <c r="K240" s="0" t="n">
        <v>0</v>
      </c>
      <c r="L240" s="0" t="s">
        <v>296</v>
      </c>
      <c r="N240" s="0" t="str">
        <f aca="false">IF(H240="","",IFERROR(LEFT(H240,FIND(" ",H240)-1),H240))</f>
        <v>6/4/2024</v>
      </c>
      <c r="O240" s="23" t="n">
        <f aca="false">IFERROR(DATE(VALUE(MID(N240,FIND("/",N240,FIND("/",N240)+1)+1,4)),VALUE(MID(N240,FIND("/",N240)+1,FIND("/",N240,FIND("/",N240)+1)-FIND("/",N240)-1)),VALUE(LEFT(N240,FIND("/",N240)-1))),0)</f>
        <v>45388</v>
      </c>
    </row>
    <row r="241" customFormat="false" ht="15" hidden="false" customHeight="false" outlineLevel="0" collapsed="false">
      <c r="A241" s="0" t="n">
        <v>4745754</v>
      </c>
      <c r="B241" s="0" t="s">
        <v>496</v>
      </c>
      <c r="C241" s="0" t="s">
        <v>497</v>
      </c>
      <c r="D241" s="0" t="s">
        <v>498</v>
      </c>
      <c r="E241" s="0" t="s">
        <v>294</v>
      </c>
      <c r="F241" s="0" t="n">
        <v>0</v>
      </c>
      <c r="G241" s="0" t="n">
        <v>0</v>
      </c>
      <c r="H241" s="0" t="s">
        <v>323</v>
      </c>
      <c r="I241" s="0" t="s">
        <v>324</v>
      </c>
      <c r="J241" s="0" t="n">
        <v>8</v>
      </c>
      <c r="K241" s="0" t="n">
        <v>0</v>
      </c>
      <c r="L241" s="0" t="s">
        <v>296</v>
      </c>
      <c r="N241" s="0" t="str">
        <f aca="false">IF(H241="","",IFERROR(LEFT(H241,FIND(" ",H241)-1),H241))</f>
        <v>13/7/2024</v>
      </c>
      <c r="O241" s="23" t="n">
        <f aca="false">IFERROR(DATE(VALUE(MID(N241,FIND("/",N241,FIND("/",N241)+1)+1,4)),VALUE(MID(N241,FIND("/",N241)+1,FIND("/",N241,FIND("/",N241)+1)-FIND("/",N241)-1)),VALUE(LEFT(N241,FIND("/",N241)-1))),0)</f>
        <v>45486</v>
      </c>
    </row>
    <row r="242" customFormat="false" ht="15" hidden="false" customHeight="false" outlineLevel="0" collapsed="false">
      <c r="A242" s="0" t="n">
        <v>4745754</v>
      </c>
      <c r="B242" s="0" t="s">
        <v>496</v>
      </c>
      <c r="C242" s="0" t="s">
        <v>497</v>
      </c>
      <c r="D242" s="0" t="s">
        <v>498</v>
      </c>
      <c r="E242" s="0" t="s">
        <v>294</v>
      </c>
      <c r="F242" s="0" t="n">
        <v>0</v>
      </c>
      <c r="G242" s="0" t="n">
        <v>0</v>
      </c>
      <c r="H242" s="0" t="s">
        <v>325</v>
      </c>
      <c r="I242" s="0" t="s">
        <v>326</v>
      </c>
      <c r="J242" s="0" t="n">
        <v>8</v>
      </c>
      <c r="K242" s="0" t="n">
        <v>0</v>
      </c>
      <c r="L242" s="0" t="s">
        <v>296</v>
      </c>
      <c r="N242" s="0" t="str">
        <f aca="false">IF(H242="","",IFERROR(LEFT(H242,FIND(" ",H242)-1),H242))</f>
        <v>19/10/2024</v>
      </c>
      <c r="O242" s="23" t="n">
        <f aca="false">IFERROR(DATE(VALUE(MID(N242,FIND("/",N242,FIND("/",N242)+1)+1,4)),VALUE(MID(N242,FIND("/",N242)+1,FIND("/",N242,FIND("/",N242)+1)-FIND("/",N242)-1)),VALUE(LEFT(N242,FIND("/",N242)-1))),0)</f>
        <v>45584</v>
      </c>
    </row>
    <row r="243" customFormat="false" ht="15" hidden="false" customHeight="false" outlineLevel="0" collapsed="false">
      <c r="A243" s="0" t="n">
        <v>4745754</v>
      </c>
      <c r="B243" s="0" t="s">
        <v>496</v>
      </c>
      <c r="C243" s="0" t="s">
        <v>497</v>
      </c>
      <c r="D243" s="0" t="s">
        <v>498</v>
      </c>
      <c r="E243" s="0" t="s">
        <v>294</v>
      </c>
      <c r="F243" s="0" t="n">
        <v>0</v>
      </c>
      <c r="G243" s="0" t="n">
        <v>0</v>
      </c>
      <c r="H243" s="0" t="s">
        <v>327</v>
      </c>
      <c r="I243" s="0" t="s">
        <v>328</v>
      </c>
      <c r="J243" s="0" t="n">
        <v>8</v>
      </c>
      <c r="K243" s="0" t="n">
        <v>0</v>
      </c>
      <c r="L243" s="0" t="s">
        <v>296</v>
      </c>
      <c r="N243" s="0" t="str">
        <f aca="false">IF(H243="","",IFERROR(LEFT(H243,FIND(" ",H243)-1),H243))</f>
        <v>8/2/2025</v>
      </c>
      <c r="O243" s="23" t="n">
        <f aca="false">IFERROR(DATE(VALUE(MID(N243,FIND("/",N243,FIND("/",N243)+1)+1,4)),VALUE(MID(N243,FIND("/",N243)+1,FIND("/",N243,FIND("/",N243)+1)-FIND("/",N243)-1)),VALUE(LEFT(N243,FIND("/",N243)-1))),0)</f>
        <v>45696</v>
      </c>
    </row>
    <row r="244" customFormat="false" ht="15" hidden="false" customHeight="false" outlineLevel="0" collapsed="false">
      <c r="A244" s="0" t="n">
        <v>4745754</v>
      </c>
      <c r="B244" s="0" t="s">
        <v>496</v>
      </c>
      <c r="C244" s="0" t="s">
        <v>497</v>
      </c>
      <c r="D244" s="0" t="s">
        <v>498</v>
      </c>
      <c r="E244" s="0" t="s">
        <v>294</v>
      </c>
      <c r="F244" s="0" t="n">
        <v>0</v>
      </c>
      <c r="G244" s="0" t="n">
        <v>0</v>
      </c>
      <c r="H244" s="0" t="s">
        <v>489</v>
      </c>
      <c r="I244" s="0" t="s">
        <v>499</v>
      </c>
      <c r="J244" s="0" t="n">
        <v>0</v>
      </c>
      <c r="K244" s="0" t="n">
        <v>8</v>
      </c>
      <c r="L244" s="0" t="s">
        <v>296</v>
      </c>
      <c r="N244" s="0" t="str">
        <f aca="false">IF(H244="","",IFERROR(LEFT(H244,FIND(" ",H244)-1),H244))</f>
        <v>19/4/2025</v>
      </c>
      <c r="O244" s="23" t="n">
        <f aca="false">IFERROR(DATE(VALUE(MID(N244,FIND("/",N244,FIND("/",N244)+1)+1,4)),VALUE(MID(N244,FIND("/",N244)+1,FIND("/",N244,FIND("/",N244)+1)-FIND("/",N244)-1)),VALUE(LEFT(N244,FIND("/",N244)-1))),0)</f>
        <v>45766</v>
      </c>
    </row>
    <row r="245" customFormat="false" ht="15" hidden="false" customHeight="false" outlineLevel="0" collapsed="false">
      <c r="A245" s="0" t="n">
        <v>4745754</v>
      </c>
      <c r="B245" s="0" t="s">
        <v>496</v>
      </c>
      <c r="C245" s="0" t="s">
        <v>497</v>
      </c>
      <c r="D245" s="0" t="s">
        <v>498</v>
      </c>
      <c r="E245" s="0" t="s">
        <v>294</v>
      </c>
      <c r="F245" s="0" t="n">
        <v>0</v>
      </c>
      <c r="G245" s="0" t="n">
        <v>0</v>
      </c>
      <c r="H245" s="0" t="s">
        <v>335</v>
      </c>
      <c r="I245" s="0" t="s">
        <v>336</v>
      </c>
      <c r="J245" s="0" t="n">
        <v>8</v>
      </c>
      <c r="K245" s="0" t="n">
        <v>0</v>
      </c>
      <c r="L245" s="0" t="s">
        <v>296</v>
      </c>
      <c r="N245" s="0" t="str">
        <f aca="false">IF(H245="","",IFERROR(LEFT(H245,FIND(" ",H245)-1),H245))</f>
        <v>3/5/2025</v>
      </c>
      <c r="O245" s="23" t="n">
        <f aca="false">IFERROR(DATE(VALUE(MID(N245,FIND("/",N245,FIND("/",N245)+1)+1,4)),VALUE(MID(N245,FIND("/",N245)+1,FIND("/",N245,FIND("/",N245)+1)-FIND("/",N245)-1)),VALUE(LEFT(N245,FIND("/",N245)-1))),0)</f>
        <v>45780</v>
      </c>
    </row>
    <row r="246" customFormat="false" ht="15" hidden="false" customHeight="false" outlineLevel="0" collapsed="false">
      <c r="A246" s="0" t="n">
        <v>4745754</v>
      </c>
      <c r="B246" s="0" t="s">
        <v>496</v>
      </c>
      <c r="C246" s="0" t="s">
        <v>497</v>
      </c>
      <c r="D246" s="0" t="s">
        <v>498</v>
      </c>
      <c r="E246" s="0" t="s">
        <v>294</v>
      </c>
      <c r="F246" s="0" t="n">
        <v>0</v>
      </c>
      <c r="G246" s="0" t="n">
        <v>0</v>
      </c>
      <c r="H246" s="0" t="s">
        <v>500</v>
      </c>
      <c r="I246" s="0" t="s">
        <v>501</v>
      </c>
      <c r="J246" s="0" t="n">
        <v>0</v>
      </c>
      <c r="K246" s="0" t="n">
        <v>8</v>
      </c>
      <c r="L246" s="0" t="s">
        <v>296</v>
      </c>
      <c r="N246" s="0" t="str">
        <f aca="false">IF(H246="","",IFERROR(LEFT(H246,FIND(" ",H246)-1),H246))</f>
        <v>17/5/2025</v>
      </c>
      <c r="O246" s="23" t="n">
        <f aca="false">IFERROR(DATE(VALUE(MID(N246,FIND("/",N246,FIND("/",N246)+1)+1,4)),VALUE(MID(N246,FIND("/",N246)+1,FIND("/",N246,FIND("/",N246)+1)-FIND("/",N246)-1)),VALUE(LEFT(N246,FIND("/",N246)-1))),0)</f>
        <v>45794</v>
      </c>
    </row>
    <row r="247" customFormat="false" ht="15" hidden="false" customHeight="false" outlineLevel="0" collapsed="false">
      <c r="A247" s="0" t="n">
        <v>4745754</v>
      </c>
      <c r="B247" s="0" t="s">
        <v>496</v>
      </c>
      <c r="C247" s="0" t="s">
        <v>497</v>
      </c>
      <c r="D247" s="0" t="s">
        <v>498</v>
      </c>
      <c r="E247" s="0" t="s">
        <v>294</v>
      </c>
      <c r="F247" s="0" t="n">
        <v>0</v>
      </c>
      <c r="G247" s="0" t="n">
        <v>0</v>
      </c>
      <c r="H247" s="0" t="s">
        <v>500</v>
      </c>
      <c r="I247" s="0" t="s">
        <v>502</v>
      </c>
      <c r="J247" s="0" t="n">
        <v>0</v>
      </c>
      <c r="K247" s="0" t="n">
        <v>8</v>
      </c>
      <c r="L247" s="0" t="s">
        <v>296</v>
      </c>
      <c r="N247" s="0" t="str">
        <f aca="false">IF(H247="","",IFERROR(LEFT(H247,FIND(" ",H247)-1),H247))</f>
        <v>17/5/2025</v>
      </c>
      <c r="O247" s="23" t="n">
        <f aca="false">IFERROR(DATE(VALUE(MID(N247,FIND("/",N247,FIND("/",N247)+1)+1,4)),VALUE(MID(N247,FIND("/",N247)+1,FIND("/",N247,FIND("/",N247)+1)-FIND("/",N247)-1)),VALUE(LEFT(N247,FIND("/",N247)-1))),0)</f>
        <v>45794</v>
      </c>
    </row>
    <row r="248" customFormat="false" ht="15" hidden="false" customHeight="false" outlineLevel="0" collapsed="false">
      <c r="A248" s="0" t="n">
        <v>4745754</v>
      </c>
      <c r="B248" s="0" t="s">
        <v>496</v>
      </c>
      <c r="C248" s="0" t="s">
        <v>497</v>
      </c>
      <c r="D248" s="0" t="s">
        <v>498</v>
      </c>
      <c r="E248" s="0" t="s">
        <v>294</v>
      </c>
      <c r="F248" s="0" t="n">
        <v>0</v>
      </c>
      <c r="G248" s="0" t="n">
        <v>0</v>
      </c>
      <c r="H248" s="0" t="s">
        <v>500</v>
      </c>
      <c r="I248" s="0" t="s">
        <v>503</v>
      </c>
      <c r="J248" s="0" t="n">
        <v>0</v>
      </c>
      <c r="K248" s="0" t="n">
        <v>8</v>
      </c>
      <c r="L248" s="0" t="s">
        <v>296</v>
      </c>
      <c r="N248" s="0" t="str">
        <f aca="false">IF(H248="","",IFERROR(LEFT(H248,FIND(" ",H248)-1),H248))</f>
        <v>17/5/2025</v>
      </c>
      <c r="O248" s="23" t="n">
        <f aca="false">IFERROR(DATE(VALUE(MID(N248,FIND("/",N248,FIND("/",N248)+1)+1,4)),VALUE(MID(N248,FIND("/",N248)+1,FIND("/",N248,FIND("/",N248)+1)-FIND("/",N248)-1)),VALUE(LEFT(N248,FIND("/",N248)-1))),0)</f>
        <v>45794</v>
      </c>
    </row>
    <row r="249" customFormat="false" ht="15" hidden="false" customHeight="false" outlineLevel="0" collapsed="false">
      <c r="A249" s="0" t="n">
        <v>4745754</v>
      </c>
      <c r="B249" s="0" t="s">
        <v>496</v>
      </c>
      <c r="C249" s="0" t="s">
        <v>497</v>
      </c>
      <c r="D249" s="0" t="s">
        <v>498</v>
      </c>
      <c r="E249" s="0" t="s">
        <v>294</v>
      </c>
      <c r="F249" s="0" t="n">
        <v>0</v>
      </c>
      <c r="G249" s="0" t="n">
        <v>0</v>
      </c>
      <c r="H249" s="0" t="s">
        <v>337</v>
      </c>
      <c r="I249" s="0" t="s">
        <v>338</v>
      </c>
      <c r="J249" s="0" t="n">
        <v>8</v>
      </c>
      <c r="K249" s="0" t="n">
        <v>0</v>
      </c>
      <c r="L249" s="0" t="s">
        <v>296</v>
      </c>
      <c r="N249" s="0" t="str">
        <f aca="false">IF(H249="","",IFERROR(LEFT(H249,FIND(" ",H249)-1),H249))</f>
        <v>9/8/2025</v>
      </c>
      <c r="O249" s="23" t="n">
        <f aca="false">IFERROR(DATE(VALUE(MID(N249,FIND("/",N249,FIND("/",N249)+1)+1,4)),VALUE(MID(N249,FIND("/",N249)+1,FIND("/",N249,FIND("/",N249)+1)-FIND("/",N249)-1)),VALUE(LEFT(N249,FIND("/",N249)-1))),0)</f>
        <v>45878</v>
      </c>
    </row>
    <row r="250" customFormat="false" ht="15" hidden="false" customHeight="false" outlineLevel="0" collapsed="false">
      <c r="A250" s="0" t="n">
        <v>4745754</v>
      </c>
      <c r="B250" s="0" t="s">
        <v>496</v>
      </c>
      <c r="C250" s="0" t="s">
        <v>497</v>
      </c>
      <c r="D250" s="0" t="s">
        <v>498</v>
      </c>
      <c r="E250" s="0" t="s">
        <v>294</v>
      </c>
      <c r="F250" s="0" t="n">
        <v>0</v>
      </c>
      <c r="G250" s="0" t="n">
        <v>0</v>
      </c>
      <c r="H250" s="0" t="s">
        <v>339</v>
      </c>
      <c r="I250" s="0" t="s">
        <v>504</v>
      </c>
      <c r="J250" s="0" t="n">
        <v>8</v>
      </c>
      <c r="K250" s="0" t="n">
        <v>0</v>
      </c>
      <c r="L250" s="0" t="s">
        <v>296</v>
      </c>
      <c r="N250" s="0" t="str">
        <f aca="false">IF(H250="","",IFERROR(LEFT(H250,FIND(" ",H250)-1),H250))</f>
        <v>15/11/2025</v>
      </c>
      <c r="O250" s="23" t="n">
        <f aca="false">IFERROR(DATE(VALUE(MID(N250,FIND("/",N250,FIND("/",N250)+1)+1,4)),VALUE(MID(N250,FIND("/",N250)+1,FIND("/",N250,FIND("/",N250)+1)-FIND("/",N250)-1)),VALUE(LEFT(N250,FIND("/",N250)-1))),0)</f>
        <v>45976</v>
      </c>
    </row>
    <row r="251" customFormat="false" ht="15" hidden="false" customHeight="false" outlineLevel="0" collapsed="false">
      <c r="A251" s="0" t="n">
        <v>4745754</v>
      </c>
      <c r="B251" s="0" t="s">
        <v>496</v>
      </c>
      <c r="C251" s="0" t="s">
        <v>497</v>
      </c>
      <c r="D251" s="0" t="s">
        <v>498</v>
      </c>
      <c r="E251" s="0" t="s">
        <v>294</v>
      </c>
      <c r="F251" s="0" t="n">
        <v>0</v>
      </c>
      <c r="G251" s="0" t="n">
        <v>0</v>
      </c>
      <c r="H251" s="0" t="s">
        <v>341</v>
      </c>
      <c r="I251" s="0" t="s">
        <v>505</v>
      </c>
      <c r="J251" s="0" t="n">
        <v>0</v>
      </c>
      <c r="K251" s="0" t="n">
        <v>8</v>
      </c>
      <c r="L251" s="0" t="s">
        <v>296</v>
      </c>
      <c r="N251" s="0" t="str">
        <f aca="false">IF(H251="","",IFERROR(LEFT(H251,FIND(" ",H251)-1),H251))</f>
        <v>27/12/2025</v>
      </c>
      <c r="O251" s="23" t="n">
        <f aca="false">IFERROR(DATE(VALUE(MID(N251,FIND("/",N251,FIND("/",N251)+1)+1,4)),VALUE(MID(N251,FIND("/",N251)+1,FIND("/",N251,FIND("/",N251)+1)-FIND("/",N251)-1)),VALUE(LEFT(N251,FIND("/",N251)-1))),0)</f>
        <v>46018</v>
      </c>
    </row>
    <row r="252" customFormat="false" ht="15" hidden="false" customHeight="false" outlineLevel="0" collapsed="false">
      <c r="A252" s="0" t="n">
        <v>4745754</v>
      </c>
      <c r="B252" s="0" t="s">
        <v>496</v>
      </c>
      <c r="C252" s="0" t="s">
        <v>497</v>
      </c>
      <c r="D252" s="0" t="s">
        <v>498</v>
      </c>
      <c r="E252" s="0" t="s">
        <v>294</v>
      </c>
      <c r="F252" s="0" t="n">
        <v>0</v>
      </c>
      <c r="G252" s="0" t="n">
        <v>0</v>
      </c>
      <c r="H252" s="0" t="s">
        <v>341</v>
      </c>
      <c r="I252" s="0" t="s">
        <v>506</v>
      </c>
      <c r="J252" s="0" t="n">
        <v>0</v>
      </c>
      <c r="K252" s="0" t="n">
        <v>8</v>
      </c>
      <c r="L252" s="0" t="s">
        <v>296</v>
      </c>
      <c r="N252" s="0" t="str">
        <f aca="false">IF(H252="","",IFERROR(LEFT(H252,FIND(" ",H252)-1),H252))</f>
        <v>27/12/2025</v>
      </c>
      <c r="O252" s="23" t="n">
        <f aca="false">IFERROR(DATE(VALUE(MID(N252,FIND("/",N252,FIND("/",N252)+1)+1,4)),VALUE(MID(N252,FIND("/",N252)+1,FIND("/",N252,FIND("/",N252)+1)-FIND("/",N252)-1)),VALUE(LEFT(N252,FIND("/",N252)-1))),0)</f>
        <v>46018</v>
      </c>
    </row>
    <row r="253" customFormat="false" ht="15" hidden="false" customHeight="false" outlineLevel="0" collapsed="false">
      <c r="A253" s="0" t="n">
        <v>4745754</v>
      </c>
      <c r="B253" s="0" t="s">
        <v>496</v>
      </c>
      <c r="C253" s="0" t="s">
        <v>497</v>
      </c>
      <c r="D253" s="0" t="s">
        <v>498</v>
      </c>
      <c r="E253" s="0" t="s">
        <v>294</v>
      </c>
      <c r="F253" s="0" t="n">
        <v>0</v>
      </c>
      <c r="G253" s="0" t="n">
        <v>0</v>
      </c>
      <c r="H253" s="0" t="s">
        <v>341</v>
      </c>
      <c r="I253" s="0" t="s">
        <v>491</v>
      </c>
      <c r="J253" s="0" t="n">
        <v>0</v>
      </c>
      <c r="K253" s="0" t="n">
        <v>8</v>
      </c>
      <c r="L253" s="0" t="s">
        <v>296</v>
      </c>
      <c r="N253" s="0" t="str">
        <f aca="false">IF(H253="","",IFERROR(LEFT(H253,FIND(" ",H253)-1),H253))</f>
        <v>27/12/2025</v>
      </c>
      <c r="O253" s="23" t="n">
        <f aca="false">IFERROR(DATE(VALUE(MID(N253,FIND("/",N253,FIND("/",N253)+1)+1,4)),VALUE(MID(N253,FIND("/",N253)+1,FIND("/",N253,FIND("/",N253)+1)-FIND("/",N253)-1)),VALUE(LEFT(N253,FIND("/",N253)-1))),0)</f>
        <v>46018</v>
      </c>
    </row>
    <row r="254" customFormat="false" ht="15" hidden="false" customHeight="false" outlineLevel="0" collapsed="false">
      <c r="A254" s="0" t="n">
        <v>4745754</v>
      </c>
      <c r="B254" s="0" t="s">
        <v>496</v>
      </c>
      <c r="C254" s="0" t="s">
        <v>497</v>
      </c>
      <c r="D254" s="0" t="s">
        <v>498</v>
      </c>
      <c r="E254" s="0" t="s">
        <v>294</v>
      </c>
      <c r="F254" s="0" t="n">
        <v>0</v>
      </c>
      <c r="G254" s="0" t="n">
        <v>0</v>
      </c>
      <c r="H254" s="0" t="s">
        <v>341</v>
      </c>
      <c r="I254" s="0" t="s">
        <v>342</v>
      </c>
      <c r="J254" s="0" t="n">
        <v>8</v>
      </c>
      <c r="K254" s="0" t="n">
        <v>0</v>
      </c>
      <c r="L254" s="0" t="s">
        <v>296</v>
      </c>
      <c r="N254" s="0" t="str">
        <f aca="false">IF(H254="","",IFERROR(LEFT(H254,FIND(" ",H254)-1),H254))</f>
        <v>27/12/2025</v>
      </c>
      <c r="O254" s="23" t="n">
        <f aca="false">IFERROR(DATE(VALUE(MID(N254,FIND("/",N254,FIND("/",N254)+1)+1,4)),VALUE(MID(N254,FIND("/",N254)+1,FIND("/",N254,FIND("/",N254)+1)-FIND("/",N254)-1)),VALUE(LEFT(N254,FIND("/",N254)-1))),0)</f>
        <v>46018</v>
      </c>
    </row>
    <row r="255" customFormat="false" ht="15" hidden="false" customHeight="false" outlineLevel="0" collapsed="false">
      <c r="A255" s="0" t="n">
        <v>4745754</v>
      </c>
      <c r="B255" s="0" t="s">
        <v>496</v>
      </c>
      <c r="C255" s="0" t="s">
        <v>497</v>
      </c>
      <c r="D255" s="0" t="s">
        <v>498</v>
      </c>
      <c r="E255" s="0" t="s">
        <v>294</v>
      </c>
      <c r="F255" s="0" t="n">
        <v>0</v>
      </c>
      <c r="G255" s="0" t="n">
        <v>0</v>
      </c>
      <c r="H255" s="0" t="s">
        <v>366</v>
      </c>
      <c r="I255" s="0" t="s">
        <v>507</v>
      </c>
      <c r="J255" s="0" t="n">
        <v>0</v>
      </c>
      <c r="K255" s="0" t="n">
        <v>8</v>
      </c>
      <c r="L255" s="0" t="s">
        <v>296</v>
      </c>
      <c r="N255" s="0" t="str">
        <f aca="false">IF(H255="","",IFERROR(LEFT(H255,FIND(" ",H255)-1),H255))</f>
        <v>10/1/2026</v>
      </c>
      <c r="O255" s="23" t="n">
        <f aca="false">IFERROR(DATE(VALUE(MID(N255,FIND("/",N255,FIND("/",N255)+1)+1,4)),VALUE(MID(N255,FIND("/",N255)+1,FIND("/",N255,FIND("/",N255)+1)-FIND("/",N255)-1)),VALUE(LEFT(N255,FIND("/",N255)-1))),0)</f>
        <v>46032</v>
      </c>
    </row>
    <row r="256" customFormat="false" ht="15" hidden="false" customHeight="false" outlineLevel="0" collapsed="false">
      <c r="A256" s="0" t="n">
        <v>4745754</v>
      </c>
      <c r="B256" s="0" t="s">
        <v>496</v>
      </c>
      <c r="C256" s="0" t="s">
        <v>497</v>
      </c>
      <c r="D256" s="0" t="s">
        <v>498</v>
      </c>
      <c r="E256" s="0" t="s">
        <v>294</v>
      </c>
      <c r="F256" s="0" t="n">
        <v>0</v>
      </c>
      <c r="G256" s="0" t="n">
        <v>0</v>
      </c>
      <c r="H256" s="0" t="s">
        <v>343</v>
      </c>
      <c r="I256" s="0" t="s">
        <v>344</v>
      </c>
      <c r="J256" s="0" t="n">
        <v>16</v>
      </c>
      <c r="K256" s="0" t="n">
        <v>0</v>
      </c>
      <c r="L256" s="0" t="s">
        <v>296</v>
      </c>
      <c r="N256" s="0" t="str">
        <f aca="false">IF(H256="","",IFERROR(LEFT(H256,FIND(" ",H256)-1),H256))</f>
        <v>7/2/2026</v>
      </c>
      <c r="O256" s="23" t="n">
        <f aca="false">IFERROR(DATE(VALUE(MID(N256,FIND("/",N256,FIND("/",N256)+1)+1,4)),VALUE(MID(N256,FIND("/",N256)+1,FIND("/",N256,FIND("/",N256)+1)-FIND("/",N256)-1)),VALUE(LEFT(N256,FIND("/",N256)-1))),0)</f>
        <v>46060</v>
      </c>
    </row>
    <row r="257" customFormat="false" ht="15" hidden="false" customHeight="false" outlineLevel="0" collapsed="false">
      <c r="A257" s="0" t="n">
        <v>4745754</v>
      </c>
      <c r="B257" s="0" t="s">
        <v>496</v>
      </c>
      <c r="C257" s="0" t="s">
        <v>497</v>
      </c>
      <c r="D257" s="0" t="s">
        <v>498</v>
      </c>
      <c r="E257" s="0" t="s">
        <v>294</v>
      </c>
      <c r="F257" s="0" t="n">
        <v>0</v>
      </c>
      <c r="G257" s="0" t="n">
        <v>0</v>
      </c>
      <c r="H257" s="0" t="s">
        <v>345</v>
      </c>
      <c r="I257" s="0" t="s">
        <v>508</v>
      </c>
      <c r="J257" s="0" t="n">
        <v>0</v>
      </c>
      <c r="K257" s="0" t="n">
        <v>64</v>
      </c>
      <c r="L257" s="0" t="s">
        <v>296</v>
      </c>
      <c r="N257" s="0" t="str">
        <f aca="false">IF(H257="","",IFERROR(LEFT(H257,FIND(" ",H257)-1),H257))</f>
        <v>21/3/2026</v>
      </c>
      <c r="O257" s="23" t="n">
        <f aca="false">IFERROR(DATE(VALUE(MID(N257,FIND("/",N257,FIND("/",N257)+1)+1,4)),VALUE(MID(N257,FIND("/",N257)+1,FIND("/",N257,FIND("/",N257)+1)-FIND("/",N257)-1)),VALUE(LEFT(N257,FIND("/",N257)-1))),0)</f>
        <v>46102</v>
      </c>
    </row>
    <row r="258" customFormat="false" ht="15" hidden="false" customHeight="false" outlineLevel="0" collapsed="false">
      <c r="A258" s="0" t="n">
        <v>4745744</v>
      </c>
      <c r="B258" s="0" t="s">
        <v>509</v>
      </c>
      <c r="C258" s="0" t="s">
        <v>266</v>
      </c>
      <c r="D258" s="0" t="s">
        <v>267</v>
      </c>
      <c r="E258" s="0" t="s">
        <v>294</v>
      </c>
      <c r="F258" s="0" t="n">
        <v>0</v>
      </c>
      <c r="G258" s="0" t="n">
        <v>200</v>
      </c>
      <c r="H258" s="0" t="s">
        <v>295</v>
      </c>
      <c r="J258" s="0" t="n">
        <v>56</v>
      </c>
      <c r="K258" s="0" t="n">
        <v>0</v>
      </c>
      <c r="L258" s="0" t="s">
        <v>296</v>
      </c>
      <c r="N258" s="0" t="str">
        <f aca="false">IF(H258="","",IFERROR(LEFT(H258,FIND(" ",H258)-1),H258))</f>
        <v>Opening</v>
      </c>
      <c r="O258" s="23" t="n">
        <f aca="false">IFERROR(DATE(VALUE(MID(N258,FIND("/",N258,FIND("/",N258)+1)+1,4)),VALUE(MID(N258,FIND("/",N258)+1,FIND("/",N258,FIND("/",N258)+1)-FIND("/",N258)-1)),VALUE(LEFT(N258,FIND("/",N258)-1))),0)</f>
        <v>0</v>
      </c>
    </row>
    <row r="259" customFormat="false" ht="15" hidden="false" customHeight="false" outlineLevel="0" collapsed="false">
      <c r="A259" s="0" t="n">
        <v>4745744</v>
      </c>
      <c r="B259" s="0" t="s">
        <v>509</v>
      </c>
      <c r="C259" s="0" t="s">
        <v>266</v>
      </c>
      <c r="D259" s="0" t="s">
        <v>267</v>
      </c>
      <c r="E259" s="0" t="s">
        <v>294</v>
      </c>
      <c r="F259" s="0" t="n">
        <v>0</v>
      </c>
      <c r="G259" s="0" t="n">
        <v>200</v>
      </c>
      <c r="H259" s="0" t="s">
        <v>318</v>
      </c>
      <c r="J259" s="0" t="n">
        <v>8</v>
      </c>
      <c r="K259" s="0" t="n">
        <v>0</v>
      </c>
      <c r="L259" s="0" t="s">
        <v>296</v>
      </c>
      <c r="N259" s="0" t="str">
        <f aca="false">IF(H259="","",IFERROR(LEFT(H259,FIND(" ",H259)-1),H259))</f>
        <v>5/11/2022</v>
      </c>
      <c r="O259" s="23" t="n">
        <f aca="false">IFERROR(DATE(VALUE(MID(N259,FIND("/",N259,FIND("/",N259)+1)+1,4)),VALUE(MID(N259,FIND("/",N259)+1,FIND("/",N259,FIND("/",N259)+1)-FIND("/",N259)-1)),VALUE(LEFT(N259,FIND("/",N259)-1))),0)</f>
        <v>44870</v>
      </c>
    </row>
    <row r="260" customFormat="false" ht="15" hidden="false" customHeight="false" outlineLevel="0" collapsed="false">
      <c r="A260" s="0" t="n">
        <v>4745744</v>
      </c>
      <c r="B260" s="0" t="s">
        <v>509</v>
      </c>
      <c r="C260" s="0" t="s">
        <v>266</v>
      </c>
      <c r="D260" s="0" t="s">
        <v>267</v>
      </c>
      <c r="E260" s="0" t="s">
        <v>294</v>
      </c>
      <c r="F260" s="0" t="n">
        <v>0</v>
      </c>
      <c r="G260" s="0" t="n">
        <v>200</v>
      </c>
      <c r="H260" s="0" t="s">
        <v>319</v>
      </c>
      <c r="J260" s="0" t="n">
        <v>8</v>
      </c>
      <c r="K260" s="0" t="n">
        <v>0</v>
      </c>
      <c r="L260" s="0" t="s">
        <v>296</v>
      </c>
      <c r="N260" s="0" t="str">
        <f aca="false">IF(H260="","",IFERROR(LEFT(H260,FIND(" ",H260)-1),H260))</f>
        <v>11/2/2023</v>
      </c>
      <c r="O260" s="23" t="n">
        <f aca="false">IFERROR(DATE(VALUE(MID(N260,FIND("/",N260,FIND("/",N260)+1)+1,4)),VALUE(MID(N260,FIND("/",N260)+1,FIND("/",N260,FIND("/",N260)+1)-FIND("/",N260)-1)),VALUE(LEFT(N260,FIND("/",N260)-1))),0)</f>
        <v>44968</v>
      </c>
    </row>
    <row r="261" customFormat="false" ht="15" hidden="false" customHeight="false" outlineLevel="0" collapsed="false">
      <c r="A261" s="0" t="n">
        <v>4745744</v>
      </c>
      <c r="B261" s="0" t="s">
        <v>509</v>
      </c>
      <c r="C261" s="0" t="s">
        <v>266</v>
      </c>
      <c r="D261" s="0" t="s">
        <v>267</v>
      </c>
      <c r="E261" s="0" t="s">
        <v>294</v>
      </c>
      <c r="F261" s="0" t="n">
        <v>0</v>
      </c>
      <c r="G261" s="0" t="n">
        <v>200</v>
      </c>
      <c r="H261" s="0" t="s">
        <v>320</v>
      </c>
      <c r="I261" s="0" t="s">
        <v>321</v>
      </c>
      <c r="J261" s="0" t="n">
        <v>16</v>
      </c>
      <c r="K261" s="0" t="n">
        <v>0</v>
      </c>
      <c r="L261" s="0" t="s">
        <v>296</v>
      </c>
      <c r="N261" s="0" t="str">
        <f aca="false">IF(H261="","",IFERROR(LEFT(H261,FIND(" ",H261)-1),H261))</f>
        <v>18/11/2023</v>
      </c>
      <c r="O261" s="23" t="n">
        <f aca="false">IFERROR(DATE(VALUE(MID(N261,FIND("/",N261,FIND("/",N261)+1)+1,4)),VALUE(MID(N261,FIND("/",N261)+1,FIND("/",N261,FIND("/",N261)+1)-FIND("/",N261)-1)),VALUE(LEFT(N261,FIND("/",N261)-1))),0)</f>
        <v>45248</v>
      </c>
    </row>
    <row r="262" customFormat="false" ht="15" hidden="false" customHeight="false" outlineLevel="0" collapsed="false">
      <c r="A262" s="0" t="n">
        <v>4745744</v>
      </c>
      <c r="B262" s="0" t="s">
        <v>509</v>
      </c>
      <c r="C262" s="0" t="s">
        <v>266</v>
      </c>
      <c r="D262" s="0" t="s">
        <v>267</v>
      </c>
      <c r="E262" s="0" t="s">
        <v>294</v>
      </c>
      <c r="F262" s="0" t="n">
        <v>0</v>
      </c>
      <c r="G262" s="0" t="n">
        <v>200</v>
      </c>
      <c r="H262" s="0" t="s">
        <v>351</v>
      </c>
      <c r="J262" s="0" t="n">
        <v>8</v>
      </c>
      <c r="K262" s="0" t="n">
        <v>0</v>
      </c>
      <c r="L262" s="0" t="s">
        <v>296</v>
      </c>
      <c r="N262" s="0" t="str">
        <f aca="false">IF(H262="","",IFERROR(LEFT(H262,FIND(" ",H262)-1),H262))</f>
        <v>10/2/2024</v>
      </c>
      <c r="O262" s="23" t="n">
        <f aca="false">IFERROR(DATE(VALUE(MID(N262,FIND("/",N262,FIND("/",N262)+1)+1,4)),VALUE(MID(N262,FIND("/",N262)+1,FIND("/",N262,FIND("/",N262)+1)-FIND("/",N262)-1)),VALUE(LEFT(N262,FIND("/",N262)-1))),0)</f>
        <v>45332</v>
      </c>
    </row>
    <row r="263" customFormat="false" ht="15" hidden="false" customHeight="false" outlineLevel="0" collapsed="false">
      <c r="A263" s="0" t="n">
        <v>4745744</v>
      </c>
      <c r="B263" s="0" t="s">
        <v>509</v>
      </c>
      <c r="C263" s="0" t="s">
        <v>266</v>
      </c>
      <c r="D263" s="0" t="s">
        <v>267</v>
      </c>
      <c r="E263" s="0" t="s">
        <v>294</v>
      </c>
      <c r="F263" s="0" t="n">
        <v>0</v>
      </c>
      <c r="G263" s="0" t="n">
        <v>200</v>
      </c>
      <c r="H263" s="0" t="s">
        <v>322</v>
      </c>
      <c r="I263" s="0" t="s">
        <v>294</v>
      </c>
      <c r="J263" s="0" t="n">
        <v>8</v>
      </c>
      <c r="K263" s="0" t="n">
        <v>0</v>
      </c>
      <c r="L263" s="0" t="s">
        <v>296</v>
      </c>
      <c r="N263" s="0" t="str">
        <f aca="false">IF(H263="","",IFERROR(LEFT(H263,FIND(" ",H263)-1),H263))</f>
        <v>6/4/2024</v>
      </c>
      <c r="O263" s="23" t="n">
        <f aca="false">IFERROR(DATE(VALUE(MID(N263,FIND("/",N263,FIND("/",N263)+1)+1,4)),VALUE(MID(N263,FIND("/",N263)+1,FIND("/",N263,FIND("/",N263)+1)-FIND("/",N263)-1)),VALUE(LEFT(N263,FIND("/",N263)-1))),0)</f>
        <v>45388</v>
      </c>
    </row>
    <row r="264" customFormat="false" ht="15" hidden="false" customHeight="false" outlineLevel="0" collapsed="false">
      <c r="A264" s="0" t="n">
        <v>4745744</v>
      </c>
      <c r="B264" s="0" t="s">
        <v>509</v>
      </c>
      <c r="C264" s="0" t="s">
        <v>266</v>
      </c>
      <c r="D264" s="0" t="s">
        <v>267</v>
      </c>
      <c r="E264" s="0" t="s">
        <v>294</v>
      </c>
      <c r="F264" s="0" t="n">
        <v>0</v>
      </c>
      <c r="G264" s="0" t="n">
        <v>200</v>
      </c>
      <c r="H264" s="0" t="s">
        <v>323</v>
      </c>
      <c r="I264" s="0" t="s">
        <v>352</v>
      </c>
      <c r="J264" s="0" t="n">
        <v>16</v>
      </c>
      <c r="K264" s="0" t="n">
        <v>0</v>
      </c>
      <c r="L264" s="0" t="s">
        <v>296</v>
      </c>
      <c r="N264" s="0" t="str">
        <f aca="false">IF(H264="","",IFERROR(LEFT(H264,FIND(" ",H264)-1),H264))</f>
        <v>13/7/2024</v>
      </c>
      <c r="O264" s="23" t="n">
        <f aca="false">IFERROR(DATE(VALUE(MID(N264,FIND("/",N264,FIND("/",N264)+1)+1,4)),VALUE(MID(N264,FIND("/",N264)+1,FIND("/",N264,FIND("/",N264)+1)-FIND("/",N264)-1)),VALUE(LEFT(N264,FIND("/",N264)-1))),0)</f>
        <v>45486</v>
      </c>
    </row>
    <row r="265" customFormat="false" ht="15" hidden="false" customHeight="false" outlineLevel="0" collapsed="false">
      <c r="A265" s="0" t="n">
        <v>4745744</v>
      </c>
      <c r="B265" s="0" t="s">
        <v>509</v>
      </c>
      <c r="C265" s="0" t="s">
        <v>266</v>
      </c>
      <c r="D265" s="0" t="s">
        <v>267</v>
      </c>
      <c r="E265" s="0" t="s">
        <v>294</v>
      </c>
      <c r="F265" s="0" t="n">
        <v>0</v>
      </c>
      <c r="G265" s="0" t="n">
        <v>200</v>
      </c>
      <c r="H265" s="0" t="s">
        <v>353</v>
      </c>
      <c r="I265" s="0" t="s">
        <v>354</v>
      </c>
      <c r="J265" s="0" t="n">
        <v>8</v>
      </c>
      <c r="K265" s="0" t="n">
        <v>0</v>
      </c>
      <c r="L265" s="0" t="s">
        <v>296</v>
      </c>
      <c r="N265" s="0" t="str">
        <f aca="false">IF(H265="","",IFERROR(LEFT(H265,FIND(" ",H265)-1),H265))</f>
        <v>7/9/2024</v>
      </c>
      <c r="O265" s="23" t="n">
        <f aca="false">IFERROR(DATE(VALUE(MID(N265,FIND("/",N265,FIND("/",N265)+1)+1,4)),VALUE(MID(N265,FIND("/",N265)+1,FIND("/",N265,FIND("/",N265)+1)-FIND("/",N265)-1)),VALUE(LEFT(N265,FIND("/",N265)-1))),0)</f>
        <v>45542</v>
      </c>
    </row>
    <row r="266" customFormat="false" ht="15" hidden="false" customHeight="false" outlineLevel="0" collapsed="false">
      <c r="A266" s="0" t="n">
        <v>4745744</v>
      </c>
      <c r="B266" s="0" t="s">
        <v>509</v>
      </c>
      <c r="C266" s="0" t="s">
        <v>266</v>
      </c>
      <c r="D266" s="0" t="s">
        <v>267</v>
      </c>
      <c r="E266" s="0" t="s">
        <v>294</v>
      </c>
      <c r="F266" s="0" t="n">
        <v>0</v>
      </c>
      <c r="G266" s="0" t="n">
        <v>200</v>
      </c>
      <c r="H266" s="0" t="s">
        <v>305</v>
      </c>
      <c r="I266" s="0" t="s">
        <v>306</v>
      </c>
      <c r="J266" s="0" t="n">
        <v>8</v>
      </c>
      <c r="K266" s="0" t="n">
        <v>0</v>
      </c>
      <c r="L266" s="0" t="s">
        <v>296</v>
      </c>
      <c r="N266" s="0" t="str">
        <f aca="false">IF(H266="","",IFERROR(LEFT(H266,FIND(" ",H266)-1),H266))</f>
        <v>14/12/2024</v>
      </c>
      <c r="O266" s="23" t="n">
        <f aca="false">IFERROR(DATE(VALUE(MID(N266,FIND("/",N266,FIND("/",N266)+1)+1,4)),VALUE(MID(N266,FIND("/",N266)+1,FIND("/",N266,FIND("/",N266)+1)-FIND("/",N266)-1)),VALUE(LEFT(N266,FIND("/",N266)-1))),0)</f>
        <v>45640</v>
      </c>
    </row>
    <row r="267" customFormat="false" ht="15" hidden="false" customHeight="false" outlineLevel="0" collapsed="false">
      <c r="A267" s="0" t="n">
        <v>4745744</v>
      </c>
      <c r="B267" s="0" t="s">
        <v>509</v>
      </c>
      <c r="C267" s="0" t="s">
        <v>266</v>
      </c>
      <c r="D267" s="0" t="s">
        <v>267</v>
      </c>
      <c r="E267" s="0" t="s">
        <v>294</v>
      </c>
      <c r="F267" s="0" t="n">
        <v>0</v>
      </c>
      <c r="G267" s="0" t="n">
        <v>200</v>
      </c>
      <c r="H267" s="0" t="s">
        <v>329</v>
      </c>
      <c r="I267" s="0" t="s">
        <v>355</v>
      </c>
      <c r="J267" s="0" t="n">
        <v>8</v>
      </c>
      <c r="K267" s="0" t="n">
        <v>0</v>
      </c>
      <c r="L267" s="0" t="s">
        <v>296</v>
      </c>
      <c r="N267" s="0" t="str">
        <f aca="false">IF(H267="","",IFERROR(LEFT(H267,FIND(" ",H267)-1),H267))</f>
        <v>8/3/2025</v>
      </c>
      <c r="O267" s="23" t="n">
        <f aca="false">IFERROR(DATE(VALUE(MID(N267,FIND("/",N267,FIND("/",N267)+1)+1,4)),VALUE(MID(N267,FIND("/",N267)+1,FIND("/",N267,FIND("/",N267)+1)-FIND("/",N267)-1)),VALUE(LEFT(N267,FIND("/",N267)-1))),0)</f>
        <v>45724</v>
      </c>
    </row>
    <row r="268" customFormat="false" ht="15" hidden="false" customHeight="false" outlineLevel="0" collapsed="false">
      <c r="A268" s="0" t="n">
        <v>4745744</v>
      </c>
      <c r="B268" s="0" t="s">
        <v>509</v>
      </c>
      <c r="C268" s="0" t="s">
        <v>266</v>
      </c>
      <c r="D268" s="0" t="s">
        <v>267</v>
      </c>
      <c r="E268" s="0" t="s">
        <v>294</v>
      </c>
      <c r="F268" s="0" t="n">
        <v>0</v>
      </c>
      <c r="G268" s="0" t="n">
        <v>200</v>
      </c>
      <c r="H268" s="0" t="s">
        <v>356</v>
      </c>
      <c r="I268" s="0" t="s">
        <v>357</v>
      </c>
      <c r="J268" s="0" t="n">
        <v>16</v>
      </c>
      <c r="K268" s="0" t="n">
        <v>0</v>
      </c>
      <c r="L268" s="0" t="s">
        <v>296</v>
      </c>
      <c r="N268" s="0" t="str">
        <f aca="false">IF(H268="","",IFERROR(LEFT(H268,FIND(" ",H268)-1),H268))</f>
        <v>31/5/2025</v>
      </c>
      <c r="O268" s="23" t="n">
        <f aca="false">IFERROR(DATE(VALUE(MID(N268,FIND("/",N268,FIND("/",N268)+1)+1,4)),VALUE(MID(N268,FIND("/",N268)+1,FIND("/",N268,FIND("/",N268)+1)-FIND("/",N268)-1)),VALUE(LEFT(N268,FIND("/",N268)-1))),0)</f>
        <v>45808</v>
      </c>
    </row>
    <row r="269" customFormat="false" ht="15" hidden="false" customHeight="false" outlineLevel="0" collapsed="false">
      <c r="A269" s="0" t="n">
        <v>4745744</v>
      </c>
      <c r="B269" s="0" t="s">
        <v>509</v>
      </c>
      <c r="C269" s="0" t="s">
        <v>266</v>
      </c>
      <c r="D269" s="0" t="s">
        <v>267</v>
      </c>
      <c r="E269" s="0" t="s">
        <v>294</v>
      </c>
      <c r="F269" s="0" t="n">
        <v>0</v>
      </c>
      <c r="G269" s="0" t="n">
        <v>200</v>
      </c>
      <c r="H269" s="0" t="s">
        <v>358</v>
      </c>
      <c r="I269" s="0" t="s">
        <v>359</v>
      </c>
      <c r="J269" s="0" t="n">
        <v>8</v>
      </c>
      <c r="K269" s="0" t="n">
        <v>0</v>
      </c>
      <c r="L269" s="0" t="s">
        <v>296</v>
      </c>
      <c r="N269" s="0" t="str">
        <f aca="false">IF(H269="","",IFERROR(LEFT(H269,FIND(" ",H269)-1),H269))</f>
        <v>6/9/2025</v>
      </c>
      <c r="O269" s="23" t="n">
        <f aca="false">IFERROR(DATE(VALUE(MID(N269,FIND("/",N269,FIND("/",N269)+1)+1,4)),VALUE(MID(N269,FIND("/",N269)+1,FIND("/",N269,FIND("/",N269)+1)-FIND("/",N269)-1)),VALUE(LEFT(N269,FIND("/",N269)-1))),0)</f>
        <v>45906</v>
      </c>
    </row>
    <row r="270" customFormat="false" ht="15" hidden="false" customHeight="false" outlineLevel="0" collapsed="false">
      <c r="A270" s="0" t="n">
        <v>4745744</v>
      </c>
      <c r="B270" s="0" t="s">
        <v>509</v>
      </c>
      <c r="C270" s="0" t="s">
        <v>266</v>
      </c>
      <c r="D270" s="0" t="s">
        <v>267</v>
      </c>
      <c r="E270" s="0" t="s">
        <v>294</v>
      </c>
      <c r="F270" s="0" t="n">
        <v>0</v>
      </c>
      <c r="G270" s="0" t="n">
        <v>200</v>
      </c>
      <c r="H270" s="0" t="s">
        <v>341</v>
      </c>
      <c r="I270" s="0" t="s">
        <v>342</v>
      </c>
      <c r="J270" s="0" t="n">
        <v>8</v>
      </c>
      <c r="K270" s="0" t="n">
        <v>0</v>
      </c>
      <c r="L270" s="0" t="s">
        <v>296</v>
      </c>
      <c r="N270" s="0" t="str">
        <f aca="false">IF(H270="","",IFERROR(LEFT(H270,FIND(" ",H270)-1),H270))</f>
        <v>27/12/2025</v>
      </c>
      <c r="O270" s="23" t="n">
        <f aca="false">IFERROR(DATE(VALUE(MID(N270,FIND("/",N270,FIND("/",N270)+1)+1,4)),VALUE(MID(N270,FIND("/",N270)+1,FIND("/",N270,FIND("/",N270)+1)-FIND("/",N270)-1)),VALUE(LEFT(N270,FIND("/",N270)-1))),0)</f>
        <v>46018</v>
      </c>
    </row>
    <row r="271" customFormat="false" ht="15" hidden="false" customHeight="false" outlineLevel="0" collapsed="false">
      <c r="A271" s="0" t="n">
        <v>4745744</v>
      </c>
      <c r="B271" s="0" t="s">
        <v>509</v>
      </c>
      <c r="C271" s="0" t="s">
        <v>266</v>
      </c>
      <c r="D271" s="0" t="s">
        <v>267</v>
      </c>
      <c r="E271" s="0" t="s">
        <v>294</v>
      </c>
      <c r="F271" s="0" t="n">
        <v>0</v>
      </c>
      <c r="G271" s="0" t="n">
        <v>200</v>
      </c>
      <c r="H271" s="0" t="s">
        <v>360</v>
      </c>
      <c r="I271" s="0" t="s">
        <v>361</v>
      </c>
      <c r="J271" s="0" t="n">
        <v>8</v>
      </c>
      <c r="K271" s="0" t="n">
        <v>0</v>
      </c>
      <c r="L271" s="0" t="s">
        <v>296</v>
      </c>
      <c r="N271" s="0" t="str">
        <f aca="false">IF(H271="","",IFERROR(LEFT(H271,FIND(" ",H271)-1),H271))</f>
        <v>7/3/2026</v>
      </c>
      <c r="O271" s="23" t="n">
        <f aca="false">IFERROR(DATE(VALUE(MID(N271,FIND("/",N271,FIND("/",N271)+1)+1,4)),VALUE(MID(N271,FIND("/",N271)+1,FIND("/",N271,FIND("/",N271)+1)-FIND("/",N271)-1)),VALUE(LEFT(N271,FIND("/",N271)-1))),0)</f>
        <v>46088</v>
      </c>
    </row>
    <row r="272" customFormat="false" ht="15" hidden="false" customHeight="false" outlineLevel="0" collapsed="false">
      <c r="A272" s="0" t="n">
        <v>4745744</v>
      </c>
      <c r="B272" s="0" t="s">
        <v>509</v>
      </c>
      <c r="C272" s="0" t="s">
        <v>266</v>
      </c>
      <c r="D272" s="0" t="s">
        <v>267</v>
      </c>
      <c r="E272" s="0" t="s">
        <v>294</v>
      </c>
      <c r="F272" s="0" t="n">
        <v>0</v>
      </c>
      <c r="G272" s="0" t="n">
        <v>200</v>
      </c>
      <c r="H272" s="0" t="s">
        <v>362</v>
      </c>
      <c r="I272" s="0" t="s">
        <v>363</v>
      </c>
      <c r="J272" s="0" t="n">
        <v>16</v>
      </c>
      <c r="K272" s="0" t="n">
        <v>0</v>
      </c>
      <c r="L272" s="0" t="s">
        <v>296</v>
      </c>
      <c r="N272" s="0" t="str">
        <f aca="false">IF(H272="","",IFERROR(LEFT(H272,FIND(" ",H272)-1),H272))</f>
        <v>30/5/2026</v>
      </c>
      <c r="O272" s="23" t="n">
        <f aca="false">IFERROR(DATE(VALUE(MID(N272,FIND("/",N272,FIND("/",N272)+1)+1,4)),VALUE(MID(N272,FIND("/",N272)+1,FIND("/",N272,FIND("/",N272)+1)-FIND("/",N272)-1)),VALUE(LEFT(N272,FIND("/",N272)-1))),0)</f>
        <v>46172</v>
      </c>
    </row>
    <row r="273" customFormat="false" ht="15" hidden="false" customHeight="false" outlineLevel="0" collapsed="false">
      <c r="A273" s="0" t="n">
        <v>4745982</v>
      </c>
      <c r="B273" s="0" t="s">
        <v>510</v>
      </c>
      <c r="C273" s="0" t="s">
        <v>270</v>
      </c>
      <c r="D273" s="0" t="s">
        <v>271</v>
      </c>
      <c r="E273" s="0" t="s">
        <v>294</v>
      </c>
      <c r="F273" s="0" t="n">
        <v>0</v>
      </c>
      <c r="G273" s="0" t="n">
        <v>144</v>
      </c>
      <c r="H273" s="0" t="s">
        <v>295</v>
      </c>
      <c r="J273" s="0" t="n">
        <v>32</v>
      </c>
      <c r="K273" s="0" t="n">
        <v>0</v>
      </c>
      <c r="L273" s="0" t="s">
        <v>296</v>
      </c>
      <c r="N273" s="0" t="str">
        <f aca="false">IF(H273="","",IFERROR(LEFT(H273,FIND(" ",H273)-1),H273))</f>
        <v>Opening</v>
      </c>
      <c r="O273" s="23" t="n">
        <f aca="false">IFERROR(DATE(VALUE(MID(N273,FIND("/",N273,FIND("/",N273)+1)+1,4)),VALUE(MID(N273,FIND("/",N273)+1,FIND("/",N273,FIND("/",N273)+1)-FIND("/",N273)-1)),VALUE(LEFT(N273,FIND("/",N273)-1))),0)</f>
        <v>0</v>
      </c>
    </row>
    <row r="274" customFormat="false" ht="15" hidden="false" customHeight="false" outlineLevel="0" collapsed="false">
      <c r="A274" s="0" t="n">
        <v>4745982</v>
      </c>
      <c r="B274" s="0" t="s">
        <v>510</v>
      </c>
      <c r="C274" s="0" t="s">
        <v>270</v>
      </c>
      <c r="D274" s="0" t="s">
        <v>271</v>
      </c>
      <c r="E274" s="0" t="s">
        <v>294</v>
      </c>
      <c r="F274" s="0" t="n">
        <v>0</v>
      </c>
      <c r="G274" s="0" t="n">
        <v>144</v>
      </c>
      <c r="H274" s="0" t="s">
        <v>318</v>
      </c>
      <c r="J274" s="0" t="n">
        <v>8</v>
      </c>
      <c r="K274" s="0" t="n">
        <v>0</v>
      </c>
      <c r="L274" s="0" t="s">
        <v>296</v>
      </c>
      <c r="N274" s="0" t="str">
        <f aca="false">IF(H274="","",IFERROR(LEFT(H274,FIND(" ",H274)-1),H274))</f>
        <v>5/11/2022</v>
      </c>
      <c r="O274" s="23" t="n">
        <f aca="false">IFERROR(DATE(VALUE(MID(N274,FIND("/",N274,FIND("/",N274)+1)+1,4)),VALUE(MID(N274,FIND("/",N274)+1,FIND("/",N274,FIND("/",N274)+1)-FIND("/",N274)-1)),VALUE(LEFT(N274,FIND("/",N274)-1))),0)</f>
        <v>44870</v>
      </c>
    </row>
    <row r="275" customFormat="false" ht="15" hidden="false" customHeight="false" outlineLevel="0" collapsed="false">
      <c r="A275" s="0" t="n">
        <v>4745982</v>
      </c>
      <c r="B275" s="0" t="s">
        <v>510</v>
      </c>
      <c r="C275" s="0" t="s">
        <v>270</v>
      </c>
      <c r="D275" s="0" t="s">
        <v>271</v>
      </c>
      <c r="E275" s="0" t="s">
        <v>294</v>
      </c>
      <c r="F275" s="0" t="n">
        <v>0</v>
      </c>
      <c r="G275" s="0" t="n">
        <v>144</v>
      </c>
      <c r="H275" s="0" t="s">
        <v>348</v>
      </c>
      <c r="J275" s="0" t="n">
        <v>8</v>
      </c>
      <c r="K275" s="0" t="n">
        <v>0</v>
      </c>
      <c r="L275" s="0" t="s">
        <v>296</v>
      </c>
      <c r="N275" s="0" t="str">
        <f aca="false">IF(H275="","",IFERROR(LEFT(H275,FIND(" ",H275)-1),H275))</f>
        <v>14/1/2023</v>
      </c>
      <c r="O275" s="23" t="n">
        <f aca="false">IFERROR(DATE(VALUE(MID(N275,FIND("/",N275,FIND("/",N275)+1)+1,4)),VALUE(MID(N275,FIND("/",N275)+1,FIND("/",N275,FIND("/",N275)+1)-FIND("/",N275)-1)),VALUE(LEFT(N275,FIND("/",N275)-1))),0)</f>
        <v>44940</v>
      </c>
    </row>
    <row r="276" customFormat="false" ht="15" hidden="false" customHeight="false" outlineLevel="0" collapsed="false">
      <c r="A276" s="0" t="n">
        <v>4745982</v>
      </c>
      <c r="B276" s="0" t="s">
        <v>510</v>
      </c>
      <c r="C276" s="0" t="s">
        <v>270</v>
      </c>
      <c r="D276" s="0" t="s">
        <v>271</v>
      </c>
      <c r="E276" s="0" t="s">
        <v>294</v>
      </c>
      <c r="F276" s="0" t="n">
        <v>0</v>
      </c>
      <c r="G276" s="0" t="n">
        <v>144</v>
      </c>
      <c r="H276" s="0" t="s">
        <v>320</v>
      </c>
      <c r="I276" s="0" t="s">
        <v>321</v>
      </c>
      <c r="J276" s="0" t="n">
        <v>16</v>
      </c>
      <c r="K276" s="0" t="n">
        <v>0</v>
      </c>
      <c r="L276" s="0" t="s">
        <v>296</v>
      </c>
      <c r="N276" s="0" t="str">
        <f aca="false">IF(H276="","",IFERROR(LEFT(H276,FIND(" ",H276)-1),H276))</f>
        <v>18/11/2023</v>
      </c>
      <c r="O276" s="23" t="n">
        <f aca="false">IFERROR(DATE(VALUE(MID(N276,FIND("/",N276,FIND("/",N276)+1)+1,4)),VALUE(MID(N276,FIND("/",N276)+1,FIND("/",N276,FIND("/",N276)+1)-FIND("/",N276)-1)),VALUE(LEFT(N276,FIND("/",N276)-1))),0)</f>
        <v>45248</v>
      </c>
    </row>
    <row r="277" customFormat="false" ht="15" hidden="false" customHeight="false" outlineLevel="0" collapsed="false">
      <c r="A277" s="0" t="n">
        <v>4745982</v>
      </c>
      <c r="B277" s="0" t="s">
        <v>510</v>
      </c>
      <c r="C277" s="0" t="s">
        <v>270</v>
      </c>
      <c r="D277" s="0" t="s">
        <v>271</v>
      </c>
      <c r="E277" s="0" t="s">
        <v>294</v>
      </c>
      <c r="F277" s="0" t="n">
        <v>0</v>
      </c>
      <c r="G277" s="0" t="n">
        <v>144</v>
      </c>
      <c r="H277" s="0" t="s">
        <v>351</v>
      </c>
      <c r="J277" s="0" t="n">
        <v>8</v>
      </c>
      <c r="K277" s="0" t="n">
        <v>0</v>
      </c>
      <c r="L277" s="0" t="s">
        <v>296</v>
      </c>
      <c r="N277" s="0" t="str">
        <f aca="false">IF(H277="","",IFERROR(LEFT(H277,FIND(" ",H277)-1),H277))</f>
        <v>10/2/2024</v>
      </c>
      <c r="O277" s="23" t="n">
        <f aca="false">IFERROR(DATE(VALUE(MID(N277,FIND("/",N277,FIND("/",N277)+1)+1,4)),VALUE(MID(N277,FIND("/",N277)+1,FIND("/",N277,FIND("/",N277)+1)-FIND("/",N277)-1)),VALUE(LEFT(N277,FIND("/",N277)-1))),0)</f>
        <v>45332</v>
      </c>
    </row>
    <row r="278" customFormat="false" ht="15" hidden="false" customHeight="false" outlineLevel="0" collapsed="false">
      <c r="A278" s="0" t="n">
        <v>4745982</v>
      </c>
      <c r="B278" s="0" t="s">
        <v>510</v>
      </c>
      <c r="C278" s="0" t="s">
        <v>270</v>
      </c>
      <c r="D278" s="0" t="s">
        <v>271</v>
      </c>
      <c r="E278" s="0" t="s">
        <v>294</v>
      </c>
      <c r="F278" s="0" t="n">
        <v>0</v>
      </c>
      <c r="G278" s="0" t="n">
        <v>144</v>
      </c>
      <c r="H278" s="0" t="s">
        <v>410</v>
      </c>
      <c r="I278" s="0" t="s">
        <v>411</v>
      </c>
      <c r="J278" s="0" t="n">
        <v>8</v>
      </c>
      <c r="K278" s="0" t="n">
        <v>0</v>
      </c>
      <c r="L278" s="0" t="s">
        <v>296</v>
      </c>
      <c r="N278" s="0" t="str">
        <f aca="false">IF(H278="","",IFERROR(LEFT(H278,FIND(" ",H278)-1),H278))</f>
        <v>1/6/2024</v>
      </c>
      <c r="O278" s="23" t="n">
        <f aca="false">IFERROR(DATE(VALUE(MID(N278,FIND("/",N278,FIND("/",N278)+1)+1,4)),VALUE(MID(N278,FIND("/",N278)+1,FIND("/",N278,FIND("/",N278)+1)-FIND("/",N278)-1)),VALUE(LEFT(N278,FIND("/",N278)-1))),0)</f>
        <v>45444</v>
      </c>
    </row>
    <row r="279" customFormat="false" ht="15" hidden="false" customHeight="false" outlineLevel="0" collapsed="false">
      <c r="A279" s="0" t="n">
        <v>4745982</v>
      </c>
      <c r="B279" s="0" t="s">
        <v>510</v>
      </c>
      <c r="C279" s="0" t="s">
        <v>270</v>
      </c>
      <c r="D279" s="0" t="s">
        <v>271</v>
      </c>
      <c r="E279" s="0" t="s">
        <v>294</v>
      </c>
      <c r="F279" s="0" t="n">
        <v>0</v>
      </c>
      <c r="G279" s="0" t="n">
        <v>144</v>
      </c>
      <c r="H279" s="0" t="s">
        <v>303</v>
      </c>
      <c r="I279" s="0" t="s">
        <v>304</v>
      </c>
      <c r="J279" s="0" t="n">
        <v>8</v>
      </c>
      <c r="K279" s="0" t="n">
        <v>0</v>
      </c>
      <c r="L279" s="0" t="s">
        <v>296</v>
      </c>
      <c r="N279" s="0" t="str">
        <f aca="false">IF(H279="","",IFERROR(LEFT(H279,FIND(" ",H279)-1),H279))</f>
        <v>24/8/2024</v>
      </c>
      <c r="O279" s="23" t="n">
        <f aca="false">IFERROR(DATE(VALUE(MID(N279,FIND("/",N279,FIND("/",N279)+1)+1,4)),VALUE(MID(N279,FIND("/",N279)+1,FIND("/",N279,FIND("/",N279)+1)-FIND("/",N279)-1)),VALUE(LEFT(N279,FIND("/",N279)-1))),0)</f>
        <v>45528</v>
      </c>
    </row>
    <row r="280" customFormat="false" ht="15" hidden="false" customHeight="false" outlineLevel="0" collapsed="false">
      <c r="A280" s="0" t="n">
        <v>4745982</v>
      </c>
      <c r="B280" s="0" t="s">
        <v>510</v>
      </c>
      <c r="C280" s="0" t="s">
        <v>270</v>
      </c>
      <c r="D280" s="0" t="s">
        <v>271</v>
      </c>
      <c r="E280" s="0" t="s">
        <v>294</v>
      </c>
      <c r="F280" s="0" t="n">
        <v>0</v>
      </c>
      <c r="G280" s="0" t="n">
        <v>144</v>
      </c>
      <c r="H280" s="0" t="s">
        <v>412</v>
      </c>
      <c r="I280" s="0" t="s">
        <v>413</v>
      </c>
      <c r="J280" s="0" t="n">
        <v>8</v>
      </c>
      <c r="K280" s="0" t="n">
        <v>0</v>
      </c>
      <c r="L280" s="0" t="s">
        <v>296</v>
      </c>
      <c r="N280" s="0" t="str">
        <f aca="false">IF(H280="","",IFERROR(LEFT(H280,FIND(" ",H280)-1),H280))</f>
        <v>16/11/2024</v>
      </c>
      <c r="O280" s="23" t="n">
        <f aca="false">IFERROR(DATE(VALUE(MID(N280,FIND("/",N280,FIND("/",N280)+1)+1,4)),VALUE(MID(N280,FIND("/",N280)+1,FIND("/",N280,FIND("/",N280)+1)-FIND("/",N280)-1)),VALUE(LEFT(N280,FIND("/",N280)-1))),0)</f>
        <v>45612</v>
      </c>
    </row>
    <row r="281" customFormat="false" ht="15" hidden="false" customHeight="false" outlineLevel="0" collapsed="false">
      <c r="A281" s="0" t="n">
        <v>4745982</v>
      </c>
      <c r="B281" s="0" t="s">
        <v>510</v>
      </c>
      <c r="C281" s="0" t="s">
        <v>270</v>
      </c>
      <c r="D281" s="0" t="s">
        <v>271</v>
      </c>
      <c r="E281" s="0" t="s">
        <v>294</v>
      </c>
      <c r="F281" s="0" t="n">
        <v>0</v>
      </c>
      <c r="G281" s="0" t="n">
        <v>144</v>
      </c>
      <c r="H281" s="0" t="s">
        <v>327</v>
      </c>
      <c r="I281" s="0" t="s">
        <v>328</v>
      </c>
      <c r="J281" s="0" t="n">
        <v>8</v>
      </c>
      <c r="K281" s="0" t="n">
        <v>0</v>
      </c>
      <c r="L281" s="0" t="s">
        <v>296</v>
      </c>
      <c r="N281" s="0" t="str">
        <f aca="false">IF(H281="","",IFERROR(LEFT(H281,FIND(" ",H281)-1),H281))</f>
        <v>8/2/2025</v>
      </c>
      <c r="O281" s="23" t="n">
        <f aca="false">IFERROR(DATE(VALUE(MID(N281,FIND("/",N281,FIND("/",N281)+1)+1,4)),VALUE(MID(N281,FIND("/",N281)+1,FIND("/",N281,FIND("/",N281)+1)-FIND("/",N281)-1)),VALUE(LEFT(N281,FIND("/",N281)-1))),0)</f>
        <v>45696</v>
      </c>
    </row>
    <row r="282" customFormat="false" ht="15" hidden="false" customHeight="false" outlineLevel="0" collapsed="false">
      <c r="A282" s="0" t="n">
        <v>4745982</v>
      </c>
      <c r="B282" s="0" t="s">
        <v>510</v>
      </c>
      <c r="C282" s="0" t="s">
        <v>270</v>
      </c>
      <c r="D282" s="0" t="s">
        <v>271</v>
      </c>
      <c r="E282" s="0" t="s">
        <v>294</v>
      </c>
      <c r="F282" s="0" t="n">
        <v>0</v>
      </c>
      <c r="G282" s="0" t="n">
        <v>144</v>
      </c>
      <c r="H282" s="0" t="s">
        <v>489</v>
      </c>
      <c r="I282" s="0" t="s">
        <v>511</v>
      </c>
      <c r="J282" s="0" t="n">
        <v>0</v>
      </c>
      <c r="K282" s="0" t="n">
        <v>8</v>
      </c>
      <c r="L282" s="0" t="s">
        <v>296</v>
      </c>
      <c r="N282" s="0" t="str">
        <f aca="false">IF(H282="","",IFERROR(LEFT(H282,FIND(" ",H282)-1),H282))</f>
        <v>19/4/2025</v>
      </c>
      <c r="O282" s="23" t="n">
        <f aca="false">IFERROR(DATE(VALUE(MID(N282,FIND("/",N282,FIND("/",N282)+1)+1,4)),VALUE(MID(N282,FIND("/",N282)+1,FIND("/",N282,FIND("/",N282)+1)-FIND("/",N282)-1)),VALUE(LEFT(N282,FIND("/",N282)-1))),0)</f>
        <v>45766</v>
      </c>
    </row>
    <row r="283" customFormat="false" ht="15" hidden="false" customHeight="false" outlineLevel="0" collapsed="false">
      <c r="A283" s="0" t="n">
        <v>4745982</v>
      </c>
      <c r="B283" s="0" t="s">
        <v>510</v>
      </c>
      <c r="C283" s="0" t="s">
        <v>270</v>
      </c>
      <c r="D283" s="0" t="s">
        <v>271</v>
      </c>
      <c r="E283" s="0" t="s">
        <v>294</v>
      </c>
      <c r="F283" s="0" t="n">
        <v>0</v>
      </c>
      <c r="G283" s="0" t="n">
        <v>144</v>
      </c>
      <c r="H283" s="0" t="s">
        <v>489</v>
      </c>
      <c r="I283" s="0" t="s">
        <v>512</v>
      </c>
      <c r="J283" s="0" t="n">
        <v>0</v>
      </c>
      <c r="K283" s="0" t="n">
        <v>8</v>
      </c>
      <c r="L283" s="0" t="s">
        <v>296</v>
      </c>
      <c r="N283" s="0" t="str">
        <f aca="false">IF(H283="","",IFERROR(LEFT(H283,FIND(" ",H283)-1),H283))</f>
        <v>19/4/2025</v>
      </c>
      <c r="O283" s="23" t="n">
        <f aca="false">IFERROR(DATE(VALUE(MID(N283,FIND("/",N283,FIND("/",N283)+1)+1,4)),VALUE(MID(N283,FIND("/",N283)+1,FIND("/",N283,FIND("/",N283)+1)-FIND("/",N283)-1)),VALUE(LEFT(N283,FIND("/",N283)-1))),0)</f>
        <v>45766</v>
      </c>
    </row>
    <row r="284" customFormat="false" ht="15" hidden="false" customHeight="false" outlineLevel="0" collapsed="false">
      <c r="A284" s="0" t="n">
        <v>4745982</v>
      </c>
      <c r="B284" s="0" t="s">
        <v>510</v>
      </c>
      <c r="C284" s="0" t="s">
        <v>270</v>
      </c>
      <c r="D284" s="0" t="s">
        <v>271</v>
      </c>
      <c r="E284" s="0" t="s">
        <v>294</v>
      </c>
      <c r="F284" s="0" t="n">
        <v>0</v>
      </c>
      <c r="G284" s="0" t="n">
        <v>144</v>
      </c>
      <c r="H284" s="0" t="s">
        <v>489</v>
      </c>
      <c r="I284" s="0" t="s">
        <v>513</v>
      </c>
      <c r="J284" s="0" t="n">
        <v>0</v>
      </c>
      <c r="K284" s="0" t="n">
        <v>8</v>
      </c>
      <c r="L284" s="0" t="s">
        <v>296</v>
      </c>
      <c r="N284" s="0" t="str">
        <f aca="false">IF(H284="","",IFERROR(LEFT(H284,FIND(" ",H284)-1),H284))</f>
        <v>19/4/2025</v>
      </c>
      <c r="O284" s="23" t="n">
        <f aca="false">IFERROR(DATE(VALUE(MID(N284,FIND("/",N284,FIND("/",N284)+1)+1,4)),VALUE(MID(N284,FIND("/",N284)+1,FIND("/",N284,FIND("/",N284)+1)-FIND("/",N284)-1)),VALUE(LEFT(N284,FIND("/",N284)-1))),0)</f>
        <v>45766</v>
      </c>
    </row>
    <row r="285" customFormat="false" ht="15" hidden="false" customHeight="false" outlineLevel="0" collapsed="false">
      <c r="A285" s="0" t="n">
        <v>4745982</v>
      </c>
      <c r="B285" s="0" t="s">
        <v>510</v>
      </c>
      <c r="C285" s="0" t="s">
        <v>270</v>
      </c>
      <c r="D285" s="0" t="s">
        <v>271</v>
      </c>
      <c r="E285" s="0" t="s">
        <v>294</v>
      </c>
      <c r="F285" s="0" t="n">
        <v>0</v>
      </c>
      <c r="G285" s="0" t="n">
        <v>144</v>
      </c>
      <c r="H285" s="0" t="s">
        <v>335</v>
      </c>
      <c r="I285" s="0" t="s">
        <v>514</v>
      </c>
      <c r="J285" s="0" t="n">
        <v>0</v>
      </c>
      <c r="K285" s="0" t="n">
        <v>8</v>
      </c>
      <c r="L285" s="0" t="s">
        <v>296</v>
      </c>
      <c r="N285" s="0" t="str">
        <f aca="false">IF(H285="","",IFERROR(LEFT(H285,FIND(" ",H285)-1),H285))</f>
        <v>3/5/2025</v>
      </c>
      <c r="O285" s="23" t="n">
        <f aca="false">IFERROR(DATE(VALUE(MID(N285,FIND("/",N285,FIND("/",N285)+1)+1,4)),VALUE(MID(N285,FIND("/",N285)+1,FIND("/",N285,FIND("/",N285)+1)-FIND("/",N285)-1)),VALUE(LEFT(N285,FIND("/",N285)-1))),0)</f>
        <v>45780</v>
      </c>
    </row>
    <row r="286" customFormat="false" ht="15" hidden="false" customHeight="false" outlineLevel="0" collapsed="false">
      <c r="A286" s="0" t="n">
        <v>4745982</v>
      </c>
      <c r="B286" s="0" t="s">
        <v>510</v>
      </c>
      <c r="C286" s="0" t="s">
        <v>270</v>
      </c>
      <c r="D286" s="0" t="s">
        <v>271</v>
      </c>
      <c r="E286" s="0" t="s">
        <v>294</v>
      </c>
      <c r="F286" s="0" t="n">
        <v>0</v>
      </c>
      <c r="G286" s="0" t="n">
        <v>144</v>
      </c>
      <c r="H286" s="0" t="s">
        <v>335</v>
      </c>
      <c r="I286" s="0" t="s">
        <v>515</v>
      </c>
      <c r="J286" s="0" t="n">
        <v>16</v>
      </c>
      <c r="K286" s="0" t="n">
        <v>0</v>
      </c>
      <c r="L286" s="0" t="s">
        <v>296</v>
      </c>
      <c r="N286" s="0" t="str">
        <f aca="false">IF(H286="","",IFERROR(LEFT(H286,FIND(" ",H286)-1),H286))</f>
        <v>3/5/2025</v>
      </c>
      <c r="O286" s="23" t="n">
        <f aca="false">IFERROR(DATE(VALUE(MID(N286,FIND("/",N286,FIND("/",N286)+1)+1,4)),VALUE(MID(N286,FIND("/",N286)+1,FIND("/",N286,FIND("/",N286)+1)-FIND("/",N286)-1)),VALUE(LEFT(N286,FIND("/",N286)-1))),0)</f>
        <v>45780</v>
      </c>
    </row>
    <row r="287" customFormat="false" ht="15" hidden="false" customHeight="false" outlineLevel="0" collapsed="false">
      <c r="A287" s="0" t="n">
        <v>4745982</v>
      </c>
      <c r="B287" s="0" t="s">
        <v>510</v>
      </c>
      <c r="C287" s="0" t="s">
        <v>270</v>
      </c>
      <c r="D287" s="0" t="s">
        <v>271</v>
      </c>
      <c r="E287" s="0" t="s">
        <v>294</v>
      </c>
      <c r="F287" s="0" t="n">
        <v>0</v>
      </c>
      <c r="G287" s="0" t="n">
        <v>144</v>
      </c>
      <c r="H287" s="0" t="s">
        <v>337</v>
      </c>
      <c r="I287" s="0" t="s">
        <v>338</v>
      </c>
      <c r="J287" s="0" t="n">
        <v>8</v>
      </c>
      <c r="K287" s="0" t="n">
        <v>0</v>
      </c>
      <c r="L287" s="0" t="s">
        <v>296</v>
      </c>
      <c r="N287" s="0" t="str">
        <f aca="false">IF(H287="","",IFERROR(LEFT(H287,FIND(" ",H287)-1),H287))</f>
        <v>9/8/2025</v>
      </c>
      <c r="O287" s="23" t="n">
        <f aca="false">IFERROR(DATE(VALUE(MID(N287,FIND("/",N287,FIND("/",N287)+1)+1,4)),VALUE(MID(N287,FIND("/",N287)+1,FIND("/",N287,FIND("/",N287)+1)-FIND("/",N287)-1)),VALUE(LEFT(N287,FIND("/",N287)-1))),0)</f>
        <v>45878</v>
      </c>
    </row>
    <row r="288" customFormat="false" ht="15" hidden="false" customHeight="false" outlineLevel="0" collapsed="false">
      <c r="A288" s="0" t="n">
        <v>4745982</v>
      </c>
      <c r="B288" s="0" t="s">
        <v>510</v>
      </c>
      <c r="C288" s="0" t="s">
        <v>270</v>
      </c>
      <c r="D288" s="0" t="s">
        <v>271</v>
      </c>
      <c r="E288" s="0" t="s">
        <v>294</v>
      </c>
      <c r="F288" s="0" t="n">
        <v>0</v>
      </c>
      <c r="G288" s="0" t="n">
        <v>144</v>
      </c>
      <c r="H288" s="0" t="s">
        <v>339</v>
      </c>
      <c r="I288" s="0" t="s">
        <v>516</v>
      </c>
      <c r="J288" s="0" t="n">
        <v>8</v>
      </c>
      <c r="K288" s="0" t="n">
        <v>0</v>
      </c>
      <c r="L288" s="0" t="s">
        <v>296</v>
      </c>
      <c r="N288" s="0" t="str">
        <f aca="false">IF(H288="","",IFERROR(LEFT(H288,FIND(" ",H288)-1),H288))</f>
        <v>15/11/2025</v>
      </c>
      <c r="O288" s="23" t="n">
        <f aca="false">IFERROR(DATE(VALUE(MID(N288,FIND("/",N288,FIND("/",N288)+1)+1,4)),VALUE(MID(N288,FIND("/",N288)+1,FIND("/",N288,FIND("/",N288)+1)-FIND("/",N288)-1)),VALUE(LEFT(N288,FIND("/",N288)-1))),0)</f>
        <v>45976</v>
      </c>
    </row>
    <row r="289" customFormat="false" ht="15" hidden="false" customHeight="false" outlineLevel="0" collapsed="false">
      <c r="A289" s="0" t="n">
        <v>4745982</v>
      </c>
      <c r="B289" s="0" t="s">
        <v>510</v>
      </c>
      <c r="C289" s="0" t="s">
        <v>270</v>
      </c>
      <c r="D289" s="0" t="s">
        <v>271</v>
      </c>
      <c r="E289" s="0" t="s">
        <v>294</v>
      </c>
      <c r="F289" s="0" t="n">
        <v>0</v>
      </c>
      <c r="G289" s="0" t="n">
        <v>144</v>
      </c>
      <c r="H289" s="0" t="s">
        <v>341</v>
      </c>
      <c r="I289" s="0" t="s">
        <v>342</v>
      </c>
      <c r="J289" s="0" t="n">
        <v>8</v>
      </c>
      <c r="K289" s="0" t="n">
        <v>0</v>
      </c>
      <c r="L289" s="0" t="s">
        <v>296</v>
      </c>
      <c r="N289" s="0" t="str">
        <f aca="false">IF(H289="","",IFERROR(LEFT(H289,FIND(" ",H289)-1),H289))</f>
        <v>27/12/2025</v>
      </c>
      <c r="O289" s="23" t="n">
        <f aca="false">IFERROR(DATE(VALUE(MID(N289,FIND("/",N289,FIND("/",N289)+1)+1,4)),VALUE(MID(N289,FIND("/",N289)+1,FIND("/",N289,FIND("/",N289)+1)-FIND("/",N289)-1)),VALUE(LEFT(N289,FIND("/",N289)-1))),0)</f>
        <v>46018</v>
      </c>
    </row>
    <row r="290" customFormat="false" ht="15" hidden="false" customHeight="false" outlineLevel="0" collapsed="false">
      <c r="A290" s="0" t="n">
        <v>4745982</v>
      </c>
      <c r="B290" s="0" t="s">
        <v>510</v>
      </c>
      <c r="C290" s="0" t="s">
        <v>270</v>
      </c>
      <c r="D290" s="0" t="s">
        <v>271</v>
      </c>
      <c r="E290" s="0" t="s">
        <v>294</v>
      </c>
      <c r="F290" s="0" t="n">
        <v>0</v>
      </c>
      <c r="G290" s="0" t="n">
        <v>144</v>
      </c>
      <c r="H290" s="0" t="s">
        <v>343</v>
      </c>
      <c r="I290" s="0" t="s">
        <v>517</v>
      </c>
      <c r="J290" s="0" t="n">
        <v>8</v>
      </c>
      <c r="K290" s="0" t="n">
        <v>0</v>
      </c>
      <c r="L290" s="0" t="s">
        <v>296</v>
      </c>
      <c r="N290" s="0" t="str">
        <f aca="false">IF(H290="","",IFERROR(LEFT(H290,FIND(" ",H290)-1),H290))</f>
        <v>7/2/2026</v>
      </c>
      <c r="O290" s="23" t="n">
        <f aca="false">IFERROR(DATE(VALUE(MID(N290,FIND("/",N290,FIND("/",N290)+1)+1,4)),VALUE(MID(N290,FIND("/",N290)+1,FIND("/",N290,FIND("/",N290)+1)-FIND("/",N290)-1)),VALUE(LEFT(N290,FIND("/",N290)-1))),0)</f>
        <v>46060</v>
      </c>
    </row>
    <row r="291" customFormat="false" ht="15" hidden="false" customHeight="false" outlineLevel="0" collapsed="false">
      <c r="A291" s="0" t="n">
        <v>4745982</v>
      </c>
      <c r="B291" s="0" t="s">
        <v>510</v>
      </c>
      <c r="C291" s="0" t="s">
        <v>270</v>
      </c>
      <c r="D291" s="0" t="s">
        <v>271</v>
      </c>
      <c r="E291" s="0" t="s">
        <v>294</v>
      </c>
      <c r="F291" s="0" t="n">
        <v>0</v>
      </c>
      <c r="G291" s="0" t="n">
        <v>144</v>
      </c>
      <c r="H291" s="0" t="s">
        <v>368</v>
      </c>
      <c r="I291" s="0" t="s">
        <v>518</v>
      </c>
      <c r="J291" s="0" t="n">
        <v>16</v>
      </c>
      <c r="K291" s="0" t="n">
        <v>0</v>
      </c>
      <c r="L291" s="0" t="s">
        <v>296</v>
      </c>
      <c r="N291" s="0" t="str">
        <f aca="false">IF(H291="","",IFERROR(LEFT(H291,FIND(" ",H291)-1),H291))</f>
        <v>2/5/2026</v>
      </c>
      <c r="O291" s="23" t="n">
        <f aca="false">IFERROR(DATE(VALUE(MID(N291,FIND("/",N291,FIND("/",N291)+1)+1,4)),VALUE(MID(N291,FIND("/",N291)+1,FIND("/",N291,FIND("/",N291)+1)-FIND("/",N291)-1)),VALUE(LEFT(N291,FIND("/",N291)-1))),0)</f>
        <v>46144</v>
      </c>
    </row>
    <row r="292" customFormat="false" ht="15" hidden="false" customHeight="false" outlineLevel="0" collapsed="false">
      <c r="A292" s="0" t="n">
        <v>4745982</v>
      </c>
      <c r="B292" s="0" t="s">
        <v>510</v>
      </c>
      <c r="C292" s="0" t="s">
        <v>270</v>
      </c>
      <c r="D292" s="0" t="s">
        <v>271</v>
      </c>
      <c r="E292" s="0" t="s">
        <v>294</v>
      </c>
      <c r="F292" s="0" t="n">
        <v>0</v>
      </c>
      <c r="G292" s="0" t="n">
        <v>144</v>
      </c>
      <c r="H292" s="0" t="s">
        <v>471</v>
      </c>
      <c r="I292" s="0" t="s">
        <v>472</v>
      </c>
      <c r="J292" s="0" t="n">
        <v>8</v>
      </c>
      <c r="K292" s="0" t="n">
        <v>0</v>
      </c>
      <c r="L292" s="0" t="s">
        <v>296</v>
      </c>
      <c r="N292" s="0" t="str">
        <f aca="false">IF(H292="","",IFERROR(LEFT(H292,FIND(" ",H292)-1),H292))</f>
        <v>8/8/2026</v>
      </c>
      <c r="O292" s="23"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23"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3"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3"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3"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3"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3"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3"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3"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3"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3"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3"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3"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3"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3"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3"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3"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3"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3"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3"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3"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3"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3"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3"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3"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3"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3"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3"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3"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3"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3"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3"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3"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3"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3"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3"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3"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3"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3"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3"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3"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3"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3"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3"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3"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3"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3"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3"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3"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3"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3"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3"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3"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3"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3"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3"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3"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3"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3"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3"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3"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3"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3"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3"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3"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3"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3"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3"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3"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3"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3"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3"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3"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3"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3"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3"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3"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3"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3"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3"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3"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3"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3"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3"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3"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3"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3"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3"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3"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3"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3"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3"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3"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3"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3"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3"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3"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3"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3"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3"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3"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3"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3"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3"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3"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3"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3"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3"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3"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3"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3"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3"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3"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3"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3"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3"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3"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3"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3"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3"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3"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3"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3"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3"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3"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3"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3"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3"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3"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3"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3"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3"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3"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3"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3"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3"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3"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3"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3"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3"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3"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3"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3"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3"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3"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3"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3"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3"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3"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3"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3"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3"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3"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3"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3"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3"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3"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3"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3"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3"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3"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3"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3"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3"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3"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3"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3"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3"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3"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3"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3"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3"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3"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3"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3"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3"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3"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3"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3"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3"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3"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3"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3"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3"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3"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3"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3"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3"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3"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3"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3"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3"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3"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3"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3"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3"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3"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3"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3"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3"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3"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3"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3"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3"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3"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3"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3"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3"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3"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3"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3"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3"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3"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3"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3"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3"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3"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3"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3"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3"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3"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3"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3"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3"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3"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3"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3"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3"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3"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3"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3"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3"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3"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3"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3"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3"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3"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3"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3"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3"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3"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3"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3"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3"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3"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3"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3"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3"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3"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3"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3"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3"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3"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3"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3"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3"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3"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3"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3"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3"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3"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3"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3"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3"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3"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3"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3"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3"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3"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3"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3"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3"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3"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3"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3"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3"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3"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3"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3"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3"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3"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3"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3"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3"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3"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3"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3"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3"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3"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3"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3"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3"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3"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3"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3"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3"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3"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3"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3"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3"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3"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3"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3"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3"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3"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3"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3"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3"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3"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3"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3"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3"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3"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3"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3"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3"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3"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3"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3"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3"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3"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3"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3"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3"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3"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3"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3"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3"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3"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3"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3"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3"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3"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3"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3"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3"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3"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3"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3"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3"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3"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3"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3"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3"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3"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3"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3"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3"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3"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3"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3"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3"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3"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3"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3"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3"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3"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3"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3"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3"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3"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3"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3"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3"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3"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3"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3"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3"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3"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3"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3"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3"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3"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3"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3"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3"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3"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3"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3"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3"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3"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3"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3"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3"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3"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3"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3"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3"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3"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3"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3"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3"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3"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3"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3"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3"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3"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3"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3"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3"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3"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3"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3"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3"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3"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3"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3"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3"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3"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3"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3"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3"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3"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3"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3"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3"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3"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3"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3"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3"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3"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3"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3"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3"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3"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3"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3"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3"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3"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3"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3"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3"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3"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3"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3"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3"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3"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3"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3"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3"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3"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3"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3"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3"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3"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3"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3"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3"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3"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3"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3"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3"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3"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3"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3"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3"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3"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3"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3"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3"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3"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3"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3"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3"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3"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3"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3"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3"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3"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3"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3"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3"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3"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3"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3"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3"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3"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3"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3"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3"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3"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3"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3"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3"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3"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3"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3"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3"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3"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3"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3"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3"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3"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3"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3"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3"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3"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3"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3"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3"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3"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3"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3"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3"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3"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3"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3"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3"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3"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3"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3"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3"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3"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3"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3"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3"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3"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3"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3"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3"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3"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3"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3"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3"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3"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3"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3"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3"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3"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3"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3"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3"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3"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3"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3"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3"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3"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3"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3"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3"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3"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3"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3"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3"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3"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3"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3"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3"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3"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3"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3"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3"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3"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3"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3"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3"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3"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3"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3"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3"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3"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3"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3"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3"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3"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3"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3"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3"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3"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3"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3"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3"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3"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3"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3"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3"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3"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3"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3"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3"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3"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3"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3"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3"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3"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3"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3"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3"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3"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3"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3"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3"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3"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3"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3"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3"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3"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3"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3"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3"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3"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3"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3"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3"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3"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3"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3"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3"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3"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3"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3"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3"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3"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3"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3"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3"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3"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3"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3"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3"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3"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3"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3"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3"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3"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3"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3"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3"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3"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3"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3"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3"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3"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3"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3"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3"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3"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3"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3"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3"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3"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3"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3"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3"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3"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3"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3"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3"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3"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3"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3"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3"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3"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3"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3"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3"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3"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3"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3"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3"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3"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3"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3"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3"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3"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3"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3"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3"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3"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3"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3"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3"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3"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3"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3"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3"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3"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3"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3"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3"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3"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3"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3"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3"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3"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3"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3"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3"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3"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3"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3"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3"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3"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3"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3"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3"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3"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3"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3"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3"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3"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3"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3"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3"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3"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3"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3"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3"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3"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3"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3"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3"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3"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3"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3"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3"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3"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3"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3"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3"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3"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3"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3"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3"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3"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3"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3"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3"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3"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3"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3"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3"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3"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3"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3"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3"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3"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3"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3"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3"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3"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3"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3"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3"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3"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3"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3"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3"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3"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3"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3"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3"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3"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3"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3"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3"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3"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3"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3"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3"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3"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3"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3"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3"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3"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3"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3"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3"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3"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3"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3"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3"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3"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3"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3"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3"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3"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3"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3"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3"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3"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3"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3"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3"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3"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3"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3"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3"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3"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3"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3"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3"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3"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3"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3"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3"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3"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3"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3"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3"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3"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3"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3"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3"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3"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3"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3"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3"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3"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3"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3"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3"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3"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3"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3"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3"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3"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3"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3"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3"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3"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3"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3"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3"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3"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3"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3"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3"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3"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3"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3"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3"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3"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3"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3"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3"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3"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3"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3"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3"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3"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3"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3"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3"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3"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3"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3"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3"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3"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3"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3"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3"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3"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3"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3"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3"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3"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3"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3"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3"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3"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3"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3"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3"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3"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3"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3"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3"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3"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3"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3"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3"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3"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3"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3"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3"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3"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3"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3"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3"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3"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3"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3"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3"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3"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3"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3"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3"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3"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3"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3"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3"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3"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3"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3"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3"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3"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3"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3"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3"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3"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3"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3"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3"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3"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3"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3"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3"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3"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3"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3"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3"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3"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3"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3"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3"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3"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3"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3"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3"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3"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3"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3"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3"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3"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3"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3"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3"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3"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3"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3"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3"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3"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3"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3"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3"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3"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3"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3"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3"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3"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3"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3"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3"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3"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3"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3"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3"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3"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3"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3"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3"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3"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3"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3"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3"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3"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3"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3"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3"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3"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3"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3"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3"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3"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3"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3"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3"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3"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3"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3"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3"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3"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3"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3"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3"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3"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3"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3"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3"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3"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3"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3"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3"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3"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3"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3"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3"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3"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3"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3"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3"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3"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3"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3"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3"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3"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3"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3"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3"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3"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3"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3"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3"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3"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3"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3"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3"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3"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3"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3"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3"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3"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3"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3"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3"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3"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3"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3"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3"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3"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3"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3"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3"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3"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3"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3"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3"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3"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3"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3"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3"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3"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3"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3"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3"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3"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3"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3"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3"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3"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3"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3"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3"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3"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3"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3"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3"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3"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3"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3"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3"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3"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3"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3"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3"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3"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3"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3"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3"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3"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3"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3"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3"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3"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3"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3"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3"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3"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3"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3"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3"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3"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3"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3"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3"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3"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3"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3"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3"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3"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3"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3"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3"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3"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3"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3"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3"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3"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3"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3"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3"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3"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3"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3"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3"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3"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3"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3"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3"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3"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3"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3"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3"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3"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3"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3"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3"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3"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3"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3"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3"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3"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3"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3"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3"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3"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3"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3"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3"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3"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3"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3"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3"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3"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3"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3"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3"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3"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3"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3"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3"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3"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3"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3"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3"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3"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3"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3"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3"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3"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3"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3"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3"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3"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3"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3"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3"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3"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3"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3"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3"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3"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3"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3"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3"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3"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3"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3"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3"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3"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3"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3"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3"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3"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3"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3"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3"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3"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3"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3"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3"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3"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3"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3"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3"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3"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3"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3"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3"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3"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3"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3"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3"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3"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3"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3"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3"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3"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3"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3"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3"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3"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3"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3"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3"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3"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3"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3"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3"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3"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3"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3"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3"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3"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3"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3"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3"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3"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3"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3"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3"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3"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3"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3"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3"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3"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3"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3"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3"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3"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3"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3"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3"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3"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3"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3"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3"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3"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3"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3"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3"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3"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3"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3"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3"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3"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3"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3"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3"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3"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3"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3"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3"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3"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3"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3"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3"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3"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3"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3"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3"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3"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3"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3"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3"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3"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3"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3"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3"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3"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3"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3"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3"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3"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3"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3"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3"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3"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3"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3"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3"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3"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3"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3"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3"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3"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3"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3"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3"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3"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3"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3"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3"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3"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3"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3"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3"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3"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3"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3"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3"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3"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3"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3"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3"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3"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3"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3"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3"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3"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3"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3"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3"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3"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3"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3"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3"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3"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3"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3"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3"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3"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3"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3"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3"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3"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3"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3"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3"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3"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3"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3"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3"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3"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3"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3"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3"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3"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3"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3"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3"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3"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3"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3"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3"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3"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3"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3"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3"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3"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3"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3"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3"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3"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3"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3"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3"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3"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3"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3"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3"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3"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3"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3"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3"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3"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3"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3"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3"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3"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3"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3"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3"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3"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3"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3"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3"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3"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3"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3"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3"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3"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3"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3"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3"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3"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3"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3"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3"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3"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3"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3"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3"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3"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3"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3"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3"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3"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3"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3"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3"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3"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3"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3"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3"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3"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3"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3"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3"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3"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3"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3"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3"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3"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3"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3"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3"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3"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3"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3"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3"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3"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3"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3"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3"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3"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3"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3"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3"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3"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3"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3"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3"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3"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3"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3"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3"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3"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3"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3"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3"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3"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3"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3"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3"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3"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3"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3"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3"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3"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3"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3"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3"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3"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3"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3"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3"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3"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3"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3"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3"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3"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3"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3"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3"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3"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3"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3"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3"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3"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3"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3"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3"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3"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3"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3"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3"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3"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3"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3"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3"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3"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3"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3"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3"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3"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3"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3"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3"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3"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3"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3"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3"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3"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3"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3"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3"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3"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3"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3"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3"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3"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3"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3"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3"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3"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3"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3"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3"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3"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3"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3"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3"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3"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3"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3"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3"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3"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3"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3"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3"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3"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3"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3"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3"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3"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3"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3"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3"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3"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3"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3"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3"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3"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3"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3"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3"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3"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3"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3"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3"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3"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3"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3"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3"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3"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3"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3"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3"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3"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3"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3"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3"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3"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3"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3"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3"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3"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3"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3"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3"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3"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3"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3"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3"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3"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3"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3"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3"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3"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3"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3"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3"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3"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3"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3"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3"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3"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3"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3"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3"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3"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3"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3"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3"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3"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3"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3"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3"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3"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3"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3"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3"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3"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3"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3"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3"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3"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3"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3"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3"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3"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3"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3"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3"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3"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3"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3"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3"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3"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3"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3"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3"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3"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3"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3"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3"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3"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3"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3"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3"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3"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3"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3"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3"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3"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3"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3"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3"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3"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3"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3"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3"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3"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3"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3"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3"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3"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3"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3"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3"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3"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3"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3"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3"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3"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3"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3"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3"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3"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3"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3"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3"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3"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3"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3"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3"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3"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3"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3"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3"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3"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3"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3"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3"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3"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3"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3"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3"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3"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3"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3"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3"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3"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3"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3"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3"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3"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3"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3"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3"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3"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3"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3"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3"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3"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3"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3"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3"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3"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3"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3"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3"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3"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3"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3"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3"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3"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3"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3"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3"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3"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3"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3"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3"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3"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3"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3"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3"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3"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3"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3"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3"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3"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3"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3"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3"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3"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3"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3"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3"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3"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3"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3"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3"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3"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3"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3"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3"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3"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3"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3"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3"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3"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3"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3"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3"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3"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3"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3"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3"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3"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3"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3"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3"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3"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3"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3"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3"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3"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3"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3"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3"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3"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3"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3"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3"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3"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3"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3"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3"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3"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3"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3"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3"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3"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3"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3"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3"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3"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3"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3"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3"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3"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3"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3"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3"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3"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3"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3"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3"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3"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3"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3"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3"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3"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3"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3"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3"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3"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3"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3"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3"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3"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3"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3"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3"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3"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3"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3"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3"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3"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3"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3"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3"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3"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3"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3"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3"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3"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3"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3"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3"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3"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3"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3"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3"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3"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3"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3"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3"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3"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3"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3"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3"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3"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3"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3"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3"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3"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3"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3"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3"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3"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3"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3"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3"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3"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3"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3"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3"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3"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3"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3"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3"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3"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3"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3"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3"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3"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3"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3"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3"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3"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3"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3"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3"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3"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3"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3"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3"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3"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3"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3"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3"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3"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3"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3"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3"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3"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3"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3"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3"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3"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3"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3"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3"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3"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3"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3"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3"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3"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3"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3"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3"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3"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3"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3"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3"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3"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3"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3"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3"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3"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3"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3"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3"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3"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3"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3"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3"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3"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3"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3"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3"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3"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3"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3"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3"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3"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3"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3"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3"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3"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3"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3"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3"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3"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3"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3"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3"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3"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3"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3"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3"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3"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3"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3"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3"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3"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3"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3"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3"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3"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3"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3"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3"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3"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3"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3"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3"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3"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3"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3"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3"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3"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3"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3"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3"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3"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3"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3"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3"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3"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3"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3"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3"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3"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3"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3"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3"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3"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3"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3"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3"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3"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3"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3"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3"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3"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3"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3"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3"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3"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3"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3"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3"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3"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3"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3"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3"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3"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3"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3"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3"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3"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3"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3"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3"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3"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3"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3"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3"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3"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3"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3"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3"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3"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3"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3"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3"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3"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3"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3"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3"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3"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3"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3"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3"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3"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3"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3"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3"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3"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3"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3"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3"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3"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3"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3"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3"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3"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3"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3"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3"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3"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3"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3"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3"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3"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3"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3"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3"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3"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3"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3"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3"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3"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3"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3"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3"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3"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3"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3"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3"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3"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3"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3"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3"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3"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3"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3"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3"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3"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3"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3"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3"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3"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3"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3"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3"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3"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3"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3"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3"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3"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3"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3"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3"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3"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3"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3"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3"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3"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3"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3"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3"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3"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3"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3"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3"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3"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3"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3"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3"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3"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3"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3"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3"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3"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3"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3"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3"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3"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3"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3"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3"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3"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3"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3"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3"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3"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3"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3"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3"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3"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3"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3"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3"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3"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3"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3"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3"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3"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3"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3"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3"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3"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3"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3"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3"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3"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3"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3"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3"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3"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3"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3"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3"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3"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3"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3"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3"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3"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3"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3"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3"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3"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3"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3"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3"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3"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3"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3"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3"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3"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3"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3"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3"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3"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3"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3"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3"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3"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3"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3"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3"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3"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3"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3"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3"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3"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3"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3"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3"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3"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3"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3"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3"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3"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3"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3"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3"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3"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3"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3"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3"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3"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3"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3"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3"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3"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3"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3"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3"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3"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3"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3"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3"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3"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3"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3"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3"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3"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3"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3"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3"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3"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3"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3"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3"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3"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3"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3"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3"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3"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3"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3"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3"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3"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3"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3"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3"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3"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3"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3"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3"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3"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3"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3"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3"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3"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3"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3"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3"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3"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3"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3"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3"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3"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3"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3"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3"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3"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3"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3"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3"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3"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3"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3"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3"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3"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3"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3"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3"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3"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3"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3"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3"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3"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3"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3"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3"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3"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3"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3"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3"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3"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3"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3"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3"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3"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3"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3"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3"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3"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3"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3"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3"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3"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3"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3"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3"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3"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3"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3"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3"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3"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3"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3"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3"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3"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3"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3"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3"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3"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3"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3"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3"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3"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3"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3"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3"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3"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3"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3"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3"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3"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3"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3"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3"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3"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3"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3"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3"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3"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3"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3"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3"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3"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3"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3"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3"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3"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3"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3"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3"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3"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3"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3"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3"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3"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3"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3"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3"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3"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3"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3"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3"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3"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3"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3"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3"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3"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3"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3"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3"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3"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3"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3"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3"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3"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3"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3"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3"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3"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3"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3"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3"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3"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3"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3"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3"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3"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3"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3"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3"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3"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3"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3"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3"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3"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3"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3"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3"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3"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3"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3"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3"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3"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3"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3"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3"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3"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3"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3"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3"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3"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3"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3"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3"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3"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3"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3"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3"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3"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3"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3"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3"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3"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3"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3"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3"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3"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3"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3"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3"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3"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3"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3"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3"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3"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3"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3"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3"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3"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3"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3"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3"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3"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3"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3"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3"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3"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3"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3"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3"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3"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3"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3"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3"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3"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3"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3"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3"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3"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3"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3"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3"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3"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3"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3"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3"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3"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3"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3"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3"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3"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3"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3"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3"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3"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3"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3"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3"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3"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3"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3"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3"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3"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3"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3"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3"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3"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3"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3"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3"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3"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3"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3"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3"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3"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3"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3"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3"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3"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3"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3"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3"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3"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3"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3"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3"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3"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3"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3"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3"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3"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3"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3"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3"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3"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3"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3"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3"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3"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3"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3"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3"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3"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3"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3"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3"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3"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3"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3"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3"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3"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3"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3"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3"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3"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3"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3"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3"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3"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3"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3"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3"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3"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3"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3"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3"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3"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3"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3"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3"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3"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3"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3"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3"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3"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3"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3"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3"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3"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3"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3"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3"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3"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3"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3"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3"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3"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3"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3"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3"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3"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3"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3"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3"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3"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3"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3"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3"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3"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3"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3"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3"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3"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3"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3"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3"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3"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3"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3"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3"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3"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3"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3"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3"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3"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3"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3"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3"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3"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3"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3"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3"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3"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3"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3"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3"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3"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3"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3"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3"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3"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3"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3"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3"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3"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3"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3"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3"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3"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3"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3"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3"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3"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3"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3"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3"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3"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3"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3"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3"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3"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3"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3"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3"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3"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3"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3"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3"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3"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3"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3"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3"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3"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3"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3"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3"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3"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3"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3"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3"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3"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3"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3"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3"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3"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3"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3"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3"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3"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3"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3"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3"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3"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3"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3"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3"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3"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3"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3"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3"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3"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3"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3"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3"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3"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3"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3"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3"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3"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3"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3"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3"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3"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3"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3"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3"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3"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3"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3"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3"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3"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3"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3"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3"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3"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3"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3"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3"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3"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3"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3"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3"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3"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3"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3"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3"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3"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3"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3"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3"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3"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3"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3"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3"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3"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3"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3"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3"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3"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3"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3"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3"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3"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3"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3"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3"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3"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3"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3"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3"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3"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3"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3"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3"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3"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3"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3"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3"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3"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3"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3"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3"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3"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3"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3"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3"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3"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3"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3"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3"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3"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6" t="s">
        <v>519</v>
      </c>
    </row>
    <row r="3" customFormat="false" ht="15" hidden="false" customHeight="false" outlineLevel="0" collapsed="false">
      <c r="B3" s="7" t="s">
        <v>520</v>
      </c>
    </row>
    <row r="5" customFormat="false" ht="15" hidden="false" customHeight="false" outlineLevel="0" collapsed="false">
      <c r="B5" s="8" t="s">
        <v>521</v>
      </c>
      <c r="C5" s="24" t="str">
        <f aca="false">Staff!BJ35</f>
        <v>Isaac BUTTERWORTH</v>
      </c>
    </row>
    <row r="6" customFormat="false" ht="15" hidden="false" customHeight="false" outlineLevel="0" collapsed="false">
      <c r="B6" s="25" t="s">
        <v>522</v>
      </c>
      <c r="C6" s="26" t="str">
        <f aca="false">IF(ISNUMBER(MATCH($C$5,Staff!$BJ$5:$BJ$154,0)),"Yes","NO - pick from the list")</f>
        <v>Yes</v>
      </c>
    </row>
    <row r="8" customFormat="false" ht="15" hidden="false" customHeight="false" outlineLevel="0" collapsed="false">
      <c r="B8" s="27" t="s">
        <v>523</v>
      </c>
      <c r="C8" s="17" t="n">
        <f aca="false">IF($C$6&lt;&gt;"Yes","",INDEX(Staff!$AH$5:$AH$154,MATCH($C$5,Staff!$BJ$5:$BJ$154,0)))</f>
        <v>43725</v>
      </c>
      <c r="E8" s="27" t="s">
        <v>524</v>
      </c>
      <c r="F8" s="17" t="n">
        <f aca="false">AsOfDate</f>
        <v>46301</v>
      </c>
    </row>
    <row r="9" customFormat="false" ht="15" hidden="false" customHeight="false" outlineLevel="0" collapsed="false">
      <c r="B9" s="27" t="s">
        <v>525</v>
      </c>
      <c r="C9" s="19" t="str">
        <f aca="false">IF($C$6&lt;&gt;"Yes","",INDEX(Staff!$C$5:$C$154,MATCH($C$5,Staff!$BJ$5:$BJ$154,0)))</f>
        <v>Full-Time</v>
      </c>
      <c r="E9" s="27" t="s">
        <v>526</v>
      </c>
      <c r="F9" s="28" t="n">
        <f aca="false">IF($C$6&lt;&gt;"Yes","",INDEX(Staff!$O$5:$O$154,MATCH($C$5,Staff!$BJ$5:$BJ$154,0)))</f>
        <v>9</v>
      </c>
    </row>
    <row r="10" customFormat="false" ht="15" hidden="false" customHeight="false" outlineLevel="0" collapsed="false">
      <c r="B10" s="27" t="s">
        <v>527</v>
      </c>
      <c r="C10" s="20" t="n">
        <f aca="false">IF($C$6&lt;&gt;"Yes","",INDEX(Staff!$P$5:$P$154,MATCH($C$5,Staff!$BJ$5:$BJ$154,0)))</f>
        <v>38</v>
      </c>
      <c r="E10" s="27" t="s">
        <v>528</v>
      </c>
      <c r="F10" s="29" t="n">
        <f aca="false">IF($C$6&lt;&gt;"Yes","",SUM($O$20:$O$109)+SUM($X$20:$X$109))</f>
        <v>9</v>
      </c>
    </row>
    <row r="11" customFormat="false" ht="15" hidden="false" customHeight="false" outlineLevel="0" collapsed="false">
      <c r="B11" s="27" t="s">
        <v>529</v>
      </c>
      <c r="C11" s="19" t="str">
        <f aca="false">IF($C$6&lt;&gt;"Yes","",INDEX(Staff!$AM$5:$AM$154,MATCH($C$5,Staff!$BJ$5:$BJ$154,0)))</f>
        <v>Part-Time</v>
      </c>
      <c r="E11" s="27" t="s">
        <v>530</v>
      </c>
      <c r="F11" s="29" t="str">
        <f aca="false">IF($C$6&lt;&gt;"Yes","",IF(ABS(N(F9)-N(F10))&lt;0.001,"Yes","NO - check inputs"))</f>
        <v>Yes</v>
      </c>
    </row>
    <row r="12" customFormat="false" ht="15" hidden="false" customHeight="false" outlineLevel="0" collapsed="false">
      <c r="B12" s="27" t="s">
        <v>531</v>
      </c>
      <c r="C12" s="17" t="n">
        <f aca="false">IF($C$6&lt;&gt;"Yes","",INDEX(Staff!$AK$5:$AK$154,MATCH($C$5,Staff!$BJ$5:$BJ$154,0)))</f>
        <v>46041</v>
      </c>
      <c r="E12" s="27" t="s">
        <v>532</v>
      </c>
      <c r="F12" s="19" t="n">
        <f aca="false">HoursPerDay</f>
        <v>8</v>
      </c>
    </row>
    <row r="13" customFormat="false" ht="15" hidden="false" customHeight="false" outlineLevel="0" collapsed="false">
      <c r="B13" s="27" t="s">
        <v>533</v>
      </c>
      <c r="C13" s="19" t="str">
        <f aca="false">IF($C$6&lt;&gt;"Yes","",INDEX(Staff!$AN$5:$AN$154,MATCH($C$5,Staff!$BJ$5:$BJ$154,0)))</f>
        <v>Full-Time</v>
      </c>
      <c r="E13" s="27" t="s">
        <v>534</v>
      </c>
      <c r="F13" s="29" t="n">
        <f aca="false">IF($C$6&lt;&gt;"Yes","",F10*HoursPerDay)</f>
        <v>72</v>
      </c>
    </row>
    <row r="14" customFormat="false" ht="15" hidden="false" customHeight="false" outlineLevel="0" collapsed="false">
      <c r="B14" s="27" t="s">
        <v>535</v>
      </c>
      <c r="C14" s="17" t="str">
        <f aca="false">IF($C$6&lt;&gt;"Yes","",INDEX(Staff!$AL$5:$AL$154,MATCH($C$5,Staff!$BJ$5:$BJ$154,0)))</f>
        <v/>
      </c>
    </row>
    <row r="15" customFormat="false" ht="15" hidden="false" customHeight="false" outlineLevel="0" collapsed="false">
      <c r="B15" s="27" t="s">
        <v>536</v>
      </c>
      <c r="C15" s="19" t="str">
        <f aca="false">IF($C$6&lt;&gt;"Yes","",INDEX(Staff!$AO$5:$AO$154,MATCH($C$5,Staff!$BJ$5:$BJ$154,0)))</f>
        <v/>
      </c>
    </row>
    <row r="16" customFormat="false" ht="15" hidden="false" customHeight="false" outlineLevel="0" collapsed="false">
      <c r="B16" s="27" t="s">
        <v>537</v>
      </c>
      <c r="C16" s="19" t="n">
        <f aca="false">IF($C$6&lt;&gt;"Yes","",INDEX(Staff!$AI$5:$AI$154,MATCH($C$5,Staff!$BJ$5:$BJ$154,0)))</f>
        <v>2</v>
      </c>
    </row>
    <row r="18" customFormat="false" ht="15" hidden="false" customHeight="true" outlineLevel="0" collapsed="false">
      <c r="H18" s="30" t="s">
        <v>538</v>
      </c>
      <c r="I18" s="30"/>
      <c r="J18" s="30"/>
      <c r="K18" s="30"/>
      <c r="L18" s="30"/>
      <c r="M18" s="30"/>
      <c r="N18" s="30"/>
      <c r="O18" s="30"/>
      <c r="Q18" s="30" t="s">
        <v>539</v>
      </c>
      <c r="R18" s="30"/>
      <c r="S18" s="30"/>
      <c r="T18" s="30"/>
      <c r="U18" s="30"/>
      <c r="V18" s="30"/>
      <c r="W18" s="30"/>
      <c r="X18" s="30"/>
      <c r="Z18" s="7" t="s">
        <v>540</v>
      </c>
    </row>
    <row r="19" customFormat="false" ht="39.75" hidden="false" customHeight="true" outlineLevel="0" collapsed="false">
      <c r="H19" s="11" t="s">
        <v>541</v>
      </c>
      <c r="I19" s="11" t="s">
        <v>542</v>
      </c>
      <c r="J19" s="11" t="s">
        <v>543</v>
      </c>
      <c r="K19" s="11" t="s">
        <v>544</v>
      </c>
      <c r="L19" s="11" t="s">
        <v>545</v>
      </c>
      <c r="M19" s="11" t="s">
        <v>546</v>
      </c>
      <c r="N19" s="11" t="s">
        <v>547</v>
      </c>
      <c r="O19" s="11" t="s">
        <v>548</v>
      </c>
      <c r="Q19" s="11" t="s">
        <v>541</v>
      </c>
      <c r="R19" s="11" t="s">
        <v>542</v>
      </c>
      <c r="S19" s="11" t="s">
        <v>543</v>
      </c>
      <c r="T19" s="11" t="s">
        <v>544</v>
      </c>
      <c r="U19" s="11" t="s">
        <v>545</v>
      </c>
      <c r="V19" s="11" t="s">
        <v>546</v>
      </c>
      <c r="W19" s="11" t="s">
        <v>547</v>
      </c>
      <c r="X19" s="11" t="s">
        <v>548</v>
      </c>
      <c r="Z19" s="31" t="s">
        <v>549</v>
      </c>
      <c r="AA19" s="31" t="s">
        <v>550</v>
      </c>
      <c r="AB19" s="31" t="s">
        <v>546</v>
      </c>
      <c r="AC19" s="31" t="s">
        <v>88</v>
      </c>
    </row>
    <row r="20" customFormat="false" ht="15" hidden="false" customHeight="false" outlineLevel="0" collapsed="false">
      <c r="H20" s="19" t="n">
        <v>1</v>
      </c>
      <c r="I20" s="19" t="n">
        <f aca="false">IF(0&lt;FT_PreY5,FT_First+FT_Int1*0,FT_Y5+FT_Int2*(0-FT_PreY5))</f>
        <v>36</v>
      </c>
      <c r="J20" s="19" t="str">
        <f aca="false">INT(I20/12)&amp;"y "&amp;MOD(I20,12)&amp;"m"</f>
        <v>3y 0m</v>
      </c>
      <c r="K20" s="17" t="n">
        <f aca="false">IF(OR($C$6&lt;&gt;"Yes",$C$8=""),"",EDATE($C$8,I20))</f>
        <v>44821</v>
      </c>
      <c r="L20" s="19" t="str">
        <f aca="false">IF(K20="","",IF($C$16=0,$C$9,IF(AND($C$14&lt;&gt;"",K20&gt;=$C$14),$C$15,IF(AND($C$12&lt;&gt;"",K20&gt;=$C$12),$C$13,$C$11))))</f>
        <v>Part-Time</v>
      </c>
      <c r="M20" s="19" t="str">
        <f aca="false">IF(K20="","",IF(OR(ISNUMBER(SEARCH("full",L20)),UPPER(TRIM(L20))="FT",UPPER(TRIM(L20))="FTE"),"FT",IF(AND(OR(ISNUMBER(SEARCH("part",L20)),UPPER(TRIM(L20))="PT",UPPER(TRIM(L20))="PTE"),OR($C$10="",N($C$10)&gt;=PT_MinHours)),"PT","None")))</f>
        <v>PT</v>
      </c>
      <c r="N20" s="19" t="n">
        <f aca="false">IF(I20&lt;FT_Y5,1,IF(MOD(I20-FT_Y5,12)=0,FT_AnnivDays,1))</f>
        <v>1</v>
      </c>
      <c r="O20" s="19" t="n">
        <f aca="false">IF(K20="","",IF(AND(M20="FT",K20&lt;=AsOfDate),N20,0))</f>
        <v>0</v>
      </c>
      <c r="Q20" s="19" t="n">
        <v>1</v>
      </c>
      <c r="R20" s="19" t="n">
        <f aca="false">PT_First+PT_Int*0</f>
        <v>60</v>
      </c>
      <c r="S20" s="19" t="str">
        <f aca="false">INT(R20/12)&amp;"y "&amp;MOD(R20,12)&amp;"m"</f>
        <v>5y 0m</v>
      </c>
      <c r="T20" s="17" t="n">
        <f aca="false">IF(OR($C$6&lt;&gt;"Yes",$C$8=""),"",EDATE($C$8,R20))</f>
        <v>45552</v>
      </c>
      <c r="U20" s="19" t="str">
        <f aca="false">IF(T20="","",IF($C$16=0,$C$9,IF(AND($C$14&lt;&gt;"",T20&gt;=$C$14),$C$15,IF(AND($C$12&lt;&gt;"",T20&gt;=$C$12),$C$13,$C$11))))</f>
        <v>Part-Time</v>
      </c>
      <c r="V20" s="19" t="str">
        <f aca="false">IF(T20="","",IF(OR(ISNUMBER(SEARCH("full",U20)),UPPER(TRIM(U20))="FT",UPPER(TRIM(U20))="FTE"),"FT",IF(AND(OR(ISNUMBER(SEARCH("part",U20)),UPPER(TRIM(U20))="PT",UPPER(TRIM(U20))="PTE"),OR($C$10="",N($C$10)&gt;=PT_MinHours)),"PT","None")))</f>
        <v>PT</v>
      </c>
      <c r="W20" s="19" t="n">
        <v>1</v>
      </c>
      <c r="X20" s="19" t="n">
        <f aca="false">IF(T20="","",IF(AND(V20="PT",T20&lt;=AsOfDate),W20,0))</f>
        <v>1</v>
      </c>
      <c r="Z20" s="22" t="n">
        <f aca="false">I20</f>
        <v>36</v>
      </c>
      <c r="AA20" s="22" t="n">
        <f aca="false">SMALL($Z$20:$Z$199,1)</f>
        <v>36</v>
      </c>
      <c r="AB20" s="22" t="str">
        <f aca="false">IF(1-COUNTIF($Z$20:$Z$199,"&lt;"&amp;AA20)=1,IF(COUNTIF($I$20:$I$109,AA20)&gt;0,"FT","PT"),"PT")</f>
        <v>FT</v>
      </c>
      <c r="AC20" s="22" t="n">
        <f aca="false">IF(AB20="FT",INDEX($N$20:$N$109,MATCH(AA20,$I$20:$I$109,0)),1)</f>
        <v>1</v>
      </c>
    </row>
    <row r="21" customFormat="false" ht="15" hidden="false" customHeight="false" outlineLevel="0" collapsed="false">
      <c r="H21" s="19" t="n">
        <v>2</v>
      </c>
      <c r="I21" s="19" t="n">
        <f aca="false">IF(1&lt;FT_PreY5,FT_First+FT_Int1*1,FT_Y5+FT_Int2*(1-FT_PreY5))</f>
        <v>40</v>
      </c>
      <c r="J21" s="19" t="str">
        <f aca="false">INT(I21/12)&amp;"y "&amp;MOD(I21,12)&amp;"m"</f>
        <v>3y 4m</v>
      </c>
      <c r="K21" s="17" t="n">
        <f aca="false">IF(OR($C$6&lt;&gt;"Yes",$C$8=""),"",EDATE($C$8,I21))</f>
        <v>44943</v>
      </c>
      <c r="L21" s="19" t="str">
        <f aca="false">IF(K21="","",IF($C$16=0,$C$9,IF(AND($C$14&lt;&gt;"",K21&gt;=$C$14),$C$15,IF(AND($C$12&lt;&gt;"",K21&gt;=$C$12),$C$13,$C$11))))</f>
        <v>Part-Time</v>
      </c>
      <c r="M21" s="19" t="str">
        <f aca="false">IF(K21="","",IF(OR(ISNUMBER(SEARCH("full",L21)),UPPER(TRIM(L21))="FT",UPPER(TRIM(L21))="FTE"),"FT",IF(AND(OR(ISNUMBER(SEARCH("part",L21)),UPPER(TRIM(L21))="PT",UPPER(TRIM(L21))="PTE"),OR($C$10="",N($C$10)&gt;=PT_MinHours)),"PT","None")))</f>
        <v>PT</v>
      </c>
      <c r="N21" s="19" t="n">
        <f aca="false">IF(I21&lt;FT_Y5,1,IF(MOD(I21-FT_Y5,12)=0,FT_AnnivDays,1))</f>
        <v>1</v>
      </c>
      <c r="O21" s="19" t="n">
        <f aca="false">IF(K21="","",IF(AND(M21="FT",K21&lt;=AsOfDate),N21,0))</f>
        <v>0</v>
      </c>
      <c r="Q21" s="19" t="n">
        <v>2</v>
      </c>
      <c r="R21" s="19" t="n">
        <f aca="false">PT_First+PT_Int*1</f>
        <v>64</v>
      </c>
      <c r="S21" s="19" t="str">
        <f aca="false">INT(R21/12)&amp;"y "&amp;MOD(R21,12)&amp;"m"</f>
        <v>5y 4m</v>
      </c>
      <c r="T21" s="17" t="n">
        <f aca="false">IF(OR($C$6&lt;&gt;"Yes",$C$8=""),"",EDATE($C$8,R21))</f>
        <v>45674</v>
      </c>
      <c r="U21" s="19" t="str">
        <f aca="false">IF(T21="","",IF($C$16=0,$C$9,IF(AND($C$14&lt;&gt;"",T21&gt;=$C$14),$C$15,IF(AND($C$12&lt;&gt;"",T21&gt;=$C$12),$C$13,$C$11))))</f>
        <v>Part-Time</v>
      </c>
      <c r="V21" s="19" t="str">
        <f aca="false">IF(T21="","",IF(OR(ISNUMBER(SEARCH("full",U21)),UPPER(TRIM(U21))="FT",UPPER(TRIM(U21))="FTE"),"FT",IF(AND(OR(ISNUMBER(SEARCH("part",U21)),UPPER(TRIM(U21))="PT",UPPER(TRIM(U21))="PTE"),OR($C$10="",N($C$10)&gt;=PT_MinHours)),"PT","None")))</f>
        <v>PT</v>
      </c>
      <c r="W21" s="19" t="n">
        <v>1</v>
      </c>
      <c r="X21" s="19" t="n">
        <f aca="false">IF(T21="","",IF(AND(V21="PT",T21&lt;=AsOfDate),W21,0))</f>
        <v>1</v>
      </c>
      <c r="Z21" s="22" t="n">
        <f aca="false">I21</f>
        <v>40</v>
      </c>
      <c r="AA21" s="22" t="n">
        <f aca="false">SMALL($Z$20:$Z$199,2)</f>
        <v>40</v>
      </c>
      <c r="AB21" s="22" t="str">
        <f aca="false">IF(2-COUNTIF($Z$20:$Z$199,"&lt;"&amp;AA21)=1,IF(COUNTIF($I$20:$I$109,AA21)&gt;0,"FT","PT"),"PT")</f>
        <v>FT</v>
      </c>
      <c r="AC21" s="22" t="n">
        <f aca="false">IF(AB21="FT",INDEX($N$20:$N$109,MATCH(AA21,$I$20:$I$109,0)),1)</f>
        <v>1</v>
      </c>
    </row>
    <row r="22" customFormat="false" ht="15" hidden="false" customHeight="false" outlineLevel="0" collapsed="false">
      <c r="H22" s="19" t="n">
        <v>3</v>
      </c>
      <c r="I22" s="19" t="n">
        <f aca="false">IF(2&lt;FT_PreY5,FT_First+FT_Int1*2,FT_Y5+FT_Int2*(2-FT_PreY5))</f>
        <v>44</v>
      </c>
      <c r="J22" s="19" t="str">
        <f aca="false">INT(I22/12)&amp;"y "&amp;MOD(I22,12)&amp;"m"</f>
        <v>3y 8m</v>
      </c>
      <c r="K22" s="17" t="n">
        <f aca="false">IF(OR($C$6&lt;&gt;"Yes",$C$8=""),"",EDATE($C$8,I22))</f>
        <v>45063</v>
      </c>
      <c r="L22" s="19" t="str">
        <f aca="false">IF(K22="","",IF($C$16=0,$C$9,IF(AND($C$14&lt;&gt;"",K22&gt;=$C$14),$C$15,IF(AND($C$12&lt;&gt;"",K22&gt;=$C$12),$C$13,$C$11))))</f>
        <v>Part-Time</v>
      </c>
      <c r="M22" s="19" t="str">
        <f aca="false">IF(K22="","",IF(OR(ISNUMBER(SEARCH("full",L22)),UPPER(TRIM(L22))="FT",UPPER(TRIM(L22))="FTE"),"FT",IF(AND(OR(ISNUMBER(SEARCH("part",L22)),UPPER(TRIM(L22))="PT",UPPER(TRIM(L22))="PTE"),OR($C$10="",N($C$10)&gt;=PT_MinHours)),"PT","None")))</f>
        <v>PT</v>
      </c>
      <c r="N22" s="19" t="n">
        <f aca="false">IF(I22&lt;FT_Y5,1,IF(MOD(I22-FT_Y5,12)=0,FT_AnnivDays,1))</f>
        <v>1</v>
      </c>
      <c r="O22" s="19" t="n">
        <f aca="false">IF(K22="","",IF(AND(M22="FT",K22&lt;=AsOfDate),N22,0))</f>
        <v>0</v>
      </c>
      <c r="Q22" s="19" t="n">
        <v>3</v>
      </c>
      <c r="R22" s="19" t="n">
        <f aca="false">PT_First+PT_Int*2</f>
        <v>68</v>
      </c>
      <c r="S22" s="19" t="str">
        <f aca="false">INT(R22/12)&amp;"y "&amp;MOD(R22,12)&amp;"m"</f>
        <v>5y 8m</v>
      </c>
      <c r="T22" s="17" t="n">
        <f aca="false">IF(OR($C$6&lt;&gt;"Yes",$C$8=""),"",EDATE($C$8,R22))</f>
        <v>45794</v>
      </c>
      <c r="U22" s="19" t="str">
        <f aca="false">IF(T22="","",IF($C$16=0,$C$9,IF(AND($C$14&lt;&gt;"",T22&gt;=$C$14),$C$15,IF(AND($C$12&lt;&gt;"",T22&gt;=$C$12),$C$13,$C$11))))</f>
        <v>Part-Time</v>
      </c>
      <c r="V22" s="19" t="str">
        <f aca="false">IF(T22="","",IF(OR(ISNUMBER(SEARCH("full",U22)),UPPER(TRIM(U22))="FT",UPPER(TRIM(U22))="FTE"),"FT",IF(AND(OR(ISNUMBER(SEARCH("part",U22)),UPPER(TRIM(U22))="PT",UPPER(TRIM(U22))="PTE"),OR($C$10="",N($C$10)&gt;=PT_MinHours)),"PT","None")))</f>
        <v>PT</v>
      </c>
      <c r="W22" s="19" t="n">
        <v>1</v>
      </c>
      <c r="X22" s="19" t="n">
        <f aca="false">IF(T22="","",IF(AND(V22="PT",T22&lt;=AsOfDate),W22,0))</f>
        <v>1</v>
      </c>
      <c r="Z22" s="22" t="n">
        <f aca="false">I22</f>
        <v>44</v>
      </c>
      <c r="AA22" s="22" t="n">
        <f aca="false">SMALL($Z$20:$Z$199,3)</f>
        <v>44</v>
      </c>
      <c r="AB22" s="22" t="str">
        <f aca="false">IF(3-COUNTIF($Z$20:$Z$199,"&lt;"&amp;AA22)=1,IF(COUNTIF($I$20:$I$109,AA22)&gt;0,"FT","PT"),"PT")</f>
        <v>FT</v>
      </c>
      <c r="AC22" s="22" t="n">
        <f aca="false">IF(AB22="FT",INDEX($N$20:$N$109,MATCH(AA22,$I$20:$I$109,0)),1)</f>
        <v>1</v>
      </c>
    </row>
    <row r="23" customFormat="false" ht="15" hidden="false" customHeight="false" outlineLevel="0" collapsed="false">
      <c r="H23" s="19" t="n">
        <v>4</v>
      </c>
      <c r="I23" s="19" t="n">
        <f aca="false">IF(3&lt;FT_PreY5,FT_First+FT_Int1*3,FT_Y5+FT_Int2*(3-FT_PreY5))</f>
        <v>48</v>
      </c>
      <c r="J23" s="19" t="str">
        <f aca="false">INT(I23/12)&amp;"y "&amp;MOD(I23,12)&amp;"m"</f>
        <v>4y 0m</v>
      </c>
      <c r="K23" s="17" t="n">
        <f aca="false">IF(OR($C$6&lt;&gt;"Yes",$C$8=""),"",EDATE($C$8,I23))</f>
        <v>45186</v>
      </c>
      <c r="L23" s="19" t="str">
        <f aca="false">IF(K23="","",IF($C$16=0,$C$9,IF(AND($C$14&lt;&gt;"",K23&gt;=$C$14),$C$15,IF(AND($C$12&lt;&gt;"",K23&gt;=$C$12),$C$13,$C$11))))</f>
        <v>Part-Time</v>
      </c>
      <c r="M23" s="19" t="str">
        <f aca="false">IF(K23="","",IF(OR(ISNUMBER(SEARCH("full",L23)),UPPER(TRIM(L23))="FT",UPPER(TRIM(L23))="FTE"),"FT",IF(AND(OR(ISNUMBER(SEARCH("part",L23)),UPPER(TRIM(L23))="PT",UPPER(TRIM(L23))="PTE"),OR($C$10="",N($C$10)&gt;=PT_MinHours)),"PT","None")))</f>
        <v>PT</v>
      </c>
      <c r="N23" s="19" t="n">
        <f aca="false">IF(I23&lt;FT_Y5,1,IF(MOD(I23-FT_Y5,12)=0,FT_AnnivDays,1))</f>
        <v>1</v>
      </c>
      <c r="O23" s="19" t="n">
        <f aca="false">IF(K23="","",IF(AND(M23="FT",K23&lt;=AsOfDate),N23,0))</f>
        <v>0</v>
      </c>
      <c r="Q23" s="19" t="n">
        <v>4</v>
      </c>
      <c r="R23" s="19" t="n">
        <f aca="false">PT_First+PT_Int*3</f>
        <v>72</v>
      </c>
      <c r="S23" s="19" t="str">
        <f aca="false">INT(R23/12)&amp;"y "&amp;MOD(R23,12)&amp;"m"</f>
        <v>6y 0m</v>
      </c>
      <c r="T23" s="17" t="n">
        <f aca="false">IF(OR($C$6&lt;&gt;"Yes",$C$8=""),"",EDATE($C$8,R23))</f>
        <v>45917</v>
      </c>
      <c r="U23" s="19" t="str">
        <f aca="false">IF(T23="","",IF($C$16=0,$C$9,IF(AND($C$14&lt;&gt;"",T23&gt;=$C$14),$C$15,IF(AND($C$12&lt;&gt;"",T23&gt;=$C$12),$C$13,$C$11))))</f>
        <v>Part-Time</v>
      </c>
      <c r="V23" s="19" t="str">
        <f aca="false">IF(T23="","",IF(OR(ISNUMBER(SEARCH("full",U23)),UPPER(TRIM(U23))="FT",UPPER(TRIM(U23))="FTE"),"FT",IF(AND(OR(ISNUMBER(SEARCH("part",U23)),UPPER(TRIM(U23))="PT",UPPER(TRIM(U23))="PTE"),OR($C$10="",N($C$10)&gt;=PT_MinHours)),"PT","None")))</f>
        <v>PT</v>
      </c>
      <c r="W23" s="19" t="n">
        <v>1</v>
      </c>
      <c r="X23" s="19" t="n">
        <f aca="false">IF(T23="","",IF(AND(V23="PT",T23&lt;=AsOfDate),W23,0))</f>
        <v>1</v>
      </c>
      <c r="Z23" s="22" t="n">
        <f aca="false">I23</f>
        <v>48</v>
      </c>
      <c r="AA23" s="22" t="n">
        <f aca="false">SMALL($Z$20:$Z$199,4)</f>
        <v>48</v>
      </c>
      <c r="AB23" s="22" t="str">
        <f aca="false">IF(4-COUNTIF($Z$20:$Z$199,"&lt;"&amp;AA23)=1,IF(COUNTIF($I$20:$I$109,AA23)&gt;0,"FT","PT"),"PT")</f>
        <v>FT</v>
      </c>
      <c r="AC23" s="22" t="n">
        <f aca="false">IF(AB23="FT",INDEX($N$20:$N$109,MATCH(AA23,$I$20:$I$109,0)),1)</f>
        <v>1</v>
      </c>
    </row>
    <row r="24" customFormat="false" ht="15" hidden="false" customHeight="false" outlineLevel="0" collapsed="false">
      <c r="H24" s="19" t="n">
        <v>5</v>
      </c>
      <c r="I24" s="19" t="n">
        <f aca="false">IF(4&lt;FT_PreY5,FT_First+FT_Int1*4,FT_Y5+FT_Int2*(4-FT_PreY5))</f>
        <v>52</v>
      </c>
      <c r="J24" s="19" t="str">
        <f aca="false">INT(I24/12)&amp;"y "&amp;MOD(I24,12)&amp;"m"</f>
        <v>4y 4m</v>
      </c>
      <c r="K24" s="17" t="n">
        <f aca="false">IF(OR($C$6&lt;&gt;"Yes",$C$8=""),"",EDATE($C$8,I24))</f>
        <v>45308</v>
      </c>
      <c r="L24" s="19" t="str">
        <f aca="false">IF(K24="","",IF($C$16=0,$C$9,IF(AND($C$14&lt;&gt;"",K24&gt;=$C$14),$C$15,IF(AND($C$12&lt;&gt;"",K24&gt;=$C$12),$C$13,$C$11))))</f>
        <v>Part-Time</v>
      </c>
      <c r="M24" s="19" t="str">
        <f aca="false">IF(K24="","",IF(OR(ISNUMBER(SEARCH("full",L24)),UPPER(TRIM(L24))="FT",UPPER(TRIM(L24))="FTE"),"FT",IF(AND(OR(ISNUMBER(SEARCH("part",L24)),UPPER(TRIM(L24))="PT",UPPER(TRIM(L24))="PTE"),OR($C$10="",N($C$10)&gt;=PT_MinHours)),"PT","None")))</f>
        <v>PT</v>
      </c>
      <c r="N24" s="19" t="n">
        <f aca="false">IF(I24&lt;FT_Y5,1,IF(MOD(I24-FT_Y5,12)=0,FT_AnnivDays,1))</f>
        <v>1</v>
      </c>
      <c r="O24" s="19" t="n">
        <f aca="false">IF(K24="","",IF(AND(M24="FT",K24&lt;=AsOfDate),N24,0))</f>
        <v>0</v>
      </c>
      <c r="Q24" s="19" t="n">
        <v>5</v>
      </c>
      <c r="R24" s="19" t="n">
        <f aca="false">PT_First+PT_Int*4</f>
        <v>76</v>
      </c>
      <c r="S24" s="19" t="str">
        <f aca="false">INT(R24/12)&amp;"y "&amp;MOD(R24,12)&amp;"m"</f>
        <v>6y 4m</v>
      </c>
      <c r="T24" s="17" t="n">
        <f aca="false">IF(OR($C$6&lt;&gt;"Yes",$C$8=""),"",EDATE($C$8,R24))</f>
        <v>46039</v>
      </c>
      <c r="U24" s="19" t="str">
        <f aca="false">IF(T24="","",IF($C$16=0,$C$9,IF(AND($C$14&lt;&gt;"",T24&gt;=$C$14),$C$15,IF(AND($C$12&lt;&gt;"",T24&gt;=$C$12),$C$13,$C$11))))</f>
        <v>Part-Time</v>
      </c>
      <c r="V24" s="19" t="str">
        <f aca="false">IF(T24="","",IF(OR(ISNUMBER(SEARCH("full",U24)),UPPER(TRIM(U24))="FT",UPPER(TRIM(U24))="FTE"),"FT",IF(AND(OR(ISNUMBER(SEARCH("part",U24)),UPPER(TRIM(U24))="PT",UPPER(TRIM(U24))="PTE"),OR($C$10="",N($C$10)&gt;=PT_MinHours)),"PT","None")))</f>
        <v>PT</v>
      </c>
      <c r="W24" s="19" t="n">
        <v>1</v>
      </c>
      <c r="X24" s="19" t="n">
        <f aca="false">IF(T24="","",IF(AND(V24="PT",T24&lt;=AsOfDate),W24,0))</f>
        <v>1</v>
      </c>
      <c r="Z24" s="22" t="n">
        <f aca="false">I24</f>
        <v>52</v>
      </c>
      <c r="AA24" s="22" t="n">
        <f aca="false">SMALL($Z$20:$Z$199,5)</f>
        <v>52</v>
      </c>
      <c r="AB24" s="22" t="str">
        <f aca="false">IF(5-COUNTIF($Z$20:$Z$199,"&lt;"&amp;AA24)=1,IF(COUNTIF($I$20:$I$109,AA24)&gt;0,"FT","PT"),"PT")</f>
        <v>FT</v>
      </c>
      <c r="AC24" s="22" t="n">
        <f aca="false">IF(AB24="FT",INDEX($N$20:$N$109,MATCH(AA24,$I$20:$I$109,0)),1)</f>
        <v>1</v>
      </c>
    </row>
    <row r="25" customFormat="false" ht="15" hidden="false" customHeight="false" outlineLevel="0" collapsed="false">
      <c r="H25" s="19" t="n">
        <v>6</v>
      </c>
      <c r="I25" s="19" t="n">
        <f aca="false">IF(5&lt;FT_PreY5,FT_First+FT_Int1*5,FT_Y5+FT_Int2*(5-FT_PreY5))</f>
        <v>56</v>
      </c>
      <c r="J25" s="19" t="str">
        <f aca="false">INT(I25/12)&amp;"y "&amp;MOD(I25,12)&amp;"m"</f>
        <v>4y 8m</v>
      </c>
      <c r="K25" s="17" t="n">
        <f aca="false">IF(OR($C$6&lt;&gt;"Yes",$C$8=""),"",EDATE($C$8,I25))</f>
        <v>45429</v>
      </c>
      <c r="L25" s="19" t="str">
        <f aca="false">IF(K25="","",IF($C$16=0,$C$9,IF(AND($C$14&lt;&gt;"",K25&gt;=$C$14),$C$15,IF(AND($C$12&lt;&gt;"",K25&gt;=$C$12),$C$13,$C$11))))</f>
        <v>Part-Time</v>
      </c>
      <c r="M25" s="19" t="str">
        <f aca="false">IF(K25="","",IF(OR(ISNUMBER(SEARCH("full",L25)),UPPER(TRIM(L25))="FT",UPPER(TRIM(L25))="FTE"),"FT",IF(AND(OR(ISNUMBER(SEARCH("part",L25)),UPPER(TRIM(L25))="PT",UPPER(TRIM(L25))="PTE"),OR($C$10="",N($C$10)&gt;=PT_MinHours)),"PT","None")))</f>
        <v>PT</v>
      </c>
      <c r="N25" s="19" t="n">
        <f aca="false">IF(I25&lt;FT_Y5,1,IF(MOD(I25-FT_Y5,12)=0,FT_AnnivDays,1))</f>
        <v>1</v>
      </c>
      <c r="O25" s="19" t="n">
        <f aca="false">IF(K25="","",IF(AND(M25="FT",K25&lt;=AsOfDate),N25,0))</f>
        <v>0</v>
      </c>
      <c r="Q25" s="19" t="n">
        <v>6</v>
      </c>
      <c r="R25" s="19" t="n">
        <f aca="false">PT_First+PT_Int*5</f>
        <v>80</v>
      </c>
      <c r="S25" s="19" t="str">
        <f aca="false">INT(R25/12)&amp;"y "&amp;MOD(R25,12)&amp;"m"</f>
        <v>6y 8m</v>
      </c>
      <c r="T25" s="17" t="n">
        <f aca="false">IF(OR($C$6&lt;&gt;"Yes",$C$8=""),"",EDATE($C$8,R25))</f>
        <v>46159</v>
      </c>
      <c r="U25" s="19" t="str">
        <f aca="false">IF(T25="","",IF($C$16=0,$C$9,IF(AND($C$14&lt;&gt;"",T25&gt;=$C$14),$C$15,IF(AND($C$12&lt;&gt;"",T25&gt;=$C$12),$C$13,$C$11))))</f>
        <v>Full-Time</v>
      </c>
      <c r="V25" s="19" t="str">
        <f aca="false">IF(T25="","",IF(OR(ISNUMBER(SEARCH("full",U25)),UPPER(TRIM(U25))="FT",UPPER(TRIM(U25))="FTE"),"FT",IF(AND(OR(ISNUMBER(SEARCH("part",U25)),UPPER(TRIM(U25))="PT",UPPER(TRIM(U25))="PTE"),OR($C$10="",N($C$10)&gt;=PT_MinHours)),"PT","None")))</f>
        <v>FT</v>
      </c>
      <c r="W25" s="19" t="n">
        <v>1</v>
      </c>
      <c r="X25" s="19" t="n">
        <f aca="false">IF(T25="","",IF(AND(V25="PT",T25&lt;=AsOfDate),W25,0))</f>
        <v>0</v>
      </c>
      <c r="Z25" s="22" t="n">
        <f aca="false">I25</f>
        <v>56</v>
      </c>
      <c r="AA25" s="22" t="n">
        <f aca="false">SMALL($Z$20:$Z$199,6)</f>
        <v>56</v>
      </c>
      <c r="AB25" s="22" t="str">
        <f aca="false">IF(6-COUNTIF($Z$20:$Z$199,"&lt;"&amp;AA25)=1,IF(COUNTIF($I$20:$I$109,AA25)&gt;0,"FT","PT"),"PT")</f>
        <v>FT</v>
      </c>
      <c r="AC25" s="22" t="n">
        <f aca="false">IF(AB25="FT",INDEX($N$20:$N$109,MATCH(AA25,$I$20:$I$109,0)),1)</f>
        <v>1</v>
      </c>
    </row>
    <row r="26" customFormat="false" ht="15" hidden="false" customHeight="false" outlineLevel="0" collapsed="false">
      <c r="H26" s="19" t="n">
        <v>7</v>
      </c>
      <c r="I26" s="19" t="n">
        <f aca="false">IF(6&lt;FT_PreY5,FT_First+FT_Int1*6,FT_Y5+FT_Int2*(6-FT_PreY5))</f>
        <v>60</v>
      </c>
      <c r="J26" s="19" t="str">
        <f aca="false">INT(I26/12)&amp;"y "&amp;MOD(I26,12)&amp;"m"</f>
        <v>5y 0m</v>
      </c>
      <c r="K26" s="17" t="n">
        <f aca="false">IF(OR($C$6&lt;&gt;"Yes",$C$8=""),"",EDATE($C$8,I26))</f>
        <v>45552</v>
      </c>
      <c r="L26" s="19" t="str">
        <f aca="false">IF(K26="","",IF($C$16=0,$C$9,IF(AND($C$14&lt;&gt;"",K26&gt;=$C$14),$C$15,IF(AND($C$12&lt;&gt;"",K26&gt;=$C$12),$C$13,$C$11))))</f>
        <v>Part-Time</v>
      </c>
      <c r="M26" s="19" t="str">
        <f aca="false">IF(K26="","",IF(OR(ISNUMBER(SEARCH("full",L26)),UPPER(TRIM(L26))="FT",UPPER(TRIM(L26))="FTE"),"FT",IF(AND(OR(ISNUMBER(SEARCH("part",L26)),UPPER(TRIM(L26))="PT",UPPER(TRIM(L26))="PTE"),OR($C$10="",N($C$10)&gt;=PT_MinHours)),"PT","None")))</f>
        <v>PT</v>
      </c>
      <c r="N26" s="19" t="n">
        <f aca="false">IF(I26&lt;FT_Y5,1,IF(MOD(I26-FT_Y5,12)=0,FT_AnnivDays,1))</f>
        <v>2</v>
      </c>
      <c r="O26" s="19" t="n">
        <f aca="false">IF(K26="","",IF(AND(M26="FT",K26&lt;=AsOfDate),N26,0))</f>
        <v>0</v>
      </c>
      <c r="Q26" s="19" t="n">
        <v>7</v>
      </c>
      <c r="R26" s="19" t="n">
        <f aca="false">PT_First+PT_Int*6</f>
        <v>84</v>
      </c>
      <c r="S26" s="19" t="str">
        <f aca="false">INT(R26/12)&amp;"y "&amp;MOD(R26,12)&amp;"m"</f>
        <v>7y 0m</v>
      </c>
      <c r="T26" s="17" t="n">
        <f aca="false">IF(OR($C$6&lt;&gt;"Yes",$C$8=""),"",EDATE($C$8,R26))</f>
        <v>46282</v>
      </c>
      <c r="U26" s="19" t="str">
        <f aca="false">IF(T26="","",IF($C$16=0,$C$9,IF(AND($C$14&lt;&gt;"",T26&gt;=$C$14),$C$15,IF(AND($C$12&lt;&gt;"",T26&gt;=$C$12),$C$13,$C$11))))</f>
        <v>Full-Time</v>
      </c>
      <c r="V26" s="19" t="str">
        <f aca="false">IF(T26="","",IF(OR(ISNUMBER(SEARCH("full",U26)),UPPER(TRIM(U26))="FT",UPPER(TRIM(U26))="FTE"),"FT",IF(AND(OR(ISNUMBER(SEARCH("part",U26)),UPPER(TRIM(U26))="PT",UPPER(TRIM(U26))="PTE"),OR($C$10="",N($C$10)&gt;=PT_MinHours)),"PT","None")))</f>
        <v>FT</v>
      </c>
      <c r="W26" s="19" t="n">
        <v>1</v>
      </c>
      <c r="X26" s="19" t="n">
        <f aca="false">IF(T26="","",IF(AND(V26="PT",T26&lt;=AsOfDate),W26,0))</f>
        <v>0</v>
      </c>
      <c r="Z26" s="22" t="n">
        <f aca="false">I26</f>
        <v>60</v>
      </c>
      <c r="AA26" s="22" t="n">
        <f aca="false">SMALL($Z$20:$Z$199,7)</f>
        <v>60</v>
      </c>
      <c r="AB26" s="22" t="str">
        <f aca="false">IF(7-COUNTIF($Z$20:$Z$199,"&lt;"&amp;AA26)=1,IF(COUNTIF($I$20:$I$109,AA26)&gt;0,"FT","PT"),"PT")</f>
        <v>FT</v>
      </c>
      <c r="AC26" s="22" t="n">
        <f aca="false">IF(AB26="FT",INDEX($N$20:$N$109,MATCH(AA26,$I$20:$I$109,0)),1)</f>
        <v>2</v>
      </c>
    </row>
    <row r="27" customFormat="false" ht="15" hidden="false" customHeight="false" outlineLevel="0" collapsed="false">
      <c r="H27" s="19" t="n">
        <v>8</v>
      </c>
      <c r="I27" s="19" t="n">
        <f aca="false">IF(7&lt;FT_PreY5,FT_First+FT_Int1*7,FT_Y5+FT_Int2*(7-FT_PreY5))</f>
        <v>63</v>
      </c>
      <c r="J27" s="19" t="str">
        <f aca="false">INT(I27/12)&amp;"y "&amp;MOD(I27,12)&amp;"m"</f>
        <v>5y 3m</v>
      </c>
      <c r="K27" s="17" t="n">
        <f aca="false">IF(OR($C$6&lt;&gt;"Yes",$C$8=""),"",EDATE($C$8,I27))</f>
        <v>45643</v>
      </c>
      <c r="L27" s="19" t="str">
        <f aca="false">IF(K27="","",IF($C$16=0,$C$9,IF(AND($C$14&lt;&gt;"",K27&gt;=$C$14),$C$15,IF(AND($C$12&lt;&gt;"",K27&gt;=$C$12),$C$13,$C$11))))</f>
        <v>Part-Time</v>
      </c>
      <c r="M27" s="19" t="str">
        <f aca="false">IF(K27="","",IF(OR(ISNUMBER(SEARCH("full",L27)),UPPER(TRIM(L27))="FT",UPPER(TRIM(L27))="FTE"),"FT",IF(AND(OR(ISNUMBER(SEARCH("part",L27)),UPPER(TRIM(L27))="PT",UPPER(TRIM(L27))="PTE"),OR($C$10="",N($C$10)&gt;=PT_MinHours)),"PT","None")))</f>
        <v>PT</v>
      </c>
      <c r="N27" s="19" t="n">
        <f aca="false">IF(I27&lt;FT_Y5,1,IF(MOD(I27-FT_Y5,12)=0,FT_AnnivDays,1))</f>
        <v>1</v>
      </c>
      <c r="O27" s="19" t="n">
        <f aca="false">IF(K27="","",IF(AND(M27="FT",K27&lt;=AsOfDate),N27,0))</f>
        <v>0</v>
      </c>
      <c r="Q27" s="19" t="n">
        <v>8</v>
      </c>
      <c r="R27" s="19" t="n">
        <f aca="false">PT_First+PT_Int*7</f>
        <v>88</v>
      </c>
      <c r="S27" s="19" t="str">
        <f aca="false">INT(R27/12)&amp;"y "&amp;MOD(R27,12)&amp;"m"</f>
        <v>7y 4m</v>
      </c>
      <c r="T27" s="17" t="n">
        <f aca="false">IF(OR($C$6&lt;&gt;"Yes",$C$8=""),"",EDATE($C$8,R27))</f>
        <v>46404</v>
      </c>
      <c r="U27" s="19" t="str">
        <f aca="false">IF(T27="","",IF($C$16=0,$C$9,IF(AND($C$14&lt;&gt;"",T27&gt;=$C$14),$C$15,IF(AND($C$12&lt;&gt;"",T27&gt;=$C$12),$C$13,$C$11))))</f>
        <v>Full-Time</v>
      </c>
      <c r="V27" s="19" t="str">
        <f aca="false">IF(T27="","",IF(OR(ISNUMBER(SEARCH("full",U27)),UPPER(TRIM(U27))="FT",UPPER(TRIM(U27))="FTE"),"FT",IF(AND(OR(ISNUMBER(SEARCH("part",U27)),UPPER(TRIM(U27))="PT",UPPER(TRIM(U27))="PTE"),OR($C$10="",N($C$10)&gt;=PT_MinHours)),"PT","None")))</f>
        <v>FT</v>
      </c>
      <c r="W27" s="19" t="n">
        <v>1</v>
      </c>
      <c r="X27" s="19" t="n">
        <f aca="false">IF(T27="","",IF(AND(V27="PT",T27&lt;=AsOfDate),W27,0))</f>
        <v>0</v>
      </c>
      <c r="Z27" s="22" t="n">
        <f aca="false">I27</f>
        <v>63</v>
      </c>
      <c r="AA27" s="22" t="n">
        <f aca="false">SMALL($Z$20:$Z$199,8)</f>
        <v>60</v>
      </c>
      <c r="AB27" s="22" t="str">
        <f aca="false">IF(8-COUNTIF($Z$20:$Z$199,"&lt;"&amp;AA27)=1,IF(COUNTIF($I$20:$I$109,AA27)&gt;0,"FT","PT"),"PT")</f>
        <v>PT</v>
      </c>
      <c r="AC27" s="22" t="n">
        <f aca="false">IF(AB27="FT",INDEX($N$20:$N$109,MATCH(AA27,$I$20:$I$109,0)),1)</f>
        <v>1</v>
      </c>
    </row>
    <row r="28" customFormat="false" ht="15" hidden="false" customHeight="false" outlineLevel="0" collapsed="false">
      <c r="H28" s="19" t="n">
        <v>9</v>
      </c>
      <c r="I28" s="19" t="n">
        <f aca="false">IF(8&lt;FT_PreY5,FT_First+FT_Int1*8,FT_Y5+FT_Int2*(8-FT_PreY5))</f>
        <v>66</v>
      </c>
      <c r="J28" s="19" t="str">
        <f aca="false">INT(I28/12)&amp;"y "&amp;MOD(I28,12)&amp;"m"</f>
        <v>5y 6m</v>
      </c>
      <c r="K28" s="17" t="n">
        <f aca="false">IF(OR($C$6&lt;&gt;"Yes",$C$8=""),"",EDATE($C$8,I28))</f>
        <v>45733</v>
      </c>
      <c r="L28" s="19" t="str">
        <f aca="false">IF(K28="","",IF($C$16=0,$C$9,IF(AND($C$14&lt;&gt;"",K28&gt;=$C$14),$C$15,IF(AND($C$12&lt;&gt;"",K28&gt;=$C$12),$C$13,$C$11))))</f>
        <v>Part-Time</v>
      </c>
      <c r="M28" s="19" t="str">
        <f aca="false">IF(K28="","",IF(OR(ISNUMBER(SEARCH("full",L28)),UPPER(TRIM(L28))="FT",UPPER(TRIM(L28))="FTE"),"FT",IF(AND(OR(ISNUMBER(SEARCH("part",L28)),UPPER(TRIM(L28))="PT",UPPER(TRIM(L28))="PTE"),OR($C$10="",N($C$10)&gt;=PT_MinHours)),"PT","None")))</f>
        <v>PT</v>
      </c>
      <c r="N28" s="19" t="n">
        <f aca="false">IF(I28&lt;FT_Y5,1,IF(MOD(I28-FT_Y5,12)=0,FT_AnnivDays,1))</f>
        <v>1</v>
      </c>
      <c r="O28" s="19" t="n">
        <f aca="false">IF(K28="","",IF(AND(M28="FT",K28&lt;=AsOfDate),N28,0))</f>
        <v>0</v>
      </c>
      <c r="Q28" s="19" t="n">
        <v>9</v>
      </c>
      <c r="R28" s="19" t="n">
        <f aca="false">PT_First+PT_Int*8</f>
        <v>92</v>
      </c>
      <c r="S28" s="19" t="str">
        <f aca="false">INT(R28/12)&amp;"y "&amp;MOD(R28,12)&amp;"m"</f>
        <v>7y 8m</v>
      </c>
      <c r="T28" s="17" t="n">
        <f aca="false">IF(OR($C$6&lt;&gt;"Yes",$C$8=""),"",EDATE($C$8,R28))</f>
        <v>46524</v>
      </c>
      <c r="U28" s="19" t="str">
        <f aca="false">IF(T28="","",IF($C$16=0,$C$9,IF(AND($C$14&lt;&gt;"",T28&gt;=$C$14),$C$15,IF(AND($C$12&lt;&gt;"",T28&gt;=$C$12),$C$13,$C$11))))</f>
        <v>Full-Time</v>
      </c>
      <c r="V28" s="19" t="str">
        <f aca="false">IF(T28="","",IF(OR(ISNUMBER(SEARCH("full",U28)),UPPER(TRIM(U28))="FT",UPPER(TRIM(U28))="FTE"),"FT",IF(AND(OR(ISNUMBER(SEARCH("part",U28)),UPPER(TRIM(U28))="PT",UPPER(TRIM(U28))="PTE"),OR($C$10="",N($C$10)&gt;=PT_MinHours)),"PT","None")))</f>
        <v>FT</v>
      </c>
      <c r="W28" s="19" t="n">
        <v>1</v>
      </c>
      <c r="X28" s="19" t="n">
        <f aca="false">IF(T28="","",IF(AND(V28="PT",T28&lt;=AsOfDate),W28,0))</f>
        <v>0</v>
      </c>
      <c r="Z28" s="22" t="n">
        <f aca="false">I28</f>
        <v>66</v>
      </c>
      <c r="AA28" s="22" t="n">
        <f aca="false">SMALL($Z$20:$Z$199,9)</f>
        <v>63</v>
      </c>
      <c r="AB28" s="22" t="str">
        <f aca="false">IF(9-COUNTIF($Z$20:$Z$199,"&lt;"&amp;AA28)=1,IF(COUNTIF($I$20:$I$109,AA28)&gt;0,"FT","PT"),"PT")</f>
        <v>FT</v>
      </c>
      <c r="AC28" s="22" t="n">
        <f aca="false">IF(AB28="FT",INDEX($N$20:$N$109,MATCH(AA28,$I$20:$I$109,0)),1)</f>
        <v>1</v>
      </c>
    </row>
    <row r="29" customFormat="false" ht="15" hidden="false" customHeight="false" outlineLevel="0" collapsed="false">
      <c r="H29" s="19" t="n">
        <v>10</v>
      </c>
      <c r="I29" s="19" t="n">
        <f aca="false">IF(9&lt;FT_PreY5,FT_First+FT_Int1*9,FT_Y5+FT_Int2*(9-FT_PreY5))</f>
        <v>69</v>
      </c>
      <c r="J29" s="19" t="str">
        <f aca="false">INT(I29/12)&amp;"y "&amp;MOD(I29,12)&amp;"m"</f>
        <v>5y 9m</v>
      </c>
      <c r="K29" s="17" t="n">
        <f aca="false">IF(OR($C$6&lt;&gt;"Yes",$C$8=""),"",EDATE($C$8,I29))</f>
        <v>45825</v>
      </c>
      <c r="L29" s="19" t="str">
        <f aca="false">IF(K29="","",IF($C$16=0,$C$9,IF(AND($C$14&lt;&gt;"",K29&gt;=$C$14),$C$15,IF(AND($C$12&lt;&gt;"",K29&gt;=$C$12),$C$13,$C$11))))</f>
        <v>Part-Time</v>
      </c>
      <c r="M29" s="19" t="str">
        <f aca="false">IF(K29="","",IF(OR(ISNUMBER(SEARCH("full",L29)),UPPER(TRIM(L29))="FT",UPPER(TRIM(L29))="FTE"),"FT",IF(AND(OR(ISNUMBER(SEARCH("part",L29)),UPPER(TRIM(L29))="PT",UPPER(TRIM(L29))="PTE"),OR($C$10="",N($C$10)&gt;=PT_MinHours)),"PT","None")))</f>
        <v>PT</v>
      </c>
      <c r="N29" s="19" t="n">
        <f aca="false">IF(I29&lt;FT_Y5,1,IF(MOD(I29-FT_Y5,12)=0,FT_AnnivDays,1))</f>
        <v>1</v>
      </c>
      <c r="O29" s="19" t="n">
        <f aca="false">IF(K29="","",IF(AND(M29="FT",K29&lt;=AsOfDate),N29,0))</f>
        <v>0</v>
      </c>
      <c r="Q29" s="19" t="n">
        <v>10</v>
      </c>
      <c r="R29" s="19" t="n">
        <f aca="false">PT_First+PT_Int*9</f>
        <v>96</v>
      </c>
      <c r="S29" s="19" t="str">
        <f aca="false">INT(R29/12)&amp;"y "&amp;MOD(R29,12)&amp;"m"</f>
        <v>8y 0m</v>
      </c>
      <c r="T29" s="17" t="n">
        <f aca="false">IF(OR($C$6&lt;&gt;"Yes",$C$8=""),"",EDATE($C$8,R29))</f>
        <v>46647</v>
      </c>
      <c r="U29" s="19" t="str">
        <f aca="false">IF(T29="","",IF($C$16=0,$C$9,IF(AND($C$14&lt;&gt;"",T29&gt;=$C$14),$C$15,IF(AND($C$12&lt;&gt;"",T29&gt;=$C$12),$C$13,$C$11))))</f>
        <v>Full-Time</v>
      </c>
      <c r="V29" s="19" t="str">
        <f aca="false">IF(T29="","",IF(OR(ISNUMBER(SEARCH("full",U29)),UPPER(TRIM(U29))="FT",UPPER(TRIM(U29))="FTE"),"FT",IF(AND(OR(ISNUMBER(SEARCH("part",U29)),UPPER(TRIM(U29))="PT",UPPER(TRIM(U29))="PTE"),OR($C$10="",N($C$10)&gt;=PT_MinHours)),"PT","None")))</f>
        <v>FT</v>
      </c>
      <c r="W29" s="19" t="n">
        <v>1</v>
      </c>
      <c r="X29" s="19" t="n">
        <f aca="false">IF(T29="","",IF(AND(V29="PT",T29&lt;=AsOfDate),W29,0))</f>
        <v>0</v>
      </c>
      <c r="Z29" s="22" t="n">
        <f aca="false">I29</f>
        <v>69</v>
      </c>
      <c r="AA29" s="22" t="n">
        <f aca="false">SMALL($Z$20:$Z$199,10)</f>
        <v>64</v>
      </c>
      <c r="AB29" s="22" t="str">
        <f aca="false">IF(10-COUNTIF($Z$20:$Z$199,"&lt;"&amp;AA29)=1,IF(COUNTIF($I$20:$I$109,AA29)&gt;0,"FT","PT"),"PT")</f>
        <v>PT</v>
      </c>
      <c r="AC29" s="22" t="n">
        <f aca="false">IF(AB29="FT",INDEX($N$20:$N$109,MATCH(AA29,$I$20:$I$109,0)),1)</f>
        <v>1</v>
      </c>
    </row>
    <row r="30" customFormat="false" ht="15" hidden="false" customHeight="false" outlineLevel="0" collapsed="false">
      <c r="H30" s="19" t="n">
        <v>11</v>
      </c>
      <c r="I30" s="19" t="n">
        <f aca="false">IF(10&lt;FT_PreY5,FT_First+FT_Int1*10,FT_Y5+FT_Int2*(10-FT_PreY5))</f>
        <v>72</v>
      </c>
      <c r="J30" s="19" t="str">
        <f aca="false">INT(I30/12)&amp;"y "&amp;MOD(I30,12)&amp;"m"</f>
        <v>6y 0m</v>
      </c>
      <c r="K30" s="17" t="n">
        <f aca="false">IF(OR($C$6&lt;&gt;"Yes",$C$8=""),"",EDATE($C$8,I30))</f>
        <v>45917</v>
      </c>
      <c r="L30" s="19" t="str">
        <f aca="false">IF(K30="","",IF($C$16=0,$C$9,IF(AND($C$14&lt;&gt;"",K30&gt;=$C$14),$C$15,IF(AND($C$12&lt;&gt;"",K30&gt;=$C$12),$C$13,$C$11))))</f>
        <v>Part-Time</v>
      </c>
      <c r="M30" s="19" t="str">
        <f aca="false">IF(K30="","",IF(OR(ISNUMBER(SEARCH("full",L30)),UPPER(TRIM(L30))="FT",UPPER(TRIM(L30))="FTE"),"FT",IF(AND(OR(ISNUMBER(SEARCH("part",L30)),UPPER(TRIM(L30))="PT",UPPER(TRIM(L30))="PTE"),OR($C$10="",N($C$10)&gt;=PT_MinHours)),"PT","None")))</f>
        <v>PT</v>
      </c>
      <c r="N30" s="19" t="n">
        <f aca="false">IF(I30&lt;FT_Y5,1,IF(MOD(I30-FT_Y5,12)=0,FT_AnnivDays,1))</f>
        <v>2</v>
      </c>
      <c r="O30" s="19" t="n">
        <f aca="false">IF(K30="","",IF(AND(M30="FT",K30&lt;=AsOfDate),N30,0))</f>
        <v>0</v>
      </c>
      <c r="Q30" s="19" t="n">
        <v>11</v>
      </c>
      <c r="R30" s="19" t="n">
        <f aca="false">PT_First+PT_Int*10</f>
        <v>100</v>
      </c>
      <c r="S30" s="19" t="str">
        <f aca="false">INT(R30/12)&amp;"y "&amp;MOD(R30,12)&amp;"m"</f>
        <v>8y 4m</v>
      </c>
      <c r="T30" s="17" t="n">
        <f aca="false">IF(OR($C$6&lt;&gt;"Yes",$C$8=""),"",EDATE($C$8,R30))</f>
        <v>46769</v>
      </c>
      <c r="U30" s="19" t="str">
        <f aca="false">IF(T30="","",IF($C$16=0,$C$9,IF(AND($C$14&lt;&gt;"",T30&gt;=$C$14),$C$15,IF(AND($C$12&lt;&gt;"",T30&gt;=$C$12),$C$13,$C$11))))</f>
        <v>Full-Time</v>
      </c>
      <c r="V30" s="19" t="str">
        <f aca="false">IF(T30="","",IF(OR(ISNUMBER(SEARCH("full",U30)),UPPER(TRIM(U30))="FT",UPPER(TRIM(U30))="FTE"),"FT",IF(AND(OR(ISNUMBER(SEARCH("part",U30)),UPPER(TRIM(U30))="PT",UPPER(TRIM(U30))="PTE"),OR($C$10="",N($C$10)&gt;=PT_MinHours)),"PT","None")))</f>
        <v>FT</v>
      </c>
      <c r="W30" s="19" t="n">
        <v>1</v>
      </c>
      <c r="X30" s="19" t="n">
        <f aca="false">IF(T30="","",IF(AND(V30="PT",T30&lt;=AsOfDate),W30,0))</f>
        <v>0</v>
      </c>
      <c r="Z30" s="22" t="n">
        <f aca="false">I30</f>
        <v>72</v>
      </c>
      <c r="AA30" s="22" t="n">
        <f aca="false">SMALL($Z$20:$Z$199,11)</f>
        <v>66</v>
      </c>
      <c r="AB30" s="22" t="str">
        <f aca="false">IF(11-COUNTIF($Z$20:$Z$199,"&lt;"&amp;AA30)=1,IF(COUNTIF($I$20:$I$109,AA30)&gt;0,"FT","PT"),"PT")</f>
        <v>FT</v>
      </c>
      <c r="AC30" s="22" t="n">
        <f aca="false">IF(AB30="FT",INDEX($N$20:$N$109,MATCH(AA30,$I$20:$I$109,0)),1)</f>
        <v>1</v>
      </c>
    </row>
    <row r="31" customFormat="false" ht="15" hidden="false" customHeight="false" outlineLevel="0" collapsed="false">
      <c r="H31" s="19" t="n">
        <v>12</v>
      </c>
      <c r="I31" s="19" t="n">
        <f aca="false">IF(11&lt;FT_PreY5,FT_First+FT_Int1*11,FT_Y5+FT_Int2*(11-FT_PreY5))</f>
        <v>75</v>
      </c>
      <c r="J31" s="19" t="str">
        <f aca="false">INT(I31/12)&amp;"y "&amp;MOD(I31,12)&amp;"m"</f>
        <v>6y 3m</v>
      </c>
      <c r="K31" s="17" t="n">
        <f aca="false">IF(OR($C$6&lt;&gt;"Yes",$C$8=""),"",EDATE($C$8,I31))</f>
        <v>46008</v>
      </c>
      <c r="L31" s="19" t="str">
        <f aca="false">IF(K31="","",IF($C$16=0,$C$9,IF(AND($C$14&lt;&gt;"",K31&gt;=$C$14),$C$15,IF(AND($C$12&lt;&gt;"",K31&gt;=$C$12),$C$13,$C$11))))</f>
        <v>Part-Time</v>
      </c>
      <c r="M31" s="19" t="str">
        <f aca="false">IF(K31="","",IF(OR(ISNUMBER(SEARCH("full",L31)),UPPER(TRIM(L31))="FT",UPPER(TRIM(L31))="FTE"),"FT",IF(AND(OR(ISNUMBER(SEARCH("part",L31)),UPPER(TRIM(L31))="PT",UPPER(TRIM(L31))="PTE"),OR($C$10="",N($C$10)&gt;=PT_MinHours)),"PT","None")))</f>
        <v>PT</v>
      </c>
      <c r="N31" s="19" t="n">
        <f aca="false">IF(I31&lt;FT_Y5,1,IF(MOD(I31-FT_Y5,12)=0,FT_AnnivDays,1))</f>
        <v>1</v>
      </c>
      <c r="O31" s="19" t="n">
        <f aca="false">IF(K31="","",IF(AND(M31="FT",K31&lt;=AsOfDate),N31,0))</f>
        <v>0</v>
      </c>
      <c r="Q31" s="19" t="n">
        <v>12</v>
      </c>
      <c r="R31" s="19" t="n">
        <f aca="false">PT_First+PT_Int*11</f>
        <v>104</v>
      </c>
      <c r="S31" s="19" t="str">
        <f aca="false">INT(R31/12)&amp;"y "&amp;MOD(R31,12)&amp;"m"</f>
        <v>8y 8m</v>
      </c>
      <c r="T31" s="17" t="n">
        <f aca="false">IF(OR($C$6&lt;&gt;"Yes",$C$8=""),"",EDATE($C$8,R31))</f>
        <v>46890</v>
      </c>
      <c r="U31" s="19" t="str">
        <f aca="false">IF(T31="","",IF($C$16=0,$C$9,IF(AND($C$14&lt;&gt;"",T31&gt;=$C$14),$C$15,IF(AND($C$12&lt;&gt;"",T31&gt;=$C$12),$C$13,$C$11))))</f>
        <v>Full-Time</v>
      </c>
      <c r="V31" s="19" t="str">
        <f aca="false">IF(T31="","",IF(OR(ISNUMBER(SEARCH("full",U31)),UPPER(TRIM(U31))="FT",UPPER(TRIM(U31))="FTE"),"FT",IF(AND(OR(ISNUMBER(SEARCH("part",U31)),UPPER(TRIM(U31))="PT",UPPER(TRIM(U31))="PTE"),OR($C$10="",N($C$10)&gt;=PT_MinHours)),"PT","None")))</f>
        <v>FT</v>
      </c>
      <c r="W31" s="19" t="n">
        <v>1</v>
      </c>
      <c r="X31" s="19" t="n">
        <f aca="false">IF(T31="","",IF(AND(V31="PT",T31&lt;=AsOfDate),W31,0))</f>
        <v>0</v>
      </c>
      <c r="Z31" s="22" t="n">
        <f aca="false">I31</f>
        <v>75</v>
      </c>
      <c r="AA31" s="22" t="n">
        <f aca="false">SMALL($Z$20:$Z$199,12)</f>
        <v>68</v>
      </c>
      <c r="AB31" s="22" t="str">
        <f aca="false">IF(12-COUNTIF($Z$20:$Z$199,"&lt;"&amp;AA31)=1,IF(COUNTIF($I$20:$I$109,AA31)&gt;0,"FT","PT"),"PT")</f>
        <v>PT</v>
      </c>
      <c r="AC31" s="22" t="n">
        <f aca="false">IF(AB31="FT",INDEX($N$20:$N$109,MATCH(AA31,$I$20:$I$109,0)),1)</f>
        <v>1</v>
      </c>
    </row>
    <row r="32" customFormat="false" ht="15" hidden="false" customHeight="false" outlineLevel="0" collapsed="false">
      <c r="H32" s="19" t="n">
        <v>13</v>
      </c>
      <c r="I32" s="19" t="n">
        <f aca="false">IF(12&lt;FT_PreY5,FT_First+FT_Int1*12,FT_Y5+FT_Int2*(12-FT_PreY5))</f>
        <v>78</v>
      </c>
      <c r="J32" s="19" t="str">
        <f aca="false">INT(I32/12)&amp;"y "&amp;MOD(I32,12)&amp;"m"</f>
        <v>6y 6m</v>
      </c>
      <c r="K32" s="17" t="n">
        <f aca="false">IF(OR($C$6&lt;&gt;"Yes",$C$8=""),"",EDATE($C$8,I32))</f>
        <v>46098</v>
      </c>
      <c r="L32" s="19" t="str">
        <f aca="false">IF(K32="","",IF($C$16=0,$C$9,IF(AND($C$14&lt;&gt;"",K32&gt;=$C$14),$C$15,IF(AND($C$12&lt;&gt;"",K32&gt;=$C$12),$C$13,$C$11))))</f>
        <v>Full-Time</v>
      </c>
      <c r="M32" s="19" t="str">
        <f aca="false">IF(K32="","",IF(OR(ISNUMBER(SEARCH("full",L32)),UPPER(TRIM(L32))="FT",UPPER(TRIM(L32))="FTE"),"FT",IF(AND(OR(ISNUMBER(SEARCH("part",L32)),UPPER(TRIM(L32))="PT",UPPER(TRIM(L32))="PTE"),OR($C$10="",N($C$10)&gt;=PT_MinHours)),"PT","None")))</f>
        <v>FT</v>
      </c>
      <c r="N32" s="19" t="n">
        <f aca="false">IF(I32&lt;FT_Y5,1,IF(MOD(I32-FT_Y5,12)=0,FT_AnnivDays,1))</f>
        <v>1</v>
      </c>
      <c r="O32" s="19" t="n">
        <f aca="false">IF(K32="","",IF(AND(M32="FT",K32&lt;=AsOfDate),N32,0))</f>
        <v>1</v>
      </c>
      <c r="Q32" s="19" t="n">
        <v>13</v>
      </c>
      <c r="R32" s="19" t="n">
        <f aca="false">PT_First+PT_Int*12</f>
        <v>108</v>
      </c>
      <c r="S32" s="19" t="str">
        <f aca="false">INT(R32/12)&amp;"y "&amp;MOD(R32,12)&amp;"m"</f>
        <v>9y 0m</v>
      </c>
      <c r="T32" s="17" t="n">
        <f aca="false">IF(OR($C$6&lt;&gt;"Yes",$C$8=""),"",EDATE($C$8,R32))</f>
        <v>47013</v>
      </c>
      <c r="U32" s="19" t="str">
        <f aca="false">IF(T32="","",IF($C$16=0,$C$9,IF(AND($C$14&lt;&gt;"",T32&gt;=$C$14),$C$15,IF(AND($C$12&lt;&gt;"",T32&gt;=$C$12),$C$13,$C$11))))</f>
        <v>Full-Time</v>
      </c>
      <c r="V32" s="19" t="str">
        <f aca="false">IF(T32="","",IF(OR(ISNUMBER(SEARCH("full",U32)),UPPER(TRIM(U32))="FT",UPPER(TRIM(U32))="FTE"),"FT",IF(AND(OR(ISNUMBER(SEARCH("part",U32)),UPPER(TRIM(U32))="PT",UPPER(TRIM(U32))="PTE"),OR($C$10="",N($C$10)&gt;=PT_MinHours)),"PT","None")))</f>
        <v>FT</v>
      </c>
      <c r="W32" s="19" t="n">
        <v>1</v>
      </c>
      <c r="X32" s="19" t="n">
        <f aca="false">IF(T32="","",IF(AND(V32="PT",T32&lt;=AsOfDate),W32,0))</f>
        <v>0</v>
      </c>
      <c r="Z32" s="22" t="n">
        <f aca="false">I32</f>
        <v>78</v>
      </c>
      <c r="AA32" s="22" t="n">
        <f aca="false">SMALL($Z$20:$Z$199,13)</f>
        <v>69</v>
      </c>
      <c r="AB32" s="22" t="str">
        <f aca="false">IF(13-COUNTIF($Z$20:$Z$199,"&lt;"&amp;AA32)=1,IF(COUNTIF($I$20:$I$109,AA32)&gt;0,"FT","PT"),"PT")</f>
        <v>FT</v>
      </c>
      <c r="AC32" s="22" t="n">
        <f aca="false">IF(AB32="FT",INDEX($N$20:$N$109,MATCH(AA32,$I$20:$I$109,0)),1)</f>
        <v>1</v>
      </c>
    </row>
    <row r="33" customFormat="false" ht="15" hidden="false" customHeight="false" outlineLevel="0" collapsed="false">
      <c r="H33" s="19" t="n">
        <v>14</v>
      </c>
      <c r="I33" s="19" t="n">
        <f aca="false">IF(13&lt;FT_PreY5,FT_First+FT_Int1*13,FT_Y5+FT_Int2*(13-FT_PreY5))</f>
        <v>81</v>
      </c>
      <c r="J33" s="19" t="str">
        <f aca="false">INT(I33/12)&amp;"y "&amp;MOD(I33,12)&amp;"m"</f>
        <v>6y 9m</v>
      </c>
      <c r="K33" s="17" t="n">
        <f aca="false">IF(OR($C$6&lt;&gt;"Yes",$C$8=""),"",EDATE($C$8,I33))</f>
        <v>46190</v>
      </c>
      <c r="L33" s="19" t="str">
        <f aca="false">IF(K33="","",IF($C$16=0,$C$9,IF(AND($C$14&lt;&gt;"",K33&gt;=$C$14),$C$15,IF(AND($C$12&lt;&gt;"",K33&gt;=$C$12),$C$13,$C$11))))</f>
        <v>Full-Time</v>
      </c>
      <c r="M33" s="19" t="str">
        <f aca="false">IF(K33="","",IF(OR(ISNUMBER(SEARCH("full",L33)),UPPER(TRIM(L33))="FT",UPPER(TRIM(L33))="FTE"),"FT",IF(AND(OR(ISNUMBER(SEARCH("part",L33)),UPPER(TRIM(L33))="PT",UPPER(TRIM(L33))="PTE"),OR($C$10="",N($C$10)&gt;=PT_MinHours)),"PT","None")))</f>
        <v>FT</v>
      </c>
      <c r="N33" s="19" t="n">
        <f aca="false">IF(I33&lt;FT_Y5,1,IF(MOD(I33-FT_Y5,12)=0,FT_AnnivDays,1))</f>
        <v>1</v>
      </c>
      <c r="O33" s="19" t="n">
        <f aca="false">IF(K33="","",IF(AND(M33="FT",K33&lt;=AsOfDate),N33,0))</f>
        <v>1</v>
      </c>
      <c r="Q33" s="19" t="n">
        <v>14</v>
      </c>
      <c r="R33" s="19" t="n">
        <f aca="false">PT_First+PT_Int*13</f>
        <v>112</v>
      </c>
      <c r="S33" s="19" t="str">
        <f aca="false">INT(R33/12)&amp;"y "&amp;MOD(R33,12)&amp;"m"</f>
        <v>9y 4m</v>
      </c>
      <c r="T33" s="17" t="n">
        <f aca="false">IF(OR($C$6&lt;&gt;"Yes",$C$8=""),"",EDATE($C$8,R33))</f>
        <v>47135</v>
      </c>
      <c r="U33" s="19" t="str">
        <f aca="false">IF(T33="","",IF($C$16=0,$C$9,IF(AND($C$14&lt;&gt;"",T33&gt;=$C$14),$C$15,IF(AND($C$12&lt;&gt;"",T33&gt;=$C$12),$C$13,$C$11))))</f>
        <v>Full-Time</v>
      </c>
      <c r="V33" s="19" t="str">
        <f aca="false">IF(T33="","",IF(OR(ISNUMBER(SEARCH("full",U33)),UPPER(TRIM(U33))="FT",UPPER(TRIM(U33))="FTE"),"FT",IF(AND(OR(ISNUMBER(SEARCH("part",U33)),UPPER(TRIM(U33))="PT",UPPER(TRIM(U33))="PTE"),OR($C$10="",N($C$10)&gt;=PT_MinHours)),"PT","None")))</f>
        <v>FT</v>
      </c>
      <c r="W33" s="19" t="n">
        <v>1</v>
      </c>
      <c r="X33" s="19" t="n">
        <f aca="false">IF(T33="","",IF(AND(V33="PT",T33&lt;=AsOfDate),W33,0))</f>
        <v>0</v>
      </c>
      <c r="Z33" s="22" t="n">
        <f aca="false">I33</f>
        <v>81</v>
      </c>
      <c r="AA33" s="22" t="n">
        <f aca="false">SMALL($Z$20:$Z$199,14)</f>
        <v>72</v>
      </c>
      <c r="AB33" s="22" t="str">
        <f aca="false">IF(14-COUNTIF($Z$20:$Z$199,"&lt;"&amp;AA33)=1,IF(COUNTIF($I$20:$I$109,AA33)&gt;0,"FT","PT"),"PT")</f>
        <v>FT</v>
      </c>
      <c r="AC33" s="22" t="n">
        <f aca="false">IF(AB33="FT",INDEX($N$20:$N$109,MATCH(AA33,$I$20:$I$109,0)),1)</f>
        <v>2</v>
      </c>
    </row>
    <row r="34" customFormat="false" ht="15" hidden="false" customHeight="false" outlineLevel="0" collapsed="false">
      <c r="H34" s="19" t="n">
        <v>15</v>
      </c>
      <c r="I34" s="19" t="n">
        <f aca="false">IF(14&lt;FT_PreY5,FT_First+FT_Int1*14,FT_Y5+FT_Int2*(14-FT_PreY5))</f>
        <v>84</v>
      </c>
      <c r="J34" s="19" t="str">
        <f aca="false">INT(I34/12)&amp;"y "&amp;MOD(I34,12)&amp;"m"</f>
        <v>7y 0m</v>
      </c>
      <c r="K34" s="17" t="n">
        <f aca="false">IF(OR($C$6&lt;&gt;"Yes",$C$8=""),"",EDATE($C$8,I34))</f>
        <v>46282</v>
      </c>
      <c r="L34" s="19" t="str">
        <f aca="false">IF(K34="","",IF($C$16=0,$C$9,IF(AND($C$14&lt;&gt;"",K34&gt;=$C$14),$C$15,IF(AND($C$12&lt;&gt;"",K34&gt;=$C$12),$C$13,$C$11))))</f>
        <v>Full-Time</v>
      </c>
      <c r="M34" s="19" t="str">
        <f aca="false">IF(K34="","",IF(OR(ISNUMBER(SEARCH("full",L34)),UPPER(TRIM(L34))="FT",UPPER(TRIM(L34))="FTE"),"FT",IF(AND(OR(ISNUMBER(SEARCH("part",L34)),UPPER(TRIM(L34))="PT",UPPER(TRIM(L34))="PTE"),OR($C$10="",N($C$10)&gt;=PT_MinHours)),"PT","None")))</f>
        <v>FT</v>
      </c>
      <c r="N34" s="19" t="n">
        <f aca="false">IF(I34&lt;FT_Y5,1,IF(MOD(I34-FT_Y5,12)=0,FT_AnnivDays,1))</f>
        <v>2</v>
      </c>
      <c r="O34" s="19" t="n">
        <f aca="false">IF(K34="","",IF(AND(M34="FT",K34&lt;=AsOfDate),N34,0))</f>
        <v>2</v>
      </c>
      <c r="Q34" s="19" t="n">
        <v>15</v>
      </c>
      <c r="R34" s="19" t="n">
        <f aca="false">PT_First+PT_Int*14</f>
        <v>116</v>
      </c>
      <c r="S34" s="19" t="str">
        <f aca="false">INT(R34/12)&amp;"y "&amp;MOD(R34,12)&amp;"m"</f>
        <v>9y 8m</v>
      </c>
      <c r="T34" s="17" t="n">
        <f aca="false">IF(OR($C$6&lt;&gt;"Yes",$C$8=""),"",EDATE($C$8,R34))</f>
        <v>47255</v>
      </c>
      <c r="U34" s="19" t="str">
        <f aca="false">IF(T34="","",IF($C$16=0,$C$9,IF(AND($C$14&lt;&gt;"",T34&gt;=$C$14),$C$15,IF(AND($C$12&lt;&gt;"",T34&gt;=$C$12),$C$13,$C$11))))</f>
        <v>Full-Time</v>
      </c>
      <c r="V34" s="19" t="str">
        <f aca="false">IF(T34="","",IF(OR(ISNUMBER(SEARCH("full",U34)),UPPER(TRIM(U34))="FT",UPPER(TRIM(U34))="FTE"),"FT",IF(AND(OR(ISNUMBER(SEARCH("part",U34)),UPPER(TRIM(U34))="PT",UPPER(TRIM(U34))="PTE"),OR($C$10="",N($C$10)&gt;=PT_MinHours)),"PT","None")))</f>
        <v>FT</v>
      </c>
      <c r="W34" s="19" t="n">
        <v>1</v>
      </c>
      <c r="X34" s="19" t="n">
        <f aca="false">IF(T34="","",IF(AND(V34="PT",T34&lt;=AsOfDate),W34,0))</f>
        <v>0</v>
      </c>
      <c r="Z34" s="22" t="n">
        <f aca="false">I34</f>
        <v>84</v>
      </c>
      <c r="AA34" s="22" t="n">
        <f aca="false">SMALL($Z$20:$Z$199,15)</f>
        <v>72</v>
      </c>
      <c r="AB34" s="22" t="str">
        <f aca="false">IF(15-COUNTIF($Z$20:$Z$199,"&lt;"&amp;AA34)=1,IF(COUNTIF($I$20:$I$109,AA34)&gt;0,"FT","PT"),"PT")</f>
        <v>PT</v>
      </c>
      <c r="AC34" s="22" t="n">
        <f aca="false">IF(AB34="FT",INDEX($N$20:$N$109,MATCH(AA34,$I$20:$I$109,0)),1)</f>
        <v>1</v>
      </c>
    </row>
    <row r="35" customFormat="false" ht="15" hidden="false" customHeight="false" outlineLevel="0" collapsed="false">
      <c r="H35" s="19" t="n">
        <v>16</v>
      </c>
      <c r="I35" s="19" t="n">
        <f aca="false">IF(15&lt;FT_PreY5,FT_First+FT_Int1*15,FT_Y5+FT_Int2*(15-FT_PreY5))</f>
        <v>87</v>
      </c>
      <c r="J35" s="19" t="str">
        <f aca="false">INT(I35/12)&amp;"y "&amp;MOD(I35,12)&amp;"m"</f>
        <v>7y 3m</v>
      </c>
      <c r="K35" s="17" t="n">
        <f aca="false">IF(OR($C$6&lt;&gt;"Yes",$C$8=""),"",EDATE($C$8,I35))</f>
        <v>46373</v>
      </c>
      <c r="L35" s="19" t="str">
        <f aca="false">IF(K35="","",IF($C$16=0,$C$9,IF(AND($C$14&lt;&gt;"",K35&gt;=$C$14),$C$15,IF(AND($C$12&lt;&gt;"",K35&gt;=$C$12),$C$13,$C$11))))</f>
        <v>Full-Time</v>
      </c>
      <c r="M35" s="19" t="str">
        <f aca="false">IF(K35="","",IF(OR(ISNUMBER(SEARCH("full",L35)),UPPER(TRIM(L35))="FT",UPPER(TRIM(L35))="FTE"),"FT",IF(AND(OR(ISNUMBER(SEARCH("part",L35)),UPPER(TRIM(L35))="PT",UPPER(TRIM(L35))="PTE"),OR($C$10="",N($C$10)&gt;=PT_MinHours)),"PT","None")))</f>
        <v>FT</v>
      </c>
      <c r="N35" s="19" t="n">
        <f aca="false">IF(I35&lt;FT_Y5,1,IF(MOD(I35-FT_Y5,12)=0,FT_AnnivDays,1))</f>
        <v>1</v>
      </c>
      <c r="O35" s="19" t="n">
        <f aca="false">IF(K35="","",IF(AND(M35="FT",K35&lt;=AsOfDate),N35,0))</f>
        <v>0</v>
      </c>
      <c r="Q35" s="19" t="n">
        <v>16</v>
      </c>
      <c r="R35" s="19" t="n">
        <f aca="false">PT_First+PT_Int*15</f>
        <v>120</v>
      </c>
      <c r="S35" s="19" t="str">
        <f aca="false">INT(R35/12)&amp;"y "&amp;MOD(R35,12)&amp;"m"</f>
        <v>10y 0m</v>
      </c>
      <c r="T35" s="17" t="n">
        <f aca="false">IF(OR($C$6&lt;&gt;"Yes",$C$8=""),"",EDATE($C$8,R35))</f>
        <v>47378</v>
      </c>
      <c r="U35" s="19" t="str">
        <f aca="false">IF(T35="","",IF($C$16=0,$C$9,IF(AND($C$14&lt;&gt;"",T35&gt;=$C$14),$C$15,IF(AND($C$12&lt;&gt;"",T35&gt;=$C$12),$C$13,$C$11))))</f>
        <v>Full-Time</v>
      </c>
      <c r="V35" s="19" t="str">
        <f aca="false">IF(T35="","",IF(OR(ISNUMBER(SEARCH("full",U35)),UPPER(TRIM(U35))="FT",UPPER(TRIM(U35))="FTE"),"FT",IF(AND(OR(ISNUMBER(SEARCH("part",U35)),UPPER(TRIM(U35))="PT",UPPER(TRIM(U35))="PTE"),OR($C$10="",N($C$10)&gt;=PT_MinHours)),"PT","None")))</f>
        <v>FT</v>
      </c>
      <c r="W35" s="19" t="n">
        <v>1</v>
      </c>
      <c r="X35" s="19" t="n">
        <f aca="false">IF(T35="","",IF(AND(V35="PT",T35&lt;=AsOfDate),W35,0))</f>
        <v>0</v>
      </c>
      <c r="Z35" s="22" t="n">
        <f aca="false">I35</f>
        <v>87</v>
      </c>
      <c r="AA35" s="22" t="n">
        <f aca="false">SMALL($Z$20:$Z$199,16)</f>
        <v>75</v>
      </c>
      <c r="AB35" s="22" t="str">
        <f aca="false">IF(16-COUNTIF($Z$20:$Z$199,"&lt;"&amp;AA35)=1,IF(COUNTIF($I$20:$I$109,AA35)&gt;0,"FT","PT"),"PT")</f>
        <v>FT</v>
      </c>
      <c r="AC35" s="22" t="n">
        <f aca="false">IF(AB35="FT",INDEX($N$20:$N$109,MATCH(AA35,$I$20:$I$109,0)),1)</f>
        <v>1</v>
      </c>
    </row>
    <row r="36" customFormat="false" ht="15" hidden="false" customHeight="false" outlineLevel="0" collapsed="false">
      <c r="H36" s="19" t="n">
        <v>17</v>
      </c>
      <c r="I36" s="19" t="n">
        <f aca="false">IF(16&lt;FT_PreY5,FT_First+FT_Int1*16,FT_Y5+FT_Int2*(16-FT_PreY5))</f>
        <v>90</v>
      </c>
      <c r="J36" s="19" t="str">
        <f aca="false">INT(I36/12)&amp;"y "&amp;MOD(I36,12)&amp;"m"</f>
        <v>7y 6m</v>
      </c>
      <c r="K36" s="17" t="n">
        <f aca="false">IF(OR($C$6&lt;&gt;"Yes",$C$8=""),"",EDATE($C$8,I36))</f>
        <v>46463</v>
      </c>
      <c r="L36" s="19" t="str">
        <f aca="false">IF(K36="","",IF($C$16=0,$C$9,IF(AND($C$14&lt;&gt;"",K36&gt;=$C$14),$C$15,IF(AND($C$12&lt;&gt;"",K36&gt;=$C$12),$C$13,$C$11))))</f>
        <v>Full-Time</v>
      </c>
      <c r="M36" s="19" t="str">
        <f aca="false">IF(K36="","",IF(OR(ISNUMBER(SEARCH("full",L36)),UPPER(TRIM(L36))="FT",UPPER(TRIM(L36))="FTE"),"FT",IF(AND(OR(ISNUMBER(SEARCH("part",L36)),UPPER(TRIM(L36))="PT",UPPER(TRIM(L36))="PTE"),OR($C$10="",N($C$10)&gt;=PT_MinHours)),"PT","None")))</f>
        <v>FT</v>
      </c>
      <c r="N36" s="19" t="n">
        <f aca="false">IF(I36&lt;FT_Y5,1,IF(MOD(I36-FT_Y5,12)=0,FT_AnnivDays,1))</f>
        <v>1</v>
      </c>
      <c r="O36" s="19" t="n">
        <f aca="false">IF(K36="","",IF(AND(M36="FT",K36&lt;=AsOfDate),N36,0))</f>
        <v>0</v>
      </c>
      <c r="Q36" s="19" t="n">
        <v>17</v>
      </c>
      <c r="R36" s="19" t="n">
        <f aca="false">PT_First+PT_Int*16</f>
        <v>124</v>
      </c>
      <c r="S36" s="19" t="str">
        <f aca="false">INT(R36/12)&amp;"y "&amp;MOD(R36,12)&amp;"m"</f>
        <v>10y 4m</v>
      </c>
      <c r="T36" s="17" t="n">
        <f aca="false">IF(OR($C$6&lt;&gt;"Yes",$C$8=""),"",EDATE($C$8,R36))</f>
        <v>47500</v>
      </c>
      <c r="U36" s="19" t="str">
        <f aca="false">IF(T36="","",IF($C$16=0,$C$9,IF(AND($C$14&lt;&gt;"",T36&gt;=$C$14),$C$15,IF(AND($C$12&lt;&gt;"",T36&gt;=$C$12),$C$13,$C$11))))</f>
        <v>Full-Time</v>
      </c>
      <c r="V36" s="19" t="str">
        <f aca="false">IF(T36="","",IF(OR(ISNUMBER(SEARCH("full",U36)),UPPER(TRIM(U36))="FT",UPPER(TRIM(U36))="FTE"),"FT",IF(AND(OR(ISNUMBER(SEARCH("part",U36)),UPPER(TRIM(U36))="PT",UPPER(TRIM(U36))="PTE"),OR($C$10="",N($C$10)&gt;=PT_MinHours)),"PT","None")))</f>
        <v>FT</v>
      </c>
      <c r="W36" s="19" t="n">
        <v>1</v>
      </c>
      <c r="X36" s="19" t="n">
        <f aca="false">IF(T36="","",IF(AND(V36="PT",T36&lt;=AsOfDate),W36,0))</f>
        <v>0</v>
      </c>
      <c r="Z36" s="22" t="n">
        <f aca="false">I36</f>
        <v>90</v>
      </c>
      <c r="AA36" s="22" t="n">
        <f aca="false">SMALL($Z$20:$Z$199,17)</f>
        <v>76</v>
      </c>
      <c r="AB36" s="22" t="str">
        <f aca="false">IF(17-COUNTIF($Z$20:$Z$199,"&lt;"&amp;AA36)=1,IF(COUNTIF($I$20:$I$109,AA36)&gt;0,"FT","PT"),"PT")</f>
        <v>PT</v>
      </c>
      <c r="AC36" s="22" t="n">
        <f aca="false">IF(AB36="FT",INDEX($N$20:$N$109,MATCH(AA36,$I$20:$I$109,0)),1)</f>
        <v>1</v>
      </c>
    </row>
    <row r="37" customFormat="false" ht="15" hidden="false" customHeight="false" outlineLevel="0" collapsed="false">
      <c r="H37" s="19" t="n">
        <v>18</v>
      </c>
      <c r="I37" s="19" t="n">
        <f aca="false">IF(17&lt;FT_PreY5,FT_First+FT_Int1*17,FT_Y5+FT_Int2*(17-FT_PreY5))</f>
        <v>93</v>
      </c>
      <c r="J37" s="19" t="str">
        <f aca="false">INT(I37/12)&amp;"y "&amp;MOD(I37,12)&amp;"m"</f>
        <v>7y 9m</v>
      </c>
      <c r="K37" s="17" t="n">
        <f aca="false">IF(OR($C$6&lt;&gt;"Yes",$C$8=""),"",EDATE($C$8,I37))</f>
        <v>46555</v>
      </c>
      <c r="L37" s="19" t="str">
        <f aca="false">IF(K37="","",IF($C$16=0,$C$9,IF(AND($C$14&lt;&gt;"",K37&gt;=$C$14),$C$15,IF(AND($C$12&lt;&gt;"",K37&gt;=$C$12),$C$13,$C$11))))</f>
        <v>Full-Time</v>
      </c>
      <c r="M37" s="19" t="str">
        <f aca="false">IF(K37="","",IF(OR(ISNUMBER(SEARCH("full",L37)),UPPER(TRIM(L37))="FT",UPPER(TRIM(L37))="FTE"),"FT",IF(AND(OR(ISNUMBER(SEARCH("part",L37)),UPPER(TRIM(L37))="PT",UPPER(TRIM(L37))="PTE"),OR($C$10="",N($C$10)&gt;=PT_MinHours)),"PT","None")))</f>
        <v>FT</v>
      </c>
      <c r="N37" s="19" t="n">
        <f aca="false">IF(I37&lt;FT_Y5,1,IF(MOD(I37-FT_Y5,12)=0,FT_AnnivDays,1))</f>
        <v>1</v>
      </c>
      <c r="O37" s="19" t="n">
        <f aca="false">IF(K37="","",IF(AND(M37="FT",K37&lt;=AsOfDate),N37,0))</f>
        <v>0</v>
      </c>
      <c r="Q37" s="19" t="n">
        <v>18</v>
      </c>
      <c r="R37" s="19" t="n">
        <f aca="false">PT_First+PT_Int*17</f>
        <v>128</v>
      </c>
      <c r="S37" s="19" t="str">
        <f aca="false">INT(R37/12)&amp;"y "&amp;MOD(R37,12)&amp;"m"</f>
        <v>10y 8m</v>
      </c>
      <c r="T37" s="17" t="n">
        <f aca="false">IF(OR($C$6&lt;&gt;"Yes",$C$8=""),"",EDATE($C$8,R37))</f>
        <v>47620</v>
      </c>
      <c r="U37" s="19" t="str">
        <f aca="false">IF(T37="","",IF($C$16=0,$C$9,IF(AND($C$14&lt;&gt;"",T37&gt;=$C$14),$C$15,IF(AND($C$12&lt;&gt;"",T37&gt;=$C$12),$C$13,$C$11))))</f>
        <v>Full-Time</v>
      </c>
      <c r="V37" s="19" t="str">
        <f aca="false">IF(T37="","",IF(OR(ISNUMBER(SEARCH("full",U37)),UPPER(TRIM(U37))="FT",UPPER(TRIM(U37))="FTE"),"FT",IF(AND(OR(ISNUMBER(SEARCH("part",U37)),UPPER(TRIM(U37))="PT",UPPER(TRIM(U37))="PTE"),OR($C$10="",N($C$10)&gt;=PT_MinHours)),"PT","None")))</f>
        <v>FT</v>
      </c>
      <c r="W37" s="19" t="n">
        <v>1</v>
      </c>
      <c r="X37" s="19" t="n">
        <f aca="false">IF(T37="","",IF(AND(V37="PT",T37&lt;=AsOfDate),W37,0))</f>
        <v>0</v>
      </c>
      <c r="Z37" s="22" t="n">
        <f aca="false">I37</f>
        <v>93</v>
      </c>
      <c r="AA37" s="22" t="n">
        <f aca="false">SMALL($Z$20:$Z$199,18)</f>
        <v>78</v>
      </c>
      <c r="AB37" s="22" t="str">
        <f aca="false">IF(18-COUNTIF($Z$20:$Z$199,"&lt;"&amp;AA37)=1,IF(COUNTIF($I$20:$I$109,AA37)&gt;0,"FT","PT"),"PT")</f>
        <v>FT</v>
      </c>
      <c r="AC37" s="22" t="n">
        <f aca="false">IF(AB37="FT",INDEX($N$20:$N$109,MATCH(AA37,$I$20:$I$109,0)),1)</f>
        <v>1</v>
      </c>
    </row>
    <row r="38" customFormat="false" ht="15" hidden="false" customHeight="false" outlineLevel="0" collapsed="false">
      <c r="H38" s="19" t="n">
        <v>19</v>
      </c>
      <c r="I38" s="19" t="n">
        <f aca="false">IF(18&lt;FT_PreY5,FT_First+FT_Int1*18,FT_Y5+FT_Int2*(18-FT_PreY5))</f>
        <v>96</v>
      </c>
      <c r="J38" s="19" t="str">
        <f aca="false">INT(I38/12)&amp;"y "&amp;MOD(I38,12)&amp;"m"</f>
        <v>8y 0m</v>
      </c>
      <c r="K38" s="17" t="n">
        <f aca="false">IF(OR($C$6&lt;&gt;"Yes",$C$8=""),"",EDATE($C$8,I38))</f>
        <v>46647</v>
      </c>
      <c r="L38" s="19" t="str">
        <f aca="false">IF(K38="","",IF($C$16=0,$C$9,IF(AND($C$14&lt;&gt;"",K38&gt;=$C$14),$C$15,IF(AND($C$12&lt;&gt;"",K38&gt;=$C$12),$C$13,$C$11))))</f>
        <v>Full-Time</v>
      </c>
      <c r="M38" s="19" t="str">
        <f aca="false">IF(K38="","",IF(OR(ISNUMBER(SEARCH("full",L38)),UPPER(TRIM(L38))="FT",UPPER(TRIM(L38))="FTE"),"FT",IF(AND(OR(ISNUMBER(SEARCH("part",L38)),UPPER(TRIM(L38))="PT",UPPER(TRIM(L38))="PTE"),OR($C$10="",N($C$10)&gt;=PT_MinHours)),"PT","None")))</f>
        <v>FT</v>
      </c>
      <c r="N38" s="19" t="n">
        <f aca="false">IF(I38&lt;FT_Y5,1,IF(MOD(I38-FT_Y5,12)=0,FT_AnnivDays,1))</f>
        <v>2</v>
      </c>
      <c r="O38" s="19" t="n">
        <f aca="false">IF(K38="","",IF(AND(M38="FT",K38&lt;=AsOfDate),N38,0))</f>
        <v>0</v>
      </c>
      <c r="Q38" s="19" t="n">
        <v>19</v>
      </c>
      <c r="R38" s="19" t="n">
        <f aca="false">PT_First+PT_Int*18</f>
        <v>132</v>
      </c>
      <c r="S38" s="19" t="str">
        <f aca="false">INT(R38/12)&amp;"y "&amp;MOD(R38,12)&amp;"m"</f>
        <v>11y 0m</v>
      </c>
      <c r="T38" s="17" t="n">
        <f aca="false">IF(OR($C$6&lt;&gt;"Yes",$C$8=""),"",EDATE($C$8,R38))</f>
        <v>47743</v>
      </c>
      <c r="U38" s="19" t="str">
        <f aca="false">IF(T38="","",IF($C$16=0,$C$9,IF(AND($C$14&lt;&gt;"",T38&gt;=$C$14),$C$15,IF(AND($C$12&lt;&gt;"",T38&gt;=$C$12),$C$13,$C$11))))</f>
        <v>Full-Time</v>
      </c>
      <c r="V38" s="19" t="str">
        <f aca="false">IF(T38="","",IF(OR(ISNUMBER(SEARCH("full",U38)),UPPER(TRIM(U38))="FT",UPPER(TRIM(U38))="FTE"),"FT",IF(AND(OR(ISNUMBER(SEARCH("part",U38)),UPPER(TRIM(U38))="PT",UPPER(TRIM(U38))="PTE"),OR($C$10="",N($C$10)&gt;=PT_MinHours)),"PT","None")))</f>
        <v>FT</v>
      </c>
      <c r="W38" s="19" t="n">
        <v>1</v>
      </c>
      <c r="X38" s="19" t="n">
        <f aca="false">IF(T38="","",IF(AND(V38="PT",T38&lt;=AsOfDate),W38,0))</f>
        <v>0</v>
      </c>
      <c r="Z38" s="22" t="n">
        <f aca="false">I38</f>
        <v>96</v>
      </c>
      <c r="AA38" s="22" t="n">
        <f aca="false">SMALL($Z$20:$Z$199,19)</f>
        <v>80</v>
      </c>
      <c r="AB38" s="22" t="str">
        <f aca="false">IF(19-COUNTIF($Z$20:$Z$199,"&lt;"&amp;AA38)=1,IF(COUNTIF($I$20:$I$109,AA38)&gt;0,"FT","PT"),"PT")</f>
        <v>PT</v>
      </c>
      <c r="AC38" s="22" t="n">
        <f aca="false">IF(AB38="FT",INDEX($N$20:$N$109,MATCH(AA38,$I$20:$I$109,0)),1)</f>
        <v>1</v>
      </c>
    </row>
    <row r="39" customFormat="false" ht="15" hidden="false" customHeight="false" outlineLevel="0" collapsed="false">
      <c r="H39" s="19" t="n">
        <v>20</v>
      </c>
      <c r="I39" s="19" t="n">
        <f aca="false">IF(19&lt;FT_PreY5,FT_First+FT_Int1*19,FT_Y5+FT_Int2*(19-FT_PreY5))</f>
        <v>99</v>
      </c>
      <c r="J39" s="19" t="str">
        <f aca="false">INT(I39/12)&amp;"y "&amp;MOD(I39,12)&amp;"m"</f>
        <v>8y 3m</v>
      </c>
      <c r="K39" s="17" t="n">
        <f aca="false">IF(OR($C$6&lt;&gt;"Yes",$C$8=""),"",EDATE($C$8,I39))</f>
        <v>46738</v>
      </c>
      <c r="L39" s="19" t="str">
        <f aca="false">IF(K39="","",IF($C$16=0,$C$9,IF(AND($C$14&lt;&gt;"",K39&gt;=$C$14),$C$15,IF(AND($C$12&lt;&gt;"",K39&gt;=$C$12),$C$13,$C$11))))</f>
        <v>Full-Time</v>
      </c>
      <c r="M39" s="19" t="str">
        <f aca="false">IF(K39="","",IF(OR(ISNUMBER(SEARCH("full",L39)),UPPER(TRIM(L39))="FT",UPPER(TRIM(L39))="FTE"),"FT",IF(AND(OR(ISNUMBER(SEARCH("part",L39)),UPPER(TRIM(L39))="PT",UPPER(TRIM(L39))="PTE"),OR($C$10="",N($C$10)&gt;=PT_MinHours)),"PT","None")))</f>
        <v>FT</v>
      </c>
      <c r="N39" s="19" t="n">
        <f aca="false">IF(I39&lt;FT_Y5,1,IF(MOD(I39-FT_Y5,12)=0,FT_AnnivDays,1))</f>
        <v>1</v>
      </c>
      <c r="O39" s="19" t="n">
        <f aca="false">IF(K39="","",IF(AND(M39="FT",K39&lt;=AsOfDate),N39,0))</f>
        <v>0</v>
      </c>
      <c r="Q39" s="19" t="n">
        <v>20</v>
      </c>
      <c r="R39" s="19" t="n">
        <f aca="false">PT_First+PT_Int*19</f>
        <v>136</v>
      </c>
      <c r="S39" s="19" t="str">
        <f aca="false">INT(R39/12)&amp;"y "&amp;MOD(R39,12)&amp;"m"</f>
        <v>11y 4m</v>
      </c>
      <c r="T39" s="17" t="n">
        <f aca="false">IF(OR($C$6&lt;&gt;"Yes",$C$8=""),"",EDATE($C$8,R39))</f>
        <v>47865</v>
      </c>
      <c r="U39" s="19" t="str">
        <f aca="false">IF(T39="","",IF($C$16=0,$C$9,IF(AND($C$14&lt;&gt;"",T39&gt;=$C$14),$C$15,IF(AND($C$12&lt;&gt;"",T39&gt;=$C$12),$C$13,$C$11))))</f>
        <v>Full-Time</v>
      </c>
      <c r="V39" s="19" t="str">
        <f aca="false">IF(T39="","",IF(OR(ISNUMBER(SEARCH("full",U39)),UPPER(TRIM(U39))="FT",UPPER(TRIM(U39))="FTE"),"FT",IF(AND(OR(ISNUMBER(SEARCH("part",U39)),UPPER(TRIM(U39))="PT",UPPER(TRIM(U39))="PTE"),OR($C$10="",N($C$10)&gt;=PT_MinHours)),"PT","None")))</f>
        <v>FT</v>
      </c>
      <c r="W39" s="19" t="n">
        <v>1</v>
      </c>
      <c r="X39" s="19" t="n">
        <f aca="false">IF(T39="","",IF(AND(V39="PT",T39&lt;=AsOfDate),W39,0))</f>
        <v>0</v>
      </c>
      <c r="Z39" s="22" t="n">
        <f aca="false">I39</f>
        <v>99</v>
      </c>
      <c r="AA39" s="22" t="n">
        <f aca="false">SMALL($Z$20:$Z$199,20)</f>
        <v>81</v>
      </c>
      <c r="AB39" s="22" t="str">
        <f aca="false">IF(20-COUNTIF($Z$20:$Z$199,"&lt;"&amp;AA39)=1,IF(COUNTIF($I$20:$I$109,AA39)&gt;0,"FT","PT"),"PT")</f>
        <v>FT</v>
      </c>
      <c r="AC39" s="22" t="n">
        <f aca="false">IF(AB39="FT",INDEX($N$20:$N$109,MATCH(AA39,$I$20:$I$109,0)),1)</f>
        <v>1</v>
      </c>
    </row>
    <row r="40" customFormat="false" ht="15" hidden="false" customHeight="false" outlineLevel="0" collapsed="false">
      <c r="H40" s="19" t="n">
        <v>21</v>
      </c>
      <c r="I40" s="19" t="n">
        <f aca="false">IF(20&lt;FT_PreY5,FT_First+FT_Int1*20,FT_Y5+FT_Int2*(20-FT_PreY5))</f>
        <v>102</v>
      </c>
      <c r="J40" s="19" t="str">
        <f aca="false">INT(I40/12)&amp;"y "&amp;MOD(I40,12)&amp;"m"</f>
        <v>8y 6m</v>
      </c>
      <c r="K40" s="17" t="n">
        <f aca="false">IF(OR($C$6&lt;&gt;"Yes",$C$8=""),"",EDATE($C$8,I40))</f>
        <v>46829</v>
      </c>
      <c r="L40" s="19" t="str">
        <f aca="false">IF(K40="","",IF($C$16=0,$C$9,IF(AND($C$14&lt;&gt;"",K40&gt;=$C$14),$C$15,IF(AND($C$12&lt;&gt;"",K40&gt;=$C$12),$C$13,$C$11))))</f>
        <v>Full-Time</v>
      </c>
      <c r="M40" s="19" t="str">
        <f aca="false">IF(K40="","",IF(OR(ISNUMBER(SEARCH("full",L40)),UPPER(TRIM(L40))="FT",UPPER(TRIM(L40))="FTE"),"FT",IF(AND(OR(ISNUMBER(SEARCH("part",L40)),UPPER(TRIM(L40))="PT",UPPER(TRIM(L40))="PTE"),OR($C$10="",N($C$10)&gt;=PT_MinHours)),"PT","None")))</f>
        <v>FT</v>
      </c>
      <c r="N40" s="19" t="n">
        <f aca="false">IF(I40&lt;FT_Y5,1,IF(MOD(I40-FT_Y5,12)=0,FT_AnnivDays,1))</f>
        <v>1</v>
      </c>
      <c r="O40" s="19" t="n">
        <f aca="false">IF(K40="","",IF(AND(M40="FT",K40&lt;=AsOfDate),N40,0))</f>
        <v>0</v>
      </c>
      <c r="Q40" s="19" t="n">
        <v>21</v>
      </c>
      <c r="R40" s="19" t="n">
        <f aca="false">PT_First+PT_Int*20</f>
        <v>140</v>
      </c>
      <c r="S40" s="19" t="str">
        <f aca="false">INT(R40/12)&amp;"y "&amp;MOD(R40,12)&amp;"m"</f>
        <v>11y 8m</v>
      </c>
      <c r="T40" s="17" t="n">
        <f aca="false">IF(OR($C$6&lt;&gt;"Yes",$C$8=""),"",EDATE($C$8,R40))</f>
        <v>47985</v>
      </c>
      <c r="U40" s="19" t="str">
        <f aca="false">IF(T40="","",IF($C$16=0,$C$9,IF(AND($C$14&lt;&gt;"",T40&gt;=$C$14),$C$15,IF(AND($C$12&lt;&gt;"",T40&gt;=$C$12),$C$13,$C$11))))</f>
        <v>Full-Time</v>
      </c>
      <c r="V40" s="19" t="str">
        <f aca="false">IF(T40="","",IF(OR(ISNUMBER(SEARCH("full",U40)),UPPER(TRIM(U40))="FT",UPPER(TRIM(U40))="FTE"),"FT",IF(AND(OR(ISNUMBER(SEARCH("part",U40)),UPPER(TRIM(U40))="PT",UPPER(TRIM(U40))="PTE"),OR($C$10="",N($C$10)&gt;=PT_MinHours)),"PT","None")))</f>
        <v>FT</v>
      </c>
      <c r="W40" s="19" t="n">
        <v>1</v>
      </c>
      <c r="X40" s="19" t="n">
        <f aca="false">IF(T40="","",IF(AND(V40="PT",T40&lt;=AsOfDate),W40,0))</f>
        <v>0</v>
      </c>
      <c r="Z40" s="22" t="n">
        <f aca="false">I40</f>
        <v>102</v>
      </c>
      <c r="AA40" s="22" t="n">
        <f aca="false">SMALL($Z$20:$Z$199,21)</f>
        <v>84</v>
      </c>
      <c r="AB40" s="22" t="str">
        <f aca="false">IF(21-COUNTIF($Z$20:$Z$199,"&lt;"&amp;AA40)=1,IF(COUNTIF($I$20:$I$109,AA40)&gt;0,"FT","PT"),"PT")</f>
        <v>FT</v>
      </c>
      <c r="AC40" s="22" t="n">
        <f aca="false">IF(AB40="FT",INDEX($N$20:$N$109,MATCH(AA40,$I$20:$I$109,0)),1)</f>
        <v>2</v>
      </c>
    </row>
    <row r="41" customFormat="false" ht="15" hidden="false" customHeight="false" outlineLevel="0" collapsed="false">
      <c r="H41" s="19" t="n">
        <v>22</v>
      </c>
      <c r="I41" s="19" t="n">
        <f aca="false">IF(21&lt;FT_PreY5,FT_First+FT_Int1*21,FT_Y5+FT_Int2*(21-FT_PreY5))</f>
        <v>105</v>
      </c>
      <c r="J41" s="19" t="str">
        <f aca="false">INT(I41/12)&amp;"y "&amp;MOD(I41,12)&amp;"m"</f>
        <v>8y 9m</v>
      </c>
      <c r="K41" s="17" t="n">
        <f aca="false">IF(OR($C$6&lt;&gt;"Yes",$C$8=""),"",EDATE($C$8,I41))</f>
        <v>46921</v>
      </c>
      <c r="L41" s="19" t="str">
        <f aca="false">IF(K41="","",IF($C$16=0,$C$9,IF(AND($C$14&lt;&gt;"",K41&gt;=$C$14),$C$15,IF(AND($C$12&lt;&gt;"",K41&gt;=$C$12),$C$13,$C$11))))</f>
        <v>Full-Time</v>
      </c>
      <c r="M41" s="19" t="str">
        <f aca="false">IF(K41="","",IF(OR(ISNUMBER(SEARCH("full",L41)),UPPER(TRIM(L41))="FT",UPPER(TRIM(L41))="FTE"),"FT",IF(AND(OR(ISNUMBER(SEARCH("part",L41)),UPPER(TRIM(L41))="PT",UPPER(TRIM(L41))="PTE"),OR($C$10="",N($C$10)&gt;=PT_MinHours)),"PT","None")))</f>
        <v>FT</v>
      </c>
      <c r="N41" s="19" t="n">
        <f aca="false">IF(I41&lt;FT_Y5,1,IF(MOD(I41-FT_Y5,12)=0,FT_AnnivDays,1))</f>
        <v>1</v>
      </c>
      <c r="O41" s="19" t="n">
        <f aca="false">IF(K41="","",IF(AND(M41="FT",K41&lt;=AsOfDate),N41,0))</f>
        <v>0</v>
      </c>
      <c r="Q41" s="19" t="n">
        <v>22</v>
      </c>
      <c r="R41" s="19" t="n">
        <f aca="false">PT_First+PT_Int*21</f>
        <v>144</v>
      </c>
      <c r="S41" s="19" t="str">
        <f aca="false">INT(R41/12)&amp;"y "&amp;MOD(R41,12)&amp;"m"</f>
        <v>12y 0m</v>
      </c>
      <c r="T41" s="17" t="n">
        <f aca="false">IF(OR($C$6&lt;&gt;"Yes",$C$8=""),"",EDATE($C$8,R41))</f>
        <v>48108</v>
      </c>
      <c r="U41" s="19" t="str">
        <f aca="false">IF(T41="","",IF($C$16=0,$C$9,IF(AND($C$14&lt;&gt;"",T41&gt;=$C$14),$C$15,IF(AND($C$12&lt;&gt;"",T41&gt;=$C$12),$C$13,$C$11))))</f>
        <v>Full-Time</v>
      </c>
      <c r="V41" s="19" t="str">
        <f aca="false">IF(T41="","",IF(OR(ISNUMBER(SEARCH("full",U41)),UPPER(TRIM(U41))="FT",UPPER(TRIM(U41))="FTE"),"FT",IF(AND(OR(ISNUMBER(SEARCH("part",U41)),UPPER(TRIM(U41))="PT",UPPER(TRIM(U41))="PTE"),OR($C$10="",N($C$10)&gt;=PT_MinHours)),"PT","None")))</f>
        <v>FT</v>
      </c>
      <c r="W41" s="19" t="n">
        <v>1</v>
      </c>
      <c r="X41" s="19" t="n">
        <f aca="false">IF(T41="","",IF(AND(V41="PT",T41&lt;=AsOfDate),W41,0))</f>
        <v>0</v>
      </c>
      <c r="Z41" s="22" t="n">
        <f aca="false">I41</f>
        <v>105</v>
      </c>
      <c r="AA41" s="22" t="n">
        <f aca="false">SMALL($Z$20:$Z$199,22)</f>
        <v>84</v>
      </c>
      <c r="AB41" s="22" t="str">
        <f aca="false">IF(22-COUNTIF($Z$20:$Z$199,"&lt;"&amp;AA41)=1,IF(COUNTIF($I$20:$I$109,AA41)&gt;0,"FT","PT"),"PT")</f>
        <v>PT</v>
      </c>
      <c r="AC41" s="22" t="n">
        <f aca="false">IF(AB41="FT",INDEX($N$20:$N$109,MATCH(AA41,$I$20:$I$109,0)),1)</f>
        <v>1</v>
      </c>
    </row>
    <row r="42" customFormat="false" ht="15" hidden="false" customHeight="false" outlineLevel="0" collapsed="false">
      <c r="H42" s="19" t="n">
        <v>23</v>
      </c>
      <c r="I42" s="19" t="n">
        <f aca="false">IF(22&lt;FT_PreY5,FT_First+FT_Int1*22,FT_Y5+FT_Int2*(22-FT_PreY5))</f>
        <v>108</v>
      </c>
      <c r="J42" s="19" t="str">
        <f aca="false">INT(I42/12)&amp;"y "&amp;MOD(I42,12)&amp;"m"</f>
        <v>9y 0m</v>
      </c>
      <c r="K42" s="17" t="n">
        <f aca="false">IF(OR($C$6&lt;&gt;"Yes",$C$8=""),"",EDATE($C$8,I42))</f>
        <v>47013</v>
      </c>
      <c r="L42" s="19" t="str">
        <f aca="false">IF(K42="","",IF($C$16=0,$C$9,IF(AND($C$14&lt;&gt;"",K42&gt;=$C$14),$C$15,IF(AND($C$12&lt;&gt;"",K42&gt;=$C$12),$C$13,$C$11))))</f>
        <v>Full-Time</v>
      </c>
      <c r="M42" s="19" t="str">
        <f aca="false">IF(K42="","",IF(OR(ISNUMBER(SEARCH("full",L42)),UPPER(TRIM(L42))="FT",UPPER(TRIM(L42))="FTE"),"FT",IF(AND(OR(ISNUMBER(SEARCH("part",L42)),UPPER(TRIM(L42))="PT",UPPER(TRIM(L42))="PTE"),OR($C$10="",N($C$10)&gt;=PT_MinHours)),"PT","None")))</f>
        <v>FT</v>
      </c>
      <c r="N42" s="19" t="n">
        <f aca="false">IF(I42&lt;FT_Y5,1,IF(MOD(I42-FT_Y5,12)=0,FT_AnnivDays,1))</f>
        <v>2</v>
      </c>
      <c r="O42" s="19" t="n">
        <f aca="false">IF(K42="","",IF(AND(M42="FT",K42&lt;=AsOfDate),N42,0))</f>
        <v>0</v>
      </c>
      <c r="Q42" s="19" t="n">
        <v>23</v>
      </c>
      <c r="R42" s="19" t="n">
        <f aca="false">PT_First+PT_Int*22</f>
        <v>148</v>
      </c>
      <c r="S42" s="19" t="str">
        <f aca="false">INT(R42/12)&amp;"y "&amp;MOD(R42,12)&amp;"m"</f>
        <v>12y 4m</v>
      </c>
      <c r="T42" s="17" t="n">
        <f aca="false">IF(OR($C$6&lt;&gt;"Yes",$C$8=""),"",EDATE($C$8,R42))</f>
        <v>48230</v>
      </c>
      <c r="U42" s="19" t="str">
        <f aca="false">IF(T42="","",IF($C$16=0,$C$9,IF(AND($C$14&lt;&gt;"",T42&gt;=$C$14),$C$15,IF(AND($C$12&lt;&gt;"",T42&gt;=$C$12),$C$13,$C$11))))</f>
        <v>Full-Time</v>
      </c>
      <c r="V42" s="19" t="str">
        <f aca="false">IF(T42="","",IF(OR(ISNUMBER(SEARCH("full",U42)),UPPER(TRIM(U42))="FT",UPPER(TRIM(U42))="FTE"),"FT",IF(AND(OR(ISNUMBER(SEARCH("part",U42)),UPPER(TRIM(U42))="PT",UPPER(TRIM(U42))="PTE"),OR($C$10="",N($C$10)&gt;=PT_MinHours)),"PT","None")))</f>
        <v>FT</v>
      </c>
      <c r="W42" s="19" t="n">
        <v>1</v>
      </c>
      <c r="X42" s="19" t="n">
        <f aca="false">IF(T42="","",IF(AND(V42="PT",T42&lt;=AsOfDate),W42,0))</f>
        <v>0</v>
      </c>
      <c r="Z42" s="22" t="n">
        <f aca="false">I42</f>
        <v>108</v>
      </c>
      <c r="AA42" s="22" t="n">
        <f aca="false">SMALL($Z$20:$Z$199,23)</f>
        <v>87</v>
      </c>
      <c r="AB42" s="22" t="str">
        <f aca="false">IF(23-COUNTIF($Z$20:$Z$199,"&lt;"&amp;AA42)=1,IF(COUNTIF($I$20:$I$109,AA42)&gt;0,"FT","PT"),"PT")</f>
        <v>FT</v>
      </c>
      <c r="AC42" s="22" t="n">
        <f aca="false">IF(AB42="FT",INDEX($N$20:$N$109,MATCH(AA42,$I$20:$I$109,0)),1)</f>
        <v>1</v>
      </c>
    </row>
    <row r="43" customFormat="false" ht="15" hidden="false" customHeight="false" outlineLevel="0" collapsed="false">
      <c r="H43" s="19" t="n">
        <v>24</v>
      </c>
      <c r="I43" s="19" t="n">
        <f aca="false">IF(23&lt;FT_PreY5,FT_First+FT_Int1*23,FT_Y5+FT_Int2*(23-FT_PreY5))</f>
        <v>111</v>
      </c>
      <c r="J43" s="19" t="str">
        <f aca="false">INT(I43/12)&amp;"y "&amp;MOD(I43,12)&amp;"m"</f>
        <v>9y 3m</v>
      </c>
      <c r="K43" s="17" t="n">
        <f aca="false">IF(OR($C$6&lt;&gt;"Yes",$C$8=""),"",EDATE($C$8,I43))</f>
        <v>47104</v>
      </c>
      <c r="L43" s="19" t="str">
        <f aca="false">IF(K43="","",IF($C$16=0,$C$9,IF(AND($C$14&lt;&gt;"",K43&gt;=$C$14),$C$15,IF(AND($C$12&lt;&gt;"",K43&gt;=$C$12),$C$13,$C$11))))</f>
        <v>Full-Time</v>
      </c>
      <c r="M43" s="19" t="str">
        <f aca="false">IF(K43="","",IF(OR(ISNUMBER(SEARCH("full",L43)),UPPER(TRIM(L43))="FT",UPPER(TRIM(L43))="FTE"),"FT",IF(AND(OR(ISNUMBER(SEARCH("part",L43)),UPPER(TRIM(L43))="PT",UPPER(TRIM(L43))="PTE"),OR($C$10="",N($C$10)&gt;=PT_MinHours)),"PT","None")))</f>
        <v>FT</v>
      </c>
      <c r="N43" s="19" t="n">
        <f aca="false">IF(I43&lt;FT_Y5,1,IF(MOD(I43-FT_Y5,12)=0,FT_AnnivDays,1))</f>
        <v>1</v>
      </c>
      <c r="O43" s="19" t="n">
        <f aca="false">IF(K43="","",IF(AND(M43="FT",K43&lt;=AsOfDate),N43,0))</f>
        <v>0</v>
      </c>
      <c r="Q43" s="19" t="n">
        <v>24</v>
      </c>
      <c r="R43" s="19" t="n">
        <f aca="false">PT_First+PT_Int*23</f>
        <v>152</v>
      </c>
      <c r="S43" s="19" t="str">
        <f aca="false">INT(R43/12)&amp;"y "&amp;MOD(R43,12)&amp;"m"</f>
        <v>12y 8m</v>
      </c>
      <c r="T43" s="17" t="n">
        <f aca="false">IF(OR($C$6&lt;&gt;"Yes",$C$8=""),"",EDATE($C$8,R43))</f>
        <v>48351</v>
      </c>
      <c r="U43" s="19" t="str">
        <f aca="false">IF(T43="","",IF($C$16=0,$C$9,IF(AND($C$14&lt;&gt;"",T43&gt;=$C$14),$C$15,IF(AND($C$12&lt;&gt;"",T43&gt;=$C$12),$C$13,$C$11))))</f>
        <v>Full-Time</v>
      </c>
      <c r="V43" s="19" t="str">
        <f aca="false">IF(T43="","",IF(OR(ISNUMBER(SEARCH("full",U43)),UPPER(TRIM(U43))="FT",UPPER(TRIM(U43))="FTE"),"FT",IF(AND(OR(ISNUMBER(SEARCH("part",U43)),UPPER(TRIM(U43))="PT",UPPER(TRIM(U43))="PTE"),OR($C$10="",N($C$10)&gt;=PT_MinHours)),"PT","None")))</f>
        <v>FT</v>
      </c>
      <c r="W43" s="19" t="n">
        <v>1</v>
      </c>
      <c r="X43" s="19" t="n">
        <f aca="false">IF(T43="","",IF(AND(V43="PT",T43&lt;=AsOfDate),W43,0))</f>
        <v>0</v>
      </c>
      <c r="Z43" s="22" t="n">
        <f aca="false">I43</f>
        <v>111</v>
      </c>
      <c r="AA43" s="22" t="n">
        <f aca="false">SMALL($Z$20:$Z$199,24)</f>
        <v>88</v>
      </c>
      <c r="AB43" s="22" t="str">
        <f aca="false">IF(24-COUNTIF($Z$20:$Z$199,"&lt;"&amp;AA43)=1,IF(COUNTIF($I$20:$I$109,AA43)&gt;0,"FT","PT"),"PT")</f>
        <v>PT</v>
      </c>
      <c r="AC43" s="22" t="n">
        <f aca="false">IF(AB43="FT",INDEX($N$20:$N$109,MATCH(AA43,$I$20:$I$109,0)),1)</f>
        <v>1</v>
      </c>
    </row>
    <row r="44" customFormat="false" ht="15" hidden="false" customHeight="false" outlineLevel="0" collapsed="false">
      <c r="H44" s="19" t="n">
        <v>25</v>
      </c>
      <c r="I44" s="19" t="n">
        <f aca="false">IF(24&lt;FT_PreY5,FT_First+FT_Int1*24,FT_Y5+FT_Int2*(24-FT_PreY5))</f>
        <v>114</v>
      </c>
      <c r="J44" s="19" t="str">
        <f aca="false">INT(I44/12)&amp;"y "&amp;MOD(I44,12)&amp;"m"</f>
        <v>9y 6m</v>
      </c>
      <c r="K44" s="17" t="n">
        <f aca="false">IF(OR($C$6&lt;&gt;"Yes",$C$8=""),"",EDATE($C$8,I44))</f>
        <v>47194</v>
      </c>
      <c r="L44" s="19" t="str">
        <f aca="false">IF(K44="","",IF($C$16=0,$C$9,IF(AND($C$14&lt;&gt;"",K44&gt;=$C$14),$C$15,IF(AND($C$12&lt;&gt;"",K44&gt;=$C$12),$C$13,$C$11))))</f>
        <v>Full-Time</v>
      </c>
      <c r="M44" s="19" t="str">
        <f aca="false">IF(K44="","",IF(OR(ISNUMBER(SEARCH("full",L44)),UPPER(TRIM(L44))="FT",UPPER(TRIM(L44))="FTE"),"FT",IF(AND(OR(ISNUMBER(SEARCH("part",L44)),UPPER(TRIM(L44))="PT",UPPER(TRIM(L44))="PTE"),OR($C$10="",N($C$10)&gt;=PT_MinHours)),"PT","None")))</f>
        <v>FT</v>
      </c>
      <c r="N44" s="19" t="n">
        <f aca="false">IF(I44&lt;FT_Y5,1,IF(MOD(I44-FT_Y5,12)=0,FT_AnnivDays,1))</f>
        <v>1</v>
      </c>
      <c r="O44" s="19" t="n">
        <f aca="false">IF(K44="","",IF(AND(M44="FT",K44&lt;=AsOfDate),N44,0))</f>
        <v>0</v>
      </c>
      <c r="Q44" s="19" t="n">
        <v>25</v>
      </c>
      <c r="R44" s="19" t="n">
        <f aca="false">PT_First+PT_Int*24</f>
        <v>156</v>
      </c>
      <c r="S44" s="19" t="str">
        <f aca="false">INT(R44/12)&amp;"y "&amp;MOD(R44,12)&amp;"m"</f>
        <v>13y 0m</v>
      </c>
      <c r="T44" s="17" t="n">
        <f aca="false">IF(OR($C$6&lt;&gt;"Yes",$C$8=""),"",EDATE($C$8,R44))</f>
        <v>48474</v>
      </c>
      <c r="U44" s="19" t="str">
        <f aca="false">IF(T44="","",IF($C$16=0,$C$9,IF(AND($C$14&lt;&gt;"",T44&gt;=$C$14),$C$15,IF(AND($C$12&lt;&gt;"",T44&gt;=$C$12),$C$13,$C$11))))</f>
        <v>Full-Time</v>
      </c>
      <c r="V44" s="19" t="str">
        <f aca="false">IF(T44="","",IF(OR(ISNUMBER(SEARCH("full",U44)),UPPER(TRIM(U44))="FT",UPPER(TRIM(U44))="FTE"),"FT",IF(AND(OR(ISNUMBER(SEARCH("part",U44)),UPPER(TRIM(U44))="PT",UPPER(TRIM(U44))="PTE"),OR($C$10="",N($C$10)&gt;=PT_MinHours)),"PT","None")))</f>
        <v>FT</v>
      </c>
      <c r="W44" s="19" t="n">
        <v>1</v>
      </c>
      <c r="X44" s="19" t="n">
        <f aca="false">IF(T44="","",IF(AND(V44="PT",T44&lt;=AsOfDate),W44,0))</f>
        <v>0</v>
      </c>
      <c r="Z44" s="22" t="n">
        <f aca="false">I44</f>
        <v>114</v>
      </c>
      <c r="AA44" s="22" t="n">
        <f aca="false">SMALL($Z$20:$Z$199,25)</f>
        <v>90</v>
      </c>
      <c r="AB44" s="22" t="str">
        <f aca="false">IF(25-COUNTIF($Z$20:$Z$199,"&lt;"&amp;AA44)=1,IF(COUNTIF($I$20:$I$109,AA44)&gt;0,"FT","PT"),"PT")</f>
        <v>FT</v>
      </c>
      <c r="AC44" s="22" t="n">
        <f aca="false">IF(AB44="FT",INDEX($N$20:$N$109,MATCH(AA44,$I$20:$I$109,0)),1)</f>
        <v>1</v>
      </c>
    </row>
    <row r="45" customFormat="false" ht="15" hidden="false" customHeight="false" outlineLevel="0" collapsed="false">
      <c r="H45" s="19" t="n">
        <v>26</v>
      </c>
      <c r="I45" s="19" t="n">
        <f aca="false">IF(25&lt;FT_PreY5,FT_First+FT_Int1*25,FT_Y5+FT_Int2*(25-FT_PreY5))</f>
        <v>117</v>
      </c>
      <c r="J45" s="19" t="str">
        <f aca="false">INT(I45/12)&amp;"y "&amp;MOD(I45,12)&amp;"m"</f>
        <v>9y 9m</v>
      </c>
      <c r="K45" s="17" t="n">
        <f aca="false">IF(OR($C$6&lt;&gt;"Yes",$C$8=""),"",EDATE($C$8,I45))</f>
        <v>47286</v>
      </c>
      <c r="L45" s="19" t="str">
        <f aca="false">IF(K45="","",IF($C$16=0,$C$9,IF(AND($C$14&lt;&gt;"",K45&gt;=$C$14),$C$15,IF(AND($C$12&lt;&gt;"",K45&gt;=$C$12),$C$13,$C$11))))</f>
        <v>Full-Time</v>
      </c>
      <c r="M45" s="19" t="str">
        <f aca="false">IF(K45="","",IF(OR(ISNUMBER(SEARCH("full",L45)),UPPER(TRIM(L45))="FT",UPPER(TRIM(L45))="FTE"),"FT",IF(AND(OR(ISNUMBER(SEARCH("part",L45)),UPPER(TRIM(L45))="PT",UPPER(TRIM(L45))="PTE"),OR($C$10="",N($C$10)&gt;=PT_MinHours)),"PT","None")))</f>
        <v>FT</v>
      </c>
      <c r="N45" s="19" t="n">
        <f aca="false">IF(I45&lt;FT_Y5,1,IF(MOD(I45-FT_Y5,12)=0,FT_AnnivDays,1))</f>
        <v>1</v>
      </c>
      <c r="O45" s="19" t="n">
        <f aca="false">IF(K45="","",IF(AND(M45="FT",K45&lt;=AsOfDate),N45,0))</f>
        <v>0</v>
      </c>
      <c r="Q45" s="19" t="n">
        <v>26</v>
      </c>
      <c r="R45" s="19" t="n">
        <f aca="false">PT_First+PT_Int*25</f>
        <v>160</v>
      </c>
      <c r="S45" s="19" t="str">
        <f aca="false">INT(R45/12)&amp;"y "&amp;MOD(R45,12)&amp;"m"</f>
        <v>13y 4m</v>
      </c>
      <c r="T45" s="17" t="n">
        <f aca="false">IF(OR($C$6&lt;&gt;"Yes",$C$8=""),"",EDATE($C$8,R45))</f>
        <v>48596</v>
      </c>
      <c r="U45" s="19" t="str">
        <f aca="false">IF(T45="","",IF($C$16=0,$C$9,IF(AND($C$14&lt;&gt;"",T45&gt;=$C$14),$C$15,IF(AND($C$12&lt;&gt;"",T45&gt;=$C$12),$C$13,$C$11))))</f>
        <v>Full-Time</v>
      </c>
      <c r="V45" s="19" t="str">
        <f aca="false">IF(T45="","",IF(OR(ISNUMBER(SEARCH("full",U45)),UPPER(TRIM(U45))="FT",UPPER(TRIM(U45))="FTE"),"FT",IF(AND(OR(ISNUMBER(SEARCH("part",U45)),UPPER(TRIM(U45))="PT",UPPER(TRIM(U45))="PTE"),OR($C$10="",N($C$10)&gt;=PT_MinHours)),"PT","None")))</f>
        <v>FT</v>
      </c>
      <c r="W45" s="19" t="n">
        <v>1</v>
      </c>
      <c r="X45" s="19" t="n">
        <f aca="false">IF(T45="","",IF(AND(V45="PT",T45&lt;=AsOfDate),W45,0))</f>
        <v>0</v>
      </c>
      <c r="Z45" s="22" t="n">
        <f aca="false">I45</f>
        <v>117</v>
      </c>
      <c r="AA45" s="22" t="n">
        <f aca="false">SMALL($Z$20:$Z$199,26)</f>
        <v>92</v>
      </c>
      <c r="AB45" s="22" t="str">
        <f aca="false">IF(26-COUNTIF($Z$20:$Z$199,"&lt;"&amp;AA45)=1,IF(COUNTIF($I$20:$I$109,AA45)&gt;0,"FT","PT"),"PT")</f>
        <v>PT</v>
      </c>
      <c r="AC45" s="22" t="n">
        <f aca="false">IF(AB45="FT",INDEX($N$20:$N$109,MATCH(AA45,$I$20:$I$109,0)),1)</f>
        <v>1</v>
      </c>
    </row>
    <row r="46" customFormat="false" ht="15" hidden="false" customHeight="false" outlineLevel="0" collapsed="false">
      <c r="H46" s="19" t="n">
        <v>27</v>
      </c>
      <c r="I46" s="19" t="n">
        <f aca="false">IF(26&lt;FT_PreY5,FT_First+FT_Int1*26,FT_Y5+FT_Int2*(26-FT_PreY5))</f>
        <v>120</v>
      </c>
      <c r="J46" s="19" t="str">
        <f aca="false">INT(I46/12)&amp;"y "&amp;MOD(I46,12)&amp;"m"</f>
        <v>10y 0m</v>
      </c>
      <c r="K46" s="17" t="n">
        <f aca="false">IF(OR($C$6&lt;&gt;"Yes",$C$8=""),"",EDATE($C$8,I46))</f>
        <v>47378</v>
      </c>
      <c r="L46" s="19" t="str">
        <f aca="false">IF(K46="","",IF($C$16=0,$C$9,IF(AND($C$14&lt;&gt;"",K46&gt;=$C$14),$C$15,IF(AND($C$12&lt;&gt;"",K46&gt;=$C$12),$C$13,$C$11))))</f>
        <v>Full-Time</v>
      </c>
      <c r="M46" s="19" t="str">
        <f aca="false">IF(K46="","",IF(OR(ISNUMBER(SEARCH("full",L46)),UPPER(TRIM(L46))="FT",UPPER(TRIM(L46))="FTE"),"FT",IF(AND(OR(ISNUMBER(SEARCH("part",L46)),UPPER(TRIM(L46))="PT",UPPER(TRIM(L46))="PTE"),OR($C$10="",N($C$10)&gt;=PT_MinHours)),"PT","None")))</f>
        <v>FT</v>
      </c>
      <c r="N46" s="19" t="n">
        <f aca="false">IF(I46&lt;FT_Y5,1,IF(MOD(I46-FT_Y5,12)=0,FT_AnnivDays,1))</f>
        <v>2</v>
      </c>
      <c r="O46" s="19" t="n">
        <f aca="false">IF(K46="","",IF(AND(M46="FT",K46&lt;=AsOfDate),N46,0))</f>
        <v>0</v>
      </c>
      <c r="Q46" s="19" t="n">
        <v>27</v>
      </c>
      <c r="R46" s="19" t="n">
        <f aca="false">PT_First+PT_Int*26</f>
        <v>164</v>
      </c>
      <c r="S46" s="19" t="str">
        <f aca="false">INT(R46/12)&amp;"y "&amp;MOD(R46,12)&amp;"m"</f>
        <v>13y 8m</v>
      </c>
      <c r="T46" s="17" t="n">
        <f aca="false">IF(OR($C$6&lt;&gt;"Yes",$C$8=""),"",EDATE($C$8,R46))</f>
        <v>48716</v>
      </c>
      <c r="U46" s="19" t="str">
        <f aca="false">IF(T46="","",IF($C$16=0,$C$9,IF(AND($C$14&lt;&gt;"",T46&gt;=$C$14),$C$15,IF(AND($C$12&lt;&gt;"",T46&gt;=$C$12),$C$13,$C$11))))</f>
        <v>Full-Time</v>
      </c>
      <c r="V46" s="19" t="str">
        <f aca="false">IF(T46="","",IF(OR(ISNUMBER(SEARCH("full",U46)),UPPER(TRIM(U46))="FT",UPPER(TRIM(U46))="FTE"),"FT",IF(AND(OR(ISNUMBER(SEARCH("part",U46)),UPPER(TRIM(U46))="PT",UPPER(TRIM(U46))="PTE"),OR($C$10="",N($C$10)&gt;=PT_MinHours)),"PT","None")))</f>
        <v>FT</v>
      </c>
      <c r="W46" s="19" t="n">
        <v>1</v>
      </c>
      <c r="X46" s="19" t="n">
        <f aca="false">IF(T46="","",IF(AND(V46="PT",T46&lt;=AsOfDate),W46,0))</f>
        <v>0</v>
      </c>
      <c r="Z46" s="22" t="n">
        <f aca="false">I46</f>
        <v>120</v>
      </c>
      <c r="AA46" s="22" t="n">
        <f aca="false">SMALL($Z$20:$Z$199,27)</f>
        <v>93</v>
      </c>
      <c r="AB46" s="22" t="str">
        <f aca="false">IF(27-COUNTIF($Z$20:$Z$199,"&lt;"&amp;AA46)=1,IF(COUNTIF($I$20:$I$109,AA46)&gt;0,"FT","PT"),"PT")</f>
        <v>FT</v>
      </c>
      <c r="AC46" s="22" t="n">
        <f aca="false">IF(AB46="FT",INDEX($N$20:$N$109,MATCH(AA46,$I$20:$I$109,0)),1)</f>
        <v>1</v>
      </c>
    </row>
    <row r="47" customFormat="false" ht="15" hidden="false" customHeight="false" outlineLevel="0" collapsed="false">
      <c r="H47" s="19" t="n">
        <v>28</v>
      </c>
      <c r="I47" s="19" t="n">
        <f aca="false">IF(27&lt;FT_PreY5,FT_First+FT_Int1*27,FT_Y5+FT_Int2*(27-FT_PreY5))</f>
        <v>123</v>
      </c>
      <c r="J47" s="19" t="str">
        <f aca="false">INT(I47/12)&amp;"y "&amp;MOD(I47,12)&amp;"m"</f>
        <v>10y 3m</v>
      </c>
      <c r="K47" s="17" t="n">
        <f aca="false">IF(OR($C$6&lt;&gt;"Yes",$C$8=""),"",EDATE($C$8,I47))</f>
        <v>47469</v>
      </c>
      <c r="L47" s="19" t="str">
        <f aca="false">IF(K47="","",IF($C$16=0,$C$9,IF(AND($C$14&lt;&gt;"",K47&gt;=$C$14),$C$15,IF(AND($C$12&lt;&gt;"",K47&gt;=$C$12),$C$13,$C$11))))</f>
        <v>Full-Time</v>
      </c>
      <c r="M47" s="19" t="str">
        <f aca="false">IF(K47="","",IF(OR(ISNUMBER(SEARCH("full",L47)),UPPER(TRIM(L47))="FT",UPPER(TRIM(L47))="FTE"),"FT",IF(AND(OR(ISNUMBER(SEARCH("part",L47)),UPPER(TRIM(L47))="PT",UPPER(TRIM(L47))="PTE"),OR($C$10="",N($C$10)&gt;=PT_MinHours)),"PT","None")))</f>
        <v>FT</v>
      </c>
      <c r="N47" s="19" t="n">
        <f aca="false">IF(I47&lt;FT_Y5,1,IF(MOD(I47-FT_Y5,12)=0,FT_AnnivDays,1))</f>
        <v>1</v>
      </c>
      <c r="O47" s="19" t="n">
        <f aca="false">IF(K47="","",IF(AND(M47="FT",K47&lt;=AsOfDate),N47,0))</f>
        <v>0</v>
      </c>
      <c r="Q47" s="19" t="n">
        <v>28</v>
      </c>
      <c r="R47" s="19" t="n">
        <f aca="false">PT_First+PT_Int*27</f>
        <v>168</v>
      </c>
      <c r="S47" s="19" t="str">
        <f aca="false">INT(R47/12)&amp;"y "&amp;MOD(R47,12)&amp;"m"</f>
        <v>14y 0m</v>
      </c>
      <c r="T47" s="17" t="n">
        <f aca="false">IF(OR($C$6&lt;&gt;"Yes",$C$8=""),"",EDATE($C$8,R47))</f>
        <v>48839</v>
      </c>
      <c r="U47" s="19" t="str">
        <f aca="false">IF(T47="","",IF($C$16=0,$C$9,IF(AND($C$14&lt;&gt;"",T47&gt;=$C$14),$C$15,IF(AND($C$12&lt;&gt;"",T47&gt;=$C$12),$C$13,$C$11))))</f>
        <v>Full-Time</v>
      </c>
      <c r="V47" s="19" t="str">
        <f aca="false">IF(T47="","",IF(OR(ISNUMBER(SEARCH("full",U47)),UPPER(TRIM(U47))="FT",UPPER(TRIM(U47))="FTE"),"FT",IF(AND(OR(ISNUMBER(SEARCH("part",U47)),UPPER(TRIM(U47))="PT",UPPER(TRIM(U47))="PTE"),OR($C$10="",N($C$10)&gt;=PT_MinHours)),"PT","None")))</f>
        <v>FT</v>
      </c>
      <c r="W47" s="19" t="n">
        <v>1</v>
      </c>
      <c r="X47" s="19" t="n">
        <f aca="false">IF(T47="","",IF(AND(V47="PT",T47&lt;=AsOfDate),W47,0))</f>
        <v>0</v>
      </c>
      <c r="Z47" s="22" t="n">
        <f aca="false">I47</f>
        <v>123</v>
      </c>
      <c r="AA47" s="22" t="n">
        <f aca="false">SMALL($Z$20:$Z$199,28)</f>
        <v>96</v>
      </c>
      <c r="AB47" s="22" t="str">
        <f aca="false">IF(28-COUNTIF($Z$20:$Z$199,"&lt;"&amp;AA47)=1,IF(COUNTIF($I$20:$I$109,AA47)&gt;0,"FT","PT"),"PT")</f>
        <v>FT</v>
      </c>
      <c r="AC47" s="22" t="n">
        <f aca="false">IF(AB47="FT",INDEX($N$20:$N$109,MATCH(AA47,$I$20:$I$109,0)),1)</f>
        <v>2</v>
      </c>
    </row>
    <row r="48" customFormat="false" ht="15" hidden="false" customHeight="false" outlineLevel="0" collapsed="false">
      <c r="H48" s="19" t="n">
        <v>29</v>
      </c>
      <c r="I48" s="19" t="n">
        <f aca="false">IF(28&lt;FT_PreY5,FT_First+FT_Int1*28,FT_Y5+FT_Int2*(28-FT_PreY5))</f>
        <v>126</v>
      </c>
      <c r="J48" s="19" t="str">
        <f aca="false">INT(I48/12)&amp;"y "&amp;MOD(I48,12)&amp;"m"</f>
        <v>10y 6m</v>
      </c>
      <c r="K48" s="17" t="n">
        <f aca="false">IF(OR($C$6&lt;&gt;"Yes",$C$8=""),"",EDATE($C$8,I48))</f>
        <v>47559</v>
      </c>
      <c r="L48" s="19" t="str">
        <f aca="false">IF(K48="","",IF($C$16=0,$C$9,IF(AND($C$14&lt;&gt;"",K48&gt;=$C$14),$C$15,IF(AND($C$12&lt;&gt;"",K48&gt;=$C$12),$C$13,$C$11))))</f>
        <v>Full-Time</v>
      </c>
      <c r="M48" s="19" t="str">
        <f aca="false">IF(K48="","",IF(OR(ISNUMBER(SEARCH("full",L48)),UPPER(TRIM(L48))="FT",UPPER(TRIM(L48))="FTE"),"FT",IF(AND(OR(ISNUMBER(SEARCH("part",L48)),UPPER(TRIM(L48))="PT",UPPER(TRIM(L48))="PTE"),OR($C$10="",N($C$10)&gt;=PT_MinHours)),"PT","None")))</f>
        <v>FT</v>
      </c>
      <c r="N48" s="19" t="n">
        <f aca="false">IF(I48&lt;FT_Y5,1,IF(MOD(I48-FT_Y5,12)=0,FT_AnnivDays,1))</f>
        <v>1</v>
      </c>
      <c r="O48" s="19" t="n">
        <f aca="false">IF(K48="","",IF(AND(M48="FT",K48&lt;=AsOfDate),N48,0))</f>
        <v>0</v>
      </c>
      <c r="Q48" s="19" t="n">
        <v>29</v>
      </c>
      <c r="R48" s="19" t="n">
        <f aca="false">PT_First+PT_Int*28</f>
        <v>172</v>
      </c>
      <c r="S48" s="19" t="str">
        <f aca="false">INT(R48/12)&amp;"y "&amp;MOD(R48,12)&amp;"m"</f>
        <v>14y 4m</v>
      </c>
      <c r="T48" s="17" t="n">
        <f aca="false">IF(OR($C$6&lt;&gt;"Yes",$C$8=""),"",EDATE($C$8,R48))</f>
        <v>48961</v>
      </c>
      <c r="U48" s="19" t="str">
        <f aca="false">IF(T48="","",IF($C$16=0,$C$9,IF(AND($C$14&lt;&gt;"",T48&gt;=$C$14),$C$15,IF(AND($C$12&lt;&gt;"",T48&gt;=$C$12),$C$13,$C$11))))</f>
        <v>Full-Time</v>
      </c>
      <c r="V48" s="19" t="str">
        <f aca="false">IF(T48="","",IF(OR(ISNUMBER(SEARCH("full",U48)),UPPER(TRIM(U48))="FT",UPPER(TRIM(U48))="FTE"),"FT",IF(AND(OR(ISNUMBER(SEARCH("part",U48)),UPPER(TRIM(U48))="PT",UPPER(TRIM(U48))="PTE"),OR($C$10="",N($C$10)&gt;=PT_MinHours)),"PT","None")))</f>
        <v>FT</v>
      </c>
      <c r="W48" s="19" t="n">
        <v>1</v>
      </c>
      <c r="X48" s="19" t="n">
        <f aca="false">IF(T48="","",IF(AND(V48="PT",T48&lt;=AsOfDate),W48,0))</f>
        <v>0</v>
      </c>
      <c r="Z48" s="22" t="n">
        <f aca="false">I48</f>
        <v>126</v>
      </c>
      <c r="AA48" s="22" t="n">
        <f aca="false">SMALL($Z$20:$Z$199,29)</f>
        <v>96</v>
      </c>
      <c r="AB48" s="22" t="str">
        <f aca="false">IF(29-COUNTIF($Z$20:$Z$199,"&lt;"&amp;AA48)=1,IF(COUNTIF($I$20:$I$109,AA48)&gt;0,"FT","PT"),"PT")</f>
        <v>PT</v>
      </c>
      <c r="AC48" s="22" t="n">
        <f aca="false">IF(AB48="FT",INDEX($N$20:$N$109,MATCH(AA48,$I$20:$I$109,0)),1)</f>
        <v>1</v>
      </c>
    </row>
    <row r="49" customFormat="false" ht="15" hidden="false" customHeight="false" outlineLevel="0" collapsed="false">
      <c r="H49" s="19" t="n">
        <v>30</v>
      </c>
      <c r="I49" s="19" t="n">
        <f aca="false">IF(29&lt;FT_PreY5,FT_First+FT_Int1*29,FT_Y5+FT_Int2*(29-FT_PreY5))</f>
        <v>129</v>
      </c>
      <c r="J49" s="19" t="str">
        <f aca="false">INT(I49/12)&amp;"y "&amp;MOD(I49,12)&amp;"m"</f>
        <v>10y 9m</v>
      </c>
      <c r="K49" s="17" t="n">
        <f aca="false">IF(OR($C$6&lt;&gt;"Yes",$C$8=""),"",EDATE($C$8,I49))</f>
        <v>47651</v>
      </c>
      <c r="L49" s="19" t="str">
        <f aca="false">IF(K49="","",IF($C$16=0,$C$9,IF(AND($C$14&lt;&gt;"",K49&gt;=$C$14),$C$15,IF(AND($C$12&lt;&gt;"",K49&gt;=$C$12),$C$13,$C$11))))</f>
        <v>Full-Time</v>
      </c>
      <c r="M49" s="19" t="str">
        <f aca="false">IF(K49="","",IF(OR(ISNUMBER(SEARCH("full",L49)),UPPER(TRIM(L49))="FT",UPPER(TRIM(L49))="FTE"),"FT",IF(AND(OR(ISNUMBER(SEARCH("part",L49)),UPPER(TRIM(L49))="PT",UPPER(TRIM(L49))="PTE"),OR($C$10="",N($C$10)&gt;=PT_MinHours)),"PT","None")))</f>
        <v>FT</v>
      </c>
      <c r="N49" s="19" t="n">
        <f aca="false">IF(I49&lt;FT_Y5,1,IF(MOD(I49-FT_Y5,12)=0,FT_AnnivDays,1))</f>
        <v>1</v>
      </c>
      <c r="O49" s="19" t="n">
        <f aca="false">IF(K49="","",IF(AND(M49="FT",K49&lt;=AsOfDate),N49,0))</f>
        <v>0</v>
      </c>
      <c r="Q49" s="19" t="n">
        <v>30</v>
      </c>
      <c r="R49" s="19" t="n">
        <f aca="false">PT_First+PT_Int*29</f>
        <v>176</v>
      </c>
      <c r="S49" s="19" t="str">
        <f aca="false">INT(R49/12)&amp;"y "&amp;MOD(R49,12)&amp;"m"</f>
        <v>14y 8m</v>
      </c>
      <c r="T49" s="17" t="n">
        <f aca="false">IF(OR($C$6&lt;&gt;"Yes",$C$8=""),"",EDATE($C$8,R49))</f>
        <v>49081</v>
      </c>
      <c r="U49" s="19" t="str">
        <f aca="false">IF(T49="","",IF($C$16=0,$C$9,IF(AND($C$14&lt;&gt;"",T49&gt;=$C$14),$C$15,IF(AND($C$12&lt;&gt;"",T49&gt;=$C$12),$C$13,$C$11))))</f>
        <v>Full-Time</v>
      </c>
      <c r="V49" s="19" t="str">
        <f aca="false">IF(T49="","",IF(OR(ISNUMBER(SEARCH("full",U49)),UPPER(TRIM(U49))="FT",UPPER(TRIM(U49))="FTE"),"FT",IF(AND(OR(ISNUMBER(SEARCH("part",U49)),UPPER(TRIM(U49))="PT",UPPER(TRIM(U49))="PTE"),OR($C$10="",N($C$10)&gt;=PT_MinHours)),"PT","None")))</f>
        <v>FT</v>
      </c>
      <c r="W49" s="19" t="n">
        <v>1</v>
      </c>
      <c r="X49" s="19" t="n">
        <f aca="false">IF(T49="","",IF(AND(V49="PT",T49&lt;=AsOfDate),W49,0))</f>
        <v>0</v>
      </c>
      <c r="Z49" s="22" t="n">
        <f aca="false">I49</f>
        <v>129</v>
      </c>
      <c r="AA49" s="22" t="n">
        <f aca="false">SMALL($Z$20:$Z$199,30)</f>
        <v>99</v>
      </c>
      <c r="AB49" s="22" t="str">
        <f aca="false">IF(30-COUNTIF($Z$20:$Z$199,"&lt;"&amp;AA49)=1,IF(COUNTIF($I$20:$I$109,AA49)&gt;0,"FT","PT"),"PT")</f>
        <v>FT</v>
      </c>
      <c r="AC49" s="22" t="n">
        <f aca="false">IF(AB49="FT",INDEX($N$20:$N$109,MATCH(AA49,$I$20:$I$109,0)),1)</f>
        <v>1</v>
      </c>
    </row>
    <row r="50" customFormat="false" ht="15" hidden="false" customHeight="false" outlineLevel="0" collapsed="false">
      <c r="H50" s="19" t="n">
        <v>31</v>
      </c>
      <c r="I50" s="19" t="n">
        <f aca="false">IF(30&lt;FT_PreY5,FT_First+FT_Int1*30,FT_Y5+FT_Int2*(30-FT_PreY5))</f>
        <v>132</v>
      </c>
      <c r="J50" s="19" t="str">
        <f aca="false">INT(I50/12)&amp;"y "&amp;MOD(I50,12)&amp;"m"</f>
        <v>11y 0m</v>
      </c>
      <c r="K50" s="17" t="n">
        <f aca="false">IF(OR($C$6&lt;&gt;"Yes",$C$8=""),"",EDATE($C$8,I50))</f>
        <v>47743</v>
      </c>
      <c r="L50" s="19" t="str">
        <f aca="false">IF(K50="","",IF($C$16=0,$C$9,IF(AND($C$14&lt;&gt;"",K50&gt;=$C$14),$C$15,IF(AND($C$12&lt;&gt;"",K50&gt;=$C$12),$C$13,$C$11))))</f>
        <v>Full-Time</v>
      </c>
      <c r="M50" s="19" t="str">
        <f aca="false">IF(K50="","",IF(OR(ISNUMBER(SEARCH("full",L50)),UPPER(TRIM(L50))="FT",UPPER(TRIM(L50))="FTE"),"FT",IF(AND(OR(ISNUMBER(SEARCH("part",L50)),UPPER(TRIM(L50))="PT",UPPER(TRIM(L50))="PTE"),OR($C$10="",N($C$10)&gt;=PT_MinHours)),"PT","None")))</f>
        <v>FT</v>
      </c>
      <c r="N50" s="19" t="n">
        <f aca="false">IF(I50&lt;FT_Y5,1,IF(MOD(I50-FT_Y5,12)=0,FT_AnnivDays,1))</f>
        <v>2</v>
      </c>
      <c r="O50" s="19" t="n">
        <f aca="false">IF(K50="","",IF(AND(M50="FT",K50&lt;=AsOfDate),N50,0))</f>
        <v>0</v>
      </c>
      <c r="Q50" s="19" t="n">
        <v>31</v>
      </c>
      <c r="R50" s="19" t="n">
        <f aca="false">PT_First+PT_Int*30</f>
        <v>180</v>
      </c>
      <c r="S50" s="19" t="str">
        <f aca="false">INT(R50/12)&amp;"y "&amp;MOD(R50,12)&amp;"m"</f>
        <v>15y 0m</v>
      </c>
      <c r="T50" s="17" t="n">
        <f aca="false">IF(OR($C$6&lt;&gt;"Yes",$C$8=""),"",EDATE($C$8,R50))</f>
        <v>49204</v>
      </c>
      <c r="U50" s="19" t="str">
        <f aca="false">IF(T50="","",IF($C$16=0,$C$9,IF(AND($C$14&lt;&gt;"",T50&gt;=$C$14),$C$15,IF(AND($C$12&lt;&gt;"",T50&gt;=$C$12),$C$13,$C$11))))</f>
        <v>Full-Time</v>
      </c>
      <c r="V50" s="19" t="str">
        <f aca="false">IF(T50="","",IF(OR(ISNUMBER(SEARCH("full",U50)),UPPER(TRIM(U50))="FT",UPPER(TRIM(U50))="FTE"),"FT",IF(AND(OR(ISNUMBER(SEARCH("part",U50)),UPPER(TRIM(U50))="PT",UPPER(TRIM(U50))="PTE"),OR($C$10="",N($C$10)&gt;=PT_MinHours)),"PT","None")))</f>
        <v>FT</v>
      </c>
      <c r="W50" s="19" t="n">
        <v>1</v>
      </c>
      <c r="X50" s="19" t="n">
        <f aca="false">IF(T50="","",IF(AND(V50="PT",T50&lt;=AsOfDate),W50,0))</f>
        <v>0</v>
      </c>
      <c r="Z50" s="22" t="n">
        <f aca="false">I50</f>
        <v>132</v>
      </c>
      <c r="AA50" s="22" t="n">
        <f aca="false">SMALL($Z$20:$Z$199,31)</f>
        <v>100</v>
      </c>
      <c r="AB50" s="22" t="str">
        <f aca="false">IF(31-COUNTIF($Z$20:$Z$199,"&lt;"&amp;AA50)=1,IF(COUNTIF($I$20:$I$109,AA50)&gt;0,"FT","PT"),"PT")</f>
        <v>PT</v>
      </c>
      <c r="AC50" s="22" t="n">
        <f aca="false">IF(AB50="FT",INDEX($N$20:$N$109,MATCH(AA50,$I$20:$I$109,0)),1)</f>
        <v>1</v>
      </c>
    </row>
    <row r="51" customFormat="false" ht="15" hidden="false" customHeight="false" outlineLevel="0" collapsed="false">
      <c r="H51" s="19" t="n">
        <v>32</v>
      </c>
      <c r="I51" s="19" t="n">
        <f aca="false">IF(31&lt;FT_PreY5,FT_First+FT_Int1*31,FT_Y5+FT_Int2*(31-FT_PreY5))</f>
        <v>135</v>
      </c>
      <c r="J51" s="19" t="str">
        <f aca="false">INT(I51/12)&amp;"y "&amp;MOD(I51,12)&amp;"m"</f>
        <v>11y 3m</v>
      </c>
      <c r="K51" s="17" t="n">
        <f aca="false">IF(OR($C$6&lt;&gt;"Yes",$C$8=""),"",EDATE($C$8,I51))</f>
        <v>47834</v>
      </c>
      <c r="L51" s="19" t="str">
        <f aca="false">IF(K51="","",IF($C$16=0,$C$9,IF(AND($C$14&lt;&gt;"",K51&gt;=$C$14),$C$15,IF(AND($C$12&lt;&gt;"",K51&gt;=$C$12),$C$13,$C$11))))</f>
        <v>Full-Time</v>
      </c>
      <c r="M51" s="19" t="str">
        <f aca="false">IF(K51="","",IF(OR(ISNUMBER(SEARCH("full",L51)),UPPER(TRIM(L51))="FT",UPPER(TRIM(L51))="FTE"),"FT",IF(AND(OR(ISNUMBER(SEARCH("part",L51)),UPPER(TRIM(L51))="PT",UPPER(TRIM(L51))="PTE"),OR($C$10="",N($C$10)&gt;=PT_MinHours)),"PT","None")))</f>
        <v>FT</v>
      </c>
      <c r="N51" s="19" t="n">
        <f aca="false">IF(I51&lt;FT_Y5,1,IF(MOD(I51-FT_Y5,12)=0,FT_AnnivDays,1))</f>
        <v>1</v>
      </c>
      <c r="O51" s="19" t="n">
        <f aca="false">IF(K51="","",IF(AND(M51="FT",K51&lt;=AsOfDate),N51,0))</f>
        <v>0</v>
      </c>
      <c r="Q51" s="19" t="n">
        <v>32</v>
      </c>
      <c r="R51" s="19" t="n">
        <f aca="false">PT_First+PT_Int*31</f>
        <v>184</v>
      </c>
      <c r="S51" s="19" t="str">
        <f aca="false">INT(R51/12)&amp;"y "&amp;MOD(R51,12)&amp;"m"</f>
        <v>15y 4m</v>
      </c>
      <c r="T51" s="17" t="n">
        <f aca="false">IF(OR($C$6&lt;&gt;"Yes",$C$8=""),"",EDATE($C$8,R51))</f>
        <v>49326</v>
      </c>
      <c r="U51" s="19" t="str">
        <f aca="false">IF(T51="","",IF($C$16=0,$C$9,IF(AND($C$14&lt;&gt;"",T51&gt;=$C$14),$C$15,IF(AND($C$12&lt;&gt;"",T51&gt;=$C$12),$C$13,$C$11))))</f>
        <v>Full-Time</v>
      </c>
      <c r="V51" s="19" t="str">
        <f aca="false">IF(T51="","",IF(OR(ISNUMBER(SEARCH("full",U51)),UPPER(TRIM(U51))="FT",UPPER(TRIM(U51))="FTE"),"FT",IF(AND(OR(ISNUMBER(SEARCH("part",U51)),UPPER(TRIM(U51))="PT",UPPER(TRIM(U51))="PTE"),OR($C$10="",N($C$10)&gt;=PT_MinHours)),"PT","None")))</f>
        <v>FT</v>
      </c>
      <c r="W51" s="19" t="n">
        <v>1</v>
      </c>
      <c r="X51" s="19" t="n">
        <f aca="false">IF(T51="","",IF(AND(V51="PT",T51&lt;=AsOfDate),W51,0))</f>
        <v>0</v>
      </c>
      <c r="Z51" s="22" t="n">
        <f aca="false">I51</f>
        <v>135</v>
      </c>
      <c r="AA51" s="22" t="n">
        <f aca="false">SMALL($Z$20:$Z$199,32)</f>
        <v>102</v>
      </c>
      <c r="AB51" s="22" t="str">
        <f aca="false">IF(32-COUNTIF($Z$20:$Z$199,"&lt;"&amp;AA51)=1,IF(COUNTIF($I$20:$I$109,AA51)&gt;0,"FT","PT"),"PT")</f>
        <v>FT</v>
      </c>
      <c r="AC51" s="22" t="n">
        <f aca="false">IF(AB51="FT",INDEX($N$20:$N$109,MATCH(AA51,$I$20:$I$109,0)),1)</f>
        <v>1</v>
      </c>
    </row>
    <row r="52" customFormat="false" ht="15" hidden="false" customHeight="false" outlineLevel="0" collapsed="false">
      <c r="H52" s="19" t="n">
        <v>33</v>
      </c>
      <c r="I52" s="19" t="n">
        <f aca="false">IF(32&lt;FT_PreY5,FT_First+FT_Int1*32,FT_Y5+FT_Int2*(32-FT_PreY5))</f>
        <v>138</v>
      </c>
      <c r="J52" s="19" t="str">
        <f aca="false">INT(I52/12)&amp;"y "&amp;MOD(I52,12)&amp;"m"</f>
        <v>11y 6m</v>
      </c>
      <c r="K52" s="17" t="n">
        <f aca="false">IF(OR($C$6&lt;&gt;"Yes",$C$8=""),"",EDATE($C$8,I52))</f>
        <v>47924</v>
      </c>
      <c r="L52" s="19" t="str">
        <f aca="false">IF(K52="","",IF($C$16=0,$C$9,IF(AND($C$14&lt;&gt;"",K52&gt;=$C$14),$C$15,IF(AND($C$12&lt;&gt;"",K52&gt;=$C$12),$C$13,$C$11))))</f>
        <v>Full-Time</v>
      </c>
      <c r="M52" s="19" t="str">
        <f aca="false">IF(K52="","",IF(OR(ISNUMBER(SEARCH("full",L52)),UPPER(TRIM(L52))="FT",UPPER(TRIM(L52))="FTE"),"FT",IF(AND(OR(ISNUMBER(SEARCH("part",L52)),UPPER(TRIM(L52))="PT",UPPER(TRIM(L52))="PTE"),OR($C$10="",N($C$10)&gt;=PT_MinHours)),"PT","None")))</f>
        <v>FT</v>
      </c>
      <c r="N52" s="19" t="n">
        <f aca="false">IF(I52&lt;FT_Y5,1,IF(MOD(I52-FT_Y5,12)=0,FT_AnnivDays,1))</f>
        <v>1</v>
      </c>
      <c r="O52" s="19" t="n">
        <f aca="false">IF(K52="","",IF(AND(M52="FT",K52&lt;=AsOfDate),N52,0))</f>
        <v>0</v>
      </c>
      <c r="Q52" s="19" t="n">
        <v>33</v>
      </c>
      <c r="R52" s="19" t="n">
        <f aca="false">PT_First+PT_Int*32</f>
        <v>188</v>
      </c>
      <c r="S52" s="19" t="str">
        <f aca="false">INT(R52/12)&amp;"y "&amp;MOD(R52,12)&amp;"m"</f>
        <v>15y 8m</v>
      </c>
      <c r="T52" s="17" t="n">
        <f aca="false">IF(OR($C$6&lt;&gt;"Yes",$C$8=""),"",EDATE($C$8,R52))</f>
        <v>49446</v>
      </c>
      <c r="U52" s="19" t="str">
        <f aca="false">IF(T52="","",IF($C$16=0,$C$9,IF(AND($C$14&lt;&gt;"",T52&gt;=$C$14),$C$15,IF(AND($C$12&lt;&gt;"",T52&gt;=$C$12),$C$13,$C$11))))</f>
        <v>Full-Time</v>
      </c>
      <c r="V52" s="19" t="str">
        <f aca="false">IF(T52="","",IF(OR(ISNUMBER(SEARCH("full",U52)),UPPER(TRIM(U52))="FT",UPPER(TRIM(U52))="FTE"),"FT",IF(AND(OR(ISNUMBER(SEARCH("part",U52)),UPPER(TRIM(U52))="PT",UPPER(TRIM(U52))="PTE"),OR($C$10="",N($C$10)&gt;=PT_MinHours)),"PT","None")))</f>
        <v>FT</v>
      </c>
      <c r="W52" s="19" t="n">
        <v>1</v>
      </c>
      <c r="X52" s="19" t="n">
        <f aca="false">IF(T52="","",IF(AND(V52="PT",T52&lt;=AsOfDate),W52,0))</f>
        <v>0</v>
      </c>
      <c r="Z52" s="22" t="n">
        <f aca="false">I52</f>
        <v>138</v>
      </c>
      <c r="AA52" s="22" t="n">
        <f aca="false">SMALL($Z$20:$Z$199,33)</f>
        <v>104</v>
      </c>
      <c r="AB52" s="22" t="str">
        <f aca="false">IF(33-COUNTIF($Z$20:$Z$199,"&lt;"&amp;AA52)=1,IF(COUNTIF($I$20:$I$109,AA52)&gt;0,"FT","PT"),"PT")</f>
        <v>PT</v>
      </c>
      <c r="AC52" s="22" t="n">
        <f aca="false">IF(AB52="FT",INDEX($N$20:$N$109,MATCH(AA52,$I$20:$I$109,0)),1)</f>
        <v>1</v>
      </c>
    </row>
    <row r="53" customFormat="false" ht="15" hidden="false" customHeight="false" outlineLevel="0" collapsed="false">
      <c r="H53" s="19" t="n">
        <v>34</v>
      </c>
      <c r="I53" s="19" t="n">
        <f aca="false">IF(33&lt;FT_PreY5,FT_First+FT_Int1*33,FT_Y5+FT_Int2*(33-FT_PreY5))</f>
        <v>141</v>
      </c>
      <c r="J53" s="19" t="str">
        <f aca="false">INT(I53/12)&amp;"y "&amp;MOD(I53,12)&amp;"m"</f>
        <v>11y 9m</v>
      </c>
      <c r="K53" s="17" t="n">
        <f aca="false">IF(OR($C$6&lt;&gt;"Yes",$C$8=""),"",EDATE($C$8,I53))</f>
        <v>48016</v>
      </c>
      <c r="L53" s="19" t="str">
        <f aca="false">IF(K53="","",IF($C$16=0,$C$9,IF(AND($C$14&lt;&gt;"",K53&gt;=$C$14),$C$15,IF(AND($C$12&lt;&gt;"",K53&gt;=$C$12),$C$13,$C$11))))</f>
        <v>Full-Time</v>
      </c>
      <c r="M53" s="19" t="str">
        <f aca="false">IF(K53="","",IF(OR(ISNUMBER(SEARCH("full",L53)),UPPER(TRIM(L53))="FT",UPPER(TRIM(L53))="FTE"),"FT",IF(AND(OR(ISNUMBER(SEARCH("part",L53)),UPPER(TRIM(L53))="PT",UPPER(TRIM(L53))="PTE"),OR($C$10="",N($C$10)&gt;=PT_MinHours)),"PT","None")))</f>
        <v>FT</v>
      </c>
      <c r="N53" s="19" t="n">
        <f aca="false">IF(I53&lt;FT_Y5,1,IF(MOD(I53-FT_Y5,12)=0,FT_AnnivDays,1))</f>
        <v>1</v>
      </c>
      <c r="O53" s="19" t="n">
        <f aca="false">IF(K53="","",IF(AND(M53="FT",K53&lt;=AsOfDate),N53,0))</f>
        <v>0</v>
      </c>
      <c r="Q53" s="19" t="n">
        <v>34</v>
      </c>
      <c r="R53" s="19" t="n">
        <f aca="false">PT_First+PT_Int*33</f>
        <v>192</v>
      </c>
      <c r="S53" s="19" t="str">
        <f aca="false">INT(R53/12)&amp;"y "&amp;MOD(R53,12)&amp;"m"</f>
        <v>16y 0m</v>
      </c>
      <c r="T53" s="17" t="n">
        <f aca="false">IF(OR($C$6&lt;&gt;"Yes",$C$8=""),"",EDATE($C$8,R53))</f>
        <v>49569</v>
      </c>
      <c r="U53" s="19" t="str">
        <f aca="false">IF(T53="","",IF($C$16=0,$C$9,IF(AND($C$14&lt;&gt;"",T53&gt;=$C$14),$C$15,IF(AND($C$12&lt;&gt;"",T53&gt;=$C$12),$C$13,$C$11))))</f>
        <v>Full-Time</v>
      </c>
      <c r="V53" s="19" t="str">
        <f aca="false">IF(T53="","",IF(OR(ISNUMBER(SEARCH("full",U53)),UPPER(TRIM(U53))="FT",UPPER(TRIM(U53))="FTE"),"FT",IF(AND(OR(ISNUMBER(SEARCH("part",U53)),UPPER(TRIM(U53))="PT",UPPER(TRIM(U53))="PTE"),OR($C$10="",N($C$10)&gt;=PT_MinHours)),"PT","None")))</f>
        <v>FT</v>
      </c>
      <c r="W53" s="19" t="n">
        <v>1</v>
      </c>
      <c r="X53" s="19" t="n">
        <f aca="false">IF(T53="","",IF(AND(V53="PT",T53&lt;=AsOfDate),W53,0))</f>
        <v>0</v>
      </c>
      <c r="Z53" s="22" t="n">
        <f aca="false">I53</f>
        <v>141</v>
      </c>
      <c r="AA53" s="22" t="n">
        <f aca="false">SMALL($Z$20:$Z$199,34)</f>
        <v>105</v>
      </c>
      <c r="AB53" s="22" t="str">
        <f aca="false">IF(34-COUNTIF($Z$20:$Z$199,"&lt;"&amp;AA53)=1,IF(COUNTIF($I$20:$I$109,AA53)&gt;0,"FT","PT"),"PT")</f>
        <v>FT</v>
      </c>
      <c r="AC53" s="22" t="n">
        <f aca="false">IF(AB53="FT",INDEX($N$20:$N$109,MATCH(AA53,$I$20:$I$109,0)),1)</f>
        <v>1</v>
      </c>
    </row>
    <row r="54" customFormat="false" ht="15" hidden="false" customHeight="false" outlineLevel="0" collapsed="false">
      <c r="H54" s="19" t="n">
        <v>35</v>
      </c>
      <c r="I54" s="19" t="n">
        <f aca="false">IF(34&lt;FT_PreY5,FT_First+FT_Int1*34,FT_Y5+FT_Int2*(34-FT_PreY5))</f>
        <v>144</v>
      </c>
      <c r="J54" s="19" t="str">
        <f aca="false">INT(I54/12)&amp;"y "&amp;MOD(I54,12)&amp;"m"</f>
        <v>12y 0m</v>
      </c>
      <c r="K54" s="17" t="n">
        <f aca="false">IF(OR($C$6&lt;&gt;"Yes",$C$8=""),"",EDATE($C$8,I54))</f>
        <v>48108</v>
      </c>
      <c r="L54" s="19" t="str">
        <f aca="false">IF(K54="","",IF($C$16=0,$C$9,IF(AND($C$14&lt;&gt;"",K54&gt;=$C$14),$C$15,IF(AND($C$12&lt;&gt;"",K54&gt;=$C$12),$C$13,$C$11))))</f>
        <v>Full-Time</v>
      </c>
      <c r="M54" s="19" t="str">
        <f aca="false">IF(K54="","",IF(OR(ISNUMBER(SEARCH("full",L54)),UPPER(TRIM(L54))="FT",UPPER(TRIM(L54))="FTE"),"FT",IF(AND(OR(ISNUMBER(SEARCH("part",L54)),UPPER(TRIM(L54))="PT",UPPER(TRIM(L54))="PTE"),OR($C$10="",N($C$10)&gt;=PT_MinHours)),"PT","None")))</f>
        <v>FT</v>
      </c>
      <c r="N54" s="19" t="n">
        <f aca="false">IF(I54&lt;FT_Y5,1,IF(MOD(I54-FT_Y5,12)=0,FT_AnnivDays,1))</f>
        <v>2</v>
      </c>
      <c r="O54" s="19" t="n">
        <f aca="false">IF(K54="","",IF(AND(M54="FT",K54&lt;=AsOfDate),N54,0))</f>
        <v>0</v>
      </c>
      <c r="Q54" s="19" t="n">
        <v>35</v>
      </c>
      <c r="R54" s="19" t="n">
        <f aca="false">PT_First+PT_Int*34</f>
        <v>196</v>
      </c>
      <c r="S54" s="19" t="str">
        <f aca="false">INT(R54/12)&amp;"y "&amp;MOD(R54,12)&amp;"m"</f>
        <v>16y 4m</v>
      </c>
      <c r="T54" s="17" t="n">
        <f aca="false">IF(OR($C$6&lt;&gt;"Yes",$C$8=""),"",EDATE($C$8,R54))</f>
        <v>49691</v>
      </c>
      <c r="U54" s="19" t="str">
        <f aca="false">IF(T54="","",IF($C$16=0,$C$9,IF(AND($C$14&lt;&gt;"",T54&gt;=$C$14),$C$15,IF(AND($C$12&lt;&gt;"",T54&gt;=$C$12),$C$13,$C$11))))</f>
        <v>Full-Time</v>
      </c>
      <c r="V54" s="19" t="str">
        <f aca="false">IF(T54="","",IF(OR(ISNUMBER(SEARCH("full",U54)),UPPER(TRIM(U54))="FT",UPPER(TRIM(U54))="FTE"),"FT",IF(AND(OR(ISNUMBER(SEARCH("part",U54)),UPPER(TRIM(U54))="PT",UPPER(TRIM(U54))="PTE"),OR($C$10="",N($C$10)&gt;=PT_MinHours)),"PT","None")))</f>
        <v>FT</v>
      </c>
      <c r="W54" s="19" t="n">
        <v>1</v>
      </c>
      <c r="X54" s="19" t="n">
        <f aca="false">IF(T54="","",IF(AND(V54="PT",T54&lt;=AsOfDate),W54,0))</f>
        <v>0</v>
      </c>
      <c r="Z54" s="22" t="n">
        <f aca="false">I54</f>
        <v>144</v>
      </c>
      <c r="AA54" s="22" t="n">
        <f aca="false">SMALL($Z$20:$Z$199,35)</f>
        <v>108</v>
      </c>
      <c r="AB54" s="22" t="str">
        <f aca="false">IF(35-COUNTIF($Z$20:$Z$199,"&lt;"&amp;AA54)=1,IF(COUNTIF($I$20:$I$109,AA54)&gt;0,"FT","PT"),"PT")</f>
        <v>FT</v>
      </c>
      <c r="AC54" s="22" t="n">
        <f aca="false">IF(AB54="FT",INDEX($N$20:$N$109,MATCH(AA54,$I$20:$I$109,0)),1)</f>
        <v>2</v>
      </c>
    </row>
    <row r="55" customFormat="false" ht="15" hidden="false" customHeight="false" outlineLevel="0" collapsed="false">
      <c r="H55" s="19" t="n">
        <v>36</v>
      </c>
      <c r="I55" s="19" t="n">
        <f aca="false">IF(35&lt;FT_PreY5,FT_First+FT_Int1*35,FT_Y5+FT_Int2*(35-FT_PreY5))</f>
        <v>147</v>
      </c>
      <c r="J55" s="19" t="str">
        <f aca="false">INT(I55/12)&amp;"y "&amp;MOD(I55,12)&amp;"m"</f>
        <v>12y 3m</v>
      </c>
      <c r="K55" s="17" t="n">
        <f aca="false">IF(OR($C$6&lt;&gt;"Yes",$C$8=""),"",EDATE($C$8,I55))</f>
        <v>48199</v>
      </c>
      <c r="L55" s="19" t="str">
        <f aca="false">IF(K55="","",IF($C$16=0,$C$9,IF(AND($C$14&lt;&gt;"",K55&gt;=$C$14),$C$15,IF(AND($C$12&lt;&gt;"",K55&gt;=$C$12),$C$13,$C$11))))</f>
        <v>Full-Time</v>
      </c>
      <c r="M55" s="19" t="str">
        <f aca="false">IF(K55="","",IF(OR(ISNUMBER(SEARCH("full",L55)),UPPER(TRIM(L55))="FT",UPPER(TRIM(L55))="FTE"),"FT",IF(AND(OR(ISNUMBER(SEARCH("part",L55)),UPPER(TRIM(L55))="PT",UPPER(TRIM(L55))="PTE"),OR($C$10="",N($C$10)&gt;=PT_MinHours)),"PT","None")))</f>
        <v>FT</v>
      </c>
      <c r="N55" s="19" t="n">
        <f aca="false">IF(I55&lt;FT_Y5,1,IF(MOD(I55-FT_Y5,12)=0,FT_AnnivDays,1))</f>
        <v>1</v>
      </c>
      <c r="O55" s="19" t="n">
        <f aca="false">IF(K55="","",IF(AND(M55="FT",K55&lt;=AsOfDate),N55,0))</f>
        <v>0</v>
      </c>
      <c r="Q55" s="19" t="n">
        <v>36</v>
      </c>
      <c r="R55" s="19" t="n">
        <f aca="false">PT_First+PT_Int*35</f>
        <v>200</v>
      </c>
      <c r="S55" s="19" t="str">
        <f aca="false">INT(R55/12)&amp;"y "&amp;MOD(R55,12)&amp;"m"</f>
        <v>16y 8m</v>
      </c>
      <c r="T55" s="17" t="n">
        <f aca="false">IF(OR($C$6&lt;&gt;"Yes",$C$8=""),"",EDATE($C$8,R55))</f>
        <v>49812</v>
      </c>
      <c r="U55" s="19" t="str">
        <f aca="false">IF(T55="","",IF($C$16=0,$C$9,IF(AND($C$14&lt;&gt;"",T55&gt;=$C$14),$C$15,IF(AND($C$12&lt;&gt;"",T55&gt;=$C$12),$C$13,$C$11))))</f>
        <v>Full-Time</v>
      </c>
      <c r="V55" s="19" t="str">
        <f aca="false">IF(T55="","",IF(OR(ISNUMBER(SEARCH("full",U55)),UPPER(TRIM(U55))="FT",UPPER(TRIM(U55))="FTE"),"FT",IF(AND(OR(ISNUMBER(SEARCH("part",U55)),UPPER(TRIM(U55))="PT",UPPER(TRIM(U55))="PTE"),OR($C$10="",N($C$10)&gt;=PT_MinHours)),"PT","None")))</f>
        <v>FT</v>
      </c>
      <c r="W55" s="19" t="n">
        <v>1</v>
      </c>
      <c r="X55" s="19" t="n">
        <f aca="false">IF(T55="","",IF(AND(V55="PT",T55&lt;=AsOfDate),W55,0))</f>
        <v>0</v>
      </c>
      <c r="Z55" s="22" t="n">
        <f aca="false">I55</f>
        <v>147</v>
      </c>
      <c r="AA55" s="22" t="n">
        <f aca="false">SMALL($Z$20:$Z$199,36)</f>
        <v>108</v>
      </c>
      <c r="AB55" s="22" t="str">
        <f aca="false">IF(36-COUNTIF($Z$20:$Z$199,"&lt;"&amp;AA55)=1,IF(COUNTIF($I$20:$I$109,AA55)&gt;0,"FT","PT"),"PT")</f>
        <v>PT</v>
      </c>
      <c r="AC55" s="22" t="n">
        <f aca="false">IF(AB55="FT",INDEX($N$20:$N$109,MATCH(AA55,$I$20:$I$109,0)),1)</f>
        <v>1</v>
      </c>
    </row>
    <row r="56" customFormat="false" ht="15" hidden="false" customHeight="false" outlineLevel="0" collapsed="false">
      <c r="H56" s="19" t="n">
        <v>37</v>
      </c>
      <c r="I56" s="19" t="n">
        <f aca="false">IF(36&lt;FT_PreY5,FT_First+FT_Int1*36,FT_Y5+FT_Int2*(36-FT_PreY5))</f>
        <v>150</v>
      </c>
      <c r="J56" s="19" t="str">
        <f aca="false">INT(I56/12)&amp;"y "&amp;MOD(I56,12)&amp;"m"</f>
        <v>12y 6m</v>
      </c>
      <c r="K56" s="17" t="n">
        <f aca="false">IF(OR($C$6&lt;&gt;"Yes",$C$8=""),"",EDATE($C$8,I56))</f>
        <v>48290</v>
      </c>
      <c r="L56" s="19" t="str">
        <f aca="false">IF(K56="","",IF($C$16=0,$C$9,IF(AND($C$14&lt;&gt;"",K56&gt;=$C$14),$C$15,IF(AND($C$12&lt;&gt;"",K56&gt;=$C$12),$C$13,$C$11))))</f>
        <v>Full-Time</v>
      </c>
      <c r="M56" s="19" t="str">
        <f aca="false">IF(K56="","",IF(OR(ISNUMBER(SEARCH("full",L56)),UPPER(TRIM(L56))="FT",UPPER(TRIM(L56))="FTE"),"FT",IF(AND(OR(ISNUMBER(SEARCH("part",L56)),UPPER(TRIM(L56))="PT",UPPER(TRIM(L56))="PTE"),OR($C$10="",N($C$10)&gt;=PT_MinHours)),"PT","None")))</f>
        <v>FT</v>
      </c>
      <c r="N56" s="19" t="n">
        <f aca="false">IF(I56&lt;FT_Y5,1,IF(MOD(I56-FT_Y5,12)=0,FT_AnnivDays,1))</f>
        <v>1</v>
      </c>
      <c r="O56" s="19" t="n">
        <f aca="false">IF(K56="","",IF(AND(M56="FT",K56&lt;=AsOfDate),N56,0))</f>
        <v>0</v>
      </c>
      <c r="Q56" s="19" t="n">
        <v>37</v>
      </c>
      <c r="R56" s="19" t="n">
        <f aca="false">PT_First+PT_Int*36</f>
        <v>204</v>
      </c>
      <c r="S56" s="19" t="str">
        <f aca="false">INT(R56/12)&amp;"y "&amp;MOD(R56,12)&amp;"m"</f>
        <v>17y 0m</v>
      </c>
      <c r="T56" s="17" t="n">
        <f aca="false">IF(OR($C$6&lt;&gt;"Yes",$C$8=""),"",EDATE($C$8,R56))</f>
        <v>49935</v>
      </c>
      <c r="U56" s="19" t="str">
        <f aca="false">IF(T56="","",IF($C$16=0,$C$9,IF(AND($C$14&lt;&gt;"",T56&gt;=$C$14),$C$15,IF(AND($C$12&lt;&gt;"",T56&gt;=$C$12),$C$13,$C$11))))</f>
        <v>Full-Time</v>
      </c>
      <c r="V56" s="19" t="str">
        <f aca="false">IF(T56="","",IF(OR(ISNUMBER(SEARCH("full",U56)),UPPER(TRIM(U56))="FT",UPPER(TRIM(U56))="FTE"),"FT",IF(AND(OR(ISNUMBER(SEARCH("part",U56)),UPPER(TRIM(U56))="PT",UPPER(TRIM(U56))="PTE"),OR($C$10="",N($C$10)&gt;=PT_MinHours)),"PT","None")))</f>
        <v>FT</v>
      </c>
      <c r="W56" s="19" t="n">
        <v>1</v>
      </c>
      <c r="X56" s="19" t="n">
        <f aca="false">IF(T56="","",IF(AND(V56="PT",T56&lt;=AsOfDate),W56,0))</f>
        <v>0</v>
      </c>
      <c r="Z56" s="22" t="n">
        <f aca="false">I56</f>
        <v>150</v>
      </c>
      <c r="AA56" s="22" t="n">
        <f aca="false">SMALL($Z$20:$Z$199,37)</f>
        <v>111</v>
      </c>
      <c r="AB56" s="22" t="str">
        <f aca="false">IF(37-COUNTIF($Z$20:$Z$199,"&lt;"&amp;AA56)=1,IF(COUNTIF($I$20:$I$109,AA56)&gt;0,"FT","PT"),"PT")</f>
        <v>FT</v>
      </c>
      <c r="AC56" s="22" t="n">
        <f aca="false">IF(AB56="FT",INDEX($N$20:$N$109,MATCH(AA56,$I$20:$I$109,0)),1)</f>
        <v>1</v>
      </c>
    </row>
    <row r="57" customFormat="false" ht="15" hidden="false" customHeight="false" outlineLevel="0" collapsed="false">
      <c r="H57" s="19" t="n">
        <v>38</v>
      </c>
      <c r="I57" s="19" t="n">
        <f aca="false">IF(37&lt;FT_PreY5,FT_First+FT_Int1*37,FT_Y5+FT_Int2*(37-FT_PreY5))</f>
        <v>153</v>
      </c>
      <c r="J57" s="19" t="str">
        <f aca="false">INT(I57/12)&amp;"y "&amp;MOD(I57,12)&amp;"m"</f>
        <v>12y 9m</v>
      </c>
      <c r="K57" s="17" t="n">
        <f aca="false">IF(OR($C$6&lt;&gt;"Yes",$C$8=""),"",EDATE($C$8,I57))</f>
        <v>48382</v>
      </c>
      <c r="L57" s="19" t="str">
        <f aca="false">IF(K57="","",IF($C$16=0,$C$9,IF(AND($C$14&lt;&gt;"",K57&gt;=$C$14),$C$15,IF(AND($C$12&lt;&gt;"",K57&gt;=$C$12),$C$13,$C$11))))</f>
        <v>Full-Time</v>
      </c>
      <c r="M57" s="19" t="str">
        <f aca="false">IF(K57="","",IF(OR(ISNUMBER(SEARCH("full",L57)),UPPER(TRIM(L57))="FT",UPPER(TRIM(L57))="FTE"),"FT",IF(AND(OR(ISNUMBER(SEARCH("part",L57)),UPPER(TRIM(L57))="PT",UPPER(TRIM(L57))="PTE"),OR($C$10="",N($C$10)&gt;=PT_MinHours)),"PT","None")))</f>
        <v>FT</v>
      </c>
      <c r="N57" s="19" t="n">
        <f aca="false">IF(I57&lt;FT_Y5,1,IF(MOD(I57-FT_Y5,12)=0,FT_AnnivDays,1))</f>
        <v>1</v>
      </c>
      <c r="O57" s="19" t="n">
        <f aca="false">IF(K57="","",IF(AND(M57="FT",K57&lt;=AsOfDate),N57,0))</f>
        <v>0</v>
      </c>
      <c r="Q57" s="19" t="n">
        <v>38</v>
      </c>
      <c r="R57" s="19" t="n">
        <f aca="false">PT_First+PT_Int*37</f>
        <v>208</v>
      </c>
      <c r="S57" s="19" t="str">
        <f aca="false">INT(R57/12)&amp;"y "&amp;MOD(R57,12)&amp;"m"</f>
        <v>17y 4m</v>
      </c>
      <c r="T57" s="17" t="n">
        <f aca="false">IF(OR($C$6&lt;&gt;"Yes",$C$8=""),"",EDATE($C$8,R57))</f>
        <v>50057</v>
      </c>
      <c r="U57" s="19" t="str">
        <f aca="false">IF(T57="","",IF($C$16=0,$C$9,IF(AND($C$14&lt;&gt;"",T57&gt;=$C$14),$C$15,IF(AND($C$12&lt;&gt;"",T57&gt;=$C$12),$C$13,$C$11))))</f>
        <v>Full-Time</v>
      </c>
      <c r="V57" s="19" t="str">
        <f aca="false">IF(T57="","",IF(OR(ISNUMBER(SEARCH("full",U57)),UPPER(TRIM(U57))="FT",UPPER(TRIM(U57))="FTE"),"FT",IF(AND(OR(ISNUMBER(SEARCH("part",U57)),UPPER(TRIM(U57))="PT",UPPER(TRIM(U57))="PTE"),OR($C$10="",N($C$10)&gt;=PT_MinHours)),"PT","None")))</f>
        <v>FT</v>
      </c>
      <c r="W57" s="19" t="n">
        <v>1</v>
      </c>
      <c r="X57" s="19" t="n">
        <f aca="false">IF(T57="","",IF(AND(V57="PT",T57&lt;=AsOfDate),W57,0))</f>
        <v>0</v>
      </c>
      <c r="Z57" s="22" t="n">
        <f aca="false">I57</f>
        <v>153</v>
      </c>
      <c r="AA57" s="22" t="n">
        <f aca="false">SMALL($Z$20:$Z$199,38)</f>
        <v>112</v>
      </c>
      <c r="AB57" s="22" t="str">
        <f aca="false">IF(38-COUNTIF($Z$20:$Z$199,"&lt;"&amp;AA57)=1,IF(COUNTIF($I$20:$I$109,AA57)&gt;0,"FT","PT"),"PT")</f>
        <v>PT</v>
      </c>
      <c r="AC57" s="22" t="n">
        <f aca="false">IF(AB57="FT",INDEX($N$20:$N$109,MATCH(AA57,$I$20:$I$109,0)),1)</f>
        <v>1</v>
      </c>
    </row>
    <row r="58" customFormat="false" ht="15" hidden="false" customHeight="false" outlineLevel="0" collapsed="false">
      <c r="H58" s="19" t="n">
        <v>39</v>
      </c>
      <c r="I58" s="19" t="n">
        <f aca="false">IF(38&lt;FT_PreY5,FT_First+FT_Int1*38,FT_Y5+FT_Int2*(38-FT_PreY5))</f>
        <v>156</v>
      </c>
      <c r="J58" s="19" t="str">
        <f aca="false">INT(I58/12)&amp;"y "&amp;MOD(I58,12)&amp;"m"</f>
        <v>13y 0m</v>
      </c>
      <c r="K58" s="17" t="n">
        <f aca="false">IF(OR($C$6&lt;&gt;"Yes",$C$8=""),"",EDATE($C$8,I58))</f>
        <v>48474</v>
      </c>
      <c r="L58" s="19" t="str">
        <f aca="false">IF(K58="","",IF($C$16=0,$C$9,IF(AND($C$14&lt;&gt;"",K58&gt;=$C$14),$C$15,IF(AND($C$12&lt;&gt;"",K58&gt;=$C$12),$C$13,$C$11))))</f>
        <v>Full-Time</v>
      </c>
      <c r="M58" s="19" t="str">
        <f aca="false">IF(K58="","",IF(OR(ISNUMBER(SEARCH("full",L58)),UPPER(TRIM(L58))="FT",UPPER(TRIM(L58))="FTE"),"FT",IF(AND(OR(ISNUMBER(SEARCH("part",L58)),UPPER(TRIM(L58))="PT",UPPER(TRIM(L58))="PTE"),OR($C$10="",N($C$10)&gt;=PT_MinHours)),"PT","None")))</f>
        <v>FT</v>
      </c>
      <c r="N58" s="19" t="n">
        <f aca="false">IF(I58&lt;FT_Y5,1,IF(MOD(I58-FT_Y5,12)=0,FT_AnnivDays,1))</f>
        <v>2</v>
      </c>
      <c r="O58" s="19" t="n">
        <f aca="false">IF(K58="","",IF(AND(M58="FT",K58&lt;=AsOfDate),N58,0))</f>
        <v>0</v>
      </c>
      <c r="Q58" s="19" t="n">
        <v>39</v>
      </c>
      <c r="R58" s="19" t="n">
        <f aca="false">PT_First+PT_Int*38</f>
        <v>212</v>
      </c>
      <c r="S58" s="19" t="str">
        <f aca="false">INT(R58/12)&amp;"y "&amp;MOD(R58,12)&amp;"m"</f>
        <v>17y 8m</v>
      </c>
      <c r="T58" s="17" t="n">
        <f aca="false">IF(OR($C$6&lt;&gt;"Yes",$C$8=""),"",EDATE($C$8,R58))</f>
        <v>50177</v>
      </c>
      <c r="U58" s="19" t="str">
        <f aca="false">IF(T58="","",IF($C$16=0,$C$9,IF(AND($C$14&lt;&gt;"",T58&gt;=$C$14),$C$15,IF(AND($C$12&lt;&gt;"",T58&gt;=$C$12),$C$13,$C$11))))</f>
        <v>Full-Time</v>
      </c>
      <c r="V58" s="19" t="str">
        <f aca="false">IF(T58="","",IF(OR(ISNUMBER(SEARCH("full",U58)),UPPER(TRIM(U58))="FT",UPPER(TRIM(U58))="FTE"),"FT",IF(AND(OR(ISNUMBER(SEARCH("part",U58)),UPPER(TRIM(U58))="PT",UPPER(TRIM(U58))="PTE"),OR($C$10="",N($C$10)&gt;=PT_MinHours)),"PT","None")))</f>
        <v>FT</v>
      </c>
      <c r="W58" s="19" t="n">
        <v>1</v>
      </c>
      <c r="X58" s="19" t="n">
        <f aca="false">IF(T58="","",IF(AND(V58="PT",T58&lt;=AsOfDate),W58,0))</f>
        <v>0</v>
      </c>
      <c r="Z58" s="22" t="n">
        <f aca="false">I58</f>
        <v>156</v>
      </c>
      <c r="AA58" s="22" t="n">
        <f aca="false">SMALL($Z$20:$Z$199,39)</f>
        <v>114</v>
      </c>
      <c r="AB58" s="22" t="str">
        <f aca="false">IF(39-COUNTIF($Z$20:$Z$199,"&lt;"&amp;AA58)=1,IF(COUNTIF($I$20:$I$109,AA58)&gt;0,"FT","PT"),"PT")</f>
        <v>FT</v>
      </c>
      <c r="AC58" s="22" t="n">
        <f aca="false">IF(AB58="FT",INDEX($N$20:$N$109,MATCH(AA58,$I$20:$I$109,0)),1)</f>
        <v>1</v>
      </c>
    </row>
    <row r="59" customFormat="false" ht="15" hidden="false" customHeight="false" outlineLevel="0" collapsed="false">
      <c r="H59" s="19" t="n">
        <v>40</v>
      </c>
      <c r="I59" s="19" t="n">
        <f aca="false">IF(39&lt;FT_PreY5,FT_First+FT_Int1*39,FT_Y5+FT_Int2*(39-FT_PreY5))</f>
        <v>159</v>
      </c>
      <c r="J59" s="19" t="str">
        <f aca="false">INT(I59/12)&amp;"y "&amp;MOD(I59,12)&amp;"m"</f>
        <v>13y 3m</v>
      </c>
      <c r="K59" s="17" t="n">
        <f aca="false">IF(OR($C$6&lt;&gt;"Yes",$C$8=""),"",EDATE($C$8,I59))</f>
        <v>48565</v>
      </c>
      <c r="L59" s="19" t="str">
        <f aca="false">IF(K59="","",IF($C$16=0,$C$9,IF(AND($C$14&lt;&gt;"",K59&gt;=$C$14),$C$15,IF(AND($C$12&lt;&gt;"",K59&gt;=$C$12),$C$13,$C$11))))</f>
        <v>Full-Time</v>
      </c>
      <c r="M59" s="19" t="str">
        <f aca="false">IF(K59="","",IF(OR(ISNUMBER(SEARCH("full",L59)),UPPER(TRIM(L59))="FT",UPPER(TRIM(L59))="FTE"),"FT",IF(AND(OR(ISNUMBER(SEARCH("part",L59)),UPPER(TRIM(L59))="PT",UPPER(TRIM(L59))="PTE"),OR($C$10="",N($C$10)&gt;=PT_MinHours)),"PT","None")))</f>
        <v>FT</v>
      </c>
      <c r="N59" s="19" t="n">
        <f aca="false">IF(I59&lt;FT_Y5,1,IF(MOD(I59-FT_Y5,12)=0,FT_AnnivDays,1))</f>
        <v>1</v>
      </c>
      <c r="O59" s="19" t="n">
        <f aca="false">IF(K59="","",IF(AND(M59="FT",K59&lt;=AsOfDate),N59,0))</f>
        <v>0</v>
      </c>
      <c r="Q59" s="19" t="n">
        <v>40</v>
      </c>
      <c r="R59" s="19" t="n">
        <f aca="false">PT_First+PT_Int*39</f>
        <v>216</v>
      </c>
      <c r="S59" s="19" t="str">
        <f aca="false">INT(R59/12)&amp;"y "&amp;MOD(R59,12)&amp;"m"</f>
        <v>18y 0m</v>
      </c>
      <c r="T59" s="17" t="n">
        <f aca="false">IF(OR($C$6&lt;&gt;"Yes",$C$8=""),"",EDATE($C$8,R59))</f>
        <v>50300</v>
      </c>
      <c r="U59" s="19" t="str">
        <f aca="false">IF(T59="","",IF($C$16=0,$C$9,IF(AND($C$14&lt;&gt;"",T59&gt;=$C$14),$C$15,IF(AND($C$12&lt;&gt;"",T59&gt;=$C$12),$C$13,$C$11))))</f>
        <v>Full-Time</v>
      </c>
      <c r="V59" s="19" t="str">
        <f aca="false">IF(T59="","",IF(OR(ISNUMBER(SEARCH("full",U59)),UPPER(TRIM(U59))="FT",UPPER(TRIM(U59))="FTE"),"FT",IF(AND(OR(ISNUMBER(SEARCH("part",U59)),UPPER(TRIM(U59))="PT",UPPER(TRIM(U59))="PTE"),OR($C$10="",N($C$10)&gt;=PT_MinHours)),"PT","None")))</f>
        <v>FT</v>
      </c>
      <c r="W59" s="19" t="n">
        <v>1</v>
      </c>
      <c r="X59" s="19" t="n">
        <f aca="false">IF(T59="","",IF(AND(V59="PT",T59&lt;=AsOfDate),W59,0))</f>
        <v>0</v>
      </c>
      <c r="Z59" s="22" t="n">
        <f aca="false">I59</f>
        <v>159</v>
      </c>
      <c r="AA59" s="22" t="n">
        <f aca="false">SMALL($Z$20:$Z$199,40)</f>
        <v>116</v>
      </c>
      <c r="AB59" s="22" t="str">
        <f aca="false">IF(40-COUNTIF($Z$20:$Z$199,"&lt;"&amp;AA59)=1,IF(COUNTIF($I$20:$I$109,AA59)&gt;0,"FT","PT"),"PT")</f>
        <v>PT</v>
      </c>
      <c r="AC59" s="22" t="n">
        <f aca="false">IF(AB59="FT",INDEX($N$20:$N$109,MATCH(AA59,$I$20:$I$109,0)),1)</f>
        <v>1</v>
      </c>
    </row>
    <row r="60" customFormat="false" ht="15" hidden="false" customHeight="false" outlineLevel="0" collapsed="false">
      <c r="H60" s="19" t="n">
        <v>41</v>
      </c>
      <c r="I60" s="19" t="n">
        <f aca="false">IF(40&lt;FT_PreY5,FT_First+FT_Int1*40,FT_Y5+FT_Int2*(40-FT_PreY5))</f>
        <v>162</v>
      </c>
      <c r="J60" s="19" t="str">
        <f aca="false">INT(I60/12)&amp;"y "&amp;MOD(I60,12)&amp;"m"</f>
        <v>13y 6m</v>
      </c>
      <c r="K60" s="17" t="n">
        <f aca="false">IF(OR($C$6&lt;&gt;"Yes",$C$8=""),"",EDATE($C$8,I60))</f>
        <v>48655</v>
      </c>
      <c r="L60" s="19" t="str">
        <f aca="false">IF(K60="","",IF($C$16=0,$C$9,IF(AND($C$14&lt;&gt;"",K60&gt;=$C$14),$C$15,IF(AND($C$12&lt;&gt;"",K60&gt;=$C$12),$C$13,$C$11))))</f>
        <v>Full-Time</v>
      </c>
      <c r="M60" s="19" t="str">
        <f aca="false">IF(K60="","",IF(OR(ISNUMBER(SEARCH("full",L60)),UPPER(TRIM(L60))="FT",UPPER(TRIM(L60))="FTE"),"FT",IF(AND(OR(ISNUMBER(SEARCH("part",L60)),UPPER(TRIM(L60))="PT",UPPER(TRIM(L60))="PTE"),OR($C$10="",N($C$10)&gt;=PT_MinHours)),"PT","None")))</f>
        <v>FT</v>
      </c>
      <c r="N60" s="19" t="n">
        <f aca="false">IF(I60&lt;FT_Y5,1,IF(MOD(I60-FT_Y5,12)=0,FT_AnnivDays,1))</f>
        <v>1</v>
      </c>
      <c r="O60" s="19" t="n">
        <f aca="false">IF(K60="","",IF(AND(M60="FT",K60&lt;=AsOfDate),N60,0))</f>
        <v>0</v>
      </c>
      <c r="Q60" s="19" t="n">
        <v>41</v>
      </c>
      <c r="R60" s="19" t="n">
        <f aca="false">PT_First+PT_Int*40</f>
        <v>220</v>
      </c>
      <c r="S60" s="19" t="str">
        <f aca="false">INT(R60/12)&amp;"y "&amp;MOD(R60,12)&amp;"m"</f>
        <v>18y 4m</v>
      </c>
      <c r="T60" s="17" t="n">
        <f aca="false">IF(OR($C$6&lt;&gt;"Yes",$C$8=""),"",EDATE($C$8,R60))</f>
        <v>50422</v>
      </c>
      <c r="U60" s="19" t="str">
        <f aca="false">IF(T60="","",IF($C$16=0,$C$9,IF(AND($C$14&lt;&gt;"",T60&gt;=$C$14),$C$15,IF(AND($C$12&lt;&gt;"",T60&gt;=$C$12),$C$13,$C$11))))</f>
        <v>Full-Time</v>
      </c>
      <c r="V60" s="19" t="str">
        <f aca="false">IF(T60="","",IF(OR(ISNUMBER(SEARCH("full",U60)),UPPER(TRIM(U60))="FT",UPPER(TRIM(U60))="FTE"),"FT",IF(AND(OR(ISNUMBER(SEARCH("part",U60)),UPPER(TRIM(U60))="PT",UPPER(TRIM(U60))="PTE"),OR($C$10="",N($C$10)&gt;=PT_MinHours)),"PT","None")))</f>
        <v>FT</v>
      </c>
      <c r="W60" s="19" t="n">
        <v>1</v>
      </c>
      <c r="X60" s="19" t="n">
        <f aca="false">IF(T60="","",IF(AND(V60="PT",T60&lt;=AsOfDate),W60,0))</f>
        <v>0</v>
      </c>
      <c r="Z60" s="22" t="n">
        <f aca="false">I60</f>
        <v>162</v>
      </c>
      <c r="AA60" s="22" t="n">
        <f aca="false">SMALL($Z$20:$Z$199,41)</f>
        <v>117</v>
      </c>
      <c r="AB60" s="22" t="str">
        <f aca="false">IF(41-COUNTIF($Z$20:$Z$199,"&lt;"&amp;AA60)=1,IF(COUNTIF($I$20:$I$109,AA60)&gt;0,"FT","PT"),"PT")</f>
        <v>FT</v>
      </c>
      <c r="AC60" s="22" t="n">
        <f aca="false">IF(AB60="FT",INDEX($N$20:$N$109,MATCH(AA60,$I$20:$I$109,0)),1)</f>
        <v>1</v>
      </c>
    </row>
    <row r="61" customFormat="false" ht="15" hidden="false" customHeight="false" outlineLevel="0" collapsed="false">
      <c r="H61" s="19" t="n">
        <v>42</v>
      </c>
      <c r="I61" s="19" t="n">
        <f aca="false">IF(41&lt;FT_PreY5,FT_First+FT_Int1*41,FT_Y5+FT_Int2*(41-FT_PreY5))</f>
        <v>165</v>
      </c>
      <c r="J61" s="19" t="str">
        <f aca="false">INT(I61/12)&amp;"y "&amp;MOD(I61,12)&amp;"m"</f>
        <v>13y 9m</v>
      </c>
      <c r="K61" s="17" t="n">
        <f aca="false">IF(OR($C$6&lt;&gt;"Yes",$C$8=""),"",EDATE($C$8,I61))</f>
        <v>48747</v>
      </c>
      <c r="L61" s="19" t="str">
        <f aca="false">IF(K61="","",IF($C$16=0,$C$9,IF(AND($C$14&lt;&gt;"",K61&gt;=$C$14),$C$15,IF(AND($C$12&lt;&gt;"",K61&gt;=$C$12),$C$13,$C$11))))</f>
        <v>Full-Time</v>
      </c>
      <c r="M61" s="19" t="str">
        <f aca="false">IF(K61="","",IF(OR(ISNUMBER(SEARCH("full",L61)),UPPER(TRIM(L61))="FT",UPPER(TRIM(L61))="FTE"),"FT",IF(AND(OR(ISNUMBER(SEARCH("part",L61)),UPPER(TRIM(L61))="PT",UPPER(TRIM(L61))="PTE"),OR($C$10="",N($C$10)&gt;=PT_MinHours)),"PT","None")))</f>
        <v>FT</v>
      </c>
      <c r="N61" s="19" t="n">
        <f aca="false">IF(I61&lt;FT_Y5,1,IF(MOD(I61-FT_Y5,12)=0,FT_AnnivDays,1))</f>
        <v>1</v>
      </c>
      <c r="O61" s="19" t="n">
        <f aca="false">IF(K61="","",IF(AND(M61="FT",K61&lt;=AsOfDate),N61,0))</f>
        <v>0</v>
      </c>
      <c r="Q61" s="19" t="n">
        <v>42</v>
      </c>
      <c r="R61" s="19" t="n">
        <f aca="false">PT_First+PT_Int*41</f>
        <v>224</v>
      </c>
      <c r="S61" s="19" t="str">
        <f aca="false">INT(R61/12)&amp;"y "&amp;MOD(R61,12)&amp;"m"</f>
        <v>18y 8m</v>
      </c>
      <c r="T61" s="17" t="n">
        <f aca="false">IF(OR($C$6&lt;&gt;"Yes",$C$8=""),"",EDATE($C$8,R61))</f>
        <v>50542</v>
      </c>
      <c r="U61" s="19" t="str">
        <f aca="false">IF(T61="","",IF($C$16=0,$C$9,IF(AND($C$14&lt;&gt;"",T61&gt;=$C$14),$C$15,IF(AND($C$12&lt;&gt;"",T61&gt;=$C$12),$C$13,$C$11))))</f>
        <v>Full-Time</v>
      </c>
      <c r="V61" s="19" t="str">
        <f aca="false">IF(T61="","",IF(OR(ISNUMBER(SEARCH("full",U61)),UPPER(TRIM(U61))="FT",UPPER(TRIM(U61))="FTE"),"FT",IF(AND(OR(ISNUMBER(SEARCH("part",U61)),UPPER(TRIM(U61))="PT",UPPER(TRIM(U61))="PTE"),OR($C$10="",N($C$10)&gt;=PT_MinHours)),"PT","None")))</f>
        <v>FT</v>
      </c>
      <c r="W61" s="19" t="n">
        <v>1</v>
      </c>
      <c r="X61" s="19" t="n">
        <f aca="false">IF(T61="","",IF(AND(V61="PT",T61&lt;=AsOfDate),W61,0))</f>
        <v>0</v>
      </c>
      <c r="Z61" s="22" t="n">
        <f aca="false">I61</f>
        <v>165</v>
      </c>
      <c r="AA61" s="22" t="n">
        <f aca="false">SMALL($Z$20:$Z$199,42)</f>
        <v>120</v>
      </c>
      <c r="AB61" s="22" t="str">
        <f aca="false">IF(42-COUNTIF($Z$20:$Z$199,"&lt;"&amp;AA61)=1,IF(COUNTIF($I$20:$I$109,AA61)&gt;0,"FT","PT"),"PT")</f>
        <v>FT</v>
      </c>
      <c r="AC61" s="22" t="n">
        <f aca="false">IF(AB61="FT",INDEX($N$20:$N$109,MATCH(AA61,$I$20:$I$109,0)),1)</f>
        <v>2</v>
      </c>
    </row>
    <row r="62" customFormat="false" ht="15" hidden="false" customHeight="false" outlineLevel="0" collapsed="false">
      <c r="H62" s="19" t="n">
        <v>43</v>
      </c>
      <c r="I62" s="19" t="n">
        <f aca="false">IF(42&lt;FT_PreY5,FT_First+FT_Int1*42,FT_Y5+FT_Int2*(42-FT_PreY5))</f>
        <v>168</v>
      </c>
      <c r="J62" s="19" t="str">
        <f aca="false">INT(I62/12)&amp;"y "&amp;MOD(I62,12)&amp;"m"</f>
        <v>14y 0m</v>
      </c>
      <c r="K62" s="17" t="n">
        <f aca="false">IF(OR($C$6&lt;&gt;"Yes",$C$8=""),"",EDATE($C$8,I62))</f>
        <v>48839</v>
      </c>
      <c r="L62" s="19" t="str">
        <f aca="false">IF(K62="","",IF($C$16=0,$C$9,IF(AND($C$14&lt;&gt;"",K62&gt;=$C$14),$C$15,IF(AND($C$12&lt;&gt;"",K62&gt;=$C$12),$C$13,$C$11))))</f>
        <v>Full-Time</v>
      </c>
      <c r="M62" s="19" t="str">
        <f aca="false">IF(K62="","",IF(OR(ISNUMBER(SEARCH("full",L62)),UPPER(TRIM(L62))="FT",UPPER(TRIM(L62))="FTE"),"FT",IF(AND(OR(ISNUMBER(SEARCH("part",L62)),UPPER(TRIM(L62))="PT",UPPER(TRIM(L62))="PTE"),OR($C$10="",N($C$10)&gt;=PT_MinHours)),"PT","None")))</f>
        <v>FT</v>
      </c>
      <c r="N62" s="19" t="n">
        <f aca="false">IF(I62&lt;FT_Y5,1,IF(MOD(I62-FT_Y5,12)=0,FT_AnnivDays,1))</f>
        <v>2</v>
      </c>
      <c r="O62" s="19" t="n">
        <f aca="false">IF(K62="","",IF(AND(M62="FT",K62&lt;=AsOfDate),N62,0))</f>
        <v>0</v>
      </c>
      <c r="Q62" s="19" t="n">
        <v>43</v>
      </c>
      <c r="R62" s="19" t="n">
        <f aca="false">PT_First+PT_Int*42</f>
        <v>228</v>
      </c>
      <c r="S62" s="19" t="str">
        <f aca="false">INT(R62/12)&amp;"y "&amp;MOD(R62,12)&amp;"m"</f>
        <v>19y 0m</v>
      </c>
      <c r="T62" s="17" t="n">
        <f aca="false">IF(OR($C$6&lt;&gt;"Yes",$C$8=""),"",EDATE($C$8,R62))</f>
        <v>50665</v>
      </c>
      <c r="U62" s="19" t="str">
        <f aca="false">IF(T62="","",IF($C$16=0,$C$9,IF(AND($C$14&lt;&gt;"",T62&gt;=$C$14),$C$15,IF(AND($C$12&lt;&gt;"",T62&gt;=$C$12),$C$13,$C$11))))</f>
        <v>Full-Time</v>
      </c>
      <c r="V62" s="19" t="str">
        <f aca="false">IF(T62="","",IF(OR(ISNUMBER(SEARCH("full",U62)),UPPER(TRIM(U62))="FT",UPPER(TRIM(U62))="FTE"),"FT",IF(AND(OR(ISNUMBER(SEARCH("part",U62)),UPPER(TRIM(U62))="PT",UPPER(TRIM(U62))="PTE"),OR($C$10="",N($C$10)&gt;=PT_MinHours)),"PT","None")))</f>
        <v>FT</v>
      </c>
      <c r="W62" s="19" t="n">
        <v>1</v>
      </c>
      <c r="X62" s="19" t="n">
        <f aca="false">IF(T62="","",IF(AND(V62="PT",T62&lt;=AsOfDate),W62,0))</f>
        <v>0</v>
      </c>
      <c r="Z62" s="22" t="n">
        <f aca="false">I62</f>
        <v>168</v>
      </c>
      <c r="AA62" s="22" t="n">
        <f aca="false">SMALL($Z$20:$Z$199,43)</f>
        <v>120</v>
      </c>
      <c r="AB62" s="22" t="str">
        <f aca="false">IF(43-COUNTIF($Z$20:$Z$199,"&lt;"&amp;AA62)=1,IF(COUNTIF($I$20:$I$109,AA62)&gt;0,"FT","PT"),"PT")</f>
        <v>PT</v>
      </c>
      <c r="AC62" s="22" t="n">
        <f aca="false">IF(AB62="FT",INDEX($N$20:$N$109,MATCH(AA62,$I$20:$I$109,0)),1)</f>
        <v>1</v>
      </c>
    </row>
    <row r="63" customFormat="false" ht="15" hidden="false" customHeight="false" outlineLevel="0" collapsed="false">
      <c r="H63" s="19" t="n">
        <v>44</v>
      </c>
      <c r="I63" s="19" t="n">
        <f aca="false">IF(43&lt;FT_PreY5,FT_First+FT_Int1*43,FT_Y5+FT_Int2*(43-FT_PreY5))</f>
        <v>171</v>
      </c>
      <c r="J63" s="19" t="str">
        <f aca="false">INT(I63/12)&amp;"y "&amp;MOD(I63,12)&amp;"m"</f>
        <v>14y 3m</v>
      </c>
      <c r="K63" s="17" t="n">
        <f aca="false">IF(OR($C$6&lt;&gt;"Yes",$C$8=""),"",EDATE($C$8,I63))</f>
        <v>48930</v>
      </c>
      <c r="L63" s="19" t="str">
        <f aca="false">IF(K63="","",IF($C$16=0,$C$9,IF(AND($C$14&lt;&gt;"",K63&gt;=$C$14),$C$15,IF(AND($C$12&lt;&gt;"",K63&gt;=$C$12),$C$13,$C$11))))</f>
        <v>Full-Time</v>
      </c>
      <c r="M63" s="19" t="str">
        <f aca="false">IF(K63="","",IF(OR(ISNUMBER(SEARCH("full",L63)),UPPER(TRIM(L63))="FT",UPPER(TRIM(L63))="FTE"),"FT",IF(AND(OR(ISNUMBER(SEARCH("part",L63)),UPPER(TRIM(L63))="PT",UPPER(TRIM(L63))="PTE"),OR($C$10="",N($C$10)&gt;=PT_MinHours)),"PT","None")))</f>
        <v>FT</v>
      </c>
      <c r="N63" s="19" t="n">
        <f aca="false">IF(I63&lt;FT_Y5,1,IF(MOD(I63-FT_Y5,12)=0,FT_AnnivDays,1))</f>
        <v>1</v>
      </c>
      <c r="O63" s="19" t="n">
        <f aca="false">IF(K63="","",IF(AND(M63="FT",K63&lt;=AsOfDate),N63,0))</f>
        <v>0</v>
      </c>
      <c r="Q63" s="19" t="n">
        <v>44</v>
      </c>
      <c r="R63" s="19" t="n">
        <f aca="false">PT_First+PT_Int*43</f>
        <v>232</v>
      </c>
      <c r="S63" s="19" t="str">
        <f aca="false">INT(R63/12)&amp;"y "&amp;MOD(R63,12)&amp;"m"</f>
        <v>19y 4m</v>
      </c>
      <c r="T63" s="17" t="n">
        <f aca="false">IF(OR($C$6&lt;&gt;"Yes",$C$8=""),"",EDATE($C$8,R63))</f>
        <v>50787</v>
      </c>
      <c r="U63" s="19" t="str">
        <f aca="false">IF(T63="","",IF($C$16=0,$C$9,IF(AND($C$14&lt;&gt;"",T63&gt;=$C$14),$C$15,IF(AND($C$12&lt;&gt;"",T63&gt;=$C$12),$C$13,$C$11))))</f>
        <v>Full-Time</v>
      </c>
      <c r="V63" s="19" t="str">
        <f aca="false">IF(T63="","",IF(OR(ISNUMBER(SEARCH("full",U63)),UPPER(TRIM(U63))="FT",UPPER(TRIM(U63))="FTE"),"FT",IF(AND(OR(ISNUMBER(SEARCH("part",U63)),UPPER(TRIM(U63))="PT",UPPER(TRIM(U63))="PTE"),OR($C$10="",N($C$10)&gt;=PT_MinHours)),"PT","None")))</f>
        <v>FT</v>
      </c>
      <c r="W63" s="19" t="n">
        <v>1</v>
      </c>
      <c r="X63" s="19" t="n">
        <f aca="false">IF(T63="","",IF(AND(V63="PT",T63&lt;=AsOfDate),W63,0))</f>
        <v>0</v>
      </c>
      <c r="Z63" s="22" t="n">
        <f aca="false">I63</f>
        <v>171</v>
      </c>
      <c r="AA63" s="22" t="n">
        <f aca="false">SMALL($Z$20:$Z$199,44)</f>
        <v>123</v>
      </c>
      <c r="AB63" s="22" t="str">
        <f aca="false">IF(44-COUNTIF($Z$20:$Z$199,"&lt;"&amp;AA63)=1,IF(COUNTIF($I$20:$I$109,AA63)&gt;0,"FT","PT"),"PT")</f>
        <v>FT</v>
      </c>
      <c r="AC63" s="22" t="n">
        <f aca="false">IF(AB63="FT",INDEX($N$20:$N$109,MATCH(AA63,$I$20:$I$109,0)),1)</f>
        <v>1</v>
      </c>
    </row>
    <row r="64" customFormat="false" ht="15" hidden="false" customHeight="false" outlineLevel="0" collapsed="false">
      <c r="H64" s="19" t="n">
        <v>45</v>
      </c>
      <c r="I64" s="19" t="n">
        <f aca="false">IF(44&lt;FT_PreY5,FT_First+FT_Int1*44,FT_Y5+FT_Int2*(44-FT_PreY5))</f>
        <v>174</v>
      </c>
      <c r="J64" s="19" t="str">
        <f aca="false">INT(I64/12)&amp;"y "&amp;MOD(I64,12)&amp;"m"</f>
        <v>14y 6m</v>
      </c>
      <c r="K64" s="17" t="n">
        <f aca="false">IF(OR($C$6&lt;&gt;"Yes",$C$8=""),"",EDATE($C$8,I64))</f>
        <v>49020</v>
      </c>
      <c r="L64" s="19" t="str">
        <f aca="false">IF(K64="","",IF($C$16=0,$C$9,IF(AND($C$14&lt;&gt;"",K64&gt;=$C$14),$C$15,IF(AND($C$12&lt;&gt;"",K64&gt;=$C$12),$C$13,$C$11))))</f>
        <v>Full-Time</v>
      </c>
      <c r="M64" s="19" t="str">
        <f aca="false">IF(K64="","",IF(OR(ISNUMBER(SEARCH("full",L64)),UPPER(TRIM(L64))="FT",UPPER(TRIM(L64))="FTE"),"FT",IF(AND(OR(ISNUMBER(SEARCH("part",L64)),UPPER(TRIM(L64))="PT",UPPER(TRIM(L64))="PTE"),OR($C$10="",N($C$10)&gt;=PT_MinHours)),"PT","None")))</f>
        <v>FT</v>
      </c>
      <c r="N64" s="19" t="n">
        <f aca="false">IF(I64&lt;FT_Y5,1,IF(MOD(I64-FT_Y5,12)=0,FT_AnnivDays,1))</f>
        <v>1</v>
      </c>
      <c r="O64" s="19" t="n">
        <f aca="false">IF(K64="","",IF(AND(M64="FT",K64&lt;=AsOfDate),N64,0))</f>
        <v>0</v>
      </c>
      <c r="Q64" s="19" t="n">
        <v>45</v>
      </c>
      <c r="R64" s="19" t="n">
        <f aca="false">PT_First+PT_Int*44</f>
        <v>236</v>
      </c>
      <c r="S64" s="19" t="str">
        <f aca="false">INT(R64/12)&amp;"y "&amp;MOD(R64,12)&amp;"m"</f>
        <v>19y 8m</v>
      </c>
      <c r="T64" s="17" t="n">
        <f aca="false">IF(OR($C$6&lt;&gt;"Yes",$C$8=""),"",EDATE($C$8,R64))</f>
        <v>50907</v>
      </c>
      <c r="U64" s="19" t="str">
        <f aca="false">IF(T64="","",IF($C$16=0,$C$9,IF(AND($C$14&lt;&gt;"",T64&gt;=$C$14),$C$15,IF(AND($C$12&lt;&gt;"",T64&gt;=$C$12),$C$13,$C$11))))</f>
        <v>Full-Time</v>
      </c>
      <c r="V64" s="19" t="str">
        <f aca="false">IF(T64="","",IF(OR(ISNUMBER(SEARCH("full",U64)),UPPER(TRIM(U64))="FT",UPPER(TRIM(U64))="FTE"),"FT",IF(AND(OR(ISNUMBER(SEARCH("part",U64)),UPPER(TRIM(U64))="PT",UPPER(TRIM(U64))="PTE"),OR($C$10="",N($C$10)&gt;=PT_MinHours)),"PT","None")))</f>
        <v>FT</v>
      </c>
      <c r="W64" s="19" t="n">
        <v>1</v>
      </c>
      <c r="X64" s="19" t="n">
        <f aca="false">IF(T64="","",IF(AND(V64="PT",T64&lt;=AsOfDate),W64,0))</f>
        <v>0</v>
      </c>
      <c r="Z64" s="22" t="n">
        <f aca="false">I64</f>
        <v>174</v>
      </c>
      <c r="AA64" s="22" t="n">
        <f aca="false">SMALL($Z$20:$Z$199,45)</f>
        <v>124</v>
      </c>
      <c r="AB64" s="22" t="str">
        <f aca="false">IF(45-COUNTIF($Z$20:$Z$199,"&lt;"&amp;AA64)=1,IF(COUNTIF($I$20:$I$109,AA64)&gt;0,"FT","PT"),"PT")</f>
        <v>PT</v>
      </c>
      <c r="AC64" s="22" t="n">
        <f aca="false">IF(AB64="FT",INDEX($N$20:$N$109,MATCH(AA64,$I$20:$I$109,0)),1)</f>
        <v>1</v>
      </c>
    </row>
    <row r="65" customFormat="false" ht="15" hidden="false" customHeight="false" outlineLevel="0" collapsed="false">
      <c r="H65" s="19" t="n">
        <v>46</v>
      </c>
      <c r="I65" s="19" t="n">
        <f aca="false">IF(45&lt;FT_PreY5,FT_First+FT_Int1*45,FT_Y5+FT_Int2*(45-FT_PreY5))</f>
        <v>177</v>
      </c>
      <c r="J65" s="19" t="str">
        <f aca="false">INT(I65/12)&amp;"y "&amp;MOD(I65,12)&amp;"m"</f>
        <v>14y 9m</v>
      </c>
      <c r="K65" s="17" t="n">
        <f aca="false">IF(OR($C$6&lt;&gt;"Yes",$C$8=""),"",EDATE($C$8,I65))</f>
        <v>49112</v>
      </c>
      <c r="L65" s="19" t="str">
        <f aca="false">IF(K65="","",IF($C$16=0,$C$9,IF(AND($C$14&lt;&gt;"",K65&gt;=$C$14),$C$15,IF(AND($C$12&lt;&gt;"",K65&gt;=$C$12),$C$13,$C$11))))</f>
        <v>Full-Time</v>
      </c>
      <c r="M65" s="19" t="str">
        <f aca="false">IF(K65="","",IF(OR(ISNUMBER(SEARCH("full",L65)),UPPER(TRIM(L65))="FT",UPPER(TRIM(L65))="FTE"),"FT",IF(AND(OR(ISNUMBER(SEARCH("part",L65)),UPPER(TRIM(L65))="PT",UPPER(TRIM(L65))="PTE"),OR($C$10="",N($C$10)&gt;=PT_MinHours)),"PT","None")))</f>
        <v>FT</v>
      </c>
      <c r="N65" s="19" t="n">
        <f aca="false">IF(I65&lt;FT_Y5,1,IF(MOD(I65-FT_Y5,12)=0,FT_AnnivDays,1))</f>
        <v>1</v>
      </c>
      <c r="O65" s="19" t="n">
        <f aca="false">IF(K65="","",IF(AND(M65="FT",K65&lt;=AsOfDate),N65,0))</f>
        <v>0</v>
      </c>
      <c r="Q65" s="19" t="n">
        <v>46</v>
      </c>
      <c r="R65" s="19" t="n">
        <f aca="false">PT_First+PT_Int*45</f>
        <v>240</v>
      </c>
      <c r="S65" s="19" t="str">
        <f aca="false">INT(R65/12)&amp;"y "&amp;MOD(R65,12)&amp;"m"</f>
        <v>20y 0m</v>
      </c>
      <c r="T65" s="17" t="n">
        <f aca="false">IF(OR($C$6&lt;&gt;"Yes",$C$8=""),"",EDATE($C$8,R65))</f>
        <v>51030</v>
      </c>
      <c r="U65" s="19" t="str">
        <f aca="false">IF(T65="","",IF($C$16=0,$C$9,IF(AND($C$14&lt;&gt;"",T65&gt;=$C$14),$C$15,IF(AND($C$12&lt;&gt;"",T65&gt;=$C$12),$C$13,$C$11))))</f>
        <v>Full-Time</v>
      </c>
      <c r="V65" s="19" t="str">
        <f aca="false">IF(T65="","",IF(OR(ISNUMBER(SEARCH("full",U65)),UPPER(TRIM(U65))="FT",UPPER(TRIM(U65))="FTE"),"FT",IF(AND(OR(ISNUMBER(SEARCH("part",U65)),UPPER(TRIM(U65))="PT",UPPER(TRIM(U65))="PTE"),OR($C$10="",N($C$10)&gt;=PT_MinHours)),"PT","None")))</f>
        <v>FT</v>
      </c>
      <c r="W65" s="19" t="n">
        <v>1</v>
      </c>
      <c r="X65" s="19" t="n">
        <f aca="false">IF(T65="","",IF(AND(V65="PT",T65&lt;=AsOfDate),W65,0))</f>
        <v>0</v>
      </c>
      <c r="Z65" s="22" t="n">
        <f aca="false">I65</f>
        <v>177</v>
      </c>
      <c r="AA65" s="22" t="n">
        <f aca="false">SMALL($Z$20:$Z$199,46)</f>
        <v>126</v>
      </c>
      <c r="AB65" s="22" t="str">
        <f aca="false">IF(46-COUNTIF($Z$20:$Z$199,"&lt;"&amp;AA65)=1,IF(COUNTIF($I$20:$I$109,AA65)&gt;0,"FT","PT"),"PT")</f>
        <v>FT</v>
      </c>
      <c r="AC65" s="22" t="n">
        <f aca="false">IF(AB65="FT",INDEX($N$20:$N$109,MATCH(AA65,$I$20:$I$109,0)),1)</f>
        <v>1</v>
      </c>
    </row>
    <row r="66" customFormat="false" ht="15" hidden="false" customHeight="false" outlineLevel="0" collapsed="false">
      <c r="H66" s="19" t="n">
        <v>47</v>
      </c>
      <c r="I66" s="19" t="n">
        <f aca="false">IF(46&lt;FT_PreY5,FT_First+FT_Int1*46,FT_Y5+FT_Int2*(46-FT_PreY5))</f>
        <v>180</v>
      </c>
      <c r="J66" s="19" t="str">
        <f aca="false">INT(I66/12)&amp;"y "&amp;MOD(I66,12)&amp;"m"</f>
        <v>15y 0m</v>
      </c>
      <c r="K66" s="17" t="n">
        <f aca="false">IF(OR($C$6&lt;&gt;"Yes",$C$8=""),"",EDATE($C$8,I66))</f>
        <v>49204</v>
      </c>
      <c r="L66" s="19" t="str">
        <f aca="false">IF(K66="","",IF($C$16=0,$C$9,IF(AND($C$14&lt;&gt;"",K66&gt;=$C$14),$C$15,IF(AND($C$12&lt;&gt;"",K66&gt;=$C$12),$C$13,$C$11))))</f>
        <v>Full-Time</v>
      </c>
      <c r="M66" s="19" t="str">
        <f aca="false">IF(K66="","",IF(OR(ISNUMBER(SEARCH("full",L66)),UPPER(TRIM(L66))="FT",UPPER(TRIM(L66))="FTE"),"FT",IF(AND(OR(ISNUMBER(SEARCH("part",L66)),UPPER(TRIM(L66))="PT",UPPER(TRIM(L66))="PTE"),OR($C$10="",N($C$10)&gt;=PT_MinHours)),"PT","None")))</f>
        <v>FT</v>
      </c>
      <c r="N66" s="19" t="n">
        <f aca="false">IF(I66&lt;FT_Y5,1,IF(MOD(I66-FT_Y5,12)=0,FT_AnnivDays,1))</f>
        <v>2</v>
      </c>
      <c r="O66" s="19" t="n">
        <f aca="false">IF(K66="","",IF(AND(M66="FT",K66&lt;=AsOfDate),N66,0))</f>
        <v>0</v>
      </c>
      <c r="Q66" s="19" t="n">
        <v>47</v>
      </c>
      <c r="R66" s="19" t="n">
        <f aca="false">PT_First+PT_Int*46</f>
        <v>244</v>
      </c>
      <c r="S66" s="19" t="str">
        <f aca="false">INT(R66/12)&amp;"y "&amp;MOD(R66,12)&amp;"m"</f>
        <v>20y 4m</v>
      </c>
      <c r="T66" s="17" t="n">
        <f aca="false">IF(OR($C$6&lt;&gt;"Yes",$C$8=""),"",EDATE($C$8,R66))</f>
        <v>51152</v>
      </c>
      <c r="U66" s="19" t="str">
        <f aca="false">IF(T66="","",IF($C$16=0,$C$9,IF(AND($C$14&lt;&gt;"",T66&gt;=$C$14),$C$15,IF(AND($C$12&lt;&gt;"",T66&gt;=$C$12),$C$13,$C$11))))</f>
        <v>Full-Time</v>
      </c>
      <c r="V66" s="19" t="str">
        <f aca="false">IF(T66="","",IF(OR(ISNUMBER(SEARCH("full",U66)),UPPER(TRIM(U66))="FT",UPPER(TRIM(U66))="FTE"),"FT",IF(AND(OR(ISNUMBER(SEARCH("part",U66)),UPPER(TRIM(U66))="PT",UPPER(TRIM(U66))="PTE"),OR($C$10="",N($C$10)&gt;=PT_MinHours)),"PT","None")))</f>
        <v>FT</v>
      </c>
      <c r="W66" s="19" t="n">
        <v>1</v>
      </c>
      <c r="X66" s="19" t="n">
        <f aca="false">IF(T66="","",IF(AND(V66="PT",T66&lt;=AsOfDate),W66,0))</f>
        <v>0</v>
      </c>
      <c r="Z66" s="22" t="n">
        <f aca="false">I66</f>
        <v>180</v>
      </c>
      <c r="AA66" s="22" t="n">
        <f aca="false">SMALL($Z$20:$Z$199,47)</f>
        <v>128</v>
      </c>
      <c r="AB66" s="22" t="str">
        <f aca="false">IF(47-COUNTIF($Z$20:$Z$199,"&lt;"&amp;AA66)=1,IF(COUNTIF($I$20:$I$109,AA66)&gt;0,"FT","PT"),"PT")</f>
        <v>PT</v>
      </c>
      <c r="AC66" s="22" t="n">
        <f aca="false">IF(AB66="FT",INDEX($N$20:$N$109,MATCH(AA66,$I$20:$I$109,0)),1)</f>
        <v>1</v>
      </c>
    </row>
    <row r="67" customFormat="false" ht="15" hidden="false" customHeight="false" outlineLevel="0" collapsed="false">
      <c r="H67" s="19" t="n">
        <v>48</v>
      </c>
      <c r="I67" s="19" t="n">
        <f aca="false">IF(47&lt;FT_PreY5,FT_First+FT_Int1*47,FT_Y5+FT_Int2*(47-FT_PreY5))</f>
        <v>183</v>
      </c>
      <c r="J67" s="19" t="str">
        <f aca="false">INT(I67/12)&amp;"y "&amp;MOD(I67,12)&amp;"m"</f>
        <v>15y 3m</v>
      </c>
      <c r="K67" s="17" t="n">
        <f aca="false">IF(OR($C$6&lt;&gt;"Yes",$C$8=""),"",EDATE($C$8,I67))</f>
        <v>49295</v>
      </c>
      <c r="L67" s="19" t="str">
        <f aca="false">IF(K67="","",IF($C$16=0,$C$9,IF(AND($C$14&lt;&gt;"",K67&gt;=$C$14),$C$15,IF(AND($C$12&lt;&gt;"",K67&gt;=$C$12),$C$13,$C$11))))</f>
        <v>Full-Time</v>
      </c>
      <c r="M67" s="19" t="str">
        <f aca="false">IF(K67="","",IF(OR(ISNUMBER(SEARCH("full",L67)),UPPER(TRIM(L67))="FT",UPPER(TRIM(L67))="FTE"),"FT",IF(AND(OR(ISNUMBER(SEARCH("part",L67)),UPPER(TRIM(L67))="PT",UPPER(TRIM(L67))="PTE"),OR($C$10="",N($C$10)&gt;=PT_MinHours)),"PT","None")))</f>
        <v>FT</v>
      </c>
      <c r="N67" s="19" t="n">
        <f aca="false">IF(I67&lt;FT_Y5,1,IF(MOD(I67-FT_Y5,12)=0,FT_AnnivDays,1))</f>
        <v>1</v>
      </c>
      <c r="O67" s="19" t="n">
        <f aca="false">IF(K67="","",IF(AND(M67="FT",K67&lt;=AsOfDate),N67,0))</f>
        <v>0</v>
      </c>
      <c r="Q67" s="19" t="n">
        <v>48</v>
      </c>
      <c r="R67" s="19" t="n">
        <f aca="false">PT_First+PT_Int*47</f>
        <v>248</v>
      </c>
      <c r="S67" s="19" t="str">
        <f aca="false">INT(R67/12)&amp;"y "&amp;MOD(R67,12)&amp;"m"</f>
        <v>20y 8m</v>
      </c>
      <c r="T67" s="17" t="n">
        <f aca="false">IF(OR($C$6&lt;&gt;"Yes",$C$8=""),"",EDATE($C$8,R67))</f>
        <v>51273</v>
      </c>
      <c r="U67" s="19" t="str">
        <f aca="false">IF(T67="","",IF($C$16=0,$C$9,IF(AND($C$14&lt;&gt;"",T67&gt;=$C$14),$C$15,IF(AND($C$12&lt;&gt;"",T67&gt;=$C$12),$C$13,$C$11))))</f>
        <v>Full-Time</v>
      </c>
      <c r="V67" s="19" t="str">
        <f aca="false">IF(T67="","",IF(OR(ISNUMBER(SEARCH("full",U67)),UPPER(TRIM(U67))="FT",UPPER(TRIM(U67))="FTE"),"FT",IF(AND(OR(ISNUMBER(SEARCH("part",U67)),UPPER(TRIM(U67))="PT",UPPER(TRIM(U67))="PTE"),OR($C$10="",N($C$10)&gt;=PT_MinHours)),"PT","None")))</f>
        <v>FT</v>
      </c>
      <c r="W67" s="19" t="n">
        <v>1</v>
      </c>
      <c r="X67" s="19" t="n">
        <f aca="false">IF(T67="","",IF(AND(V67="PT",T67&lt;=AsOfDate),W67,0))</f>
        <v>0</v>
      </c>
      <c r="Z67" s="22" t="n">
        <f aca="false">I67</f>
        <v>183</v>
      </c>
      <c r="AA67" s="22" t="n">
        <f aca="false">SMALL($Z$20:$Z$199,48)</f>
        <v>129</v>
      </c>
      <c r="AB67" s="22" t="str">
        <f aca="false">IF(48-COUNTIF($Z$20:$Z$199,"&lt;"&amp;AA67)=1,IF(COUNTIF($I$20:$I$109,AA67)&gt;0,"FT","PT"),"PT")</f>
        <v>FT</v>
      </c>
      <c r="AC67" s="22" t="n">
        <f aca="false">IF(AB67="FT",INDEX($N$20:$N$109,MATCH(AA67,$I$20:$I$109,0)),1)</f>
        <v>1</v>
      </c>
    </row>
    <row r="68" customFormat="false" ht="15" hidden="false" customHeight="false" outlineLevel="0" collapsed="false">
      <c r="H68" s="19" t="n">
        <v>49</v>
      </c>
      <c r="I68" s="19" t="n">
        <f aca="false">IF(48&lt;FT_PreY5,FT_First+FT_Int1*48,FT_Y5+FT_Int2*(48-FT_PreY5))</f>
        <v>186</v>
      </c>
      <c r="J68" s="19" t="str">
        <f aca="false">INT(I68/12)&amp;"y "&amp;MOD(I68,12)&amp;"m"</f>
        <v>15y 6m</v>
      </c>
      <c r="K68" s="17" t="n">
        <f aca="false">IF(OR($C$6&lt;&gt;"Yes",$C$8=""),"",EDATE($C$8,I68))</f>
        <v>49385</v>
      </c>
      <c r="L68" s="19" t="str">
        <f aca="false">IF(K68="","",IF($C$16=0,$C$9,IF(AND($C$14&lt;&gt;"",K68&gt;=$C$14),$C$15,IF(AND($C$12&lt;&gt;"",K68&gt;=$C$12),$C$13,$C$11))))</f>
        <v>Full-Time</v>
      </c>
      <c r="M68" s="19" t="str">
        <f aca="false">IF(K68="","",IF(OR(ISNUMBER(SEARCH("full",L68)),UPPER(TRIM(L68))="FT",UPPER(TRIM(L68))="FTE"),"FT",IF(AND(OR(ISNUMBER(SEARCH("part",L68)),UPPER(TRIM(L68))="PT",UPPER(TRIM(L68))="PTE"),OR($C$10="",N($C$10)&gt;=PT_MinHours)),"PT","None")))</f>
        <v>FT</v>
      </c>
      <c r="N68" s="19" t="n">
        <f aca="false">IF(I68&lt;FT_Y5,1,IF(MOD(I68-FT_Y5,12)=0,FT_AnnivDays,1))</f>
        <v>1</v>
      </c>
      <c r="O68" s="19" t="n">
        <f aca="false">IF(K68="","",IF(AND(M68="FT",K68&lt;=AsOfDate),N68,0))</f>
        <v>0</v>
      </c>
      <c r="Q68" s="19" t="n">
        <v>49</v>
      </c>
      <c r="R68" s="19" t="n">
        <f aca="false">PT_First+PT_Int*48</f>
        <v>252</v>
      </c>
      <c r="S68" s="19" t="str">
        <f aca="false">INT(R68/12)&amp;"y "&amp;MOD(R68,12)&amp;"m"</f>
        <v>21y 0m</v>
      </c>
      <c r="T68" s="17" t="n">
        <f aca="false">IF(OR($C$6&lt;&gt;"Yes",$C$8=""),"",EDATE($C$8,R68))</f>
        <v>51396</v>
      </c>
      <c r="U68" s="19" t="str">
        <f aca="false">IF(T68="","",IF($C$16=0,$C$9,IF(AND($C$14&lt;&gt;"",T68&gt;=$C$14),$C$15,IF(AND($C$12&lt;&gt;"",T68&gt;=$C$12),$C$13,$C$11))))</f>
        <v>Full-Time</v>
      </c>
      <c r="V68" s="19" t="str">
        <f aca="false">IF(T68="","",IF(OR(ISNUMBER(SEARCH("full",U68)),UPPER(TRIM(U68))="FT",UPPER(TRIM(U68))="FTE"),"FT",IF(AND(OR(ISNUMBER(SEARCH("part",U68)),UPPER(TRIM(U68))="PT",UPPER(TRIM(U68))="PTE"),OR($C$10="",N($C$10)&gt;=PT_MinHours)),"PT","None")))</f>
        <v>FT</v>
      </c>
      <c r="W68" s="19" t="n">
        <v>1</v>
      </c>
      <c r="X68" s="19" t="n">
        <f aca="false">IF(T68="","",IF(AND(V68="PT",T68&lt;=AsOfDate),W68,0))</f>
        <v>0</v>
      </c>
      <c r="Z68" s="22" t="n">
        <f aca="false">I68</f>
        <v>186</v>
      </c>
      <c r="AA68" s="22" t="n">
        <f aca="false">SMALL($Z$20:$Z$199,49)</f>
        <v>132</v>
      </c>
      <c r="AB68" s="22" t="str">
        <f aca="false">IF(49-COUNTIF($Z$20:$Z$199,"&lt;"&amp;AA68)=1,IF(COUNTIF($I$20:$I$109,AA68)&gt;0,"FT","PT"),"PT")</f>
        <v>FT</v>
      </c>
      <c r="AC68" s="22" t="n">
        <f aca="false">IF(AB68="FT",INDEX($N$20:$N$109,MATCH(AA68,$I$20:$I$109,0)),1)</f>
        <v>2</v>
      </c>
    </row>
    <row r="69" customFormat="false" ht="15" hidden="false" customHeight="false" outlineLevel="0" collapsed="false">
      <c r="H69" s="19" t="n">
        <v>50</v>
      </c>
      <c r="I69" s="19" t="n">
        <f aca="false">IF(49&lt;FT_PreY5,FT_First+FT_Int1*49,FT_Y5+FT_Int2*(49-FT_PreY5))</f>
        <v>189</v>
      </c>
      <c r="J69" s="19" t="str">
        <f aca="false">INT(I69/12)&amp;"y "&amp;MOD(I69,12)&amp;"m"</f>
        <v>15y 9m</v>
      </c>
      <c r="K69" s="17" t="n">
        <f aca="false">IF(OR($C$6&lt;&gt;"Yes",$C$8=""),"",EDATE($C$8,I69))</f>
        <v>49477</v>
      </c>
      <c r="L69" s="19" t="str">
        <f aca="false">IF(K69="","",IF($C$16=0,$C$9,IF(AND($C$14&lt;&gt;"",K69&gt;=$C$14),$C$15,IF(AND($C$12&lt;&gt;"",K69&gt;=$C$12),$C$13,$C$11))))</f>
        <v>Full-Time</v>
      </c>
      <c r="M69" s="19" t="str">
        <f aca="false">IF(K69="","",IF(OR(ISNUMBER(SEARCH("full",L69)),UPPER(TRIM(L69))="FT",UPPER(TRIM(L69))="FTE"),"FT",IF(AND(OR(ISNUMBER(SEARCH("part",L69)),UPPER(TRIM(L69))="PT",UPPER(TRIM(L69))="PTE"),OR($C$10="",N($C$10)&gt;=PT_MinHours)),"PT","None")))</f>
        <v>FT</v>
      </c>
      <c r="N69" s="19" t="n">
        <f aca="false">IF(I69&lt;FT_Y5,1,IF(MOD(I69-FT_Y5,12)=0,FT_AnnivDays,1))</f>
        <v>1</v>
      </c>
      <c r="O69" s="19" t="n">
        <f aca="false">IF(K69="","",IF(AND(M69="FT",K69&lt;=AsOfDate),N69,0))</f>
        <v>0</v>
      </c>
      <c r="Q69" s="19" t="n">
        <v>50</v>
      </c>
      <c r="R69" s="19" t="n">
        <f aca="false">PT_First+PT_Int*49</f>
        <v>256</v>
      </c>
      <c r="S69" s="19" t="str">
        <f aca="false">INT(R69/12)&amp;"y "&amp;MOD(R69,12)&amp;"m"</f>
        <v>21y 4m</v>
      </c>
      <c r="T69" s="17" t="n">
        <f aca="false">IF(OR($C$6&lt;&gt;"Yes",$C$8=""),"",EDATE($C$8,R69))</f>
        <v>51518</v>
      </c>
      <c r="U69" s="19" t="str">
        <f aca="false">IF(T69="","",IF($C$16=0,$C$9,IF(AND($C$14&lt;&gt;"",T69&gt;=$C$14),$C$15,IF(AND($C$12&lt;&gt;"",T69&gt;=$C$12),$C$13,$C$11))))</f>
        <v>Full-Time</v>
      </c>
      <c r="V69" s="19" t="str">
        <f aca="false">IF(T69="","",IF(OR(ISNUMBER(SEARCH("full",U69)),UPPER(TRIM(U69))="FT",UPPER(TRIM(U69))="FTE"),"FT",IF(AND(OR(ISNUMBER(SEARCH("part",U69)),UPPER(TRIM(U69))="PT",UPPER(TRIM(U69))="PTE"),OR($C$10="",N($C$10)&gt;=PT_MinHours)),"PT","None")))</f>
        <v>FT</v>
      </c>
      <c r="W69" s="19" t="n">
        <v>1</v>
      </c>
      <c r="X69" s="19" t="n">
        <f aca="false">IF(T69="","",IF(AND(V69="PT",T69&lt;=AsOfDate),W69,0))</f>
        <v>0</v>
      </c>
      <c r="Z69" s="22" t="n">
        <f aca="false">I69</f>
        <v>189</v>
      </c>
      <c r="AA69" s="22" t="n">
        <f aca="false">SMALL($Z$20:$Z$199,50)</f>
        <v>132</v>
      </c>
      <c r="AB69" s="22" t="str">
        <f aca="false">IF(50-COUNTIF($Z$20:$Z$199,"&lt;"&amp;AA69)=1,IF(COUNTIF($I$20:$I$109,AA69)&gt;0,"FT","PT"),"PT")</f>
        <v>PT</v>
      </c>
      <c r="AC69" s="22" t="n">
        <f aca="false">IF(AB69="FT",INDEX($N$20:$N$109,MATCH(AA69,$I$20:$I$109,0)),1)</f>
        <v>1</v>
      </c>
    </row>
    <row r="70" customFormat="false" ht="15" hidden="false" customHeight="false" outlineLevel="0" collapsed="false">
      <c r="H70" s="19" t="n">
        <v>51</v>
      </c>
      <c r="I70" s="19" t="n">
        <f aca="false">IF(50&lt;FT_PreY5,FT_First+FT_Int1*50,FT_Y5+FT_Int2*(50-FT_PreY5))</f>
        <v>192</v>
      </c>
      <c r="J70" s="19" t="str">
        <f aca="false">INT(I70/12)&amp;"y "&amp;MOD(I70,12)&amp;"m"</f>
        <v>16y 0m</v>
      </c>
      <c r="K70" s="17" t="n">
        <f aca="false">IF(OR($C$6&lt;&gt;"Yes",$C$8=""),"",EDATE($C$8,I70))</f>
        <v>49569</v>
      </c>
      <c r="L70" s="19" t="str">
        <f aca="false">IF(K70="","",IF($C$16=0,$C$9,IF(AND($C$14&lt;&gt;"",K70&gt;=$C$14),$C$15,IF(AND($C$12&lt;&gt;"",K70&gt;=$C$12),$C$13,$C$11))))</f>
        <v>Full-Time</v>
      </c>
      <c r="M70" s="19" t="str">
        <f aca="false">IF(K70="","",IF(OR(ISNUMBER(SEARCH("full",L70)),UPPER(TRIM(L70))="FT",UPPER(TRIM(L70))="FTE"),"FT",IF(AND(OR(ISNUMBER(SEARCH("part",L70)),UPPER(TRIM(L70))="PT",UPPER(TRIM(L70))="PTE"),OR($C$10="",N($C$10)&gt;=PT_MinHours)),"PT","None")))</f>
        <v>FT</v>
      </c>
      <c r="N70" s="19" t="n">
        <f aca="false">IF(I70&lt;FT_Y5,1,IF(MOD(I70-FT_Y5,12)=0,FT_AnnivDays,1))</f>
        <v>2</v>
      </c>
      <c r="O70" s="19" t="n">
        <f aca="false">IF(K70="","",IF(AND(M70="FT",K70&lt;=AsOfDate),N70,0))</f>
        <v>0</v>
      </c>
      <c r="Q70" s="19" t="n">
        <v>51</v>
      </c>
      <c r="R70" s="19" t="n">
        <f aca="false">PT_First+PT_Int*50</f>
        <v>260</v>
      </c>
      <c r="S70" s="19" t="str">
        <f aca="false">INT(R70/12)&amp;"y "&amp;MOD(R70,12)&amp;"m"</f>
        <v>21y 8m</v>
      </c>
      <c r="T70" s="17" t="n">
        <f aca="false">IF(OR($C$6&lt;&gt;"Yes",$C$8=""),"",EDATE($C$8,R70))</f>
        <v>51638</v>
      </c>
      <c r="U70" s="19" t="str">
        <f aca="false">IF(T70="","",IF($C$16=0,$C$9,IF(AND($C$14&lt;&gt;"",T70&gt;=$C$14),$C$15,IF(AND($C$12&lt;&gt;"",T70&gt;=$C$12),$C$13,$C$11))))</f>
        <v>Full-Time</v>
      </c>
      <c r="V70" s="19" t="str">
        <f aca="false">IF(T70="","",IF(OR(ISNUMBER(SEARCH("full",U70)),UPPER(TRIM(U70))="FT",UPPER(TRIM(U70))="FTE"),"FT",IF(AND(OR(ISNUMBER(SEARCH("part",U70)),UPPER(TRIM(U70))="PT",UPPER(TRIM(U70))="PTE"),OR($C$10="",N($C$10)&gt;=PT_MinHours)),"PT","None")))</f>
        <v>FT</v>
      </c>
      <c r="W70" s="19" t="n">
        <v>1</v>
      </c>
      <c r="X70" s="19" t="n">
        <f aca="false">IF(T70="","",IF(AND(V70="PT",T70&lt;=AsOfDate),W70,0))</f>
        <v>0</v>
      </c>
      <c r="Z70" s="22" t="n">
        <f aca="false">I70</f>
        <v>192</v>
      </c>
      <c r="AA70" s="22" t="n">
        <f aca="false">SMALL($Z$20:$Z$199,51)</f>
        <v>135</v>
      </c>
      <c r="AB70" s="22" t="str">
        <f aca="false">IF(51-COUNTIF($Z$20:$Z$199,"&lt;"&amp;AA70)=1,IF(COUNTIF($I$20:$I$109,AA70)&gt;0,"FT","PT"),"PT")</f>
        <v>FT</v>
      </c>
      <c r="AC70" s="22" t="n">
        <f aca="false">IF(AB70="FT",INDEX($N$20:$N$109,MATCH(AA70,$I$20:$I$109,0)),1)</f>
        <v>1</v>
      </c>
    </row>
    <row r="71" customFormat="false" ht="15" hidden="false" customHeight="false" outlineLevel="0" collapsed="false">
      <c r="H71" s="19" t="n">
        <v>52</v>
      </c>
      <c r="I71" s="19" t="n">
        <f aca="false">IF(51&lt;FT_PreY5,FT_First+FT_Int1*51,FT_Y5+FT_Int2*(51-FT_PreY5))</f>
        <v>195</v>
      </c>
      <c r="J71" s="19" t="str">
        <f aca="false">INT(I71/12)&amp;"y "&amp;MOD(I71,12)&amp;"m"</f>
        <v>16y 3m</v>
      </c>
      <c r="K71" s="17" t="n">
        <f aca="false">IF(OR($C$6&lt;&gt;"Yes",$C$8=""),"",EDATE($C$8,I71))</f>
        <v>49660</v>
      </c>
      <c r="L71" s="19" t="str">
        <f aca="false">IF(K71="","",IF($C$16=0,$C$9,IF(AND($C$14&lt;&gt;"",K71&gt;=$C$14),$C$15,IF(AND($C$12&lt;&gt;"",K71&gt;=$C$12),$C$13,$C$11))))</f>
        <v>Full-Time</v>
      </c>
      <c r="M71" s="19" t="str">
        <f aca="false">IF(K71="","",IF(OR(ISNUMBER(SEARCH("full",L71)),UPPER(TRIM(L71))="FT",UPPER(TRIM(L71))="FTE"),"FT",IF(AND(OR(ISNUMBER(SEARCH("part",L71)),UPPER(TRIM(L71))="PT",UPPER(TRIM(L71))="PTE"),OR($C$10="",N($C$10)&gt;=PT_MinHours)),"PT","None")))</f>
        <v>FT</v>
      </c>
      <c r="N71" s="19" t="n">
        <f aca="false">IF(I71&lt;FT_Y5,1,IF(MOD(I71-FT_Y5,12)=0,FT_AnnivDays,1))</f>
        <v>1</v>
      </c>
      <c r="O71" s="19" t="n">
        <f aca="false">IF(K71="","",IF(AND(M71="FT",K71&lt;=AsOfDate),N71,0))</f>
        <v>0</v>
      </c>
      <c r="Q71" s="19" t="n">
        <v>52</v>
      </c>
      <c r="R71" s="19" t="n">
        <f aca="false">PT_First+PT_Int*51</f>
        <v>264</v>
      </c>
      <c r="S71" s="19" t="str">
        <f aca="false">INT(R71/12)&amp;"y "&amp;MOD(R71,12)&amp;"m"</f>
        <v>22y 0m</v>
      </c>
      <c r="T71" s="17" t="n">
        <f aca="false">IF(OR($C$6&lt;&gt;"Yes",$C$8=""),"",EDATE($C$8,R71))</f>
        <v>51761</v>
      </c>
      <c r="U71" s="19" t="str">
        <f aca="false">IF(T71="","",IF($C$16=0,$C$9,IF(AND($C$14&lt;&gt;"",T71&gt;=$C$14),$C$15,IF(AND($C$12&lt;&gt;"",T71&gt;=$C$12),$C$13,$C$11))))</f>
        <v>Full-Time</v>
      </c>
      <c r="V71" s="19" t="str">
        <f aca="false">IF(T71="","",IF(OR(ISNUMBER(SEARCH("full",U71)),UPPER(TRIM(U71))="FT",UPPER(TRIM(U71))="FTE"),"FT",IF(AND(OR(ISNUMBER(SEARCH("part",U71)),UPPER(TRIM(U71))="PT",UPPER(TRIM(U71))="PTE"),OR($C$10="",N($C$10)&gt;=PT_MinHours)),"PT","None")))</f>
        <v>FT</v>
      </c>
      <c r="W71" s="19" t="n">
        <v>1</v>
      </c>
      <c r="X71" s="19" t="n">
        <f aca="false">IF(T71="","",IF(AND(V71="PT",T71&lt;=AsOfDate),W71,0))</f>
        <v>0</v>
      </c>
      <c r="Z71" s="22" t="n">
        <f aca="false">I71</f>
        <v>195</v>
      </c>
      <c r="AA71" s="22" t="n">
        <f aca="false">SMALL($Z$20:$Z$199,52)</f>
        <v>136</v>
      </c>
      <c r="AB71" s="22" t="str">
        <f aca="false">IF(52-COUNTIF($Z$20:$Z$199,"&lt;"&amp;AA71)=1,IF(COUNTIF($I$20:$I$109,AA71)&gt;0,"FT","PT"),"PT")</f>
        <v>PT</v>
      </c>
      <c r="AC71" s="22" t="n">
        <f aca="false">IF(AB71="FT",INDEX($N$20:$N$109,MATCH(AA71,$I$20:$I$109,0)),1)</f>
        <v>1</v>
      </c>
    </row>
    <row r="72" customFormat="false" ht="15" hidden="false" customHeight="false" outlineLevel="0" collapsed="false">
      <c r="H72" s="19" t="n">
        <v>53</v>
      </c>
      <c r="I72" s="19" t="n">
        <f aca="false">IF(52&lt;FT_PreY5,FT_First+FT_Int1*52,FT_Y5+FT_Int2*(52-FT_PreY5))</f>
        <v>198</v>
      </c>
      <c r="J72" s="19" t="str">
        <f aca="false">INT(I72/12)&amp;"y "&amp;MOD(I72,12)&amp;"m"</f>
        <v>16y 6m</v>
      </c>
      <c r="K72" s="17" t="n">
        <f aca="false">IF(OR($C$6&lt;&gt;"Yes",$C$8=""),"",EDATE($C$8,I72))</f>
        <v>49751</v>
      </c>
      <c r="L72" s="19" t="str">
        <f aca="false">IF(K72="","",IF($C$16=0,$C$9,IF(AND($C$14&lt;&gt;"",K72&gt;=$C$14),$C$15,IF(AND($C$12&lt;&gt;"",K72&gt;=$C$12),$C$13,$C$11))))</f>
        <v>Full-Time</v>
      </c>
      <c r="M72" s="19" t="str">
        <f aca="false">IF(K72="","",IF(OR(ISNUMBER(SEARCH("full",L72)),UPPER(TRIM(L72))="FT",UPPER(TRIM(L72))="FTE"),"FT",IF(AND(OR(ISNUMBER(SEARCH("part",L72)),UPPER(TRIM(L72))="PT",UPPER(TRIM(L72))="PTE"),OR($C$10="",N($C$10)&gt;=PT_MinHours)),"PT","None")))</f>
        <v>FT</v>
      </c>
      <c r="N72" s="19" t="n">
        <f aca="false">IF(I72&lt;FT_Y5,1,IF(MOD(I72-FT_Y5,12)=0,FT_AnnivDays,1))</f>
        <v>1</v>
      </c>
      <c r="O72" s="19" t="n">
        <f aca="false">IF(K72="","",IF(AND(M72="FT",K72&lt;=AsOfDate),N72,0))</f>
        <v>0</v>
      </c>
      <c r="Q72" s="19" t="n">
        <v>53</v>
      </c>
      <c r="R72" s="19" t="n">
        <f aca="false">PT_First+PT_Int*52</f>
        <v>268</v>
      </c>
      <c r="S72" s="19" t="str">
        <f aca="false">INT(R72/12)&amp;"y "&amp;MOD(R72,12)&amp;"m"</f>
        <v>22y 4m</v>
      </c>
      <c r="T72" s="17" t="n">
        <f aca="false">IF(OR($C$6&lt;&gt;"Yes",$C$8=""),"",EDATE($C$8,R72))</f>
        <v>51883</v>
      </c>
      <c r="U72" s="19" t="str">
        <f aca="false">IF(T72="","",IF($C$16=0,$C$9,IF(AND($C$14&lt;&gt;"",T72&gt;=$C$14),$C$15,IF(AND($C$12&lt;&gt;"",T72&gt;=$C$12),$C$13,$C$11))))</f>
        <v>Full-Time</v>
      </c>
      <c r="V72" s="19" t="str">
        <f aca="false">IF(T72="","",IF(OR(ISNUMBER(SEARCH("full",U72)),UPPER(TRIM(U72))="FT",UPPER(TRIM(U72))="FTE"),"FT",IF(AND(OR(ISNUMBER(SEARCH("part",U72)),UPPER(TRIM(U72))="PT",UPPER(TRIM(U72))="PTE"),OR($C$10="",N($C$10)&gt;=PT_MinHours)),"PT","None")))</f>
        <v>FT</v>
      </c>
      <c r="W72" s="19" t="n">
        <v>1</v>
      </c>
      <c r="X72" s="19" t="n">
        <f aca="false">IF(T72="","",IF(AND(V72="PT",T72&lt;=AsOfDate),W72,0))</f>
        <v>0</v>
      </c>
      <c r="Z72" s="22" t="n">
        <f aca="false">I72</f>
        <v>198</v>
      </c>
      <c r="AA72" s="22" t="n">
        <f aca="false">SMALL($Z$20:$Z$199,53)</f>
        <v>138</v>
      </c>
      <c r="AB72" s="22" t="str">
        <f aca="false">IF(53-COUNTIF($Z$20:$Z$199,"&lt;"&amp;AA72)=1,IF(COUNTIF($I$20:$I$109,AA72)&gt;0,"FT","PT"),"PT")</f>
        <v>FT</v>
      </c>
      <c r="AC72" s="22" t="n">
        <f aca="false">IF(AB72="FT",INDEX($N$20:$N$109,MATCH(AA72,$I$20:$I$109,0)),1)</f>
        <v>1</v>
      </c>
    </row>
    <row r="73" customFormat="false" ht="15" hidden="false" customHeight="false" outlineLevel="0" collapsed="false">
      <c r="H73" s="19" t="n">
        <v>54</v>
      </c>
      <c r="I73" s="19" t="n">
        <f aca="false">IF(53&lt;FT_PreY5,FT_First+FT_Int1*53,FT_Y5+FT_Int2*(53-FT_PreY5))</f>
        <v>201</v>
      </c>
      <c r="J73" s="19" t="str">
        <f aca="false">INT(I73/12)&amp;"y "&amp;MOD(I73,12)&amp;"m"</f>
        <v>16y 9m</v>
      </c>
      <c r="K73" s="17" t="n">
        <f aca="false">IF(OR($C$6&lt;&gt;"Yes",$C$8=""),"",EDATE($C$8,I73))</f>
        <v>49843</v>
      </c>
      <c r="L73" s="19" t="str">
        <f aca="false">IF(K73="","",IF($C$16=0,$C$9,IF(AND($C$14&lt;&gt;"",K73&gt;=$C$14),$C$15,IF(AND($C$12&lt;&gt;"",K73&gt;=$C$12),$C$13,$C$11))))</f>
        <v>Full-Time</v>
      </c>
      <c r="M73" s="19" t="str">
        <f aca="false">IF(K73="","",IF(OR(ISNUMBER(SEARCH("full",L73)),UPPER(TRIM(L73))="FT",UPPER(TRIM(L73))="FTE"),"FT",IF(AND(OR(ISNUMBER(SEARCH("part",L73)),UPPER(TRIM(L73))="PT",UPPER(TRIM(L73))="PTE"),OR($C$10="",N($C$10)&gt;=PT_MinHours)),"PT","None")))</f>
        <v>FT</v>
      </c>
      <c r="N73" s="19" t="n">
        <f aca="false">IF(I73&lt;FT_Y5,1,IF(MOD(I73-FT_Y5,12)=0,FT_AnnivDays,1))</f>
        <v>1</v>
      </c>
      <c r="O73" s="19" t="n">
        <f aca="false">IF(K73="","",IF(AND(M73="FT",K73&lt;=AsOfDate),N73,0))</f>
        <v>0</v>
      </c>
      <c r="Q73" s="19" t="n">
        <v>54</v>
      </c>
      <c r="R73" s="19" t="n">
        <f aca="false">PT_First+PT_Int*53</f>
        <v>272</v>
      </c>
      <c r="S73" s="19" t="str">
        <f aca="false">INT(R73/12)&amp;"y "&amp;MOD(R73,12)&amp;"m"</f>
        <v>22y 8m</v>
      </c>
      <c r="T73" s="17" t="n">
        <f aca="false">IF(OR($C$6&lt;&gt;"Yes",$C$8=""),"",EDATE($C$8,R73))</f>
        <v>52003</v>
      </c>
      <c r="U73" s="19" t="str">
        <f aca="false">IF(T73="","",IF($C$16=0,$C$9,IF(AND($C$14&lt;&gt;"",T73&gt;=$C$14),$C$15,IF(AND($C$12&lt;&gt;"",T73&gt;=$C$12),$C$13,$C$11))))</f>
        <v>Full-Time</v>
      </c>
      <c r="V73" s="19" t="str">
        <f aca="false">IF(T73="","",IF(OR(ISNUMBER(SEARCH("full",U73)),UPPER(TRIM(U73))="FT",UPPER(TRIM(U73))="FTE"),"FT",IF(AND(OR(ISNUMBER(SEARCH("part",U73)),UPPER(TRIM(U73))="PT",UPPER(TRIM(U73))="PTE"),OR($C$10="",N($C$10)&gt;=PT_MinHours)),"PT","None")))</f>
        <v>FT</v>
      </c>
      <c r="W73" s="19" t="n">
        <v>1</v>
      </c>
      <c r="X73" s="19" t="n">
        <f aca="false">IF(T73="","",IF(AND(V73="PT",T73&lt;=AsOfDate),W73,0))</f>
        <v>0</v>
      </c>
      <c r="Z73" s="22" t="n">
        <f aca="false">I73</f>
        <v>201</v>
      </c>
      <c r="AA73" s="22" t="n">
        <f aca="false">SMALL($Z$20:$Z$199,54)</f>
        <v>140</v>
      </c>
      <c r="AB73" s="22" t="str">
        <f aca="false">IF(54-COUNTIF($Z$20:$Z$199,"&lt;"&amp;AA73)=1,IF(COUNTIF($I$20:$I$109,AA73)&gt;0,"FT","PT"),"PT")</f>
        <v>PT</v>
      </c>
      <c r="AC73" s="22" t="n">
        <f aca="false">IF(AB73="FT",INDEX($N$20:$N$109,MATCH(AA73,$I$20:$I$109,0)),1)</f>
        <v>1</v>
      </c>
    </row>
    <row r="74" customFormat="false" ht="15" hidden="false" customHeight="false" outlineLevel="0" collapsed="false">
      <c r="H74" s="19" t="n">
        <v>55</v>
      </c>
      <c r="I74" s="19" t="n">
        <f aca="false">IF(54&lt;FT_PreY5,FT_First+FT_Int1*54,FT_Y5+FT_Int2*(54-FT_PreY5))</f>
        <v>204</v>
      </c>
      <c r="J74" s="19" t="str">
        <f aca="false">INT(I74/12)&amp;"y "&amp;MOD(I74,12)&amp;"m"</f>
        <v>17y 0m</v>
      </c>
      <c r="K74" s="17" t="n">
        <f aca="false">IF(OR($C$6&lt;&gt;"Yes",$C$8=""),"",EDATE($C$8,I74))</f>
        <v>49935</v>
      </c>
      <c r="L74" s="19" t="str">
        <f aca="false">IF(K74="","",IF($C$16=0,$C$9,IF(AND($C$14&lt;&gt;"",K74&gt;=$C$14),$C$15,IF(AND($C$12&lt;&gt;"",K74&gt;=$C$12),$C$13,$C$11))))</f>
        <v>Full-Time</v>
      </c>
      <c r="M74" s="19" t="str">
        <f aca="false">IF(K74="","",IF(OR(ISNUMBER(SEARCH("full",L74)),UPPER(TRIM(L74))="FT",UPPER(TRIM(L74))="FTE"),"FT",IF(AND(OR(ISNUMBER(SEARCH("part",L74)),UPPER(TRIM(L74))="PT",UPPER(TRIM(L74))="PTE"),OR($C$10="",N($C$10)&gt;=PT_MinHours)),"PT","None")))</f>
        <v>FT</v>
      </c>
      <c r="N74" s="19" t="n">
        <f aca="false">IF(I74&lt;FT_Y5,1,IF(MOD(I74-FT_Y5,12)=0,FT_AnnivDays,1))</f>
        <v>2</v>
      </c>
      <c r="O74" s="19" t="n">
        <f aca="false">IF(K74="","",IF(AND(M74="FT",K74&lt;=AsOfDate),N74,0))</f>
        <v>0</v>
      </c>
      <c r="Q74" s="19" t="n">
        <v>55</v>
      </c>
      <c r="R74" s="19" t="n">
        <f aca="false">PT_First+PT_Int*54</f>
        <v>276</v>
      </c>
      <c r="S74" s="19" t="str">
        <f aca="false">INT(R74/12)&amp;"y "&amp;MOD(R74,12)&amp;"m"</f>
        <v>23y 0m</v>
      </c>
      <c r="T74" s="17" t="n">
        <f aca="false">IF(OR($C$6&lt;&gt;"Yes",$C$8=""),"",EDATE($C$8,R74))</f>
        <v>52126</v>
      </c>
      <c r="U74" s="19" t="str">
        <f aca="false">IF(T74="","",IF($C$16=0,$C$9,IF(AND($C$14&lt;&gt;"",T74&gt;=$C$14),$C$15,IF(AND($C$12&lt;&gt;"",T74&gt;=$C$12),$C$13,$C$11))))</f>
        <v>Full-Time</v>
      </c>
      <c r="V74" s="19" t="str">
        <f aca="false">IF(T74="","",IF(OR(ISNUMBER(SEARCH("full",U74)),UPPER(TRIM(U74))="FT",UPPER(TRIM(U74))="FTE"),"FT",IF(AND(OR(ISNUMBER(SEARCH("part",U74)),UPPER(TRIM(U74))="PT",UPPER(TRIM(U74))="PTE"),OR($C$10="",N($C$10)&gt;=PT_MinHours)),"PT","None")))</f>
        <v>FT</v>
      </c>
      <c r="W74" s="19" t="n">
        <v>1</v>
      </c>
      <c r="X74" s="19" t="n">
        <f aca="false">IF(T74="","",IF(AND(V74="PT",T74&lt;=AsOfDate),W74,0))</f>
        <v>0</v>
      </c>
      <c r="Z74" s="22" t="n">
        <f aca="false">I74</f>
        <v>204</v>
      </c>
      <c r="AA74" s="22" t="n">
        <f aca="false">SMALL($Z$20:$Z$199,55)</f>
        <v>141</v>
      </c>
      <c r="AB74" s="22" t="str">
        <f aca="false">IF(55-COUNTIF($Z$20:$Z$199,"&lt;"&amp;AA74)=1,IF(COUNTIF($I$20:$I$109,AA74)&gt;0,"FT","PT"),"PT")</f>
        <v>FT</v>
      </c>
      <c r="AC74" s="22" t="n">
        <f aca="false">IF(AB74="FT",INDEX($N$20:$N$109,MATCH(AA74,$I$20:$I$109,0)),1)</f>
        <v>1</v>
      </c>
    </row>
    <row r="75" customFormat="false" ht="15" hidden="false" customHeight="false" outlineLevel="0" collapsed="false">
      <c r="H75" s="19" t="n">
        <v>56</v>
      </c>
      <c r="I75" s="19" t="n">
        <f aca="false">IF(55&lt;FT_PreY5,FT_First+FT_Int1*55,FT_Y5+FT_Int2*(55-FT_PreY5))</f>
        <v>207</v>
      </c>
      <c r="J75" s="19" t="str">
        <f aca="false">INT(I75/12)&amp;"y "&amp;MOD(I75,12)&amp;"m"</f>
        <v>17y 3m</v>
      </c>
      <c r="K75" s="17" t="n">
        <f aca="false">IF(OR($C$6&lt;&gt;"Yes",$C$8=""),"",EDATE($C$8,I75))</f>
        <v>50026</v>
      </c>
      <c r="L75" s="19" t="str">
        <f aca="false">IF(K75="","",IF($C$16=0,$C$9,IF(AND($C$14&lt;&gt;"",K75&gt;=$C$14),$C$15,IF(AND($C$12&lt;&gt;"",K75&gt;=$C$12),$C$13,$C$11))))</f>
        <v>Full-Time</v>
      </c>
      <c r="M75" s="19" t="str">
        <f aca="false">IF(K75="","",IF(OR(ISNUMBER(SEARCH("full",L75)),UPPER(TRIM(L75))="FT",UPPER(TRIM(L75))="FTE"),"FT",IF(AND(OR(ISNUMBER(SEARCH("part",L75)),UPPER(TRIM(L75))="PT",UPPER(TRIM(L75))="PTE"),OR($C$10="",N($C$10)&gt;=PT_MinHours)),"PT","None")))</f>
        <v>FT</v>
      </c>
      <c r="N75" s="19" t="n">
        <f aca="false">IF(I75&lt;FT_Y5,1,IF(MOD(I75-FT_Y5,12)=0,FT_AnnivDays,1))</f>
        <v>1</v>
      </c>
      <c r="O75" s="19" t="n">
        <f aca="false">IF(K75="","",IF(AND(M75="FT",K75&lt;=AsOfDate),N75,0))</f>
        <v>0</v>
      </c>
      <c r="Q75" s="19" t="n">
        <v>56</v>
      </c>
      <c r="R75" s="19" t="n">
        <f aca="false">PT_First+PT_Int*55</f>
        <v>280</v>
      </c>
      <c r="S75" s="19" t="str">
        <f aca="false">INT(R75/12)&amp;"y "&amp;MOD(R75,12)&amp;"m"</f>
        <v>23y 4m</v>
      </c>
      <c r="T75" s="17" t="n">
        <f aca="false">IF(OR($C$6&lt;&gt;"Yes",$C$8=""),"",EDATE($C$8,R75))</f>
        <v>52248</v>
      </c>
      <c r="U75" s="19" t="str">
        <f aca="false">IF(T75="","",IF($C$16=0,$C$9,IF(AND($C$14&lt;&gt;"",T75&gt;=$C$14),$C$15,IF(AND($C$12&lt;&gt;"",T75&gt;=$C$12),$C$13,$C$11))))</f>
        <v>Full-Time</v>
      </c>
      <c r="V75" s="19" t="str">
        <f aca="false">IF(T75="","",IF(OR(ISNUMBER(SEARCH("full",U75)),UPPER(TRIM(U75))="FT",UPPER(TRIM(U75))="FTE"),"FT",IF(AND(OR(ISNUMBER(SEARCH("part",U75)),UPPER(TRIM(U75))="PT",UPPER(TRIM(U75))="PTE"),OR($C$10="",N($C$10)&gt;=PT_MinHours)),"PT","None")))</f>
        <v>FT</v>
      </c>
      <c r="W75" s="19" t="n">
        <v>1</v>
      </c>
      <c r="X75" s="19" t="n">
        <f aca="false">IF(T75="","",IF(AND(V75="PT",T75&lt;=AsOfDate),W75,0))</f>
        <v>0</v>
      </c>
      <c r="Z75" s="22" t="n">
        <f aca="false">I75</f>
        <v>207</v>
      </c>
      <c r="AA75" s="22" t="n">
        <f aca="false">SMALL($Z$20:$Z$199,56)</f>
        <v>144</v>
      </c>
      <c r="AB75" s="22" t="str">
        <f aca="false">IF(56-COUNTIF($Z$20:$Z$199,"&lt;"&amp;AA75)=1,IF(COUNTIF($I$20:$I$109,AA75)&gt;0,"FT","PT"),"PT")</f>
        <v>FT</v>
      </c>
      <c r="AC75" s="22" t="n">
        <f aca="false">IF(AB75="FT",INDEX($N$20:$N$109,MATCH(AA75,$I$20:$I$109,0)),1)</f>
        <v>2</v>
      </c>
    </row>
    <row r="76" customFormat="false" ht="15" hidden="false" customHeight="false" outlineLevel="0" collapsed="false">
      <c r="H76" s="19" t="n">
        <v>57</v>
      </c>
      <c r="I76" s="19" t="n">
        <f aca="false">IF(56&lt;FT_PreY5,FT_First+FT_Int1*56,FT_Y5+FT_Int2*(56-FT_PreY5))</f>
        <v>210</v>
      </c>
      <c r="J76" s="19" t="str">
        <f aca="false">INT(I76/12)&amp;"y "&amp;MOD(I76,12)&amp;"m"</f>
        <v>17y 6m</v>
      </c>
      <c r="K76" s="17" t="n">
        <f aca="false">IF(OR($C$6&lt;&gt;"Yes",$C$8=""),"",EDATE($C$8,I76))</f>
        <v>50116</v>
      </c>
      <c r="L76" s="19" t="str">
        <f aca="false">IF(K76="","",IF($C$16=0,$C$9,IF(AND($C$14&lt;&gt;"",K76&gt;=$C$14),$C$15,IF(AND($C$12&lt;&gt;"",K76&gt;=$C$12),$C$13,$C$11))))</f>
        <v>Full-Time</v>
      </c>
      <c r="M76" s="19" t="str">
        <f aca="false">IF(K76="","",IF(OR(ISNUMBER(SEARCH("full",L76)),UPPER(TRIM(L76))="FT",UPPER(TRIM(L76))="FTE"),"FT",IF(AND(OR(ISNUMBER(SEARCH("part",L76)),UPPER(TRIM(L76))="PT",UPPER(TRIM(L76))="PTE"),OR($C$10="",N($C$10)&gt;=PT_MinHours)),"PT","None")))</f>
        <v>FT</v>
      </c>
      <c r="N76" s="19" t="n">
        <f aca="false">IF(I76&lt;FT_Y5,1,IF(MOD(I76-FT_Y5,12)=0,FT_AnnivDays,1))</f>
        <v>1</v>
      </c>
      <c r="O76" s="19" t="n">
        <f aca="false">IF(K76="","",IF(AND(M76="FT",K76&lt;=AsOfDate),N76,0))</f>
        <v>0</v>
      </c>
      <c r="Q76" s="19" t="n">
        <v>57</v>
      </c>
      <c r="R76" s="19" t="n">
        <f aca="false">PT_First+PT_Int*56</f>
        <v>284</v>
      </c>
      <c r="S76" s="19" t="str">
        <f aca="false">INT(R76/12)&amp;"y "&amp;MOD(R76,12)&amp;"m"</f>
        <v>23y 8m</v>
      </c>
      <c r="T76" s="17" t="n">
        <f aca="false">IF(OR($C$6&lt;&gt;"Yes",$C$8=""),"",EDATE($C$8,R76))</f>
        <v>52368</v>
      </c>
      <c r="U76" s="19" t="str">
        <f aca="false">IF(T76="","",IF($C$16=0,$C$9,IF(AND($C$14&lt;&gt;"",T76&gt;=$C$14),$C$15,IF(AND($C$12&lt;&gt;"",T76&gt;=$C$12),$C$13,$C$11))))</f>
        <v>Full-Time</v>
      </c>
      <c r="V76" s="19" t="str">
        <f aca="false">IF(T76="","",IF(OR(ISNUMBER(SEARCH("full",U76)),UPPER(TRIM(U76))="FT",UPPER(TRIM(U76))="FTE"),"FT",IF(AND(OR(ISNUMBER(SEARCH("part",U76)),UPPER(TRIM(U76))="PT",UPPER(TRIM(U76))="PTE"),OR($C$10="",N($C$10)&gt;=PT_MinHours)),"PT","None")))</f>
        <v>FT</v>
      </c>
      <c r="W76" s="19" t="n">
        <v>1</v>
      </c>
      <c r="X76" s="19" t="n">
        <f aca="false">IF(T76="","",IF(AND(V76="PT",T76&lt;=AsOfDate),W76,0))</f>
        <v>0</v>
      </c>
      <c r="Z76" s="22" t="n">
        <f aca="false">I76</f>
        <v>210</v>
      </c>
      <c r="AA76" s="22" t="n">
        <f aca="false">SMALL($Z$20:$Z$199,57)</f>
        <v>144</v>
      </c>
      <c r="AB76" s="22" t="str">
        <f aca="false">IF(57-COUNTIF($Z$20:$Z$199,"&lt;"&amp;AA76)=1,IF(COUNTIF($I$20:$I$109,AA76)&gt;0,"FT","PT"),"PT")</f>
        <v>PT</v>
      </c>
      <c r="AC76" s="22" t="n">
        <f aca="false">IF(AB76="FT",INDEX($N$20:$N$109,MATCH(AA76,$I$20:$I$109,0)),1)</f>
        <v>1</v>
      </c>
    </row>
    <row r="77" customFormat="false" ht="15" hidden="false" customHeight="false" outlineLevel="0" collapsed="false">
      <c r="H77" s="19" t="n">
        <v>58</v>
      </c>
      <c r="I77" s="19" t="n">
        <f aca="false">IF(57&lt;FT_PreY5,FT_First+FT_Int1*57,FT_Y5+FT_Int2*(57-FT_PreY5))</f>
        <v>213</v>
      </c>
      <c r="J77" s="19" t="str">
        <f aca="false">INT(I77/12)&amp;"y "&amp;MOD(I77,12)&amp;"m"</f>
        <v>17y 9m</v>
      </c>
      <c r="K77" s="17" t="n">
        <f aca="false">IF(OR($C$6&lt;&gt;"Yes",$C$8=""),"",EDATE($C$8,I77))</f>
        <v>50208</v>
      </c>
      <c r="L77" s="19" t="str">
        <f aca="false">IF(K77="","",IF($C$16=0,$C$9,IF(AND($C$14&lt;&gt;"",K77&gt;=$C$14),$C$15,IF(AND($C$12&lt;&gt;"",K77&gt;=$C$12),$C$13,$C$11))))</f>
        <v>Full-Time</v>
      </c>
      <c r="M77" s="19" t="str">
        <f aca="false">IF(K77="","",IF(OR(ISNUMBER(SEARCH("full",L77)),UPPER(TRIM(L77))="FT",UPPER(TRIM(L77))="FTE"),"FT",IF(AND(OR(ISNUMBER(SEARCH("part",L77)),UPPER(TRIM(L77))="PT",UPPER(TRIM(L77))="PTE"),OR($C$10="",N($C$10)&gt;=PT_MinHours)),"PT","None")))</f>
        <v>FT</v>
      </c>
      <c r="N77" s="19" t="n">
        <f aca="false">IF(I77&lt;FT_Y5,1,IF(MOD(I77-FT_Y5,12)=0,FT_AnnivDays,1))</f>
        <v>1</v>
      </c>
      <c r="O77" s="19" t="n">
        <f aca="false">IF(K77="","",IF(AND(M77="FT",K77&lt;=AsOfDate),N77,0))</f>
        <v>0</v>
      </c>
      <c r="Q77" s="19" t="n">
        <v>58</v>
      </c>
      <c r="R77" s="19" t="n">
        <f aca="false">PT_First+PT_Int*57</f>
        <v>288</v>
      </c>
      <c r="S77" s="19" t="str">
        <f aca="false">INT(R77/12)&amp;"y "&amp;MOD(R77,12)&amp;"m"</f>
        <v>24y 0m</v>
      </c>
      <c r="T77" s="17" t="n">
        <f aca="false">IF(OR($C$6&lt;&gt;"Yes",$C$8=""),"",EDATE($C$8,R77))</f>
        <v>52491</v>
      </c>
      <c r="U77" s="19" t="str">
        <f aca="false">IF(T77="","",IF($C$16=0,$C$9,IF(AND($C$14&lt;&gt;"",T77&gt;=$C$14),$C$15,IF(AND($C$12&lt;&gt;"",T77&gt;=$C$12),$C$13,$C$11))))</f>
        <v>Full-Time</v>
      </c>
      <c r="V77" s="19" t="str">
        <f aca="false">IF(T77="","",IF(OR(ISNUMBER(SEARCH("full",U77)),UPPER(TRIM(U77))="FT",UPPER(TRIM(U77))="FTE"),"FT",IF(AND(OR(ISNUMBER(SEARCH("part",U77)),UPPER(TRIM(U77))="PT",UPPER(TRIM(U77))="PTE"),OR($C$10="",N($C$10)&gt;=PT_MinHours)),"PT","None")))</f>
        <v>FT</v>
      </c>
      <c r="W77" s="19" t="n">
        <v>1</v>
      </c>
      <c r="X77" s="19" t="n">
        <f aca="false">IF(T77="","",IF(AND(V77="PT",T77&lt;=AsOfDate),W77,0))</f>
        <v>0</v>
      </c>
      <c r="Z77" s="22" t="n">
        <f aca="false">I77</f>
        <v>213</v>
      </c>
      <c r="AA77" s="22" t="n">
        <f aca="false">SMALL($Z$20:$Z$199,58)</f>
        <v>147</v>
      </c>
      <c r="AB77" s="22" t="str">
        <f aca="false">IF(58-COUNTIF($Z$20:$Z$199,"&lt;"&amp;AA77)=1,IF(COUNTIF($I$20:$I$109,AA77)&gt;0,"FT","PT"),"PT")</f>
        <v>FT</v>
      </c>
      <c r="AC77" s="22" t="n">
        <f aca="false">IF(AB77="FT",INDEX($N$20:$N$109,MATCH(AA77,$I$20:$I$109,0)),1)</f>
        <v>1</v>
      </c>
    </row>
    <row r="78" customFormat="false" ht="15" hidden="false" customHeight="false" outlineLevel="0" collapsed="false">
      <c r="H78" s="19" t="n">
        <v>59</v>
      </c>
      <c r="I78" s="19" t="n">
        <f aca="false">IF(58&lt;FT_PreY5,FT_First+FT_Int1*58,FT_Y5+FT_Int2*(58-FT_PreY5))</f>
        <v>216</v>
      </c>
      <c r="J78" s="19" t="str">
        <f aca="false">INT(I78/12)&amp;"y "&amp;MOD(I78,12)&amp;"m"</f>
        <v>18y 0m</v>
      </c>
      <c r="K78" s="17" t="n">
        <f aca="false">IF(OR($C$6&lt;&gt;"Yes",$C$8=""),"",EDATE($C$8,I78))</f>
        <v>50300</v>
      </c>
      <c r="L78" s="19" t="str">
        <f aca="false">IF(K78="","",IF($C$16=0,$C$9,IF(AND($C$14&lt;&gt;"",K78&gt;=$C$14),$C$15,IF(AND($C$12&lt;&gt;"",K78&gt;=$C$12),$C$13,$C$11))))</f>
        <v>Full-Time</v>
      </c>
      <c r="M78" s="19" t="str">
        <f aca="false">IF(K78="","",IF(OR(ISNUMBER(SEARCH("full",L78)),UPPER(TRIM(L78))="FT",UPPER(TRIM(L78))="FTE"),"FT",IF(AND(OR(ISNUMBER(SEARCH("part",L78)),UPPER(TRIM(L78))="PT",UPPER(TRIM(L78))="PTE"),OR($C$10="",N($C$10)&gt;=PT_MinHours)),"PT","None")))</f>
        <v>FT</v>
      </c>
      <c r="N78" s="19" t="n">
        <f aca="false">IF(I78&lt;FT_Y5,1,IF(MOD(I78-FT_Y5,12)=0,FT_AnnivDays,1))</f>
        <v>2</v>
      </c>
      <c r="O78" s="19" t="n">
        <f aca="false">IF(K78="","",IF(AND(M78="FT",K78&lt;=AsOfDate),N78,0))</f>
        <v>0</v>
      </c>
      <c r="Q78" s="19" t="n">
        <v>59</v>
      </c>
      <c r="R78" s="19" t="n">
        <f aca="false">PT_First+PT_Int*58</f>
        <v>292</v>
      </c>
      <c r="S78" s="19" t="str">
        <f aca="false">INT(R78/12)&amp;"y "&amp;MOD(R78,12)&amp;"m"</f>
        <v>24y 4m</v>
      </c>
      <c r="T78" s="17" t="n">
        <f aca="false">IF(OR($C$6&lt;&gt;"Yes",$C$8=""),"",EDATE($C$8,R78))</f>
        <v>52613</v>
      </c>
      <c r="U78" s="19" t="str">
        <f aca="false">IF(T78="","",IF($C$16=0,$C$9,IF(AND($C$14&lt;&gt;"",T78&gt;=$C$14),$C$15,IF(AND($C$12&lt;&gt;"",T78&gt;=$C$12),$C$13,$C$11))))</f>
        <v>Full-Time</v>
      </c>
      <c r="V78" s="19" t="str">
        <f aca="false">IF(T78="","",IF(OR(ISNUMBER(SEARCH("full",U78)),UPPER(TRIM(U78))="FT",UPPER(TRIM(U78))="FTE"),"FT",IF(AND(OR(ISNUMBER(SEARCH("part",U78)),UPPER(TRIM(U78))="PT",UPPER(TRIM(U78))="PTE"),OR($C$10="",N($C$10)&gt;=PT_MinHours)),"PT","None")))</f>
        <v>FT</v>
      </c>
      <c r="W78" s="19" t="n">
        <v>1</v>
      </c>
      <c r="X78" s="19" t="n">
        <f aca="false">IF(T78="","",IF(AND(V78="PT",T78&lt;=AsOfDate),W78,0))</f>
        <v>0</v>
      </c>
      <c r="Z78" s="22" t="n">
        <f aca="false">I78</f>
        <v>216</v>
      </c>
      <c r="AA78" s="22" t="n">
        <f aca="false">SMALL($Z$20:$Z$199,59)</f>
        <v>148</v>
      </c>
      <c r="AB78" s="22" t="str">
        <f aca="false">IF(59-COUNTIF($Z$20:$Z$199,"&lt;"&amp;AA78)=1,IF(COUNTIF($I$20:$I$109,AA78)&gt;0,"FT","PT"),"PT")</f>
        <v>PT</v>
      </c>
      <c r="AC78" s="22" t="n">
        <f aca="false">IF(AB78="FT",INDEX($N$20:$N$109,MATCH(AA78,$I$20:$I$109,0)),1)</f>
        <v>1</v>
      </c>
    </row>
    <row r="79" customFormat="false" ht="15" hidden="false" customHeight="false" outlineLevel="0" collapsed="false">
      <c r="H79" s="19" t="n">
        <v>60</v>
      </c>
      <c r="I79" s="19" t="n">
        <f aca="false">IF(59&lt;FT_PreY5,FT_First+FT_Int1*59,FT_Y5+FT_Int2*(59-FT_PreY5))</f>
        <v>219</v>
      </c>
      <c r="J79" s="19" t="str">
        <f aca="false">INT(I79/12)&amp;"y "&amp;MOD(I79,12)&amp;"m"</f>
        <v>18y 3m</v>
      </c>
      <c r="K79" s="17" t="n">
        <f aca="false">IF(OR($C$6&lt;&gt;"Yes",$C$8=""),"",EDATE($C$8,I79))</f>
        <v>50391</v>
      </c>
      <c r="L79" s="19" t="str">
        <f aca="false">IF(K79="","",IF($C$16=0,$C$9,IF(AND($C$14&lt;&gt;"",K79&gt;=$C$14),$C$15,IF(AND($C$12&lt;&gt;"",K79&gt;=$C$12),$C$13,$C$11))))</f>
        <v>Full-Time</v>
      </c>
      <c r="M79" s="19" t="str">
        <f aca="false">IF(K79="","",IF(OR(ISNUMBER(SEARCH("full",L79)),UPPER(TRIM(L79))="FT",UPPER(TRIM(L79))="FTE"),"FT",IF(AND(OR(ISNUMBER(SEARCH("part",L79)),UPPER(TRIM(L79))="PT",UPPER(TRIM(L79))="PTE"),OR($C$10="",N($C$10)&gt;=PT_MinHours)),"PT","None")))</f>
        <v>FT</v>
      </c>
      <c r="N79" s="19" t="n">
        <f aca="false">IF(I79&lt;FT_Y5,1,IF(MOD(I79-FT_Y5,12)=0,FT_AnnivDays,1))</f>
        <v>1</v>
      </c>
      <c r="O79" s="19" t="n">
        <f aca="false">IF(K79="","",IF(AND(M79="FT",K79&lt;=AsOfDate),N79,0))</f>
        <v>0</v>
      </c>
      <c r="Q79" s="19" t="n">
        <v>60</v>
      </c>
      <c r="R79" s="19" t="n">
        <f aca="false">PT_First+PT_Int*59</f>
        <v>296</v>
      </c>
      <c r="S79" s="19" t="str">
        <f aca="false">INT(R79/12)&amp;"y "&amp;MOD(R79,12)&amp;"m"</f>
        <v>24y 8m</v>
      </c>
      <c r="T79" s="17" t="n">
        <f aca="false">IF(OR($C$6&lt;&gt;"Yes",$C$8=""),"",EDATE($C$8,R79))</f>
        <v>52734</v>
      </c>
      <c r="U79" s="19" t="str">
        <f aca="false">IF(T79="","",IF($C$16=0,$C$9,IF(AND($C$14&lt;&gt;"",T79&gt;=$C$14),$C$15,IF(AND($C$12&lt;&gt;"",T79&gt;=$C$12),$C$13,$C$11))))</f>
        <v>Full-Time</v>
      </c>
      <c r="V79" s="19" t="str">
        <f aca="false">IF(T79="","",IF(OR(ISNUMBER(SEARCH("full",U79)),UPPER(TRIM(U79))="FT",UPPER(TRIM(U79))="FTE"),"FT",IF(AND(OR(ISNUMBER(SEARCH("part",U79)),UPPER(TRIM(U79))="PT",UPPER(TRIM(U79))="PTE"),OR($C$10="",N($C$10)&gt;=PT_MinHours)),"PT","None")))</f>
        <v>FT</v>
      </c>
      <c r="W79" s="19" t="n">
        <v>1</v>
      </c>
      <c r="X79" s="19" t="n">
        <f aca="false">IF(T79="","",IF(AND(V79="PT",T79&lt;=AsOfDate),W79,0))</f>
        <v>0</v>
      </c>
      <c r="Z79" s="22" t="n">
        <f aca="false">I79</f>
        <v>219</v>
      </c>
      <c r="AA79" s="22" t="n">
        <f aca="false">SMALL($Z$20:$Z$199,60)</f>
        <v>150</v>
      </c>
      <c r="AB79" s="22" t="str">
        <f aca="false">IF(60-COUNTIF($Z$20:$Z$199,"&lt;"&amp;AA79)=1,IF(COUNTIF($I$20:$I$109,AA79)&gt;0,"FT","PT"),"PT")</f>
        <v>FT</v>
      </c>
      <c r="AC79" s="22" t="n">
        <f aca="false">IF(AB79="FT",INDEX($N$20:$N$109,MATCH(AA79,$I$20:$I$109,0)),1)</f>
        <v>1</v>
      </c>
    </row>
    <row r="80" customFormat="false" ht="15" hidden="false" customHeight="false" outlineLevel="0" collapsed="false">
      <c r="H80" s="19" t="n">
        <v>61</v>
      </c>
      <c r="I80" s="19" t="n">
        <f aca="false">IF(60&lt;FT_PreY5,FT_First+FT_Int1*60,FT_Y5+FT_Int2*(60-FT_PreY5))</f>
        <v>222</v>
      </c>
      <c r="J80" s="19" t="str">
        <f aca="false">INT(I80/12)&amp;"y "&amp;MOD(I80,12)&amp;"m"</f>
        <v>18y 6m</v>
      </c>
      <c r="K80" s="17" t="n">
        <f aca="false">IF(OR($C$6&lt;&gt;"Yes",$C$8=""),"",EDATE($C$8,I80))</f>
        <v>50481</v>
      </c>
      <c r="L80" s="19" t="str">
        <f aca="false">IF(K80="","",IF($C$16=0,$C$9,IF(AND($C$14&lt;&gt;"",K80&gt;=$C$14),$C$15,IF(AND($C$12&lt;&gt;"",K80&gt;=$C$12),$C$13,$C$11))))</f>
        <v>Full-Time</v>
      </c>
      <c r="M80" s="19" t="str">
        <f aca="false">IF(K80="","",IF(OR(ISNUMBER(SEARCH("full",L80)),UPPER(TRIM(L80))="FT",UPPER(TRIM(L80))="FTE"),"FT",IF(AND(OR(ISNUMBER(SEARCH("part",L80)),UPPER(TRIM(L80))="PT",UPPER(TRIM(L80))="PTE"),OR($C$10="",N($C$10)&gt;=PT_MinHours)),"PT","None")))</f>
        <v>FT</v>
      </c>
      <c r="N80" s="19" t="n">
        <f aca="false">IF(I80&lt;FT_Y5,1,IF(MOD(I80-FT_Y5,12)=0,FT_AnnivDays,1))</f>
        <v>1</v>
      </c>
      <c r="O80" s="19" t="n">
        <f aca="false">IF(K80="","",IF(AND(M80="FT",K80&lt;=AsOfDate),N80,0))</f>
        <v>0</v>
      </c>
      <c r="Q80" s="19" t="n">
        <v>61</v>
      </c>
      <c r="R80" s="19" t="n">
        <f aca="false">PT_First+PT_Int*60</f>
        <v>300</v>
      </c>
      <c r="S80" s="19" t="str">
        <f aca="false">INT(R80/12)&amp;"y "&amp;MOD(R80,12)&amp;"m"</f>
        <v>25y 0m</v>
      </c>
      <c r="T80" s="17" t="n">
        <f aca="false">IF(OR($C$6&lt;&gt;"Yes",$C$8=""),"",EDATE($C$8,R80))</f>
        <v>52857</v>
      </c>
      <c r="U80" s="19" t="str">
        <f aca="false">IF(T80="","",IF($C$16=0,$C$9,IF(AND($C$14&lt;&gt;"",T80&gt;=$C$14),$C$15,IF(AND($C$12&lt;&gt;"",T80&gt;=$C$12),$C$13,$C$11))))</f>
        <v>Full-Time</v>
      </c>
      <c r="V80" s="19" t="str">
        <f aca="false">IF(T80="","",IF(OR(ISNUMBER(SEARCH("full",U80)),UPPER(TRIM(U80))="FT",UPPER(TRIM(U80))="FTE"),"FT",IF(AND(OR(ISNUMBER(SEARCH("part",U80)),UPPER(TRIM(U80))="PT",UPPER(TRIM(U80))="PTE"),OR($C$10="",N($C$10)&gt;=PT_MinHours)),"PT","None")))</f>
        <v>FT</v>
      </c>
      <c r="W80" s="19" t="n">
        <v>1</v>
      </c>
      <c r="X80" s="19" t="n">
        <f aca="false">IF(T80="","",IF(AND(V80="PT",T80&lt;=AsOfDate),W80,0))</f>
        <v>0</v>
      </c>
      <c r="Z80" s="22" t="n">
        <f aca="false">I80</f>
        <v>222</v>
      </c>
      <c r="AA80" s="22" t="n">
        <f aca="false">SMALL($Z$20:$Z$199,61)</f>
        <v>152</v>
      </c>
      <c r="AB80" s="22" t="str">
        <f aca="false">IF(61-COUNTIF($Z$20:$Z$199,"&lt;"&amp;AA80)=1,IF(COUNTIF($I$20:$I$109,AA80)&gt;0,"FT","PT"),"PT")</f>
        <v>PT</v>
      </c>
      <c r="AC80" s="22" t="n">
        <f aca="false">IF(AB80="FT",INDEX($N$20:$N$109,MATCH(AA80,$I$20:$I$109,0)),1)</f>
        <v>1</v>
      </c>
    </row>
    <row r="81" customFormat="false" ht="15" hidden="false" customHeight="false" outlineLevel="0" collapsed="false">
      <c r="H81" s="19" t="n">
        <v>62</v>
      </c>
      <c r="I81" s="19" t="n">
        <f aca="false">IF(61&lt;FT_PreY5,FT_First+FT_Int1*61,FT_Y5+FT_Int2*(61-FT_PreY5))</f>
        <v>225</v>
      </c>
      <c r="J81" s="19" t="str">
        <f aca="false">INT(I81/12)&amp;"y "&amp;MOD(I81,12)&amp;"m"</f>
        <v>18y 9m</v>
      </c>
      <c r="K81" s="17" t="n">
        <f aca="false">IF(OR($C$6&lt;&gt;"Yes",$C$8=""),"",EDATE($C$8,I81))</f>
        <v>50573</v>
      </c>
      <c r="L81" s="19" t="str">
        <f aca="false">IF(K81="","",IF($C$16=0,$C$9,IF(AND($C$14&lt;&gt;"",K81&gt;=$C$14),$C$15,IF(AND($C$12&lt;&gt;"",K81&gt;=$C$12),$C$13,$C$11))))</f>
        <v>Full-Time</v>
      </c>
      <c r="M81" s="19" t="str">
        <f aca="false">IF(K81="","",IF(OR(ISNUMBER(SEARCH("full",L81)),UPPER(TRIM(L81))="FT",UPPER(TRIM(L81))="FTE"),"FT",IF(AND(OR(ISNUMBER(SEARCH("part",L81)),UPPER(TRIM(L81))="PT",UPPER(TRIM(L81))="PTE"),OR($C$10="",N($C$10)&gt;=PT_MinHours)),"PT","None")))</f>
        <v>FT</v>
      </c>
      <c r="N81" s="19" t="n">
        <f aca="false">IF(I81&lt;FT_Y5,1,IF(MOD(I81-FT_Y5,12)=0,FT_AnnivDays,1))</f>
        <v>1</v>
      </c>
      <c r="O81" s="19" t="n">
        <f aca="false">IF(K81="","",IF(AND(M81="FT",K81&lt;=AsOfDate),N81,0))</f>
        <v>0</v>
      </c>
      <c r="Q81" s="19" t="n">
        <v>62</v>
      </c>
      <c r="R81" s="19" t="n">
        <f aca="false">PT_First+PT_Int*61</f>
        <v>304</v>
      </c>
      <c r="S81" s="19" t="str">
        <f aca="false">INT(R81/12)&amp;"y "&amp;MOD(R81,12)&amp;"m"</f>
        <v>25y 4m</v>
      </c>
      <c r="T81" s="17" t="n">
        <f aca="false">IF(OR($C$6&lt;&gt;"Yes",$C$8=""),"",EDATE($C$8,R81))</f>
        <v>52979</v>
      </c>
      <c r="U81" s="19" t="str">
        <f aca="false">IF(T81="","",IF($C$16=0,$C$9,IF(AND($C$14&lt;&gt;"",T81&gt;=$C$14),$C$15,IF(AND($C$12&lt;&gt;"",T81&gt;=$C$12),$C$13,$C$11))))</f>
        <v>Full-Time</v>
      </c>
      <c r="V81" s="19" t="str">
        <f aca="false">IF(T81="","",IF(OR(ISNUMBER(SEARCH("full",U81)),UPPER(TRIM(U81))="FT",UPPER(TRIM(U81))="FTE"),"FT",IF(AND(OR(ISNUMBER(SEARCH("part",U81)),UPPER(TRIM(U81))="PT",UPPER(TRIM(U81))="PTE"),OR($C$10="",N($C$10)&gt;=PT_MinHours)),"PT","None")))</f>
        <v>FT</v>
      </c>
      <c r="W81" s="19" t="n">
        <v>1</v>
      </c>
      <c r="X81" s="19" t="n">
        <f aca="false">IF(T81="","",IF(AND(V81="PT",T81&lt;=AsOfDate),W81,0))</f>
        <v>0</v>
      </c>
      <c r="Z81" s="22" t="n">
        <f aca="false">I81</f>
        <v>225</v>
      </c>
      <c r="AA81" s="22" t="n">
        <f aca="false">SMALL($Z$20:$Z$199,62)</f>
        <v>153</v>
      </c>
      <c r="AB81" s="22" t="str">
        <f aca="false">IF(62-COUNTIF($Z$20:$Z$199,"&lt;"&amp;AA81)=1,IF(COUNTIF($I$20:$I$109,AA81)&gt;0,"FT","PT"),"PT")</f>
        <v>FT</v>
      </c>
      <c r="AC81" s="22" t="n">
        <f aca="false">IF(AB81="FT",INDEX($N$20:$N$109,MATCH(AA81,$I$20:$I$109,0)),1)</f>
        <v>1</v>
      </c>
    </row>
    <row r="82" customFormat="false" ht="15" hidden="false" customHeight="false" outlineLevel="0" collapsed="false">
      <c r="H82" s="19" t="n">
        <v>63</v>
      </c>
      <c r="I82" s="19" t="n">
        <f aca="false">IF(62&lt;FT_PreY5,FT_First+FT_Int1*62,FT_Y5+FT_Int2*(62-FT_PreY5))</f>
        <v>228</v>
      </c>
      <c r="J82" s="19" t="str">
        <f aca="false">INT(I82/12)&amp;"y "&amp;MOD(I82,12)&amp;"m"</f>
        <v>19y 0m</v>
      </c>
      <c r="K82" s="17" t="n">
        <f aca="false">IF(OR($C$6&lt;&gt;"Yes",$C$8=""),"",EDATE($C$8,I82))</f>
        <v>50665</v>
      </c>
      <c r="L82" s="19" t="str">
        <f aca="false">IF(K82="","",IF($C$16=0,$C$9,IF(AND($C$14&lt;&gt;"",K82&gt;=$C$14),$C$15,IF(AND($C$12&lt;&gt;"",K82&gt;=$C$12),$C$13,$C$11))))</f>
        <v>Full-Time</v>
      </c>
      <c r="M82" s="19" t="str">
        <f aca="false">IF(K82="","",IF(OR(ISNUMBER(SEARCH("full",L82)),UPPER(TRIM(L82))="FT",UPPER(TRIM(L82))="FTE"),"FT",IF(AND(OR(ISNUMBER(SEARCH("part",L82)),UPPER(TRIM(L82))="PT",UPPER(TRIM(L82))="PTE"),OR($C$10="",N($C$10)&gt;=PT_MinHours)),"PT","None")))</f>
        <v>FT</v>
      </c>
      <c r="N82" s="19" t="n">
        <f aca="false">IF(I82&lt;FT_Y5,1,IF(MOD(I82-FT_Y5,12)=0,FT_AnnivDays,1))</f>
        <v>2</v>
      </c>
      <c r="O82" s="19" t="n">
        <f aca="false">IF(K82="","",IF(AND(M82="FT",K82&lt;=AsOfDate),N82,0))</f>
        <v>0</v>
      </c>
      <c r="Q82" s="19" t="n">
        <v>63</v>
      </c>
      <c r="R82" s="19" t="n">
        <f aca="false">PT_First+PT_Int*62</f>
        <v>308</v>
      </c>
      <c r="S82" s="19" t="str">
        <f aca="false">INT(R82/12)&amp;"y "&amp;MOD(R82,12)&amp;"m"</f>
        <v>25y 8m</v>
      </c>
      <c r="T82" s="17" t="n">
        <f aca="false">IF(OR($C$6&lt;&gt;"Yes",$C$8=""),"",EDATE($C$8,R82))</f>
        <v>53099</v>
      </c>
      <c r="U82" s="19" t="str">
        <f aca="false">IF(T82="","",IF($C$16=0,$C$9,IF(AND($C$14&lt;&gt;"",T82&gt;=$C$14),$C$15,IF(AND($C$12&lt;&gt;"",T82&gt;=$C$12),$C$13,$C$11))))</f>
        <v>Full-Time</v>
      </c>
      <c r="V82" s="19" t="str">
        <f aca="false">IF(T82="","",IF(OR(ISNUMBER(SEARCH("full",U82)),UPPER(TRIM(U82))="FT",UPPER(TRIM(U82))="FTE"),"FT",IF(AND(OR(ISNUMBER(SEARCH("part",U82)),UPPER(TRIM(U82))="PT",UPPER(TRIM(U82))="PTE"),OR($C$10="",N($C$10)&gt;=PT_MinHours)),"PT","None")))</f>
        <v>FT</v>
      </c>
      <c r="W82" s="19" t="n">
        <v>1</v>
      </c>
      <c r="X82" s="19" t="n">
        <f aca="false">IF(T82="","",IF(AND(V82="PT",T82&lt;=AsOfDate),W82,0))</f>
        <v>0</v>
      </c>
      <c r="Z82" s="22" t="n">
        <f aca="false">I82</f>
        <v>228</v>
      </c>
      <c r="AA82" s="22" t="n">
        <f aca="false">SMALL($Z$20:$Z$199,63)</f>
        <v>156</v>
      </c>
      <c r="AB82" s="22" t="str">
        <f aca="false">IF(63-COUNTIF($Z$20:$Z$199,"&lt;"&amp;AA82)=1,IF(COUNTIF($I$20:$I$109,AA82)&gt;0,"FT","PT"),"PT")</f>
        <v>FT</v>
      </c>
      <c r="AC82" s="22" t="n">
        <f aca="false">IF(AB82="FT",INDEX($N$20:$N$109,MATCH(AA82,$I$20:$I$109,0)),1)</f>
        <v>2</v>
      </c>
    </row>
    <row r="83" customFormat="false" ht="15" hidden="false" customHeight="false" outlineLevel="0" collapsed="false">
      <c r="H83" s="19" t="n">
        <v>64</v>
      </c>
      <c r="I83" s="19" t="n">
        <f aca="false">IF(63&lt;FT_PreY5,FT_First+FT_Int1*63,FT_Y5+FT_Int2*(63-FT_PreY5))</f>
        <v>231</v>
      </c>
      <c r="J83" s="19" t="str">
        <f aca="false">INT(I83/12)&amp;"y "&amp;MOD(I83,12)&amp;"m"</f>
        <v>19y 3m</v>
      </c>
      <c r="K83" s="17" t="n">
        <f aca="false">IF(OR($C$6&lt;&gt;"Yes",$C$8=""),"",EDATE($C$8,I83))</f>
        <v>50756</v>
      </c>
      <c r="L83" s="19" t="str">
        <f aca="false">IF(K83="","",IF($C$16=0,$C$9,IF(AND($C$14&lt;&gt;"",K83&gt;=$C$14),$C$15,IF(AND($C$12&lt;&gt;"",K83&gt;=$C$12),$C$13,$C$11))))</f>
        <v>Full-Time</v>
      </c>
      <c r="M83" s="19" t="str">
        <f aca="false">IF(K83="","",IF(OR(ISNUMBER(SEARCH("full",L83)),UPPER(TRIM(L83))="FT",UPPER(TRIM(L83))="FTE"),"FT",IF(AND(OR(ISNUMBER(SEARCH("part",L83)),UPPER(TRIM(L83))="PT",UPPER(TRIM(L83))="PTE"),OR($C$10="",N($C$10)&gt;=PT_MinHours)),"PT","None")))</f>
        <v>FT</v>
      </c>
      <c r="N83" s="19" t="n">
        <f aca="false">IF(I83&lt;FT_Y5,1,IF(MOD(I83-FT_Y5,12)=0,FT_AnnivDays,1))</f>
        <v>1</v>
      </c>
      <c r="O83" s="19" t="n">
        <f aca="false">IF(K83="","",IF(AND(M83="FT",K83&lt;=AsOfDate),N83,0))</f>
        <v>0</v>
      </c>
      <c r="Q83" s="19" t="n">
        <v>64</v>
      </c>
      <c r="R83" s="19" t="n">
        <f aca="false">PT_First+PT_Int*63</f>
        <v>312</v>
      </c>
      <c r="S83" s="19" t="str">
        <f aca="false">INT(R83/12)&amp;"y "&amp;MOD(R83,12)&amp;"m"</f>
        <v>26y 0m</v>
      </c>
      <c r="T83" s="17" t="n">
        <f aca="false">IF(OR($C$6&lt;&gt;"Yes",$C$8=""),"",EDATE($C$8,R83))</f>
        <v>53222</v>
      </c>
      <c r="U83" s="19" t="str">
        <f aca="false">IF(T83="","",IF($C$16=0,$C$9,IF(AND($C$14&lt;&gt;"",T83&gt;=$C$14),$C$15,IF(AND($C$12&lt;&gt;"",T83&gt;=$C$12),$C$13,$C$11))))</f>
        <v>Full-Time</v>
      </c>
      <c r="V83" s="19" t="str">
        <f aca="false">IF(T83="","",IF(OR(ISNUMBER(SEARCH("full",U83)),UPPER(TRIM(U83))="FT",UPPER(TRIM(U83))="FTE"),"FT",IF(AND(OR(ISNUMBER(SEARCH("part",U83)),UPPER(TRIM(U83))="PT",UPPER(TRIM(U83))="PTE"),OR($C$10="",N($C$10)&gt;=PT_MinHours)),"PT","None")))</f>
        <v>FT</v>
      </c>
      <c r="W83" s="19" t="n">
        <v>1</v>
      </c>
      <c r="X83" s="19" t="n">
        <f aca="false">IF(T83="","",IF(AND(V83="PT",T83&lt;=AsOfDate),W83,0))</f>
        <v>0</v>
      </c>
      <c r="Z83" s="22" t="n">
        <f aca="false">I83</f>
        <v>231</v>
      </c>
      <c r="AA83" s="22" t="n">
        <f aca="false">SMALL($Z$20:$Z$199,64)</f>
        <v>156</v>
      </c>
      <c r="AB83" s="22" t="str">
        <f aca="false">IF(64-COUNTIF($Z$20:$Z$199,"&lt;"&amp;AA83)=1,IF(COUNTIF($I$20:$I$109,AA83)&gt;0,"FT","PT"),"PT")</f>
        <v>PT</v>
      </c>
      <c r="AC83" s="22" t="n">
        <f aca="false">IF(AB83="FT",INDEX($N$20:$N$109,MATCH(AA83,$I$20:$I$109,0)),1)</f>
        <v>1</v>
      </c>
    </row>
    <row r="84" customFormat="false" ht="15" hidden="false" customHeight="false" outlineLevel="0" collapsed="false">
      <c r="H84" s="19" t="n">
        <v>65</v>
      </c>
      <c r="I84" s="19" t="n">
        <f aca="false">IF(64&lt;FT_PreY5,FT_First+FT_Int1*64,FT_Y5+FT_Int2*(64-FT_PreY5))</f>
        <v>234</v>
      </c>
      <c r="J84" s="19" t="str">
        <f aca="false">INT(I84/12)&amp;"y "&amp;MOD(I84,12)&amp;"m"</f>
        <v>19y 6m</v>
      </c>
      <c r="K84" s="17" t="n">
        <f aca="false">IF(OR($C$6&lt;&gt;"Yes",$C$8=""),"",EDATE($C$8,I84))</f>
        <v>50846</v>
      </c>
      <c r="L84" s="19" t="str">
        <f aca="false">IF(K84="","",IF($C$16=0,$C$9,IF(AND($C$14&lt;&gt;"",K84&gt;=$C$14),$C$15,IF(AND($C$12&lt;&gt;"",K84&gt;=$C$12),$C$13,$C$11))))</f>
        <v>Full-Time</v>
      </c>
      <c r="M84" s="19" t="str">
        <f aca="false">IF(K84="","",IF(OR(ISNUMBER(SEARCH("full",L84)),UPPER(TRIM(L84))="FT",UPPER(TRIM(L84))="FTE"),"FT",IF(AND(OR(ISNUMBER(SEARCH("part",L84)),UPPER(TRIM(L84))="PT",UPPER(TRIM(L84))="PTE"),OR($C$10="",N($C$10)&gt;=PT_MinHours)),"PT","None")))</f>
        <v>FT</v>
      </c>
      <c r="N84" s="19" t="n">
        <f aca="false">IF(I84&lt;FT_Y5,1,IF(MOD(I84-FT_Y5,12)=0,FT_AnnivDays,1))</f>
        <v>1</v>
      </c>
      <c r="O84" s="19" t="n">
        <f aca="false">IF(K84="","",IF(AND(M84="FT",K84&lt;=AsOfDate),N84,0))</f>
        <v>0</v>
      </c>
      <c r="Q84" s="19" t="n">
        <v>65</v>
      </c>
      <c r="R84" s="19" t="n">
        <f aca="false">PT_First+PT_Int*64</f>
        <v>316</v>
      </c>
      <c r="S84" s="19" t="str">
        <f aca="false">INT(R84/12)&amp;"y "&amp;MOD(R84,12)&amp;"m"</f>
        <v>26y 4m</v>
      </c>
      <c r="T84" s="17" t="n">
        <f aca="false">IF(OR($C$6&lt;&gt;"Yes",$C$8=""),"",EDATE($C$8,R84))</f>
        <v>53344</v>
      </c>
      <c r="U84" s="19" t="str">
        <f aca="false">IF(T84="","",IF($C$16=0,$C$9,IF(AND($C$14&lt;&gt;"",T84&gt;=$C$14),$C$15,IF(AND($C$12&lt;&gt;"",T84&gt;=$C$12),$C$13,$C$11))))</f>
        <v>Full-Time</v>
      </c>
      <c r="V84" s="19" t="str">
        <f aca="false">IF(T84="","",IF(OR(ISNUMBER(SEARCH("full",U84)),UPPER(TRIM(U84))="FT",UPPER(TRIM(U84))="FTE"),"FT",IF(AND(OR(ISNUMBER(SEARCH("part",U84)),UPPER(TRIM(U84))="PT",UPPER(TRIM(U84))="PTE"),OR($C$10="",N($C$10)&gt;=PT_MinHours)),"PT","None")))</f>
        <v>FT</v>
      </c>
      <c r="W84" s="19" t="n">
        <v>1</v>
      </c>
      <c r="X84" s="19" t="n">
        <f aca="false">IF(T84="","",IF(AND(V84="PT",T84&lt;=AsOfDate),W84,0))</f>
        <v>0</v>
      </c>
      <c r="Z84" s="22" t="n">
        <f aca="false">I84</f>
        <v>234</v>
      </c>
      <c r="AA84" s="22" t="n">
        <f aca="false">SMALL($Z$20:$Z$199,65)</f>
        <v>159</v>
      </c>
      <c r="AB84" s="22" t="str">
        <f aca="false">IF(65-COUNTIF($Z$20:$Z$199,"&lt;"&amp;AA84)=1,IF(COUNTIF($I$20:$I$109,AA84)&gt;0,"FT","PT"),"PT")</f>
        <v>FT</v>
      </c>
      <c r="AC84" s="22" t="n">
        <f aca="false">IF(AB84="FT",INDEX($N$20:$N$109,MATCH(AA84,$I$20:$I$109,0)),1)</f>
        <v>1</v>
      </c>
    </row>
    <row r="85" customFormat="false" ht="15" hidden="false" customHeight="false" outlineLevel="0" collapsed="false">
      <c r="H85" s="19" t="n">
        <v>66</v>
      </c>
      <c r="I85" s="19" t="n">
        <f aca="false">IF(65&lt;FT_PreY5,FT_First+FT_Int1*65,FT_Y5+FT_Int2*(65-FT_PreY5))</f>
        <v>237</v>
      </c>
      <c r="J85" s="19" t="str">
        <f aca="false">INT(I85/12)&amp;"y "&amp;MOD(I85,12)&amp;"m"</f>
        <v>19y 9m</v>
      </c>
      <c r="K85" s="17" t="n">
        <f aca="false">IF(OR($C$6&lt;&gt;"Yes",$C$8=""),"",EDATE($C$8,I85))</f>
        <v>50938</v>
      </c>
      <c r="L85" s="19" t="str">
        <f aca="false">IF(K85="","",IF($C$16=0,$C$9,IF(AND($C$14&lt;&gt;"",K85&gt;=$C$14),$C$15,IF(AND($C$12&lt;&gt;"",K85&gt;=$C$12),$C$13,$C$11))))</f>
        <v>Full-Time</v>
      </c>
      <c r="M85" s="19" t="str">
        <f aca="false">IF(K85="","",IF(OR(ISNUMBER(SEARCH("full",L85)),UPPER(TRIM(L85))="FT",UPPER(TRIM(L85))="FTE"),"FT",IF(AND(OR(ISNUMBER(SEARCH("part",L85)),UPPER(TRIM(L85))="PT",UPPER(TRIM(L85))="PTE"),OR($C$10="",N($C$10)&gt;=PT_MinHours)),"PT","None")))</f>
        <v>FT</v>
      </c>
      <c r="N85" s="19" t="n">
        <f aca="false">IF(I85&lt;FT_Y5,1,IF(MOD(I85-FT_Y5,12)=0,FT_AnnivDays,1))</f>
        <v>1</v>
      </c>
      <c r="O85" s="19" t="n">
        <f aca="false">IF(K85="","",IF(AND(M85="FT",K85&lt;=AsOfDate),N85,0))</f>
        <v>0</v>
      </c>
      <c r="Q85" s="19" t="n">
        <v>66</v>
      </c>
      <c r="R85" s="19" t="n">
        <f aca="false">PT_First+PT_Int*65</f>
        <v>320</v>
      </c>
      <c r="S85" s="19" t="str">
        <f aca="false">INT(R85/12)&amp;"y "&amp;MOD(R85,12)&amp;"m"</f>
        <v>26y 8m</v>
      </c>
      <c r="T85" s="17" t="n">
        <f aca="false">IF(OR($C$6&lt;&gt;"Yes",$C$8=""),"",EDATE($C$8,R85))</f>
        <v>53464</v>
      </c>
      <c r="U85" s="19" t="str">
        <f aca="false">IF(T85="","",IF($C$16=0,$C$9,IF(AND($C$14&lt;&gt;"",T85&gt;=$C$14),$C$15,IF(AND($C$12&lt;&gt;"",T85&gt;=$C$12),$C$13,$C$11))))</f>
        <v>Full-Time</v>
      </c>
      <c r="V85" s="19" t="str">
        <f aca="false">IF(T85="","",IF(OR(ISNUMBER(SEARCH("full",U85)),UPPER(TRIM(U85))="FT",UPPER(TRIM(U85))="FTE"),"FT",IF(AND(OR(ISNUMBER(SEARCH("part",U85)),UPPER(TRIM(U85))="PT",UPPER(TRIM(U85))="PTE"),OR($C$10="",N($C$10)&gt;=PT_MinHours)),"PT","None")))</f>
        <v>FT</v>
      </c>
      <c r="W85" s="19" t="n">
        <v>1</v>
      </c>
      <c r="X85" s="19" t="n">
        <f aca="false">IF(T85="","",IF(AND(V85="PT",T85&lt;=AsOfDate),W85,0))</f>
        <v>0</v>
      </c>
      <c r="Z85" s="22" t="n">
        <f aca="false">I85</f>
        <v>237</v>
      </c>
      <c r="AA85" s="22" t="n">
        <f aca="false">SMALL($Z$20:$Z$199,66)</f>
        <v>160</v>
      </c>
      <c r="AB85" s="22" t="str">
        <f aca="false">IF(66-COUNTIF($Z$20:$Z$199,"&lt;"&amp;AA85)=1,IF(COUNTIF($I$20:$I$109,AA85)&gt;0,"FT","PT"),"PT")</f>
        <v>PT</v>
      </c>
      <c r="AC85" s="22" t="n">
        <f aca="false">IF(AB85="FT",INDEX($N$20:$N$109,MATCH(AA85,$I$20:$I$109,0)),1)</f>
        <v>1</v>
      </c>
    </row>
    <row r="86" customFormat="false" ht="15" hidden="false" customHeight="false" outlineLevel="0" collapsed="false">
      <c r="H86" s="19" t="n">
        <v>67</v>
      </c>
      <c r="I86" s="19" t="n">
        <f aca="false">IF(66&lt;FT_PreY5,FT_First+FT_Int1*66,FT_Y5+FT_Int2*(66-FT_PreY5))</f>
        <v>240</v>
      </c>
      <c r="J86" s="19" t="str">
        <f aca="false">INT(I86/12)&amp;"y "&amp;MOD(I86,12)&amp;"m"</f>
        <v>20y 0m</v>
      </c>
      <c r="K86" s="17" t="n">
        <f aca="false">IF(OR($C$6&lt;&gt;"Yes",$C$8=""),"",EDATE($C$8,I86))</f>
        <v>51030</v>
      </c>
      <c r="L86" s="19" t="str">
        <f aca="false">IF(K86="","",IF($C$16=0,$C$9,IF(AND($C$14&lt;&gt;"",K86&gt;=$C$14),$C$15,IF(AND($C$12&lt;&gt;"",K86&gt;=$C$12),$C$13,$C$11))))</f>
        <v>Full-Time</v>
      </c>
      <c r="M86" s="19" t="str">
        <f aca="false">IF(K86="","",IF(OR(ISNUMBER(SEARCH("full",L86)),UPPER(TRIM(L86))="FT",UPPER(TRIM(L86))="FTE"),"FT",IF(AND(OR(ISNUMBER(SEARCH("part",L86)),UPPER(TRIM(L86))="PT",UPPER(TRIM(L86))="PTE"),OR($C$10="",N($C$10)&gt;=PT_MinHours)),"PT","None")))</f>
        <v>FT</v>
      </c>
      <c r="N86" s="19" t="n">
        <f aca="false">IF(I86&lt;FT_Y5,1,IF(MOD(I86-FT_Y5,12)=0,FT_AnnivDays,1))</f>
        <v>2</v>
      </c>
      <c r="O86" s="19" t="n">
        <f aca="false">IF(K86="","",IF(AND(M86="FT",K86&lt;=AsOfDate),N86,0))</f>
        <v>0</v>
      </c>
      <c r="Q86" s="19" t="n">
        <v>67</v>
      </c>
      <c r="R86" s="19" t="n">
        <f aca="false">PT_First+PT_Int*66</f>
        <v>324</v>
      </c>
      <c r="S86" s="19" t="str">
        <f aca="false">INT(R86/12)&amp;"y "&amp;MOD(R86,12)&amp;"m"</f>
        <v>27y 0m</v>
      </c>
      <c r="T86" s="17" t="n">
        <f aca="false">IF(OR($C$6&lt;&gt;"Yes",$C$8=""),"",EDATE($C$8,R86))</f>
        <v>53587</v>
      </c>
      <c r="U86" s="19" t="str">
        <f aca="false">IF(T86="","",IF($C$16=0,$C$9,IF(AND($C$14&lt;&gt;"",T86&gt;=$C$14),$C$15,IF(AND($C$12&lt;&gt;"",T86&gt;=$C$12),$C$13,$C$11))))</f>
        <v>Full-Time</v>
      </c>
      <c r="V86" s="19" t="str">
        <f aca="false">IF(T86="","",IF(OR(ISNUMBER(SEARCH("full",U86)),UPPER(TRIM(U86))="FT",UPPER(TRIM(U86))="FTE"),"FT",IF(AND(OR(ISNUMBER(SEARCH("part",U86)),UPPER(TRIM(U86))="PT",UPPER(TRIM(U86))="PTE"),OR($C$10="",N($C$10)&gt;=PT_MinHours)),"PT","None")))</f>
        <v>FT</v>
      </c>
      <c r="W86" s="19" t="n">
        <v>1</v>
      </c>
      <c r="X86" s="19" t="n">
        <f aca="false">IF(T86="","",IF(AND(V86="PT",T86&lt;=AsOfDate),W86,0))</f>
        <v>0</v>
      </c>
      <c r="Z86" s="22" t="n">
        <f aca="false">I86</f>
        <v>240</v>
      </c>
      <c r="AA86" s="22" t="n">
        <f aca="false">SMALL($Z$20:$Z$199,67)</f>
        <v>162</v>
      </c>
      <c r="AB86" s="22" t="str">
        <f aca="false">IF(67-COUNTIF($Z$20:$Z$199,"&lt;"&amp;AA86)=1,IF(COUNTIF($I$20:$I$109,AA86)&gt;0,"FT","PT"),"PT")</f>
        <v>FT</v>
      </c>
      <c r="AC86" s="22" t="n">
        <f aca="false">IF(AB86="FT",INDEX($N$20:$N$109,MATCH(AA86,$I$20:$I$109,0)),1)</f>
        <v>1</v>
      </c>
    </row>
    <row r="87" customFormat="false" ht="15" hidden="false" customHeight="false" outlineLevel="0" collapsed="false">
      <c r="H87" s="19" t="n">
        <v>68</v>
      </c>
      <c r="I87" s="19" t="n">
        <f aca="false">IF(67&lt;FT_PreY5,FT_First+FT_Int1*67,FT_Y5+FT_Int2*(67-FT_PreY5))</f>
        <v>243</v>
      </c>
      <c r="J87" s="19" t="str">
        <f aca="false">INT(I87/12)&amp;"y "&amp;MOD(I87,12)&amp;"m"</f>
        <v>20y 3m</v>
      </c>
      <c r="K87" s="17" t="n">
        <f aca="false">IF(OR($C$6&lt;&gt;"Yes",$C$8=""),"",EDATE($C$8,I87))</f>
        <v>51121</v>
      </c>
      <c r="L87" s="19" t="str">
        <f aca="false">IF(K87="","",IF($C$16=0,$C$9,IF(AND($C$14&lt;&gt;"",K87&gt;=$C$14),$C$15,IF(AND($C$12&lt;&gt;"",K87&gt;=$C$12),$C$13,$C$11))))</f>
        <v>Full-Time</v>
      </c>
      <c r="M87" s="19" t="str">
        <f aca="false">IF(K87="","",IF(OR(ISNUMBER(SEARCH("full",L87)),UPPER(TRIM(L87))="FT",UPPER(TRIM(L87))="FTE"),"FT",IF(AND(OR(ISNUMBER(SEARCH("part",L87)),UPPER(TRIM(L87))="PT",UPPER(TRIM(L87))="PTE"),OR($C$10="",N($C$10)&gt;=PT_MinHours)),"PT","None")))</f>
        <v>FT</v>
      </c>
      <c r="N87" s="19" t="n">
        <f aca="false">IF(I87&lt;FT_Y5,1,IF(MOD(I87-FT_Y5,12)=0,FT_AnnivDays,1))</f>
        <v>1</v>
      </c>
      <c r="O87" s="19" t="n">
        <f aca="false">IF(K87="","",IF(AND(M87="FT",K87&lt;=AsOfDate),N87,0))</f>
        <v>0</v>
      </c>
      <c r="Q87" s="19" t="n">
        <v>68</v>
      </c>
      <c r="R87" s="19" t="n">
        <f aca="false">PT_First+PT_Int*67</f>
        <v>328</v>
      </c>
      <c r="S87" s="19" t="str">
        <f aca="false">INT(R87/12)&amp;"y "&amp;MOD(R87,12)&amp;"m"</f>
        <v>27y 4m</v>
      </c>
      <c r="T87" s="17" t="n">
        <f aca="false">IF(OR($C$6&lt;&gt;"Yes",$C$8=""),"",EDATE($C$8,R87))</f>
        <v>53709</v>
      </c>
      <c r="U87" s="19" t="str">
        <f aca="false">IF(T87="","",IF($C$16=0,$C$9,IF(AND($C$14&lt;&gt;"",T87&gt;=$C$14),$C$15,IF(AND($C$12&lt;&gt;"",T87&gt;=$C$12),$C$13,$C$11))))</f>
        <v>Full-Time</v>
      </c>
      <c r="V87" s="19" t="str">
        <f aca="false">IF(T87="","",IF(OR(ISNUMBER(SEARCH("full",U87)),UPPER(TRIM(U87))="FT",UPPER(TRIM(U87))="FTE"),"FT",IF(AND(OR(ISNUMBER(SEARCH("part",U87)),UPPER(TRIM(U87))="PT",UPPER(TRIM(U87))="PTE"),OR($C$10="",N($C$10)&gt;=PT_MinHours)),"PT","None")))</f>
        <v>FT</v>
      </c>
      <c r="W87" s="19" t="n">
        <v>1</v>
      </c>
      <c r="X87" s="19" t="n">
        <f aca="false">IF(T87="","",IF(AND(V87="PT",T87&lt;=AsOfDate),W87,0))</f>
        <v>0</v>
      </c>
      <c r="Z87" s="22" t="n">
        <f aca="false">I87</f>
        <v>243</v>
      </c>
      <c r="AA87" s="22" t="n">
        <f aca="false">SMALL($Z$20:$Z$199,68)</f>
        <v>164</v>
      </c>
      <c r="AB87" s="22" t="str">
        <f aca="false">IF(68-COUNTIF($Z$20:$Z$199,"&lt;"&amp;AA87)=1,IF(COUNTIF($I$20:$I$109,AA87)&gt;0,"FT","PT"),"PT")</f>
        <v>PT</v>
      </c>
      <c r="AC87" s="22" t="n">
        <f aca="false">IF(AB87="FT",INDEX($N$20:$N$109,MATCH(AA87,$I$20:$I$109,0)),1)</f>
        <v>1</v>
      </c>
    </row>
    <row r="88" customFormat="false" ht="15" hidden="false" customHeight="false" outlineLevel="0" collapsed="false">
      <c r="H88" s="19" t="n">
        <v>69</v>
      </c>
      <c r="I88" s="19" t="n">
        <f aca="false">IF(68&lt;FT_PreY5,FT_First+FT_Int1*68,FT_Y5+FT_Int2*(68-FT_PreY5))</f>
        <v>246</v>
      </c>
      <c r="J88" s="19" t="str">
        <f aca="false">INT(I88/12)&amp;"y "&amp;MOD(I88,12)&amp;"m"</f>
        <v>20y 6m</v>
      </c>
      <c r="K88" s="17" t="n">
        <f aca="false">IF(OR($C$6&lt;&gt;"Yes",$C$8=""),"",EDATE($C$8,I88))</f>
        <v>51212</v>
      </c>
      <c r="L88" s="19" t="str">
        <f aca="false">IF(K88="","",IF($C$16=0,$C$9,IF(AND($C$14&lt;&gt;"",K88&gt;=$C$14),$C$15,IF(AND($C$12&lt;&gt;"",K88&gt;=$C$12),$C$13,$C$11))))</f>
        <v>Full-Time</v>
      </c>
      <c r="M88" s="19" t="str">
        <f aca="false">IF(K88="","",IF(OR(ISNUMBER(SEARCH("full",L88)),UPPER(TRIM(L88))="FT",UPPER(TRIM(L88))="FTE"),"FT",IF(AND(OR(ISNUMBER(SEARCH("part",L88)),UPPER(TRIM(L88))="PT",UPPER(TRIM(L88))="PTE"),OR($C$10="",N($C$10)&gt;=PT_MinHours)),"PT","None")))</f>
        <v>FT</v>
      </c>
      <c r="N88" s="19" t="n">
        <f aca="false">IF(I88&lt;FT_Y5,1,IF(MOD(I88-FT_Y5,12)=0,FT_AnnivDays,1))</f>
        <v>1</v>
      </c>
      <c r="O88" s="19" t="n">
        <f aca="false">IF(K88="","",IF(AND(M88="FT",K88&lt;=AsOfDate),N88,0))</f>
        <v>0</v>
      </c>
      <c r="Q88" s="19" t="n">
        <v>69</v>
      </c>
      <c r="R88" s="19" t="n">
        <f aca="false">PT_First+PT_Int*68</f>
        <v>332</v>
      </c>
      <c r="S88" s="19" t="str">
        <f aca="false">INT(R88/12)&amp;"y "&amp;MOD(R88,12)&amp;"m"</f>
        <v>27y 8m</v>
      </c>
      <c r="T88" s="17" t="n">
        <f aca="false">IF(OR($C$6&lt;&gt;"Yes",$C$8=""),"",EDATE($C$8,R88))</f>
        <v>53829</v>
      </c>
      <c r="U88" s="19" t="str">
        <f aca="false">IF(T88="","",IF($C$16=0,$C$9,IF(AND($C$14&lt;&gt;"",T88&gt;=$C$14),$C$15,IF(AND($C$12&lt;&gt;"",T88&gt;=$C$12),$C$13,$C$11))))</f>
        <v>Full-Time</v>
      </c>
      <c r="V88" s="19" t="str">
        <f aca="false">IF(T88="","",IF(OR(ISNUMBER(SEARCH("full",U88)),UPPER(TRIM(U88))="FT",UPPER(TRIM(U88))="FTE"),"FT",IF(AND(OR(ISNUMBER(SEARCH("part",U88)),UPPER(TRIM(U88))="PT",UPPER(TRIM(U88))="PTE"),OR($C$10="",N($C$10)&gt;=PT_MinHours)),"PT","None")))</f>
        <v>FT</v>
      </c>
      <c r="W88" s="19" t="n">
        <v>1</v>
      </c>
      <c r="X88" s="19" t="n">
        <f aca="false">IF(T88="","",IF(AND(V88="PT",T88&lt;=AsOfDate),W88,0))</f>
        <v>0</v>
      </c>
      <c r="Z88" s="22" t="n">
        <f aca="false">I88</f>
        <v>246</v>
      </c>
      <c r="AA88" s="22" t="n">
        <f aca="false">SMALL($Z$20:$Z$199,69)</f>
        <v>165</v>
      </c>
      <c r="AB88" s="22" t="str">
        <f aca="false">IF(69-COUNTIF($Z$20:$Z$199,"&lt;"&amp;AA88)=1,IF(COUNTIF($I$20:$I$109,AA88)&gt;0,"FT","PT"),"PT")</f>
        <v>FT</v>
      </c>
      <c r="AC88" s="22" t="n">
        <f aca="false">IF(AB88="FT",INDEX($N$20:$N$109,MATCH(AA88,$I$20:$I$109,0)),1)</f>
        <v>1</v>
      </c>
    </row>
    <row r="89" customFormat="false" ht="15" hidden="false" customHeight="false" outlineLevel="0" collapsed="false">
      <c r="H89" s="19" t="n">
        <v>70</v>
      </c>
      <c r="I89" s="19" t="n">
        <f aca="false">IF(69&lt;FT_PreY5,FT_First+FT_Int1*69,FT_Y5+FT_Int2*(69-FT_PreY5))</f>
        <v>249</v>
      </c>
      <c r="J89" s="19" t="str">
        <f aca="false">INT(I89/12)&amp;"y "&amp;MOD(I89,12)&amp;"m"</f>
        <v>20y 9m</v>
      </c>
      <c r="K89" s="17" t="n">
        <f aca="false">IF(OR($C$6&lt;&gt;"Yes",$C$8=""),"",EDATE($C$8,I89))</f>
        <v>51304</v>
      </c>
      <c r="L89" s="19" t="str">
        <f aca="false">IF(K89="","",IF($C$16=0,$C$9,IF(AND($C$14&lt;&gt;"",K89&gt;=$C$14),$C$15,IF(AND($C$12&lt;&gt;"",K89&gt;=$C$12),$C$13,$C$11))))</f>
        <v>Full-Time</v>
      </c>
      <c r="M89" s="19" t="str">
        <f aca="false">IF(K89="","",IF(OR(ISNUMBER(SEARCH("full",L89)),UPPER(TRIM(L89))="FT",UPPER(TRIM(L89))="FTE"),"FT",IF(AND(OR(ISNUMBER(SEARCH("part",L89)),UPPER(TRIM(L89))="PT",UPPER(TRIM(L89))="PTE"),OR($C$10="",N($C$10)&gt;=PT_MinHours)),"PT","None")))</f>
        <v>FT</v>
      </c>
      <c r="N89" s="19" t="n">
        <f aca="false">IF(I89&lt;FT_Y5,1,IF(MOD(I89-FT_Y5,12)=0,FT_AnnivDays,1))</f>
        <v>1</v>
      </c>
      <c r="O89" s="19" t="n">
        <f aca="false">IF(K89="","",IF(AND(M89="FT",K89&lt;=AsOfDate),N89,0))</f>
        <v>0</v>
      </c>
      <c r="Q89" s="19" t="n">
        <v>70</v>
      </c>
      <c r="R89" s="19" t="n">
        <f aca="false">PT_First+PT_Int*69</f>
        <v>336</v>
      </c>
      <c r="S89" s="19" t="str">
        <f aca="false">INT(R89/12)&amp;"y "&amp;MOD(R89,12)&amp;"m"</f>
        <v>28y 0m</v>
      </c>
      <c r="T89" s="17" t="n">
        <f aca="false">IF(OR($C$6&lt;&gt;"Yes",$C$8=""),"",EDATE($C$8,R89))</f>
        <v>53952</v>
      </c>
      <c r="U89" s="19" t="str">
        <f aca="false">IF(T89="","",IF($C$16=0,$C$9,IF(AND($C$14&lt;&gt;"",T89&gt;=$C$14),$C$15,IF(AND($C$12&lt;&gt;"",T89&gt;=$C$12),$C$13,$C$11))))</f>
        <v>Full-Time</v>
      </c>
      <c r="V89" s="19" t="str">
        <f aca="false">IF(T89="","",IF(OR(ISNUMBER(SEARCH("full",U89)),UPPER(TRIM(U89))="FT",UPPER(TRIM(U89))="FTE"),"FT",IF(AND(OR(ISNUMBER(SEARCH("part",U89)),UPPER(TRIM(U89))="PT",UPPER(TRIM(U89))="PTE"),OR($C$10="",N($C$10)&gt;=PT_MinHours)),"PT","None")))</f>
        <v>FT</v>
      </c>
      <c r="W89" s="19" t="n">
        <v>1</v>
      </c>
      <c r="X89" s="19" t="n">
        <f aca="false">IF(T89="","",IF(AND(V89="PT",T89&lt;=AsOfDate),W89,0))</f>
        <v>0</v>
      </c>
      <c r="Z89" s="22" t="n">
        <f aca="false">I89</f>
        <v>249</v>
      </c>
      <c r="AA89" s="22" t="n">
        <f aca="false">SMALL($Z$20:$Z$199,70)</f>
        <v>168</v>
      </c>
      <c r="AB89" s="22" t="str">
        <f aca="false">IF(70-COUNTIF($Z$20:$Z$199,"&lt;"&amp;AA89)=1,IF(COUNTIF($I$20:$I$109,AA89)&gt;0,"FT","PT"),"PT")</f>
        <v>FT</v>
      </c>
      <c r="AC89" s="22" t="n">
        <f aca="false">IF(AB89="FT",INDEX($N$20:$N$109,MATCH(AA89,$I$20:$I$109,0)),1)</f>
        <v>2</v>
      </c>
    </row>
    <row r="90" customFormat="false" ht="15" hidden="false" customHeight="false" outlineLevel="0" collapsed="false">
      <c r="H90" s="19" t="n">
        <v>71</v>
      </c>
      <c r="I90" s="19" t="n">
        <f aca="false">IF(70&lt;FT_PreY5,FT_First+FT_Int1*70,FT_Y5+FT_Int2*(70-FT_PreY5))</f>
        <v>252</v>
      </c>
      <c r="J90" s="19" t="str">
        <f aca="false">INT(I90/12)&amp;"y "&amp;MOD(I90,12)&amp;"m"</f>
        <v>21y 0m</v>
      </c>
      <c r="K90" s="17" t="n">
        <f aca="false">IF(OR($C$6&lt;&gt;"Yes",$C$8=""),"",EDATE($C$8,I90))</f>
        <v>51396</v>
      </c>
      <c r="L90" s="19" t="str">
        <f aca="false">IF(K90="","",IF($C$16=0,$C$9,IF(AND($C$14&lt;&gt;"",K90&gt;=$C$14),$C$15,IF(AND($C$12&lt;&gt;"",K90&gt;=$C$12),$C$13,$C$11))))</f>
        <v>Full-Time</v>
      </c>
      <c r="M90" s="19" t="str">
        <f aca="false">IF(K90="","",IF(OR(ISNUMBER(SEARCH("full",L90)),UPPER(TRIM(L90))="FT",UPPER(TRIM(L90))="FTE"),"FT",IF(AND(OR(ISNUMBER(SEARCH("part",L90)),UPPER(TRIM(L90))="PT",UPPER(TRIM(L90))="PTE"),OR($C$10="",N($C$10)&gt;=PT_MinHours)),"PT","None")))</f>
        <v>FT</v>
      </c>
      <c r="N90" s="19" t="n">
        <f aca="false">IF(I90&lt;FT_Y5,1,IF(MOD(I90-FT_Y5,12)=0,FT_AnnivDays,1))</f>
        <v>2</v>
      </c>
      <c r="O90" s="19" t="n">
        <f aca="false">IF(K90="","",IF(AND(M90="FT",K90&lt;=AsOfDate),N90,0))</f>
        <v>0</v>
      </c>
      <c r="Q90" s="19" t="n">
        <v>71</v>
      </c>
      <c r="R90" s="19" t="n">
        <f aca="false">PT_First+PT_Int*70</f>
        <v>340</v>
      </c>
      <c r="S90" s="19" t="str">
        <f aca="false">INT(R90/12)&amp;"y "&amp;MOD(R90,12)&amp;"m"</f>
        <v>28y 4m</v>
      </c>
      <c r="T90" s="17" t="n">
        <f aca="false">IF(OR($C$6&lt;&gt;"Yes",$C$8=""),"",EDATE($C$8,R90))</f>
        <v>54074</v>
      </c>
      <c r="U90" s="19" t="str">
        <f aca="false">IF(T90="","",IF($C$16=0,$C$9,IF(AND($C$14&lt;&gt;"",T90&gt;=$C$14),$C$15,IF(AND($C$12&lt;&gt;"",T90&gt;=$C$12),$C$13,$C$11))))</f>
        <v>Full-Time</v>
      </c>
      <c r="V90" s="19" t="str">
        <f aca="false">IF(T90="","",IF(OR(ISNUMBER(SEARCH("full",U90)),UPPER(TRIM(U90))="FT",UPPER(TRIM(U90))="FTE"),"FT",IF(AND(OR(ISNUMBER(SEARCH("part",U90)),UPPER(TRIM(U90))="PT",UPPER(TRIM(U90))="PTE"),OR($C$10="",N($C$10)&gt;=PT_MinHours)),"PT","None")))</f>
        <v>FT</v>
      </c>
      <c r="W90" s="19" t="n">
        <v>1</v>
      </c>
      <c r="X90" s="19" t="n">
        <f aca="false">IF(T90="","",IF(AND(V90="PT",T90&lt;=AsOfDate),W90,0))</f>
        <v>0</v>
      </c>
      <c r="Z90" s="22" t="n">
        <f aca="false">I90</f>
        <v>252</v>
      </c>
      <c r="AA90" s="22" t="n">
        <f aca="false">SMALL($Z$20:$Z$199,71)</f>
        <v>168</v>
      </c>
      <c r="AB90" s="22" t="str">
        <f aca="false">IF(71-COUNTIF($Z$20:$Z$199,"&lt;"&amp;AA90)=1,IF(COUNTIF($I$20:$I$109,AA90)&gt;0,"FT","PT"),"PT")</f>
        <v>PT</v>
      </c>
      <c r="AC90" s="22" t="n">
        <f aca="false">IF(AB90="FT",INDEX($N$20:$N$109,MATCH(AA90,$I$20:$I$109,0)),1)</f>
        <v>1</v>
      </c>
    </row>
    <row r="91" customFormat="false" ht="15" hidden="false" customHeight="false" outlineLevel="0" collapsed="false">
      <c r="H91" s="19" t="n">
        <v>72</v>
      </c>
      <c r="I91" s="19" t="n">
        <f aca="false">IF(71&lt;FT_PreY5,FT_First+FT_Int1*71,FT_Y5+FT_Int2*(71-FT_PreY5))</f>
        <v>255</v>
      </c>
      <c r="J91" s="19" t="str">
        <f aca="false">INT(I91/12)&amp;"y "&amp;MOD(I91,12)&amp;"m"</f>
        <v>21y 3m</v>
      </c>
      <c r="K91" s="17" t="n">
        <f aca="false">IF(OR($C$6&lt;&gt;"Yes",$C$8=""),"",EDATE($C$8,I91))</f>
        <v>51487</v>
      </c>
      <c r="L91" s="19" t="str">
        <f aca="false">IF(K91="","",IF($C$16=0,$C$9,IF(AND($C$14&lt;&gt;"",K91&gt;=$C$14),$C$15,IF(AND($C$12&lt;&gt;"",K91&gt;=$C$12),$C$13,$C$11))))</f>
        <v>Full-Time</v>
      </c>
      <c r="M91" s="19" t="str">
        <f aca="false">IF(K91="","",IF(OR(ISNUMBER(SEARCH("full",L91)),UPPER(TRIM(L91))="FT",UPPER(TRIM(L91))="FTE"),"FT",IF(AND(OR(ISNUMBER(SEARCH("part",L91)),UPPER(TRIM(L91))="PT",UPPER(TRIM(L91))="PTE"),OR($C$10="",N($C$10)&gt;=PT_MinHours)),"PT","None")))</f>
        <v>FT</v>
      </c>
      <c r="N91" s="19" t="n">
        <f aca="false">IF(I91&lt;FT_Y5,1,IF(MOD(I91-FT_Y5,12)=0,FT_AnnivDays,1))</f>
        <v>1</v>
      </c>
      <c r="O91" s="19" t="n">
        <f aca="false">IF(K91="","",IF(AND(M91="FT",K91&lt;=AsOfDate),N91,0))</f>
        <v>0</v>
      </c>
      <c r="Q91" s="19" t="n">
        <v>72</v>
      </c>
      <c r="R91" s="19" t="n">
        <f aca="false">PT_First+PT_Int*71</f>
        <v>344</v>
      </c>
      <c r="S91" s="19" t="str">
        <f aca="false">INT(R91/12)&amp;"y "&amp;MOD(R91,12)&amp;"m"</f>
        <v>28y 8m</v>
      </c>
      <c r="T91" s="17" t="n">
        <f aca="false">IF(OR($C$6&lt;&gt;"Yes",$C$8=""),"",EDATE($C$8,R91))</f>
        <v>54195</v>
      </c>
      <c r="U91" s="19" t="str">
        <f aca="false">IF(T91="","",IF($C$16=0,$C$9,IF(AND($C$14&lt;&gt;"",T91&gt;=$C$14),$C$15,IF(AND($C$12&lt;&gt;"",T91&gt;=$C$12),$C$13,$C$11))))</f>
        <v>Full-Time</v>
      </c>
      <c r="V91" s="19" t="str">
        <f aca="false">IF(T91="","",IF(OR(ISNUMBER(SEARCH("full",U91)),UPPER(TRIM(U91))="FT",UPPER(TRIM(U91))="FTE"),"FT",IF(AND(OR(ISNUMBER(SEARCH("part",U91)),UPPER(TRIM(U91))="PT",UPPER(TRIM(U91))="PTE"),OR($C$10="",N($C$10)&gt;=PT_MinHours)),"PT","None")))</f>
        <v>FT</v>
      </c>
      <c r="W91" s="19" t="n">
        <v>1</v>
      </c>
      <c r="X91" s="19" t="n">
        <f aca="false">IF(T91="","",IF(AND(V91="PT",T91&lt;=AsOfDate),W91,0))</f>
        <v>0</v>
      </c>
      <c r="Z91" s="22" t="n">
        <f aca="false">I91</f>
        <v>255</v>
      </c>
      <c r="AA91" s="22" t="n">
        <f aca="false">SMALL($Z$20:$Z$199,72)</f>
        <v>171</v>
      </c>
      <c r="AB91" s="22" t="str">
        <f aca="false">IF(72-COUNTIF($Z$20:$Z$199,"&lt;"&amp;AA91)=1,IF(COUNTIF($I$20:$I$109,AA91)&gt;0,"FT","PT"),"PT")</f>
        <v>FT</v>
      </c>
      <c r="AC91" s="22" t="n">
        <f aca="false">IF(AB91="FT",INDEX($N$20:$N$109,MATCH(AA91,$I$20:$I$109,0)),1)</f>
        <v>1</v>
      </c>
    </row>
    <row r="92" customFormat="false" ht="15" hidden="false" customHeight="false" outlineLevel="0" collapsed="false">
      <c r="H92" s="19" t="n">
        <v>73</v>
      </c>
      <c r="I92" s="19" t="n">
        <f aca="false">IF(72&lt;FT_PreY5,FT_First+FT_Int1*72,FT_Y5+FT_Int2*(72-FT_PreY5))</f>
        <v>258</v>
      </c>
      <c r="J92" s="19" t="str">
        <f aca="false">INT(I92/12)&amp;"y "&amp;MOD(I92,12)&amp;"m"</f>
        <v>21y 6m</v>
      </c>
      <c r="K92" s="17" t="n">
        <f aca="false">IF(OR($C$6&lt;&gt;"Yes",$C$8=""),"",EDATE($C$8,I92))</f>
        <v>51577</v>
      </c>
      <c r="L92" s="19" t="str">
        <f aca="false">IF(K92="","",IF($C$16=0,$C$9,IF(AND($C$14&lt;&gt;"",K92&gt;=$C$14),$C$15,IF(AND($C$12&lt;&gt;"",K92&gt;=$C$12),$C$13,$C$11))))</f>
        <v>Full-Time</v>
      </c>
      <c r="M92" s="19" t="str">
        <f aca="false">IF(K92="","",IF(OR(ISNUMBER(SEARCH("full",L92)),UPPER(TRIM(L92))="FT",UPPER(TRIM(L92))="FTE"),"FT",IF(AND(OR(ISNUMBER(SEARCH("part",L92)),UPPER(TRIM(L92))="PT",UPPER(TRIM(L92))="PTE"),OR($C$10="",N($C$10)&gt;=PT_MinHours)),"PT","None")))</f>
        <v>FT</v>
      </c>
      <c r="N92" s="19" t="n">
        <f aca="false">IF(I92&lt;FT_Y5,1,IF(MOD(I92-FT_Y5,12)=0,FT_AnnivDays,1))</f>
        <v>1</v>
      </c>
      <c r="O92" s="19" t="n">
        <f aca="false">IF(K92="","",IF(AND(M92="FT",K92&lt;=AsOfDate),N92,0))</f>
        <v>0</v>
      </c>
      <c r="Q92" s="19" t="n">
        <v>73</v>
      </c>
      <c r="R92" s="19" t="n">
        <f aca="false">PT_First+PT_Int*72</f>
        <v>348</v>
      </c>
      <c r="S92" s="19" t="str">
        <f aca="false">INT(R92/12)&amp;"y "&amp;MOD(R92,12)&amp;"m"</f>
        <v>29y 0m</v>
      </c>
      <c r="T92" s="17" t="n">
        <f aca="false">IF(OR($C$6&lt;&gt;"Yes",$C$8=""),"",EDATE($C$8,R92))</f>
        <v>54318</v>
      </c>
      <c r="U92" s="19" t="str">
        <f aca="false">IF(T92="","",IF($C$16=0,$C$9,IF(AND($C$14&lt;&gt;"",T92&gt;=$C$14),$C$15,IF(AND($C$12&lt;&gt;"",T92&gt;=$C$12),$C$13,$C$11))))</f>
        <v>Full-Time</v>
      </c>
      <c r="V92" s="19" t="str">
        <f aca="false">IF(T92="","",IF(OR(ISNUMBER(SEARCH("full",U92)),UPPER(TRIM(U92))="FT",UPPER(TRIM(U92))="FTE"),"FT",IF(AND(OR(ISNUMBER(SEARCH("part",U92)),UPPER(TRIM(U92))="PT",UPPER(TRIM(U92))="PTE"),OR($C$10="",N($C$10)&gt;=PT_MinHours)),"PT","None")))</f>
        <v>FT</v>
      </c>
      <c r="W92" s="19" t="n">
        <v>1</v>
      </c>
      <c r="X92" s="19" t="n">
        <f aca="false">IF(T92="","",IF(AND(V92="PT",T92&lt;=AsOfDate),W92,0))</f>
        <v>0</v>
      </c>
      <c r="Z92" s="22" t="n">
        <f aca="false">I92</f>
        <v>258</v>
      </c>
      <c r="AA92" s="22" t="n">
        <f aca="false">SMALL($Z$20:$Z$199,73)</f>
        <v>172</v>
      </c>
      <c r="AB92" s="22" t="str">
        <f aca="false">IF(73-COUNTIF($Z$20:$Z$199,"&lt;"&amp;AA92)=1,IF(COUNTIF($I$20:$I$109,AA92)&gt;0,"FT","PT"),"PT")</f>
        <v>PT</v>
      </c>
      <c r="AC92" s="22" t="n">
        <f aca="false">IF(AB92="FT",INDEX($N$20:$N$109,MATCH(AA92,$I$20:$I$109,0)),1)</f>
        <v>1</v>
      </c>
    </row>
    <row r="93" customFormat="false" ht="15" hidden="false" customHeight="false" outlineLevel="0" collapsed="false">
      <c r="H93" s="19" t="n">
        <v>74</v>
      </c>
      <c r="I93" s="19" t="n">
        <f aca="false">IF(73&lt;FT_PreY5,FT_First+FT_Int1*73,FT_Y5+FT_Int2*(73-FT_PreY5))</f>
        <v>261</v>
      </c>
      <c r="J93" s="19" t="str">
        <f aca="false">INT(I93/12)&amp;"y "&amp;MOD(I93,12)&amp;"m"</f>
        <v>21y 9m</v>
      </c>
      <c r="K93" s="17" t="n">
        <f aca="false">IF(OR($C$6&lt;&gt;"Yes",$C$8=""),"",EDATE($C$8,I93))</f>
        <v>51669</v>
      </c>
      <c r="L93" s="19" t="str">
        <f aca="false">IF(K93="","",IF($C$16=0,$C$9,IF(AND($C$14&lt;&gt;"",K93&gt;=$C$14),$C$15,IF(AND($C$12&lt;&gt;"",K93&gt;=$C$12),$C$13,$C$11))))</f>
        <v>Full-Time</v>
      </c>
      <c r="M93" s="19" t="str">
        <f aca="false">IF(K93="","",IF(OR(ISNUMBER(SEARCH("full",L93)),UPPER(TRIM(L93))="FT",UPPER(TRIM(L93))="FTE"),"FT",IF(AND(OR(ISNUMBER(SEARCH("part",L93)),UPPER(TRIM(L93))="PT",UPPER(TRIM(L93))="PTE"),OR($C$10="",N($C$10)&gt;=PT_MinHours)),"PT","None")))</f>
        <v>FT</v>
      </c>
      <c r="N93" s="19" t="n">
        <f aca="false">IF(I93&lt;FT_Y5,1,IF(MOD(I93-FT_Y5,12)=0,FT_AnnivDays,1))</f>
        <v>1</v>
      </c>
      <c r="O93" s="19" t="n">
        <f aca="false">IF(K93="","",IF(AND(M93="FT",K93&lt;=AsOfDate),N93,0))</f>
        <v>0</v>
      </c>
      <c r="Q93" s="19" t="n">
        <v>74</v>
      </c>
      <c r="R93" s="19" t="n">
        <f aca="false">PT_First+PT_Int*73</f>
        <v>352</v>
      </c>
      <c r="S93" s="19" t="str">
        <f aca="false">INT(R93/12)&amp;"y "&amp;MOD(R93,12)&amp;"m"</f>
        <v>29y 4m</v>
      </c>
      <c r="T93" s="17" t="n">
        <f aca="false">IF(OR($C$6&lt;&gt;"Yes",$C$8=""),"",EDATE($C$8,R93))</f>
        <v>54440</v>
      </c>
      <c r="U93" s="19" t="str">
        <f aca="false">IF(T93="","",IF($C$16=0,$C$9,IF(AND($C$14&lt;&gt;"",T93&gt;=$C$14),$C$15,IF(AND($C$12&lt;&gt;"",T93&gt;=$C$12),$C$13,$C$11))))</f>
        <v>Full-Time</v>
      </c>
      <c r="V93" s="19" t="str">
        <f aca="false">IF(T93="","",IF(OR(ISNUMBER(SEARCH("full",U93)),UPPER(TRIM(U93))="FT",UPPER(TRIM(U93))="FTE"),"FT",IF(AND(OR(ISNUMBER(SEARCH("part",U93)),UPPER(TRIM(U93))="PT",UPPER(TRIM(U93))="PTE"),OR($C$10="",N($C$10)&gt;=PT_MinHours)),"PT","None")))</f>
        <v>FT</v>
      </c>
      <c r="W93" s="19" t="n">
        <v>1</v>
      </c>
      <c r="X93" s="19" t="n">
        <f aca="false">IF(T93="","",IF(AND(V93="PT",T93&lt;=AsOfDate),W93,0))</f>
        <v>0</v>
      </c>
      <c r="Z93" s="22" t="n">
        <f aca="false">I93</f>
        <v>261</v>
      </c>
      <c r="AA93" s="22" t="n">
        <f aca="false">SMALL($Z$20:$Z$199,74)</f>
        <v>174</v>
      </c>
      <c r="AB93" s="22" t="str">
        <f aca="false">IF(74-COUNTIF($Z$20:$Z$199,"&lt;"&amp;AA93)=1,IF(COUNTIF($I$20:$I$109,AA93)&gt;0,"FT","PT"),"PT")</f>
        <v>FT</v>
      </c>
      <c r="AC93" s="22" t="n">
        <f aca="false">IF(AB93="FT",INDEX($N$20:$N$109,MATCH(AA93,$I$20:$I$109,0)),1)</f>
        <v>1</v>
      </c>
    </row>
    <row r="94" customFormat="false" ht="15" hidden="false" customHeight="false" outlineLevel="0" collapsed="false">
      <c r="H94" s="19" t="n">
        <v>75</v>
      </c>
      <c r="I94" s="19" t="n">
        <f aca="false">IF(74&lt;FT_PreY5,FT_First+FT_Int1*74,FT_Y5+FT_Int2*(74-FT_PreY5))</f>
        <v>264</v>
      </c>
      <c r="J94" s="19" t="str">
        <f aca="false">INT(I94/12)&amp;"y "&amp;MOD(I94,12)&amp;"m"</f>
        <v>22y 0m</v>
      </c>
      <c r="K94" s="17" t="n">
        <f aca="false">IF(OR($C$6&lt;&gt;"Yes",$C$8=""),"",EDATE($C$8,I94))</f>
        <v>51761</v>
      </c>
      <c r="L94" s="19" t="str">
        <f aca="false">IF(K94="","",IF($C$16=0,$C$9,IF(AND($C$14&lt;&gt;"",K94&gt;=$C$14),$C$15,IF(AND($C$12&lt;&gt;"",K94&gt;=$C$12),$C$13,$C$11))))</f>
        <v>Full-Time</v>
      </c>
      <c r="M94" s="19" t="str">
        <f aca="false">IF(K94="","",IF(OR(ISNUMBER(SEARCH("full",L94)),UPPER(TRIM(L94))="FT",UPPER(TRIM(L94))="FTE"),"FT",IF(AND(OR(ISNUMBER(SEARCH("part",L94)),UPPER(TRIM(L94))="PT",UPPER(TRIM(L94))="PTE"),OR($C$10="",N($C$10)&gt;=PT_MinHours)),"PT","None")))</f>
        <v>FT</v>
      </c>
      <c r="N94" s="19" t="n">
        <f aca="false">IF(I94&lt;FT_Y5,1,IF(MOD(I94-FT_Y5,12)=0,FT_AnnivDays,1))</f>
        <v>2</v>
      </c>
      <c r="O94" s="19" t="n">
        <f aca="false">IF(K94="","",IF(AND(M94="FT",K94&lt;=AsOfDate),N94,0))</f>
        <v>0</v>
      </c>
      <c r="Q94" s="19" t="n">
        <v>75</v>
      </c>
      <c r="R94" s="19" t="n">
        <f aca="false">PT_First+PT_Int*74</f>
        <v>356</v>
      </c>
      <c r="S94" s="19" t="str">
        <f aca="false">INT(R94/12)&amp;"y "&amp;MOD(R94,12)&amp;"m"</f>
        <v>29y 8m</v>
      </c>
      <c r="T94" s="17" t="n">
        <f aca="false">IF(OR($C$6&lt;&gt;"Yes",$C$8=""),"",EDATE($C$8,R94))</f>
        <v>54560</v>
      </c>
      <c r="U94" s="19" t="str">
        <f aca="false">IF(T94="","",IF($C$16=0,$C$9,IF(AND($C$14&lt;&gt;"",T94&gt;=$C$14),$C$15,IF(AND($C$12&lt;&gt;"",T94&gt;=$C$12),$C$13,$C$11))))</f>
        <v>Full-Time</v>
      </c>
      <c r="V94" s="19" t="str">
        <f aca="false">IF(T94="","",IF(OR(ISNUMBER(SEARCH("full",U94)),UPPER(TRIM(U94))="FT",UPPER(TRIM(U94))="FTE"),"FT",IF(AND(OR(ISNUMBER(SEARCH("part",U94)),UPPER(TRIM(U94))="PT",UPPER(TRIM(U94))="PTE"),OR($C$10="",N($C$10)&gt;=PT_MinHours)),"PT","None")))</f>
        <v>FT</v>
      </c>
      <c r="W94" s="19" t="n">
        <v>1</v>
      </c>
      <c r="X94" s="19" t="n">
        <f aca="false">IF(T94="","",IF(AND(V94="PT",T94&lt;=AsOfDate),W94,0))</f>
        <v>0</v>
      </c>
      <c r="Z94" s="22" t="n">
        <f aca="false">I94</f>
        <v>264</v>
      </c>
      <c r="AA94" s="22" t="n">
        <f aca="false">SMALL($Z$20:$Z$199,75)</f>
        <v>176</v>
      </c>
      <c r="AB94" s="22" t="str">
        <f aca="false">IF(75-COUNTIF($Z$20:$Z$199,"&lt;"&amp;AA94)=1,IF(COUNTIF($I$20:$I$109,AA94)&gt;0,"FT","PT"),"PT")</f>
        <v>PT</v>
      </c>
      <c r="AC94" s="22" t="n">
        <f aca="false">IF(AB94="FT",INDEX($N$20:$N$109,MATCH(AA94,$I$20:$I$109,0)),1)</f>
        <v>1</v>
      </c>
    </row>
    <row r="95" customFormat="false" ht="15" hidden="false" customHeight="false" outlineLevel="0" collapsed="false">
      <c r="H95" s="19" t="n">
        <v>76</v>
      </c>
      <c r="I95" s="19" t="n">
        <f aca="false">IF(75&lt;FT_PreY5,FT_First+FT_Int1*75,FT_Y5+FT_Int2*(75-FT_PreY5))</f>
        <v>267</v>
      </c>
      <c r="J95" s="19" t="str">
        <f aca="false">INT(I95/12)&amp;"y "&amp;MOD(I95,12)&amp;"m"</f>
        <v>22y 3m</v>
      </c>
      <c r="K95" s="17" t="n">
        <f aca="false">IF(OR($C$6&lt;&gt;"Yes",$C$8=""),"",EDATE($C$8,I95))</f>
        <v>51852</v>
      </c>
      <c r="L95" s="19" t="str">
        <f aca="false">IF(K95="","",IF($C$16=0,$C$9,IF(AND($C$14&lt;&gt;"",K95&gt;=$C$14),$C$15,IF(AND($C$12&lt;&gt;"",K95&gt;=$C$12),$C$13,$C$11))))</f>
        <v>Full-Time</v>
      </c>
      <c r="M95" s="19" t="str">
        <f aca="false">IF(K95="","",IF(OR(ISNUMBER(SEARCH("full",L95)),UPPER(TRIM(L95))="FT",UPPER(TRIM(L95))="FTE"),"FT",IF(AND(OR(ISNUMBER(SEARCH("part",L95)),UPPER(TRIM(L95))="PT",UPPER(TRIM(L95))="PTE"),OR($C$10="",N($C$10)&gt;=PT_MinHours)),"PT","None")))</f>
        <v>FT</v>
      </c>
      <c r="N95" s="19" t="n">
        <f aca="false">IF(I95&lt;FT_Y5,1,IF(MOD(I95-FT_Y5,12)=0,FT_AnnivDays,1))</f>
        <v>1</v>
      </c>
      <c r="O95" s="19" t="n">
        <f aca="false">IF(K95="","",IF(AND(M95="FT",K95&lt;=AsOfDate),N95,0))</f>
        <v>0</v>
      </c>
      <c r="Q95" s="19" t="n">
        <v>76</v>
      </c>
      <c r="R95" s="19" t="n">
        <f aca="false">PT_First+PT_Int*75</f>
        <v>360</v>
      </c>
      <c r="S95" s="19" t="str">
        <f aca="false">INT(R95/12)&amp;"y "&amp;MOD(R95,12)&amp;"m"</f>
        <v>30y 0m</v>
      </c>
      <c r="T95" s="17" t="n">
        <f aca="false">IF(OR($C$6&lt;&gt;"Yes",$C$8=""),"",EDATE($C$8,R95))</f>
        <v>54683</v>
      </c>
      <c r="U95" s="19" t="str">
        <f aca="false">IF(T95="","",IF($C$16=0,$C$9,IF(AND($C$14&lt;&gt;"",T95&gt;=$C$14),$C$15,IF(AND($C$12&lt;&gt;"",T95&gt;=$C$12),$C$13,$C$11))))</f>
        <v>Full-Time</v>
      </c>
      <c r="V95" s="19" t="str">
        <f aca="false">IF(T95="","",IF(OR(ISNUMBER(SEARCH("full",U95)),UPPER(TRIM(U95))="FT",UPPER(TRIM(U95))="FTE"),"FT",IF(AND(OR(ISNUMBER(SEARCH("part",U95)),UPPER(TRIM(U95))="PT",UPPER(TRIM(U95))="PTE"),OR($C$10="",N($C$10)&gt;=PT_MinHours)),"PT","None")))</f>
        <v>FT</v>
      </c>
      <c r="W95" s="19" t="n">
        <v>1</v>
      </c>
      <c r="X95" s="19" t="n">
        <f aca="false">IF(T95="","",IF(AND(V95="PT",T95&lt;=AsOfDate),W95,0))</f>
        <v>0</v>
      </c>
      <c r="Z95" s="22" t="n">
        <f aca="false">I95</f>
        <v>267</v>
      </c>
      <c r="AA95" s="22" t="n">
        <f aca="false">SMALL($Z$20:$Z$199,76)</f>
        <v>177</v>
      </c>
      <c r="AB95" s="22" t="str">
        <f aca="false">IF(76-COUNTIF($Z$20:$Z$199,"&lt;"&amp;AA95)=1,IF(COUNTIF($I$20:$I$109,AA95)&gt;0,"FT","PT"),"PT")</f>
        <v>FT</v>
      </c>
      <c r="AC95" s="22" t="n">
        <f aca="false">IF(AB95="FT",INDEX($N$20:$N$109,MATCH(AA95,$I$20:$I$109,0)),1)</f>
        <v>1</v>
      </c>
    </row>
    <row r="96" customFormat="false" ht="15" hidden="false" customHeight="false" outlineLevel="0" collapsed="false">
      <c r="H96" s="19" t="n">
        <v>77</v>
      </c>
      <c r="I96" s="19" t="n">
        <f aca="false">IF(76&lt;FT_PreY5,FT_First+FT_Int1*76,FT_Y5+FT_Int2*(76-FT_PreY5))</f>
        <v>270</v>
      </c>
      <c r="J96" s="19" t="str">
        <f aca="false">INT(I96/12)&amp;"y "&amp;MOD(I96,12)&amp;"m"</f>
        <v>22y 6m</v>
      </c>
      <c r="K96" s="17" t="n">
        <f aca="false">IF(OR($C$6&lt;&gt;"Yes",$C$8=""),"",EDATE($C$8,I96))</f>
        <v>51942</v>
      </c>
      <c r="L96" s="19" t="str">
        <f aca="false">IF(K96="","",IF($C$16=0,$C$9,IF(AND($C$14&lt;&gt;"",K96&gt;=$C$14),$C$15,IF(AND($C$12&lt;&gt;"",K96&gt;=$C$12),$C$13,$C$11))))</f>
        <v>Full-Time</v>
      </c>
      <c r="M96" s="19" t="str">
        <f aca="false">IF(K96="","",IF(OR(ISNUMBER(SEARCH("full",L96)),UPPER(TRIM(L96))="FT",UPPER(TRIM(L96))="FTE"),"FT",IF(AND(OR(ISNUMBER(SEARCH("part",L96)),UPPER(TRIM(L96))="PT",UPPER(TRIM(L96))="PTE"),OR($C$10="",N($C$10)&gt;=PT_MinHours)),"PT","None")))</f>
        <v>FT</v>
      </c>
      <c r="N96" s="19" t="n">
        <f aca="false">IF(I96&lt;FT_Y5,1,IF(MOD(I96-FT_Y5,12)=0,FT_AnnivDays,1))</f>
        <v>1</v>
      </c>
      <c r="O96" s="19" t="n">
        <f aca="false">IF(K96="","",IF(AND(M96="FT",K96&lt;=AsOfDate),N96,0))</f>
        <v>0</v>
      </c>
      <c r="Q96" s="19" t="n">
        <v>77</v>
      </c>
      <c r="R96" s="19" t="n">
        <f aca="false">PT_First+PT_Int*76</f>
        <v>364</v>
      </c>
      <c r="S96" s="19" t="str">
        <f aca="false">INT(R96/12)&amp;"y "&amp;MOD(R96,12)&amp;"m"</f>
        <v>30y 4m</v>
      </c>
      <c r="T96" s="17" t="n">
        <f aca="false">IF(OR($C$6&lt;&gt;"Yes",$C$8=""),"",EDATE($C$8,R96))</f>
        <v>54805</v>
      </c>
      <c r="U96" s="19" t="str">
        <f aca="false">IF(T96="","",IF($C$16=0,$C$9,IF(AND($C$14&lt;&gt;"",T96&gt;=$C$14),$C$15,IF(AND($C$12&lt;&gt;"",T96&gt;=$C$12),$C$13,$C$11))))</f>
        <v>Full-Time</v>
      </c>
      <c r="V96" s="19" t="str">
        <f aca="false">IF(T96="","",IF(OR(ISNUMBER(SEARCH("full",U96)),UPPER(TRIM(U96))="FT",UPPER(TRIM(U96))="FTE"),"FT",IF(AND(OR(ISNUMBER(SEARCH("part",U96)),UPPER(TRIM(U96))="PT",UPPER(TRIM(U96))="PTE"),OR($C$10="",N($C$10)&gt;=PT_MinHours)),"PT","None")))</f>
        <v>FT</v>
      </c>
      <c r="W96" s="19" t="n">
        <v>1</v>
      </c>
      <c r="X96" s="19" t="n">
        <f aca="false">IF(T96="","",IF(AND(V96="PT",T96&lt;=AsOfDate),W96,0))</f>
        <v>0</v>
      </c>
      <c r="Z96" s="22" t="n">
        <f aca="false">I96</f>
        <v>270</v>
      </c>
      <c r="AA96" s="22" t="n">
        <f aca="false">SMALL($Z$20:$Z$199,77)</f>
        <v>180</v>
      </c>
      <c r="AB96" s="22" t="str">
        <f aca="false">IF(77-COUNTIF($Z$20:$Z$199,"&lt;"&amp;AA96)=1,IF(COUNTIF($I$20:$I$109,AA96)&gt;0,"FT","PT"),"PT")</f>
        <v>FT</v>
      </c>
      <c r="AC96" s="22" t="n">
        <f aca="false">IF(AB96="FT",INDEX($N$20:$N$109,MATCH(AA96,$I$20:$I$109,0)),1)</f>
        <v>2</v>
      </c>
    </row>
    <row r="97" customFormat="false" ht="15" hidden="false" customHeight="false" outlineLevel="0" collapsed="false">
      <c r="H97" s="19" t="n">
        <v>78</v>
      </c>
      <c r="I97" s="19" t="n">
        <f aca="false">IF(77&lt;FT_PreY5,FT_First+FT_Int1*77,FT_Y5+FT_Int2*(77-FT_PreY5))</f>
        <v>273</v>
      </c>
      <c r="J97" s="19" t="str">
        <f aca="false">INT(I97/12)&amp;"y "&amp;MOD(I97,12)&amp;"m"</f>
        <v>22y 9m</v>
      </c>
      <c r="K97" s="17" t="n">
        <f aca="false">IF(OR($C$6&lt;&gt;"Yes",$C$8=""),"",EDATE($C$8,I97))</f>
        <v>52034</v>
      </c>
      <c r="L97" s="19" t="str">
        <f aca="false">IF(K97="","",IF($C$16=0,$C$9,IF(AND($C$14&lt;&gt;"",K97&gt;=$C$14),$C$15,IF(AND($C$12&lt;&gt;"",K97&gt;=$C$12),$C$13,$C$11))))</f>
        <v>Full-Time</v>
      </c>
      <c r="M97" s="19" t="str">
        <f aca="false">IF(K97="","",IF(OR(ISNUMBER(SEARCH("full",L97)),UPPER(TRIM(L97))="FT",UPPER(TRIM(L97))="FTE"),"FT",IF(AND(OR(ISNUMBER(SEARCH("part",L97)),UPPER(TRIM(L97))="PT",UPPER(TRIM(L97))="PTE"),OR($C$10="",N($C$10)&gt;=PT_MinHours)),"PT","None")))</f>
        <v>FT</v>
      </c>
      <c r="N97" s="19" t="n">
        <f aca="false">IF(I97&lt;FT_Y5,1,IF(MOD(I97-FT_Y5,12)=0,FT_AnnivDays,1))</f>
        <v>1</v>
      </c>
      <c r="O97" s="19" t="n">
        <f aca="false">IF(K97="","",IF(AND(M97="FT",K97&lt;=AsOfDate),N97,0))</f>
        <v>0</v>
      </c>
      <c r="Q97" s="19" t="n">
        <v>78</v>
      </c>
      <c r="R97" s="19" t="n">
        <f aca="false">PT_First+PT_Int*77</f>
        <v>368</v>
      </c>
      <c r="S97" s="19" t="str">
        <f aca="false">INT(R97/12)&amp;"y "&amp;MOD(R97,12)&amp;"m"</f>
        <v>30y 8m</v>
      </c>
      <c r="T97" s="17" t="n">
        <f aca="false">IF(OR($C$6&lt;&gt;"Yes",$C$8=""),"",EDATE($C$8,R97))</f>
        <v>54925</v>
      </c>
      <c r="U97" s="19" t="str">
        <f aca="false">IF(T97="","",IF($C$16=0,$C$9,IF(AND($C$14&lt;&gt;"",T97&gt;=$C$14),$C$15,IF(AND($C$12&lt;&gt;"",T97&gt;=$C$12),$C$13,$C$11))))</f>
        <v>Full-Time</v>
      </c>
      <c r="V97" s="19" t="str">
        <f aca="false">IF(T97="","",IF(OR(ISNUMBER(SEARCH("full",U97)),UPPER(TRIM(U97))="FT",UPPER(TRIM(U97))="FTE"),"FT",IF(AND(OR(ISNUMBER(SEARCH("part",U97)),UPPER(TRIM(U97))="PT",UPPER(TRIM(U97))="PTE"),OR($C$10="",N($C$10)&gt;=PT_MinHours)),"PT","None")))</f>
        <v>FT</v>
      </c>
      <c r="W97" s="19" t="n">
        <v>1</v>
      </c>
      <c r="X97" s="19" t="n">
        <f aca="false">IF(T97="","",IF(AND(V97="PT",T97&lt;=AsOfDate),W97,0))</f>
        <v>0</v>
      </c>
      <c r="Z97" s="22" t="n">
        <f aca="false">I97</f>
        <v>273</v>
      </c>
      <c r="AA97" s="22" t="n">
        <f aca="false">SMALL($Z$20:$Z$199,78)</f>
        <v>180</v>
      </c>
      <c r="AB97" s="22" t="str">
        <f aca="false">IF(78-COUNTIF($Z$20:$Z$199,"&lt;"&amp;AA97)=1,IF(COUNTIF($I$20:$I$109,AA97)&gt;0,"FT","PT"),"PT")</f>
        <v>PT</v>
      </c>
      <c r="AC97" s="22" t="n">
        <f aca="false">IF(AB97="FT",INDEX($N$20:$N$109,MATCH(AA97,$I$20:$I$109,0)),1)</f>
        <v>1</v>
      </c>
    </row>
    <row r="98" customFormat="false" ht="15" hidden="false" customHeight="false" outlineLevel="0" collapsed="false">
      <c r="H98" s="19" t="n">
        <v>79</v>
      </c>
      <c r="I98" s="19" t="n">
        <f aca="false">IF(78&lt;FT_PreY5,FT_First+FT_Int1*78,FT_Y5+FT_Int2*(78-FT_PreY5))</f>
        <v>276</v>
      </c>
      <c r="J98" s="19" t="str">
        <f aca="false">INT(I98/12)&amp;"y "&amp;MOD(I98,12)&amp;"m"</f>
        <v>23y 0m</v>
      </c>
      <c r="K98" s="17" t="n">
        <f aca="false">IF(OR($C$6&lt;&gt;"Yes",$C$8=""),"",EDATE($C$8,I98))</f>
        <v>52126</v>
      </c>
      <c r="L98" s="19" t="str">
        <f aca="false">IF(K98="","",IF($C$16=0,$C$9,IF(AND($C$14&lt;&gt;"",K98&gt;=$C$14),$C$15,IF(AND($C$12&lt;&gt;"",K98&gt;=$C$12),$C$13,$C$11))))</f>
        <v>Full-Time</v>
      </c>
      <c r="M98" s="19" t="str">
        <f aca="false">IF(K98="","",IF(OR(ISNUMBER(SEARCH("full",L98)),UPPER(TRIM(L98))="FT",UPPER(TRIM(L98))="FTE"),"FT",IF(AND(OR(ISNUMBER(SEARCH("part",L98)),UPPER(TRIM(L98))="PT",UPPER(TRIM(L98))="PTE"),OR($C$10="",N($C$10)&gt;=PT_MinHours)),"PT","None")))</f>
        <v>FT</v>
      </c>
      <c r="N98" s="19" t="n">
        <f aca="false">IF(I98&lt;FT_Y5,1,IF(MOD(I98-FT_Y5,12)=0,FT_AnnivDays,1))</f>
        <v>2</v>
      </c>
      <c r="O98" s="19" t="n">
        <f aca="false">IF(K98="","",IF(AND(M98="FT",K98&lt;=AsOfDate),N98,0))</f>
        <v>0</v>
      </c>
      <c r="Q98" s="19" t="n">
        <v>79</v>
      </c>
      <c r="R98" s="19" t="n">
        <f aca="false">PT_First+PT_Int*78</f>
        <v>372</v>
      </c>
      <c r="S98" s="19" t="str">
        <f aca="false">INT(R98/12)&amp;"y "&amp;MOD(R98,12)&amp;"m"</f>
        <v>31y 0m</v>
      </c>
      <c r="T98" s="17" t="n">
        <f aca="false">IF(OR($C$6&lt;&gt;"Yes",$C$8=""),"",EDATE($C$8,R98))</f>
        <v>55048</v>
      </c>
      <c r="U98" s="19" t="str">
        <f aca="false">IF(T98="","",IF($C$16=0,$C$9,IF(AND($C$14&lt;&gt;"",T98&gt;=$C$14),$C$15,IF(AND($C$12&lt;&gt;"",T98&gt;=$C$12),$C$13,$C$11))))</f>
        <v>Full-Time</v>
      </c>
      <c r="V98" s="19" t="str">
        <f aca="false">IF(T98="","",IF(OR(ISNUMBER(SEARCH("full",U98)),UPPER(TRIM(U98))="FT",UPPER(TRIM(U98))="FTE"),"FT",IF(AND(OR(ISNUMBER(SEARCH("part",U98)),UPPER(TRIM(U98))="PT",UPPER(TRIM(U98))="PTE"),OR($C$10="",N($C$10)&gt;=PT_MinHours)),"PT","None")))</f>
        <v>FT</v>
      </c>
      <c r="W98" s="19" t="n">
        <v>1</v>
      </c>
      <c r="X98" s="19" t="n">
        <f aca="false">IF(T98="","",IF(AND(V98="PT",T98&lt;=AsOfDate),W98,0))</f>
        <v>0</v>
      </c>
      <c r="Z98" s="22" t="n">
        <f aca="false">I98</f>
        <v>276</v>
      </c>
      <c r="AA98" s="22" t="n">
        <f aca="false">SMALL($Z$20:$Z$199,79)</f>
        <v>183</v>
      </c>
      <c r="AB98" s="22" t="str">
        <f aca="false">IF(79-COUNTIF($Z$20:$Z$199,"&lt;"&amp;AA98)=1,IF(COUNTIF($I$20:$I$109,AA98)&gt;0,"FT","PT"),"PT")</f>
        <v>FT</v>
      </c>
      <c r="AC98" s="22" t="n">
        <f aca="false">IF(AB98="FT",INDEX($N$20:$N$109,MATCH(AA98,$I$20:$I$109,0)),1)</f>
        <v>1</v>
      </c>
    </row>
    <row r="99" customFormat="false" ht="15" hidden="false" customHeight="false" outlineLevel="0" collapsed="false">
      <c r="H99" s="19" t="n">
        <v>80</v>
      </c>
      <c r="I99" s="19" t="n">
        <f aca="false">IF(79&lt;FT_PreY5,FT_First+FT_Int1*79,FT_Y5+FT_Int2*(79-FT_PreY5))</f>
        <v>279</v>
      </c>
      <c r="J99" s="19" t="str">
        <f aca="false">INT(I99/12)&amp;"y "&amp;MOD(I99,12)&amp;"m"</f>
        <v>23y 3m</v>
      </c>
      <c r="K99" s="17" t="n">
        <f aca="false">IF(OR($C$6&lt;&gt;"Yes",$C$8=""),"",EDATE($C$8,I99))</f>
        <v>52217</v>
      </c>
      <c r="L99" s="19" t="str">
        <f aca="false">IF(K99="","",IF($C$16=0,$C$9,IF(AND($C$14&lt;&gt;"",K99&gt;=$C$14),$C$15,IF(AND($C$12&lt;&gt;"",K99&gt;=$C$12),$C$13,$C$11))))</f>
        <v>Full-Time</v>
      </c>
      <c r="M99" s="19" t="str">
        <f aca="false">IF(K99="","",IF(OR(ISNUMBER(SEARCH("full",L99)),UPPER(TRIM(L99))="FT",UPPER(TRIM(L99))="FTE"),"FT",IF(AND(OR(ISNUMBER(SEARCH("part",L99)),UPPER(TRIM(L99))="PT",UPPER(TRIM(L99))="PTE"),OR($C$10="",N($C$10)&gt;=PT_MinHours)),"PT","None")))</f>
        <v>FT</v>
      </c>
      <c r="N99" s="19" t="n">
        <f aca="false">IF(I99&lt;FT_Y5,1,IF(MOD(I99-FT_Y5,12)=0,FT_AnnivDays,1))</f>
        <v>1</v>
      </c>
      <c r="O99" s="19" t="n">
        <f aca="false">IF(K99="","",IF(AND(M99="FT",K99&lt;=AsOfDate),N99,0))</f>
        <v>0</v>
      </c>
      <c r="Q99" s="19" t="n">
        <v>80</v>
      </c>
      <c r="R99" s="19" t="n">
        <f aca="false">PT_First+PT_Int*79</f>
        <v>376</v>
      </c>
      <c r="S99" s="19" t="str">
        <f aca="false">INT(R99/12)&amp;"y "&amp;MOD(R99,12)&amp;"m"</f>
        <v>31y 4m</v>
      </c>
      <c r="T99" s="17" t="n">
        <f aca="false">IF(OR($C$6&lt;&gt;"Yes",$C$8=""),"",EDATE($C$8,R99))</f>
        <v>55170</v>
      </c>
      <c r="U99" s="19" t="str">
        <f aca="false">IF(T99="","",IF($C$16=0,$C$9,IF(AND($C$14&lt;&gt;"",T99&gt;=$C$14),$C$15,IF(AND($C$12&lt;&gt;"",T99&gt;=$C$12),$C$13,$C$11))))</f>
        <v>Full-Time</v>
      </c>
      <c r="V99" s="19" t="str">
        <f aca="false">IF(T99="","",IF(OR(ISNUMBER(SEARCH("full",U99)),UPPER(TRIM(U99))="FT",UPPER(TRIM(U99))="FTE"),"FT",IF(AND(OR(ISNUMBER(SEARCH("part",U99)),UPPER(TRIM(U99))="PT",UPPER(TRIM(U99))="PTE"),OR($C$10="",N($C$10)&gt;=PT_MinHours)),"PT","None")))</f>
        <v>FT</v>
      </c>
      <c r="W99" s="19" t="n">
        <v>1</v>
      </c>
      <c r="X99" s="19" t="n">
        <f aca="false">IF(T99="","",IF(AND(V99="PT",T99&lt;=AsOfDate),W99,0))</f>
        <v>0</v>
      </c>
      <c r="Z99" s="22" t="n">
        <f aca="false">I99</f>
        <v>279</v>
      </c>
      <c r="AA99" s="22" t="n">
        <f aca="false">SMALL($Z$20:$Z$199,80)</f>
        <v>184</v>
      </c>
      <c r="AB99" s="22" t="str">
        <f aca="false">IF(80-COUNTIF($Z$20:$Z$199,"&lt;"&amp;AA99)=1,IF(COUNTIF($I$20:$I$109,AA99)&gt;0,"FT","PT"),"PT")</f>
        <v>PT</v>
      </c>
      <c r="AC99" s="22" t="n">
        <f aca="false">IF(AB99="FT",INDEX($N$20:$N$109,MATCH(AA99,$I$20:$I$109,0)),1)</f>
        <v>1</v>
      </c>
    </row>
    <row r="100" customFormat="false" ht="15" hidden="false" customHeight="false" outlineLevel="0" collapsed="false">
      <c r="H100" s="19" t="n">
        <v>81</v>
      </c>
      <c r="I100" s="19" t="n">
        <f aca="false">IF(80&lt;FT_PreY5,FT_First+FT_Int1*80,FT_Y5+FT_Int2*(80-FT_PreY5))</f>
        <v>282</v>
      </c>
      <c r="J100" s="19" t="str">
        <f aca="false">INT(I100/12)&amp;"y "&amp;MOD(I100,12)&amp;"m"</f>
        <v>23y 6m</v>
      </c>
      <c r="K100" s="17" t="n">
        <f aca="false">IF(OR($C$6&lt;&gt;"Yes",$C$8=""),"",EDATE($C$8,I100))</f>
        <v>52307</v>
      </c>
      <c r="L100" s="19" t="str">
        <f aca="false">IF(K100="","",IF($C$16=0,$C$9,IF(AND($C$14&lt;&gt;"",K100&gt;=$C$14),$C$15,IF(AND($C$12&lt;&gt;"",K100&gt;=$C$12),$C$13,$C$11))))</f>
        <v>Full-Time</v>
      </c>
      <c r="M100" s="19" t="str">
        <f aca="false">IF(K100="","",IF(OR(ISNUMBER(SEARCH("full",L100)),UPPER(TRIM(L100))="FT",UPPER(TRIM(L100))="FTE"),"FT",IF(AND(OR(ISNUMBER(SEARCH("part",L100)),UPPER(TRIM(L100))="PT",UPPER(TRIM(L100))="PTE"),OR($C$10="",N($C$10)&gt;=PT_MinHours)),"PT","None")))</f>
        <v>FT</v>
      </c>
      <c r="N100" s="19" t="n">
        <f aca="false">IF(I100&lt;FT_Y5,1,IF(MOD(I100-FT_Y5,12)=0,FT_AnnivDays,1))</f>
        <v>1</v>
      </c>
      <c r="O100" s="19" t="n">
        <f aca="false">IF(K100="","",IF(AND(M100="FT",K100&lt;=AsOfDate),N100,0))</f>
        <v>0</v>
      </c>
      <c r="Q100" s="19" t="n">
        <v>81</v>
      </c>
      <c r="R100" s="19" t="n">
        <f aca="false">PT_First+PT_Int*80</f>
        <v>380</v>
      </c>
      <c r="S100" s="19" t="str">
        <f aca="false">INT(R100/12)&amp;"y "&amp;MOD(R100,12)&amp;"m"</f>
        <v>31y 8m</v>
      </c>
      <c r="T100" s="17" t="n">
        <f aca="false">IF(OR($C$6&lt;&gt;"Yes",$C$8=""),"",EDATE($C$8,R100))</f>
        <v>55290</v>
      </c>
      <c r="U100" s="19" t="str">
        <f aca="false">IF(T100="","",IF($C$16=0,$C$9,IF(AND($C$14&lt;&gt;"",T100&gt;=$C$14),$C$15,IF(AND($C$12&lt;&gt;"",T100&gt;=$C$12),$C$13,$C$11))))</f>
        <v>Full-Time</v>
      </c>
      <c r="V100" s="19" t="str">
        <f aca="false">IF(T100="","",IF(OR(ISNUMBER(SEARCH("full",U100)),UPPER(TRIM(U100))="FT",UPPER(TRIM(U100))="FTE"),"FT",IF(AND(OR(ISNUMBER(SEARCH("part",U100)),UPPER(TRIM(U100))="PT",UPPER(TRIM(U100))="PTE"),OR($C$10="",N($C$10)&gt;=PT_MinHours)),"PT","None")))</f>
        <v>FT</v>
      </c>
      <c r="W100" s="19" t="n">
        <v>1</v>
      </c>
      <c r="X100" s="19" t="n">
        <f aca="false">IF(T100="","",IF(AND(V100="PT",T100&lt;=AsOfDate),W100,0))</f>
        <v>0</v>
      </c>
      <c r="Z100" s="22" t="n">
        <f aca="false">I100</f>
        <v>282</v>
      </c>
      <c r="AA100" s="22" t="n">
        <f aca="false">SMALL($Z$20:$Z$199,81)</f>
        <v>186</v>
      </c>
      <c r="AB100" s="22" t="str">
        <f aca="false">IF(81-COUNTIF($Z$20:$Z$199,"&lt;"&amp;AA100)=1,IF(COUNTIF($I$20:$I$109,AA100)&gt;0,"FT","PT"),"PT")</f>
        <v>FT</v>
      </c>
      <c r="AC100" s="22" t="n">
        <f aca="false">IF(AB100="FT",INDEX($N$20:$N$109,MATCH(AA100,$I$20:$I$109,0)),1)</f>
        <v>1</v>
      </c>
    </row>
    <row r="101" customFormat="false" ht="15" hidden="false" customHeight="false" outlineLevel="0" collapsed="false">
      <c r="H101" s="19" t="n">
        <v>82</v>
      </c>
      <c r="I101" s="19" t="n">
        <f aca="false">IF(81&lt;FT_PreY5,FT_First+FT_Int1*81,FT_Y5+FT_Int2*(81-FT_PreY5))</f>
        <v>285</v>
      </c>
      <c r="J101" s="19" t="str">
        <f aca="false">INT(I101/12)&amp;"y "&amp;MOD(I101,12)&amp;"m"</f>
        <v>23y 9m</v>
      </c>
      <c r="K101" s="17" t="n">
        <f aca="false">IF(OR($C$6&lt;&gt;"Yes",$C$8=""),"",EDATE($C$8,I101))</f>
        <v>52399</v>
      </c>
      <c r="L101" s="19" t="str">
        <f aca="false">IF(K101="","",IF($C$16=0,$C$9,IF(AND($C$14&lt;&gt;"",K101&gt;=$C$14),$C$15,IF(AND($C$12&lt;&gt;"",K101&gt;=$C$12),$C$13,$C$11))))</f>
        <v>Full-Time</v>
      </c>
      <c r="M101" s="19" t="str">
        <f aca="false">IF(K101="","",IF(OR(ISNUMBER(SEARCH("full",L101)),UPPER(TRIM(L101))="FT",UPPER(TRIM(L101))="FTE"),"FT",IF(AND(OR(ISNUMBER(SEARCH("part",L101)),UPPER(TRIM(L101))="PT",UPPER(TRIM(L101))="PTE"),OR($C$10="",N($C$10)&gt;=PT_MinHours)),"PT","None")))</f>
        <v>FT</v>
      </c>
      <c r="N101" s="19" t="n">
        <f aca="false">IF(I101&lt;FT_Y5,1,IF(MOD(I101-FT_Y5,12)=0,FT_AnnivDays,1))</f>
        <v>1</v>
      </c>
      <c r="O101" s="19" t="n">
        <f aca="false">IF(K101="","",IF(AND(M101="FT",K101&lt;=AsOfDate),N101,0))</f>
        <v>0</v>
      </c>
      <c r="Q101" s="19" t="n">
        <v>82</v>
      </c>
      <c r="R101" s="19" t="n">
        <f aca="false">PT_First+PT_Int*81</f>
        <v>384</v>
      </c>
      <c r="S101" s="19" t="str">
        <f aca="false">INT(R101/12)&amp;"y "&amp;MOD(R101,12)&amp;"m"</f>
        <v>32y 0m</v>
      </c>
      <c r="T101" s="17" t="n">
        <f aca="false">IF(OR($C$6&lt;&gt;"Yes",$C$8=""),"",EDATE($C$8,R101))</f>
        <v>55413</v>
      </c>
      <c r="U101" s="19" t="str">
        <f aca="false">IF(T101="","",IF($C$16=0,$C$9,IF(AND($C$14&lt;&gt;"",T101&gt;=$C$14),$C$15,IF(AND($C$12&lt;&gt;"",T101&gt;=$C$12),$C$13,$C$11))))</f>
        <v>Full-Time</v>
      </c>
      <c r="V101" s="19" t="str">
        <f aca="false">IF(T101="","",IF(OR(ISNUMBER(SEARCH("full",U101)),UPPER(TRIM(U101))="FT",UPPER(TRIM(U101))="FTE"),"FT",IF(AND(OR(ISNUMBER(SEARCH("part",U101)),UPPER(TRIM(U101))="PT",UPPER(TRIM(U101))="PTE"),OR($C$10="",N($C$10)&gt;=PT_MinHours)),"PT","None")))</f>
        <v>FT</v>
      </c>
      <c r="W101" s="19" t="n">
        <v>1</v>
      </c>
      <c r="X101" s="19" t="n">
        <f aca="false">IF(T101="","",IF(AND(V101="PT",T101&lt;=AsOfDate),W101,0))</f>
        <v>0</v>
      </c>
      <c r="Z101" s="22" t="n">
        <f aca="false">I101</f>
        <v>285</v>
      </c>
      <c r="AA101" s="22" t="n">
        <f aca="false">SMALL($Z$20:$Z$199,82)</f>
        <v>188</v>
      </c>
      <c r="AB101" s="22" t="str">
        <f aca="false">IF(82-COUNTIF($Z$20:$Z$199,"&lt;"&amp;AA101)=1,IF(COUNTIF($I$20:$I$109,AA101)&gt;0,"FT","PT"),"PT")</f>
        <v>PT</v>
      </c>
      <c r="AC101" s="22" t="n">
        <f aca="false">IF(AB101="FT",INDEX($N$20:$N$109,MATCH(AA101,$I$20:$I$109,0)),1)</f>
        <v>1</v>
      </c>
    </row>
    <row r="102" customFormat="false" ht="15" hidden="false" customHeight="false" outlineLevel="0" collapsed="false">
      <c r="H102" s="19" t="n">
        <v>83</v>
      </c>
      <c r="I102" s="19" t="n">
        <f aca="false">IF(82&lt;FT_PreY5,FT_First+FT_Int1*82,FT_Y5+FT_Int2*(82-FT_PreY5))</f>
        <v>288</v>
      </c>
      <c r="J102" s="19" t="str">
        <f aca="false">INT(I102/12)&amp;"y "&amp;MOD(I102,12)&amp;"m"</f>
        <v>24y 0m</v>
      </c>
      <c r="K102" s="17" t="n">
        <f aca="false">IF(OR($C$6&lt;&gt;"Yes",$C$8=""),"",EDATE($C$8,I102))</f>
        <v>52491</v>
      </c>
      <c r="L102" s="19" t="str">
        <f aca="false">IF(K102="","",IF($C$16=0,$C$9,IF(AND($C$14&lt;&gt;"",K102&gt;=$C$14),$C$15,IF(AND($C$12&lt;&gt;"",K102&gt;=$C$12),$C$13,$C$11))))</f>
        <v>Full-Time</v>
      </c>
      <c r="M102" s="19" t="str">
        <f aca="false">IF(K102="","",IF(OR(ISNUMBER(SEARCH("full",L102)),UPPER(TRIM(L102))="FT",UPPER(TRIM(L102))="FTE"),"FT",IF(AND(OR(ISNUMBER(SEARCH("part",L102)),UPPER(TRIM(L102))="PT",UPPER(TRIM(L102))="PTE"),OR($C$10="",N($C$10)&gt;=PT_MinHours)),"PT","None")))</f>
        <v>FT</v>
      </c>
      <c r="N102" s="19" t="n">
        <f aca="false">IF(I102&lt;FT_Y5,1,IF(MOD(I102-FT_Y5,12)=0,FT_AnnivDays,1))</f>
        <v>2</v>
      </c>
      <c r="O102" s="19" t="n">
        <f aca="false">IF(K102="","",IF(AND(M102="FT",K102&lt;=AsOfDate),N102,0))</f>
        <v>0</v>
      </c>
      <c r="Q102" s="19" t="n">
        <v>83</v>
      </c>
      <c r="R102" s="19" t="n">
        <f aca="false">PT_First+PT_Int*82</f>
        <v>388</v>
      </c>
      <c r="S102" s="19" t="str">
        <f aca="false">INT(R102/12)&amp;"y "&amp;MOD(R102,12)&amp;"m"</f>
        <v>32y 4m</v>
      </c>
      <c r="T102" s="17" t="n">
        <f aca="false">IF(OR($C$6&lt;&gt;"Yes",$C$8=""),"",EDATE($C$8,R102))</f>
        <v>55535</v>
      </c>
      <c r="U102" s="19" t="str">
        <f aca="false">IF(T102="","",IF($C$16=0,$C$9,IF(AND($C$14&lt;&gt;"",T102&gt;=$C$14),$C$15,IF(AND($C$12&lt;&gt;"",T102&gt;=$C$12),$C$13,$C$11))))</f>
        <v>Full-Time</v>
      </c>
      <c r="V102" s="19" t="str">
        <f aca="false">IF(T102="","",IF(OR(ISNUMBER(SEARCH("full",U102)),UPPER(TRIM(U102))="FT",UPPER(TRIM(U102))="FTE"),"FT",IF(AND(OR(ISNUMBER(SEARCH("part",U102)),UPPER(TRIM(U102))="PT",UPPER(TRIM(U102))="PTE"),OR($C$10="",N($C$10)&gt;=PT_MinHours)),"PT","None")))</f>
        <v>FT</v>
      </c>
      <c r="W102" s="19" t="n">
        <v>1</v>
      </c>
      <c r="X102" s="19" t="n">
        <f aca="false">IF(T102="","",IF(AND(V102="PT",T102&lt;=AsOfDate),W102,0))</f>
        <v>0</v>
      </c>
      <c r="Z102" s="22" t="n">
        <f aca="false">I102</f>
        <v>288</v>
      </c>
      <c r="AA102" s="22" t="n">
        <f aca="false">SMALL($Z$20:$Z$199,83)</f>
        <v>189</v>
      </c>
      <c r="AB102" s="22" t="str">
        <f aca="false">IF(83-COUNTIF($Z$20:$Z$199,"&lt;"&amp;AA102)=1,IF(COUNTIF($I$20:$I$109,AA102)&gt;0,"FT","PT"),"PT")</f>
        <v>FT</v>
      </c>
      <c r="AC102" s="22" t="n">
        <f aca="false">IF(AB102="FT",INDEX($N$20:$N$109,MATCH(AA102,$I$20:$I$109,0)),1)</f>
        <v>1</v>
      </c>
    </row>
    <row r="103" customFormat="false" ht="15" hidden="false" customHeight="false" outlineLevel="0" collapsed="false">
      <c r="H103" s="19" t="n">
        <v>84</v>
      </c>
      <c r="I103" s="19" t="n">
        <f aca="false">IF(83&lt;FT_PreY5,FT_First+FT_Int1*83,FT_Y5+FT_Int2*(83-FT_PreY5))</f>
        <v>291</v>
      </c>
      <c r="J103" s="19" t="str">
        <f aca="false">INT(I103/12)&amp;"y "&amp;MOD(I103,12)&amp;"m"</f>
        <v>24y 3m</v>
      </c>
      <c r="K103" s="17" t="n">
        <f aca="false">IF(OR($C$6&lt;&gt;"Yes",$C$8=""),"",EDATE($C$8,I103))</f>
        <v>52582</v>
      </c>
      <c r="L103" s="19" t="str">
        <f aca="false">IF(K103="","",IF($C$16=0,$C$9,IF(AND($C$14&lt;&gt;"",K103&gt;=$C$14),$C$15,IF(AND($C$12&lt;&gt;"",K103&gt;=$C$12),$C$13,$C$11))))</f>
        <v>Full-Time</v>
      </c>
      <c r="M103" s="19" t="str">
        <f aca="false">IF(K103="","",IF(OR(ISNUMBER(SEARCH("full",L103)),UPPER(TRIM(L103))="FT",UPPER(TRIM(L103))="FTE"),"FT",IF(AND(OR(ISNUMBER(SEARCH("part",L103)),UPPER(TRIM(L103))="PT",UPPER(TRIM(L103))="PTE"),OR($C$10="",N($C$10)&gt;=PT_MinHours)),"PT","None")))</f>
        <v>FT</v>
      </c>
      <c r="N103" s="19" t="n">
        <f aca="false">IF(I103&lt;FT_Y5,1,IF(MOD(I103-FT_Y5,12)=0,FT_AnnivDays,1))</f>
        <v>1</v>
      </c>
      <c r="O103" s="19" t="n">
        <f aca="false">IF(K103="","",IF(AND(M103="FT",K103&lt;=AsOfDate),N103,0))</f>
        <v>0</v>
      </c>
      <c r="Q103" s="19" t="n">
        <v>84</v>
      </c>
      <c r="R103" s="19" t="n">
        <f aca="false">PT_First+PT_Int*83</f>
        <v>392</v>
      </c>
      <c r="S103" s="19" t="str">
        <f aca="false">INT(R103/12)&amp;"y "&amp;MOD(R103,12)&amp;"m"</f>
        <v>32y 8m</v>
      </c>
      <c r="T103" s="17" t="n">
        <f aca="false">IF(OR($C$6&lt;&gt;"Yes",$C$8=""),"",EDATE($C$8,R103))</f>
        <v>55656</v>
      </c>
      <c r="U103" s="19" t="str">
        <f aca="false">IF(T103="","",IF($C$16=0,$C$9,IF(AND($C$14&lt;&gt;"",T103&gt;=$C$14),$C$15,IF(AND($C$12&lt;&gt;"",T103&gt;=$C$12),$C$13,$C$11))))</f>
        <v>Full-Time</v>
      </c>
      <c r="V103" s="19" t="str">
        <f aca="false">IF(T103="","",IF(OR(ISNUMBER(SEARCH("full",U103)),UPPER(TRIM(U103))="FT",UPPER(TRIM(U103))="FTE"),"FT",IF(AND(OR(ISNUMBER(SEARCH("part",U103)),UPPER(TRIM(U103))="PT",UPPER(TRIM(U103))="PTE"),OR($C$10="",N($C$10)&gt;=PT_MinHours)),"PT","None")))</f>
        <v>FT</v>
      </c>
      <c r="W103" s="19" t="n">
        <v>1</v>
      </c>
      <c r="X103" s="19" t="n">
        <f aca="false">IF(T103="","",IF(AND(V103="PT",T103&lt;=AsOfDate),W103,0))</f>
        <v>0</v>
      </c>
      <c r="Z103" s="22" t="n">
        <f aca="false">I103</f>
        <v>291</v>
      </c>
      <c r="AA103" s="22" t="n">
        <f aca="false">SMALL($Z$20:$Z$199,84)</f>
        <v>192</v>
      </c>
      <c r="AB103" s="22" t="str">
        <f aca="false">IF(84-COUNTIF($Z$20:$Z$199,"&lt;"&amp;AA103)=1,IF(COUNTIF($I$20:$I$109,AA103)&gt;0,"FT","PT"),"PT")</f>
        <v>FT</v>
      </c>
      <c r="AC103" s="22" t="n">
        <f aca="false">IF(AB103="FT",INDEX($N$20:$N$109,MATCH(AA103,$I$20:$I$109,0)),1)</f>
        <v>2</v>
      </c>
    </row>
    <row r="104" customFormat="false" ht="15" hidden="false" customHeight="false" outlineLevel="0" collapsed="false">
      <c r="H104" s="19" t="n">
        <v>85</v>
      </c>
      <c r="I104" s="19" t="n">
        <f aca="false">IF(84&lt;FT_PreY5,FT_First+FT_Int1*84,FT_Y5+FT_Int2*(84-FT_PreY5))</f>
        <v>294</v>
      </c>
      <c r="J104" s="19" t="str">
        <f aca="false">INT(I104/12)&amp;"y "&amp;MOD(I104,12)&amp;"m"</f>
        <v>24y 6m</v>
      </c>
      <c r="K104" s="17" t="n">
        <f aca="false">IF(OR($C$6&lt;&gt;"Yes",$C$8=""),"",EDATE($C$8,I104))</f>
        <v>52673</v>
      </c>
      <c r="L104" s="19" t="str">
        <f aca="false">IF(K104="","",IF($C$16=0,$C$9,IF(AND($C$14&lt;&gt;"",K104&gt;=$C$14),$C$15,IF(AND($C$12&lt;&gt;"",K104&gt;=$C$12),$C$13,$C$11))))</f>
        <v>Full-Time</v>
      </c>
      <c r="M104" s="19" t="str">
        <f aca="false">IF(K104="","",IF(OR(ISNUMBER(SEARCH("full",L104)),UPPER(TRIM(L104))="FT",UPPER(TRIM(L104))="FTE"),"FT",IF(AND(OR(ISNUMBER(SEARCH("part",L104)),UPPER(TRIM(L104))="PT",UPPER(TRIM(L104))="PTE"),OR($C$10="",N($C$10)&gt;=PT_MinHours)),"PT","None")))</f>
        <v>FT</v>
      </c>
      <c r="N104" s="19" t="n">
        <f aca="false">IF(I104&lt;FT_Y5,1,IF(MOD(I104-FT_Y5,12)=0,FT_AnnivDays,1))</f>
        <v>1</v>
      </c>
      <c r="O104" s="19" t="n">
        <f aca="false">IF(K104="","",IF(AND(M104="FT",K104&lt;=AsOfDate),N104,0))</f>
        <v>0</v>
      </c>
      <c r="Q104" s="19" t="n">
        <v>85</v>
      </c>
      <c r="R104" s="19" t="n">
        <f aca="false">PT_First+PT_Int*84</f>
        <v>396</v>
      </c>
      <c r="S104" s="19" t="str">
        <f aca="false">INT(R104/12)&amp;"y "&amp;MOD(R104,12)&amp;"m"</f>
        <v>33y 0m</v>
      </c>
      <c r="T104" s="17" t="n">
        <f aca="false">IF(OR($C$6&lt;&gt;"Yes",$C$8=""),"",EDATE($C$8,R104))</f>
        <v>55779</v>
      </c>
      <c r="U104" s="19" t="str">
        <f aca="false">IF(T104="","",IF($C$16=0,$C$9,IF(AND($C$14&lt;&gt;"",T104&gt;=$C$14),$C$15,IF(AND($C$12&lt;&gt;"",T104&gt;=$C$12),$C$13,$C$11))))</f>
        <v>Full-Time</v>
      </c>
      <c r="V104" s="19" t="str">
        <f aca="false">IF(T104="","",IF(OR(ISNUMBER(SEARCH("full",U104)),UPPER(TRIM(U104))="FT",UPPER(TRIM(U104))="FTE"),"FT",IF(AND(OR(ISNUMBER(SEARCH("part",U104)),UPPER(TRIM(U104))="PT",UPPER(TRIM(U104))="PTE"),OR($C$10="",N($C$10)&gt;=PT_MinHours)),"PT","None")))</f>
        <v>FT</v>
      </c>
      <c r="W104" s="19" t="n">
        <v>1</v>
      </c>
      <c r="X104" s="19" t="n">
        <f aca="false">IF(T104="","",IF(AND(V104="PT",T104&lt;=AsOfDate),W104,0))</f>
        <v>0</v>
      </c>
      <c r="Z104" s="22" t="n">
        <f aca="false">I104</f>
        <v>294</v>
      </c>
      <c r="AA104" s="22" t="n">
        <f aca="false">SMALL($Z$20:$Z$199,85)</f>
        <v>192</v>
      </c>
      <c r="AB104" s="22" t="str">
        <f aca="false">IF(85-COUNTIF($Z$20:$Z$199,"&lt;"&amp;AA104)=1,IF(COUNTIF($I$20:$I$109,AA104)&gt;0,"FT","PT"),"PT")</f>
        <v>PT</v>
      </c>
      <c r="AC104" s="22" t="n">
        <f aca="false">IF(AB104="FT",INDEX($N$20:$N$109,MATCH(AA104,$I$20:$I$109,0)),1)</f>
        <v>1</v>
      </c>
    </row>
    <row r="105" customFormat="false" ht="15" hidden="false" customHeight="false" outlineLevel="0" collapsed="false">
      <c r="H105" s="19" t="n">
        <v>86</v>
      </c>
      <c r="I105" s="19" t="n">
        <f aca="false">IF(85&lt;FT_PreY5,FT_First+FT_Int1*85,FT_Y5+FT_Int2*(85-FT_PreY5))</f>
        <v>297</v>
      </c>
      <c r="J105" s="19" t="str">
        <f aca="false">INT(I105/12)&amp;"y "&amp;MOD(I105,12)&amp;"m"</f>
        <v>24y 9m</v>
      </c>
      <c r="K105" s="17" t="n">
        <f aca="false">IF(OR($C$6&lt;&gt;"Yes",$C$8=""),"",EDATE($C$8,I105))</f>
        <v>52765</v>
      </c>
      <c r="L105" s="19" t="str">
        <f aca="false">IF(K105="","",IF($C$16=0,$C$9,IF(AND($C$14&lt;&gt;"",K105&gt;=$C$14),$C$15,IF(AND($C$12&lt;&gt;"",K105&gt;=$C$12),$C$13,$C$11))))</f>
        <v>Full-Time</v>
      </c>
      <c r="M105" s="19" t="str">
        <f aca="false">IF(K105="","",IF(OR(ISNUMBER(SEARCH("full",L105)),UPPER(TRIM(L105))="FT",UPPER(TRIM(L105))="FTE"),"FT",IF(AND(OR(ISNUMBER(SEARCH("part",L105)),UPPER(TRIM(L105))="PT",UPPER(TRIM(L105))="PTE"),OR($C$10="",N($C$10)&gt;=PT_MinHours)),"PT","None")))</f>
        <v>FT</v>
      </c>
      <c r="N105" s="19" t="n">
        <f aca="false">IF(I105&lt;FT_Y5,1,IF(MOD(I105-FT_Y5,12)=0,FT_AnnivDays,1))</f>
        <v>1</v>
      </c>
      <c r="O105" s="19" t="n">
        <f aca="false">IF(K105="","",IF(AND(M105="FT",K105&lt;=AsOfDate),N105,0))</f>
        <v>0</v>
      </c>
      <c r="Q105" s="19" t="n">
        <v>86</v>
      </c>
      <c r="R105" s="19" t="n">
        <f aca="false">PT_First+PT_Int*85</f>
        <v>400</v>
      </c>
      <c r="S105" s="19" t="str">
        <f aca="false">INT(R105/12)&amp;"y "&amp;MOD(R105,12)&amp;"m"</f>
        <v>33y 4m</v>
      </c>
      <c r="T105" s="17" t="n">
        <f aca="false">IF(OR($C$6&lt;&gt;"Yes",$C$8=""),"",EDATE($C$8,R105))</f>
        <v>55901</v>
      </c>
      <c r="U105" s="19" t="str">
        <f aca="false">IF(T105="","",IF($C$16=0,$C$9,IF(AND($C$14&lt;&gt;"",T105&gt;=$C$14),$C$15,IF(AND($C$12&lt;&gt;"",T105&gt;=$C$12),$C$13,$C$11))))</f>
        <v>Full-Time</v>
      </c>
      <c r="V105" s="19" t="str">
        <f aca="false">IF(T105="","",IF(OR(ISNUMBER(SEARCH("full",U105)),UPPER(TRIM(U105))="FT",UPPER(TRIM(U105))="FTE"),"FT",IF(AND(OR(ISNUMBER(SEARCH("part",U105)),UPPER(TRIM(U105))="PT",UPPER(TRIM(U105))="PTE"),OR($C$10="",N($C$10)&gt;=PT_MinHours)),"PT","None")))</f>
        <v>FT</v>
      </c>
      <c r="W105" s="19" t="n">
        <v>1</v>
      </c>
      <c r="X105" s="19" t="n">
        <f aca="false">IF(T105="","",IF(AND(V105="PT",T105&lt;=AsOfDate),W105,0))</f>
        <v>0</v>
      </c>
      <c r="Z105" s="22" t="n">
        <f aca="false">I105</f>
        <v>297</v>
      </c>
      <c r="AA105" s="22" t="n">
        <f aca="false">SMALL($Z$20:$Z$199,86)</f>
        <v>195</v>
      </c>
      <c r="AB105" s="22" t="str">
        <f aca="false">IF(86-COUNTIF($Z$20:$Z$199,"&lt;"&amp;AA105)=1,IF(COUNTIF($I$20:$I$109,AA105)&gt;0,"FT","PT"),"PT")</f>
        <v>FT</v>
      </c>
      <c r="AC105" s="22" t="n">
        <f aca="false">IF(AB105="FT",INDEX($N$20:$N$109,MATCH(AA105,$I$20:$I$109,0)),1)</f>
        <v>1</v>
      </c>
    </row>
    <row r="106" customFormat="false" ht="15" hidden="false" customHeight="false" outlineLevel="0" collapsed="false">
      <c r="H106" s="19" t="n">
        <v>87</v>
      </c>
      <c r="I106" s="19" t="n">
        <f aca="false">IF(86&lt;FT_PreY5,FT_First+FT_Int1*86,FT_Y5+FT_Int2*(86-FT_PreY5))</f>
        <v>300</v>
      </c>
      <c r="J106" s="19" t="str">
        <f aca="false">INT(I106/12)&amp;"y "&amp;MOD(I106,12)&amp;"m"</f>
        <v>25y 0m</v>
      </c>
      <c r="K106" s="17" t="n">
        <f aca="false">IF(OR($C$6&lt;&gt;"Yes",$C$8=""),"",EDATE($C$8,I106))</f>
        <v>52857</v>
      </c>
      <c r="L106" s="19" t="str">
        <f aca="false">IF(K106="","",IF($C$16=0,$C$9,IF(AND($C$14&lt;&gt;"",K106&gt;=$C$14),$C$15,IF(AND($C$12&lt;&gt;"",K106&gt;=$C$12),$C$13,$C$11))))</f>
        <v>Full-Time</v>
      </c>
      <c r="M106" s="19" t="str">
        <f aca="false">IF(K106="","",IF(OR(ISNUMBER(SEARCH("full",L106)),UPPER(TRIM(L106))="FT",UPPER(TRIM(L106))="FTE"),"FT",IF(AND(OR(ISNUMBER(SEARCH("part",L106)),UPPER(TRIM(L106))="PT",UPPER(TRIM(L106))="PTE"),OR($C$10="",N($C$10)&gt;=PT_MinHours)),"PT","None")))</f>
        <v>FT</v>
      </c>
      <c r="N106" s="19" t="n">
        <f aca="false">IF(I106&lt;FT_Y5,1,IF(MOD(I106-FT_Y5,12)=0,FT_AnnivDays,1))</f>
        <v>2</v>
      </c>
      <c r="O106" s="19" t="n">
        <f aca="false">IF(K106="","",IF(AND(M106="FT",K106&lt;=AsOfDate),N106,0))</f>
        <v>0</v>
      </c>
      <c r="Q106" s="19" t="n">
        <v>87</v>
      </c>
      <c r="R106" s="19" t="n">
        <f aca="false">PT_First+PT_Int*86</f>
        <v>404</v>
      </c>
      <c r="S106" s="19" t="str">
        <f aca="false">INT(R106/12)&amp;"y "&amp;MOD(R106,12)&amp;"m"</f>
        <v>33y 8m</v>
      </c>
      <c r="T106" s="17" t="n">
        <f aca="false">IF(OR($C$6&lt;&gt;"Yes",$C$8=""),"",EDATE($C$8,R106))</f>
        <v>56021</v>
      </c>
      <c r="U106" s="19" t="str">
        <f aca="false">IF(T106="","",IF($C$16=0,$C$9,IF(AND($C$14&lt;&gt;"",T106&gt;=$C$14),$C$15,IF(AND($C$12&lt;&gt;"",T106&gt;=$C$12),$C$13,$C$11))))</f>
        <v>Full-Time</v>
      </c>
      <c r="V106" s="19" t="str">
        <f aca="false">IF(T106="","",IF(OR(ISNUMBER(SEARCH("full",U106)),UPPER(TRIM(U106))="FT",UPPER(TRIM(U106))="FTE"),"FT",IF(AND(OR(ISNUMBER(SEARCH("part",U106)),UPPER(TRIM(U106))="PT",UPPER(TRIM(U106))="PTE"),OR($C$10="",N($C$10)&gt;=PT_MinHours)),"PT","None")))</f>
        <v>FT</v>
      </c>
      <c r="W106" s="19" t="n">
        <v>1</v>
      </c>
      <c r="X106" s="19" t="n">
        <f aca="false">IF(T106="","",IF(AND(V106="PT",T106&lt;=AsOfDate),W106,0))</f>
        <v>0</v>
      </c>
      <c r="Z106" s="22" t="n">
        <f aca="false">I106</f>
        <v>300</v>
      </c>
      <c r="AA106" s="22" t="n">
        <f aca="false">SMALL($Z$20:$Z$199,87)</f>
        <v>196</v>
      </c>
      <c r="AB106" s="22" t="str">
        <f aca="false">IF(87-COUNTIF($Z$20:$Z$199,"&lt;"&amp;AA106)=1,IF(COUNTIF($I$20:$I$109,AA106)&gt;0,"FT","PT"),"PT")</f>
        <v>PT</v>
      </c>
      <c r="AC106" s="22" t="n">
        <f aca="false">IF(AB106="FT",INDEX($N$20:$N$109,MATCH(AA106,$I$20:$I$109,0)),1)</f>
        <v>1</v>
      </c>
    </row>
    <row r="107" customFormat="false" ht="15" hidden="false" customHeight="false" outlineLevel="0" collapsed="false">
      <c r="H107" s="19" t="n">
        <v>88</v>
      </c>
      <c r="I107" s="19" t="n">
        <f aca="false">IF(87&lt;FT_PreY5,FT_First+FT_Int1*87,FT_Y5+FT_Int2*(87-FT_PreY5))</f>
        <v>303</v>
      </c>
      <c r="J107" s="19" t="str">
        <f aca="false">INT(I107/12)&amp;"y "&amp;MOD(I107,12)&amp;"m"</f>
        <v>25y 3m</v>
      </c>
      <c r="K107" s="17" t="n">
        <f aca="false">IF(OR($C$6&lt;&gt;"Yes",$C$8=""),"",EDATE($C$8,I107))</f>
        <v>52948</v>
      </c>
      <c r="L107" s="19" t="str">
        <f aca="false">IF(K107="","",IF($C$16=0,$C$9,IF(AND($C$14&lt;&gt;"",K107&gt;=$C$14),$C$15,IF(AND($C$12&lt;&gt;"",K107&gt;=$C$12),$C$13,$C$11))))</f>
        <v>Full-Time</v>
      </c>
      <c r="M107" s="19" t="str">
        <f aca="false">IF(K107="","",IF(OR(ISNUMBER(SEARCH("full",L107)),UPPER(TRIM(L107))="FT",UPPER(TRIM(L107))="FTE"),"FT",IF(AND(OR(ISNUMBER(SEARCH("part",L107)),UPPER(TRIM(L107))="PT",UPPER(TRIM(L107))="PTE"),OR($C$10="",N($C$10)&gt;=PT_MinHours)),"PT","None")))</f>
        <v>FT</v>
      </c>
      <c r="N107" s="19" t="n">
        <f aca="false">IF(I107&lt;FT_Y5,1,IF(MOD(I107-FT_Y5,12)=0,FT_AnnivDays,1))</f>
        <v>1</v>
      </c>
      <c r="O107" s="19" t="n">
        <f aca="false">IF(K107="","",IF(AND(M107="FT",K107&lt;=AsOfDate),N107,0))</f>
        <v>0</v>
      </c>
      <c r="Q107" s="19" t="n">
        <v>88</v>
      </c>
      <c r="R107" s="19" t="n">
        <f aca="false">PT_First+PT_Int*87</f>
        <v>408</v>
      </c>
      <c r="S107" s="19" t="str">
        <f aca="false">INT(R107/12)&amp;"y "&amp;MOD(R107,12)&amp;"m"</f>
        <v>34y 0m</v>
      </c>
      <c r="T107" s="17" t="n">
        <f aca="false">IF(OR($C$6&lt;&gt;"Yes",$C$8=""),"",EDATE($C$8,R107))</f>
        <v>56144</v>
      </c>
      <c r="U107" s="19" t="str">
        <f aca="false">IF(T107="","",IF($C$16=0,$C$9,IF(AND($C$14&lt;&gt;"",T107&gt;=$C$14),$C$15,IF(AND($C$12&lt;&gt;"",T107&gt;=$C$12),$C$13,$C$11))))</f>
        <v>Full-Time</v>
      </c>
      <c r="V107" s="19" t="str">
        <f aca="false">IF(T107="","",IF(OR(ISNUMBER(SEARCH("full",U107)),UPPER(TRIM(U107))="FT",UPPER(TRIM(U107))="FTE"),"FT",IF(AND(OR(ISNUMBER(SEARCH("part",U107)),UPPER(TRIM(U107))="PT",UPPER(TRIM(U107))="PTE"),OR($C$10="",N($C$10)&gt;=PT_MinHours)),"PT","None")))</f>
        <v>FT</v>
      </c>
      <c r="W107" s="19" t="n">
        <v>1</v>
      </c>
      <c r="X107" s="19" t="n">
        <f aca="false">IF(T107="","",IF(AND(V107="PT",T107&lt;=AsOfDate),W107,0))</f>
        <v>0</v>
      </c>
      <c r="Z107" s="22" t="n">
        <f aca="false">I107</f>
        <v>303</v>
      </c>
      <c r="AA107" s="22" t="n">
        <f aca="false">SMALL($Z$20:$Z$199,88)</f>
        <v>198</v>
      </c>
      <c r="AB107" s="22" t="str">
        <f aca="false">IF(88-COUNTIF($Z$20:$Z$199,"&lt;"&amp;AA107)=1,IF(COUNTIF($I$20:$I$109,AA107)&gt;0,"FT","PT"),"PT")</f>
        <v>FT</v>
      </c>
      <c r="AC107" s="22" t="n">
        <f aca="false">IF(AB107="FT",INDEX($N$20:$N$109,MATCH(AA107,$I$20:$I$109,0)),1)</f>
        <v>1</v>
      </c>
    </row>
    <row r="108" customFormat="false" ht="15" hidden="false" customHeight="false" outlineLevel="0" collapsed="false">
      <c r="H108" s="19" t="n">
        <v>89</v>
      </c>
      <c r="I108" s="19" t="n">
        <f aca="false">IF(88&lt;FT_PreY5,FT_First+FT_Int1*88,FT_Y5+FT_Int2*(88-FT_PreY5))</f>
        <v>306</v>
      </c>
      <c r="J108" s="19" t="str">
        <f aca="false">INT(I108/12)&amp;"y "&amp;MOD(I108,12)&amp;"m"</f>
        <v>25y 6m</v>
      </c>
      <c r="K108" s="17" t="n">
        <f aca="false">IF(OR($C$6&lt;&gt;"Yes",$C$8=""),"",EDATE($C$8,I108))</f>
        <v>53038</v>
      </c>
      <c r="L108" s="19" t="str">
        <f aca="false">IF(K108="","",IF($C$16=0,$C$9,IF(AND($C$14&lt;&gt;"",K108&gt;=$C$14),$C$15,IF(AND($C$12&lt;&gt;"",K108&gt;=$C$12),$C$13,$C$11))))</f>
        <v>Full-Time</v>
      </c>
      <c r="M108" s="19" t="str">
        <f aca="false">IF(K108="","",IF(OR(ISNUMBER(SEARCH("full",L108)),UPPER(TRIM(L108))="FT",UPPER(TRIM(L108))="FTE"),"FT",IF(AND(OR(ISNUMBER(SEARCH("part",L108)),UPPER(TRIM(L108))="PT",UPPER(TRIM(L108))="PTE"),OR($C$10="",N($C$10)&gt;=PT_MinHours)),"PT","None")))</f>
        <v>FT</v>
      </c>
      <c r="N108" s="19" t="n">
        <f aca="false">IF(I108&lt;FT_Y5,1,IF(MOD(I108-FT_Y5,12)=0,FT_AnnivDays,1))</f>
        <v>1</v>
      </c>
      <c r="O108" s="19" t="n">
        <f aca="false">IF(K108="","",IF(AND(M108="FT",K108&lt;=AsOfDate),N108,0))</f>
        <v>0</v>
      </c>
      <c r="Q108" s="19" t="n">
        <v>89</v>
      </c>
      <c r="R108" s="19" t="n">
        <f aca="false">PT_First+PT_Int*88</f>
        <v>412</v>
      </c>
      <c r="S108" s="19" t="str">
        <f aca="false">INT(R108/12)&amp;"y "&amp;MOD(R108,12)&amp;"m"</f>
        <v>34y 4m</v>
      </c>
      <c r="T108" s="17" t="n">
        <f aca="false">IF(OR($C$6&lt;&gt;"Yes",$C$8=""),"",EDATE($C$8,R108))</f>
        <v>56266</v>
      </c>
      <c r="U108" s="19" t="str">
        <f aca="false">IF(T108="","",IF($C$16=0,$C$9,IF(AND($C$14&lt;&gt;"",T108&gt;=$C$14),$C$15,IF(AND($C$12&lt;&gt;"",T108&gt;=$C$12),$C$13,$C$11))))</f>
        <v>Full-Time</v>
      </c>
      <c r="V108" s="19" t="str">
        <f aca="false">IF(T108="","",IF(OR(ISNUMBER(SEARCH("full",U108)),UPPER(TRIM(U108))="FT",UPPER(TRIM(U108))="FTE"),"FT",IF(AND(OR(ISNUMBER(SEARCH("part",U108)),UPPER(TRIM(U108))="PT",UPPER(TRIM(U108))="PTE"),OR($C$10="",N($C$10)&gt;=PT_MinHours)),"PT","None")))</f>
        <v>FT</v>
      </c>
      <c r="W108" s="19" t="n">
        <v>1</v>
      </c>
      <c r="X108" s="19" t="n">
        <f aca="false">IF(T108="","",IF(AND(V108="PT",T108&lt;=AsOfDate),W108,0))</f>
        <v>0</v>
      </c>
      <c r="Z108" s="22" t="n">
        <f aca="false">I108</f>
        <v>306</v>
      </c>
      <c r="AA108" s="22" t="n">
        <f aca="false">SMALL($Z$20:$Z$199,89)</f>
        <v>200</v>
      </c>
      <c r="AB108" s="22" t="str">
        <f aca="false">IF(89-COUNTIF($Z$20:$Z$199,"&lt;"&amp;AA108)=1,IF(COUNTIF($I$20:$I$109,AA108)&gt;0,"FT","PT"),"PT")</f>
        <v>PT</v>
      </c>
      <c r="AC108" s="22" t="n">
        <f aca="false">IF(AB108="FT",INDEX($N$20:$N$109,MATCH(AA108,$I$20:$I$109,0)),1)</f>
        <v>1</v>
      </c>
    </row>
    <row r="109" customFormat="false" ht="15" hidden="false" customHeight="false" outlineLevel="0" collapsed="false">
      <c r="H109" s="19" t="n">
        <v>90</v>
      </c>
      <c r="I109" s="19" t="n">
        <f aca="false">IF(89&lt;FT_PreY5,FT_First+FT_Int1*89,FT_Y5+FT_Int2*(89-FT_PreY5))</f>
        <v>309</v>
      </c>
      <c r="J109" s="19" t="str">
        <f aca="false">INT(I109/12)&amp;"y "&amp;MOD(I109,12)&amp;"m"</f>
        <v>25y 9m</v>
      </c>
      <c r="K109" s="17" t="n">
        <f aca="false">IF(OR($C$6&lt;&gt;"Yes",$C$8=""),"",EDATE($C$8,I109))</f>
        <v>53130</v>
      </c>
      <c r="L109" s="19" t="str">
        <f aca="false">IF(K109="","",IF($C$16=0,$C$9,IF(AND($C$14&lt;&gt;"",K109&gt;=$C$14),$C$15,IF(AND($C$12&lt;&gt;"",K109&gt;=$C$12),$C$13,$C$11))))</f>
        <v>Full-Time</v>
      </c>
      <c r="M109" s="19" t="str">
        <f aca="false">IF(K109="","",IF(OR(ISNUMBER(SEARCH("full",L109)),UPPER(TRIM(L109))="FT",UPPER(TRIM(L109))="FTE"),"FT",IF(AND(OR(ISNUMBER(SEARCH("part",L109)),UPPER(TRIM(L109))="PT",UPPER(TRIM(L109))="PTE"),OR($C$10="",N($C$10)&gt;=PT_MinHours)),"PT","None")))</f>
        <v>FT</v>
      </c>
      <c r="N109" s="19" t="n">
        <f aca="false">IF(I109&lt;FT_Y5,1,IF(MOD(I109-FT_Y5,12)=0,FT_AnnivDays,1))</f>
        <v>1</v>
      </c>
      <c r="O109" s="19" t="n">
        <f aca="false">IF(K109="","",IF(AND(M109="FT",K109&lt;=AsOfDate),N109,0))</f>
        <v>0</v>
      </c>
      <c r="Q109" s="19" t="n">
        <v>90</v>
      </c>
      <c r="R109" s="19" t="n">
        <f aca="false">PT_First+PT_Int*89</f>
        <v>416</v>
      </c>
      <c r="S109" s="19" t="str">
        <f aca="false">INT(R109/12)&amp;"y "&amp;MOD(R109,12)&amp;"m"</f>
        <v>34y 8m</v>
      </c>
      <c r="T109" s="17" t="n">
        <f aca="false">IF(OR($C$6&lt;&gt;"Yes",$C$8=""),"",EDATE($C$8,R109))</f>
        <v>56386</v>
      </c>
      <c r="U109" s="19" t="str">
        <f aca="false">IF(T109="","",IF($C$16=0,$C$9,IF(AND($C$14&lt;&gt;"",T109&gt;=$C$14),$C$15,IF(AND($C$12&lt;&gt;"",T109&gt;=$C$12),$C$13,$C$11))))</f>
        <v>Full-Time</v>
      </c>
      <c r="V109" s="19" t="str">
        <f aca="false">IF(T109="","",IF(OR(ISNUMBER(SEARCH("full",U109)),UPPER(TRIM(U109))="FT",UPPER(TRIM(U109))="FTE"),"FT",IF(AND(OR(ISNUMBER(SEARCH("part",U109)),UPPER(TRIM(U109))="PT",UPPER(TRIM(U109))="PTE"),OR($C$10="",N($C$10)&gt;=PT_MinHours)),"PT","None")))</f>
        <v>FT</v>
      </c>
      <c r="W109" s="19" t="n">
        <v>1</v>
      </c>
      <c r="X109" s="19" t="n">
        <f aca="false">IF(T109="","",IF(AND(V109="PT",T109&lt;=AsOfDate),W109,0))</f>
        <v>0</v>
      </c>
      <c r="Z109" s="22" t="n">
        <f aca="false">I109</f>
        <v>309</v>
      </c>
      <c r="AA109" s="22" t="n">
        <f aca="false">SMALL($Z$20:$Z$199,90)</f>
        <v>201</v>
      </c>
      <c r="AB109" s="22" t="str">
        <f aca="false">IF(90-COUNTIF($Z$20:$Z$199,"&lt;"&amp;AA109)=1,IF(COUNTIF($I$20:$I$109,AA109)&gt;0,"FT","PT"),"PT")</f>
        <v>FT</v>
      </c>
      <c r="AC109" s="22" t="n">
        <f aca="false">IF(AB109="FT",INDEX($N$20:$N$109,MATCH(AA109,$I$20:$I$109,0)),1)</f>
        <v>1</v>
      </c>
    </row>
    <row r="110" customFormat="false" ht="15" hidden="false" customHeight="false" outlineLevel="0" collapsed="false">
      <c r="Z110" s="22" t="n">
        <f aca="false">R20</f>
        <v>60</v>
      </c>
      <c r="AA110" s="22" t="n">
        <f aca="false">SMALL($Z$20:$Z$199,91)</f>
        <v>204</v>
      </c>
      <c r="AB110" s="22" t="str">
        <f aca="false">IF(91-COUNTIF($Z$20:$Z$199,"&lt;"&amp;AA110)=1,IF(COUNTIF($I$20:$I$109,AA110)&gt;0,"FT","PT"),"PT")</f>
        <v>FT</v>
      </c>
      <c r="AC110" s="22" t="n">
        <f aca="false">IF(AB110="FT",INDEX($N$20:$N$109,MATCH(AA110,$I$20:$I$109,0)),1)</f>
        <v>2</v>
      </c>
    </row>
    <row r="111" customFormat="false" ht="15" hidden="false" customHeight="false" outlineLevel="0" collapsed="false">
      <c r="Z111" s="22" t="n">
        <f aca="false">R21</f>
        <v>64</v>
      </c>
      <c r="AA111" s="22" t="n">
        <f aca="false">SMALL($Z$20:$Z$199,92)</f>
        <v>204</v>
      </c>
      <c r="AB111" s="22" t="str">
        <f aca="false">IF(92-COUNTIF($Z$20:$Z$199,"&lt;"&amp;AA111)=1,IF(COUNTIF($I$20:$I$109,AA111)&gt;0,"FT","PT"),"PT")</f>
        <v>PT</v>
      </c>
      <c r="AC111" s="22" t="n">
        <f aca="false">IF(AB111="FT",INDEX($N$20:$N$109,MATCH(AA111,$I$20:$I$109,0)),1)</f>
        <v>1</v>
      </c>
    </row>
    <row r="112" customFormat="false" ht="15" hidden="false" customHeight="false" outlineLevel="0" collapsed="false">
      <c r="Z112" s="22" t="n">
        <f aca="false">R22</f>
        <v>68</v>
      </c>
      <c r="AA112" s="22" t="n">
        <f aca="false">SMALL($Z$20:$Z$199,93)</f>
        <v>207</v>
      </c>
      <c r="AB112" s="22" t="str">
        <f aca="false">IF(93-COUNTIF($Z$20:$Z$199,"&lt;"&amp;AA112)=1,IF(COUNTIF($I$20:$I$109,AA112)&gt;0,"FT","PT"),"PT")</f>
        <v>FT</v>
      </c>
      <c r="AC112" s="22" t="n">
        <f aca="false">IF(AB112="FT",INDEX($N$20:$N$109,MATCH(AA112,$I$20:$I$109,0)),1)</f>
        <v>1</v>
      </c>
    </row>
    <row r="113" customFormat="false" ht="15" hidden="false" customHeight="false" outlineLevel="0" collapsed="false">
      <c r="Z113" s="22" t="n">
        <f aca="false">R23</f>
        <v>72</v>
      </c>
      <c r="AA113" s="22" t="n">
        <f aca="false">SMALL($Z$20:$Z$199,94)</f>
        <v>208</v>
      </c>
      <c r="AB113" s="22" t="str">
        <f aca="false">IF(94-COUNTIF($Z$20:$Z$199,"&lt;"&amp;AA113)=1,IF(COUNTIF($I$20:$I$109,AA113)&gt;0,"FT","PT"),"PT")</f>
        <v>PT</v>
      </c>
      <c r="AC113" s="22" t="n">
        <f aca="false">IF(AB113="FT",INDEX($N$20:$N$109,MATCH(AA113,$I$20:$I$109,0)),1)</f>
        <v>1</v>
      </c>
    </row>
    <row r="114" customFormat="false" ht="15" hidden="false" customHeight="false" outlineLevel="0" collapsed="false">
      <c r="Z114" s="22" t="n">
        <f aca="false">R24</f>
        <v>76</v>
      </c>
      <c r="AA114" s="22" t="n">
        <f aca="false">SMALL($Z$20:$Z$199,95)</f>
        <v>210</v>
      </c>
      <c r="AB114" s="22" t="str">
        <f aca="false">IF(95-COUNTIF($Z$20:$Z$199,"&lt;"&amp;AA114)=1,IF(COUNTIF($I$20:$I$109,AA114)&gt;0,"FT","PT"),"PT")</f>
        <v>FT</v>
      </c>
      <c r="AC114" s="22" t="n">
        <f aca="false">IF(AB114="FT",INDEX($N$20:$N$109,MATCH(AA114,$I$20:$I$109,0)),1)</f>
        <v>1</v>
      </c>
    </row>
    <row r="115" customFormat="false" ht="15" hidden="false" customHeight="false" outlineLevel="0" collapsed="false">
      <c r="Z115" s="22" t="n">
        <f aca="false">R25</f>
        <v>80</v>
      </c>
      <c r="AA115" s="22" t="n">
        <f aca="false">SMALL($Z$20:$Z$199,96)</f>
        <v>212</v>
      </c>
      <c r="AB115" s="22" t="str">
        <f aca="false">IF(96-COUNTIF($Z$20:$Z$199,"&lt;"&amp;AA115)=1,IF(COUNTIF($I$20:$I$109,AA115)&gt;0,"FT","PT"),"PT")</f>
        <v>PT</v>
      </c>
      <c r="AC115" s="22" t="n">
        <f aca="false">IF(AB115="FT",INDEX($N$20:$N$109,MATCH(AA115,$I$20:$I$109,0)),1)</f>
        <v>1</v>
      </c>
    </row>
    <row r="116" customFormat="false" ht="15" hidden="false" customHeight="false" outlineLevel="0" collapsed="false">
      <c r="Z116" s="22" t="n">
        <f aca="false">R26</f>
        <v>84</v>
      </c>
      <c r="AA116" s="22" t="n">
        <f aca="false">SMALL($Z$20:$Z$199,97)</f>
        <v>213</v>
      </c>
      <c r="AB116" s="22" t="str">
        <f aca="false">IF(97-COUNTIF($Z$20:$Z$199,"&lt;"&amp;AA116)=1,IF(COUNTIF($I$20:$I$109,AA116)&gt;0,"FT","PT"),"PT")</f>
        <v>FT</v>
      </c>
      <c r="AC116" s="22" t="n">
        <f aca="false">IF(AB116="FT",INDEX($N$20:$N$109,MATCH(AA116,$I$20:$I$109,0)),1)</f>
        <v>1</v>
      </c>
    </row>
    <row r="117" customFormat="false" ht="15" hidden="false" customHeight="false" outlineLevel="0" collapsed="false">
      <c r="Z117" s="22" t="n">
        <f aca="false">R27</f>
        <v>88</v>
      </c>
      <c r="AA117" s="22" t="n">
        <f aca="false">SMALL($Z$20:$Z$199,98)</f>
        <v>216</v>
      </c>
      <c r="AB117" s="22" t="str">
        <f aca="false">IF(98-COUNTIF($Z$20:$Z$199,"&lt;"&amp;AA117)=1,IF(COUNTIF($I$20:$I$109,AA117)&gt;0,"FT","PT"),"PT")</f>
        <v>FT</v>
      </c>
      <c r="AC117" s="22" t="n">
        <f aca="false">IF(AB117="FT",INDEX($N$20:$N$109,MATCH(AA117,$I$20:$I$109,0)),1)</f>
        <v>2</v>
      </c>
    </row>
    <row r="118" customFormat="false" ht="15" hidden="false" customHeight="false" outlineLevel="0" collapsed="false">
      <c r="Z118" s="22" t="n">
        <f aca="false">R28</f>
        <v>92</v>
      </c>
      <c r="AA118" s="22" t="n">
        <f aca="false">SMALL($Z$20:$Z$199,99)</f>
        <v>216</v>
      </c>
      <c r="AB118" s="22" t="str">
        <f aca="false">IF(99-COUNTIF($Z$20:$Z$199,"&lt;"&amp;AA118)=1,IF(COUNTIF($I$20:$I$109,AA118)&gt;0,"FT","PT"),"PT")</f>
        <v>PT</v>
      </c>
      <c r="AC118" s="22" t="n">
        <f aca="false">IF(AB118="FT",INDEX($N$20:$N$109,MATCH(AA118,$I$20:$I$109,0)),1)</f>
        <v>1</v>
      </c>
    </row>
    <row r="119" customFormat="false" ht="15" hidden="false" customHeight="false" outlineLevel="0" collapsed="false">
      <c r="Z119" s="22" t="n">
        <f aca="false">R29</f>
        <v>96</v>
      </c>
      <c r="AA119" s="22" t="n">
        <f aca="false">SMALL($Z$20:$Z$199,100)</f>
        <v>219</v>
      </c>
      <c r="AB119" s="22" t="str">
        <f aca="false">IF(100-COUNTIF($Z$20:$Z$199,"&lt;"&amp;AA119)=1,IF(COUNTIF($I$20:$I$109,AA119)&gt;0,"FT","PT"),"PT")</f>
        <v>FT</v>
      </c>
      <c r="AC119" s="22" t="n">
        <f aca="false">IF(AB119="FT",INDEX($N$20:$N$109,MATCH(AA119,$I$20:$I$109,0)),1)</f>
        <v>1</v>
      </c>
    </row>
    <row r="120" customFormat="false" ht="15" hidden="false" customHeight="false" outlineLevel="0" collapsed="false">
      <c r="Z120" s="22" t="n">
        <f aca="false">R30</f>
        <v>100</v>
      </c>
      <c r="AA120" s="22" t="n">
        <f aca="false">SMALL($Z$20:$Z$199,101)</f>
        <v>220</v>
      </c>
      <c r="AB120" s="22" t="str">
        <f aca="false">IF(101-COUNTIF($Z$20:$Z$199,"&lt;"&amp;AA120)=1,IF(COUNTIF($I$20:$I$109,AA120)&gt;0,"FT","PT"),"PT")</f>
        <v>PT</v>
      </c>
      <c r="AC120" s="22" t="n">
        <f aca="false">IF(AB120="FT",INDEX($N$20:$N$109,MATCH(AA120,$I$20:$I$109,0)),1)</f>
        <v>1</v>
      </c>
    </row>
    <row r="121" customFormat="false" ht="15" hidden="false" customHeight="false" outlineLevel="0" collapsed="false">
      <c r="Z121" s="22" t="n">
        <f aca="false">R31</f>
        <v>104</v>
      </c>
      <c r="AA121" s="22" t="n">
        <f aca="false">SMALL($Z$20:$Z$199,102)</f>
        <v>222</v>
      </c>
      <c r="AB121" s="22" t="str">
        <f aca="false">IF(102-COUNTIF($Z$20:$Z$199,"&lt;"&amp;AA121)=1,IF(COUNTIF($I$20:$I$109,AA121)&gt;0,"FT","PT"),"PT")</f>
        <v>FT</v>
      </c>
      <c r="AC121" s="22" t="n">
        <f aca="false">IF(AB121="FT",INDEX($N$20:$N$109,MATCH(AA121,$I$20:$I$109,0)),1)</f>
        <v>1</v>
      </c>
    </row>
    <row r="122" customFormat="false" ht="15" hidden="false" customHeight="false" outlineLevel="0" collapsed="false">
      <c r="Z122" s="22" t="n">
        <f aca="false">R32</f>
        <v>108</v>
      </c>
      <c r="AA122" s="22" t="n">
        <f aca="false">SMALL($Z$20:$Z$199,103)</f>
        <v>224</v>
      </c>
      <c r="AB122" s="22" t="str">
        <f aca="false">IF(103-COUNTIF($Z$20:$Z$199,"&lt;"&amp;AA122)=1,IF(COUNTIF($I$20:$I$109,AA122)&gt;0,"FT","PT"),"PT")</f>
        <v>PT</v>
      </c>
      <c r="AC122" s="22" t="n">
        <f aca="false">IF(AB122="FT",INDEX($N$20:$N$109,MATCH(AA122,$I$20:$I$109,0)),1)</f>
        <v>1</v>
      </c>
    </row>
    <row r="123" customFormat="false" ht="15" hidden="false" customHeight="false" outlineLevel="0" collapsed="false">
      <c r="Z123" s="22" t="n">
        <f aca="false">R33</f>
        <v>112</v>
      </c>
      <c r="AA123" s="22" t="n">
        <f aca="false">SMALL($Z$20:$Z$199,104)</f>
        <v>225</v>
      </c>
      <c r="AB123" s="22" t="str">
        <f aca="false">IF(104-COUNTIF($Z$20:$Z$199,"&lt;"&amp;AA123)=1,IF(COUNTIF($I$20:$I$109,AA123)&gt;0,"FT","PT"),"PT")</f>
        <v>FT</v>
      </c>
      <c r="AC123" s="22" t="n">
        <f aca="false">IF(AB123="FT",INDEX($N$20:$N$109,MATCH(AA123,$I$20:$I$109,0)),1)</f>
        <v>1</v>
      </c>
    </row>
    <row r="124" customFormat="false" ht="15" hidden="false" customHeight="false" outlineLevel="0" collapsed="false">
      <c r="Z124" s="22" t="n">
        <f aca="false">R34</f>
        <v>116</v>
      </c>
      <c r="AA124" s="22" t="n">
        <f aca="false">SMALL($Z$20:$Z$199,105)</f>
        <v>228</v>
      </c>
      <c r="AB124" s="22" t="str">
        <f aca="false">IF(105-COUNTIF($Z$20:$Z$199,"&lt;"&amp;AA124)=1,IF(COUNTIF($I$20:$I$109,AA124)&gt;0,"FT","PT"),"PT")</f>
        <v>FT</v>
      </c>
      <c r="AC124" s="22" t="n">
        <f aca="false">IF(AB124="FT",INDEX($N$20:$N$109,MATCH(AA124,$I$20:$I$109,0)),1)</f>
        <v>2</v>
      </c>
    </row>
    <row r="125" customFormat="false" ht="15" hidden="false" customHeight="false" outlineLevel="0" collapsed="false">
      <c r="Z125" s="22" t="n">
        <f aca="false">R35</f>
        <v>120</v>
      </c>
      <c r="AA125" s="22" t="n">
        <f aca="false">SMALL($Z$20:$Z$199,106)</f>
        <v>228</v>
      </c>
      <c r="AB125" s="22" t="str">
        <f aca="false">IF(106-COUNTIF($Z$20:$Z$199,"&lt;"&amp;AA125)=1,IF(COUNTIF($I$20:$I$109,AA125)&gt;0,"FT","PT"),"PT")</f>
        <v>PT</v>
      </c>
      <c r="AC125" s="22" t="n">
        <f aca="false">IF(AB125="FT",INDEX($N$20:$N$109,MATCH(AA125,$I$20:$I$109,0)),1)</f>
        <v>1</v>
      </c>
    </row>
    <row r="126" customFormat="false" ht="15" hidden="false" customHeight="false" outlineLevel="0" collapsed="false">
      <c r="Z126" s="22" t="n">
        <f aca="false">R36</f>
        <v>124</v>
      </c>
      <c r="AA126" s="22" t="n">
        <f aca="false">SMALL($Z$20:$Z$199,107)</f>
        <v>231</v>
      </c>
      <c r="AB126" s="22" t="str">
        <f aca="false">IF(107-COUNTIF($Z$20:$Z$199,"&lt;"&amp;AA126)=1,IF(COUNTIF($I$20:$I$109,AA126)&gt;0,"FT","PT"),"PT")</f>
        <v>FT</v>
      </c>
      <c r="AC126" s="22" t="n">
        <f aca="false">IF(AB126="FT",INDEX($N$20:$N$109,MATCH(AA126,$I$20:$I$109,0)),1)</f>
        <v>1</v>
      </c>
    </row>
    <row r="127" customFormat="false" ht="15" hidden="false" customHeight="false" outlineLevel="0" collapsed="false">
      <c r="Z127" s="22" t="n">
        <f aca="false">R37</f>
        <v>128</v>
      </c>
      <c r="AA127" s="22" t="n">
        <f aca="false">SMALL($Z$20:$Z$199,108)</f>
        <v>232</v>
      </c>
      <c r="AB127" s="22" t="str">
        <f aca="false">IF(108-COUNTIF($Z$20:$Z$199,"&lt;"&amp;AA127)=1,IF(COUNTIF($I$20:$I$109,AA127)&gt;0,"FT","PT"),"PT")</f>
        <v>PT</v>
      </c>
      <c r="AC127" s="22" t="n">
        <f aca="false">IF(AB127="FT",INDEX($N$20:$N$109,MATCH(AA127,$I$20:$I$109,0)),1)</f>
        <v>1</v>
      </c>
    </row>
    <row r="128" customFormat="false" ht="15" hidden="false" customHeight="false" outlineLevel="0" collapsed="false">
      <c r="Z128" s="22" t="n">
        <f aca="false">R38</f>
        <v>132</v>
      </c>
      <c r="AA128" s="22" t="n">
        <f aca="false">SMALL($Z$20:$Z$199,109)</f>
        <v>234</v>
      </c>
      <c r="AB128" s="22" t="str">
        <f aca="false">IF(109-COUNTIF($Z$20:$Z$199,"&lt;"&amp;AA128)=1,IF(COUNTIF($I$20:$I$109,AA128)&gt;0,"FT","PT"),"PT")</f>
        <v>FT</v>
      </c>
      <c r="AC128" s="22" t="n">
        <f aca="false">IF(AB128="FT",INDEX($N$20:$N$109,MATCH(AA128,$I$20:$I$109,0)),1)</f>
        <v>1</v>
      </c>
    </row>
    <row r="129" customFormat="false" ht="15" hidden="false" customHeight="false" outlineLevel="0" collapsed="false">
      <c r="Z129" s="22" t="n">
        <f aca="false">R39</f>
        <v>136</v>
      </c>
      <c r="AA129" s="22" t="n">
        <f aca="false">SMALL($Z$20:$Z$199,110)</f>
        <v>236</v>
      </c>
      <c r="AB129" s="22" t="str">
        <f aca="false">IF(110-COUNTIF($Z$20:$Z$199,"&lt;"&amp;AA129)=1,IF(COUNTIF($I$20:$I$109,AA129)&gt;0,"FT","PT"),"PT")</f>
        <v>PT</v>
      </c>
      <c r="AC129" s="22" t="n">
        <f aca="false">IF(AB129="FT",INDEX($N$20:$N$109,MATCH(AA129,$I$20:$I$109,0)),1)</f>
        <v>1</v>
      </c>
    </row>
    <row r="130" customFormat="false" ht="15" hidden="false" customHeight="false" outlineLevel="0" collapsed="false">
      <c r="Z130" s="22" t="n">
        <f aca="false">R40</f>
        <v>140</v>
      </c>
      <c r="AA130" s="22" t="n">
        <f aca="false">SMALL($Z$20:$Z$199,111)</f>
        <v>237</v>
      </c>
      <c r="AB130" s="22" t="str">
        <f aca="false">IF(111-COUNTIF($Z$20:$Z$199,"&lt;"&amp;AA130)=1,IF(COUNTIF($I$20:$I$109,AA130)&gt;0,"FT","PT"),"PT")</f>
        <v>FT</v>
      </c>
      <c r="AC130" s="22" t="n">
        <f aca="false">IF(AB130="FT",INDEX($N$20:$N$109,MATCH(AA130,$I$20:$I$109,0)),1)</f>
        <v>1</v>
      </c>
    </row>
    <row r="131" customFormat="false" ht="15" hidden="false" customHeight="false" outlineLevel="0" collapsed="false">
      <c r="Z131" s="22" t="n">
        <f aca="false">R41</f>
        <v>144</v>
      </c>
      <c r="AA131" s="22" t="n">
        <f aca="false">SMALL($Z$20:$Z$199,112)</f>
        <v>240</v>
      </c>
      <c r="AB131" s="22" t="str">
        <f aca="false">IF(112-COUNTIF($Z$20:$Z$199,"&lt;"&amp;AA131)=1,IF(COUNTIF($I$20:$I$109,AA131)&gt;0,"FT","PT"),"PT")</f>
        <v>FT</v>
      </c>
      <c r="AC131" s="22" t="n">
        <f aca="false">IF(AB131="FT",INDEX($N$20:$N$109,MATCH(AA131,$I$20:$I$109,0)),1)</f>
        <v>2</v>
      </c>
    </row>
    <row r="132" customFormat="false" ht="15" hidden="false" customHeight="false" outlineLevel="0" collapsed="false">
      <c r="Z132" s="22" t="n">
        <f aca="false">R42</f>
        <v>148</v>
      </c>
      <c r="AA132" s="22" t="n">
        <f aca="false">SMALL($Z$20:$Z$199,113)</f>
        <v>240</v>
      </c>
      <c r="AB132" s="22" t="str">
        <f aca="false">IF(113-COUNTIF($Z$20:$Z$199,"&lt;"&amp;AA132)=1,IF(COUNTIF($I$20:$I$109,AA132)&gt;0,"FT","PT"),"PT")</f>
        <v>PT</v>
      </c>
      <c r="AC132" s="22" t="n">
        <f aca="false">IF(AB132="FT",INDEX($N$20:$N$109,MATCH(AA132,$I$20:$I$109,0)),1)</f>
        <v>1</v>
      </c>
    </row>
    <row r="133" customFormat="false" ht="15" hidden="false" customHeight="false" outlineLevel="0" collapsed="false">
      <c r="Z133" s="22" t="n">
        <f aca="false">R43</f>
        <v>152</v>
      </c>
      <c r="AA133" s="22" t="n">
        <f aca="false">SMALL($Z$20:$Z$199,114)</f>
        <v>243</v>
      </c>
      <c r="AB133" s="22" t="str">
        <f aca="false">IF(114-COUNTIF($Z$20:$Z$199,"&lt;"&amp;AA133)=1,IF(COUNTIF($I$20:$I$109,AA133)&gt;0,"FT","PT"),"PT")</f>
        <v>FT</v>
      </c>
      <c r="AC133" s="22" t="n">
        <f aca="false">IF(AB133="FT",INDEX($N$20:$N$109,MATCH(AA133,$I$20:$I$109,0)),1)</f>
        <v>1</v>
      </c>
    </row>
    <row r="134" customFormat="false" ht="15" hidden="false" customHeight="false" outlineLevel="0" collapsed="false">
      <c r="Z134" s="22" t="n">
        <f aca="false">R44</f>
        <v>156</v>
      </c>
      <c r="AA134" s="22" t="n">
        <f aca="false">SMALL($Z$20:$Z$199,115)</f>
        <v>244</v>
      </c>
      <c r="AB134" s="22" t="str">
        <f aca="false">IF(115-COUNTIF($Z$20:$Z$199,"&lt;"&amp;AA134)=1,IF(COUNTIF($I$20:$I$109,AA134)&gt;0,"FT","PT"),"PT")</f>
        <v>PT</v>
      </c>
      <c r="AC134" s="22" t="n">
        <f aca="false">IF(AB134="FT",INDEX($N$20:$N$109,MATCH(AA134,$I$20:$I$109,0)),1)</f>
        <v>1</v>
      </c>
    </row>
    <row r="135" customFormat="false" ht="15" hidden="false" customHeight="false" outlineLevel="0" collapsed="false">
      <c r="Z135" s="22" t="n">
        <f aca="false">R45</f>
        <v>160</v>
      </c>
      <c r="AA135" s="22" t="n">
        <f aca="false">SMALL($Z$20:$Z$199,116)</f>
        <v>246</v>
      </c>
      <c r="AB135" s="22" t="str">
        <f aca="false">IF(116-COUNTIF($Z$20:$Z$199,"&lt;"&amp;AA135)=1,IF(COUNTIF($I$20:$I$109,AA135)&gt;0,"FT","PT"),"PT")</f>
        <v>FT</v>
      </c>
      <c r="AC135" s="22" t="n">
        <f aca="false">IF(AB135="FT",INDEX($N$20:$N$109,MATCH(AA135,$I$20:$I$109,0)),1)</f>
        <v>1</v>
      </c>
    </row>
    <row r="136" customFormat="false" ht="15" hidden="false" customHeight="false" outlineLevel="0" collapsed="false">
      <c r="Z136" s="22" t="n">
        <f aca="false">R46</f>
        <v>164</v>
      </c>
      <c r="AA136" s="22" t="n">
        <f aca="false">SMALL($Z$20:$Z$199,117)</f>
        <v>248</v>
      </c>
      <c r="AB136" s="22" t="str">
        <f aca="false">IF(117-COUNTIF($Z$20:$Z$199,"&lt;"&amp;AA136)=1,IF(COUNTIF($I$20:$I$109,AA136)&gt;0,"FT","PT"),"PT")</f>
        <v>PT</v>
      </c>
      <c r="AC136" s="22" t="n">
        <f aca="false">IF(AB136="FT",INDEX($N$20:$N$109,MATCH(AA136,$I$20:$I$109,0)),1)</f>
        <v>1</v>
      </c>
    </row>
    <row r="137" customFormat="false" ht="15" hidden="false" customHeight="false" outlineLevel="0" collapsed="false">
      <c r="Z137" s="22" t="n">
        <f aca="false">R47</f>
        <v>168</v>
      </c>
      <c r="AA137" s="22" t="n">
        <f aca="false">SMALL($Z$20:$Z$199,118)</f>
        <v>249</v>
      </c>
      <c r="AB137" s="22" t="str">
        <f aca="false">IF(118-COUNTIF($Z$20:$Z$199,"&lt;"&amp;AA137)=1,IF(COUNTIF($I$20:$I$109,AA137)&gt;0,"FT","PT"),"PT")</f>
        <v>FT</v>
      </c>
      <c r="AC137" s="22" t="n">
        <f aca="false">IF(AB137="FT",INDEX($N$20:$N$109,MATCH(AA137,$I$20:$I$109,0)),1)</f>
        <v>1</v>
      </c>
    </row>
    <row r="138" customFormat="false" ht="15" hidden="false" customHeight="false" outlineLevel="0" collapsed="false">
      <c r="Z138" s="22" t="n">
        <f aca="false">R48</f>
        <v>172</v>
      </c>
      <c r="AA138" s="22" t="n">
        <f aca="false">SMALL($Z$20:$Z$199,119)</f>
        <v>252</v>
      </c>
      <c r="AB138" s="22" t="str">
        <f aca="false">IF(119-COUNTIF($Z$20:$Z$199,"&lt;"&amp;AA138)=1,IF(COUNTIF($I$20:$I$109,AA138)&gt;0,"FT","PT"),"PT")</f>
        <v>FT</v>
      </c>
      <c r="AC138" s="22" t="n">
        <f aca="false">IF(AB138="FT",INDEX($N$20:$N$109,MATCH(AA138,$I$20:$I$109,0)),1)</f>
        <v>2</v>
      </c>
    </row>
    <row r="139" customFormat="false" ht="15" hidden="false" customHeight="false" outlineLevel="0" collapsed="false">
      <c r="Z139" s="22" t="n">
        <f aca="false">R49</f>
        <v>176</v>
      </c>
      <c r="AA139" s="22" t="n">
        <f aca="false">SMALL($Z$20:$Z$199,120)</f>
        <v>252</v>
      </c>
      <c r="AB139" s="22" t="str">
        <f aca="false">IF(120-COUNTIF($Z$20:$Z$199,"&lt;"&amp;AA139)=1,IF(COUNTIF($I$20:$I$109,AA139)&gt;0,"FT","PT"),"PT")</f>
        <v>PT</v>
      </c>
      <c r="AC139" s="22" t="n">
        <f aca="false">IF(AB139="FT",INDEX($N$20:$N$109,MATCH(AA139,$I$20:$I$109,0)),1)</f>
        <v>1</v>
      </c>
    </row>
    <row r="140" customFormat="false" ht="15" hidden="false" customHeight="false" outlineLevel="0" collapsed="false">
      <c r="Z140" s="22" t="n">
        <f aca="false">R50</f>
        <v>180</v>
      </c>
      <c r="AA140" s="22" t="n">
        <f aca="false">SMALL($Z$20:$Z$199,121)</f>
        <v>255</v>
      </c>
      <c r="AB140" s="22" t="str">
        <f aca="false">IF(121-COUNTIF($Z$20:$Z$199,"&lt;"&amp;AA140)=1,IF(COUNTIF($I$20:$I$109,AA140)&gt;0,"FT","PT"),"PT")</f>
        <v>FT</v>
      </c>
      <c r="AC140" s="22" t="n">
        <f aca="false">IF(AB140="FT",INDEX($N$20:$N$109,MATCH(AA140,$I$20:$I$109,0)),1)</f>
        <v>1</v>
      </c>
    </row>
    <row r="141" customFormat="false" ht="15" hidden="false" customHeight="false" outlineLevel="0" collapsed="false">
      <c r="Z141" s="22" t="n">
        <f aca="false">R51</f>
        <v>184</v>
      </c>
      <c r="AA141" s="22" t="n">
        <f aca="false">SMALL($Z$20:$Z$199,122)</f>
        <v>256</v>
      </c>
      <c r="AB141" s="22" t="str">
        <f aca="false">IF(122-COUNTIF($Z$20:$Z$199,"&lt;"&amp;AA141)=1,IF(COUNTIF($I$20:$I$109,AA141)&gt;0,"FT","PT"),"PT")</f>
        <v>PT</v>
      </c>
      <c r="AC141" s="22" t="n">
        <f aca="false">IF(AB141="FT",INDEX($N$20:$N$109,MATCH(AA141,$I$20:$I$109,0)),1)</f>
        <v>1</v>
      </c>
    </row>
    <row r="142" customFormat="false" ht="15" hidden="false" customHeight="false" outlineLevel="0" collapsed="false">
      <c r="Z142" s="22" t="n">
        <f aca="false">R52</f>
        <v>188</v>
      </c>
      <c r="AA142" s="22" t="n">
        <f aca="false">SMALL($Z$20:$Z$199,123)</f>
        <v>258</v>
      </c>
      <c r="AB142" s="22" t="str">
        <f aca="false">IF(123-COUNTIF($Z$20:$Z$199,"&lt;"&amp;AA142)=1,IF(COUNTIF($I$20:$I$109,AA142)&gt;0,"FT","PT"),"PT")</f>
        <v>FT</v>
      </c>
      <c r="AC142" s="22" t="n">
        <f aca="false">IF(AB142="FT",INDEX($N$20:$N$109,MATCH(AA142,$I$20:$I$109,0)),1)</f>
        <v>1</v>
      </c>
    </row>
    <row r="143" customFormat="false" ht="15" hidden="false" customHeight="false" outlineLevel="0" collapsed="false">
      <c r="Z143" s="22" t="n">
        <f aca="false">R53</f>
        <v>192</v>
      </c>
      <c r="AA143" s="22" t="n">
        <f aca="false">SMALL($Z$20:$Z$199,124)</f>
        <v>260</v>
      </c>
      <c r="AB143" s="22" t="str">
        <f aca="false">IF(124-COUNTIF($Z$20:$Z$199,"&lt;"&amp;AA143)=1,IF(COUNTIF($I$20:$I$109,AA143)&gt;0,"FT","PT"),"PT")</f>
        <v>PT</v>
      </c>
      <c r="AC143" s="22" t="n">
        <f aca="false">IF(AB143="FT",INDEX($N$20:$N$109,MATCH(AA143,$I$20:$I$109,0)),1)</f>
        <v>1</v>
      </c>
    </row>
    <row r="144" customFormat="false" ht="15" hidden="false" customHeight="false" outlineLevel="0" collapsed="false">
      <c r="Z144" s="22" t="n">
        <f aca="false">R54</f>
        <v>196</v>
      </c>
      <c r="AA144" s="22" t="n">
        <f aca="false">SMALL($Z$20:$Z$199,125)</f>
        <v>261</v>
      </c>
      <c r="AB144" s="22" t="str">
        <f aca="false">IF(125-COUNTIF($Z$20:$Z$199,"&lt;"&amp;AA144)=1,IF(COUNTIF($I$20:$I$109,AA144)&gt;0,"FT","PT"),"PT")</f>
        <v>FT</v>
      </c>
      <c r="AC144" s="22" t="n">
        <f aca="false">IF(AB144="FT",INDEX($N$20:$N$109,MATCH(AA144,$I$20:$I$109,0)),1)</f>
        <v>1</v>
      </c>
    </row>
    <row r="145" customFormat="false" ht="15" hidden="false" customHeight="false" outlineLevel="0" collapsed="false">
      <c r="Z145" s="22" t="n">
        <f aca="false">R55</f>
        <v>200</v>
      </c>
      <c r="AA145" s="22" t="n">
        <f aca="false">SMALL($Z$20:$Z$199,126)</f>
        <v>264</v>
      </c>
      <c r="AB145" s="22" t="str">
        <f aca="false">IF(126-COUNTIF($Z$20:$Z$199,"&lt;"&amp;AA145)=1,IF(COUNTIF($I$20:$I$109,AA145)&gt;0,"FT","PT"),"PT")</f>
        <v>FT</v>
      </c>
      <c r="AC145" s="22" t="n">
        <f aca="false">IF(AB145="FT",INDEX($N$20:$N$109,MATCH(AA145,$I$20:$I$109,0)),1)</f>
        <v>2</v>
      </c>
    </row>
    <row r="146" customFormat="false" ht="15" hidden="false" customHeight="false" outlineLevel="0" collapsed="false">
      <c r="Z146" s="22" t="n">
        <f aca="false">R56</f>
        <v>204</v>
      </c>
      <c r="AA146" s="22" t="n">
        <f aca="false">SMALL($Z$20:$Z$199,127)</f>
        <v>264</v>
      </c>
      <c r="AB146" s="22" t="str">
        <f aca="false">IF(127-COUNTIF($Z$20:$Z$199,"&lt;"&amp;AA146)=1,IF(COUNTIF($I$20:$I$109,AA146)&gt;0,"FT","PT"),"PT")</f>
        <v>PT</v>
      </c>
      <c r="AC146" s="22" t="n">
        <f aca="false">IF(AB146="FT",INDEX($N$20:$N$109,MATCH(AA146,$I$20:$I$109,0)),1)</f>
        <v>1</v>
      </c>
    </row>
    <row r="147" customFormat="false" ht="15" hidden="false" customHeight="false" outlineLevel="0" collapsed="false">
      <c r="Z147" s="22" t="n">
        <f aca="false">R57</f>
        <v>208</v>
      </c>
      <c r="AA147" s="22" t="n">
        <f aca="false">SMALL($Z$20:$Z$199,128)</f>
        <v>267</v>
      </c>
      <c r="AB147" s="22" t="str">
        <f aca="false">IF(128-COUNTIF($Z$20:$Z$199,"&lt;"&amp;AA147)=1,IF(COUNTIF($I$20:$I$109,AA147)&gt;0,"FT","PT"),"PT")</f>
        <v>FT</v>
      </c>
      <c r="AC147" s="22" t="n">
        <f aca="false">IF(AB147="FT",INDEX($N$20:$N$109,MATCH(AA147,$I$20:$I$109,0)),1)</f>
        <v>1</v>
      </c>
    </row>
    <row r="148" customFormat="false" ht="15" hidden="false" customHeight="false" outlineLevel="0" collapsed="false">
      <c r="Z148" s="22" t="n">
        <f aca="false">R58</f>
        <v>212</v>
      </c>
      <c r="AA148" s="22" t="n">
        <f aca="false">SMALL($Z$20:$Z$199,129)</f>
        <v>268</v>
      </c>
      <c r="AB148" s="22" t="str">
        <f aca="false">IF(129-COUNTIF($Z$20:$Z$199,"&lt;"&amp;AA148)=1,IF(COUNTIF($I$20:$I$109,AA148)&gt;0,"FT","PT"),"PT")</f>
        <v>PT</v>
      </c>
      <c r="AC148" s="22" t="n">
        <f aca="false">IF(AB148="FT",INDEX($N$20:$N$109,MATCH(AA148,$I$20:$I$109,0)),1)</f>
        <v>1</v>
      </c>
    </row>
    <row r="149" customFormat="false" ht="15" hidden="false" customHeight="false" outlineLevel="0" collapsed="false">
      <c r="Z149" s="22" t="n">
        <f aca="false">R59</f>
        <v>216</v>
      </c>
      <c r="AA149" s="22" t="n">
        <f aca="false">SMALL($Z$20:$Z$199,130)</f>
        <v>270</v>
      </c>
      <c r="AB149" s="22" t="str">
        <f aca="false">IF(130-COUNTIF($Z$20:$Z$199,"&lt;"&amp;AA149)=1,IF(COUNTIF($I$20:$I$109,AA149)&gt;0,"FT","PT"),"PT")</f>
        <v>FT</v>
      </c>
      <c r="AC149" s="22" t="n">
        <f aca="false">IF(AB149="FT",INDEX($N$20:$N$109,MATCH(AA149,$I$20:$I$109,0)),1)</f>
        <v>1</v>
      </c>
    </row>
    <row r="150" customFormat="false" ht="15" hidden="false" customHeight="false" outlineLevel="0" collapsed="false">
      <c r="Z150" s="22" t="n">
        <f aca="false">R60</f>
        <v>220</v>
      </c>
      <c r="AA150" s="22" t="n">
        <f aca="false">SMALL($Z$20:$Z$199,131)</f>
        <v>272</v>
      </c>
      <c r="AB150" s="22" t="str">
        <f aca="false">IF(131-COUNTIF($Z$20:$Z$199,"&lt;"&amp;AA150)=1,IF(COUNTIF($I$20:$I$109,AA150)&gt;0,"FT","PT"),"PT")</f>
        <v>PT</v>
      </c>
      <c r="AC150" s="22" t="n">
        <f aca="false">IF(AB150="FT",INDEX($N$20:$N$109,MATCH(AA150,$I$20:$I$109,0)),1)</f>
        <v>1</v>
      </c>
    </row>
    <row r="151" customFormat="false" ht="15" hidden="false" customHeight="false" outlineLevel="0" collapsed="false">
      <c r="Z151" s="22" t="n">
        <f aca="false">R61</f>
        <v>224</v>
      </c>
      <c r="AA151" s="22" t="n">
        <f aca="false">SMALL($Z$20:$Z$199,132)</f>
        <v>273</v>
      </c>
      <c r="AB151" s="22" t="str">
        <f aca="false">IF(132-COUNTIF($Z$20:$Z$199,"&lt;"&amp;AA151)=1,IF(COUNTIF($I$20:$I$109,AA151)&gt;0,"FT","PT"),"PT")</f>
        <v>FT</v>
      </c>
      <c r="AC151" s="22" t="n">
        <f aca="false">IF(AB151="FT",INDEX($N$20:$N$109,MATCH(AA151,$I$20:$I$109,0)),1)</f>
        <v>1</v>
      </c>
    </row>
    <row r="152" customFormat="false" ht="15" hidden="false" customHeight="false" outlineLevel="0" collapsed="false">
      <c r="Z152" s="22" t="n">
        <f aca="false">R62</f>
        <v>228</v>
      </c>
      <c r="AA152" s="22" t="n">
        <f aca="false">SMALL($Z$20:$Z$199,133)</f>
        <v>276</v>
      </c>
      <c r="AB152" s="22" t="str">
        <f aca="false">IF(133-COUNTIF($Z$20:$Z$199,"&lt;"&amp;AA152)=1,IF(COUNTIF($I$20:$I$109,AA152)&gt;0,"FT","PT"),"PT")</f>
        <v>FT</v>
      </c>
      <c r="AC152" s="22" t="n">
        <f aca="false">IF(AB152="FT",INDEX($N$20:$N$109,MATCH(AA152,$I$20:$I$109,0)),1)</f>
        <v>2</v>
      </c>
    </row>
    <row r="153" customFormat="false" ht="15" hidden="false" customHeight="false" outlineLevel="0" collapsed="false">
      <c r="Z153" s="22" t="n">
        <f aca="false">R63</f>
        <v>232</v>
      </c>
      <c r="AA153" s="22" t="n">
        <f aca="false">SMALL($Z$20:$Z$199,134)</f>
        <v>276</v>
      </c>
      <c r="AB153" s="22" t="str">
        <f aca="false">IF(134-COUNTIF($Z$20:$Z$199,"&lt;"&amp;AA153)=1,IF(COUNTIF($I$20:$I$109,AA153)&gt;0,"FT","PT"),"PT")</f>
        <v>PT</v>
      </c>
      <c r="AC153" s="22" t="n">
        <f aca="false">IF(AB153="FT",INDEX($N$20:$N$109,MATCH(AA153,$I$20:$I$109,0)),1)</f>
        <v>1</v>
      </c>
    </row>
    <row r="154" customFormat="false" ht="15" hidden="false" customHeight="false" outlineLevel="0" collapsed="false">
      <c r="Z154" s="22" t="n">
        <f aca="false">R64</f>
        <v>236</v>
      </c>
      <c r="AA154" s="22" t="n">
        <f aca="false">SMALL($Z$20:$Z$199,135)</f>
        <v>279</v>
      </c>
      <c r="AB154" s="22" t="str">
        <f aca="false">IF(135-COUNTIF($Z$20:$Z$199,"&lt;"&amp;AA154)=1,IF(COUNTIF($I$20:$I$109,AA154)&gt;0,"FT","PT"),"PT")</f>
        <v>FT</v>
      </c>
      <c r="AC154" s="22" t="n">
        <f aca="false">IF(AB154="FT",INDEX($N$20:$N$109,MATCH(AA154,$I$20:$I$109,0)),1)</f>
        <v>1</v>
      </c>
    </row>
    <row r="155" customFormat="false" ht="15" hidden="false" customHeight="false" outlineLevel="0" collapsed="false">
      <c r="Z155" s="22" t="n">
        <f aca="false">R65</f>
        <v>240</v>
      </c>
      <c r="AA155" s="22" t="n">
        <f aca="false">SMALL($Z$20:$Z$199,136)</f>
        <v>280</v>
      </c>
      <c r="AB155" s="22" t="str">
        <f aca="false">IF(136-COUNTIF($Z$20:$Z$199,"&lt;"&amp;AA155)=1,IF(COUNTIF($I$20:$I$109,AA155)&gt;0,"FT","PT"),"PT")</f>
        <v>PT</v>
      </c>
      <c r="AC155" s="22" t="n">
        <f aca="false">IF(AB155="FT",INDEX($N$20:$N$109,MATCH(AA155,$I$20:$I$109,0)),1)</f>
        <v>1</v>
      </c>
    </row>
    <row r="156" customFormat="false" ht="15" hidden="false" customHeight="false" outlineLevel="0" collapsed="false">
      <c r="Z156" s="22" t="n">
        <f aca="false">R66</f>
        <v>244</v>
      </c>
      <c r="AA156" s="22" t="n">
        <f aca="false">SMALL($Z$20:$Z$199,137)</f>
        <v>282</v>
      </c>
      <c r="AB156" s="22" t="str">
        <f aca="false">IF(137-COUNTIF($Z$20:$Z$199,"&lt;"&amp;AA156)=1,IF(COUNTIF($I$20:$I$109,AA156)&gt;0,"FT","PT"),"PT")</f>
        <v>FT</v>
      </c>
      <c r="AC156" s="22" t="n">
        <f aca="false">IF(AB156="FT",INDEX($N$20:$N$109,MATCH(AA156,$I$20:$I$109,0)),1)</f>
        <v>1</v>
      </c>
    </row>
    <row r="157" customFormat="false" ht="15" hidden="false" customHeight="false" outlineLevel="0" collapsed="false">
      <c r="Z157" s="22" t="n">
        <f aca="false">R67</f>
        <v>248</v>
      </c>
      <c r="AA157" s="22" t="n">
        <f aca="false">SMALL($Z$20:$Z$199,138)</f>
        <v>284</v>
      </c>
      <c r="AB157" s="22" t="str">
        <f aca="false">IF(138-COUNTIF($Z$20:$Z$199,"&lt;"&amp;AA157)=1,IF(COUNTIF($I$20:$I$109,AA157)&gt;0,"FT","PT"),"PT")</f>
        <v>PT</v>
      </c>
      <c r="AC157" s="22" t="n">
        <f aca="false">IF(AB157="FT",INDEX($N$20:$N$109,MATCH(AA157,$I$20:$I$109,0)),1)</f>
        <v>1</v>
      </c>
    </row>
    <row r="158" customFormat="false" ht="15" hidden="false" customHeight="false" outlineLevel="0" collapsed="false">
      <c r="Z158" s="22" t="n">
        <f aca="false">R68</f>
        <v>252</v>
      </c>
      <c r="AA158" s="22" t="n">
        <f aca="false">SMALL($Z$20:$Z$199,139)</f>
        <v>285</v>
      </c>
      <c r="AB158" s="22" t="str">
        <f aca="false">IF(139-COUNTIF($Z$20:$Z$199,"&lt;"&amp;AA158)=1,IF(COUNTIF($I$20:$I$109,AA158)&gt;0,"FT","PT"),"PT")</f>
        <v>FT</v>
      </c>
      <c r="AC158" s="22" t="n">
        <f aca="false">IF(AB158="FT",INDEX($N$20:$N$109,MATCH(AA158,$I$20:$I$109,0)),1)</f>
        <v>1</v>
      </c>
    </row>
    <row r="159" customFormat="false" ht="15" hidden="false" customHeight="false" outlineLevel="0" collapsed="false">
      <c r="Z159" s="22" t="n">
        <f aca="false">R69</f>
        <v>256</v>
      </c>
      <c r="AA159" s="22" t="n">
        <f aca="false">SMALL($Z$20:$Z$199,140)</f>
        <v>288</v>
      </c>
      <c r="AB159" s="22" t="str">
        <f aca="false">IF(140-COUNTIF($Z$20:$Z$199,"&lt;"&amp;AA159)=1,IF(COUNTIF($I$20:$I$109,AA159)&gt;0,"FT","PT"),"PT")</f>
        <v>FT</v>
      </c>
      <c r="AC159" s="22" t="n">
        <f aca="false">IF(AB159="FT",INDEX($N$20:$N$109,MATCH(AA159,$I$20:$I$109,0)),1)</f>
        <v>2</v>
      </c>
    </row>
    <row r="160" customFormat="false" ht="15" hidden="false" customHeight="false" outlineLevel="0" collapsed="false">
      <c r="Z160" s="22" t="n">
        <f aca="false">R70</f>
        <v>260</v>
      </c>
      <c r="AA160" s="22" t="n">
        <f aca="false">SMALL($Z$20:$Z$199,141)</f>
        <v>288</v>
      </c>
      <c r="AB160" s="22" t="str">
        <f aca="false">IF(141-COUNTIF($Z$20:$Z$199,"&lt;"&amp;AA160)=1,IF(COUNTIF($I$20:$I$109,AA160)&gt;0,"FT","PT"),"PT")</f>
        <v>PT</v>
      </c>
      <c r="AC160" s="22" t="n">
        <f aca="false">IF(AB160="FT",INDEX($N$20:$N$109,MATCH(AA160,$I$20:$I$109,0)),1)</f>
        <v>1</v>
      </c>
    </row>
    <row r="161" customFormat="false" ht="15" hidden="false" customHeight="false" outlineLevel="0" collapsed="false">
      <c r="Z161" s="22" t="n">
        <f aca="false">R71</f>
        <v>264</v>
      </c>
      <c r="AA161" s="22" t="n">
        <f aca="false">SMALL($Z$20:$Z$199,142)</f>
        <v>291</v>
      </c>
      <c r="AB161" s="22" t="str">
        <f aca="false">IF(142-COUNTIF($Z$20:$Z$199,"&lt;"&amp;AA161)=1,IF(COUNTIF($I$20:$I$109,AA161)&gt;0,"FT","PT"),"PT")</f>
        <v>FT</v>
      </c>
      <c r="AC161" s="22" t="n">
        <f aca="false">IF(AB161="FT",INDEX($N$20:$N$109,MATCH(AA161,$I$20:$I$109,0)),1)</f>
        <v>1</v>
      </c>
    </row>
    <row r="162" customFormat="false" ht="15" hidden="false" customHeight="false" outlineLevel="0" collapsed="false">
      <c r="Z162" s="22" t="n">
        <f aca="false">R72</f>
        <v>268</v>
      </c>
      <c r="AA162" s="22" t="n">
        <f aca="false">SMALL($Z$20:$Z$199,143)</f>
        <v>292</v>
      </c>
      <c r="AB162" s="22" t="str">
        <f aca="false">IF(143-COUNTIF($Z$20:$Z$199,"&lt;"&amp;AA162)=1,IF(COUNTIF($I$20:$I$109,AA162)&gt;0,"FT","PT"),"PT")</f>
        <v>PT</v>
      </c>
      <c r="AC162" s="22" t="n">
        <f aca="false">IF(AB162="FT",INDEX($N$20:$N$109,MATCH(AA162,$I$20:$I$109,0)),1)</f>
        <v>1</v>
      </c>
    </row>
    <row r="163" customFormat="false" ht="15" hidden="false" customHeight="false" outlineLevel="0" collapsed="false">
      <c r="Z163" s="22" t="n">
        <f aca="false">R73</f>
        <v>272</v>
      </c>
      <c r="AA163" s="22" t="n">
        <f aca="false">SMALL($Z$20:$Z$199,144)</f>
        <v>294</v>
      </c>
      <c r="AB163" s="22" t="str">
        <f aca="false">IF(144-COUNTIF($Z$20:$Z$199,"&lt;"&amp;AA163)=1,IF(COUNTIF($I$20:$I$109,AA163)&gt;0,"FT","PT"),"PT")</f>
        <v>FT</v>
      </c>
      <c r="AC163" s="22" t="n">
        <f aca="false">IF(AB163="FT",INDEX($N$20:$N$109,MATCH(AA163,$I$20:$I$109,0)),1)</f>
        <v>1</v>
      </c>
    </row>
    <row r="164" customFormat="false" ht="15" hidden="false" customHeight="false" outlineLevel="0" collapsed="false">
      <c r="Z164" s="22" t="n">
        <f aca="false">R74</f>
        <v>276</v>
      </c>
      <c r="AA164" s="22" t="n">
        <f aca="false">SMALL($Z$20:$Z$199,145)</f>
        <v>296</v>
      </c>
      <c r="AB164" s="22" t="str">
        <f aca="false">IF(145-COUNTIF($Z$20:$Z$199,"&lt;"&amp;AA164)=1,IF(COUNTIF($I$20:$I$109,AA164)&gt;0,"FT","PT"),"PT")</f>
        <v>PT</v>
      </c>
      <c r="AC164" s="22" t="n">
        <f aca="false">IF(AB164="FT",INDEX($N$20:$N$109,MATCH(AA164,$I$20:$I$109,0)),1)</f>
        <v>1</v>
      </c>
    </row>
    <row r="165" customFormat="false" ht="15" hidden="false" customHeight="false" outlineLevel="0" collapsed="false">
      <c r="Z165" s="22" t="n">
        <f aca="false">R75</f>
        <v>280</v>
      </c>
      <c r="AA165" s="22" t="n">
        <f aca="false">SMALL($Z$20:$Z$199,146)</f>
        <v>297</v>
      </c>
      <c r="AB165" s="22" t="str">
        <f aca="false">IF(146-COUNTIF($Z$20:$Z$199,"&lt;"&amp;AA165)=1,IF(COUNTIF($I$20:$I$109,AA165)&gt;0,"FT","PT"),"PT")</f>
        <v>FT</v>
      </c>
      <c r="AC165" s="22" t="n">
        <f aca="false">IF(AB165="FT",INDEX($N$20:$N$109,MATCH(AA165,$I$20:$I$109,0)),1)</f>
        <v>1</v>
      </c>
    </row>
    <row r="166" customFormat="false" ht="15" hidden="false" customHeight="false" outlineLevel="0" collapsed="false">
      <c r="Z166" s="22" t="n">
        <f aca="false">R76</f>
        <v>284</v>
      </c>
      <c r="AA166" s="22" t="n">
        <f aca="false">SMALL($Z$20:$Z$199,147)</f>
        <v>300</v>
      </c>
      <c r="AB166" s="22" t="str">
        <f aca="false">IF(147-COUNTIF($Z$20:$Z$199,"&lt;"&amp;AA166)=1,IF(COUNTIF($I$20:$I$109,AA166)&gt;0,"FT","PT"),"PT")</f>
        <v>FT</v>
      </c>
      <c r="AC166" s="22" t="n">
        <f aca="false">IF(AB166="FT",INDEX($N$20:$N$109,MATCH(AA166,$I$20:$I$109,0)),1)</f>
        <v>2</v>
      </c>
    </row>
    <row r="167" customFormat="false" ht="15" hidden="false" customHeight="false" outlineLevel="0" collapsed="false">
      <c r="Z167" s="22" t="n">
        <f aca="false">R77</f>
        <v>288</v>
      </c>
      <c r="AA167" s="22" t="n">
        <f aca="false">SMALL($Z$20:$Z$199,148)</f>
        <v>300</v>
      </c>
      <c r="AB167" s="22" t="str">
        <f aca="false">IF(148-COUNTIF($Z$20:$Z$199,"&lt;"&amp;AA167)=1,IF(COUNTIF($I$20:$I$109,AA167)&gt;0,"FT","PT"),"PT")</f>
        <v>PT</v>
      </c>
      <c r="AC167" s="22" t="n">
        <f aca="false">IF(AB167="FT",INDEX($N$20:$N$109,MATCH(AA167,$I$20:$I$109,0)),1)</f>
        <v>1</v>
      </c>
    </row>
    <row r="168" customFormat="false" ht="15" hidden="false" customHeight="false" outlineLevel="0" collapsed="false">
      <c r="Z168" s="22" t="n">
        <f aca="false">R78</f>
        <v>292</v>
      </c>
      <c r="AA168" s="22" t="n">
        <f aca="false">SMALL($Z$20:$Z$199,149)</f>
        <v>303</v>
      </c>
      <c r="AB168" s="22" t="str">
        <f aca="false">IF(149-COUNTIF($Z$20:$Z$199,"&lt;"&amp;AA168)=1,IF(COUNTIF($I$20:$I$109,AA168)&gt;0,"FT","PT"),"PT")</f>
        <v>FT</v>
      </c>
      <c r="AC168" s="22" t="n">
        <f aca="false">IF(AB168="FT",INDEX($N$20:$N$109,MATCH(AA168,$I$20:$I$109,0)),1)</f>
        <v>1</v>
      </c>
    </row>
    <row r="169" customFormat="false" ht="15" hidden="false" customHeight="false" outlineLevel="0" collapsed="false">
      <c r="Z169" s="22" t="n">
        <f aca="false">R79</f>
        <v>296</v>
      </c>
      <c r="AA169" s="22" t="n">
        <f aca="false">SMALL($Z$20:$Z$199,150)</f>
        <v>304</v>
      </c>
      <c r="AB169" s="22" t="str">
        <f aca="false">IF(150-COUNTIF($Z$20:$Z$199,"&lt;"&amp;AA169)=1,IF(COUNTIF($I$20:$I$109,AA169)&gt;0,"FT","PT"),"PT")</f>
        <v>PT</v>
      </c>
      <c r="AC169" s="22" t="n">
        <f aca="false">IF(AB169="FT",INDEX($N$20:$N$109,MATCH(AA169,$I$20:$I$109,0)),1)</f>
        <v>1</v>
      </c>
    </row>
    <row r="170" customFormat="false" ht="15" hidden="false" customHeight="false" outlineLevel="0" collapsed="false">
      <c r="Z170" s="22" t="n">
        <f aca="false">R80</f>
        <v>300</v>
      </c>
      <c r="AA170" s="22" t="n">
        <f aca="false">SMALL($Z$20:$Z$199,151)</f>
        <v>306</v>
      </c>
      <c r="AB170" s="22" t="str">
        <f aca="false">IF(151-COUNTIF($Z$20:$Z$199,"&lt;"&amp;AA170)=1,IF(COUNTIF($I$20:$I$109,AA170)&gt;0,"FT","PT"),"PT")</f>
        <v>FT</v>
      </c>
      <c r="AC170" s="22" t="n">
        <f aca="false">IF(AB170="FT",INDEX($N$20:$N$109,MATCH(AA170,$I$20:$I$109,0)),1)</f>
        <v>1</v>
      </c>
    </row>
    <row r="171" customFormat="false" ht="15" hidden="false" customHeight="false" outlineLevel="0" collapsed="false">
      <c r="Z171" s="22" t="n">
        <f aca="false">R81</f>
        <v>304</v>
      </c>
      <c r="AA171" s="22" t="n">
        <f aca="false">SMALL($Z$20:$Z$199,152)</f>
        <v>308</v>
      </c>
      <c r="AB171" s="22" t="str">
        <f aca="false">IF(152-COUNTIF($Z$20:$Z$199,"&lt;"&amp;AA171)=1,IF(COUNTIF($I$20:$I$109,AA171)&gt;0,"FT","PT"),"PT")</f>
        <v>PT</v>
      </c>
      <c r="AC171" s="22" t="n">
        <f aca="false">IF(AB171="FT",INDEX($N$20:$N$109,MATCH(AA171,$I$20:$I$109,0)),1)</f>
        <v>1</v>
      </c>
    </row>
    <row r="172" customFormat="false" ht="15" hidden="false" customHeight="false" outlineLevel="0" collapsed="false">
      <c r="Z172" s="22" t="n">
        <f aca="false">R82</f>
        <v>308</v>
      </c>
      <c r="AA172" s="22" t="n">
        <f aca="false">SMALL($Z$20:$Z$199,153)</f>
        <v>309</v>
      </c>
      <c r="AB172" s="22" t="str">
        <f aca="false">IF(153-COUNTIF($Z$20:$Z$199,"&lt;"&amp;AA172)=1,IF(COUNTIF($I$20:$I$109,AA172)&gt;0,"FT","PT"),"PT")</f>
        <v>FT</v>
      </c>
      <c r="AC172" s="22" t="n">
        <f aca="false">IF(AB172="FT",INDEX($N$20:$N$109,MATCH(AA172,$I$20:$I$109,0)),1)</f>
        <v>1</v>
      </c>
    </row>
    <row r="173" customFormat="false" ht="15" hidden="false" customHeight="false" outlineLevel="0" collapsed="false">
      <c r="Z173" s="22" t="n">
        <f aca="false">R83</f>
        <v>312</v>
      </c>
      <c r="AA173" s="22" t="n">
        <f aca="false">SMALL($Z$20:$Z$199,154)</f>
        <v>312</v>
      </c>
      <c r="AB173" s="22" t="str">
        <f aca="false">IF(154-COUNTIF($Z$20:$Z$199,"&lt;"&amp;AA173)=1,IF(COUNTIF($I$20:$I$109,AA173)&gt;0,"FT","PT"),"PT")</f>
        <v>PT</v>
      </c>
      <c r="AC173" s="22" t="n">
        <f aca="false">IF(AB173="FT",INDEX($N$20:$N$109,MATCH(AA173,$I$20:$I$109,0)),1)</f>
        <v>1</v>
      </c>
    </row>
    <row r="174" customFormat="false" ht="15" hidden="false" customHeight="false" outlineLevel="0" collapsed="false">
      <c r="Z174" s="22" t="n">
        <f aca="false">R84</f>
        <v>316</v>
      </c>
      <c r="AA174" s="22" t="n">
        <f aca="false">SMALL($Z$20:$Z$199,155)</f>
        <v>316</v>
      </c>
      <c r="AB174" s="22" t="str">
        <f aca="false">IF(155-COUNTIF($Z$20:$Z$199,"&lt;"&amp;AA174)=1,IF(COUNTIF($I$20:$I$109,AA174)&gt;0,"FT","PT"),"PT")</f>
        <v>PT</v>
      </c>
      <c r="AC174" s="22" t="n">
        <f aca="false">IF(AB174="FT",INDEX($N$20:$N$109,MATCH(AA174,$I$20:$I$109,0)),1)</f>
        <v>1</v>
      </c>
    </row>
    <row r="175" customFormat="false" ht="15" hidden="false" customHeight="false" outlineLevel="0" collapsed="false">
      <c r="Z175" s="22" t="n">
        <f aca="false">R85</f>
        <v>320</v>
      </c>
      <c r="AA175" s="22" t="n">
        <f aca="false">SMALL($Z$20:$Z$199,156)</f>
        <v>320</v>
      </c>
      <c r="AB175" s="22" t="str">
        <f aca="false">IF(156-COUNTIF($Z$20:$Z$199,"&lt;"&amp;AA175)=1,IF(COUNTIF($I$20:$I$109,AA175)&gt;0,"FT","PT"),"PT")</f>
        <v>PT</v>
      </c>
      <c r="AC175" s="22" t="n">
        <f aca="false">IF(AB175="FT",INDEX($N$20:$N$109,MATCH(AA175,$I$20:$I$109,0)),1)</f>
        <v>1</v>
      </c>
    </row>
    <row r="176" customFormat="false" ht="15" hidden="false" customHeight="false" outlineLevel="0" collapsed="false">
      <c r="Z176" s="22" t="n">
        <f aca="false">R86</f>
        <v>324</v>
      </c>
      <c r="AA176" s="22" t="n">
        <f aca="false">SMALL($Z$20:$Z$199,157)</f>
        <v>324</v>
      </c>
      <c r="AB176" s="22" t="str">
        <f aca="false">IF(157-COUNTIF($Z$20:$Z$199,"&lt;"&amp;AA176)=1,IF(COUNTIF($I$20:$I$109,AA176)&gt;0,"FT","PT"),"PT")</f>
        <v>PT</v>
      </c>
      <c r="AC176" s="22" t="n">
        <f aca="false">IF(AB176="FT",INDEX($N$20:$N$109,MATCH(AA176,$I$20:$I$109,0)),1)</f>
        <v>1</v>
      </c>
    </row>
    <row r="177" customFormat="false" ht="15" hidden="false" customHeight="false" outlineLevel="0" collapsed="false">
      <c r="Z177" s="22" t="n">
        <f aca="false">R87</f>
        <v>328</v>
      </c>
      <c r="AA177" s="22" t="n">
        <f aca="false">SMALL($Z$20:$Z$199,158)</f>
        <v>328</v>
      </c>
      <c r="AB177" s="22" t="str">
        <f aca="false">IF(158-COUNTIF($Z$20:$Z$199,"&lt;"&amp;AA177)=1,IF(COUNTIF($I$20:$I$109,AA177)&gt;0,"FT","PT"),"PT")</f>
        <v>PT</v>
      </c>
      <c r="AC177" s="22" t="n">
        <f aca="false">IF(AB177="FT",INDEX($N$20:$N$109,MATCH(AA177,$I$20:$I$109,0)),1)</f>
        <v>1</v>
      </c>
    </row>
    <row r="178" customFormat="false" ht="15" hidden="false" customHeight="false" outlineLevel="0" collapsed="false">
      <c r="Z178" s="22" t="n">
        <f aca="false">R88</f>
        <v>332</v>
      </c>
      <c r="AA178" s="22" t="n">
        <f aca="false">SMALL($Z$20:$Z$199,159)</f>
        <v>332</v>
      </c>
      <c r="AB178" s="22" t="str">
        <f aca="false">IF(159-COUNTIF($Z$20:$Z$199,"&lt;"&amp;AA178)=1,IF(COUNTIF($I$20:$I$109,AA178)&gt;0,"FT","PT"),"PT")</f>
        <v>PT</v>
      </c>
      <c r="AC178" s="22" t="n">
        <f aca="false">IF(AB178="FT",INDEX($N$20:$N$109,MATCH(AA178,$I$20:$I$109,0)),1)</f>
        <v>1</v>
      </c>
    </row>
    <row r="179" customFormat="false" ht="15" hidden="false" customHeight="false" outlineLevel="0" collapsed="false">
      <c r="Z179" s="22" t="n">
        <f aca="false">R89</f>
        <v>336</v>
      </c>
      <c r="AA179" s="22" t="n">
        <f aca="false">SMALL($Z$20:$Z$199,160)</f>
        <v>336</v>
      </c>
      <c r="AB179" s="22" t="str">
        <f aca="false">IF(160-COUNTIF($Z$20:$Z$199,"&lt;"&amp;AA179)=1,IF(COUNTIF($I$20:$I$109,AA179)&gt;0,"FT","PT"),"PT")</f>
        <v>PT</v>
      </c>
      <c r="AC179" s="22" t="n">
        <f aca="false">IF(AB179="FT",INDEX($N$20:$N$109,MATCH(AA179,$I$20:$I$109,0)),1)</f>
        <v>1</v>
      </c>
    </row>
    <row r="180" customFormat="false" ht="15" hidden="false" customHeight="false" outlineLevel="0" collapsed="false">
      <c r="Z180" s="22" t="n">
        <f aca="false">R90</f>
        <v>340</v>
      </c>
      <c r="AA180" s="22" t="n">
        <f aca="false">SMALL($Z$20:$Z$199,161)</f>
        <v>340</v>
      </c>
      <c r="AB180" s="22" t="str">
        <f aca="false">IF(161-COUNTIF($Z$20:$Z$199,"&lt;"&amp;AA180)=1,IF(COUNTIF($I$20:$I$109,AA180)&gt;0,"FT","PT"),"PT")</f>
        <v>PT</v>
      </c>
      <c r="AC180" s="22" t="n">
        <f aca="false">IF(AB180="FT",INDEX($N$20:$N$109,MATCH(AA180,$I$20:$I$109,0)),1)</f>
        <v>1</v>
      </c>
    </row>
    <row r="181" customFormat="false" ht="15" hidden="false" customHeight="false" outlineLevel="0" collapsed="false">
      <c r="Z181" s="22" t="n">
        <f aca="false">R91</f>
        <v>344</v>
      </c>
      <c r="AA181" s="22" t="n">
        <f aca="false">SMALL($Z$20:$Z$199,162)</f>
        <v>344</v>
      </c>
      <c r="AB181" s="22" t="str">
        <f aca="false">IF(162-COUNTIF($Z$20:$Z$199,"&lt;"&amp;AA181)=1,IF(COUNTIF($I$20:$I$109,AA181)&gt;0,"FT","PT"),"PT")</f>
        <v>PT</v>
      </c>
      <c r="AC181" s="22" t="n">
        <f aca="false">IF(AB181="FT",INDEX($N$20:$N$109,MATCH(AA181,$I$20:$I$109,0)),1)</f>
        <v>1</v>
      </c>
    </row>
    <row r="182" customFormat="false" ht="15" hidden="false" customHeight="false" outlineLevel="0" collapsed="false">
      <c r="Z182" s="22" t="n">
        <f aca="false">R92</f>
        <v>348</v>
      </c>
      <c r="AA182" s="22" t="n">
        <f aca="false">SMALL($Z$20:$Z$199,163)</f>
        <v>348</v>
      </c>
      <c r="AB182" s="22" t="str">
        <f aca="false">IF(163-COUNTIF($Z$20:$Z$199,"&lt;"&amp;AA182)=1,IF(COUNTIF($I$20:$I$109,AA182)&gt;0,"FT","PT"),"PT")</f>
        <v>PT</v>
      </c>
      <c r="AC182" s="22" t="n">
        <f aca="false">IF(AB182="FT",INDEX($N$20:$N$109,MATCH(AA182,$I$20:$I$109,0)),1)</f>
        <v>1</v>
      </c>
    </row>
    <row r="183" customFormat="false" ht="15" hidden="false" customHeight="false" outlineLevel="0" collapsed="false">
      <c r="Z183" s="22" t="n">
        <f aca="false">R93</f>
        <v>352</v>
      </c>
      <c r="AA183" s="22" t="n">
        <f aca="false">SMALL($Z$20:$Z$199,164)</f>
        <v>352</v>
      </c>
      <c r="AB183" s="22" t="str">
        <f aca="false">IF(164-COUNTIF($Z$20:$Z$199,"&lt;"&amp;AA183)=1,IF(COUNTIF($I$20:$I$109,AA183)&gt;0,"FT","PT"),"PT")</f>
        <v>PT</v>
      </c>
      <c r="AC183" s="22" t="n">
        <f aca="false">IF(AB183="FT",INDEX($N$20:$N$109,MATCH(AA183,$I$20:$I$109,0)),1)</f>
        <v>1</v>
      </c>
    </row>
    <row r="184" customFormat="false" ht="15" hidden="false" customHeight="false" outlineLevel="0" collapsed="false">
      <c r="Z184" s="22" t="n">
        <f aca="false">R94</f>
        <v>356</v>
      </c>
      <c r="AA184" s="22" t="n">
        <f aca="false">SMALL($Z$20:$Z$199,165)</f>
        <v>356</v>
      </c>
      <c r="AB184" s="22" t="str">
        <f aca="false">IF(165-COUNTIF($Z$20:$Z$199,"&lt;"&amp;AA184)=1,IF(COUNTIF($I$20:$I$109,AA184)&gt;0,"FT","PT"),"PT")</f>
        <v>PT</v>
      </c>
      <c r="AC184" s="22" t="n">
        <f aca="false">IF(AB184="FT",INDEX($N$20:$N$109,MATCH(AA184,$I$20:$I$109,0)),1)</f>
        <v>1</v>
      </c>
    </row>
    <row r="185" customFormat="false" ht="15" hidden="false" customHeight="false" outlineLevel="0" collapsed="false">
      <c r="Z185" s="22" t="n">
        <f aca="false">R95</f>
        <v>360</v>
      </c>
      <c r="AA185" s="22" t="n">
        <f aca="false">SMALL($Z$20:$Z$199,166)</f>
        <v>360</v>
      </c>
      <c r="AB185" s="22" t="str">
        <f aca="false">IF(166-COUNTIF($Z$20:$Z$199,"&lt;"&amp;AA185)=1,IF(COUNTIF($I$20:$I$109,AA185)&gt;0,"FT","PT"),"PT")</f>
        <v>PT</v>
      </c>
      <c r="AC185" s="22" t="n">
        <f aca="false">IF(AB185="FT",INDEX($N$20:$N$109,MATCH(AA185,$I$20:$I$109,0)),1)</f>
        <v>1</v>
      </c>
    </row>
    <row r="186" customFormat="false" ht="15" hidden="false" customHeight="false" outlineLevel="0" collapsed="false">
      <c r="Z186" s="22" t="n">
        <f aca="false">R96</f>
        <v>364</v>
      </c>
      <c r="AA186" s="22" t="n">
        <f aca="false">SMALL($Z$20:$Z$199,167)</f>
        <v>364</v>
      </c>
      <c r="AB186" s="22" t="str">
        <f aca="false">IF(167-COUNTIF($Z$20:$Z$199,"&lt;"&amp;AA186)=1,IF(COUNTIF($I$20:$I$109,AA186)&gt;0,"FT","PT"),"PT")</f>
        <v>PT</v>
      </c>
      <c r="AC186" s="22" t="n">
        <f aca="false">IF(AB186="FT",INDEX($N$20:$N$109,MATCH(AA186,$I$20:$I$109,0)),1)</f>
        <v>1</v>
      </c>
    </row>
    <row r="187" customFormat="false" ht="15" hidden="false" customHeight="false" outlineLevel="0" collapsed="false">
      <c r="Z187" s="22" t="n">
        <f aca="false">R97</f>
        <v>368</v>
      </c>
      <c r="AA187" s="22" t="n">
        <f aca="false">SMALL($Z$20:$Z$199,168)</f>
        <v>368</v>
      </c>
      <c r="AB187" s="22" t="str">
        <f aca="false">IF(168-COUNTIF($Z$20:$Z$199,"&lt;"&amp;AA187)=1,IF(COUNTIF($I$20:$I$109,AA187)&gt;0,"FT","PT"),"PT")</f>
        <v>PT</v>
      </c>
      <c r="AC187" s="22" t="n">
        <f aca="false">IF(AB187="FT",INDEX($N$20:$N$109,MATCH(AA187,$I$20:$I$109,0)),1)</f>
        <v>1</v>
      </c>
    </row>
    <row r="188" customFormat="false" ht="15" hidden="false" customHeight="false" outlineLevel="0" collapsed="false">
      <c r="Z188" s="22" t="n">
        <f aca="false">R98</f>
        <v>372</v>
      </c>
      <c r="AA188" s="22" t="n">
        <f aca="false">SMALL($Z$20:$Z$199,169)</f>
        <v>372</v>
      </c>
      <c r="AB188" s="22" t="str">
        <f aca="false">IF(169-COUNTIF($Z$20:$Z$199,"&lt;"&amp;AA188)=1,IF(COUNTIF($I$20:$I$109,AA188)&gt;0,"FT","PT"),"PT")</f>
        <v>PT</v>
      </c>
      <c r="AC188" s="22" t="n">
        <f aca="false">IF(AB188="FT",INDEX($N$20:$N$109,MATCH(AA188,$I$20:$I$109,0)),1)</f>
        <v>1</v>
      </c>
    </row>
    <row r="189" customFormat="false" ht="15" hidden="false" customHeight="false" outlineLevel="0" collapsed="false">
      <c r="Z189" s="22" t="n">
        <f aca="false">R99</f>
        <v>376</v>
      </c>
      <c r="AA189" s="22" t="n">
        <f aca="false">SMALL($Z$20:$Z$199,170)</f>
        <v>376</v>
      </c>
      <c r="AB189" s="22" t="str">
        <f aca="false">IF(170-COUNTIF($Z$20:$Z$199,"&lt;"&amp;AA189)=1,IF(COUNTIF($I$20:$I$109,AA189)&gt;0,"FT","PT"),"PT")</f>
        <v>PT</v>
      </c>
      <c r="AC189" s="22" t="n">
        <f aca="false">IF(AB189="FT",INDEX($N$20:$N$109,MATCH(AA189,$I$20:$I$109,0)),1)</f>
        <v>1</v>
      </c>
    </row>
    <row r="190" customFormat="false" ht="15" hidden="false" customHeight="false" outlineLevel="0" collapsed="false">
      <c r="Z190" s="22" t="n">
        <f aca="false">R100</f>
        <v>380</v>
      </c>
      <c r="AA190" s="22" t="n">
        <f aca="false">SMALL($Z$20:$Z$199,171)</f>
        <v>380</v>
      </c>
      <c r="AB190" s="22" t="str">
        <f aca="false">IF(171-COUNTIF($Z$20:$Z$199,"&lt;"&amp;AA190)=1,IF(COUNTIF($I$20:$I$109,AA190)&gt;0,"FT","PT"),"PT")</f>
        <v>PT</v>
      </c>
      <c r="AC190" s="22" t="n">
        <f aca="false">IF(AB190="FT",INDEX($N$20:$N$109,MATCH(AA190,$I$20:$I$109,0)),1)</f>
        <v>1</v>
      </c>
    </row>
    <row r="191" customFormat="false" ht="15" hidden="false" customHeight="false" outlineLevel="0" collapsed="false">
      <c r="Z191" s="22" t="n">
        <f aca="false">R101</f>
        <v>384</v>
      </c>
      <c r="AA191" s="22" t="n">
        <f aca="false">SMALL($Z$20:$Z$199,172)</f>
        <v>384</v>
      </c>
      <c r="AB191" s="22" t="str">
        <f aca="false">IF(172-COUNTIF($Z$20:$Z$199,"&lt;"&amp;AA191)=1,IF(COUNTIF($I$20:$I$109,AA191)&gt;0,"FT","PT"),"PT")</f>
        <v>PT</v>
      </c>
      <c r="AC191" s="22" t="n">
        <f aca="false">IF(AB191="FT",INDEX($N$20:$N$109,MATCH(AA191,$I$20:$I$109,0)),1)</f>
        <v>1</v>
      </c>
    </row>
    <row r="192" customFormat="false" ht="15" hidden="false" customHeight="false" outlineLevel="0" collapsed="false">
      <c r="Z192" s="22" t="n">
        <f aca="false">R102</f>
        <v>388</v>
      </c>
      <c r="AA192" s="22" t="n">
        <f aca="false">SMALL($Z$20:$Z$199,173)</f>
        <v>388</v>
      </c>
      <c r="AB192" s="22" t="str">
        <f aca="false">IF(173-COUNTIF($Z$20:$Z$199,"&lt;"&amp;AA192)=1,IF(COUNTIF($I$20:$I$109,AA192)&gt;0,"FT","PT"),"PT")</f>
        <v>PT</v>
      </c>
      <c r="AC192" s="22" t="n">
        <f aca="false">IF(AB192="FT",INDEX($N$20:$N$109,MATCH(AA192,$I$20:$I$109,0)),1)</f>
        <v>1</v>
      </c>
    </row>
    <row r="193" customFormat="false" ht="15" hidden="false" customHeight="false" outlineLevel="0" collapsed="false">
      <c r="Z193" s="22" t="n">
        <f aca="false">R103</f>
        <v>392</v>
      </c>
      <c r="AA193" s="22" t="n">
        <f aca="false">SMALL($Z$20:$Z$199,174)</f>
        <v>392</v>
      </c>
      <c r="AB193" s="22" t="str">
        <f aca="false">IF(174-COUNTIF($Z$20:$Z$199,"&lt;"&amp;AA193)=1,IF(COUNTIF($I$20:$I$109,AA193)&gt;0,"FT","PT"),"PT")</f>
        <v>PT</v>
      </c>
      <c r="AC193" s="22" t="n">
        <f aca="false">IF(AB193="FT",INDEX($N$20:$N$109,MATCH(AA193,$I$20:$I$109,0)),1)</f>
        <v>1</v>
      </c>
    </row>
    <row r="194" customFormat="false" ht="15" hidden="false" customHeight="false" outlineLevel="0" collapsed="false">
      <c r="Z194" s="22" t="n">
        <f aca="false">R104</f>
        <v>396</v>
      </c>
      <c r="AA194" s="22" t="n">
        <f aca="false">SMALL($Z$20:$Z$199,175)</f>
        <v>396</v>
      </c>
      <c r="AB194" s="22" t="str">
        <f aca="false">IF(175-COUNTIF($Z$20:$Z$199,"&lt;"&amp;AA194)=1,IF(COUNTIF($I$20:$I$109,AA194)&gt;0,"FT","PT"),"PT")</f>
        <v>PT</v>
      </c>
      <c r="AC194" s="22" t="n">
        <f aca="false">IF(AB194="FT",INDEX($N$20:$N$109,MATCH(AA194,$I$20:$I$109,0)),1)</f>
        <v>1</v>
      </c>
    </row>
    <row r="195" customFormat="false" ht="15" hidden="false" customHeight="false" outlineLevel="0" collapsed="false">
      <c r="Z195" s="22" t="n">
        <f aca="false">R105</f>
        <v>400</v>
      </c>
      <c r="AA195" s="22" t="n">
        <f aca="false">SMALL($Z$20:$Z$199,176)</f>
        <v>400</v>
      </c>
      <c r="AB195" s="22" t="str">
        <f aca="false">IF(176-COUNTIF($Z$20:$Z$199,"&lt;"&amp;AA195)=1,IF(COUNTIF($I$20:$I$109,AA195)&gt;0,"FT","PT"),"PT")</f>
        <v>PT</v>
      </c>
      <c r="AC195" s="22" t="n">
        <f aca="false">IF(AB195="FT",INDEX($N$20:$N$109,MATCH(AA195,$I$20:$I$109,0)),1)</f>
        <v>1</v>
      </c>
    </row>
    <row r="196" customFormat="false" ht="15" hidden="false" customHeight="false" outlineLevel="0" collapsed="false">
      <c r="Z196" s="22" t="n">
        <f aca="false">R106</f>
        <v>404</v>
      </c>
      <c r="AA196" s="22" t="n">
        <f aca="false">SMALL($Z$20:$Z$199,177)</f>
        <v>404</v>
      </c>
      <c r="AB196" s="22" t="str">
        <f aca="false">IF(177-COUNTIF($Z$20:$Z$199,"&lt;"&amp;AA196)=1,IF(COUNTIF($I$20:$I$109,AA196)&gt;0,"FT","PT"),"PT")</f>
        <v>PT</v>
      </c>
      <c r="AC196" s="22" t="n">
        <f aca="false">IF(AB196="FT",INDEX($N$20:$N$109,MATCH(AA196,$I$20:$I$109,0)),1)</f>
        <v>1</v>
      </c>
    </row>
    <row r="197" customFormat="false" ht="15" hidden="false" customHeight="false" outlineLevel="0" collapsed="false">
      <c r="Z197" s="22" t="n">
        <f aca="false">R107</f>
        <v>408</v>
      </c>
      <c r="AA197" s="22" t="n">
        <f aca="false">SMALL($Z$20:$Z$199,178)</f>
        <v>408</v>
      </c>
      <c r="AB197" s="22" t="str">
        <f aca="false">IF(178-COUNTIF($Z$20:$Z$199,"&lt;"&amp;AA197)=1,IF(COUNTIF($I$20:$I$109,AA197)&gt;0,"FT","PT"),"PT")</f>
        <v>PT</v>
      </c>
      <c r="AC197" s="22" t="n">
        <f aca="false">IF(AB197="FT",INDEX($N$20:$N$109,MATCH(AA197,$I$20:$I$109,0)),1)</f>
        <v>1</v>
      </c>
    </row>
    <row r="198" customFormat="false" ht="15" hidden="false" customHeight="false" outlineLevel="0" collapsed="false">
      <c r="Z198" s="22" t="n">
        <f aca="false">R108</f>
        <v>412</v>
      </c>
      <c r="AA198" s="22" t="n">
        <f aca="false">SMALL($Z$20:$Z$199,179)</f>
        <v>412</v>
      </c>
      <c r="AB198" s="22" t="str">
        <f aca="false">IF(179-COUNTIF($Z$20:$Z$199,"&lt;"&amp;AA198)=1,IF(COUNTIF($I$20:$I$109,AA198)&gt;0,"FT","PT"),"PT")</f>
        <v>PT</v>
      </c>
      <c r="AC198" s="22" t="n">
        <f aca="false">IF(AB198="FT",INDEX($N$20:$N$109,MATCH(AA198,$I$20:$I$109,0)),1)</f>
        <v>1</v>
      </c>
    </row>
    <row r="199" customFormat="false" ht="15" hidden="false" customHeight="false" outlineLevel="0" collapsed="false">
      <c r="Z199" s="22" t="n">
        <f aca="false">R109</f>
        <v>416</v>
      </c>
      <c r="AA199" s="22" t="n">
        <f aca="false">SMALL($Z$20:$Z$199,180)</f>
        <v>416</v>
      </c>
      <c r="AB199" s="22" t="str">
        <f aca="false">IF(180-COUNTIF($Z$20:$Z$199,"&lt;"&amp;AA199)=1,IF(COUNTIF($I$20:$I$109,AA199)&gt;0,"FT","PT"),"PT")</f>
        <v>PT</v>
      </c>
      <c r="AC199" s="22" t="n">
        <f aca="false">IF(AB199="FT",INDEX($N$20:$N$109,MATCH(AA199,$I$20:$I$109,0)),1)</f>
        <v>1</v>
      </c>
    </row>
  </sheetData>
  <mergeCells count="2">
    <mergeCell ref="H18:O18"/>
    <mergeCell ref="Q18:X18"/>
  </mergeCells>
  <conditionalFormatting sqref="H20:O109">
    <cfRule type="expression" priority="2" aboveAverage="0" equalAverage="0" bottom="0" percent="0" rank="0" text="" dxfId="15">
      <formula>N($O20)&gt;0</formula>
    </cfRule>
    <cfRule type="expression" priority="3" aboveAverage="0" equalAverage="0" bottom="0" percent="0" rank="0" text="" dxfId="18">
      <formula>AND($K20&lt;&gt;"",$K20&gt;AsOfDate)</formula>
    </cfRule>
  </conditionalFormatting>
  <conditionalFormatting sqref="Q20:X109">
    <cfRule type="expression" priority="4" aboveAverage="0" equalAverage="0" bottom="0" percent="0" rank="0" text="" dxfId="15">
      <formula>N($X20)&gt;0</formula>
    </cfRule>
    <cfRule type="expression" priority="5"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Staff!$BJ$5:$BJ$154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6" t="s">
        <v>551</v>
      </c>
    </row>
    <row r="2" customFormat="false" ht="15" hidden="false" customHeight="false" outlineLevel="0" collapsed="false">
      <c r="A2" s="7" t="str">
        <f aca="false">"Accruing for "&amp;UPPER(TEXT(AsOfDate,"mmmm yyyy"))&amp;" (as at "&amp;TEXT(AsOfDate,"dd/mm/yyyy")&amp;"). Each entry is: milestone date, pathway on that date (FT or PT), days earned. Only milestones already reached are listed."</f>
        <v>Accruing for OCTOBER 2026 (as at 06/10/2026). Each entry is: milestone date, pathway on that date (FT or PT), days earned. Only milestones already reached are listed.</v>
      </c>
    </row>
    <row r="4" customFormat="false" ht="35.05" hidden="false" customHeight="false" outlineLevel="0" collapsed="false">
      <c r="A4" s="11" t="s">
        <v>74</v>
      </c>
      <c r="B4" s="11" t="s">
        <v>75</v>
      </c>
      <c r="C4" s="11" t="s">
        <v>552</v>
      </c>
      <c r="D4" s="11" t="s">
        <v>553</v>
      </c>
      <c r="E4" s="11" t="s">
        <v>88</v>
      </c>
      <c r="F4" s="11" t="s">
        <v>296</v>
      </c>
      <c r="G4" s="11" t="s">
        <v>104</v>
      </c>
      <c r="H4" s="11" t="s">
        <v>554</v>
      </c>
      <c r="I4" s="14" t="s">
        <v>555</v>
      </c>
      <c r="J4" s="14" t="s">
        <v>555</v>
      </c>
      <c r="K4" s="14" t="s">
        <v>555</v>
      </c>
      <c r="L4" s="14" t="s">
        <v>555</v>
      </c>
      <c r="M4" s="14" t="s">
        <v>555</v>
      </c>
      <c r="N4" s="14" t="s">
        <v>555</v>
      </c>
      <c r="O4" s="14" t="s">
        <v>555</v>
      </c>
      <c r="P4" s="14" t="s">
        <v>555</v>
      </c>
      <c r="Q4" s="14" t="s">
        <v>555</v>
      </c>
      <c r="R4" s="14" t="s">
        <v>108</v>
      </c>
      <c r="S4" s="14" t="s">
        <v>110</v>
      </c>
      <c r="T4" s="14" t="s">
        <v>111</v>
      </c>
      <c r="U4" s="14" t="s">
        <v>115</v>
      </c>
      <c r="V4" s="14" t="s">
        <v>116</v>
      </c>
      <c r="W4" s="14" t="s">
        <v>117</v>
      </c>
      <c r="X4" s="14" t="s">
        <v>118</v>
      </c>
    </row>
    <row r="5" customFormat="false" ht="15" hidden="false" customHeight="false" outlineLevel="0" collapsed="false">
      <c r="A5" s="19" t="str">
        <f aca="false">IF(Staff!$A5="","",Staff!$A5)</f>
        <v>Abel</v>
      </c>
      <c r="B5" s="19" t="str">
        <f aca="false">IF(Staff!$A5="","",Staff!$B5)</f>
        <v>SAVIGE</v>
      </c>
      <c r="C5" s="19" t="str">
        <f aca="false">IF(Staff!$A5="","",Staff!$C5)</f>
        <v>Casual</v>
      </c>
      <c r="D5" s="17" t="n">
        <f aca="false">IF(Staff!$A5="","",Staff!$AH5)</f>
        <v>44453</v>
      </c>
      <c r="E5" s="20" t="n">
        <f aca="false">IF(Staff!$A5="","",Staff!$O5)</f>
        <v>0</v>
      </c>
      <c r="F5" s="19" t="n">
        <f aca="false">IF(E5="","",E5*HoursPerDay)</f>
        <v>0</v>
      </c>
      <c r="G5" s="20" t="n">
        <f aca="false">IF(Staff!$A5="","",Staff!$AE5)</f>
        <v>0</v>
      </c>
      <c r="H5" s="32" t="str">
        <f aca="false">IF($A5="","",I5&amp;J5&amp;K5&amp;L5&amp;M5&amp;N5&amp;O5&amp;P5&amp;Q5)</f>
        <v/>
      </c>
      <c r="I5" s="0" t="str">
        <f aca="false">IF(OR($A5="",$D5=""),"",IF(AND(EDATE($D5,Milestones!$AA$20)&lt;=AsOfDate,IF($R5=0,$X5,IF(AND($T5&lt;&gt;"",EDATE($D5,Milestones!$AA$20)&gt;=$T5),$W5,IF(AND($S5&lt;&gt;"",EDATE($D5,Milestones!$AA$20)&gt;=$S5),$V5,$U5)))=Milestones!$AB$20),UPPER(TEXT(EDATE($D5,Milestones!$AA$20),"dd mmm yy"))&amp;" "&amp;Milestones!$AB$20&amp;" "&amp;Milestones!$AC$20&amp;";  ","")&amp;IF(AND(EDATE($D5,Milestones!$AA$21)&lt;=AsOfDate,IF($R5=0,$X5,IF(AND($T5&lt;&gt;"",EDATE($D5,Milestones!$AA$21)&gt;=$T5),$W5,IF(AND($S5&lt;&gt;"",EDATE($D5,Milestones!$AA$21)&gt;=$S5),$V5,$U5)))=Milestones!$AB$21),UPPER(TEXT(EDATE($D5,Milestones!$AA$21),"dd mmm yy"))&amp;" "&amp;Milestones!$AB$21&amp;" "&amp;Milestones!$AC$21&amp;";  ","")&amp;IF(AND(EDATE($D5,Milestones!$AA$22)&lt;=AsOfDate,IF($R5=0,$X5,IF(AND($T5&lt;&gt;"",EDATE($D5,Milestones!$AA$22)&gt;=$T5),$W5,IF(AND($S5&lt;&gt;"",EDATE($D5,Milestones!$AA$22)&gt;=$S5),$V5,$U5)))=Milestones!$AB$22),UPPER(TEXT(EDATE($D5,Milestones!$AA$22),"dd mmm yy"))&amp;" "&amp;Milestones!$AB$22&amp;" "&amp;Milestones!$AC$22&amp;";  ","")&amp;IF(AND(EDATE($D5,Milestones!$AA$23)&lt;=AsOfDate,IF($R5=0,$X5,IF(AND($T5&lt;&gt;"",EDATE($D5,Milestones!$AA$23)&gt;=$T5),$W5,IF(AND($S5&lt;&gt;"",EDATE($D5,Milestones!$AA$23)&gt;=$S5),$V5,$U5)))=Milestones!$AB$23),UPPER(TEXT(EDATE($D5,Milestones!$AA$23),"dd mmm yy"))&amp;" "&amp;Milestones!$AB$23&amp;" "&amp;Milestones!$AC$23&amp;";  ","")&amp;IF(AND(EDATE($D5,Milestones!$AA$24)&lt;=AsOfDate,IF($R5=0,$X5,IF(AND($T5&lt;&gt;"",EDATE($D5,Milestones!$AA$24)&gt;=$T5),$W5,IF(AND($S5&lt;&gt;"",EDATE($D5,Milestones!$AA$24)&gt;=$S5),$V5,$U5)))=Milestones!$AB$24),UPPER(TEXT(EDATE($D5,Milestones!$AA$24),"dd mmm yy"))&amp;" "&amp;Milestones!$AB$24&amp;" "&amp;Milestones!$AC$24&amp;";  ","")&amp;IF(AND(EDATE($D5,Milestones!$AA$25)&lt;=AsOfDate,IF($R5=0,$X5,IF(AND($T5&lt;&gt;"",EDATE($D5,Milestones!$AA$25)&gt;=$T5),$W5,IF(AND($S5&lt;&gt;"",EDATE($D5,Milestones!$AA$25)&gt;=$S5),$V5,$U5)))=Milestones!$AB$25),UPPER(TEXT(EDATE($D5,Milestones!$AA$25),"dd mmm yy"))&amp;" "&amp;Milestones!$AB$25&amp;" "&amp;Milestones!$AC$25&amp;";  ","")&amp;IF(AND(EDATE($D5,Milestones!$AA$26)&lt;=AsOfDate,IF($R5=0,$X5,IF(AND($T5&lt;&gt;"",EDATE($D5,Milestones!$AA$26)&gt;=$T5),$W5,IF(AND($S5&lt;&gt;"",EDATE($D5,Milestones!$AA$26)&gt;=$S5),$V5,$U5)))=Milestones!$AB$26),UPPER(TEXT(EDATE($D5,Milestones!$AA$26),"dd mmm yy"))&amp;" "&amp;Milestones!$AB$26&amp;" "&amp;Milestones!$AC$26&amp;";  ","")&amp;IF(AND(EDATE($D5,Milestones!$AA$27)&lt;=AsOfDate,IF($R5=0,$X5,IF(AND($T5&lt;&gt;"",EDATE($D5,Milestones!$AA$27)&gt;=$T5),$W5,IF(AND($S5&lt;&gt;"",EDATE($D5,Milestones!$AA$27)&gt;=$S5),$V5,$U5)))=Milestones!$AB$27),UPPER(TEXT(EDATE($D5,Milestones!$AA$27),"dd mmm yy"))&amp;" "&amp;Milestones!$AB$27&amp;" "&amp;Milestones!$AC$27&amp;";  ","")&amp;IF(AND(EDATE($D5,Milestones!$AA$28)&lt;=AsOfDate,IF($R5=0,$X5,IF(AND($T5&lt;&gt;"",EDATE($D5,Milestones!$AA$28)&gt;=$T5),$W5,IF(AND($S5&lt;&gt;"",EDATE($D5,Milestones!$AA$28)&gt;=$S5),$V5,$U5)))=Milestones!$AB$28),UPPER(TEXT(EDATE($D5,Milestones!$AA$28),"dd mmm yy"))&amp;" "&amp;Milestones!$AB$28&amp;" "&amp;Milestones!$AC$28&amp;";  ","")&amp;IF(AND(EDATE($D5,Milestones!$AA$29)&lt;=AsOfDate,IF($R5=0,$X5,IF(AND($T5&lt;&gt;"",EDATE($D5,Milestones!$AA$29)&gt;=$T5),$W5,IF(AND($S5&lt;&gt;"",EDATE($D5,Milestones!$AA$29)&gt;=$S5),$V5,$U5)))=Milestones!$AB$29),UPPER(TEXT(EDATE($D5,Milestones!$AA$29),"dd mmm yy"))&amp;" "&amp;Milestones!$AB$29&amp;" "&amp;Milestones!$AC$29&amp;";  ","")&amp;IF(AND(EDATE($D5,Milestones!$AA$30)&lt;=AsOfDate,IF($R5=0,$X5,IF(AND($T5&lt;&gt;"",EDATE($D5,Milestones!$AA$30)&gt;=$T5),$W5,IF(AND($S5&lt;&gt;"",EDATE($D5,Milestones!$AA$30)&gt;=$S5),$V5,$U5)))=Milestones!$AB$30),UPPER(TEXT(EDATE($D5,Milestones!$AA$30),"dd mmm yy"))&amp;" "&amp;Milestones!$AB$30&amp;" "&amp;Milestones!$AC$30&amp;";  ","")&amp;IF(AND(EDATE($D5,Milestones!$AA$31)&lt;=AsOfDate,IF($R5=0,$X5,IF(AND($T5&lt;&gt;"",EDATE($D5,Milestones!$AA$31)&gt;=$T5),$W5,IF(AND($S5&lt;&gt;"",EDATE($D5,Milestones!$AA$31)&gt;=$S5),$V5,$U5)))=Milestones!$AB$31),UPPER(TEXT(EDATE($D5,Milestones!$AA$31),"dd mmm yy"))&amp;" "&amp;Milestones!$AB$31&amp;" "&amp;Milestones!$AC$31&amp;";  ","")&amp;IF(AND(EDATE($D5,Milestones!$AA$32)&lt;=AsOfDate,IF($R5=0,$X5,IF(AND($T5&lt;&gt;"",EDATE($D5,Milestones!$AA$32)&gt;=$T5),$W5,IF(AND($S5&lt;&gt;"",EDATE($D5,Milestones!$AA$32)&gt;=$S5),$V5,$U5)))=Milestones!$AB$32),UPPER(TEXT(EDATE($D5,Milestones!$AA$32),"dd mmm yy"))&amp;" "&amp;Milestones!$AB$32&amp;" "&amp;Milestones!$AC$32&amp;";  ","")&amp;IF(AND(EDATE($D5,Milestones!$AA$33)&lt;=AsOfDate,IF($R5=0,$X5,IF(AND($T5&lt;&gt;"",EDATE($D5,Milestones!$AA$33)&gt;=$T5),$W5,IF(AND($S5&lt;&gt;"",EDATE($D5,Milestones!$AA$33)&gt;=$S5),$V5,$U5)))=Milestones!$AB$33),UPPER(TEXT(EDATE($D5,Milestones!$AA$33),"dd mmm yy"))&amp;" "&amp;Milestones!$AB$33&amp;" "&amp;Milestones!$AC$33&amp;";  ","")&amp;IF(AND(EDATE($D5,Milestones!$AA$34)&lt;=AsOfDate,IF($R5=0,$X5,IF(AND($T5&lt;&gt;"",EDATE($D5,Milestones!$AA$34)&gt;=$T5),$W5,IF(AND($S5&lt;&gt;"",EDATE($D5,Milestones!$AA$34)&gt;=$S5),$V5,$U5)))=Milestones!$AB$34),UPPER(TEXT(EDATE($D5,Milestones!$AA$34),"dd mmm yy"))&amp;" "&amp;Milestones!$AB$34&amp;" "&amp;Milestones!$AC$34&amp;";  ","")&amp;IF(AND(EDATE($D5,Milestones!$AA$35)&lt;=AsOfDate,IF($R5=0,$X5,IF(AND($T5&lt;&gt;"",EDATE($D5,Milestones!$AA$35)&gt;=$T5),$W5,IF(AND($S5&lt;&gt;"",EDATE($D5,Milestones!$AA$35)&gt;=$S5),$V5,$U5)))=Milestones!$AB$35),UPPER(TEXT(EDATE($D5,Milestones!$AA$35),"dd mmm yy"))&amp;" "&amp;Milestones!$AB$35&amp;" "&amp;Milestones!$AC$35&amp;";  ","")&amp;IF(AND(EDATE($D5,Milestones!$AA$36)&lt;=AsOfDate,IF($R5=0,$X5,IF(AND($T5&lt;&gt;"",EDATE($D5,Milestones!$AA$36)&gt;=$T5),$W5,IF(AND($S5&lt;&gt;"",EDATE($D5,Milestones!$AA$36)&gt;=$S5),$V5,$U5)))=Milestones!$AB$36),UPPER(TEXT(EDATE($D5,Milestones!$AA$36),"dd mmm yy"))&amp;" "&amp;Milestones!$AB$36&amp;" "&amp;Milestones!$AC$36&amp;";  ","")&amp;IF(AND(EDATE($D5,Milestones!$AA$37)&lt;=AsOfDate,IF($R5=0,$X5,IF(AND($T5&lt;&gt;"",EDATE($D5,Milestones!$AA$37)&gt;=$T5),$W5,IF(AND($S5&lt;&gt;"",EDATE($D5,Milestones!$AA$37)&gt;=$S5),$V5,$U5)))=Milestones!$AB$37),UPPER(TEXT(EDATE($D5,Milestones!$AA$37),"dd mmm yy"))&amp;" "&amp;Milestones!$AB$37&amp;" "&amp;Milestones!$AC$37&amp;";  ","")&amp;IF(AND(EDATE($D5,Milestones!$AA$38)&lt;=AsOfDate,IF($R5=0,$X5,IF(AND($T5&lt;&gt;"",EDATE($D5,Milestones!$AA$38)&gt;=$T5),$W5,IF(AND($S5&lt;&gt;"",EDATE($D5,Milestones!$AA$38)&gt;=$S5),$V5,$U5)))=Milestones!$AB$38),UPPER(TEXT(EDATE($D5,Milestones!$AA$38),"dd mmm yy"))&amp;" "&amp;Milestones!$AB$38&amp;" "&amp;Milestones!$AC$38&amp;";  ","")&amp;IF(AND(EDATE($D5,Milestones!$AA$39)&lt;=AsOfDate,IF($R5=0,$X5,IF(AND($T5&lt;&gt;"",EDATE($D5,Milestones!$AA$39)&gt;=$T5),$W5,IF(AND($S5&lt;&gt;"",EDATE($D5,Milestones!$AA$39)&gt;=$S5),$V5,$U5)))=Milestones!$AB$39),UPPER(TEXT(EDATE($D5,Milestones!$AA$39),"dd mmm yy"))&amp;" "&amp;Milestones!$AB$39&amp;" "&amp;Milestones!$AC$39&amp;";  ",""))</f>
        <v/>
      </c>
      <c r="J5" s="0" t="str">
        <f aca="false">IF(OR($A5="",$D5=""),"",IF(AND(EDATE($D5,Milestones!$AA$40)&lt;=AsOfDate,IF($R5=0,$X5,IF(AND($T5&lt;&gt;"",EDATE($D5,Milestones!$AA$40)&gt;=$T5),$W5,IF(AND($S5&lt;&gt;"",EDATE($D5,Milestones!$AA$40)&gt;=$S5),$V5,$U5)))=Milestones!$AB$40),UPPER(TEXT(EDATE($D5,Milestones!$AA$40),"dd mmm yy"))&amp;" "&amp;Milestones!$AB$40&amp;" "&amp;Milestones!$AC$40&amp;";  ","")&amp;IF(AND(EDATE($D5,Milestones!$AA$41)&lt;=AsOfDate,IF($R5=0,$X5,IF(AND($T5&lt;&gt;"",EDATE($D5,Milestones!$AA$41)&gt;=$T5),$W5,IF(AND($S5&lt;&gt;"",EDATE($D5,Milestones!$AA$41)&gt;=$S5),$V5,$U5)))=Milestones!$AB$41),UPPER(TEXT(EDATE($D5,Milestones!$AA$41),"dd mmm yy"))&amp;" "&amp;Milestones!$AB$41&amp;" "&amp;Milestones!$AC$41&amp;";  ","")&amp;IF(AND(EDATE($D5,Milestones!$AA$42)&lt;=AsOfDate,IF($R5=0,$X5,IF(AND($T5&lt;&gt;"",EDATE($D5,Milestones!$AA$42)&gt;=$T5),$W5,IF(AND($S5&lt;&gt;"",EDATE($D5,Milestones!$AA$42)&gt;=$S5),$V5,$U5)))=Milestones!$AB$42),UPPER(TEXT(EDATE($D5,Milestones!$AA$42),"dd mmm yy"))&amp;" "&amp;Milestones!$AB$42&amp;" "&amp;Milestones!$AC$42&amp;";  ","")&amp;IF(AND(EDATE($D5,Milestones!$AA$43)&lt;=AsOfDate,IF($R5=0,$X5,IF(AND($T5&lt;&gt;"",EDATE($D5,Milestones!$AA$43)&gt;=$T5),$W5,IF(AND($S5&lt;&gt;"",EDATE($D5,Milestones!$AA$43)&gt;=$S5),$V5,$U5)))=Milestones!$AB$43),UPPER(TEXT(EDATE($D5,Milestones!$AA$43),"dd mmm yy"))&amp;" "&amp;Milestones!$AB$43&amp;" "&amp;Milestones!$AC$43&amp;";  ","")&amp;IF(AND(EDATE($D5,Milestones!$AA$44)&lt;=AsOfDate,IF($R5=0,$X5,IF(AND($T5&lt;&gt;"",EDATE($D5,Milestones!$AA$44)&gt;=$T5),$W5,IF(AND($S5&lt;&gt;"",EDATE($D5,Milestones!$AA$44)&gt;=$S5),$V5,$U5)))=Milestones!$AB$44),UPPER(TEXT(EDATE($D5,Milestones!$AA$44),"dd mmm yy"))&amp;" "&amp;Milestones!$AB$44&amp;" "&amp;Milestones!$AC$44&amp;";  ","")&amp;IF(AND(EDATE($D5,Milestones!$AA$45)&lt;=AsOfDate,IF($R5=0,$X5,IF(AND($T5&lt;&gt;"",EDATE($D5,Milestones!$AA$45)&gt;=$T5),$W5,IF(AND($S5&lt;&gt;"",EDATE($D5,Milestones!$AA$45)&gt;=$S5),$V5,$U5)))=Milestones!$AB$45),UPPER(TEXT(EDATE($D5,Milestones!$AA$45),"dd mmm yy"))&amp;" "&amp;Milestones!$AB$45&amp;" "&amp;Milestones!$AC$45&amp;";  ","")&amp;IF(AND(EDATE($D5,Milestones!$AA$46)&lt;=AsOfDate,IF($R5=0,$X5,IF(AND($T5&lt;&gt;"",EDATE($D5,Milestones!$AA$46)&gt;=$T5),$W5,IF(AND($S5&lt;&gt;"",EDATE($D5,Milestones!$AA$46)&gt;=$S5),$V5,$U5)))=Milestones!$AB$46),UPPER(TEXT(EDATE($D5,Milestones!$AA$46),"dd mmm yy"))&amp;" "&amp;Milestones!$AB$46&amp;" "&amp;Milestones!$AC$46&amp;";  ","")&amp;IF(AND(EDATE($D5,Milestones!$AA$47)&lt;=AsOfDate,IF($R5=0,$X5,IF(AND($T5&lt;&gt;"",EDATE($D5,Milestones!$AA$47)&gt;=$T5),$W5,IF(AND($S5&lt;&gt;"",EDATE($D5,Milestones!$AA$47)&gt;=$S5),$V5,$U5)))=Milestones!$AB$47),UPPER(TEXT(EDATE($D5,Milestones!$AA$47),"dd mmm yy"))&amp;" "&amp;Milestones!$AB$47&amp;" "&amp;Milestones!$AC$47&amp;";  ","")&amp;IF(AND(EDATE($D5,Milestones!$AA$48)&lt;=AsOfDate,IF($R5=0,$X5,IF(AND($T5&lt;&gt;"",EDATE($D5,Milestones!$AA$48)&gt;=$T5),$W5,IF(AND($S5&lt;&gt;"",EDATE($D5,Milestones!$AA$48)&gt;=$S5),$V5,$U5)))=Milestones!$AB$48),UPPER(TEXT(EDATE($D5,Milestones!$AA$48),"dd mmm yy"))&amp;" "&amp;Milestones!$AB$48&amp;" "&amp;Milestones!$AC$48&amp;";  ","")&amp;IF(AND(EDATE($D5,Milestones!$AA$49)&lt;=AsOfDate,IF($R5=0,$X5,IF(AND($T5&lt;&gt;"",EDATE($D5,Milestones!$AA$49)&gt;=$T5),$W5,IF(AND($S5&lt;&gt;"",EDATE($D5,Milestones!$AA$49)&gt;=$S5),$V5,$U5)))=Milestones!$AB$49),UPPER(TEXT(EDATE($D5,Milestones!$AA$49),"dd mmm yy"))&amp;" "&amp;Milestones!$AB$49&amp;" "&amp;Milestones!$AC$49&amp;";  ","")&amp;IF(AND(EDATE($D5,Milestones!$AA$50)&lt;=AsOfDate,IF($R5=0,$X5,IF(AND($T5&lt;&gt;"",EDATE($D5,Milestones!$AA$50)&gt;=$T5),$W5,IF(AND($S5&lt;&gt;"",EDATE($D5,Milestones!$AA$50)&gt;=$S5),$V5,$U5)))=Milestones!$AB$50),UPPER(TEXT(EDATE($D5,Milestones!$AA$50),"dd mmm yy"))&amp;" "&amp;Milestones!$AB$50&amp;" "&amp;Milestones!$AC$50&amp;";  ","")&amp;IF(AND(EDATE($D5,Milestones!$AA$51)&lt;=AsOfDate,IF($R5=0,$X5,IF(AND($T5&lt;&gt;"",EDATE($D5,Milestones!$AA$51)&gt;=$T5),$W5,IF(AND($S5&lt;&gt;"",EDATE($D5,Milestones!$AA$51)&gt;=$S5),$V5,$U5)))=Milestones!$AB$51),UPPER(TEXT(EDATE($D5,Milestones!$AA$51),"dd mmm yy"))&amp;" "&amp;Milestones!$AB$51&amp;" "&amp;Milestones!$AC$51&amp;";  ","")&amp;IF(AND(EDATE($D5,Milestones!$AA$52)&lt;=AsOfDate,IF($R5=0,$X5,IF(AND($T5&lt;&gt;"",EDATE($D5,Milestones!$AA$52)&gt;=$T5),$W5,IF(AND($S5&lt;&gt;"",EDATE($D5,Milestones!$AA$52)&gt;=$S5),$V5,$U5)))=Milestones!$AB$52),UPPER(TEXT(EDATE($D5,Milestones!$AA$52),"dd mmm yy"))&amp;" "&amp;Milestones!$AB$52&amp;" "&amp;Milestones!$AC$52&amp;";  ","")&amp;IF(AND(EDATE($D5,Milestones!$AA$53)&lt;=AsOfDate,IF($R5=0,$X5,IF(AND($T5&lt;&gt;"",EDATE($D5,Milestones!$AA$53)&gt;=$T5),$W5,IF(AND($S5&lt;&gt;"",EDATE($D5,Milestones!$AA$53)&gt;=$S5),$V5,$U5)))=Milestones!$AB$53),UPPER(TEXT(EDATE($D5,Milestones!$AA$53),"dd mmm yy"))&amp;" "&amp;Milestones!$AB$53&amp;" "&amp;Milestones!$AC$53&amp;";  ","")&amp;IF(AND(EDATE($D5,Milestones!$AA$54)&lt;=AsOfDate,IF($R5=0,$X5,IF(AND($T5&lt;&gt;"",EDATE($D5,Milestones!$AA$54)&gt;=$T5),$W5,IF(AND($S5&lt;&gt;"",EDATE($D5,Milestones!$AA$54)&gt;=$S5),$V5,$U5)))=Milestones!$AB$54),UPPER(TEXT(EDATE($D5,Milestones!$AA$54),"dd mmm yy"))&amp;" "&amp;Milestones!$AB$54&amp;" "&amp;Milestones!$AC$54&amp;";  ","")&amp;IF(AND(EDATE($D5,Milestones!$AA$55)&lt;=AsOfDate,IF($R5=0,$X5,IF(AND($T5&lt;&gt;"",EDATE($D5,Milestones!$AA$55)&gt;=$T5),$W5,IF(AND($S5&lt;&gt;"",EDATE($D5,Milestones!$AA$55)&gt;=$S5),$V5,$U5)))=Milestones!$AB$55),UPPER(TEXT(EDATE($D5,Milestones!$AA$55),"dd mmm yy"))&amp;" "&amp;Milestones!$AB$55&amp;" "&amp;Milestones!$AC$55&amp;";  ","")&amp;IF(AND(EDATE($D5,Milestones!$AA$56)&lt;=AsOfDate,IF($R5=0,$X5,IF(AND($T5&lt;&gt;"",EDATE($D5,Milestones!$AA$56)&gt;=$T5),$W5,IF(AND($S5&lt;&gt;"",EDATE($D5,Milestones!$AA$56)&gt;=$S5),$V5,$U5)))=Milestones!$AB$56),UPPER(TEXT(EDATE($D5,Milestones!$AA$56),"dd mmm yy"))&amp;" "&amp;Milestones!$AB$56&amp;" "&amp;Milestones!$AC$56&amp;";  ","")&amp;IF(AND(EDATE($D5,Milestones!$AA$57)&lt;=AsOfDate,IF($R5=0,$X5,IF(AND($T5&lt;&gt;"",EDATE($D5,Milestones!$AA$57)&gt;=$T5),$W5,IF(AND($S5&lt;&gt;"",EDATE($D5,Milestones!$AA$57)&gt;=$S5),$V5,$U5)))=Milestones!$AB$57),UPPER(TEXT(EDATE($D5,Milestones!$AA$57),"dd mmm yy"))&amp;" "&amp;Milestones!$AB$57&amp;" "&amp;Milestones!$AC$57&amp;";  ","")&amp;IF(AND(EDATE($D5,Milestones!$AA$58)&lt;=AsOfDate,IF($R5=0,$X5,IF(AND($T5&lt;&gt;"",EDATE($D5,Milestones!$AA$58)&gt;=$T5),$W5,IF(AND($S5&lt;&gt;"",EDATE($D5,Milestones!$AA$58)&gt;=$S5),$V5,$U5)))=Milestones!$AB$58),UPPER(TEXT(EDATE($D5,Milestones!$AA$58),"dd mmm yy"))&amp;" "&amp;Milestones!$AB$58&amp;" "&amp;Milestones!$AC$58&amp;";  ","")&amp;IF(AND(EDATE($D5,Milestones!$AA$59)&lt;=AsOfDate,IF($R5=0,$X5,IF(AND($T5&lt;&gt;"",EDATE($D5,Milestones!$AA$59)&gt;=$T5),$W5,IF(AND($S5&lt;&gt;"",EDATE($D5,Milestones!$AA$59)&gt;=$S5),$V5,$U5)))=Milestones!$AB$59),UPPER(TEXT(EDATE($D5,Milestones!$AA$59),"dd mmm yy"))&amp;" "&amp;Milestones!$AB$59&amp;" "&amp;Milestones!$AC$59&amp;";  ",""))</f>
        <v/>
      </c>
      <c r="K5" s="0" t="str">
        <f aca="false">IF(OR($A5="",$D5=""),"",IF(AND(EDATE($D5,Milestones!$AA$60)&lt;=AsOfDate,IF($R5=0,$X5,IF(AND($T5&lt;&gt;"",EDATE($D5,Milestones!$AA$60)&gt;=$T5),$W5,IF(AND($S5&lt;&gt;"",EDATE($D5,Milestones!$AA$60)&gt;=$S5),$V5,$U5)))=Milestones!$AB$60),UPPER(TEXT(EDATE($D5,Milestones!$AA$60),"dd mmm yy"))&amp;" "&amp;Milestones!$AB$60&amp;" "&amp;Milestones!$AC$60&amp;";  ","")&amp;IF(AND(EDATE($D5,Milestones!$AA$61)&lt;=AsOfDate,IF($R5=0,$X5,IF(AND($T5&lt;&gt;"",EDATE($D5,Milestones!$AA$61)&gt;=$T5),$W5,IF(AND($S5&lt;&gt;"",EDATE($D5,Milestones!$AA$61)&gt;=$S5),$V5,$U5)))=Milestones!$AB$61),UPPER(TEXT(EDATE($D5,Milestones!$AA$61),"dd mmm yy"))&amp;" "&amp;Milestones!$AB$61&amp;" "&amp;Milestones!$AC$61&amp;";  ","")&amp;IF(AND(EDATE($D5,Milestones!$AA$62)&lt;=AsOfDate,IF($R5=0,$X5,IF(AND($T5&lt;&gt;"",EDATE($D5,Milestones!$AA$62)&gt;=$T5),$W5,IF(AND($S5&lt;&gt;"",EDATE($D5,Milestones!$AA$62)&gt;=$S5),$V5,$U5)))=Milestones!$AB$62),UPPER(TEXT(EDATE($D5,Milestones!$AA$62),"dd mmm yy"))&amp;" "&amp;Milestones!$AB$62&amp;" "&amp;Milestones!$AC$62&amp;";  ","")&amp;IF(AND(EDATE($D5,Milestones!$AA$63)&lt;=AsOfDate,IF($R5=0,$X5,IF(AND($T5&lt;&gt;"",EDATE($D5,Milestones!$AA$63)&gt;=$T5),$W5,IF(AND($S5&lt;&gt;"",EDATE($D5,Milestones!$AA$63)&gt;=$S5),$V5,$U5)))=Milestones!$AB$63),UPPER(TEXT(EDATE($D5,Milestones!$AA$63),"dd mmm yy"))&amp;" "&amp;Milestones!$AB$63&amp;" "&amp;Milestones!$AC$63&amp;";  ","")&amp;IF(AND(EDATE($D5,Milestones!$AA$64)&lt;=AsOfDate,IF($R5=0,$X5,IF(AND($T5&lt;&gt;"",EDATE($D5,Milestones!$AA$64)&gt;=$T5),$W5,IF(AND($S5&lt;&gt;"",EDATE($D5,Milestones!$AA$64)&gt;=$S5),$V5,$U5)))=Milestones!$AB$64),UPPER(TEXT(EDATE($D5,Milestones!$AA$64),"dd mmm yy"))&amp;" "&amp;Milestones!$AB$64&amp;" "&amp;Milestones!$AC$64&amp;";  ","")&amp;IF(AND(EDATE($D5,Milestones!$AA$65)&lt;=AsOfDate,IF($R5=0,$X5,IF(AND($T5&lt;&gt;"",EDATE($D5,Milestones!$AA$65)&gt;=$T5),$W5,IF(AND($S5&lt;&gt;"",EDATE($D5,Milestones!$AA$65)&gt;=$S5),$V5,$U5)))=Milestones!$AB$65),UPPER(TEXT(EDATE($D5,Milestones!$AA$65),"dd mmm yy"))&amp;" "&amp;Milestones!$AB$65&amp;" "&amp;Milestones!$AC$65&amp;";  ","")&amp;IF(AND(EDATE($D5,Milestones!$AA$66)&lt;=AsOfDate,IF($R5=0,$X5,IF(AND($T5&lt;&gt;"",EDATE($D5,Milestones!$AA$66)&gt;=$T5),$W5,IF(AND($S5&lt;&gt;"",EDATE($D5,Milestones!$AA$66)&gt;=$S5),$V5,$U5)))=Milestones!$AB$66),UPPER(TEXT(EDATE($D5,Milestones!$AA$66),"dd mmm yy"))&amp;" "&amp;Milestones!$AB$66&amp;" "&amp;Milestones!$AC$66&amp;";  ","")&amp;IF(AND(EDATE($D5,Milestones!$AA$67)&lt;=AsOfDate,IF($R5=0,$X5,IF(AND($T5&lt;&gt;"",EDATE($D5,Milestones!$AA$67)&gt;=$T5),$W5,IF(AND($S5&lt;&gt;"",EDATE($D5,Milestones!$AA$67)&gt;=$S5),$V5,$U5)))=Milestones!$AB$67),UPPER(TEXT(EDATE($D5,Milestones!$AA$67),"dd mmm yy"))&amp;" "&amp;Milestones!$AB$67&amp;" "&amp;Milestones!$AC$67&amp;";  ","")&amp;IF(AND(EDATE($D5,Milestones!$AA$68)&lt;=AsOfDate,IF($R5=0,$X5,IF(AND($T5&lt;&gt;"",EDATE($D5,Milestones!$AA$68)&gt;=$T5),$W5,IF(AND($S5&lt;&gt;"",EDATE($D5,Milestones!$AA$68)&gt;=$S5),$V5,$U5)))=Milestones!$AB$68),UPPER(TEXT(EDATE($D5,Milestones!$AA$68),"dd mmm yy"))&amp;" "&amp;Milestones!$AB$68&amp;" "&amp;Milestones!$AC$68&amp;";  ","")&amp;IF(AND(EDATE($D5,Milestones!$AA$69)&lt;=AsOfDate,IF($R5=0,$X5,IF(AND($T5&lt;&gt;"",EDATE($D5,Milestones!$AA$69)&gt;=$T5),$W5,IF(AND($S5&lt;&gt;"",EDATE($D5,Milestones!$AA$69)&gt;=$S5),$V5,$U5)))=Milestones!$AB$69),UPPER(TEXT(EDATE($D5,Milestones!$AA$69),"dd mmm yy"))&amp;" "&amp;Milestones!$AB$69&amp;" "&amp;Milestones!$AC$69&amp;";  ","")&amp;IF(AND(EDATE($D5,Milestones!$AA$70)&lt;=AsOfDate,IF($R5=0,$X5,IF(AND($T5&lt;&gt;"",EDATE($D5,Milestones!$AA$70)&gt;=$T5),$W5,IF(AND($S5&lt;&gt;"",EDATE($D5,Milestones!$AA$70)&gt;=$S5),$V5,$U5)))=Milestones!$AB$70),UPPER(TEXT(EDATE($D5,Milestones!$AA$70),"dd mmm yy"))&amp;" "&amp;Milestones!$AB$70&amp;" "&amp;Milestones!$AC$70&amp;";  ","")&amp;IF(AND(EDATE($D5,Milestones!$AA$71)&lt;=AsOfDate,IF($R5=0,$X5,IF(AND($T5&lt;&gt;"",EDATE($D5,Milestones!$AA$71)&gt;=$T5),$W5,IF(AND($S5&lt;&gt;"",EDATE($D5,Milestones!$AA$71)&gt;=$S5),$V5,$U5)))=Milestones!$AB$71),UPPER(TEXT(EDATE($D5,Milestones!$AA$71),"dd mmm yy"))&amp;" "&amp;Milestones!$AB$71&amp;" "&amp;Milestones!$AC$71&amp;";  ","")&amp;IF(AND(EDATE($D5,Milestones!$AA$72)&lt;=AsOfDate,IF($R5=0,$X5,IF(AND($T5&lt;&gt;"",EDATE($D5,Milestones!$AA$72)&gt;=$T5),$W5,IF(AND($S5&lt;&gt;"",EDATE($D5,Milestones!$AA$72)&gt;=$S5),$V5,$U5)))=Milestones!$AB$72),UPPER(TEXT(EDATE($D5,Milestones!$AA$72),"dd mmm yy"))&amp;" "&amp;Milestones!$AB$72&amp;" "&amp;Milestones!$AC$72&amp;";  ","")&amp;IF(AND(EDATE($D5,Milestones!$AA$73)&lt;=AsOfDate,IF($R5=0,$X5,IF(AND($T5&lt;&gt;"",EDATE($D5,Milestones!$AA$73)&gt;=$T5),$W5,IF(AND($S5&lt;&gt;"",EDATE($D5,Milestones!$AA$73)&gt;=$S5),$V5,$U5)))=Milestones!$AB$73),UPPER(TEXT(EDATE($D5,Milestones!$AA$73),"dd mmm yy"))&amp;" "&amp;Milestones!$AB$73&amp;" "&amp;Milestones!$AC$73&amp;";  ","")&amp;IF(AND(EDATE($D5,Milestones!$AA$74)&lt;=AsOfDate,IF($R5=0,$X5,IF(AND($T5&lt;&gt;"",EDATE($D5,Milestones!$AA$74)&gt;=$T5),$W5,IF(AND($S5&lt;&gt;"",EDATE($D5,Milestones!$AA$74)&gt;=$S5),$V5,$U5)))=Milestones!$AB$74),UPPER(TEXT(EDATE($D5,Milestones!$AA$74),"dd mmm yy"))&amp;" "&amp;Milestones!$AB$74&amp;" "&amp;Milestones!$AC$74&amp;";  ","")&amp;IF(AND(EDATE($D5,Milestones!$AA$75)&lt;=AsOfDate,IF($R5=0,$X5,IF(AND($T5&lt;&gt;"",EDATE($D5,Milestones!$AA$75)&gt;=$T5),$W5,IF(AND($S5&lt;&gt;"",EDATE($D5,Milestones!$AA$75)&gt;=$S5),$V5,$U5)))=Milestones!$AB$75),UPPER(TEXT(EDATE($D5,Milestones!$AA$75),"dd mmm yy"))&amp;" "&amp;Milestones!$AB$75&amp;" "&amp;Milestones!$AC$75&amp;";  ","")&amp;IF(AND(EDATE($D5,Milestones!$AA$76)&lt;=AsOfDate,IF($R5=0,$X5,IF(AND($T5&lt;&gt;"",EDATE($D5,Milestones!$AA$76)&gt;=$T5),$W5,IF(AND($S5&lt;&gt;"",EDATE($D5,Milestones!$AA$76)&gt;=$S5),$V5,$U5)))=Milestones!$AB$76),UPPER(TEXT(EDATE($D5,Milestones!$AA$76),"dd mmm yy"))&amp;" "&amp;Milestones!$AB$76&amp;" "&amp;Milestones!$AC$76&amp;";  ","")&amp;IF(AND(EDATE($D5,Milestones!$AA$77)&lt;=AsOfDate,IF($R5=0,$X5,IF(AND($T5&lt;&gt;"",EDATE($D5,Milestones!$AA$77)&gt;=$T5),$W5,IF(AND($S5&lt;&gt;"",EDATE($D5,Milestones!$AA$77)&gt;=$S5),$V5,$U5)))=Milestones!$AB$77),UPPER(TEXT(EDATE($D5,Milestones!$AA$77),"dd mmm yy"))&amp;" "&amp;Milestones!$AB$77&amp;" "&amp;Milestones!$AC$77&amp;";  ","")&amp;IF(AND(EDATE($D5,Milestones!$AA$78)&lt;=AsOfDate,IF($R5=0,$X5,IF(AND($T5&lt;&gt;"",EDATE($D5,Milestones!$AA$78)&gt;=$T5),$W5,IF(AND($S5&lt;&gt;"",EDATE($D5,Milestones!$AA$78)&gt;=$S5),$V5,$U5)))=Milestones!$AB$78),UPPER(TEXT(EDATE($D5,Milestones!$AA$78),"dd mmm yy"))&amp;" "&amp;Milestones!$AB$78&amp;" "&amp;Milestones!$AC$78&amp;";  ","")&amp;IF(AND(EDATE($D5,Milestones!$AA$79)&lt;=AsOfDate,IF($R5=0,$X5,IF(AND($T5&lt;&gt;"",EDATE($D5,Milestones!$AA$79)&gt;=$T5),$W5,IF(AND($S5&lt;&gt;"",EDATE($D5,Milestones!$AA$79)&gt;=$S5),$V5,$U5)))=Milestones!$AB$79),UPPER(TEXT(EDATE($D5,Milestones!$AA$79),"dd mmm yy"))&amp;" "&amp;Milestones!$AB$79&amp;" "&amp;Milestones!$AC$79&amp;";  ",""))</f>
        <v/>
      </c>
      <c r="L5" s="0" t="str">
        <f aca="false">IF(OR($A5="",$D5=""),"",IF(AND(EDATE($D5,Milestones!$AA$80)&lt;=AsOfDate,IF($R5=0,$X5,IF(AND($T5&lt;&gt;"",EDATE($D5,Milestones!$AA$80)&gt;=$T5),$W5,IF(AND($S5&lt;&gt;"",EDATE($D5,Milestones!$AA$80)&gt;=$S5),$V5,$U5)))=Milestones!$AB$80),UPPER(TEXT(EDATE($D5,Milestones!$AA$80),"dd mmm yy"))&amp;" "&amp;Milestones!$AB$80&amp;" "&amp;Milestones!$AC$80&amp;";  ","")&amp;IF(AND(EDATE($D5,Milestones!$AA$81)&lt;=AsOfDate,IF($R5=0,$X5,IF(AND($T5&lt;&gt;"",EDATE($D5,Milestones!$AA$81)&gt;=$T5),$W5,IF(AND($S5&lt;&gt;"",EDATE($D5,Milestones!$AA$81)&gt;=$S5),$V5,$U5)))=Milestones!$AB$81),UPPER(TEXT(EDATE($D5,Milestones!$AA$81),"dd mmm yy"))&amp;" "&amp;Milestones!$AB$81&amp;" "&amp;Milestones!$AC$81&amp;";  ","")&amp;IF(AND(EDATE($D5,Milestones!$AA$82)&lt;=AsOfDate,IF($R5=0,$X5,IF(AND($T5&lt;&gt;"",EDATE($D5,Milestones!$AA$82)&gt;=$T5),$W5,IF(AND($S5&lt;&gt;"",EDATE($D5,Milestones!$AA$82)&gt;=$S5),$V5,$U5)))=Milestones!$AB$82),UPPER(TEXT(EDATE($D5,Milestones!$AA$82),"dd mmm yy"))&amp;" "&amp;Milestones!$AB$82&amp;" "&amp;Milestones!$AC$82&amp;";  ","")&amp;IF(AND(EDATE($D5,Milestones!$AA$83)&lt;=AsOfDate,IF($R5=0,$X5,IF(AND($T5&lt;&gt;"",EDATE($D5,Milestones!$AA$83)&gt;=$T5),$W5,IF(AND($S5&lt;&gt;"",EDATE($D5,Milestones!$AA$83)&gt;=$S5),$V5,$U5)))=Milestones!$AB$83),UPPER(TEXT(EDATE($D5,Milestones!$AA$83),"dd mmm yy"))&amp;" "&amp;Milestones!$AB$83&amp;" "&amp;Milestones!$AC$83&amp;";  ","")&amp;IF(AND(EDATE($D5,Milestones!$AA$84)&lt;=AsOfDate,IF($R5=0,$X5,IF(AND($T5&lt;&gt;"",EDATE($D5,Milestones!$AA$84)&gt;=$T5),$W5,IF(AND($S5&lt;&gt;"",EDATE($D5,Milestones!$AA$84)&gt;=$S5),$V5,$U5)))=Milestones!$AB$84),UPPER(TEXT(EDATE($D5,Milestones!$AA$84),"dd mmm yy"))&amp;" "&amp;Milestones!$AB$84&amp;" "&amp;Milestones!$AC$84&amp;";  ","")&amp;IF(AND(EDATE($D5,Milestones!$AA$85)&lt;=AsOfDate,IF($R5=0,$X5,IF(AND($T5&lt;&gt;"",EDATE($D5,Milestones!$AA$85)&gt;=$T5),$W5,IF(AND($S5&lt;&gt;"",EDATE($D5,Milestones!$AA$85)&gt;=$S5),$V5,$U5)))=Milestones!$AB$85),UPPER(TEXT(EDATE($D5,Milestones!$AA$85),"dd mmm yy"))&amp;" "&amp;Milestones!$AB$85&amp;" "&amp;Milestones!$AC$85&amp;";  ","")&amp;IF(AND(EDATE($D5,Milestones!$AA$86)&lt;=AsOfDate,IF($R5=0,$X5,IF(AND($T5&lt;&gt;"",EDATE($D5,Milestones!$AA$86)&gt;=$T5),$W5,IF(AND($S5&lt;&gt;"",EDATE($D5,Milestones!$AA$86)&gt;=$S5),$V5,$U5)))=Milestones!$AB$86),UPPER(TEXT(EDATE($D5,Milestones!$AA$86),"dd mmm yy"))&amp;" "&amp;Milestones!$AB$86&amp;" "&amp;Milestones!$AC$86&amp;";  ","")&amp;IF(AND(EDATE($D5,Milestones!$AA$87)&lt;=AsOfDate,IF($R5=0,$X5,IF(AND($T5&lt;&gt;"",EDATE($D5,Milestones!$AA$87)&gt;=$T5),$W5,IF(AND($S5&lt;&gt;"",EDATE($D5,Milestones!$AA$87)&gt;=$S5),$V5,$U5)))=Milestones!$AB$87),UPPER(TEXT(EDATE($D5,Milestones!$AA$87),"dd mmm yy"))&amp;" "&amp;Milestones!$AB$87&amp;" "&amp;Milestones!$AC$87&amp;";  ","")&amp;IF(AND(EDATE($D5,Milestones!$AA$88)&lt;=AsOfDate,IF($R5=0,$X5,IF(AND($T5&lt;&gt;"",EDATE($D5,Milestones!$AA$88)&gt;=$T5),$W5,IF(AND($S5&lt;&gt;"",EDATE($D5,Milestones!$AA$88)&gt;=$S5),$V5,$U5)))=Milestones!$AB$88),UPPER(TEXT(EDATE($D5,Milestones!$AA$88),"dd mmm yy"))&amp;" "&amp;Milestones!$AB$88&amp;" "&amp;Milestones!$AC$88&amp;";  ","")&amp;IF(AND(EDATE($D5,Milestones!$AA$89)&lt;=AsOfDate,IF($R5=0,$X5,IF(AND($T5&lt;&gt;"",EDATE($D5,Milestones!$AA$89)&gt;=$T5),$W5,IF(AND($S5&lt;&gt;"",EDATE($D5,Milestones!$AA$89)&gt;=$S5),$V5,$U5)))=Milestones!$AB$89),UPPER(TEXT(EDATE($D5,Milestones!$AA$89),"dd mmm yy"))&amp;" "&amp;Milestones!$AB$89&amp;" "&amp;Milestones!$AC$89&amp;";  ","")&amp;IF(AND(EDATE($D5,Milestones!$AA$90)&lt;=AsOfDate,IF($R5=0,$X5,IF(AND($T5&lt;&gt;"",EDATE($D5,Milestones!$AA$90)&gt;=$T5),$W5,IF(AND($S5&lt;&gt;"",EDATE($D5,Milestones!$AA$90)&gt;=$S5),$V5,$U5)))=Milestones!$AB$90),UPPER(TEXT(EDATE($D5,Milestones!$AA$90),"dd mmm yy"))&amp;" "&amp;Milestones!$AB$90&amp;" "&amp;Milestones!$AC$90&amp;";  ","")&amp;IF(AND(EDATE($D5,Milestones!$AA$91)&lt;=AsOfDate,IF($R5=0,$X5,IF(AND($T5&lt;&gt;"",EDATE($D5,Milestones!$AA$91)&gt;=$T5),$W5,IF(AND($S5&lt;&gt;"",EDATE($D5,Milestones!$AA$91)&gt;=$S5),$V5,$U5)))=Milestones!$AB$91),UPPER(TEXT(EDATE($D5,Milestones!$AA$91),"dd mmm yy"))&amp;" "&amp;Milestones!$AB$91&amp;" "&amp;Milestones!$AC$91&amp;";  ","")&amp;IF(AND(EDATE($D5,Milestones!$AA$92)&lt;=AsOfDate,IF($R5=0,$X5,IF(AND($T5&lt;&gt;"",EDATE($D5,Milestones!$AA$92)&gt;=$T5),$W5,IF(AND($S5&lt;&gt;"",EDATE($D5,Milestones!$AA$92)&gt;=$S5),$V5,$U5)))=Milestones!$AB$92),UPPER(TEXT(EDATE($D5,Milestones!$AA$92),"dd mmm yy"))&amp;" "&amp;Milestones!$AB$92&amp;" "&amp;Milestones!$AC$92&amp;";  ","")&amp;IF(AND(EDATE($D5,Milestones!$AA$93)&lt;=AsOfDate,IF($R5=0,$X5,IF(AND($T5&lt;&gt;"",EDATE($D5,Milestones!$AA$93)&gt;=$T5),$W5,IF(AND($S5&lt;&gt;"",EDATE($D5,Milestones!$AA$93)&gt;=$S5),$V5,$U5)))=Milestones!$AB$93),UPPER(TEXT(EDATE($D5,Milestones!$AA$93),"dd mmm yy"))&amp;" "&amp;Milestones!$AB$93&amp;" "&amp;Milestones!$AC$93&amp;";  ","")&amp;IF(AND(EDATE($D5,Milestones!$AA$94)&lt;=AsOfDate,IF($R5=0,$X5,IF(AND($T5&lt;&gt;"",EDATE($D5,Milestones!$AA$94)&gt;=$T5),$W5,IF(AND($S5&lt;&gt;"",EDATE($D5,Milestones!$AA$94)&gt;=$S5),$V5,$U5)))=Milestones!$AB$94),UPPER(TEXT(EDATE($D5,Milestones!$AA$94),"dd mmm yy"))&amp;" "&amp;Milestones!$AB$94&amp;" "&amp;Milestones!$AC$94&amp;";  ","")&amp;IF(AND(EDATE($D5,Milestones!$AA$95)&lt;=AsOfDate,IF($R5=0,$X5,IF(AND($T5&lt;&gt;"",EDATE($D5,Milestones!$AA$95)&gt;=$T5),$W5,IF(AND($S5&lt;&gt;"",EDATE($D5,Milestones!$AA$95)&gt;=$S5),$V5,$U5)))=Milestones!$AB$95),UPPER(TEXT(EDATE($D5,Milestones!$AA$95),"dd mmm yy"))&amp;" "&amp;Milestones!$AB$95&amp;" "&amp;Milestones!$AC$95&amp;";  ","")&amp;IF(AND(EDATE($D5,Milestones!$AA$96)&lt;=AsOfDate,IF($R5=0,$X5,IF(AND($T5&lt;&gt;"",EDATE($D5,Milestones!$AA$96)&gt;=$T5),$W5,IF(AND($S5&lt;&gt;"",EDATE($D5,Milestones!$AA$96)&gt;=$S5),$V5,$U5)))=Milestones!$AB$96),UPPER(TEXT(EDATE($D5,Milestones!$AA$96),"dd mmm yy"))&amp;" "&amp;Milestones!$AB$96&amp;" "&amp;Milestones!$AC$96&amp;";  ","")&amp;IF(AND(EDATE($D5,Milestones!$AA$97)&lt;=AsOfDate,IF($R5=0,$X5,IF(AND($T5&lt;&gt;"",EDATE($D5,Milestones!$AA$97)&gt;=$T5),$W5,IF(AND($S5&lt;&gt;"",EDATE($D5,Milestones!$AA$97)&gt;=$S5),$V5,$U5)))=Milestones!$AB$97),UPPER(TEXT(EDATE($D5,Milestones!$AA$97),"dd mmm yy"))&amp;" "&amp;Milestones!$AB$97&amp;" "&amp;Milestones!$AC$97&amp;";  ","")&amp;IF(AND(EDATE($D5,Milestones!$AA$98)&lt;=AsOfDate,IF($R5=0,$X5,IF(AND($T5&lt;&gt;"",EDATE($D5,Milestones!$AA$98)&gt;=$T5),$W5,IF(AND($S5&lt;&gt;"",EDATE($D5,Milestones!$AA$98)&gt;=$S5),$V5,$U5)))=Milestones!$AB$98),UPPER(TEXT(EDATE($D5,Milestones!$AA$98),"dd mmm yy"))&amp;" "&amp;Milestones!$AB$98&amp;" "&amp;Milestones!$AC$98&amp;";  ","")&amp;IF(AND(EDATE($D5,Milestones!$AA$99)&lt;=AsOfDate,IF($R5=0,$X5,IF(AND($T5&lt;&gt;"",EDATE($D5,Milestones!$AA$99)&gt;=$T5),$W5,IF(AND($S5&lt;&gt;"",EDATE($D5,Milestones!$AA$99)&gt;=$S5),$V5,$U5)))=Milestones!$AB$99),UPPER(TEXT(EDATE($D5,Milestones!$AA$99),"dd mmm yy"))&amp;" "&amp;Milestones!$AB$99&amp;" "&amp;Milestones!$AC$99&amp;";  ",""))</f>
        <v/>
      </c>
      <c r="M5" s="0" t="str">
        <f aca="false">IF(OR($A5="",$D5=""),"",IF(AND(EDATE($D5,Milestones!$AA$100)&lt;=AsOfDate,IF($R5=0,$X5,IF(AND($T5&lt;&gt;"",EDATE($D5,Milestones!$AA$100)&gt;=$T5),$W5,IF(AND($S5&lt;&gt;"",EDATE($D5,Milestones!$AA$100)&gt;=$S5),$V5,$U5)))=Milestones!$AB$100),UPPER(TEXT(EDATE($D5,Milestones!$AA$100),"dd mmm yy"))&amp;" "&amp;Milestones!$AB$100&amp;" "&amp;Milestones!$AC$100&amp;";  ","")&amp;IF(AND(EDATE($D5,Milestones!$AA$101)&lt;=AsOfDate,IF($R5=0,$X5,IF(AND($T5&lt;&gt;"",EDATE($D5,Milestones!$AA$101)&gt;=$T5),$W5,IF(AND($S5&lt;&gt;"",EDATE($D5,Milestones!$AA$101)&gt;=$S5),$V5,$U5)))=Milestones!$AB$101),UPPER(TEXT(EDATE($D5,Milestones!$AA$101),"dd mmm yy"))&amp;" "&amp;Milestones!$AB$101&amp;" "&amp;Milestones!$AC$101&amp;";  ","")&amp;IF(AND(EDATE($D5,Milestones!$AA$102)&lt;=AsOfDate,IF($R5=0,$X5,IF(AND($T5&lt;&gt;"",EDATE($D5,Milestones!$AA$102)&gt;=$T5),$W5,IF(AND($S5&lt;&gt;"",EDATE($D5,Milestones!$AA$102)&gt;=$S5),$V5,$U5)))=Milestones!$AB$102),UPPER(TEXT(EDATE($D5,Milestones!$AA$102),"dd mmm yy"))&amp;" "&amp;Milestones!$AB$102&amp;" "&amp;Milestones!$AC$102&amp;";  ","")&amp;IF(AND(EDATE($D5,Milestones!$AA$103)&lt;=AsOfDate,IF($R5=0,$X5,IF(AND($T5&lt;&gt;"",EDATE($D5,Milestones!$AA$103)&gt;=$T5),$W5,IF(AND($S5&lt;&gt;"",EDATE($D5,Milestones!$AA$103)&gt;=$S5),$V5,$U5)))=Milestones!$AB$103),UPPER(TEXT(EDATE($D5,Milestones!$AA$103),"dd mmm yy"))&amp;" "&amp;Milestones!$AB$103&amp;" "&amp;Milestones!$AC$103&amp;";  ","")&amp;IF(AND(EDATE($D5,Milestones!$AA$104)&lt;=AsOfDate,IF($R5=0,$X5,IF(AND($T5&lt;&gt;"",EDATE($D5,Milestones!$AA$104)&gt;=$T5),$W5,IF(AND($S5&lt;&gt;"",EDATE($D5,Milestones!$AA$104)&gt;=$S5),$V5,$U5)))=Milestones!$AB$104),UPPER(TEXT(EDATE($D5,Milestones!$AA$104),"dd mmm yy"))&amp;" "&amp;Milestones!$AB$104&amp;" "&amp;Milestones!$AC$104&amp;";  ","")&amp;IF(AND(EDATE($D5,Milestones!$AA$105)&lt;=AsOfDate,IF($R5=0,$X5,IF(AND($T5&lt;&gt;"",EDATE($D5,Milestones!$AA$105)&gt;=$T5),$W5,IF(AND($S5&lt;&gt;"",EDATE($D5,Milestones!$AA$105)&gt;=$S5),$V5,$U5)))=Milestones!$AB$105),UPPER(TEXT(EDATE($D5,Milestones!$AA$105),"dd mmm yy"))&amp;" "&amp;Milestones!$AB$105&amp;" "&amp;Milestones!$AC$105&amp;";  ","")&amp;IF(AND(EDATE($D5,Milestones!$AA$106)&lt;=AsOfDate,IF($R5=0,$X5,IF(AND($T5&lt;&gt;"",EDATE($D5,Milestones!$AA$106)&gt;=$T5),$W5,IF(AND($S5&lt;&gt;"",EDATE($D5,Milestones!$AA$106)&gt;=$S5),$V5,$U5)))=Milestones!$AB$106),UPPER(TEXT(EDATE($D5,Milestones!$AA$106),"dd mmm yy"))&amp;" "&amp;Milestones!$AB$106&amp;" "&amp;Milestones!$AC$106&amp;";  ","")&amp;IF(AND(EDATE($D5,Milestones!$AA$107)&lt;=AsOfDate,IF($R5=0,$X5,IF(AND($T5&lt;&gt;"",EDATE($D5,Milestones!$AA$107)&gt;=$T5),$W5,IF(AND($S5&lt;&gt;"",EDATE($D5,Milestones!$AA$107)&gt;=$S5),$V5,$U5)))=Milestones!$AB$107),UPPER(TEXT(EDATE($D5,Milestones!$AA$107),"dd mmm yy"))&amp;" "&amp;Milestones!$AB$107&amp;" "&amp;Milestones!$AC$107&amp;";  ","")&amp;IF(AND(EDATE($D5,Milestones!$AA$108)&lt;=AsOfDate,IF($R5=0,$X5,IF(AND($T5&lt;&gt;"",EDATE($D5,Milestones!$AA$108)&gt;=$T5),$W5,IF(AND($S5&lt;&gt;"",EDATE($D5,Milestones!$AA$108)&gt;=$S5),$V5,$U5)))=Milestones!$AB$108),UPPER(TEXT(EDATE($D5,Milestones!$AA$108),"dd mmm yy"))&amp;" "&amp;Milestones!$AB$108&amp;" "&amp;Milestones!$AC$108&amp;";  ","")&amp;IF(AND(EDATE($D5,Milestones!$AA$109)&lt;=AsOfDate,IF($R5=0,$X5,IF(AND($T5&lt;&gt;"",EDATE($D5,Milestones!$AA$109)&gt;=$T5),$W5,IF(AND($S5&lt;&gt;"",EDATE($D5,Milestones!$AA$109)&gt;=$S5),$V5,$U5)))=Milestones!$AB$109),UPPER(TEXT(EDATE($D5,Milestones!$AA$109),"dd mmm yy"))&amp;" "&amp;Milestones!$AB$109&amp;" "&amp;Milestones!$AC$109&amp;";  ","")&amp;IF(AND(EDATE($D5,Milestones!$AA$110)&lt;=AsOfDate,IF($R5=0,$X5,IF(AND($T5&lt;&gt;"",EDATE($D5,Milestones!$AA$110)&gt;=$T5),$W5,IF(AND($S5&lt;&gt;"",EDATE($D5,Milestones!$AA$110)&gt;=$S5),$V5,$U5)))=Milestones!$AB$110),UPPER(TEXT(EDATE($D5,Milestones!$AA$110),"dd mmm yy"))&amp;" "&amp;Milestones!$AB$110&amp;" "&amp;Milestones!$AC$110&amp;";  ","")&amp;IF(AND(EDATE($D5,Milestones!$AA$111)&lt;=AsOfDate,IF($R5=0,$X5,IF(AND($T5&lt;&gt;"",EDATE($D5,Milestones!$AA$111)&gt;=$T5),$W5,IF(AND($S5&lt;&gt;"",EDATE($D5,Milestones!$AA$111)&gt;=$S5),$V5,$U5)))=Milestones!$AB$111),UPPER(TEXT(EDATE($D5,Milestones!$AA$111),"dd mmm yy"))&amp;" "&amp;Milestones!$AB$111&amp;" "&amp;Milestones!$AC$111&amp;";  ","")&amp;IF(AND(EDATE($D5,Milestones!$AA$112)&lt;=AsOfDate,IF($R5=0,$X5,IF(AND($T5&lt;&gt;"",EDATE($D5,Milestones!$AA$112)&gt;=$T5),$W5,IF(AND($S5&lt;&gt;"",EDATE($D5,Milestones!$AA$112)&gt;=$S5),$V5,$U5)))=Milestones!$AB$112),UPPER(TEXT(EDATE($D5,Milestones!$AA$112),"dd mmm yy"))&amp;" "&amp;Milestones!$AB$112&amp;" "&amp;Milestones!$AC$112&amp;";  ","")&amp;IF(AND(EDATE($D5,Milestones!$AA$113)&lt;=AsOfDate,IF($R5=0,$X5,IF(AND($T5&lt;&gt;"",EDATE($D5,Milestones!$AA$113)&gt;=$T5),$W5,IF(AND($S5&lt;&gt;"",EDATE($D5,Milestones!$AA$113)&gt;=$S5),$V5,$U5)))=Milestones!$AB$113),UPPER(TEXT(EDATE($D5,Milestones!$AA$113),"dd mmm yy"))&amp;" "&amp;Milestones!$AB$113&amp;" "&amp;Milestones!$AC$113&amp;";  ","")&amp;IF(AND(EDATE($D5,Milestones!$AA$114)&lt;=AsOfDate,IF($R5=0,$X5,IF(AND($T5&lt;&gt;"",EDATE($D5,Milestones!$AA$114)&gt;=$T5),$W5,IF(AND($S5&lt;&gt;"",EDATE($D5,Milestones!$AA$114)&gt;=$S5),$V5,$U5)))=Milestones!$AB$114),UPPER(TEXT(EDATE($D5,Milestones!$AA$114),"dd mmm yy"))&amp;" "&amp;Milestones!$AB$114&amp;" "&amp;Milestones!$AC$114&amp;";  ","")&amp;IF(AND(EDATE($D5,Milestones!$AA$115)&lt;=AsOfDate,IF($R5=0,$X5,IF(AND($T5&lt;&gt;"",EDATE($D5,Milestones!$AA$115)&gt;=$T5),$W5,IF(AND($S5&lt;&gt;"",EDATE($D5,Milestones!$AA$115)&gt;=$S5),$V5,$U5)))=Milestones!$AB$115),UPPER(TEXT(EDATE($D5,Milestones!$AA$115),"dd mmm yy"))&amp;" "&amp;Milestones!$AB$115&amp;" "&amp;Milestones!$AC$115&amp;";  ","")&amp;IF(AND(EDATE($D5,Milestones!$AA$116)&lt;=AsOfDate,IF($R5=0,$X5,IF(AND($T5&lt;&gt;"",EDATE($D5,Milestones!$AA$116)&gt;=$T5),$W5,IF(AND($S5&lt;&gt;"",EDATE($D5,Milestones!$AA$116)&gt;=$S5),$V5,$U5)))=Milestones!$AB$116),UPPER(TEXT(EDATE($D5,Milestones!$AA$116),"dd mmm yy"))&amp;" "&amp;Milestones!$AB$116&amp;" "&amp;Milestones!$AC$116&amp;";  ","")&amp;IF(AND(EDATE($D5,Milestones!$AA$117)&lt;=AsOfDate,IF($R5=0,$X5,IF(AND($T5&lt;&gt;"",EDATE($D5,Milestones!$AA$117)&gt;=$T5),$W5,IF(AND($S5&lt;&gt;"",EDATE($D5,Milestones!$AA$117)&gt;=$S5),$V5,$U5)))=Milestones!$AB$117),UPPER(TEXT(EDATE($D5,Milestones!$AA$117),"dd mmm yy"))&amp;" "&amp;Milestones!$AB$117&amp;" "&amp;Milestones!$AC$117&amp;";  ","")&amp;IF(AND(EDATE($D5,Milestones!$AA$118)&lt;=AsOfDate,IF($R5=0,$X5,IF(AND($T5&lt;&gt;"",EDATE($D5,Milestones!$AA$118)&gt;=$T5),$W5,IF(AND($S5&lt;&gt;"",EDATE($D5,Milestones!$AA$118)&gt;=$S5),$V5,$U5)))=Milestones!$AB$118),UPPER(TEXT(EDATE($D5,Milestones!$AA$118),"dd mmm yy"))&amp;" "&amp;Milestones!$AB$118&amp;" "&amp;Milestones!$AC$118&amp;";  ","")&amp;IF(AND(EDATE($D5,Milestones!$AA$119)&lt;=AsOfDate,IF($R5=0,$X5,IF(AND($T5&lt;&gt;"",EDATE($D5,Milestones!$AA$119)&gt;=$T5),$W5,IF(AND($S5&lt;&gt;"",EDATE($D5,Milestones!$AA$119)&gt;=$S5),$V5,$U5)))=Milestones!$AB$119),UPPER(TEXT(EDATE($D5,Milestones!$AA$119),"dd mmm yy"))&amp;" "&amp;Milestones!$AB$119&amp;" "&amp;Milestones!$AC$119&amp;";  ",""))</f>
        <v/>
      </c>
      <c r="N5" s="0" t="str">
        <f aca="false">IF(OR($A5="",$D5=""),"",IF(AND(EDATE($D5,Milestones!$AA$120)&lt;=AsOfDate,IF($R5=0,$X5,IF(AND($T5&lt;&gt;"",EDATE($D5,Milestones!$AA$120)&gt;=$T5),$W5,IF(AND($S5&lt;&gt;"",EDATE($D5,Milestones!$AA$120)&gt;=$S5),$V5,$U5)))=Milestones!$AB$120),UPPER(TEXT(EDATE($D5,Milestones!$AA$120),"dd mmm yy"))&amp;" "&amp;Milestones!$AB$120&amp;" "&amp;Milestones!$AC$120&amp;";  ","")&amp;IF(AND(EDATE($D5,Milestones!$AA$121)&lt;=AsOfDate,IF($R5=0,$X5,IF(AND($T5&lt;&gt;"",EDATE($D5,Milestones!$AA$121)&gt;=$T5),$W5,IF(AND($S5&lt;&gt;"",EDATE($D5,Milestones!$AA$121)&gt;=$S5),$V5,$U5)))=Milestones!$AB$121),UPPER(TEXT(EDATE($D5,Milestones!$AA$121),"dd mmm yy"))&amp;" "&amp;Milestones!$AB$121&amp;" "&amp;Milestones!$AC$121&amp;";  ","")&amp;IF(AND(EDATE($D5,Milestones!$AA$122)&lt;=AsOfDate,IF($R5=0,$X5,IF(AND($T5&lt;&gt;"",EDATE($D5,Milestones!$AA$122)&gt;=$T5),$W5,IF(AND($S5&lt;&gt;"",EDATE($D5,Milestones!$AA$122)&gt;=$S5),$V5,$U5)))=Milestones!$AB$122),UPPER(TEXT(EDATE($D5,Milestones!$AA$122),"dd mmm yy"))&amp;" "&amp;Milestones!$AB$122&amp;" "&amp;Milestones!$AC$122&amp;";  ","")&amp;IF(AND(EDATE($D5,Milestones!$AA$123)&lt;=AsOfDate,IF($R5=0,$X5,IF(AND($T5&lt;&gt;"",EDATE($D5,Milestones!$AA$123)&gt;=$T5),$W5,IF(AND($S5&lt;&gt;"",EDATE($D5,Milestones!$AA$123)&gt;=$S5),$V5,$U5)))=Milestones!$AB$123),UPPER(TEXT(EDATE($D5,Milestones!$AA$123),"dd mmm yy"))&amp;" "&amp;Milestones!$AB$123&amp;" "&amp;Milestones!$AC$123&amp;";  ","")&amp;IF(AND(EDATE($D5,Milestones!$AA$124)&lt;=AsOfDate,IF($R5=0,$X5,IF(AND($T5&lt;&gt;"",EDATE($D5,Milestones!$AA$124)&gt;=$T5),$W5,IF(AND($S5&lt;&gt;"",EDATE($D5,Milestones!$AA$124)&gt;=$S5),$V5,$U5)))=Milestones!$AB$124),UPPER(TEXT(EDATE($D5,Milestones!$AA$124),"dd mmm yy"))&amp;" "&amp;Milestones!$AB$124&amp;" "&amp;Milestones!$AC$124&amp;";  ","")&amp;IF(AND(EDATE($D5,Milestones!$AA$125)&lt;=AsOfDate,IF($R5=0,$X5,IF(AND($T5&lt;&gt;"",EDATE($D5,Milestones!$AA$125)&gt;=$T5),$W5,IF(AND($S5&lt;&gt;"",EDATE($D5,Milestones!$AA$125)&gt;=$S5),$V5,$U5)))=Milestones!$AB$125),UPPER(TEXT(EDATE($D5,Milestones!$AA$125),"dd mmm yy"))&amp;" "&amp;Milestones!$AB$125&amp;" "&amp;Milestones!$AC$125&amp;";  ","")&amp;IF(AND(EDATE($D5,Milestones!$AA$126)&lt;=AsOfDate,IF($R5=0,$X5,IF(AND($T5&lt;&gt;"",EDATE($D5,Milestones!$AA$126)&gt;=$T5),$W5,IF(AND($S5&lt;&gt;"",EDATE($D5,Milestones!$AA$126)&gt;=$S5),$V5,$U5)))=Milestones!$AB$126),UPPER(TEXT(EDATE($D5,Milestones!$AA$126),"dd mmm yy"))&amp;" "&amp;Milestones!$AB$126&amp;" "&amp;Milestones!$AC$126&amp;";  ","")&amp;IF(AND(EDATE($D5,Milestones!$AA$127)&lt;=AsOfDate,IF($R5=0,$X5,IF(AND($T5&lt;&gt;"",EDATE($D5,Milestones!$AA$127)&gt;=$T5),$W5,IF(AND($S5&lt;&gt;"",EDATE($D5,Milestones!$AA$127)&gt;=$S5),$V5,$U5)))=Milestones!$AB$127),UPPER(TEXT(EDATE($D5,Milestones!$AA$127),"dd mmm yy"))&amp;" "&amp;Milestones!$AB$127&amp;" "&amp;Milestones!$AC$127&amp;";  ","")&amp;IF(AND(EDATE($D5,Milestones!$AA$128)&lt;=AsOfDate,IF($R5=0,$X5,IF(AND($T5&lt;&gt;"",EDATE($D5,Milestones!$AA$128)&gt;=$T5),$W5,IF(AND($S5&lt;&gt;"",EDATE($D5,Milestones!$AA$128)&gt;=$S5),$V5,$U5)))=Milestones!$AB$128),UPPER(TEXT(EDATE($D5,Milestones!$AA$128),"dd mmm yy"))&amp;" "&amp;Milestones!$AB$128&amp;" "&amp;Milestones!$AC$128&amp;";  ","")&amp;IF(AND(EDATE($D5,Milestones!$AA$129)&lt;=AsOfDate,IF($R5=0,$X5,IF(AND($T5&lt;&gt;"",EDATE($D5,Milestones!$AA$129)&gt;=$T5),$W5,IF(AND($S5&lt;&gt;"",EDATE($D5,Milestones!$AA$129)&gt;=$S5),$V5,$U5)))=Milestones!$AB$129),UPPER(TEXT(EDATE($D5,Milestones!$AA$129),"dd mmm yy"))&amp;" "&amp;Milestones!$AB$129&amp;" "&amp;Milestones!$AC$129&amp;";  ","")&amp;IF(AND(EDATE($D5,Milestones!$AA$130)&lt;=AsOfDate,IF($R5=0,$X5,IF(AND($T5&lt;&gt;"",EDATE($D5,Milestones!$AA$130)&gt;=$T5),$W5,IF(AND($S5&lt;&gt;"",EDATE($D5,Milestones!$AA$130)&gt;=$S5),$V5,$U5)))=Milestones!$AB$130),UPPER(TEXT(EDATE($D5,Milestones!$AA$130),"dd mmm yy"))&amp;" "&amp;Milestones!$AB$130&amp;" "&amp;Milestones!$AC$130&amp;";  ","")&amp;IF(AND(EDATE($D5,Milestones!$AA$131)&lt;=AsOfDate,IF($R5=0,$X5,IF(AND($T5&lt;&gt;"",EDATE($D5,Milestones!$AA$131)&gt;=$T5),$W5,IF(AND($S5&lt;&gt;"",EDATE($D5,Milestones!$AA$131)&gt;=$S5),$V5,$U5)))=Milestones!$AB$131),UPPER(TEXT(EDATE($D5,Milestones!$AA$131),"dd mmm yy"))&amp;" "&amp;Milestones!$AB$131&amp;" "&amp;Milestones!$AC$131&amp;";  ","")&amp;IF(AND(EDATE($D5,Milestones!$AA$132)&lt;=AsOfDate,IF($R5=0,$X5,IF(AND($T5&lt;&gt;"",EDATE($D5,Milestones!$AA$132)&gt;=$T5),$W5,IF(AND($S5&lt;&gt;"",EDATE($D5,Milestones!$AA$132)&gt;=$S5),$V5,$U5)))=Milestones!$AB$132),UPPER(TEXT(EDATE($D5,Milestones!$AA$132),"dd mmm yy"))&amp;" "&amp;Milestones!$AB$132&amp;" "&amp;Milestones!$AC$132&amp;";  ","")&amp;IF(AND(EDATE($D5,Milestones!$AA$133)&lt;=AsOfDate,IF($R5=0,$X5,IF(AND($T5&lt;&gt;"",EDATE($D5,Milestones!$AA$133)&gt;=$T5),$W5,IF(AND($S5&lt;&gt;"",EDATE($D5,Milestones!$AA$133)&gt;=$S5),$V5,$U5)))=Milestones!$AB$133),UPPER(TEXT(EDATE($D5,Milestones!$AA$133),"dd mmm yy"))&amp;" "&amp;Milestones!$AB$133&amp;" "&amp;Milestones!$AC$133&amp;";  ","")&amp;IF(AND(EDATE($D5,Milestones!$AA$134)&lt;=AsOfDate,IF($R5=0,$X5,IF(AND($T5&lt;&gt;"",EDATE($D5,Milestones!$AA$134)&gt;=$T5),$W5,IF(AND($S5&lt;&gt;"",EDATE($D5,Milestones!$AA$134)&gt;=$S5),$V5,$U5)))=Milestones!$AB$134),UPPER(TEXT(EDATE($D5,Milestones!$AA$134),"dd mmm yy"))&amp;" "&amp;Milestones!$AB$134&amp;" "&amp;Milestones!$AC$134&amp;";  ","")&amp;IF(AND(EDATE($D5,Milestones!$AA$135)&lt;=AsOfDate,IF($R5=0,$X5,IF(AND($T5&lt;&gt;"",EDATE($D5,Milestones!$AA$135)&gt;=$T5),$W5,IF(AND($S5&lt;&gt;"",EDATE($D5,Milestones!$AA$135)&gt;=$S5),$V5,$U5)))=Milestones!$AB$135),UPPER(TEXT(EDATE($D5,Milestones!$AA$135),"dd mmm yy"))&amp;" "&amp;Milestones!$AB$135&amp;" "&amp;Milestones!$AC$135&amp;";  ","")&amp;IF(AND(EDATE($D5,Milestones!$AA$136)&lt;=AsOfDate,IF($R5=0,$X5,IF(AND($T5&lt;&gt;"",EDATE($D5,Milestones!$AA$136)&gt;=$T5),$W5,IF(AND($S5&lt;&gt;"",EDATE($D5,Milestones!$AA$136)&gt;=$S5),$V5,$U5)))=Milestones!$AB$136),UPPER(TEXT(EDATE($D5,Milestones!$AA$136),"dd mmm yy"))&amp;" "&amp;Milestones!$AB$136&amp;" "&amp;Milestones!$AC$136&amp;";  ","")&amp;IF(AND(EDATE($D5,Milestones!$AA$137)&lt;=AsOfDate,IF($R5=0,$X5,IF(AND($T5&lt;&gt;"",EDATE($D5,Milestones!$AA$137)&gt;=$T5),$W5,IF(AND($S5&lt;&gt;"",EDATE($D5,Milestones!$AA$137)&gt;=$S5),$V5,$U5)))=Milestones!$AB$137),UPPER(TEXT(EDATE($D5,Milestones!$AA$137),"dd mmm yy"))&amp;" "&amp;Milestones!$AB$137&amp;" "&amp;Milestones!$AC$137&amp;";  ","")&amp;IF(AND(EDATE($D5,Milestones!$AA$138)&lt;=AsOfDate,IF($R5=0,$X5,IF(AND($T5&lt;&gt;"",EDATE($D5,Milestones!$AA$138)&gt;=$T5),$W5,IF(AND($S5&lt;&gt;"",EDATE($D5,Milestones!$AA$138)&gt;=$S5),$V5,$U5)))=Milestones!$AB$138),UPPER(TEXT(EDATE($D5,Milestones!$AA$138),"dd mmm yy"))&amp;" "&amp;Milestones!$AB$138&amp;" "&amp;Milestones!$AC$138&amp;";  ","")&amp;IF(AND(EDATE($D5,Milestones!$AA$139)&lt;=AsOfDate,IF($R5=0,$X5,IF(AND($T5&lt;&gt;"",EDATE($D5,Milestones!$AA$139)&gt;=$T5),$W5,IF(AND($S5&lt;&gt;"",EDATE($D5,Milestones!$AA$139)&gt;=$S5),$V5,$U5)))=Milestones!$AB$139),UPPER(TEXT(EDATE($D5,Milestones!$AA$139),"dd mmm yy"))&amp;" "&amp;Milestones!$AB$139&amp;" "&amp;Milestones!$AC$139&amp;";  ",""))</f>
        <v/>
      </c>
      <c r="O5" s="0" t="str">
        <f aca="false">IF(OR($A5="",$D5=""),"",IF(AND(EDATE($D5,Milestones!$AA$140)&lt;=AsOfDate,IF($R5=0,$X5,IF(AND($T5&lt;&gt;"",EDATE($D5,Milestones!$AA$140)&gt;=$T5),$W5,IF(AND($S5&lt;&gt;"",EDATE($D5,Milestones!$AA$140)&gt;=$S5),$V5,$U5)))=Milestones!$AB$140),UPPER(TEXT(EDATE($D5,Milestones!$AA$140),"dd mmm yy"))&amp;" "&amp;Milestones!$AB$140&amp;" "&amp;Milestones!$AC$140&amp;";  ","")&amp;IF(AND(EDATE($D5,Milestones!$AA$141)&lt;=AsOfDate,IF($R5=0,$X5,IF(AND($T5&lt;&gt;"",EDATE($D5,Milestones!$AA$141)&gt;=$T5),$W5,IF(AND($S5&lt;&gt;"",EDATE($D5,Milestones!$AA$141)&gt;=$S5),$V5,$U5)))=Milestones!$AB$141),UPPER(TEXT(EDATE($D5,Milestones!$AA$141),"dd mmm yy"))&amp;" "&amp;Milestones!$AB$141&amp;" "&amp;Milestones!$AC$141&amp;";  ","")&amp;IF(AND(EDATE($D5,Milestones!$AA$142)&lt;=AsOfDate,IF($R5=0,$X5,IF(AND($T5&lt;&gt;"",EDATE($D5,Milestones!$AA$142)&gt;=$T5),$W5,IF(AND($S5&lt;&gt;"",EDATE($D5,Milestones!$AA$142)&gt;=$S5),$V5,$U5)))=Milestones!$AB$142),UPPER(TEXT(EDATE($D5,Milestones!$AA$142),"dd mmm yy"))&amp;" "&amp;Milestones!$AB$142&amp;" "&amp;Milestones!$AC$142&amp;";  ","")&amp;IF(AND(EDATE($D5,Milestones!$AA$143)&lt;=AsOfDate,IF($R5=0,$X5,IF(AND($T5&lt;&gt;"",EDATE($D5,Milestones!$AA$143)&gt;=$T5),$W5,IF(AND($S5&lt;&gt;"",EDATE($D5,Milestones!$AA$143)&gt;=$S5),$V5,$U5)))=Milestones!$AB$143),UPPER(TEXT(EDATE($D5,Milestones!$AA$143),"dd mmm yy"))&amp;" "&amp;Milestones!$AB$143&amp;" "&amp;Milestones!$AC$143&amp;";  ","")&amp;IF(AND(EDATE($D5,Milestones!$AA$144)&lt;=AsOfDate,IF($R5=0,$X5,IF(AND($T5&lt;&gt;"",EDATE($D5,Milestones!$AA$144)&gt;=$T5),$W5,IF(AND($S5&lt;&gt;"",EDATE($D5,Milestones!$AA$144)&gt;=$S5),$V5,$U5)))=Milestones!$AB$144),UPPER(TEXT(EDATE($D5,Milestones!$AA$144),"dd mmm yy"))&amp;" "&amp;Milestones!$AB$144&amp;" "&amp;Milestones!$AC$144&amp;";  ","")&amp;IF(AND(EDATE($D5,Milestones!$AA$145)&lt;=AsOfDate,IF($R5=0,$X5,IF(AND($T5&lt;&gt;"",EDATE($D5,Milestones!$AA$145)&gt;=$T5),$W5,IF(AND($S5&lt;&gt;"",EDATE($D5,Milestones!$AA$145)&gt;=$S5),$V5,$U5)))=Milestones!$AB$145),UPPER(TEXT(EDATE($D5,Milestones!$AA$145),"dd mmm yy"))&amp;" "&amp;Milestones!$AB$145&amp;" "&amp;Milestones!$AC$145&amp;";  ","")&amp;IF(AND(EDATE($D5,Milestones!$AA$146)&lt;=AsOfDate,IF($R5=0,$X5,IF(AND($T5&lt;&gt;"",EDATE($D5,Milestones!$AA$146)&gt;=$T5),$W5,IF(AND($S5&lt;&gt;"",EDATE($D5,Milestones!$AA$146)&gt;=$S5),$V5,$U5)))=Milestones!$AB$146),UPPER(TEXT(EDATE($D5,Milestones!$AA$146),"dd mmm yy"))&amp;" "&amp;Milestones!$AB$146&amp;" "&amp;Milestones!$AC$146&amp;";  ","")&amp;IF(AND(EDATE($D5,Milestones!$AA$147)&lt;=AsOfDate,IF($R5=0,$X5,IF(AND($T5&lt;&gt;"",EDATE($D5,Milestones!$AA$147)&gt;=$T5),$W5,IF(AND($S5&lt;&gt;"",EDATE($D5,Milestones!$AA$147)&gt;=$S5),$V5,$U5)))=Milestones!$AB$147),UPPER(TEXT(EDATE($D5,Milestones!$AA$147),"dd mmm yy"))&amp;" "&amp;Milestones!$AB$147&amp;" "&amp;Milestones!$AC$147&amp;";  ","")&amp;IF(AND(EDATE($D5,Milestones!$AA$148)&lt;=AsOfDate,IF($R5=0,$X5,IF(AND($T5&lt;&gt;"",EDATE($D5,Milestones!$AA$148)&gt;=$T5),$W5,IF(AND($S5&lt;&gt;"",EDATE($D5,Milestones!$AA$148)&gt;=$S5),$V5,$U5)))=Milestones!$AB$148),UPPER(TEXT(EDATE($D5,Milestones!$AA$148),"dd mmm yy"))&amp;" "&amp;Milestones!$AB$148&amp;" "&amp;Milestones!$AC$148&amp;";  ","")&amp;IF(AND(EDATE($D5,Milestones!$AA$149)&lt;=AsOfDate,IF($R5=0,$X5,IF(AND($T5&lt;&gt;"",EDATE($D5,Milestones!$AA$149)&gt;=$T5),$W5,IF(AND($S5&lt;&gt;"",EDATE($D5,Milestones!$AA$149)&gt;=$S5),$V5,$U5)))=Milestones!$AB$149),UPPER(TEXT(EDATE($D5,Milestones!$AA$149),"dd mmm yy"))&amp;" "&amp;Milestones!$AB$149&amp;" "&amp;Milestones!$AC$149&amp;";  ","")&amp;IF(AND(EDATE($D5,Milestones!$AA$150)&lt;=AsOfDate,IF($R5=0,$X5,IF(AND($T5&lt;&gt;"",EDATE($D5,Milestones!$AA$150)&gt;=$T5),$W5,IF(AND($S5&lt;&gt;"",EDATE($D5,Milestones!$AA$150)&gt;=$S5),$V5,$U5)))=Milestones!$AB$150),UPPER(TEXT(EDATE($D5,Milestones!$AA$150),"dd mmm yy"))&amp;" "&amp;Milestones!$AB$150&amp;" "&amp;Milestones!$AC$150&amp;";  ","")&amp;IF(AND(EDATE($D5,Milestones!$AA$151)&lt;=AsOfDate,IF($R5=0,$X5,IF(AND($T5&lt;&gt;"",EDATE($D5,Milestones!$AA$151)&gt;=$T5),$W5,IF(AND($S5&lt;&gt;"",EDATE($D5,Milestones!$AA$151)&gt;=$S5),$V5,$U5)))=Milestones!$AB$151),UPPER(TEXT(EDATE($D5,Milestones!$AA$151),"dd mmm yy"))&amp;" "&amp;Milestones!$AB$151&amp;" "&amp;Milestones!$AC$151&amp;";  ","")&amp;IF(AND(EDATE($D5,Milestones!$AA$152)&lt;=AsOfDate,IF($R5=0,$X5,IF(AND($T5&lt;&gt;"",EDATE($D5,Milestones!$AA$152)&gt;=$T5),$W5,IF(AND($S5&lt;&gt;"",EDATE($D5,Milestones!$AA$152)&gt;=$S5),$V5,$U5)))=Milestones!$AB$152),UPPER(TEXT(EDATE($D5,Milestones!$AA$152),"dd mmm yy"))&amp;" "&amp;Milestones!$AB$152&amp;" "&amp;Milestones!$AC$152&amp;";  ","")&amp;IF(AND(EDATE($D5,Milestones!$AA$153)&lt;=AsOfDate,IF($R5=0,$X5,IF(AND($T5&lt;&gt;"",EDATE($D5,Milestones!$AA$153)&gt;=$T5),$W5,IF(AND($S5&lt;&gt;"",EDATE($D5,Milestones!$AA$153)&gt;=$S5),$V5,$U5)))=Milestones!$AB$153),UPPER(TEXT(EDATE($D5,Milestones!$AA$153),"dd mmm yy"))&amp;" "&amp;Milestones!$AB$153&amp;" "&amp;Milestones!$AC$153&amp;";  ","")&amp;IF(AND(EDATE($D5,Milestones!$AA$154)&lt;=AsOfDate,IF($R5=0,$X5,IF(AND($T5&lt;&gt;"",EDATE($D5,Milestones!$AA$154)&gt;=$T5),$W5,IF(AND($S5&lt;&gt;"",EDATE($D5,Milestones!$AA$154)&gt;=$S5),$V5,$U5)))=Milestones!$AB$154),UPPER(TEXT(EDATE($D5,Milestones!$AA$154),"dd mmm yy"))&amp;" "&amp;Milestones!$AB$154&amp;" "&amp;Milestones!$AC$154&amp;";  ","")&amp;IF(AND(EDATE($D5,Milestones!$AA$155)&lt;=AsOfDate,IF($R5=0,$X5,IF(AND($T5&lt;&gt;"",EDATE($D5,Milestones!$AA$155)&gt;=$T5),$W5,IF(AND($S5&lt;&gt;"",EDATE($D5,Milestones!$AA$155)&gt;=$S5),$V5,$U5)))=Milestones!$AB$155),UPPER(TEXT(EDATE($D5,Milestones!$AA$155),"dd mmm yy"))&amp;" "&amp;Milestones!$AB$155&amp;" "&amp;Milestones!$AC$155&amp;";  ","")&amp;IF(AND(EDATE($D5,Milestones!$AA$156)&lt;=AsOfDate,IF($R5=0,$X5,IF(AND($T5&lt;&gt;"",EDATE($D5,Milestones!$AA$156)&gt;=$T5),$W5,IF(AND($S5&lt;&gt;"",EDATE($D5,Milestones!$AA$156)&gt;=$S5),$V5,$U5)))=Milestones!$AB$156),UPPER(TEXT(EDATE($D5,Milestones!$AA$156),"dd mmm yy"))&amp;" "&amp;Milestones!$AB$156&amp;" "&amp;Milestones!$AC$156&amp;";  ","")&amp;IF(AND(EDATE($D5,Milestones!$AA$157)&lt;=AsOfDate,IF($R5=0,$X5,IF(AND($T5&lt;&gt;"",EDATE($D5,Milestones!$AA$157)&gt;=$T5),$W5,IF(AND($S5&lt;&gt;"",EDATE($D5,Milestones!$AA$157)&gt;=$S5),$V5,$U5)))=Milestones!$AB$157),UPPER(TEXT(EDATE($D5,Milestones!$AA$157),"dd mmm yy"))&amp;" "&amp;Milestones!$AB$157&amp;" "&amp;Milestones!$AC$157&amp;";  ","")&amp;IF(AND(EDATE($D5,Milestones!$AA$158)&lt;=AsOfDate,IF($R5=0,$X5,IF(AND($T5&lt;&gt;"",EDATE($D5,Milestones!$AA$158)&gt;=$T5),$W5,IF(AND($S5&lt;&gt;"",EDATE($D5,Milestones!$AA$158)&gt;=$S5),$V5,$U5)))=Milestones!$AB$158),UPPER(TEXT(EDATE($D5,Milestones!$AA$158),"dd mmm yy"))&amp;" "&amp;Milestones!$AB$158&amp;" "&amp;Milestones!$AC$158&amp;";  ","")&amp;IF(AND(EDATE($D5,Milestones!$AA$159)&lt;=AsOfDate,IF($R5=0,$X5,IF(AND($T5&lt;&gt;"",EDATE($D5,Milestones!$AA$159)&gt;=$T5),$W5,IF(AND($S5&lt;&gt;"",EDATE($D5,Milestones!$AA$159)&gt;=$S5),$V5,$U5)))=Milestones!$AB$159),UPPER(TEXT(EDATE($D5,Milestones!$AA$159),"dd mmm yy"))&amp;" "&amp;Milestones!$AB$159&amp;" "&amp;Milestones!$AC$159&amp;";  ",""))</f>
        <v/>
      </c>
      <c r="P5" s="0" t="str">
        <f aca="false">IF(OR($A5="",$D5=""),"",IF(AND(EDATE($D5,Milestones!$AA$160)&lt;=AsOfDate,IF($R5=0,$X5,IF(AND($T5&lt;&gt;"",EDATE($D5,Milestones!$AA$160)&gt;=$T5),$W5,IF(AND($S5&lt;&gt;"",EDATE($D5,Milestones!$AA$160)&gt;=$S5),$V5,$U5)))=Milestones!$AB$160),UPPER(TEXT(EDATE($D5,Milestones!$AA$160),"dd mmm yy"))&amp;" "&amp;Milestones!$AB$160&amp;" "&amp;Milestones!$AC$160&amp;";  ","")&amp;IF(AND(EDATE($D5,Milestones!$AA$161)&lt;=AsOfDate,IF($R5=0,$X5,IF(AND($T5&lt;&gt;"",EDATE($D5,Milestones!$AA$161)&gt;=$T5),$W5,IF(AND($S5&lt;&gt;"",EDATE($D5,Milestones!$AA$161)&gt;=$S5),$V5,$U5)))=Milestones!$AB$161),UPPER(TEXT(EDATE($D5,Milestones!$AA$161),"dd mmm yy"))&amp;" "&amp;Milestones!$AB$161&amp;" "&amp;Milestones!$AC$161&amp;";  ","")&amp;IF(AND(EDATE($D5,Milestones!$AA$162)&lt;=AsOfDate,IF($R5=0,$X5,IF(AND($T5&lt;&gt;"",EDATE($D5,Milestones!$AA$162)&gt;=$T5),$W5,IF(AND($S5&lt;&gt;"",EDATE($D5,Milestones!$AA$162)&gt;=$S5),$V5,$U5)))=Milestones!$AB$162),UPPER(TEXT(EDATE($D5,Milestones!$AA$162),"dd mmm yy"))&amp;" "&amp;Milestones!$AB$162&amp;" "&amp;Milestones!$AC$162&amp;";  ","")&amp;IF(AND(EDATE($D5,Milestones!$AA$163)&lt;=AsOfDate,IF($R5=0,$X5,IF(AND($T5&lt;&gt;"",EDATE($D5,Milestones!$AA$163)&gt;=$T5),$W5,IF(AND($S5&lt;&gt;"",EDATE($D5,Milestones!$AA$163)&gt;=$S5),$V5,$U5)))=Milestones!$AB$163),UPPER(TEXT(EDATE($D5,Milestones!$AA$163),"dd mmm yy"))&amp;" "&amp;Milestones!$AB$163&amp;" "&amp;Milestones!$AC$163&amp;";  ","")&amp;IF(AND(EDATE($D5,Milestones!$AA$164)&lt;=AsOfDate,IF($R5=0,$X5,IF(AND($T5&lt;&gt;"",EDATE($D5,Milestones!$AA$164)&gt;=$T5),$W5,IF(AND($S5&lt;&gt;"",EDATE($D5,Milestones!$AA$164)&gt;=$S5),$V5,$U5)))=Milestones!$AB$164),UPPER(TEXT(EDATE($D5,Milestones!$AA$164),"dd mmm yy"))&amp;" "&amp;Milestones!$AB$164&amp;" "&amp;Milestones!$AC$164&amp;";  ","")&amp;IF(AND(EDATE($D5,Milestones!$AA$165)&lt;=AsOfDate,IF($R5=0,$X5,IF(AND($T5&lt;&gt;"",EDATE($D5,Milestones!$AA$165)&gt;=$T5),$W5,IF(AND($S5&lt;&gt;"",EDATE($D5,Milestones!$AA$165)&gt;=$S5),$V5,$U5)))=Milestones!$AB$165),UPPER(TEXT(EDATE($D5,Milestones!$AA$165),"dd mmm yy"))&amp;" "&amp;Milestones!$AB$165&amp;" "&amp;Milestones!$AC$165&amp;";  ","")&amp;IF(AND(EDATE($D5,Milestones!$AA$166)&lt;=AsOfDate,IF($R5=0,$X5,IF(AND($T5&lt;&gt;"",EDATE($D5,Milestones!$AA$166)&gt;=$T5),$W5,IF(AND($S5&lt;&gt;"",EDATE($D5,Milestones!$AA$166)&gt;=$S5),$V5,$U5)))=Milestones!$AB$166),UPPER(TEXT(EDATE($D5,Milestones!$AA$166),"dd mmm yy"))&amp;" "&amp;Milestones!$AB$166&amp;" "&amp;Milestones!$AC$166&amp;";  ","")&amp;IF(AND(EDATE($D5,Milestones!$AA$167)&lt;=AsOfDate,IF($R5=0,$X5,IF(AND($T5&lt;&gt;"",EDATE($D5,Milestones!$AA$167)&gt;=$T5),$W5,IF(AND($S5&lt;&gt;"",EDATE($D5,Milestones!$AA$167)&gt;=$S5),$V5,$U5)))=Milestones!$AB$167),UPPER(TEXT(EDATE($D5,Milestones!$AA$167),"dd mmm yy"))&amp;" "&amp;Milestones!$AB$167&amp;" "&amp;Milestones!$AC$167&amp;";  ","")&amp;IF(AND(EDATE($D5,Milestones!$AA$168)&lt;=AsOfDate,IF($R5=0,$X5,IF(AND($T5&lt;&gt;"",EDATE($D5,Milestones!$AA$168)&gt;=$T5),$W5,IF(AND($S5&lt;&gt;"",EDATE($D5,Milestones!$AA$168)&gt;=$S5),$V5,$U5)))=Milestones!$AB$168),UPPER(TEXT(EDATE($D5,Milestones!$AA$168),"dd mmm yy"))&amp;" "&amp;Milestones!$AB$168&amp;" "&amp;Milestones!$AC$168&amp;";  ","")&amp;IF(AND(EDATE($D5,Milestones!$AA$169)&lt;=AsOfDate,IF($R5=0,$X5,IF(AND($T5&lt;&gt;"",EDATE($D5,Milestones!$AA$169)&gt;=$T5),$W5,IF(AND($S5&lt;&gt;"",EDATE($D5,Milestones!$AA$169)&gt;=$S5),$V5,$U5)))=Milestones!$AB$169),UPPER(TEXT(EDATE($D5,Milestones!$AA$169),"dd mmm yy"))&amp;" "&amp;Milestones!$AB$169&amp;" "&amp;Milestones!$AC$169&amp;";  ","")&amp;IF(AND(EDATE($D5,Milestones!$AA$170)&lt;=AsOfDate,IF($R5=0,$X5,IF(AND($T5&lt;&gt;"",EDATE($D5,Milestones!$AA$170)&gt;=$T5),$W5,IF(AND($S5&lt;&gt;"",EDATE($D5,Milestones!$AA$170)&gt;=$S5),$V5,$U5)))=Milestones!$AB$170),UPPER(TEXT(EDATE($D5,Milestones!$AA$170),"dd mmm yy"))&amp;" "&amp;Milestones!$AB$170&amp;" "&amp;Milestones!$AC$170&amp;";  ","")&amp;IF(AND(EDATE($D5,Milestones!$AA$171)&lt;=AsOfDate,IF($R5=0,$X5,IF(AND($T5&lt;&gt;"",EDATE($D5,Milestones!$AA$171)&gt;=$T5),$W5,IF(AND($S5&lt;&gt;"",EDATE($D5,Milestones!$AA$171)&gt;=$S5),$V5,$U5)))=Milestones!$AB$171),UPPER(TEXT(EDATE($D5,Milestones!$AA$171),"dd mmm yy"))&amp;" "&amp;Milestones!$AB$171&amp;" "&amp;Milestones!$AC$171&amp;";  ","")&amp;IF(AND(EDATE($D5,Milestones!$AA$172)&lt;=AsOfDate,IF($R5=0,$X5,IF(AND($T5&lt;&gt;"",EDATE($D5,Milestones!$AA$172)&gt;=$T5),$W5,IF(AND($S5&lt;&gt;"",EDATE($D5,Milestones!$AA$172)&gt;=$S5),$V5,$U5)))=Milestones!$AB$172),UPPER(TEXT(EDATE($D5,Milestones!$AA$172),"dd mmm yy"))&amp;" "&amp;Milestones!$AB$172&amp;" "&amp;Milestones!$AC$172&amp;";  ","")&amp;IF(AND(EDATE($D5,Milestones!$AA$173)&lt;=AsOfDate,IF($R5=0,$X5,IF(AND($T5&lt;&gt;"",EDATE($D5,Milestones!$AA$173)&gt;=$T5),$W5,IF(AND($S5&lt;&gt;"",EDATE($D5,Milestones!$AA$173)&gt;=$S5),$V5,$U5)))=Milestones!$AB$173),UPPER(TEXT(EDATE($D5,Milestones!$AA$173),"dd mmm yy"))&amp;" "&amp;Milestones!$AB$173&amp;" "&amp;Milestones!$AC$173&amp;";  ","")&amp;IF(AND(EDATE($D5,Milestones!$AA$174)&lt;=AsOfDate,IF($R5=0,$X5,IF(AND($T5&lt;&gt;"",EDATE($D5,Milestones!$AA$174)&gt;=$T5),$W5,IF(AND($S5&lt;&gt;"",EDATE($D5,Milestones!$AA$174)&gt;=$S5),$V5,$U5)))=Milestones!$AB$174),UPPER(TEXT(EDATE($D5,Milestones!$AA$174),"dd mmm yy"))&amp;" "&amp;Milestones!$AB$174&amp;" "&amp;Milestones!$AC$174&amp;";  ","")&amp;IF(AND(EDATE($D5,Milestones!$AA$175)&lt;=AsOfDate,IF($R5=0,$X5,IF(AND($T5&lt;&gt;"",EDATE($D5,Milestones!$AA$175)&gt;=$T5),$W5,IF(AND($S5&lt;&gt;"",EDATE($D5,Milestones!$AA$175)&gt;=$S5),$V5,$U5)))=Milestones!$AB$175),UPPER(TEXT(EDATE($D5,Milestones!$AA$175),"dd mmm yy"))&amp;" "&amp;Milestones!$AB$175&amp;" "&amp;Milestones!$AC$175&amp;";  ","")&amp;IF(AND(EDATE($D5,Milestones!$AA$176)&lt;=AsOfDate,IF($R5=0,$X5,IF(AND($T5&lt;&gt;"",EDATE($D5,Milestones!$AA$176)&gt;=$T5),$W5,IF(AND($S5&lt;&gt;"",EDATE($D5,Milestones!$AA$176)&gt;=$S5),$V5,$U5)))=Milestones!$AB$176),UPPER(TEXT(EDATE($D5,Milestones!$AA$176),"dd mmm yy"))&amp;" "&amp;Milestones!$AB$176&amp;" "&amp;Milestones!$AC$176&amp;";  ","")&amp;IF(AND(EDATE($D5,Milestones!$AA$177)&lt;=AsOfDate,IF($R5=0,$X5,IF(AND($T5&lt;&gt;"",EDATE($D5,Milestones!$AA$177)&gt;=$T5),$W5,IF(AND($S5&lt;&gt;"",EDATE($D5,Milestones!$AA$177)&gt;=$S5),$V5,$U5)))=Milestones!$AB$177),UPPER(TEXT(EDATE($D5,Milestones!$AA$177),"dd mmm yy"))&amp;" "&amp;Milestones!$AB$177&amp;" "&amp;Milestones!$AC$177&amp;";  ","")&amp;IF(AND(EDATE($D5,Milestones!$AA$178)&lt;=AsOfDate,IF($R5=0,$X5,IF(AND($T5&lt;&gt;"",EDATE($D5,Milestones!$AA$178)&gt;=$T5),$W5,IF(AND($S5&lt;&gt;"",EDATE($D5,Milestones!$AA$178)&gt;=$S5),$V5,$U5)))=Milestones!$AB$178),UPPER(TEXT(EDATE($D5,Milestones!$AA$178),"dd mmm yy"))&amp;" "&amp;Milestones!$AB$178&amp;" "&amp;Milestones!$AC$178&amp;";  ","")&amp;IF(AND(EDATE($D5,Milestones!$AA$179)&lt;=AsOfDate,IF($R5=0,$X5,IF(AND($T5&lt;&gt;"",EDATE($D5,Milestones!$AA$179)&gt;=$T5),$W5,IF(AND($S5&lt;&gt;"",EDATE($D5,Milestones!$AA$179)&gt;=$S5),$V5,$U5)))=Milestones!$AB$179),UPPER(TEXT(EDATE($D5,Milestones!$AA$179),"dd mmm yy"))&amp;" "&amp;Milestones!$AB$179&amp;" "&amp;Milestones!$AC$179&amp;";  ",""))</f>
        <v/>
      </c>
      <c r="Q5" s="0" t="str">
        <f aca="false">IF(OR($A5="",$D5=""),"",IF(AND(EDATE($D5,Milestones!$AA$180)&lt;=AsOfDate,IF($R5=0,$X5,IF(AND($T5&lt;&gt;"",EDATE($D5,Milestones!$AA$180)&gt;=$T5),$W5,IF(AND($S5&lt;&gt;"",EDATE($D5,Milestones!$AA$180)&gt;=$S5),$V5,$U5)))=Milestones!$AB$180),UPPER(TEXT(EDATE($D5,Milestones!$AA$180),"dd mmm yy"))&amp;" "&amp;Milestones!$AB$180&amp;" "&amp;Milestones!$AC$180&amp;";  ","")&amp;IF(AND(EDATE($D5,Milestones!$AA$181)&lt;=AsOfDate,IF($R5=0,$X5,IF(AND($T5&lt;&gt;"",EDATE($D5,Milestones!$AA$181)&gt;=$T5),$W5,IF(AND($S5&lt;&gt;"",EDATE($D5,Milestones!$AA$181)&gt;=$S5),$V5,$U5)))=Milestones!$AB$181),UPPER(TEXT(EDATE($D5,Milestones!$AA$181),"dd mmm yy"))&amp;" "&amp;Milestones!$AB$181&amp;" "&amp;Milestones!$AC$181&amp;";  ","")&amp;IF(AND(EDATE($D5,Milestones!$AA$182)&lt;=AsOfDate,IF($R5=0,$X5,IF(AND($T5&lt;&gt;"",EDATE($D5,Milestones!$AA$182)&gt;=$T5),$W5,IF(AND($S5&lt;&gt;"",EDATE($D5,Milestones!$AA$182)&gt;=$S5),$V5,$U5)))=Milestones!$AB$182),UPPER(TEXT(EDATE($D5,Milestones!$AA$182),"dd mmm yy"))&amp;" "&amp;Milestones!$AB$182&amp;" "&amp;Milestones!$AC$182&amp;";  ","")&amp;IF(AND(EDATE($D5,Milestones!$AA$183)&lt;=AsOfDate,IF($R5=0,$X5,IF(AND($T5&lt;&gt;"",EDATE($D5,Milestones!$AA$183)&gt;=$T5),$W5,IF(AND($S5&lt;&gt;"",EDATE($D5,Milestones!$AA$183)&gt;=$S5),$V5,$U5)))=Milestones!$AB$183),UPPER(TEXT(EDATE($D5,Milestones!$AA$183),"dd mmm yy"))&amp;" "&amp;Milestones!$AB$183&amp;" "&amp;Milestones!$AC$183&amp;";  ","")&amp;IF(AND(EDATE($D5,Milestones!$AA$184)&lt;=AsOfDate,IF($R5=0,$X5,IF(AND($T5&lt;&gt;"",EDATE($D5,Milestones!$AA$184)&gt;=$T5),$W5,IF(AND($S5&lt;&gt;"",EDATE($D5,Milestones!$AA$184)&gt;=$S5),$V5,$U5)))=Milestones!$AB$184),UPPER(TEXT(EDATE($D5,Milestones!$AA$184),"dd mmm yy"))&amp;" "&amp;Milestones!$AB$184&amp;" "&amp;Milestones!$AC$184&amp;";  ","")&amp;IF(AND(EDATE($D5,Milestones!$AA$185)&lt;=AsOfDate,IF($R5=0,$X5,IF(AND($T5&lt;&gt;"",EDATE($D5,Milestones!$AA$185)&gt;=$T5),$W5,IF(AND($S5&lt;&gt;"",EDATE($D5,Milestones!$AA$185)&gt;=$S5),$V5,$U5)))=Milestones!$AB$185),UPPER(TEXT(EDATE($D5,Milestones!$AA$185),"dd mmm yy"))&amp;" "&amp;Milestones!$AB$185&amp;" "&amp;Milestones!$AC$185&amp;";  ","")&amp;IF(AND(EDATE($D5,Milestones!$AA$186)&lt;=AsOfDate,IF($R5=0,$X5,IF(AND($T5&lt;&gt;"",EDATE($D5,Milestones!$AA$186)&gt;=$T5),$W5,IF(AND($S5&lt;&gt;"",EDATE($D5,Milestones!$AA$186)&gt;=$S5),$V5,$U5)))=Milestones!$AB$186),UPPER(TEXT(EDATE($D5,Milestones!$AA$186),"dd mmm yy"))&amp;" "&amp;Milestones!$AB$186&amp;" "&amp;Milestones!$AC$186&amp;";  ","")&amp;IF(AND(EDATE($D5,Milestones!$AA$187)&lt;=AsOfDate,IF($R5=0,$X5,IF(AND($T5&lt;&gt;"",EDATE($D5,Milestones!$AA$187)&gt;=$T5),$W5,IF(AND($S5&lt;&gt;"",EDATE($D5,Milestones!$AA$187)&gt;=$S5),$V5,$U5)))=Milestones!$AB$187),UPPER(TEXT(EDATE($D5,Milestones!$AA$187),"dd mmm yy"))&amp;" "&amp;Milestones!$AB$187&amp;" "&amp;Milestones!$AC$187&amp;";  ","")&amp;IF(AND(EDATE($D5,Milestones!$AA$188)&lt;=AsOfDate,IF($R5=0,$X5,IF(AND($T5&lt;&gt;"",EDATE($D5,Milestones!$AA$188)&gt;=$T5),$W5,IF(AND($S5&lt;&gt;"",EDATE($D5,Milestones!$AA$188)&gt;=$S5),$V5,$U5)))=Milestones!$AB$188),UPPER(TEXT(EDATE($D5,Milestones!$AA$188),"dd mmm yy"))&amp;" "&amp;Milestones!$AB$188&amp;" "&amp;Milestones!$AC$188&amp;";  ","")&amp;IF(AND(EDATE($D5,Milestones!$AA$189)&lt;=AsOfDate,IF($R5=0,$X5,IF(AND($T5&lt;&gt;"",EDATE($D5,Milestones!$AA$189)&gt;=$T5),$W5,IF(AND($S5&lt;&gt;"",EDATE($D5,Milestones!$AA$189)&gt;=$S5),$V5,$U5)))=Milestones!$AB$189),UPPER(TEXT(EDATE($D5,Milestones!$AA$189),"dd mmm yy"))&amp;" "&amp;Milestones!$AB$189&amp;" "&amp;Milestones!$AC$189&amp;";  ","")&amp;IF(AND(EDATE($D5,Milestones!$AA$190)&lt;=AsOfDate,IF($R5=0,$X5,IF(AND($T5&lt;&gt;"",EDATE($D5,Milestones!$AA$190)&gt;=$T5),$W5,IF(AND($S5&lt;&gt;"",EDATE($D5,Milestones!$AA$190)&gt;=$S5),$V5,$U5)))=Milestones!$AB$190),UPPER(TEXT(EDATE($D5,Milestones!$AA$190),"dd mmm yy"))&amp;" "&amp;Milestones!$AB$190&amp;" "&amp;Milestones!$AC$190&amp;";  ","")&amp;IF(AND(EDATE($D5,Milestones!$AA$191)&lt;=AsOfDate,IF($R5=0,$X5,IF(AND($T5&lt;&gt;"",EDATE($D5,Milestones!$AA$191)&gt;=$T5),$W5,IF(AND($S5&lt;&gt;"",EDATE($D5,Milestones!$AA$191)&gt;=$S5),$V5,$U5)))=Milestones!$AB$191),UPPER(TEXT(EDATE($D5,Milestones!$AA$191),"dd mmm yy"))&amp;" "&amp;Milestones!$AB$191&amp;" "&amp;Milestones!$AC$191&amp;";  ","")&amp;IF(AND(EDATE($D5,Milestones!$AA$192)&lt;=AsOfDate,IF($R5=0,$X5,IF(AND($T5&lt;&gt;"",EDATE($D5,Milestones!$AA$192)&gt;=$T5),$W5,IF(AND($S5&lt;&gt;"",EDATE($D5,Milestones!$AA$192)&gt;=$S5),$V5,$U5)))=Milestones!$AB$192),UPPER(TEXT(EDATE($D5,Milestones!$AA$192),"dd mmm yy"))&amp;" "&amp;Milestones!$AB$192&amp;" "&amp;Milestones!$AC$192&amp;";  ","")&amp;IF(AND(EDATE($D5,Milestones!$AA$193)&lt;=AsOfDate,IF($R5=0,$X5,IF(AND($T5&lt;&gt;"",EDATE($D5,Milestones!$AA$193)&gt;=$T5),$W5,IF(AND($S5&lt;&gt;"",EDATE($D5,Milestones!$AA$193)&gt;=$S5),$V5,$U5)))=Milestones!$AB$193),UPPER(TEXT(EDATE($D5,Milestones!$AA$193),"dd mmm yy"))&amp;" "&amp;Milestones!$AB$193&amp;" "&amp;Milestones!$AC$193&amp;";  ","")&amp;IF(AND(EDATE($D5,Milestones!$AA$194)&lt;=AsOfDate,IF($R5=0,$X5,IF(AND($T5&lt;&gt;"",EDATE($D5,Milestones!$AA$194)&gt;=$T5),$W5,IF(AND($S5&lt;&gt;"",EDATE($D5,Milestones!$AA$194)&gt;=$S5),$V5,$U5)))=Milestones!$AB$194),UPPER(TEXT(EDATE($D5,Milestones!$AA$194),"dd mmm yy"))&amp;" "&amp;Milestones!$AB$194&amp;" "&amp;Milestones!$AC$194&amp;";  ","")&amp;IF(AND(EDATE($D5,Milestones!$AA$195)&lt;=AsOfDate,IF($R5=0,$X5,IF(AND($T5&lt;&gt;"",EDATE($D5,Milestones!$AA$195)&gt;=$T5),$W5,IF(AND($S5&lt;&gt;"",EDATE($D5,Milestones!$AA$195)&gt;=$S5),$V5,$U5)))=Milestones!$AB$195),UPPER(TEXT(EDATE($D5,Milestones!$AA$195),"dd mmm yy"))&amp;" "&amp;Milestones!$AB$195&amp;" "&amp;Milestones!$AC$195&amp;";  ","")&amp;IF(AND(EDATE($D5,Milestones!$AA$196)&lt;=AsOfDate,IF($R5=0,$X5,IF(AND($T5&lt;&gt;"",EDATE($D5,Milestones!$AA$196)&gt;=$T5),$W5,IF(AND($S5&lt;&gt;"",EDATE($D5,Milestones!$AA$196)&gt;=$S5),$V5,$U5)))=Milestones!$AB$196),UPPER(TEXT(EDATE($D5,Milestones!$AA$196),"dd mmm yy"))&amp;" "&amp;Milestones!$AB$196&amp;" "&amp;Milestones!$AC$196&amp;";  ","")&amp;IF(AND(EDATE($D5,Milestones!$AA$197)&lt;=AsOfDate,IF($R5=0,$X5,IF(AND($T5&lt;&gt;"",EDATE($D5,Milestones!$AA$197)&gt;=$T5),$W5,IF(AND($S5&lt;&gt;"",EDATE($D5,Milestones!$AA$197)&gt;=$S5),$V5,$U5)))=Milestones!$AB$197),UPPER(TEXT(EDATE($D5,Milestones!$AA$197),"dd mmm yy"))&amp;" "&amp;Milestones!$AB$197&amp;" "&amp;Milestones!$AC$197&amp;";  ","")&amp;IF(AND(EDATE($D5,Milestones!$AA$198)&lt;=AsOfDate,IF($R5=0,$X5,IF(AND($T5&lt;&gt;"",EDATE($D5,Milestones!$AA$198)&gt;=$T5),$W5,IF(AND($S5&lt;&gt;"",EDATE($D5,Milestones!$AA$198)&gt;=$S5),$V5,$U5)))=Milestones!$AB$198),UPPER(TEXT(EDATE($D5,Milestones!$AA$198),"dd mmm yy"))&amp;" "&amp;Milestones!$AB$198&amp;" "&amp;Milestones!$AC$198&amp;";  ","")&amp;IF(AND(EDATE($D5,Milestones!$AA$199)&lt;=AsOfDate,IF($R5=0,$X5,IF(AND($T5&lt;&gt;"",EDATE($D5,Milestones!$AA$199)&gt;=$T5),$W5,IF(AND($S5&lt;&gt;"",EDATE($D5,Milestones!$AA$199)&gt;=$S5),$V5,$U5)))=Milestones!$AB$199),UPPER(TEXT(EDATE($D5,Milestones!$AA$199),"dd mmm yy"))&amp;" "&amp;Milestones!$AB$199&amp;" "&amp;Milestones!$AC$199&amp;";  ",""))</f>
        <v/>
      </c>
      <c r="R5" s="33" t="n">
        <f aca="false">IF(Staff!$A5="","",Staff!$AI5)</f>
        <v>0</v>
      </c>
      <c r="S5" s="0" t="str">
        <f aca="false">IF(Staff!$A5="","",Staff!$AK5)</f>
        <v/>
      </c>
      <c r="T5" s="0" t="str">
        <f aca="false">IF(Staff!$A5="","",Staff!$AL5)</f>
        <v/>
      </c>
      <c r="U5" s="0" t="str">
        <f aca="false">IF(Staff!$A5="","",Staff!$AP5)</f>
        <v>None</v>
      </c>
      <c r="V5" s="0" t="str">
        <f aca="false">IF(Staff!$A5="","",Staff!$AQ5)</f>
        <v/>
      </c>
      <c r="W5" s="0" t="str">
        <f aca="false">IF(Staff!$A5="","",Staff!$AR5)</f>
        <v/>
      </c>
      <c r="X5" s="0" t="str">
        <f aca="false">IF(Staff!$A5="","",Staff!$AS5)</f>
        <v>None</v>
      </c>
    </row>
    <row r="6" customFormat="false" ht="15" hidden="false" customHeight="false" outlineLevel="0" collapsed="false">
      <c r="A6" s="19" t="str">
        <f aca="false">IF(Staff!$A6="","",Staff!$A6)</f>
        <v>Adam</v>
      </c>
      <c r="B6" s="19" t="str">
        <f aca="false">IF(Staff!$A6="","",Staff!$B6)</f>
        <v>Arnou</v>
      </c>
      <c r="C6" s="19" t="str">
        <f aca="false">IF(Staff!$A6="","",Staff!$C6)</f>
        <v>Casual</v>
      </c>
      <c r="D6" s="17" t="n">
        <f aca="false">IF(Staff!$A6="","",Staff!$AH6)</f>
        <v>43696</v>
      </c>
      <c r="E6" s="20" t="n">
        <f aca="false">IF(Staff!$A6="","",Staff!$O6)</f>
        <v>0</v>
      </c>
      <c r="F6" s="19" t="n">
        <f aca="false">IF(E6="","",E6*HoursPerDay)</f>
        <v>0</v>
      </c>
      <c r="G6" s="20" t="n">
        <f aca="false">IF(Staff!$A6="","",Staff!$AE6)</f>
        <v>0</v>
      </c>
      <c r="H6" s="32" t="str">
        <f aca="false">IF($A6="","",I6&amp;J6&amp;K6&amp;L6&amp;M6&amp;N6&amp;O6&amp;P6&amp;Q6)</f>
        <v/>
      </c>
      <c r="I6" s="0" t="str">
        <f aca="false">IF(OR($A6="",$D6=""),"",IF(AND(EDATE($D6,Milestones!$AA$20)&lt;=AsOfDate,IF($R6=0,$X6,IF(AND($T6&lt;&gt;"",EDATE($D6,Milestones!$AA$20)&gt;=$T6),$W6,IF(AND($S6&lt;&gt;"",EDATE($D6,Milestones!$AA$20)&gt;=$S6),$V6,$U6)))=Milestones!$AB$20),UPPER(TEXT(EDATE($D6,Milestones!$AA$20),"dd mmm yy"))&amp;" "&amp;Milestones!$AB$20&amp;" "&amp;Milestones!$AC$20&amp;";  ","")&amp;IF(AND(EDATE($D6,Milestones!$AA$21)&lt;=AsOfDate,IF($R6=0,$X6,IF(AND($T6&lt;&gt;"",EDATE($D6,Milestones!$AA$21)&gt;=$T6),$W6,IF(AND($S6&lt;&gt;"",EDATE($D6,Milestones!$AA$21)&gt;=$S6),$V6,$U6)))=Milestones!$AB$21),UPPER(TEXT(EDATE($D6,Milestones!$AA$21),"dd mmm yy"))&amp;" "&amp;Milestones!$AB$21&amp;" "&amp;Milestones!$AC$21&amp;";  ","")&amp;IF(AND(EDATE($D6,Milestones!$AA$22)&lt;=AsOfDate,IF($R6=0,$X6,IF(AND($T6&lt;&gt;"",EDATE($D6,Milestones!$AA$22)&gt;=$T6),$W6,IF(AND($S6&lt;&gt;"",EDATE($D6,Milestones!$AA$22)&gt;=$S6),$V6,$U6)))=Milestones!$AB$22),UPPER(TEXT(EDATE($D6,Milestones!$AA$22),"dd mmm yy"))&amp;" "&amp;Milestones!$AB$22&amp;" "&amp;Milestones!$AC$22&amp;";  ","")&amp;IF(AND(EDATE($D6,Milestones!$AA$23)&lt;=AsOfDate,IF($R6=0,$X6,IF(AND($T6&lt;&gt;"",EDATE($D6,Milestones!$AA$23)&gt;=$T6),$W6,IF(AND($S6&lt;&gt;"",EDATE($D6,Milestones!$AA$23)&gt;=$S6),$V6,$U6)))=Milestones!$AB$23),UPPER(TEXT(EDATE($D6,Milestones!$AA$23),"dd mmm yy"))&amp;" "&amp;Milestones!$AB$23&amp;" "&amp;Milestones!$AC$23&amp;";  ","")&amp;IF(AND(EDATE($D6,Milestones!$AA$24)&lt;=AsOfDate,IF($R6=0,$X6,IF(AND($T6&lt;&gt;"",EDATE($D6,Milestones!$AA$24)&gt;=$T6),$W6,IF(AND($S6&lt;&gt;"",EDATE($D6,Milestones!$AA$24)&gt;=$S6),$V6,$U6)))=Milestones!$AB$24),UPPER(TEXT(EDATE($D6,Milestones!$AA$24),"dd mmm yy"))&amp;" "&amp;Milestones!$AB$24&amp;" "&amp;Milestones!$AC$24&amp;";  ","")&amp;IF(AND(EDATE($D6,Milestones!$AA$25)&lt;=AsOfDate,IF($R6=0,$X6,IF(AND($T6&lt;&gt;"",EDATE($D6,Milestones!$AA$25)&gt;=$T6),$W6,IF(AND($S6&lt;&gt;"",EDATE($D6,Milestones!$AA$25)&gt;=$S6),$V6,$U6)))=Milestones!$AB$25),UPPER(TEXT(EDATE($D6,Milestones!$AA$25),"dd mmm yy"))&amp;" "&amp;Milestones!$AB$25&amp;" "&amp;Milestones!$AC$25&amp;";  ","")&amp;IF(AND(EDATE($D6,Milestones!$AA$26)&lt;=AsOfDate,IF($R6=0,$X6,IF(AND($T6&lt;&gt;"",EDATE($D6,Milestones!$AA$26)&gt;=$T6),$W6,IF(AND($S6&lt;&gt;"",EDATE($D6,Milestones!$AA$26)&gt;=$S6),$V6,$U6)))=Milestones!$AB$26),UPPER(TEXT(EDATE($D6,Milestones!$AA$26),"dd mmm yy"))&amp;" "&amp;Milestones!$AB$26&amp;" "&amp;Milestones!$AC$26&amp;";  ","")&amp;IF(AND(EDATE($D6,Milestones!$AA$27)&lt;=AsOfDate,IF($R6=0,$X6,IF(AND($T6&lt;&gt;"",EDATE($D6,Milestones!$AA$27)&gt;=$T6),$W6,IF(AND($S6&lt;&gt;"",EDATE($D6,Milestones!$AA$27)&gt;=$S6),$V6,$U6)))=Milestones!$AB$27),UPPER(TEXT(EDATE($D6,Milestones!$AA$27),"dd mmm yy"))&amp;" "&amp;Milestones!$AB$27&amp;" "&amp;Milestones!$AC$27&amp;";  ","")&amp;IF(AND(EDATE($D6,Milestones!$AA$28)&lt;=AsOfDate,IF($R6=0,$X6,IF(AND($T6&lt;&gt;"",EDATE($D6,Milestones!$AA$28)&gt;=$T6),$W6,IF(AND($S6&lt;&gt;"",EDATE($D6,Milestones!$AA$28)&gt;=$S6),$V6,$U6)))=Milestones!$AB$28),UPPER(TEXT(EDATE($D6,Milestones!$AA$28),"dd mmm yy"))&amp;" "&amp;Milestones!$AB$28&amp;" "&amp;Milestones!$AC$28&amp;";  ","")&amp;IF(AND(EDATE($D6,Milestones!$AA$29)&lt;=AsOfDate,IF($R6=0,$X6,IF(AND($T6&lt;&gt;"",EDATE($D6,Milestones!$AA$29)&gt;=$T6),$W6,IF(AND($S6&lt;&gt;"",EDATE($D6,Milestones!$AA$29)&gt;=$S6),$V6,$U6)))=Milestones!$AB$29),UPPER(TEXT(EDATE($D6,Milestones!$AA$29),"dd mmm yy"))&amp;" "&amp;Milestones!$AB$29&amp;" "&amp;Milestones!$AC$29&amp;";  ","")&amp;IF(AND(EDATE($D6,Milestones!$AA$30)&lt;=AsOfDate,IF($R6=0,$X6,IF(AND($T6&lt;&gt;"",EDATE($D6,Milestones!$AA$30)&gt;=$T6),$W6,IF(AND($S6&lt;&gt;"",EDATE($D6,Milestones!$AA$30)&gt;=$S6),$V6,$U6)))=Milestones!$AB$30),UPPER(TEXT(EDATE($D6,Milestones!$AA$30),"dd mmm yy"))&amp;" "&amp;Milestones!$AB$30&amp;" "&amp;Milestones!$AC$30&amp;";  ","")&amp;IF(AND(EDATE($D6,Milestones!$AA$31)&lt;=AsOfDate,IF($R6=0,$X6,IF(AND($T6&lt;&gt;"",EDATE($D6,Milestones!$AA$31)&gt;=$T6),$W6,IF(AND($S6&lt;&gt;"",EDATE($D6,Milestones!$AA$31)&gt;=$S6),$V6,$U6)))=Milestones!$AB$31),UPPER(TEXT(EDATE($D6,Milestones!$AA$31),"dd mmm yy"))&amp;" "&amp;Milestones!$AB$31&amp;" "&amp;Milestones!$AC$31&amp;";  ","")&amp;IF(AND(EDATE($D6,Milestones!$AA$32)&lt;=AsOfDate,IF($R6=0,$X6,IF(AND($T6&lt;&gt;"",EDATE($D6,Milestones!$AA$32)&gt;=$T6),$W6,IF(AND($S6&lt;&gt;"",EDATE($D6,Milestones!$AA$32)&gt;=$S6),$V6,$U6)))=Milestones!$AB$32),UPPER(TEXT(EDATE($D6,Milestones!$AA$32),"dd mmm yy"))&amp;" "&amp;Milestones!$AB$32&amp;" "&amp;Milestones!$AC$32&amp;";  ","")&amp;IF(AND(EDATE($D6,Milestones!$AA$33)&lt;=AsOfDate,IF($R6=0,$X6,IF(AND($T6&lt;&gt;"",EDATE($D6,Milestones!$AA$33)&gt;=$T6),$W6,IF(AND($S6&lt;&gt;"",EDATE($D6,Milestones!$AA$33)&gt;=$S6),$V6,$U6)))=Milestones!$AB$33),UPPER(TEXT(EDATE($D6,Milestones!$AA$33),"dd mmm yy"))&amp;" "&amp;Milestones!$AB$33&amp;" "&amp;Milestones!$AC$33&amp;";  ","")&amp;IF(AND(EDATE($D6,Milestones!$AA$34)&lt;=AsOfDate,IF($R6=0,$X6,IF(AND($T6&lt;&gt;"",EDATE($D6,Milestones!$AA$34)&gt;=$T6),$W6,IF(AND($S6&lt;&gt;"",EDATE($D6,Milestones!$AA$34)&gt;=$S6),$V6,$U6)))=Milestones!$AB$34),UPPER(TEXT(EDATE($D6,Milestones!$AA$34),"dd mmm yy"))&amp;" "&amp;Milestones!$AB$34&amp;" "&amp;Milestones!$AC$34&amp;";  ","")&amp;IF(AND(EDATE($D6,Milestones!$AA$35)&lt;=AsOfDate,IF($R6=0,$X6,IF(AND($T6&lt;&gt;"",EDATE($D6,Milestones!$AA$35)&gt;=$T6),$W6,IF(AND($S6&lt;&gt;"",EDATE($D6,Milestones!$AA$35)&gt;=$S6),$V6,$U6)))=Milestones!$AB$35),UPPER(TEXT(EDATE($D6,Milestones!$AA$35),"dd mmm yy"))&amp;" "&amp;Milestones!$AB$35&amp;" "&amp;Milestones!$AC$35&amp;";  ","")&amp;IF(AND(EDATE($D6,Milestones!$AA$36)&lt;=AsOfDate,IF($R6=0,$X6,IF(AND($T6&lt;&gt;"",EDATE($D6,Milestones!$AA$36)&gt;=$T6),$W6,IF(AND($S6&lt;&gt;"",EDATE($D6,Milestones!$AA$36)&gt;=$S6),$V6,$U6)))=Milestones!$AB$36),UPPER(TEXT(EDATE($D6,Milestones!$AA$36),"dd mmm yy"))&amp;" "&amp;Milestones!$AB$36&amp;" "&amp;Milestones!$AC$36&amp;";  ","")&amp;IF(AND(EDATE($D6,Milestones!$AA$37)&lt;=AsOfDate,IF($R6=0,$X6,IF(AND($T6&lt;&gt;"",EDATE($D6,Milestones!$AA$37)&gt;=$T6),$W6,IF(AND($S6&lt;&gt;"",EDATE($D6,Milestones!$AA$37)&gt;=$S6),$V6,$U6)))=Milestones!$AB$37),UPPER(TEXT(EDATE($D6,Milestones!$AA$37),"dd mmm yy"))&amp;" "&amp;Milestones!$AB$37&amp;" "&amp;Milestones!$AC$37&amp;";  ","")&amp;IF(AND(EDATE($D6,Milestones!$AA$38)&lt;=AsOfDate,IF($R6=0,$X6,IF(AND($T6&lt;&gt;"",EDATE($D6,Milestones!$AA$38)&gt;=$T6),$W6,IF(AND($S6&lt;&gt;"",EDATE($D6,Milestones!$AA$38)&gt;=$S6),$V6,$U6)))=Milestones!$AB$38),UPPER(TEXT(EDATE($D6,Milestones!$AA$38),"dd mmm yy"))&amp;" "&amp;Milestones!$AB$38&amp;" "&amp;Milestones!$AC$38&amp;";  ","")&amp;IF(AND(EDATE($D6,Milestones!$AA$39)&lt;=AsOfDate,IF($R6=0,$X6,IF(AND($T6&lt;&gt;"",EDATE($D6,Milestones!$AA$39)&gt;=$T6),$W6,IF(AND($S6&lt;&gt;"",EDATE($D6,Milestones!$AA$39)&gt;=$S6),$V6,$U6)))=Milestones!$AB$39),UPPER(TEXT(EDATE($D6,Milestones!$AA$39),"dd mmm yy"))&amp;" "&amp;Milestones!$AB$39&amp;" "&amp;Milestones!$AC$39&amp;";  ",""))</f>
        <v/>
      </c>
      <c r="J6" s="0" t="str">
        <f aca="false">IF(OR($A6="",$D6=""),"",IF(AND(EDATE($D6,Milestones!$AA$40)&lt;=AsOfDate,IF($R6=0,$X6,IF(AND($T6&lt;&gt;"",EDATE($D6,Milestones!$AA$40)&gt;=$T6),$W6,IF(AND($S6&lt;&gt;"",EDATE($D6,Milestones!$AA$40)&gt;=$S6),$V6,$U6)))=Milestones!$AB$40),UPPER(TEXT(EDATE($D6,Milestones!$AA$40),"dd mmm yy"))&amp;" "&amp;Milestones!$AB$40&amp;" "&amp;Milestones!$AC$40&amp;";  ","")&amp;IF(AND(EDATE($D6,Milestones!$AA$41)&lt;=AsOfDate,IF($R6=0,$X6,IF(AND($T6&lt;&gt;"",EDATE($D6,Milestones!$AA$41)&gt;=$T6),$W6,IF(AND($S6&lt;&gt;"",EDATE($D6,Milestones!$AA$41)&gt;=$S6),$V6,$U6)))=Milestones!$AB$41),UPPER(TEXT(EDATE($D6,Milestones!$AA$41),"dd mmm yy"))&amp;" "&amp;Milestones!$AB$41&amp;" "&amp;Milestones!$AC$41&amp;";  ","")&amp;IF(AND(EDATE($D6,Milestones!$AA$42)&lt;=AsOfDate,IF($R6=0,$X6,IF(AND($T6&lt;&gt;"",EDATE($D6,Milestones!$AA$42)&gt;=$T6),$W6,IF(AND($S6&lt;&gt;"",EDATE($D6,Milestones!$AA$42)&gt;=$S6),$V6,$U6)))=Milestones!$AB$42),UPPER(TEXT(EDATE($D6,Milestones!$AA$42),"dd mmm yy"))&amp;" "&amp;Milestones!$AB$42&amp;" "&amp;Milestones!$AC$42&amp;";  ","")&amp;IF(AND(EDATE($D6,Milestones!$AA$43)&lt;=AsOfDate,IF($R6=0,$X6,IF(AND($T6&lt;&gt;"",EDATE($D6,Milestones!$AA$43)&gt;=$T6),$W6,IF(AND($S6&lt;&gt;"",EDATE($D6,Milestones!$AA$43)&gt;=$S6),$V6,$U6)))=Milestones!$AB$43),UPPER(TEXT(EDATE($D6,Milestones!$AA$43),"dd mmm yy"))&amp;" "&amp;Milestones!$AB$43&amp;" "&amp;Milestones!$AC$43&amp;";  ","")&amp;IF(AND(EDATE($D6,Milestones!$AA$44)&lt;=AsOfDate,IF($R6=0,$X6,IF(AND($T6&lt;&gt;"",EDATE($D6,Milestones!$AA$44)&gt;=$T6),$W6,IF(AND($S6&lt;&gt;"",EDATE($D6,Milestones!$AA$44)&gt;=$S6),$V6,$U6)))=Milestones!$AB$44),UPPER(TEXT(EDATE($D6,Milestones!$AA$44),"dd mmm yy"))&amp;" "&amp;Milestones!$AB$44&amp;" "&amp;Milestones!$AC$44&amp;";  ","")&amp;IF(AND(EDATE($D6,Milestones!$AA$45)&lt;=AsOfDate,IF($R6=0,$X6,IF(AND($T6&lt;&gt;"",EDATE($D6,Milestones!$AA$45)&gt;=$T6),$W6,IF(AND($S6&lt;&gt;"",EDATE($D6,Milestones!$AA$45)&gt;=$S6),$V6,$U6)))=Milestones!$AB$45),UPPER(TEXT(EDATE($D6,Milestones!$AA$45),"dd mmm yy"))&amp;" "&amp;Milestones!$AB$45&amp;" "&amp;Milestones!$AC$45&amp;";  ","")&amp;IF(AND(EDATE($D6,Milestones!$AA$46)&lt;=AsOfDate,IF($R6=0,$X6,IF(AND($T6&lt;&gt;"",EDATE($D6,Milestones!$AA$46)&gt;=$T6),$W6,IF(AND($S6&lt;&gt;"",EDATE($D6,Milestones!$AA$46)&gt;=$S6),$V6,$U6)))=Milestones!$AB$46),UPPER(TEXT(EDATE($D6,Milestones!$AA$46),"dd mmm yy"))&amp;" "&amp;Milestones!$AB$46&amp;" "&amp;Milestones!$AC$46&amp;";  ","")&amp;IF(AND(EDATE($D6,Milestones!$AA$47)&lt;=AsOfDate,IF($R6=0,$X6,IF(AND($T6&lt;&gt;"",EDATE($D6,Milestones!$AA$47)&gt;=$T6),$W6,IF(AND($S6&lt;&gt;"",EDATE($D6,Milestones!$AA$47)&gt;=$S6),$V6,$U6)))=Milestones!$AB$47),UPPER(TEXT(EDATE($D6,Milestones!$AA$47),"dd mmm yy"))&amp;" "&amp;Milestones!$AB$47&amp;" "&amp;Milestones!$AC$47&amp;";  ","")&amp;IF(AND(EDATE($D6,Milestones!$AA$48)&lt;=AsOfDate,IF($R6=0,$X6,IF(AND($T6&lt;&gt;"",EDATE($D6,Milestones!$AA$48)&gt;=$T6),$W6,IF(AND($S6&lt;&gt;"",EDATE($D6,Milestones!$AA$48)&gt;=$S6),$V6,$U6)))=Milestones!$AB$48),UPPER(TEXT(EDATE($D6,Milestones!$AA$48),"dd mmm yy"))&amp;" "&amp;Milestones!$AB$48&amp;" "&amp;Milestones!$AC$48&amp;";  ","")&amp;IF(AND(EDATE($D6,Milestones!$AA$49)&lt;=AsOfDate,IF($R6=0,$X6,IF(AND($T6&lt;&gt;"",EDATE($D6,Milestones!$AA$49)&gt;=$T6),$W6,IF(AND($S6&lt;&gt;"",EDATE($D6,Milestones!$AA$49)&gt;=$S6),$V6,$U6)))=Milestones!$AB$49),UPPER(TEXT(EDATE($D6,Milestones!$AA$49),"dd mmm yy"))&amp;" "&amp;Milestones!$AB$49&amp;" "&amp;Milestones!$AC$49&amp;";  ","")&amp;IF(AND(EDATE($D6,Milestones!$AA$50)&lt;=AsOfDate,IF($R6=0,$X6,IF(AND($T6&lt;&gt;"",EDATE($D6,Milestones!$AA$50)&gt;=$T6),$W6,IF(AND($S6&lt;&gt;"",EDATE($D6,Milestones!$AA$50)&gt;=$S6),$V6,$U6)))=Milestones!$AB$50),UPPER(TEXT(EDATE($D6,Milestones!$AA$50),"dd mmm yy"))&amp;" "&amp;Milestones!$AB$50&amp;" "&amp;Milestones!$AC$50&amp;";  ","")&amp;IF(AND(EDATE($D6,Milestones!$AA$51)&lt;=AsOfDate,IF($R6=0,$X6,IF(AND($T6&lt;&gt;"",EDATE($D6,Milestones!$AA$51)&gt;=$T6),$W6,IF(AND($S6&lt;&gt;"",EDATE($D6,Milestones!$AA$51)&gt;=$S6),$V6,$U6)))=Milestones!$AB$51),UPPER(TEXT(EDATE($D6,Milestones!$AA$51),"dd mmm yy"))&amp;" "&amp;Milestones!$AB$51&amp;" "&amp;Milestones!$AC$51&amp;";  ","")&amp;IF(AND(EDATE($D6,Milestones!$AA$52)&lt;=AsOfDate,IF($R6=0,$X6,IF(AND($T6&lt;&gt;"",EDATE($D6,Milestones!$AA$52)&gt;=$T6),$W6,IF(AND($S6&lt;&gt;"",EDATE($D6,Milestones!$AA$52)&gt;=$S6),$V6,$U6)))=Milestones!$AB$52),UPPER(TEXT(EDATE($D6,Milestones!$AA$52),"dd mmm yy"))&amp;" "&amp;Milestones!$AB$52&amp;" "&amp;Milestones!$AC$52&amp;";  ","")&amp;IF(AND(EDATE($D6,Milestones!$AA$53)&lt;=AsOfDate,IF($R6=0,$X6,IF(AND($T6&lt;&gt;"",EDATE($D6,Milestones!$AA$53)&gt;=$T6),$W6,IF(AND($S6&lt;&gt;"",EDATE($D6,Milestones!$AA$53)&gt;=$S6),$V6,$U6)))=Milestones!$AB$53),UPPER(TEXT(EDATE($D6,Milestones!$AA$53),"dd mmm yy"))&amp;" "&amp;Milestones!$AB$53&amp;" "&amp;Milestones!$AC$53&amp;";  ","")&amp;IF(AND(EDATE($D6,Milestones!$AA$54)&lt;=AsOfDate,IF($R6=0,$X6,IF(AND($T6&lt;&gt;"",EDATE($D6,Milestones!$AA$54)&gt;=$T6),$W6,IF(AND($S6&lt;&gt;"",EDATE($D6,Milestones!$AA$54)&gt;=$S6),$V6,$U6)))=Milestones!$AB$54),UPPER(TEXT(EDATE($D6,Milestones!$AA$54),"dd mmm yy"))&amp;" "&amp;Milestones!$AB$54&amp;" "&amp;Milestones!$AC$54&amp;";  ","")&amp;IF(AND(EDATE($D6,Milestones!$AA$55)&lt;=AsOfDate,IF($R6=0,$X6,IF(AND($T6&lt;&gt;"",EDATE($D6,Milestones!$AA$55)&gt;=$T6),$W6,IF(AND($S6&lt;&gt;"",EDATE($D6,Milestones!$AA$55)&gt;=$S6),$V6,$U6)))=Milestones!$AB$55),UPPER(TEXT(EDATE($D6,Milestones!$AA$55),"dd mmm yy"))&amp;" "&amp;Milestones!$AB$55&amp;" "&amp;Milestones!$AC$55&amp;";  ","")&amp;IF(AND(EDATE($D6,Milestones!$AA$56)&lt;=AsOfDate,IF($R6=0,$X6,IF(AND($T6&lt;&gt;"",EDATE($D6,Milestones!$AA$56)&gt;=$T6),$W6,IF(AND($S6&lt;&gt;"",EDATE($D6,Milestones!$AA$56)&gt;=$S6),$V6,$U6)))=Milestones!$AB$56),UPPER(TEXT(EDATE($D6,Milestones!$AA$56),"dd mmm yy"))&amp;" "&amp;Milestones!$AB$56&amp;" "&amp;Milestones!$AC$56&amp;";  ","")&amp;IF(AND(EDATE($D6,Milestones!$AA$57)&lt;=AsOfDate,IF($R6=0,$X6,IF(AND($T6&lt;&gt;"",EDATE($D6,Milestones!$AA$57)&gt;=$T6),$W6,IF(AND($S6&lt;&gt;"",EDATE($D6,Milestones!$AA$57)&gt;=$S6),$V6,$U6)))=Milestones!$AB$57),UPPER(TEXT(EDATE($D6,Milestones!$AA$57),"dd mmm yy"))&amp;" "&amp;Milestones!$AB$57&amp;" "&amp;Milestones!$AC$57&amp;";  ","")&amp;IF(AND(EDATE($D6,Milestones!$AA$58)&lt;=AsOfDate,IF($R6=0,$X6,IF(AND($T6&lt;&gt;"",EDATE($D6,Milestones!$AA$58)&gt;=$T6),$W6,IF(AND($S6&lt;&gt;"",EDATE($D6,Milestones!$AA$58)&gt;=$S6),$V6,$U6)))=Milestones!$AB$58),UPPER(TEXT(EDATE($D6,Milestones!$AA$58),"dd mmm yy"))&amp;" "&amp;Milestones!$AB$58&amp;" "&amp;Milestones!$AC$58&amp;";  ","")&amp;IF(AND(EDATE($D6,Milestones!$AA$59)&lt;=AsOfDate,IF($R6=0,$X6,IF(AND($T6&lt;&gt;"",EDATE($D6,Milestones!$AA$59)&gt;=$T6),$W6,IF(AND($S6&lt;&gt;"",EDATE($D6,Milestones!$AA$59)&gt;=$S6),$V6,$U6)))=Milestones!$AB$59),UPPER(TEXT(EDATE($D6,Milestones!$AA$59),"dd mmm yy"))&amp;" "&amp;Milestones!$AB$59&amp;" "&amp;Milestones!$AC$59&amp;";  ",""))</f>
        <v/>
      </c>
      <c r="K6" s="0" t="str">
        <f aca="false">IF(OR($A6="",$D6=""),"",IF(AND(EDATE($D6,Milestones!$AA$60)&lt;=AsOfDate,IF($R6=0,$X6,IF(AND($T6&lt;&gt;"",EDATE($D6,Milestones!$AA$60)&gt;=$T6),$W6,IF(AND($S6&lt;&gt;"",EDATE($D6,Milestones!$AA$60)&gt;=$S6),$V6,$U6)))=Milestones!$AB$60),UPPER(TEXT(EDATE($D6,Milestones!$AA$60),"dd mmm yy"))&amp;" "&amp;Milestones!$AB$60&amp;" "&amp;Milestones!$AC$60&amp;";  ","")&amp;IF(AND(EDATE($D6,Milestones!$AA$61)&lt;=AsOfDate,IF($R6=0,$X6,IF(AND($T6&lt;&gt;"",EDATE($D6,Milestones!$AA$61)&gt;=$T6),$W6,IF(AND($S6&lt;&gt;"",EDATE($D6,Milestones!$AA$61)&gt;=$S6),$V6,$U6)))=Milestones!$AB$61),UPPER(TEXT(EDATE($D6,Milestones!$AA$61),"dd mmm yy"))&amp;" "&amp;Milestones!$AB$61&amp;" "&amp;Milestones!$AC$61&amp;";  ","")&amp;IF(AND(EDATE($D6,Milestones!$AA$62)&lt;=AsOfDate,IF($R6=0,$X6,IF(AND($T6&lt;&gt;"",EDATE($D6,Milestones!$AA$62)&gt;=$T6),$W6,IF(AND($S6&lt;&gt;"",EDATE($D6,Milestones!$AA$62)&gt;=$S6),$V6,$U6)))=Milestones!$AB$62),UPPER(TEXT(EDATE($D6,Milestones!$AA$62),"dd mmm yy"))&amp;" "&amp;Milestones!$AB$62&amp;" "&amp;Milestones!$AC$62&amp;";  ","")&amp;IF(AND(EDATE($D6,Milestones!$AA$63)&lt;=AsOfDate,IF($R6=0,$X6,IF(AND($T6&lt;&gt;"",EDATE($D6,Milestones!$AA$63)&gt;=$T6),$W6,IF(AND($S6&lt;&gt;"",EDATE($D6,Milestones!$AA$63)&gt;=$S6),$V6,$U6)))=Milestones!$AB$63),UPPER(TEXT(EDATE($D6,Milestones!$AA$63),"dd mmm yy"))&amp;" "&amp;Milestones!$AB$63&amp;" "&amp;Milestones!$AC$63&amp;";  ","")&amp;IF(AND(EDATE($D6,Milestones!$AA$64)&lt;=AsOfDate,IF($R6=0,$X6,IF(AND($T6&lt;&gt;"",EDATE($D6,Milestones!$AA$64)&gt;=$T6),$W6,IF(AND($S6&lt;&gt;"",EDATE($D6,Milestones!$AA$64)&gt;=$S6),$V6,$U6)))=Milestones!$AB$64),UPPER(TEXT(EDATE($D6,Milestones!$AA$64),"dd mmm yy"))&amp;" "&amp;Milestones!$AB$64&amp;" "&amp;Milestones!$AC$64&amp;";  ","")&amp;IF(AND(EDATE($D6,Milestones!$AA$65)&lt;=AsOfDate,IF($R6=0,$X6,IF(AND($T6&lt;&gt;"",EDATE($D6,Milestones!$AA$65)&gt;=$T6),$W6,IF(AND($S6&lt;&gt;"",EDATE($D6,Milestones!$AA$65)&gt;=$S6),$V6,$U6)))=Milestones!$AB$65),UPPER(TEXT(EDATE($D6,Milestones!$AA$65),"dd mmm yy"))&amp;" "&amp;Milestones!$AB$65&amp;" "&amp;Milestones!$AC$65&amp;";  ","")&amp;IF(AND(EDATE($D6,Milestones!$AA$66)&lt;=AsOfDate,IF($R6=0,$X6,IF(AND($T6&lt;&gt;"",EDATE($D6,Milestones!$AA$66)&gt;=$T6),$W6,IF(AND($S6&lt;&gt;"",EDATE($D6,Milestones!$AA$66)&gt;=$S6),$V6,$U6)))=Milestones!$AB$66),UPPER(TEXT(EDATE($D6,Milestones!$AA$66),"dd mmm yy"))&amp;" "&amp;Milestones!$AB$66&amp;" "&amp;Milestones!$AC$66&amp;";  ","")&amp;IF(AND(EDATE($D6,Milestones!$AA$67)&lt;=AsOfDate,IF($R6=0,$X6,IF(AND($T6&lt;&gt;"",EDATE($D6,Milestones!$AA$67)&gt;=$T6),$W6,IF(AND($S6&lt;&gt;"",EDATE($D6,Milestones!$AA$67)&gt;=$S6),$V6,$U6)))=Milestones!$AB$67),UPPER(TEXT(EDATE($D6,Milestones!$AA$67),"dd mmm yy"))&amp;" "&amp;Milestones!$AB$67&amp;" "&amp;Milestones!$AC$67&amp;";  ","")&amp;IF(AND(EDATE($D6,Milestones!$AA$68)&lt;=AsOfDate,IF($R6=0,$X6,IF(AND($T6&lt;&gt;"",EDATE($D6,Milestones!$AA$68)&gt;=$T6),$W6,IF(AND($S6&lt;&gt;"",EDATE($D6,Milestones!$AA$68)&gt;=$S6),$V6,$U6)))=Milestones!$AB$68),UPPER(TEXT(EDATE($D6,Milestones!$AA$68),"dd mmm yy"))&amp;" "&amp;Milestones!$AB$68&amp;" "&amp;Milestones!$AC$68&amp;";  ","")&amp;IF(AND(EDATE($D6,Milestones!$AA$69)&lt;=AsOfDate,IF($R6=0,$X6,IF(AND($T6&lt;&gt;"",EDATE($D6,Milestones!$AA$69)&gt;=$T6),$W6,IF(AND($S6&lt;&gt;"",EDATE($D6,Milestones!$AA$69)&gt;=$S6),$V6,$U6)))=Milestones!$AB$69),UPPER(TEXT(EDATE($D6,Milestones!$AA$69),"dd mmm yy"))&amp;" "&amp;Milestones!$AB$69&amp;" "&amp;Milestones!$AC$69&amp;";  ","")&amp;IF(AND(EDATE($D6,Milestones!$AA$70)&lt;=AsOfDate,IF($R6=0,$X6,IF(AND($T6&lt;&gt;"",EDATE($D6,Milestones!$AA$70)&gt;=$T6),$W6,IF(AND($S6&lt;&gt;"",EDATE($D6,Milestones!$AA$70)&gt;=$S6),$V6,$U6)))=Milestones!$AB$70),UPPER(TEXT(EDATE($D6,Milestones!$AA$70),"dd mmm yy"))&amp;" "&amp;Milestones!$AB$70&amp;" "&amp;Milestones!$AC$70&amp;";  ","")&amp;IF(AND(EDATE($D6,Milestones!$AA$71)&lt;=AsOfDate,IF($R6=0,$X6,IF(AND($T6&lt;&gt;"",EDATE($D6,Milestones!$AA$71)&gt;=$T6),$W6,IF(AND($S6&lt;&gt;"",EDATE($D6,Milestones!$AA$71)&gt;=$S6),$V6,$U6)))=Milestones!$AB$71),UPPER(TEXT(EDATE($D6,Milestones!$AA$71),"dd mmm yy"))&amp;" "&amp;Milestones!$AB$71&amp;" "&amp;Milestones!$AC$71&amp;";  ","")&amp;IF(AND(EDATE($D6,Milestones!$AA$72)&lt;=AsOfDate,IF($R6=0,$X6,IF(AND($T6&lt;&gt;"",EDATE($D6,Milestones!$AA$72)&gt;=$T6),$W6,IF(AND($S6&lt;&gt;"",EDATE($D6,Milestones!$AA$72)&gt;=$S6),$V6,$U6)))=Milestones!$AB$72),UPPER(TEXT(EDATE($D6,Milestones!$AA$72),"dd mmm yy"))&amp;" "&amp;Milestones!$AB$72&amp;" "&amp;Milestones!$AC$72&amp;";  ","")&amp;IF(AND(EDATE($D6,Milestones!$AA$73)&lt;=AsOfDate,IF($R6=0,$X6,IF(AND($T6&lt;&gt;"",EDATE($D6,Milestones!$AA$73)&gt;=$T6),$W6,IF(AND($S6&lt;&gt;"",EDATE($D6,Milestones!$AA$73)&gt;=$S6),$V6,$U6)))=Milestones!$AB$73),UPPER(TEXT(EDATE($D6,Milestones!$AA$73),"dd mmm yy"))&amp;" "&amp;Milestones!$AB$73&amp;" "&amp;Milestones!$AC$73&amp;";  ","")&amp;IF(AND(EDATE($D6,Milestones!$AA$74)&lt;=AsOfDate,IF($R6=0,$X6,IF(AND($T6&lt;&gt;"",EDATE($D6,Milestones!$AA$74)&gt;=$T6),$W6,IF(AND($S6&lt;&gt;"",EDATE($D6,Milestones!$AA$74)&gt;=$S6),$V6,$U6)))=Milestones!$AB$74),UPPER(TEXT(EDATE($D6,Milestones!$AA$74),"dd mmm yy"))&amp;" "&amp;Milestones!$AB$74&amp;" "&amp;Milestones!$AC$74&amp;";  ","")&amp;IF(AND(EDATE($D6,Milestones!$AA$75)&lt;=AsOfDate,IF($R6=0,$X6,IF(AND($T6&lt;&gt;"",EDATE($D6,Milestones!$AA$75)&gt;=$T6),$W6,IF(AND($S6&lt;&gt;"",EDATE($D6,Milestones!$AA$75)&gt;=$S6),$V6,$U6)))=Milestones!$AB$75),UPPER(TEXT(EDATE($D6,Milestones!$AA$75),"dd mmm yy"))&amp;" "&amp;Milestones!$AB$75&amp;" "&amp;Milestones!$AC$75&amp;";  ","")&amp;IF(AND(EDATE($D6,Milestones!$AA$76)&lt;=AsOfDate,IF($R6=0,$X6,IF(AND($T6&lt;&gt;"",EDATE($D6,Milestones!$AA$76)&gt;=$T6),$W6,IF(AND($S6&lt;&gt;"",EDATE($D6,Milestones!$AA$76)&gt;=$S6),$V6,$U6)))=Milestones!$AB$76),UPPER(TEXT(EDATE($D6,Milestones!$AA$76),"dd mmm yy"))&amp;" "&amp;Milestones!$AB$76&amp;" "&amp;Milestones!$AC$76&amp;";  ","")&amp;IF(AND(EDATE($D6,Milestones!$AA$77)&lt;=AsOfDate,IF($R6=0,$X6,IF(AND($T6&lt;&gt;"",EDATE($D6,Milestones!$AA$77)&gt;=$T6),$W6,IF(AND($S6&lt;&gt;"",EDATE($D6,Milestones!$AA$77)&gt;=$S6),$V6,$U6)))=Milestones!$AB$77),UPPER(TEXT(EDATE($D6,Milestones!$AA$77),"dd mmm yy"))&amp;" "&amp;Milestones!$AB$77&amp;" "&amp;Milestones!$AC$77&amp;";  ","")&amp;IF(AND(EDATE($D6,Milestones!$AA$78)&lt;=AsOfDate,IF($R6=0,$X6,IF(AND($T6&lt;&gt;"",EDATE($D6,Milestones!$AA$78)&gt;=$T6),$W6,IF(AND($S6&lt;&gt;"",EDATE($D6,Milestones!$AA$78)&gt;=$S6),$V6,$U6)))=Milestones!$AB$78),UPPER(TEXT(EDATE($D6,Milestones!$AA$78),"dd mmm yy"))&amp;" "&amp;Milestones!$AB$78&amp;" "&amp;Milestones!$AC$78&amp;";  ","")&amp;IF(AND(EDATE($D6,Milestones!$AA$79)&lt;=AsOfDate,IF($R6=0,$X6,IF(AND($T6&lt;&gt;"",EDATE($D6,Milestones!$AA$79)&gt;=$T6),$W6,IF(AND($S6&lt;&gt;"",EDATE($D6,Milestones!$AA$79)&gt;=$S6),$V6,$U6)))=Milestones!$AB$79),UPPER(TEXT(EDATE($D6,Milestones!$AA$79),"dd mmm yy"))&amp;" "&amp;Milestones!$AB$79&amp;" "&amp;Milestones!$AC$79&amp;";  ",""))</f>
        <v/>
      </c>
      <c r="L6" s="0" t="str">
        <f aca="false">IF(OR($A6="",$D6=""),"",IF(AND(EDATE($D6,Milestones!$AA$80)&lt;=AsOfDate,IF($R6=0,$X6,IF(AND($T6&lt;&gt;"",EDATE($D6,Milestones!$AA$80)&gt;=$T6),$W6,IF(AND($S6&lt;&gt;"",EDATE($D6,Milestones!$AA$80)&gt;=$S6),$V6,$U6)))=Milestones!$AB$80),UPPER(TEXT(EDATE($D6,Milestones!$AA$80),"dd mmm yy"))&amp;" "&amp;Milestones!$AB$80&amp;" "&amp;Milestones!$AC$80&amp;";  ","")&amp;IF(AND(EDATE($D6,Milestones!$AA$81)&lt;=AsOfDate,IF($R6=0,$X6,IF(AND($T6&lt;&gt;"",EDATE($D6,Milestones!$AA$81)&gt;=$T6),$W6,IF(AND($S6&lt;&gt;"",EDATE($D6,Milestones!$AA$81)&gt;=$S6),$V6,$U6)))=Milestones!$AB$81),UPPER(TEXT(EDATE($D6,Milestones!$AA$81),"dd mmm yy"))&amp;" "&amp;Milestones!$AB$81&amp;" "&amp;Milestones!$AC$81&amp;";  ","")&amp;IF(AND(EDATE($D6,Milestones!$AA$82)&lt;=AsOfDate,IF($R6=0,$X6,IF(AND($T6&lt;&gt;"",EDATE($D6,Milestones!$AA$82)&gt;=$T6),$W6,IF(AND($S6&lt;&gt;"",EDATE($D6,Milestones!$AA$82)&gt;=$S6),$V6,$U6)))=Milestones!$AB$82),UPPER(TEXT(EDATE($D6,Milestones!$AA$82),"dd mmm yy"))&amp;" "&amp;Milestones!$AB$82&amp;" "&amp;Milestones!$AC$82&amp;";  ","")&amp;IF(AND(EDATE($D6,Milestones!$AA$83)&lt;=AsOfDate,IF($R6=0,$X6,IF(AND($T6&lt;&gt;"",EDATE($D6,Milestones!$AA$83)&gt;=$T6),$W6,IF(AND($S6&lt;&gt;"",EDATE($D6,Milestones!$AA$83)&gt;=$S6),$V6,$U6)))=Milestones!$AB$83),UPPER(TEXT(EDATE($D6,Milestones!$AA$83),"dd mmm yy"))&amp;" "&amp;Milestones!$AB$83&amp;" "&amp;Milestones!$AC$83&amp;";  ","")&amp;IF(AND(EDATE($D6,Milestones!$AA$84)&lt;=AsOfDate,IF($R6=0,$X6,IF(AND($T6&lt;&gt;"",EDATE($D6,Milestones!$AA$84)&gt;=$T6),$W6,IF(AND($S6&lt;&gt;"",EDATE($D6,Milestones!$AA$84)&gt;=$S6),$V6,$U6)))=Milestones!$AB$84),UPPER(TEXT(EDATE($D6,Milestones!$AA$84),"dd mmm yy"))&amp;" "&amp;Milestones!$AB$84&amp;" "&amp;Milestones!$AC$84&amp;";  ","")&amp;IF(AND(EDATE($D6,Milestones!$AA$85)&lt;=AsOfDate,IF($R6=0,$X6,IF(AND($T6&lt;&gt;"",EDATE($D6,Milestones!$AA$85)&gt;=$T6),$W6,IF(AND($S6&lt;&gt;"",EDATE($D6,Milestones!$AA$85)&gt;=$S6),$V6,$U6)))=Milestones!$AB$85),UPPER(TEXT(EDATE($D6,Milestones!$AA$85),"dd mmm yy"))&amp;" "&amp;Milestones!$AB$85&amp;" "&amp;Milestones!$AC$85&amp;";  ","")&amp;IF(AND(EDATE($D6,Milestones!$AA$86)&lt;=AsOfDate,IF($R6=0,$X6,IF(AND($T6&lt;&gt;"",EDATE($D6,Milestones!$AA$86)&gt;=$T6),$W6,IF(AND($S6&lt;&gt;"",EDATE($D6,Milestones!$AA$86)&gt;=$S6),$V6,$U6)))=Milestones!$AB$86),UPPER(TEXT(EDATE($D6,Milestones!$AA$86),"dd mmm yy"))&amp;" "&amp;Milestones!$AB$86&amp;" "&amp;Milestones!$AC$86&amp;";  ","")&amp;IF(AND(EDATE($D6,Milestones!$AA$87)&lt;=AsOfDate,IF($R6=0,$X6,IF(AND($T6&lt;&gt;"",EDATE($D6,Milestones!$AA$87)&gt;=$T6),$W6,IF(AND($S6&lt;&gt;"",EDATE($D6,Milestones!$AA$87)&gt;=$S6),$V6,$U6)))=Milestones!$AB$87),UPPER(TEXT(EDATE($D6,Milestones!$AA$87),"dd mmm yy"))&amp;" "&amp;Milestones!$AB$87&amp;" "&amp;Milestones!$AC$87&amp;";  ","")&amp;IF(AND(EDATE($D6,Milestones!$AA$88)&lt;=AsOfDate,IF($R6=0,$X6,IF(AND($T6&lt;&gt;"",EDATE($D6,Milestones!$AA$88)&gt;=$T6),$W6,IF(AND($S6&lt;&gt;"",EDATE($D6,Milestones!$AA$88)&gt;=$S6),$V6,$U6)))=Milestones!$AB$88),UPPER(TEXT(EDATE($D6,Milestones!$AA$88),"dd mmm yy"))&amp;" "&amp;Milestones!$AB$88&amp;" "&amp;Milestones!$AC$88&amp;";  ","")&amp;IF(AND(EDATE($D6,Milestones!$AA$89)&lt;=AsOfDate,IF($R6=0,$X6,IF(AND($T6&lt;&gt;"",EDATE($D6,Milestones!$AA$89)&gt;=$T6),$W6,IF(AND($S6&lt;&gt;"",EDATE($D6,Milestones!$AA$89)&gt;=$S6),$V6,$U6)))=Milestones!$AB$89),UPPER(TEXT(EDATE($D6,Milestones!$AA$89),"dd mmm yy"))&amp;" "&amp;Milestones!$AB$89&amp;" "&amp;Milestones!$AC$89&amp;";  ","")&amp;IF(AND(EDATE($D6,Milestones!$AA$90)&lt;=AsOfDate,IF($R6=0,$X6,IF(AND($T6&lt;&gt;"",EDATE($D6,Milestones!$AA$90)&gt;=$T6),$W6,IF(AND($S6&lt;&gt;"",EDATE($D6,Milestones!$AA$90)&gt;=$S6),$V6,$U6)))=Milestones!$AB$90),UPPER(TEXT(EDATE($D6,Milestones!$AA$90),"dd mmm yy"))&amp;" "&amp;Milestones!$AB$90&amp;" "&amp;Milestones!$AC$90&amp;";  ","")&amp;IF(AND(EDATE($D6,Milestones!$AA$91)&lt;=AsOfDate,IF($R6=0,$X6,IF(AND($T6&lt;&gt;"",EDATE($D6,Milestones!$AA$91)&gt;=$T6),$W6,IF(AND($S6&lt;&gt;"",EDATE($D6,Milestones!$AA$91)&gt;=$S6),$V6,$U6)))=Milestones!$AB$91),UPPER(TEXT(EDATE($D6,Milestones!$AA$91),"dd mmm yy"))&amp;" "&amp;Milestones!$AB$91&amp;" "&amp;Milestones!$AC$91&amp;";  ","")&amp;IF(AND(EDATE($D6,Milestones!$AA$92)&lt;=AsOfDate,IF($R6=0,$X6,IF(AND($T6&lt;&gt;"",EDATE($D6,Milestones!$AA$92)&gt;=$T6),$W6,IF(AND($S6&lt;&gt;"",EDATE($D6,Milestones!$AA$92)&gt;=$S6),$V6,$U6)))=Milestones!$AB$92),UPPER(TEXT(EDATE($D6,Milestones!$AA$92),"dd mmm yy"))&amp;" "&amp;Milestones!$AB$92&amp;" "&amp;Milestones!$AC$92&amp;";  ","")&amp;IF(AND(EDATE($D6,Milestones!$AA$93)&lt;=AsOfDate,IF($R6=0,$X6,IF(AND($T6&lt;&gt;"",EDATE($D6,Milestones!$AA$93)&gt;=$T6),$W6,IF(AND($S6&lt;&gt;"",EDATE($D6,Milestones!$AA$93)&gt;=$S6),$V6,$U6)))=Milestones!$AB$93),UPPER(TEXT(EDATE($D6,Milestones!$AA$93),"dd mmm yy"))&amp;" "&amp;Milestones!$AB$93&amp;" "&amp;Milestones!$AC$93&amp;";  ","")&amp;IF(AND(EDATE($D6,Milestones!$AA$94)&lt;=AsOfDate,IF($R6=0,$X6,IF(AND($T6&lt;&gt;"",EDATE($D6,Milestones!$AA$94)&gt;=$T6),$W6,IF(AND($S6&lt;&gt;"",EDATE($D6,Milestones!$AA$94)&gt;=$S6),$V6,$U6)))=Milestones!$AB$94),UPPER(TEXT(EDATE($D6,Milestones!$AA$94),"dd mmm yy"))&amp;" "&amp;Milestones!$AB$94&amp;" "&amp;Milestones!$AC$94&amp;";  ","")&amp;IF(AND(EDATE($D6,Milestones!$AA$95)&lt;=AsOfDate,IF($R6=0,$X6,IF(AND($T6&lt;&gt;"",EDATE($D6,Milestones!$AA$95)&gt;=$T6),$W6,IF(AND($S6&lt;&gt;"",EDATE($D6,Milestones!$AA$95)&gt;=$S6),$V6,$U6)))=Milestones!$AB$95),UPPER(TEXT(EDATE($D6,Milestones!$AA$95),"dd mmm yy"))&amp;" "&amp;Milestones!$AB$95&amp;" "&amp;Milestones!$AC$95&amp;";  ","")&amp;IF(AND(EDATE($D6,Milestones!$AA$96)&lt;=AsOfDate,IF($R6=0,$X6,IF(AND($T6&lt;&gt;"",EDATE($D6,Milestones!$AA$96)&gt;=$T6),$W6,IF(AND($S6&lt;&gt;"",EDATE($D6,Milestones!$AA$96)&gt;=$S6),$V6,$U6)))=Milestones!$AB$96),UPPER(TEXT(EDATE($D6,Milestones!$AA$96),"dd mmm yy"))&amp;" "&amp;Milestones!$AB$96&amp;" "&amp;Milestones!$AC$96&amp;";  ","")&amp;IF(AND(EDATE($D6,Milestones!$AA$97)&lt;=AsOfDate,IF($R6=0,$X6,IF(AND($T6&lt;&gt;"",EDATE($D6,Milestones!$AA$97)&gt;=$T6),$W6,IF(AND($S6&lt;&gt;"",EDATE($D6,Milestones!$AA$97)&gt;=$S6),$V6,$U6)))=Milestones!$AB$97),UPPER(TEXT(EDATE($D6,Milestones!$AA$97),"dd mmm yy"))&amp;" "&amp;Milestones!$AB$97&amp;" "&amp;Milestones!$AC$97&amp;";  ","")&amp;IF(AND(EDATE($D6,Milestones!$AA$98)&lt;=AsOfDate,IF($R6=0,$X6,IF(AND($T6&lt;&gt;"",EDATE($D6,Milestones!$AA$98)&gt;=$T6),$W6,IF(AND($S6&lt;&gt;"",EDATE($D6,Milestones!$AA$98)&gt;=$S6),$V6,$U6)))=Milestones!$AB$98),UPPER(TEXT(EDATE($D6,Milestones!$AA$98),"dd mmm yy"))&amp;" "&amp;Milestones!$AB$98&amp;" "&amp;Milestones!$AC$98&amp;";  ","")&amp;IF(AND(EDATE($D6,Milestones!$AA$99)&lt;=AsOfDate,IF($R6=0,$X6,IF(AND($T6&lt;&gt;"",EDATE($D6,Milestones!$AA$99)&gt;=$T6),$W6,IF(AND($S6&lt;&gt;"",EDATE($D6,Milestones!$AA$99)&gt;=$S6),$V6,$U6)))=Milestones!$AB$99),UPPER(TEXT(EDATE($D6,Milestones!$AA$99),"dd mmm yy"))&amp;" "&amp;Milestones!$AB$99&amp;" "&amp;Milestones!$AC$99&amp;";  ",""))</f>
        <v/>
      </c>
      <c r="M6" s="0" t="str">
        <f aca="false">IF(OR($A6="",$D6=""),"",IF(AND(EDATE($D6,Milestones!$AA$100)&lt;=AsOfDate,IF($R6=0,$X6,IF(AND($T6&lt;&gt;"",EDATE($D6,Milestones!$AA$100)&gt;=$T6),$W6,IF(AND($S6&lt;&gt;"",EDATE($D6,Milestones!$AA$100)&gt;=$S6),$V6,$U6)))=Milestones!$AB$100),UPPER(TEXT(EDATE($D6,Milestones!$AA$100),"dd mmm yy"))&amp;" "&amp;Milestones!$AB$100&amp;" "&amp;Milestones!$AC$100&amp;";  ","")&amp;IF(AND(EDATE($D6,Milestones!$AA$101)&lt;=AsOfDate,IF($R6=0,$X6,IF(AND($T6&lt;&gt;"",EDATE($D6,Milestones!$AA$101)&gt;=$T6),$W6,IF(AND($S6&lt;&gt;"",EDATE($D6,Milestones!$AA$101)&gt;=$S6),$V6,$U6)))=Milestones!$AB$101),UPPER(TEXT(EDATE($D6,Milestones!$AA$101),"dd mmm yy"))&amp;" "&amp;Milestones!$AB$101&amp;" "&amp;Milestones!$AC$101&amp;";  ","")&amp;IF(AND(EDATE($D6,Milestones!$AA$102)&lt;=AsOfDate,IF($R6=0,$X6,IF(AND($T6&lt;&gt;"",EDATE($D6,Milestones!$AA$102)&gt;=$T6),$W6,IF(AND($S6&lt;&gt;"",EDATE($D6,Milestones!$AA$102)&gt;=$S6),$V6,$U6)))=Milestones!$AB$102),UPPER(TEXT(EDATE($D6,Milestones!$AA$102),"dd mmm yy"))&amp;" "&amp;Milestones!$AB$102&amp;" "&amp;Milestones!$AC$102&amp;";  ","")&amp;IF(AND(EDATE($D6,Milestones!$AA$103)&lt;=AsOfDate,IF($R6=0,$X6,IF(AND($T6&lt;&gt;"",EDATE($D6,Milestones!$AA$103)&gt;=$T6),$W6,IF(AND($S6&lt;&gt;"",EDATE($D6,Milestones!$AA$103)&gt;=$S6),$V6,$U6)))=Milestones!$AB$103),UPPER(TEXT(EDATE($D6,Milestones!$AA$103),"dd mmm yy"))&amp;" "&amp;Milestones!$AB$103&amp;" "&amp;Milestones!$AC$103&amp;";  ","")&amp;IF(AND(EDATE($D6,Milestones!$AA$104)&lt;=AsOfDate,IF($R6=0,$X6,IF(AND($T6&lt;&gt;"",EDATE($D6,Milestones!$AA$104)&gt;=$T6),$W6,IF(AND($S6&lt;&gt;"",EDATE($D6,Milestones!$AA$104)&gt;=$S6),$V6,$U6)))=Milestones!$AB$104),UPPER(TEXT(EDATE($D6,Milestones!$AA$104),"dd mmm yy"))&amp;" "&amp;Milestones!$AB$104&amp;" "&amp;Milestones!$AC$104&amp;";  ","")&amp;IF(AND(EDATE($D6,Milestones!$AA$105)&lt;=AsOfDate,IF($R6=0,$X6,IF(AND($T6&lt;&gt;"",EDATE($D6,Milestones!$AA$105)&gt;=$T6),$W6,IF(AND($S6&lt;&gt;"",EDATE($D6,Milestones!$AA$105)&gt;=$S6),$V6,$U6)))=Milestones!$AB$105),UPPER(TEXT(EDATE($D6,Milestones!$AA$105),"dd mmm yy"))&amp;" "&amp;Milestones!$AB$105&amp;" "&amp;Milestones!$AC$105&amp;";  ","")&amp;IF(AND(EDATE($D6,Milestones!$AA$106)&lt;=AsOfDate,IF($R6=0,$X6,IF(AND($T6&lt;&gt;"",EDATE($D6,Milestones!$AA$106)&gt;=$T6),$W6,IF(AND($S6&lt;&gt;"",EDATE($D6,Milestones!$AA$106)&gt;=$S6),$V6,$U6)))=Milestones!$AB$106),UPPER(TEXT(EDATE($D6,Milestones!$AA$106),"dd mmm yy"))&amp;" "&amp;Milestones!$AB$106&amp;" "&amp;Milestones!$AC$106&amp;";  ","")&amp;IF(AND(EDATE($D6,Milestones!$AA$107)&lt;=AsOfDate,IF($R6=0,$X6,IF(AND($T6&lt;&gt;"",EDATE($D6,Milestones!$AA$107)&gt;=$T6),$W6,IF(AND($S6&lt;&gt;"",EDATE($D6,Milestones!$AA$107)&gt;=$S6),$V6,$U6)))=Milestones!$AB$107),UPPER(TEXT(EDATE($D6,Milestones!$AA$107),"dd mmm yy"))&amp;" "&amp;Milestones!$AB$107&amp;" "&amp;Milestones!$AC$107&amp;";  ","")&amp;IF(AND(EDATE($D6,Milestones!$AA$108)&lt;=AsOfDate,IF($R6=0,$X6,IF(AND($T6&lt;&gt;"",EDATE($D6,Milestones!$AA$108)&gt;=$T6),$W6,IF(AND($S6&lt;&gt;"",EDATE($D6,Milestones!$AA$108)&gt;=$S6),$V6,$U6)))=Milestones!$AB$108),UPPER(TEXT(EDATE($D6,Milestones!$AA$108),"dd mmm yy"))&amp;" "&amp;Milestones!$AB$108&amp;" "&amp;Milestones!$AC$108&amp;";  ","")&amp;IF(AND(EDATE($D6,Milestones!$AA$109)&lt;=AsOfDate,IF($R6=0,$X6,IF(AND($T6&lt;&gt;"",EDATE($D6,Milestones!$AA$109)&gt;=$T6),$W6,IF(AND($S6&lt;&gt;"",EDATE($D6,Milestones!$AA$109)&gt;=$S6),$V6,$U6)))=Milestones!$AB$109),UPPER(TEXT(EDATE($D6,Milestones!$AA$109),"dd mmm yy"))&amp;" "&amp;Milestones!$AB$109&amp;" "&amp;Milestones!$AC$109&amp;";  ","")&amp;IF(AND(EDATE($D6,Milestones!$AA$110)&lt;=AsOfDate,IF($R6=0,$X6,IF(AND($T6&lt;&gt;"",EDATE($D6,Milestones!$AA$110)&gt;=$T6),$W6,IF(AND($S6&lt;&gt;"",EDATE($D6,Milestones!$AA$110)&gt;=$S6),$V6,$U6)))=Milestones!$AB$110),UPPER(TEXT(EDATE($D6,Milestones!$AA$110),"dd mmm yy"))&amp;" "&amp;Milestones!$AB$110&amp;" "&amp;Milestones!$AC$110&amp;";  ","")&amp;IF(AND(EDATE($D6,Milestones!$AA$111)&lt;=AsOfDate,IF($R6=0,$X6,IF(AND($T6&lt;&gt;"",EDATE($D6,Milestones!$AA$111)&gt;=$T6),$W6,IF(AND($S6&lt;&gt;"",EDATE($D6,Milestones!$AA$111)&gt;=$S6),$V6,$U6)))=Milestones!$AB$111),UPPER(TEXT(EDATE($D6,Milestones!$AA$111),"dd mmm yy"))&amp;" "&amp;Milestones!$AB$111&amp;" "&amp;Milestones!$AC$111&amp;";  ","")&amp;IF(AND(EDATE($D6,Milestones!$AA$112)&lt;=AsOfDate,IF($R6=0,$X6,IF(AND($T6&lt;&gt;"",EDATE($D6,Milestones!$AA$112)&gt;=$T6),$W6,IF(AND($S6&lt;&gt;"",EDATE($D6,Milestones!$AA$112)&gt;=$S6),$V6,$U6)))=Milestones!$AB$112),UPPER(TEXT(EDATE($D6,Milestones!$AA$112),"dd mmm yy"))&amp;" "&amp;Milestones!$AB$112&amp;" "&amp;Milestones!$AC$112&amp;";  ","")&amp;IF(AND(EDATE($D6,Milestones!$AA$113)&lt;=AsOfDate,IF($R6=0,$X6,IF(AND($T6&lt;&gt;"",EDATE($D6,Milestones!$AA$113)&gt;=$T6),$W6,IF(AND($S6&lt;&gt;"",EDATE($D6,Milestones!$AA$113)&gt;=$S6),$V6,$U6)))=Milestones!$AB$113),UPPER(TEXT(EDATE($D6,Milestones!$AA$113),"dd mmm yy"))&amp;" "&amp;Milestones!$AB$113&amp;" "&amp;Milestones!$AC$113&amp;";  ","")&amp;IF(AND(EDATE($D6,Milestones!$AA$114)&lt;=AsOfDate,IF($R6=0,$X6,IF(AND($T6&lt;&gt;"",EDATE($D6,Milestones!$AA$114)&gt;=$T6),$W6,IF(AND($S6&lt;&gt;"",EDATE($D6,Milestones!$AA$114)&gt;=$S6),$V6,$U6)))=Milestones!$AB$114),UPPER(TEXT(EDATE($D6,Milestones!$AA$114),"dd mmm yy"))&amp;" "&amp;Milestones!$AB$114&amp;" "&amp;Milestones!$AC$114&amp;";  ","")&amp;IF(AND(EDATE($D6,Milestones!$AA$115)&lt;=AsOfDate,IF($R6=0,$X6,IF(AND($T6&lt;&gt;"",EDATE($D6,Milestones!$AA$115)&gt;=$T6),$W6,IF(AND($S6&lt;&gt;"",EDATE($D6,Milestones!$AA$115)&gt;=$S6),$V6,$U6)))=Milestones!$AB$115),UPPER(TEXT(EDATE($D6,Milestones!$AA$115),"dd mmm yy"))&amp;" "&amp;Milestones!$AB$115&amp;" "&amp;Milestones!$AC$115&amp;";  ","")&amp;IF(AND(EDATE($D6,Milestones!$AA$116)&lt;=AsOfDate,IF($R6=0,$X6,IF(AND($T6&lt;&gt;"",EDATE($D6,Milestones!$AA$116)&gt;=$T6),$W6,IF(AND($S6&lt;&gt;"",EDATE($D6,Milestones!$AA$116)&gt;=$S6),$V6,$U6)))=Milestones!$AB$116),UPPER(TEXT(EDATE($D6,Milestones!$AA$116),"dd mmm yy"))&amp;" "&amp;Milestones!$AB$116&amp;" "&amp;Milestones!$AC$116&amp;";  ","")&amp;IF(AND(EDATE($D6,Milestones!$AA$117)&lt;=AsOfDate,IF($R6=0,$X6,IF(AND($T6&lt;&gt;"",EDATE($D6,Milestones!$AA$117)&gt;=$T6),$W6,IF(AND($S6&lt;&gt;"",EDATE($D6,Milestones!$AA$117)&gt;=$S6),$V6,$U6)))=Milestones!$AB$117),UPPER(TEXT(EDATE($D6,Milestones!$AA$117),"dd mmm yy"))&amp;" "&amp;Milestones!$AB$117&amp;" "&amp;Milestones!$AC$117&amp;";  ","")&amp;IF(AND(EDATE($D6,Milestones!$AA$118)&lt;=AsOfDate,IF($R6=0,$X6,IF(AND($T6&lt;&gt;"",EDATE($D6,Milestones!$AA$118)&gt;=$T6),$W6,IF(AND($S6&lt;&gt;"",EDATE($D6,Milestones!$AA$118)&gt;=$S6),$V6,$U6)))=Milestones!$AB$118),UPPER(TEXT(EDATE($D6,Milestones!$AA$118),"dd mmm yy"))&amp;" "&amp;Milestones!$AB$118&amp;" "&amp;Milestones!$AC$118&amp;";  ","")&amp;IF(AND(EDATE($D6,Milestones!$AA$119)&lt;=AsOfDate,IF($R6=0,$X6,IF(AND($T6&lt;&gt;"",EDATE($D6,Milestones!$AA$119)&gt;=$T6),$W6,IF(AND($S6&lt;&gt;"",EDATE($D6,Milestones!$AA$119)&gt;=$S6),$V6,$U6)))=Milestones!$AB$119),UPPER(TEXT(EDATE($D6,Milestones!$AA$119),"dd mmm yy"))&amp;" "&amp;Milestones!$AB$119&amp;" "&amp;Milestones!$AC$119&amp;";  ",""))</f>
        <v/>
      </c>
      <c r="N6" s="0" t="str">
        <f aca="false">IF(OR($A6="",$D6=""),"",IF(AND(EDATE($D6,Milestones!$AA$120)&lt;=AsOfDate,IF($R6=0,$X6,IF(AND($T6&lt;&gt;"",EDATE($D6,Milestones!$AA$120)&gt;=$T6),$W6,IF(AND($S6&lt;&gt;"",EDATE($D6,Milestones!$AA$120)&gt;=$S6),$V6,$U6)))=Milestones!$AB$120),UPPER(TEXT(EDATE($D6,Milestones!$AA$120),"dd mmm yy"))&amp;" "&amp;Milestones!$AB$120&amp;" "&amp;Milestones!$AC$120&amp;";  ","")&amp;IF(AND(EDATE($D6,Milestones!$AA$121)&lt;=AsOfDate,IF($R6=0,$X6,IF(AND($T6&lt;&gt;"",EDATE($D6,Milestones!$AA$121)&gt;=$T6),$W6,IF(AND($S6&lt;&gt;"",EDATE($D6,Milestones!$AA$121)&gt;=$S6),$V6,$U6)))=Milestones!$AB$121),UPPER(TEXT(EDATE($D6,Milestones!$AA$121),"dd mmm yy"))&amp;" "&amp;Milestones!$AB$121&amp;" "&amp;Milestones!$AC$121&amp;";  ","")&amp;IF(AND(EDATE($D6,Milestones!$AA$122)&lt;=AsOfDate,IF($R6=0,$X6,IF(AND($T6&lt;&gt;"",EDATE($D6,Milestones!$AA$122)&gt;=$T6),$W6,IF(AND($S6&lt;&gt;"",EDATE($D6,Milestones!$AA$122)&gt;=$S6),$V6,$U6)))=Milestones!$AB$122),UPPER(TEXT(EDATE($D6,Milestones!$AA$122),"dd mmm yy"))&amp;" "&amp;Milestones!$AB$122&amp;" "&amp;Milestones!$AC$122&amp;";  ","")&amp;IF(AND(EDATE($D6,Milestones!$AA$123)&lt;=AsOfDate,IF($R6=0,$X6,IF(AND($T6&lt;&gt;"",EDATE($D6,Milestones!$AA$123)&gt;=$T6),$W6,IF(AND($S6&lt;&gt;"",EDATE($D6,Milestones!$AA$123)&gt;=$S6),$V6,$U6)))=Milestones!$AB$123),UPPER(TEXT(EDATE($D6,Milestones!$AA$123),"dd mmm yy"))&amp;" "&amp;Milestones!$AB$123&amp;" "&amp;Milestones!$AC$123&amp;";  ","")&amp;IF(AND(EDATE($D6,Milestones!$AA$124)&lt;=AsOfDate,IF($R6=0,$X6,IF(AND($T6&lt;&gt;"",EDATE($D6,Milestones!$AA$124)&gt;=$T6),$W6,IF(AND($S6&lt;&gt;"",EDATE($D6,Milestones!$AA$124)&gt;=$S6),$V6,$U6)))=Milestones!$AB$124),UPPER(TEXT(EDATE($D6,Milestones!$AA$124),"dd mmm yy"))&amp;" "&amp;Milestones!$AB$124&amp;" "&amp;Milestones!$AC$124&amp;";  ","")&amp;IF(AND(EDATE($D6,Milestones!$AA$125)&lt;=AsOfDate,IF($R6=0,$X6,IF(AND($T6&lt;&gt;"",EDATE($D6,Milestones!$AA$125)&gt;=$T6),$W6,IF(AND($S6&lt;&gt;"",EDATE($D6,Milestones!$AA$125)&gt;=$S6),$V6,$U6)))=Milestones!$AB$125),UPPER(TEXT(EDATE($D6,Milestones!$AA$125),"dd mmm yy"))&amp;" "&amp;Milestones!$AB$125&amp;" "&amp;Milestones!$AC$125&amp;";  ","")&amp;IF(AND(EDATE($D6,Milestones!$AA$126)&lt;=AsOfDate,IF($R6=0,$X6,IF(AND($T6&lt;&gt;"",EDATE($D6,Milestones!$AA$126)&gt;=$T6),$W6,IF(AND($S6&lt;&gt;"",EDATE($D6,Milestones!$AA$126)&gt;=$S6),$V6,$U6)))=Milestones!$AB$126),UPPER(TEXT(EDATE($D6,Milestones!$AA$126),"dd mmm yy"))&amp;" "&amp;Milestones!$AB$126&amp;" "&amp;Milestones!$AC$126&amp;";  ","")&amp;IF(AND(EDATE($D6,Milestones!$AA$127)&lt;=AsOfDate,IF($R6=0,$X6,IF(AND($T6&lt;&gt;"",EDATE($D6,Milestones!$AA$127)&gt;=$T6),$W6,IF(AND($S6&lt;&gt;"",EDATE($D6,Milestones!$AA$127)&gt;=$S6),$V6,$U6)))=Milestones!$AB$127),UPPER(TEXT(EDATE($D6,Milestones!$AA$127),"dd mmm yy"))&amp;" "&amp;Milestones!$AB$127&amp;" "&amp;Milestones!$AC$127&amp;";  ","")&amp;IF(AND(EDATE($D6,Milestones!$AA$128)&lt;=AsOfDate,IF($R6=0,$X6,IF(AND($T6&lt;&gt;"",EDATE($D6,Milestones!$AA$128)&gt;=$T6),$W6,IF(AND($S6&lt;&gt;"",EDATE($D6,Milestones!$AA$128)&gt;=$S6),$V6,$U6)))=Milestones!$AB$128),UPPER(TEXT(EDATE($D6,Milestones!$AA$128),"dd mmm yy"))&amp;" "&amp;Milestones!$AB$128&amp;" "&amp;Milestones!$AC$128&amp;";  ","")&amp;IF(AND(EDATE($D6,Milestones!$AA$129)&lt;=AsOfDate,IF($R6=0,$X6,IF(AND($T6&lt;&gt;"",EDATE($D6,Milestones!$AA$129)&gt;=$T6),$W6,IF(AND($S6&lt;&gt;"",EDATE($D6,Milestones!$AA$129)&gt;=$S6),$V6,$U6)))=Milestones!$AB$129),UPPER(TEXT(EDATE($D6,Milestones!$AA$129),"dd mmm yy"))&amp;" "&amp;Milestones!$AB$129&amp;" "&amp;Milestones!$AC$129&amp;";  ","")&amp;IF(AND(EDATE($D6,Milestones!$AA$130)&lt;=AsOfDate,IF($R6=0,$X6,IF(AND($T6&lt;&gt;"",EDATE($D6,Milestones!$AA$130)&gt;=$T6),$W6,IF(AND($S6&lt;&gt;"",EDATE($D6,Milestones!$AA$130)&gt;=$S6),$V6,$U6)))=Milestones!$AB$130),UPPER(TEXT(EDATE($D6,Milestones!$AA$130),"dd mmm yy"))&amp;" "&amp;Milestones!$AB$130&amp;" "&amp;Milestones!$AC$130&amp;";  ","")&amp;IF(AND(EDATE($D6,Milestones!$AA$131)&lt;=AsOfDate,IF($R6=0,$X6,IF(AND($T6&lt;&gt;"",EDATE($D6,Milestones!$AA$131)&gt;=$T6),$W6,IF(AND($S6&lt;&gt;"",EDATE($D6,Milestones!$AA$131)&gt;=$S6),$V6,$U6)))=Milestones!$AB$131),UPPER(TEXT(EDATE($D6,Milestones!$AA$131),"dd mmm yy"))&amp;" "&amp;Milestones!$AB$131&amp;" "&amp;Milestones!$AC$131&amp;";  ","")&amp;IF(AND(EDATE($D6,Milestones!$AA$132)&lt;=AsOfDate,IF($R6=0,$X6,IF(AND($T6&lt;&gt;"",EDATE($D6,Milestones!$AA$132)&gt;=$T6),$W6,IF(AND($S6&lt;&gt;"",EDATE($D6,Milestones!$AA$132)&gt;=$S6),$V6,$U6)))=Milestones!$AB$132),UPPER(TEXT(EDATE($D6,Milestones!$AA$132),"dd mmm yy"))&amp;" "&amp;Milestones!$AB$132&amp;" "&amp;Milestones!$AC$132&amp;";  ","")&amp;IF(AND(EDATE($D6,Milestones!$AA$133)&lt;=AsOfDate,IF($R6=0,$X6,IF(AND($T6&lt;&gt;"",EDATE($D6,Milestones!$AA$133)&gt;=$T6),$W6,IF(AND($S6&lt;&gt;"",EDATE($D6,Milestones!$AA$133)&gt;=$S6),$V6,$U6)))=Milestones!$AB$133),UPPER(TEXT(EDATE($D6,Milestones!$AA$133),"dd mmm yy"))&amp;" "&amp;Milestones!$AB$133&amp;" "&amp;Milestones!$AC$133&amp;";  ","")&amp;IF(AND(EDATE($D6,Milestones!$AA$134)&lt;=AsOfDate,IF($R6=0,$X6,IF(AND($T6&lt;&gt;"",EDATE($D6,Milestones!$AA$134)&gt;=$T6),$W6,IF(AND($S6&lt;&gt;"",EDATE($D6,Milestones!$AA$134)&gt;=$S6),$V6,$U6)))=Milestones!$AB$134),UPPER(TEXT(EDATE($D6,Milestones!$AA$134),"dd mmm yy"))&amp;" "&amp;Milestones!$AB$134&amp;" "&amp;Milestones!$AC$134&amp;";  ","")&amp;IF(AND(EDATE($D6,Milestones!$AA$135)&lt;=AsOfDate,IF($R6=0,$X6,IF(AND($T6&lt;&gt;"",EDATE($D6,Milestones!$AA$135)&gt;=$T6),$W6,IF(AND($S6&lt;&gt;"",EDATE($D6,Milestones!$AA$135)&gt;=$S6),$V6,$U6)))=Milestones!$AB$135),UPPER(TEXT(EDATE($D6,Milestones!$AA$135),"dd mmm yy"))&amp;" "&amp;Milestones!$AB$135&amp;" "&amp;Milestones!$AC$135&amp;";  ","")&amp;IF(AND(EDATE($D6,Milestones!$AA$136)&lt;=AsOfDate,IF($R6=0,$X6,IF(AND($T6&lt;&gt;"",EDATE($D6,Milestones!$AA$136)&gt;=$T6),$W6,IF(AND($S6&lt;&gt;"",EDATE($D6,Milestones!$AA$136)&gt;=$S6),$V6,$U6)))=Milestones!$AB$136),UPPER(TEXT(EDATE($D6,Milestones!$AA$136),"dd mmm yy"))&amp;" "&amp;Milestones!$AB$136&amp;" "&amp;Milestones!$AC$136&amp;";  ","")&amp;IF(AND(EDATE($D6,Milestones!$AA$137)&lt;=AsOfDate,IF($R6=0,$X6,IF(AND($T6&lt;&gt;"",EDATE($D6,Milestones!$AA$137)&gt;=$T6),$W6,IF(AND($S6&lt;&gt;"",EDATE($D6,Milestones!$AA$137)&gt;=$S6),$V6,$U6)))=Milestones!$AB$137),UPPER(TEXT(EDATE($D6,Milestones!$AA$137),"dd mmm yy"))&amp;" "&amp;Milestones!$AB$137&amp;" "&amp;Milestones!$AC$137&amp;";  ","")&amp;IF(AND(EDATE($D6,Milestones!$AA$138)&lt;=AsOfDate,IF($R6=0,$X6,IF(AND($T6&lt;&gt;"",EDATE($D6,Milestones!$AA$138)&gt;=$T6),$W6,IF(AND($S6&lt;&gt;"",EDATE($D6,Milestones!$AA$138)&gt;=$S6),$V6,$U6)))=Milestones!$AB$138),UPPER(TEXT(EDATE($D6,Milestones!$AA$138),"dd mmm yy"))&amp;" "&amp;Milestones!$AB$138&amp;" "&amp;Milestones!$AC$138&amp;";  ","")&amp;IF(AND(EDATE($D6,Milestones!$AA$139)&lt;=AsOfDate,IF($R6=0,$X6,IF(AND($T6&lt;&gt;"",EDATE($D6,Milestones!$AA$139)&gt;=$T6),$W6,IF(AND($S6&lt;&gt;"",EDATE($D6,Milestones!$AA$139)&gt;=$S6),$V6,$U6)))=Milestones!$AB$139),UPPER(TEXT(EDATE($D6,Milestones!$AA$139),"dd mmm yy"))&amp;" "&amp;Milestones!$AB$139&amp;" "&amp;Milestones!$AC$139&amp;";  ",""))</f>
        <v/>
      </c>
      <c r="O6" s="0" t="str">
        <f aca="false">IF(OR($A6="",$D6=""),"",IF(AND(EDATE($D6,Milestones!$AA$140)&lt;=AsOfDate,IF($R6=0,$X6,IF(AND($T6&lt;&gt;"",EDATE($D6,Milestones!$AA$140)&gt;=$T6),$W6,IF(AND($S6&lt;&gt;"",EDATE($D6,Milestones!$AA$140)&gt;=$S6),$V6,$U6)))=Milestones!$AB$140),UPPER(TEXT(EDATE($D6,Milestones!$AA$140),"dd mmm yy"))&amp;" "&amp;Milestones!$AB$140&amp;" "&amp;Milestones!$AC$140&amp;";  ","")&amp;IF(AND(EDATE($D6,Milestones!$AA$141)&lt;=AsOfDate,IF($R6=0,$X6,IF(AND($T6&lt;&gt;"",EDATE($D6,Milestones!$AA$141)&gt;=$T6),$W6,IF(AND($S6&lt;&gt;"",EDATE($D6,Milestones!$AA$141)&gt;=$S6),$V6,$U6)))=Milestones!$AB$141),UPPER(TEXT(EDATE($D6,Milestones!$AA$141),"dd mmm yy"))&amp;" "&amp;Milestones!$AB$141&amp;" "&amp;Milestones!$AC$141&amp;";  ","")&amp;IF(AND(EDATE($D6,Milestones!$AA$142)&lt;=AsOfDate,IF($R6=0,$X6,IF(AND($T6&lt;&gt;"",EDATE($D6,Milestones!$AA$142)&gt;=$T6),$W6,IF(AND($S6&lt;&gt;"",EDATE($D6,Milestones!$AA$142)&gt;=$S6),$V6,$U6)))=Milestones!$AB$142),UPPER(TEXT(EDATE($D6,Milestones!$AA$142),"dd mmm yy"))&amp;" "&amp;Milestones!$AB$142&amp;" "&amp;Milestones!$AC$142&amp;";  ","")&amp;IF(AND(EDATE($D6,Milestones!$AA$143)&lt;=AsOfDate,IF($R6=0,$X6,IF(AND($T6&lt;&gt;"",EDATE($D6,Milestones!$AA$143)&gt;=$T6),$W6,IF(AND($S6&lt;&gt;"",EDATE($D6,Milestones!$AA$143)&gt;=$S6),$V6,$U6)))=Milestones!$AB$143),UPPER(TEXT(EDATE($D6,Milestones!$AA$143),"dd mmm yy"))&amp;" "&amp;Milestones!$AB$143&amp;" "&amp;Milestones!$AC$143&amp;";  ","")&amp;IF(AND(EDATE($D6,Milestones!$AA$144)&lt;=AsOfDate,IF($R6=0,$X6,IF(AND($T6&lt;&gt;"",EDATE($D6,Milestones!$AA$144)&gt;=$T6),$W6,IF(AND($S6&lt;&gt;"",EDATE($D6,Milestones!$AA$144)&gt;=$S6),$V6,$U6)))=Milestones!$AB$144),UPPER(TEXT(EDATE($D6,Milestones!$AA$144),"dd mmm yy"))&amp;" "&amp;Milestones!$AB$144&amp;" "&amp;Milestones!$AC$144&amp;";  ","")&amp;IF(AND(EDATE($D6,Milestones!$AA$145)&lt;=AsOfDate,IF($R6=0,$X6,IF(AND($T6&lt;&gt;"",EDATE($D6,Milestones!$AA$145)&gt;=$T6),$W6,IF(AND($S6&lt;&gt;"",EDATE($D6,Milestones!$AA$145)&gt;=$S6),$V6,$U6)))=Milestones!$AB$145),UPPER(TEXT(EDATE($D6,Milestones!$AA$145),"dd mmm yy"))&amp;" "&amp;Milestones!$AB$145&amp;" "&amp;Milestones!$AC$145&amp;";  ","")&amp;IF(AND(EDATE($D6,Milestones!$AA$146)&lt;=AsOfDate,IF($R6=0,$X6,IF(AND($T6&lt;&gt;"",EDATE($D6,Milestones!$AA$146)&gt;=$T6),$W6,IF(AND($S6&lt;&gt;"",EDATE($D6,Milestones!$AA$146)&gt;=$S6),$V6,$U6)))=Milestones!$AB$146),UPPER(TEXT(EDATE($D6,Milestones!$AA$146),"dd mmm yy"))&amp;" "&amp;Milestones!$AB$146&amp;" "&amp;Milestones!$AC$146&amp;";  ","")&amp;IF(AND(EDATE($D6,Milestones!$AA$147)&lt;=AsOfDate,IF($R6=0,$X6,IF(AND($T6&lt;&gt;"",EDATE($D6,Milestones!$AA$147)&gt;=$T6),$W6,IF(AND($S6&lt;&gt;"",EDATE($D6,Milestones!$AA$147)&gt;=$S6),$V6,$U6)))=Milestones!$AB$147),UPPER(TEXT(EDATE($D6,Milestones!$AA$147),"dd mmm yy"))&amp;" "&amp;Milestones!$AB$147&amp;" "&amp;Milestones!$AC$147&amp;";  ","")&amp;IF(AND(EDATE($D6,Milestones!$AA$148)&lt;=AsOfDate,IF($R6=0,$X6,IF(AND($T6&lt;&gt;"",EDATE($D6,Milestones!$AA$148)&gt;=$T6),$W6,IF(AND($S6&lt;&gt;"",EDATE($D6,Milestones!$AA$148)&gt;=$S6),$V6,$U6)))=Milestones!$AB$148),UPPER(TEXT(EDATE($D6,Milestones!$AA$148),"dd mmm yy"))&amp;" "&amp;Milestones!$AB$148&amp;" "&amp;Milestones!$AC$148&amp;";  ","")&amp;IF(AND(EDATE($D6,Milestones!$AA$149)&lt;=AsOfDate,IF($R6=0,$X6,IF(AND($T6&lt;&gt;"",EDATE($D6,Milestones!$AA$149)&gt;=$T6),$W6,IF(AND($S6&lt;&gt;"",EDATE($D6,Milestones!$AA$149)&gt;=$S6),$V6,$U6)))=Milestones!$AB$149),UPPER(TEXT(EDATE($D6,Milestones!$AA$149),"dd mmm yy"))&amp;" "&amp;Milestones!$AB$149&amp;" "&amp;Milestones!$AC$149&amp;";  ","")&amp;IF(AND(EDATE($D6,Milestones!$AA$150)&lt;=AsOfDate,IF($R6=0,$X6,IF(AND($T6&lt;&gt;"",EDATE($D6,Milestones!$AA$150)&gt;=$T6),$W6,IF(AND($S6&lt;&gt;"",EDATE($D6,Milestones!$AA$150)&gt;=$S6),$V6,$U6)))=Milestones!$AB$150),UPPER(TEXT(EDATE($D6,Milestones!$AA$150),"dd mmm yy"))&amp;" "&amp;Milestones!$AB$150&amp;" "&amp;Milestones!$AC$150&amp;";  ","")&amp;IF(AND(EDATE($D6,Milestones!$AA$151)&lt;=AsOfDate,IF($R6=0,$X6,IF(AND($T6&lt;&gt;"",EDATE($D6,Milestones!$AA$151)&gt;=$T6),$W6,IF(AND($S6&lt;&gt;"",EDATE($D6,Milestones!$AA$151)&gt;=$S6),$V6,$U6)))=Milestones!$AB$151),UPPER(TEXT(EDATE($D6,Milestones!$AA$151),"dd mmm yy"))&amp;" "&amp;Milestones!$AB$151&amp;" "&amp;Milestones!$AC$151&amp;";  ","")&amp;IF(AND(EDATE($D6,Milestones!$AA$152)&lt;=AsOfDate,IF($R6=0,$X6,IF(AND($T6&lt;&gt;"",EDATE($D6,Milestones!$AA$152)&gt;=$T6),$W6,IF(AND($S6&lt;&gt;"",EDATE($D6,Milestones!$AA$152)&gt;=$S6),$V6,$U6)))=Milestones!$AB$152),UPPER(TEXT(EDATE($D6,Milestones!$AA$152),"dd mmm yy"))&amp;" "&amp;Milestones!$AB$152&amp;" "&amp;Milestones!$AC$152&amp;";  ","")&amp;IF(AND(EDATE($D6,Milestones!$AA$153)&lt;=AsOfDate,IF($R6=0,$X6,IF(AND($T6&lt;&gt;"",EDATE($D6,Milestones!$AA$153)&gt;=$T6),$W6,IF(AND($S6&lt;&gt;"",EDATE($D6,Milestones!$AA$153)&gt;=$S6),$V6,$U6)))=Milestones!$AB$153),UPPER(TEXT(EDATE($D6,Milestones!$AA$153),"dd mmm yy"))&amp;" "&amp;Milestones!$AB$153&amp;" "&amp;Milestones!$AC$153&amp;";  ","")&amp;IF(AND(EDATE($D6,Milestones!$AA$154)&lt;=AsOfDate,IF($R6=0,$X6,IF(AND($T6&lt;&gt;"",EDATE($D6,Milestones!$AA$154)&gt;=$T6),$W6,IF(AND($S6&lt;&gt;"",EDATE($D6,Milestones!$AA$154)&gt;=$S6),$V6,$U6)))=Milestones!$AB$154),UPPER(TEXT(EDATE($D6,Milestones!$AA$154),"dd mmm yy"))&amp;" "&amp;Milestones!$AB$154&amp;" "&amp;Milestones!$AC$154&amp;";  ","")&amp;IF(AND(EDATE($D6,Milestones!$AA$155)&lt;=AsOfDate,IF($R6=0,$X6,IF(AND($T6&lt;&gt;"",EDATE($D6,Milestones!$AA$155)&gt;=$T6),$W6,IF(AND($S6&lt;&gt;"",EDATE($D6,Milestones!$AA$155)&gt;=$S6),$V6,$U6)))=Milestones!$AB$155),UPPER(TEXT(EDATE($D6,Milestones!$AA$155),"dd mmm yy"))&amp;" "&amp;Milestones!$AB$155&amp;" "&amp;Milestones!$AC$155&amp;";  ","")&amp;IF(AND(EDATE($D6,Milestones!$AA$156)&lt;=AsOfDate,IF($R6=0,$X6,IF(AND($T6&lt;&gt;"",EDATE($D6,Milestones!$AA$156)&gt;=$T6),$W6,IF(AND($S6&lt;&gt;"",EDATE($D6,Milestones!$AA$156)&gt;=$S6),$V6,$U6)))=Milestones!$AB$156),UPPER(TEXT(EDATE($D6,Milestones!$AA$156),"dd mmm yy"))&amp;" "&amp;Milestones!$AB$156&amp;" "&amp;Milestones!$AC$156&amp;";  ","")&amp;IF(AND(EDATE($D6,Milestones!$AA$157)&lt;=AsOfDate,IF($R6=0,$X6,IF(AND($T6&lt;&gt;"",EDATE($D6,Milestones!$AA$157)&gt;=$T6),$W6,IF(AND($S6&lt;&gt;"",EDATE($D6,Milestones!$AA$157)&gt;=$S6),$V6,$U6)))=Milestones!$AB$157),UPPER(TEXT(EDATE($D6,Milestones!$AA$157),"dd mmm yy"))&amp;" "&amp;Milestones!$AB$157&amp;" "&amp;Milestones!$AC$157&amp;";  ","")&amp;IF(AND(EDATE($D6,Milestones!$AA$158)&lt;=AsOfDate,IF($R6=0,$X6,IF(AND($T6&lt;&gt;"",EDATE($D6,Milestones!$AA$158)&gt;=$T6),$W6,IF(AND($S6&lt;&gt;"",EDATE($D6,Milestones!$AA$158)&gt;=$S6),$V6,$U6)))=Milestones!$AB$158),UPPER(TEXT(EDATE($D6,Milestones!$AA$158),"dd mmm yy"))&amp;" "&amp;Milestones!$AB$158&amp;" "&amp;Milestones!$AC$158&amp;";  ","")&amp;IF(AND(EDATE($D6,Milestones!$AA$159)&lt;=AsOfDate,IF($R6=0,$X6,IF(AND($T6&lt;&gt;"",EDATE($D6,Milestones!$AA$159)&gt;=$T6),$W6,IF(AND($S6&lt;&gt;"",EDATE($D6,Milestones!$AA$159)&gt;=$S6),$V6,$U6)))=Milestones!$AB$159),UPPER(TEXT(EDATE($D6,Milestones!$AA$159),"dd mmm yy"))&amp;" "&amp;Milestones!$AB$159&amp;" "&amp;Milestones!$AC$159&amp;";  ",""))</f>
        <v/>
      </c>
      <c r="P6" s="0" t="str">
        <f aca="false">IF(OR($A6="",$D6=""),"",IF(AND(EDATE($D6,Milestones!$AA$160)&lt;=AsOfDate,IF($R6=0,$X6,IF(AND($T6&lt;&gt;"",EDATE($D6,Milestones!$AA$160)&gt;=$T6),$W6,IF(AND($S6&lt;&gt;"",EDATE($D6,Milestones!$AA$160)&gt;=$S6),$V6,$U6)))=Milestones!$AB$160),UPPER(TEXT(EDATE($D6,Milestones!$AA$160),"dd mmm yy"))&amp;" "&amp;Milestones!$AB$160&amp;" "&amp;Milestones!$AC$160&amp;";  ","")&amp;IF(AND(EDATE($D6,Milestones!$AA$161)&lt;=AsOfDate,IF($R6=0,$X6,IF(AND($T6&lt;&gt;"",EDATE($D6,Milestones!$AA$161)&gt;=$T6),$W6,IF(AND($S6&lt;&gt;"",EDATE($D6,Milestones!$AA$161)&gt;=$S6),$V6,$U6)))=Milestones!$AB$161),UPPER(TEXT(EDATE($D6,Milestones!$AA$161),"dd mmm yy"))&amp;" "&amp;Milestones!$AB$161&amp;" "&amp;Milestones!$AC$161&amp;";  ","")&amp;IF(AND(EDATE($D6,Milestones!$AA$162)&lt;=AsOfDate,IF($R6=0,$X6,IF(AND($T6&lt;&gt;"",EDATE($D6,Milestones!$AA$162)&gt;=$T6),$W6,IF(AND($S6&lt;&gt;"",EDATE($D6,Milestones!$AA$162)&gt;=$S6),$V6,$U6)))=Milestones!$AB$162),UPPER(TEXT(EDATE($D6,Milestones!$AA$162),"dd mmm yy"))&amp;" "&amp;Milestones!$AB$162&amp;" "&amp;Milestones!$AC$162&amp;";  ","")&amp;IF(AND(EDATE($D6,Milestones!$AA$163)&lt;=AsOfDate,IF($R6=0,$X6,IF(AND($T6&lt;&gt;"",EDATE($D6,Milestones!$AA$163)&gt;=$T6),$W6,IF(AND($S6&lt;&gt;"",EDATE($D6,Milestones!$AA$163)&gt;=$S6),$V6,$U6)))=Milestones!$AB$163),UPPER(TEXT(EDATE($D6,Milestones!$AA$163),"dd mmm yy"))&amp;" "&amp;Milestones!$AB$163&amp;" "&amp;Milestones!$AC$163&amp;";  ","")&amp;IF(AND(EDATE($D6,Milestones!$AA$164)&lt;=AsOfDate,IF($R6=0,$X6,IF(AND($T6&lt;&gt;"",EDATE($D6,Milestones!$AA$164)&gt;=$T6),$W6,IF(AND($S6&lt;&gt;"",EDATE($D6,Milestones!$AA$164)&gt;=$S6),$V6,$U6)))=Milestones!$AB$164),UPPER(TEXT(EDATE($D6,Milestones!$AA$164),"dd mmm yy"))&amp;" "&amp;Milestones!$AB$164&amp;" "&amp;Milestones!$AC$164&amp;";  ","")&amp;IF(AND(EDATE($D6,Milestones!$AA$165)&lt;=AsOfDate,IF($R6=0,$X6,IF(AND($T6&lt;&gt;"",EDATE($D6,Milestones!$AA$165)&gt;=$T6),$W6,IF(AND($S6&lt;&gt;"",EDATE($D6,Milestones!$AA$165)&gt;=$S6),$V6,$U6)))=Milestones!$AB$165),UPPER(TEXT(EDATE($D6,Milestones!$AA$165),"dd mmm yy"))&amp;" "&amp;Milestones!$AB$165&amp;" "&amp;Milestones!$AC$165&amp;";  ","")&amp;IF(AND(EDATE($D6,Milestones!$AA$166)&lt;=AsOfDate,IF($R6=0,$X6,IF(AND($T6&lt;&gt;"",EDATE($D6,Milestones!$AA$166)&gt;=$T6),$W6,IF(AND($S6&lt;&gt;"",EDATE($D6,Milestones!$AA$166)&gt;=$S6),$V6,$U6)))=Milestones!$AB$166),UPPER(TEXT(EDATE($D6,Milestones!$AA$166),"dd mmm yy"))&amp;" "&amp;Milestones!$AB$166&amp;" "&amp;Milestones!$AC$166&amp;";  ","")&amp;IF(AND(EDATE($D6,Milestones!$AA$167)&lt;=AsOfDate,IF($R6=0,$X6,IF(AND($T6&lt;&gt;"",EDATE($D6,Milestones!$AA$167)&gt;=$T6),$W6,IF(AND($S6&lt;&gt;"",EDATE($D6,Milestones!$AA$167)&gt;=$S6),$V6,$U6)))=Milestones!$AB$167),UPPER(TEXT(EDATE($D6,Milestones!$AA$167),"dd mmm yy"))&amp;" "&amp;Milestones!$AB$167&amp;" "&amp;Milestones!$AC$167&amp;";  ","")&amp;IF(AND(EDATE($D6,Milestones!$AA$168)&lt;=AsOfDate,IF($R6=0,$X6,IF(AND($T6&lt;&gt;"",EDATE($D6,Milestones!$AA$168)&gt;=$T6),$W6,IF(AND($S6&lt;&gt;"",EDATE($D6,Milestones!$AA$168)&gt;=$S6),$V6,$U6)))=Milestones!$AB$168),UPPER(TEXT(EDATE($D6,Milestones!$AA$168),"dd mmm yy"))&amp;" "&amp;Milestones!$AB$168&amp;" "&amp;Milestones!$AC$168&amp;";  ","")&amp;IF(AND(EDATE($D6,Milestones!$AA$169)&lt;=AsOfDate,IF($R6=0,$X6,IF(AND($T6&lt;&gt;"",EDATE($D6,Milestones!$AA$169)&gt;=$T6),$W6,IF(AND($S6&lt;&gt;"",EDATE($D6,Milestones!$AA$169)&gt;=$S6),$V6,$U6)))=Milestones!$AB$169),UPPER(TEXT(EDATE($D6,Milestones!$AA$169),"dd mmm yy"))&amp;" "&amp;Milestones!$AB$169&amp;" "&amp;Milestones!$AC$169&amp;";  ","")&amp;IF(AND(EDATE($D6,Milestones!$AA$170)&lt;=AsOfDate,IF($R6=0,$X6,IF(AND($T6&lt;&gt;"",EDATE($D6,Milestones!$AA$170)&gt;=$T6),$W6,IF(AND($S6&lt;&gt;"",EDATE($D6,Milestones!$AA$170)&gt;=$S6),$V6,$U6)))=Milestones!$AB$170),UPPER(TEXT(EDATE($D6,Milestones!$AA$170),"dd mmm yy"))&amp;" "&amp;Milestones!$AB$170&amp;" "&amp;Milestones!$AC$170&amp;";  ","")&amp;IF(AND(EDATE($D6,Milestones!$AA$171)&lt;=AsOfDate,IF($R6=0,$X6,IF(AND($T6&lt;&gt;"",EDATE($D6,Milestones!$AA$171)&gt;=$T6),$W6,IF(AND($S6&lt;&gt;"",EDATE($D6,Milestones!$AA$171)&gt;=$S6),$V6,$U6)))=Milestones!$AB$171),UPPER(TEXT(EDATE($D6,Milestones!$AA$171),"dd mmm yy"))&amp;" "&amp;Milestones!$AB$171&amp;" "&amp;Milestones!$AC$171&amp;";  ","")&amp;IF(AND(EDATE($D6,Milestones!$AA$172)&lt;=AsOfDate,IF($R6=0,$X6,IF(AND($T6&lt;&gt;"",EDATE($D6,Milestones!$AA$172)&gt;=$T6),$W6,IF(AND($S6&lt;&gt;"",EDATE($D6,Milestones!$AA$172)&gt;=$S6),$V6,$U6)))=Milestones!$AB$172),UPPER(TEXT(EDATE($D6,Milestones!$AA$172),"dd mmm yy"))&amp;" "&amp;Milestones!$AB$172&amp;" "&amp;Milestones!$AC$172&amp;";  ","")&amp;IF(AND(EDATE($D6,Milestones!$AA$173)&lt;=AsOfDate,IF($R6=0,$X6,IF(AND($T6&lt;&gt;"",EDATE($D6,Milestones!$AA$173)&gt;=$T6),$W6,IF(AND($S6&lt;&gt;"",EDATE($D6,Milestones!$AA$173)&gt;=$S6),$V6,$U6)))=Milestones!$AB$173),UPPER(TEXT(EDATE($D6,Milestones!$AA$173),"dd mmm yy"))&amp;" "&amp;Milestones!$AB$173&amp;" "&amp;Milestones!$AC$173&amp;";  ","")&amp;IF(AND(EDATE($D6,Milestones!$AA$174)&lt;=AsOfDate,IF($R6=0,$X6,IF(AND($T6&lt;&gt;"",EDATE($D6,Milestones!$AA$174)&gt;=$T6),$W6,IF(AND($S6&lt;&gt;"",EDATE($D6,Milestones!$AA$174)&gt;=$S6),$V6,$U6)))=Milestones!$AB$174),UPPER(TEXT(EDATE($D6,Milestones!$AA$174),"dd mmm yy"))&amp;" "&amp;Milestones!$AB$174&amp;" "&amp;Milestones!$AC$174&amp;";  ","")&amp;IF(AND(EDATE($D6,Milestones!$AA$175)&lt;=AsOfDate,IF($R6=0,$X6,IF(AND($T6&lt;&gt;"",EDATE($D6,Milestones!$AA$175)&gt;=$T6),$W6,IF(AND($S6&lt;&gt;"",EDATE($D6,Milestones!$AA$175)&gt;=$S6),$V6,$U6)))=Milestones!$AB$175),UPPER(TEXT(EDATE($D6,Milestones!$AA$175),"dd mmm yy"))&amp;" "&amp;Milestones!$AB$175&amp;" "&amp;Milestones!$AC$175&amp;";  ","")&amp;IF(AND(EDATE($D6,Milestones!$AA$176)&lt;=AsOfDate,IF($R6=0,$X6,IF(AND($T6&lt;&gt;"",EDATE($D6,Milestones!$AA$176)&gt;=$T6),$W6,IF(AND($S6&lt;&gt;"",EDATE($D6,Milestones!$AA$176)&gt;=$S6),$V6,$U6)))=Milestones!$AB$176),UPPER(TEXT(EDATE($D6,Milestones!$AA$176),"dd mmm yy"))&amp;" "&amp;Milestones!$AB$176&amp;" "&amp;Milestones!$AC$176&amp;";  ","")&amp;IF(AND(EDATE($D6,Milestones!$AA$177)&lt;=AsOfDate,IF($R6=0,$X6,IF(AND($T6&lt;&gt;"",EDATE($D6,Milestones!$AA$177)&gt;=$T6),$W6,IF(AND($S6&lt;&gt;"",EDATE($D6,Milestones!$AA$177)&gt;=$S6),$V6,$U6)))=Milestones!$AB$177),UPPER(TEXT(EDATE($D6,Milestones!$AA$177),"dd mmm yy"))&amp;" "&amp;Milestones!$AB$177&amp;" "&amp;Milestones!$AC$177&amp;";  ","")&amp;IF(AND(EDATE($D6,Milestones!$AA$178)&lt;=AsOfDate,IF($R6=0,$X6,IF(AND($T6&lt;&gt;"",EDATE($D6,Milestones!$AA$178)&gt;=$T6),$W6,IF(AND($S6&lt;&gt;"",EDATE($D6,Milestones!$AA$178)&gt;=$S6),$V6,$U6)))=Milestones!$AB$178),UPPER(TEXT(EDATE($D6,Milestones!$AA$178),"dd mmm yy"))&amp;" "&amp;Milestones!$AB$178&amp;" "&amp;Milestones!$AC$178&amp;";  ","")&amp;IF(AND(EDATE($D6,Milestones!$AA$179)&lt;=AsOfDate,IF($R6=0,$X6,IF(AND($T6&lt;&gt;"",EDATE($D6,Milestones!$AA$179)&gt;=$T6),$W6,IF(AND($S6&lt;&gt;"",EDATE($D6,Milestones!$AA$179)&gt;=$S6),$V6,$U6)))=Milestones!$AB$179),UPPER(TEXT(EDATE($D6,Milestones!$AA$179),"dd mmm yy"))&amp;" "&amp;Milestones!$AB$179&amp;" "&amp;Milestones!$AC$179&amp;";  ",""))</f>
        <v/>
      </c>
      <c r="Q6" s="0" t="str">
        <f aca="false">IF(OR($A6="",$D6=""),"",IF(AND(EDATE($D6,Milestones!$AA$180)&lt;=AsOfDate,IF($R6=0,$X6,IF(AND($T6&lt;&gt;"",EDATE($D6,Milestones!$AA$180)&gt;=$T6),$W6,IF(AND($S6&lt;&gt;"",EDATE($D6,Milestones!$AA$180)&gt;=$S6),$V6,$U6)))=Milestones!$AB$180),UPPER(TEXT(EDATE($D6,Milestones!$AA$180),"dd mmm yy"))&amp;" "&amp;Milestones!$AB$180&amp;" "&amp;Milestones!$AC$180&amp;";  ","")&amp;IF(AND(EDATE($D6,Milestones!$AA$181)&lt;=AsOfDate,IF($R6=0,$X6,IF(AND($T6&lt;&gt;"",EDATE($D6,Milestones!$AA$181)&gt;=$T6),$W6,IF(AND($S6&lt;&gt;"",EDATE($D6,Milestones!$AA$181)&gt;=$S6),$V6,$U6)))=Milestones!$AB$181),UPPER(TEXT(EDATE($D6,Milestones!$AA$181),"dd mmm yy"))&amp;" "&amp;Milestones!$AB$181&amp;" "&amp;Milestones!$AC$181&amp;";  ","")&amp;IF(AND(EDATE($D6,Milestones!$AA$182)&lt;=AsOfDate,IF($R6=0,$X6,IF(AND($T6&lt;&gt;"",EDATE($D6,Milestones!$AA$182)&gt;=$T6),$W6,IF(AND($S6&lt;&gt;"",EDATE($D6,Milestones!$AA$182)&gt;=$S6),$V6,$U6)))=Milestones!$AB$182),UPPER(TEXT(EDATE($D6,Milestones!$AA$182),"dd mmm yy"))&amp;" "&amp;Milestones!$AB$182&amp;" "&amp;Milestones!$AC$182&amp;";  ","")&amp;IF(AND(EDATE($D6,Milestones!$AA$183)&lt;=AsOfDate,IF($R6=0,$X6,IF(AND($T6&lt;&gt;"",EDATE($D6,Milestones!$AA$183)&gt;=$T6),$W6,IF(AND($S6&lt;&gt;"",EDATE($D6,Milestones!$AA$183)&gt;=$S6),$V6,$U6)))=Milestones!$AB$183),UPPER(TEXT(EDATE($D6,Milestones!$AA$183),"dd mmm yy"))&amp;" "&amp;Milestones!$AB$183&amp;" "&amp;Milestones!$AC$183&amp;";  ","")&amp;IF(AND(EDATE($D6,Milestones!$AA$184)&lt;=AsOfDate,IF($R6=0,$X6,IF(AND($T6&lt;&gt;"",EDATE($D6,Milestones!$AA$184)&gt;=$T6),$W6,IF(AND($S6&lt;&gt;"",EDATE($D6,Milestones!$AA$184)&gt;=$S6),$V6,$U6)))=Milestones!$AB$184),UPPER(TEXT(EDATE($D6,Milestones!$AA$184),"dd mmm yy"))&amp;" "&amp;Milestones!$AB$184&amp;" "&amp;Milestones!$AC$184&amp;";  ","")&amp;IF(AND(EDATE($D6,Milestones!$AA$185)&lt;=AsOfDate,IF($R6=0,$X6,IF(AND($T6&lt;&gt;"",EDATE($D6,Milestones!$AA$185)&gt;=$T6),$W6,IF(AND($S6&lt;&gt;"",EDATE($D6,Milestones!$AA$185)&gt;=$S6),$V6,$U6)))=Milestones!$AB$185),UPPER(TEXT(EDATE($D6,Milestones!$AA$185),"dd mmm yy"))&amp;" "&amp;Milestones!$AB$185&amp;" "&amp;Milestones!$AC$185&amp;";  ","")&amp;IF(AND(EDATE($D6,Milestones!$AA$186)&lt;=AsOfDate,IF($R6=0,$X6,IF(AND($T6&lt;&gt;"",EDATE($D6,Milestones!$AA$186)&gt;=$T6),$W6,IF(AND($S6&lt;&gt;"",EDATE($D6,Milestones!$AA$186)&gt;=$S6),$V6,$U6)))=Milestones!$AB$186),UPPER(TEXT(EDATE($D6,Milestones!$AA$186),"dd mmm yy"))&amp;" "&amp;Milestones!$AB$186&amp;" "&amp;Milestones!$AC$186&amp;";  ","")&amp;IF(AND(EDATE($D6,Milestones!$AA$187)&lt;=AsOfDate,IF($R6=0,$X6,IF(AND($T6&lt;&gt;"",EDATE($D6,Milestones!$AA$187)&gt;=$T6),$W6,IF(AND($S6&lt;&gt;"",EDATE($D6,Milestones!$AA$187)&gt;=$S6),$V6,$U6)))=Milestones!$AB$187),UPPER(TEXT(EDATE($D6,Milestones!$AA$187),"dd mmm yy"))&amp;" "&amp;Milestones!$AB$187&amp;" "&amp;Milestones!$AC$187&amp;";  ","")&amp;IF(AND(EDATE($D6,Milestones!$AA$188)&lt;=AsOfDate,IF($R6=0,$X6,IF(AND($T6&lt;&gt;"",EDATE($D6,Milestones!$AA$188)&gt;=$T6),$W6,IF(AND($S6&lt;&gt;"",EDATE($D6,Milestones!$AA$188)&gt;=$S6),$V6,$U6)))=Milestones!$AB$188),UPPER(TEXT(EDATE($D6,Milestones!$AA$188),"dd mmm yy"))&amp;" "&amp;Milestones!$AB$188&amp;" "&amp;Milestones!$AC$188&amp;";  ","")&amp;IF(AND(EDATE($D6,Milestones!$AA$189)&lt;=AsOfDate,IF($R6=0,$X6,IF(AND($T6&lt;&gt;"",EDATE($D6,Milestones!$AA$189)&gt;=$T6),$W6,IF(AND($S6&lt;&gt;"",EDATE($D6,Milestones!$AA$189)&gt;=$S6),$V6,$U6)))=Milestones!$AB$189),UPPER(TEXT(EDATE($D6,Milestones!$AA$189),"dd mmm yy"))&amp;" "&amp;Milestones!$AB$189&amp;" "&amp;Milestones!$AC$189&amp;";  ","")&amp;IF(AND(EDATE($D6,Milestones!$AA$190)&lt;=AsOfDate,IF($R6=0,$X6,IF(AND($T6&lt;&gt;"",EDATE($D6,Milestones!$AA$190)&gt;=$T6),$W6,IF(AND($S6&lt;&gt;"",EDATE($D6,Milestones!$AA$190)&gt;=$S6),$V6,$U6)))=Milestones!$AB$190),UPPER(TEXT(EDATE($D6,Milestones!$AA$190),"dd mmm yy"))&amp;" "&amp;Milestones!$AB$190&amp;" "&amp;Milestones!$AC$190&amp;";  ","")&amp;IF(AND(EDATE($D6,Milestones!$AA$191)&lt;=AsOfDate,IF($R6=0,$X6,IF(AND($T6&lt;&gt;"",EDATE($D6,Milestones!$AA$191)&gt;=$T6),$W6,IF(AND($S6&lt;&gt;"",EDATE($D6,Milestones!$AA$191)&gt;=$S6),$V6,$U6)))=Milestones!$AB$191),UPPER(TEXT(EDATE($D6,Milestones!$AA$191),"dd mmm yy"))&amp;" "&amp;Milestones!$AB$191&amp;" "&amp;Milestones!$AC$191&amp;";  ","")&amp;IF(AND(EDATE($D6,Milestones!$AA$192)&lt;=AsOfDate,IF($R6=0,$X6,IF(AND($T6&lt;&gt;"",EDATE($D6,Milestones!$AA$192)&gt;=$T6),$W6,IF(AND($S6&lt;&gt;"",EDATE($D6,Milestones!$AA$192)&gt;=$S6),$V6,$U6)))=Milestones!$AB$192),UPPER(TEXT(EDATE($D6,Milestones!$AA$192),"dd mmm yy"))&amp;" "&amp;Milestones!$AB$192&amp;" "&amp;Milestones!$AC$192&amp;";  ","")&amp;IF(AND(EDATE($D6,Milestones!$AA$193)&lt;=AsOfDate,IF($R6=0,$X6,IF(AND($T6&lt;&gt;"",EDATE($D6,Milestones!$AA$193)&gt;=$T6),$W6,IF(AND($S6&lt;&gt;"",EDATE($D6,Milestones!$AA$193)&gt;=$S6),$V6,$U6)))=Milestones!$AB$193),UPPER(TEXT(EDATE($D6,Milestones!$AA$193),"dd mmm yy"))&amp;" "&amp;Milestones!$AB$193&amp;" "&amp;Milestones!$AC$193&amp;";  ","")&amp;IF(AND(EDATE($D6,Milestones!$AA$194)&lt;=AsOfDate,IF($R6=0,$X6,IF(AND($T6&lt;&gt;"",EDATE($D6,Milestones!$AA$194)&gt;=$T6),$W6,IF(AND($S6&lt;&gt;"",EDATE($D6,Milestones!$AA$194)&gt;=$S6),$V6,$U6)))=Milestones!$AB$194),UPPER(TEXT(EDATE($D6,Milestones!$AA$194),"dd mmm yy"))&amp;" "&amp;Milestones!$AB$194&amp;" "&amp;Milestones!$AC$194&amp;";  ","")&amp;IF(AND(EDATE($D6,Milestones!$AA$195)&lt;=AsOfDate,IF($R6=0,$X6,IF(AND($T6&lt;&gt;"",EDATE($D6,Milestones!$AA$195)&gt;=$T6),$W6,IF(AND($S6&lt;&gt;"",EDATE($D6,Milestones!$AA$195)&gt;=$S6),$V6,$U6)))=Milestones!$AB$195),UPPER(TEXT(EDATE($D6,Milestones!$AA$195),"dd mmm yy"))&amp;" "&amp;Milestones!$AB$195&amp;" "&amp;Milestones!$AC$195&amp;";  ","")&amp;IF(AND(EDATE($D6,Milestones!$AA$196)&lt;=AsOfDate,IF($R6=0,$X6,IF(AND($T6&lt;&gt;"",EDATE($D6,Milestones!$AA$196)&gt;=$T6),$W6,IF(AND($S6&lt;&gt;"",EDATE($D6,Milestones!$AA$196)&gt;=$S6),$V6,$U6)))=Milestones!$AB$196),UPPER(TEXT(EDATE($D6,Milestones!$AA$196),"dd mmm yy"))&amp;" "&amp;Milestones!$AB$196&amp;" "&amp;Milestones!$AC$196&amp;";  ","")&amp;IF(AND(EDATE($D6,Milestones!$AA$197)&lt;=AsOfDate,IF($R6=0,$X6,IF(AND($T6&lt;&gt;"",EDATE($D6,Milestones!$AA$197)&gt;=$T6),$W6,IF(AND($S6&lt;&gt;"",EDATE($D6,Milestones!$AA$197)&gt;=$S6),$V6,$U6)))=Milestones!$AB$197),UPPER(TEXT(EDATE($D6,Milestones!$AA$197),"dd mmm yy"))&amp;" "&amp;Milestones!$AB$197&amp;" "&amp;Milestones!$AC$197&amp;";  ","")&amp;IF(AND(EDATE($D6,Milestones!$AA$198)&lt;=AsOfDate,IF($R6=0,$X6,IF(AND($T6&lt;&gt;"",EDATE($D6,Milestones!$AA$198)&gt;=$T6),$W6,IF(AND($S6&lt;&gt;"",EDATE($D6,Milestones!$AA$198)&gt;=$S6),$V6,$U6)))=Milestones!$AB$198),UPPER(TEXT(EDATE($D6,Milestones!$AA$198),"dd mmm yy"))&amp;" "&amp;Milestones!$AB$198&amp;" "&amp;Milestones!$AC$198&amp;";  ","")&amp;IF(AND(EDATE($D6,Milestones!$AA$199)&lt;=AsOfDate,IF($R6=0,$X6,IF(AND($T6&lt;&gt;"",EDATE($D6,Milestones!$AA$199)&gt;=$T6),$W6,IF(AND($S6&lt;&gt;"",EDATE($D6,Milestones!$AA$199)&gt;=$S6),$V6,$U6)))=Milestones!$AB$199),UPPER(TEXT(EDATE($D6,Milestones!$AA$199),"dd mmm yy"))&amp;" "&amp;Milestones!$AB$199&amp;" "&amp;Milestones!$AC$199&amp;";  ",""))</f>
        <v/>
      </c>
      <c r="R6" s="33" t="n">
        <f aca="false">IF(Staff!$A6="","",Staff!$AI6)</f>
        <v>0</v>
      </c>
      <c r="S6" s="0" t="str">
        <f aca="false">IF(Staff!$A6="","",Staff!$AK6)</f>
        <v/>
      </c>
      <c r="T6" s="0" t="str">
        <f aca="false">IF(Staff!$A6="","",Staff!$AL6)</f>
        <v/>
      </c>
      <c r="U6" s="0" t="str">
        <f aca="false">IF(Staff!$A6="","",Staff!$AP6)</f>
        <v>None</v>
      </c>
      <c r="V6" s="0" t="str">
        <f aca="false">IF(Staff!$A6="","",Staff!$AQ6)</f>
        <v/>
      </c>
      <c r="W6" s="0" t="str">
        <f aca="false">IF(Staff!$A6="","",Staff!$AR6)</f>
        <v/>
      </c>
      <c r="X6" s="0" t="str">
        <f aca="false">IF(Staff!$A6="","",Staff!$AS6)</f>
        <v>None</v>
      </c>
    </row>
    <row r="7" customFormat="false" ht="15" hidden="false" customHeight="false" outlineLevel="0" collapsed="false">
      <c r="A7" s="19" t="str">
        <f aca="false">IF(Staff!$A7="","",Staff!$A7)</f>
        <v>Alana</v>
      </c>
      <c r="B7" s="19" t="str">
        <f aca="false">IF(Staff!$A7="","",Staff!$B7)</f>
        <v>Carling</v>
      </c>
      <c r="C7" s="19" t="str">
        <f aca="false">IF(Staff!$A7="","",Staff!$C7)</f>
        <v>Casual</v>
      </c>
      <c r="D7" s="17" t="n">
        <f aca="false">IF(Staff!$A7="","",Staff!$AH7)</f>
        <v>45803</v>
      </c>
      <c r="E7" s="20" t="n">
        <f aca="false">IF(Staff!$A7="","",Staff!$O7)</f>
        <v>0</v>
      </c>
      <c r="F7" s="19" t="n">
        <f aca="false">IF(E7="","",E7*HoursPerDay)</f>
        <v>0</v>
      </c>
      <c r="G7" s="20" t="n">
        <f aca="false">IF(Staff!$A7="","",Staff!$AE7)</f>
        <v>0</v>
      </c>
      <c r="H7" s="32" t="str">
        <f aca="false">IF($A7="","",I7&amp;J7&amp;K7&amp;L7&amp;M7&amp;N7&amp;O7&amp;P7&amp;Q7)</f>
        <v/>
      </c>
      <c r="I7" s="0" t="str">
        <f aca="false">IF(OR($A7="",$D7=""),"",IF(AND(EDATE($D7,Milestones!$AA$20)&lt;=AsOfDate,IF($R7=0,$X7,IF(AND($T7&lt;&gt;"",EDATE($D7,Milestones!$AA$20)&gt;=$T7),$W7,IF(AND($S7&lt;&gt;"",EDATE($D7,Milestones!$AA$20)&gt;=$S7),$V7,$U7)))=Milestones!$AB$20),UPPER(TEXT(EDATE($D7,Milestones!$AA$20),"dd mmm yy"))&amp;" "&amp;Milestones!$AB$20&amp;" "&amp;Milestones!$AC$20&amp;";  ","")&amp;IF(AND(EDATE($D7,Milestones!$AA$21)&lt;=AsOfDate,IF($R7=0,$X7,IF(AND($T7&lt;&gt;"",EDATE($D7,Milestones!$AA$21)&gt;=$T7),$W7,IF(AND($S7&lt;&gt;"",EDATE($D7,Milestones!$AA$21)&gt;=$S7),$V7,$U7)))=Milestones!$AB$21),UPPER(TEXT(EDATE($D7,Milestones!$AA$21),"dd mmm yy"))&amp;" "&amp;Milestones!$AB$21&amp;" "&amp;Milestones!$AC$21&amp;";  ","")&amp;IF(AND(EDATE($D7,Milestones!$AA$22)&lt;=AsOfDate,IF($R7=0,$X7,IF(AND($T7&lt;&gt;"",EDATE($D7,Milestones!$AA$22)&gt;=$T7),$W7,IF(AND($S7&lt;&gt;"",EDATE($D7,Milestones!$AA$22)&gt;=$S7),$V7,$U7)))=Milestones!$AB$22),UPPER(TEXT(EDATE($D7,Milestones!$AA$22),"dd mmm yy"))&amp;" "&amp;Milestones!$AB$22&amp;" "&amp;Milestones!$AC$22&amp;";  ","")&amp;IF(AND(EDATE($D7,Milestones!$AA$23)&lt;=AsOfDate,IF($R7=0,$X7,IF(AND($T7&lt;&gt;"",EDATE($D7,Milestones!$AA$23)&gt;=$T7),$W7,IF(AND($S7&lt;&gt;"",EDATE($D7,Milestones!$AA$23)&gt;=$S7),$V7,$U7)))=Milestones!$AB$23),UPPER(TEXT(EDATE($D7,Milestones!$AA$23),"dd mmm yy"))&amp;" "&amp;Milestones!$AB$23&amp;" "&amp;Milestones!$AC$23&amp;";  ","")&amp;IF(AND(EDATE($D7,Milestones!$AA$24)&lt;=AsOfDate,IF($R7=0,$X7,IF(AND($T7&lt;&gt;"",EDATE($D7,Milestones!$AA$24)&gt;=$T7),$W7,IF(AND($S7&lt;&gt;"",EDATE($D7,Milestones!$AA$24)&gt;=$S7),$V7,$U7)))=Milestones!$AB$24),UPPER(TEXT(EDATE($D7,Milestones!$AA$24),"dd mmm yy"))&amp;" "&amp;Milestones!$AB$24&amp;" "&amp;Milestones!$AC$24&amp;";  ","")&amp;IF(AND(EDATE($D7,Milestones!$AA$25)&lt;=AsOfDate,IF($R7=0,$X7,IF(AND($T7&lt;&gt;"",EDATE($D7,Milestones!$AA$25)&gt;=$T7),$W7,IF(AND($S7&lt;&gt;"",EDATE($D7,Milestones!$AA$25)&gt;=$S7),$V7,$U7)))=Milestones!$AB$25),UPPER(TEXT(EDATE($D7,Milestones!$AA$25),"dd mmm yy"))&amp;" "&amp;Milestones!$AB$25&amp;" "&amp;Milestones!$AC$25&amp;";  ","")&amp;IF(AND(EDATE($D7,Milestones!$AA$26)&lt;=AsOfDate,IF($R7=0,$X7,IF(AND($T7&lt;&gt;"",EDATE($D7,Milestones!$AA$26)&gt;=$T7),$W7,IF(AND($S7&lt;&gt;"",EDATE($D7,Milestones!$AA$26)&gt;=$S7),$V7,$U7)))=Milestones!$AB$26),UPPER(TEXT(EDATE($D7,Milestones!$AA$26),"dd mmm yy"))&amp;" "&amp;Milestones!$AB$26&amp;" "&amp;Milestones!$AC$26&amp;";  ","")&amp;IF(AND(EDATE($D7,Milestones!$AA$27)&lt;=AsOfDate,IF($R7=0,$X7,IF(AND($T7&lt;&gt;"",EDATE($D7,Milestones!$AA$27)&gt;=$T7),$W7,IF(AND($S7&lt;&gt;"",EDATE($D7,Milestones!$AA$27)&gt;=$S7),$V7,$U7)))=Milestones!$AB$27),UPPER(TEXT(EDATE($D7,Milestones!$AA$27),"dd mmm yy"))&amp;" "&amp;Milestones!$AB$27&amp;" "&amp;Milestones!$AC$27&amp;";  ","")&amp;IF(AND(EDATE($D7,Milestones!$AA$28)&lt;=AsOfDate,IF($R7=0,$X7,IF(AND($T7&lt;&gt;"",EDATE($D7,Milestones!$AA$28)&gt;=$T7),$W7,IF(AND($S7&lt;&gt;"",EDATE($D7,Milestones!$AA$28)&gt;=$S7),$V7,$U7)))=Milestones!$AB$28),UPPER(TEXT(EDATE($D7,Milestones!$AA$28),"dd mmm yy"))&amp;" "&amp;Milestones!$AB$28&amp;" "&amp;Milestones!$AC$28&amp;";  ","")&amp;IF(AND(EDATE($D7,Milestones!$AA$29)&lt;=AsOfDate,IF($R7=0,$X7,IF(AND($T7&lt;&gt;"",EDATE($D7,Milestones!$AA$29)&gt;=$T7),$W7,IF(AND($S7&lt;&gt;"",EDATE($D7,Milestones!$AA$29)&gt;=$S7),$V7,$U7)))=Milestones!$AB$29),UPPER(TEXT(EDATE($D7,Milestones!$AA$29),"dd mmm yy"))&amp;" "&amp;Milestones!$AB$29&amp;" "&amp;Milestones!$AC$29&amp;";  ","")&amp;IF(AND(EDATE($D7,Milestones!$AA$30)&lt;=AsOfDate,IF($R7=0,$X7,IF(AND($T7&lt;&gt;"",EDATE($D7,Milestones!$AA$30)&gt;=$T7),$W7,IF(AND($S7&lt;&gt;"",EDATE($D7,Milestones!$AA$30)&gt;=$S7),$V7,$U7)))=Milestones!$AB$30),UPPER(TEXT(EDATE($D7,Milestones!$AA$30),"dd mmm yy"))&amp;" "&amp;Milestones!$AB$30&amp;" "&amp;Milestones!$AC$30&amp;";  ","")&amp;IF(AND(EDATE($D7,Milestones!$AA$31)&lt;=AsOfDate,IF($R7=0,$X7,IF(AND($T7&lt;&gt;"",EDATE($D7,Milestones!$AA$31)&gt;=$T7),$W7,IF(AND($S7&lt;&gt;"",EDATE($D7,Milestones!$AA$31)&gt;=$S7),$V7,$U7)))=Milestones!$AB$31),UPPER(TEXT(EDATE($D7,Milestones!$AA$31),"dd mmm yy"))&amp;" "&amp;Milestones!$AB$31&amp;" "&amp;Milestones!$AC$31&amp;";  ","")&amp;IF(AND(EDATE($D7,Milestones!$AA$32)&lt;=AsOfDate,IF($R7=0,$X7,IF(AND($T7&lt;&gt;"",EDATE($D7,Milestones!$AA$32)&gt;=$T7),$W7,IF(AND($S7&lt;&gt;"",EDATE($D7,Milestones!$AA$32)&gt;=$S7),$V7,$U7)))=Milestones!$AB$32),UPPER(TEXT(EDATE($D7,Milestones!$AA$32),"dd mmm yy"))&amp;" "&amp;Milestones!$AB$32&amp;" "&amp;Milestones!$AC$32&amp;";  ","")&amp;IF(AND(EDATE($D7,Milestones!$AA$33)&lt;=AsOfDate,IF($R7=0,$X7,IF(AND($T7&lt;&gt;"",EDATE($D7,Milestones!$AA$33)&gt;=$T7),$W7,IF(AND($S7&lt;&gt;"",EDATE($D7,Milestones!$AA$33)&gt;=$S7),$V7,$U7)))=Milestones!$AB$33),UPPER(TEXT(EDATE($D7,Milestones!$AA$33),"dd mmm yy"))&amp;" "&amp;Milestones!$AB$33&amp;" "&amp;Milestones!$AC$33&amp;";  ","")&amp;IF(AND(EDATE($D7,Milestones!$AA$34)&lt;=AsOfDate,IF($R7=0,$X7,IF(AND($T7&lt;&gt;"",EDATE($D7,Milestones!$AA$34)&gt;=$T7),$W7,IF(AND($S7&lt;&gt;"",EDATE($D7,Milestones!$AA$34)&gt;=$S7),$V7,$U7)))=Milestones!$AB$34),UPPER(TEXT(EDATE($D7,Milestones!$AA$34),"dd mmm yy"))&amp;" "&amp;Milestones!$AB$34&amp;" "&amp;Milestones!$AC$34&amp;";  ","")&amp;IF(AND(EDATE($D7,Milestones!$AA$35)&lt;=AsOfDate,IF($R7=0,$X7,IF(AND($T7&lt;&gt;"",EDATE($D7,Milestones!$AA$35)&gt;=$T7),$W7,IF(AND($S7&lt;&gt;"",EDATE($D7,Milestones!$AA$35)&gt;=$S7),$V7,$U7)))=Milestones!$AB$35),UPPER(TEXT(EDATE($D7,Milestones!$AA$35),"dd mmm yy"))&amp;" "&amp;Milestones!$AB$35&amp;" "&amp;Milestones!$AC$35&amp;";  ","")&amp;IF(AND(EDATE($D7,Milestones!$AA$36)&lt;=AsOfDate,IF($R7=0,$X7,IF(AND($T7&lt;&gt;"",EDATE($D7,Milestones!$AA$36)&gt;=$T7),$W7,IF(AND($S7&lt;&gt;"",EDATE($D7,Milestones!$AA$36)&gt;=$S7),$V7,$U7)))=Milestones!$AB$36),UPPER(TEXT(EDATE($D7,Milestones!$AA$36),"dd mmm yy"))&amp;" "&amp;Milestones!$AB$36&amp;" "&amp;Milestones!$AC$36&amp;";  ","")&amp;IF(AND(EDATE($D7,Milestones!$AA$37)&lt;=AsOfDate,IF($R7=0,$X7,IF(AND($T7&lt;&gt;"",EDATE($D7,Milestones!$AA$37)&gt;=$T7),$W7,IF(AND($S7&lt;&gt;"",EDATE($D7,Milestones!$AA$37)&gt;=$S7),$V7,$U7)))=Milestones!$AB$37),UPPER(TEXT(EDATE($D7,Milestones!$AA$37),"dd mmm yy"))&amp;" "&amp;Milestones!$AB$37&amp;" "&amp;Milestones!$AC$37&amp;";  ","")&amp;IF(AND(EDATE($D7,Milestones!$AA$38)&lt;=AsOfDate,IF($R7=0,$X7,IF(AND($T7&lt;&gt;"",EDATE($D7,Milestones!$AA$38)&gt;=$T7),$W7,IF(AND($S7&lt;&gt;"",EDATE($D7,Milestones!$AA$38)&gt;=$S7),$V7,$U7)))=Milestones!$AB$38),UPPER(TEXT(EDATE($D7,Milestones!$AA$38),"dd mmm yy"))&amp;" "&amp;Milestones!$AB$38&amp;" "&amp;Milestones!$AC$38&amp;";  ","")&amp;IF(AND(EDATE($D7,Milestones!$AA$39)&lt;=AsOfDate,IF($R7=0,$X7,IF(AND($T7&lt;&gt;"",EDATE($D7,Milestones!$AA$39)&gt;=$T7),$W7,IF(AND($S7&lt;&gt;"",EDATE($D7,Milestones!$AA$39)&gt;=$S7),$V7,$U7)))=Milestones!$AB$39),UPPER(TEXT(EDATE($D7,Milestones!$AA$39),"dd mmm yy"))&amp;" "&amp;Milestones!$AB$39&amp;" "&amp;Milestones!$AC$39&amp;";  ",""))</f>
        <v/>
      </c>
      <c r="J7" s="0" t="str">
        <f aca="false">IF(OR($A7="",$D7=""),"",IF(AND(EDATE($D7,Milestones!$AA$40)&lt;=AsOfDate,IF($R7=0,$X7,IF(AND($T7&lt;&gt;"",EDATE($D7,Milestones!$AA$40)&gt;=$T7),$W7,IF(AND($S7&lt;&gt;"",EDATE($D7,Milestones!$AA$40)&gt;=$S7),$V7,$U7)))=Milestones!$AB$40),UPPER(TEXT(EDATE($D7,Milestones!$AA$40),"dd mmm yy"))&amp;" "&amp;Milestones!$AB$40&amp;" "&amp;Milestones!$AC$40&amp;";  ","")&amp;IF(AND(EDATE($D7,Milestones!$AA$41)&lt;=AsOfDate,IF($R7=0,$X7,IF(AND($T7&lt;&gt;"",EDATE($D7,Milestones!$AA$41)&gt;=$T7),$W7,IF(AND($S7&lt;&gt;"",EDATE($D7,Milestones!$AA$41)&gt;=$S7),$V7,$U7)))=Milestones!$AB$41),UPPER(TEXT(EDATE($D7,Milestones!$AA$41),"dd mmm yy"))&amp;" "&amp;Milestones!$AB$41&amp;" "&amp;Milestones!$AC$41&amp;";  ","")&amp;IF(AND(EDATE($D7,Milestones!$AA$42)&lt;=AsOfDate,IF($R7=0,$X7,IF(AND($T7&lt;&gt;"",EDATE($D7,Milestones!$AA$42)&gt;=$T7),$W7,IF(AND($S7&lt;&gt;"",EDATE($D7,Milestones!$AA$42)&gt;=$S7),$V7,$U7)))=Milestones!$AB$42),UPPER(TEXT(EDATE($D7,Milestones!$AA$42),"dd mmm yy"))&amp;" "&amp;Milestones!$AB$42&amp;" "&amp;Milestones!$AC$42&amp;";  ","")&amp;IF(AND(EDATE($D7,Milestones!$AA$43)&lt;=AsOfDate,IF($R7=0,$X7,IF(AND($T7&lt;&gt;"",EDATE($D7,Milestones!$AA$43)&gt;=$T7),$W7,IF(AND($S7&lt;&gt;"",EDATE($D7,Milestones!$AA$43)&gt;=$S7),$V7,$U7)))=Milestones!$AB$43),UPPER(TEXT(EDATE($D7,Milestones!$AA$43),"dd mmm yy"))&amp;" "&amp;Milestones!$AB$43&amp;" "&amp;Milestones!$AC$43&amp;";  ","")&amp;IF(AND(EDATE($D7,Milestones!$AA$44)&lt;=AsOfDate,IF($R7=0,$X7,IF(AND($T7&lt;&gt;"",EDATE($D7,Milestones!$AA$44)&gt;=$T7),$W7,IF(AND($S7&lt;&gt;"",EDATE($D7,Milestones!$AA$44)&gt;=$S7),$V7,$U7)))=Milestones!$AB$44),UPPER(TEXT(EDATE($D7,Milestones!$AA$44),"dd mmm yy"))&amp;" "&amp;Milestones!$AB$44&amp;" "&amp;Milestones!$AC$44&amp;";  ","")&amp;IF(AND(EDATE($D7,Milestones!$AA$45)&lt;=AsOfDate,IF($R7=0,$X7,IF(AND($T7&lt;&gt;"",EDATE($D7,Milestones!$AA$45)&gt;=$T7),$W7,IF(AND($S7&lt;&gt;"",EDATE($D7,Milestones!$AA$45)&gt;=$S7),$V7,$U7)))=Milestones!$AB$45),UPPER(TEXT(EDATE($D7,Milestones!$AA$45),"dd mmm yy"))&amp;" "&amp;Milestones!$AB$45&amp;" "&amp;Milestones!$AC$45&amp;";  ","")&amp;IF(AND(EDATE($D7,Milestones!$AA$46)&lt;=AsOfDate,IF($R7=0,$X7,IF(AND($T7&lt;&gt;"",EDATE($D7,Milestones!$AA$46)&gt;=$T7),$W7,IF(AND($S7&lt;&gt;"",EDATE($D7,Milestones!$AA$46)&gt;=$S7),$V7,$U7)))=Milestones!$AB$46),UPPER(TEXT(EDATE($D7,Milestones!$AA$46),"dd mmm yy"))&amp;" "&amp;Milestones!$AB$46&amp;" "&amp;Milestones!$AC$46&amp;";  ","")&amp;IF(AND(EDATE($D7,Milestones!$AA$47)&lt;=AsOfDate,IF($R7=0,$X7,IF(AND($T7&lt;&gt;"",EDATE($D7,Milestones!$AA$47)&gt;=$T7),$W7,IF(AND($S7&lt;&gt;"",EDATE($D7,Milestones!$AA$47)&gt;=$S7),$V7,$U7)))=Milestones!$AB$47),UPPER(TEXT(EDATE($D7,Milestones!$AA$47),"dd mmm yy"))&amp;" "&amp;Milestones!$AB$47&amp;" "&amp;Milestones!$AC$47&amp;";  ","")&amp;IF(AND(EDATE($D7,Milestones!$AA$48)&lt;=AsOfDate,IF($R7=0,$X7,IF(AND($T7&lt;&gt;"",EDATE($D7,Milestones!$AA$48)&gt;=$T7),$W7,IF(AND($S7&lt;&gt;"",EDATE($D7,Milestones!$AA$48)&gt;=$S7),$V7,$U7)))=Milestones!$AB$48),UPPER(TEXT(EDATE($D7,Milestones!$AA$48),"dd mmm yy"))&amp;" "&amp;Milestones!$AB$48&amp;" "&amp;Milestones!$AC$48&amp;";  ","")&amp;IF(AND(EDATE($D7,Milestones!$AA$49)&lt;=AsOfDate,IF($R7=0,$X7,IF(AND($T7&lt;&gt;"",EDATE($D7,Milestones!$AA$49)&gt;=$T7),$W7,IF(AND($S7&lt;&gt;"",EDATE($D7,Milestones!$AA$49)&gt;=$S7),$V7,$U7)))=Milestones!$AB$49),UPPER(TEXT(EDATE($D7,Milestones!$AA$49),"dd mmm yy"))&amp;" "&amp;Milestones!$AB$49&amp;" "&amp;Milestones!$AC$49&amp;";  ","")&amp;IF(AND(EDATE($D7,Milestones!$AA$50)&lt;=AsOfDate,IF($R7=0,$X7,IF(AND($T7&lt;&gt;"",EDATE($D7,Milestones!$AA$50)&gt;=$T7),$W7,IF(AND($S7&lt;&gt;"",EDATE($D7,Milestones!$AA$50)&gt;=$S7),$V7,$U7)))=Milestones!$AB$50),UPPER(TEXT(EDATE($D7,Milestones!$AA$50),"dd mmm yy"))&amp;" "&amp;Milestones!$AB$50&amp;" "&amp;Milestones!$AC$50&amp;";  ","")&amp;IF(AND(EDATE($D7,Milestones!$AA$51)&lt;=AsOfDate,IF($R7=0,$X7,IF(AND($T7&lt;&gt;"",EDATE($D7,Milestones!$AA$51)&gt;=$T7),$W7,IF(AND($S7&lt;&gt;"",EDATE($D7,Milestones!$AA$51)&gt;=$S7),$V7,$U7)))=Milestones!$AB$51),UPPER(TEXT(EDATE($D7,Milestones!$AA$51),"dd mmm yy"))&amp;" "&amp;Milestones!$AB$51&amp;" "&amp;Milestones!$AC$51&amp;";  ","")&amp;IF(AND(EDATE($D7,Milestones!$AA$52)&lt;=AsOfDate,IF($R7=0,$X7,IF(AND($T7&lt;&gt;"",EDATE($D7,Milestones!$AA$52)&gt;=$T7),$W7,IF(AND($S7&lt;&gt;"",EDATE($D7,Milestones!$AA$52)&gt;=$S7),$V7,$U7)))=Milestones!$AB$52),UPPER(TEXT(EDATE($D7,Milestones!$AA$52),"dd mmm yy"))&amp;" "&amp;Milestones!$AB$52&amp;" "&amp;Milestones!$AC$52&amp;";  ","")&amp;IF(AND(EDATE($D7,Milestones!$AA$53)&lt;=AsOfDate,IF($R7=0,$X7,IF(AND($T7&lt;&gt;"",EDATE($D7,Milestones!$AA$53)&gt;=$T7),$W7,IF(AND($S7&lt;&gt;"",EDATE($D7,Milestones!$AA$53)&gt;=$S7),$V7,$U7)))=Milestones!$AB$53),UPPER(TEXT(EDATE($D7,Milestones!$AA$53),"dd mmm yy"))&amp;" "&amp;Milestones!$AB$53&amp;" "&amp;Milestones!$AC$53&amp;";  ","")&amp;IF(AND(EDATE($D7,Milestones!$AA$54)&lt;=AsOfDate,IF($R7=0,$X7,IF(AND($T7&lt;&gt;"",EDATE($D7,Milestones!$AA$54)&gt;=$T7),$W7,IF(AND($S7&lt;&gt;"",EDATE($D7,Milestones!$AA$54)&gt;=$S7),$V7,$U7)))=Milestones!$AB$54),UPPER(TEXT(EDATE($D7,Milestones!$AA$54),"dd mmm yy"))&amp;" "&amp;Milestones!$AB$54&amp;" "&amp;Milestones!$AC$54&amp;";  ","")&amp;IF(AND(EDATE($D7,Milestones!$AA$55)&lt;=AsOfDate,IF($R7=0,$X7,IF(AND($T7&lt;&gt;"",EDATE($D7,Milestones!$AA$55)&gt;=$T7),$W7,IF(AND($S7&lt;&gt;"",EDATE($D7,Milestones!$AA$55)&gt;=$S7),$V7,$U7)))=Milestones!$AB$55),UPPER(TEXT(EDATE($D7,Milestones!$AA$55),"dd mmm yy"))&amp;" "&amp;Milestones!$AB$55&amp;" "&amp;Milestones!$AC$55&amp;";  ","")&amp;IF(AND(EDATE($D7,Milestones!$AA$56)&lt;=AsOfDate,IF($R7=0,$X7,IF(AND($T7&lt;&gt;"",EDATE($D7,Milestones!$AA$56)&gt;=$T7),$W7,IF(AND($S7&lt;&gt;"",EDATE($D7,Milestones!$AA$56)&gt;=$S7),$V7,$U7)))=Milestones!$AB$56),UPPER(TEXT(EDATE($D7,Milestones!$AA$56),"dd mmm yy"))&amp;" "&amp;Milestones!$AB$56&amp;" "&amp;Milestones!$AC$56&amp;";  ","")&amp;IF(AND(EDATE($D7,Milestones!$AA$57)&lt;=AsOfDate,IF($R7=0,$X7,IF(AND($T7&lt;&gt;"",EDATE($D7,Milestones!$AA$57)&gt;=$T7),$W7,IF(AND($S7&lt;&gt;"",EDATE($D7,Milestones!$AA$57)&gt;=$S7),$V7,$U7)))=Milestones!$AB$57),UPPER(TEXT(EDATE($D7,Milestones!$AA$57),"dd mmm yy"))&amp;" "&amp;Milestones!$AB$57&amp;" "&amp;Milestones!$AC$57&amp;";  ","")&amp;IF(AND(EDATE($D7,Milestones!$AA$58)&lt;=AsOfDate,IF($R7=0,$X7,IF(AND($T7&lt;&gt;"",EDATE($D7,Milestones!$AA$58)&gt;=$T7),$W7,IF(AND($S7&lt;&gt;"",EDATE($D7,Milestones!$AA$58)&gt;=$S7),$V7,$U7)))=Milestones!$AB$58),UPPER(TEXT(EDATE($D7,Milestones!$AA$58),"dd mmm yy"))&amp;" "&amp;Milestones!$AB$58&amp;" "&amp;Milestones!$AC$58&amp;";  ","")&amp;IF(AND(EDATE($D7,Milestones!$AA$59)&lt;=AsOfDate,IF($R7=0,$X7,IF(AND($T7&lt;&gt;"",EDATE($D7,Milestones!$AA$59)&gt;=$T7),$W7,IF(AND($S7&lt;&gt;"",EDATE($D7,Milestones!$AA$59)&gt;=$S7),$V7,$U7)))=Milestones!$AB$59),UPPER(TEXT(EDATE($D7,Milestones!$AA$59),"dd mmm yy"))&amp;" "&amp;Milestones!$AB$59&amp;" "&amp;Milestones!$AC$59&amp;";  ",""))</f>
        <v/>
      </c>
      <c r="K7" s="0" t="str">
        <f aca="false">IF(OR($A7="",$D7=""),"",IF(AND(EDATE($D7,Milestones!$AA$60)&lt;=AsOfDate,IF($R7=0,$X7,IF(AND($T7&lt;&gt;"",EDATE($D7,Milestones!$AA$60)&gt;=$T7),$W7,IF(AND($S7&lt;&gt;"",EDATE($D7,Milestones!$AA$60)&gt;=$S7),$V7,$U7)))=Milestones!$AB$60),UPPER(TEXT(EDATE($D7,Milestones!$AA$60),"dd mmm yy"))&amp;" "&amp;Milestones!$AB$60&amp;" "&amp;Milestones!$AC$60&amp;";  ","")&amp;IF(AND(EDATE($D7,Milestones!$AA$61)&lt;=AsOfDate,IF($R7=0,$X7,IF(AND($T7&lt;&gt;"",EDATE($D7,Milestones!$AA$61)&gt;=$T7),$W7,IF(AND($S7&lt;&gt;"",EDATE($D7,Milestones!$AA$61)&gt;=$S7),$V7,$U7)))=Milestones!$AB$61),UPPER(TEXT(EDATE($D7,Milestones!$AA$61),"dd mmm yy"))&amp;" "&amp;Milestones!$AB$61&amp;" "&amp;Milestones!$AC$61&amp;";  ","")&amp;IF(AND(EDATE($D7,Milestones!$AA$62)&lt;=AsOfDate,IF($R7=0,$X7,IF(AND($T7&lt;&gt;"",EDATE($D7,Milestones!$AA$62)&gt;=$T7),$W7,IF(AND($S7&lt;&gt;"",EDATE($D7,Milestones!$AA$62)&gt;=$S7),$V7,$U7)))=Milestones!$AB$62),UPPER(TEXT(EDATE($D7,Milestones!$AA$62),"dd mmm yy"))&amp;" "&amp;Milestones!$AB$62&amp;" "&amp;Milestones!$AC$62&amp;";  ","")&amp;IF(AND(EDATE($D7,Milestones!$AA$63)&lt;=AsOfDate,IF($R7=0,$X7,IF(AND($T7&lt;&gt;"",EDATE($D7,Milestones!$AA$63)&gt;=$T7),$W7,IF(AND($S7&lt;&gt;"",EDATE($D7,Milestones!$AA$63)&gt;=$S7),$V7,$U7)))=Milestones!$AB$63),UPPER(TEXT(EDATE($D7,Milestones!$AA$63),"dd mmm yy"))&amp;" "&amp;Milestones!$AB$63&amp;" "&amp;Milestones!$AC$63&amp;";  ","")&amp;IF(AND(EDATE($D7,Milestones!$AA$64)&lt;=AsOfDate,IF($R7=0,$X7,IF(AND($T7&lt;&gt;"",EDATE($D7,Milestones!$AA$64)&gt;=$T7),$W7,IF(AND($S7&lt;&gt;"",EDATE($D7,Milestones!$AA$64)&gt;=$S7),$V7,$U7)))=Milestones!$AB$64),UPPER(TEXT(EDATE($D7,Milestones!$AA$64),"dd mmm yy"))&amp;" "&amp;Milestones!$AB$64&amp;" "&amp;Milestones!$AC$64&amp;";  ","")&amp;IF(AND(EDATE($D7,Milestones!$AA$65)&lt;=AsOfDate,IF($R7=0,$X7,IF(AND($T7&lt;&gt;"",EDATE($D7,Milestones!$AA$65)&gt;=$T7),$W7,IF(AND($S7&lt;&gt;"",EDATE($D7,Milestones!$AA$65)&gt;=$S7),$V7,$U7)))=Milestones!$AB$65),UPPER(TEXT(EDATE($D7,Milestones!$AA$65),"dd mmm yy"))&amp;" "&amp;Milestones!$AB$65&amp;" "&amp;Milestones!$AC$65&amp;";  ","")&amp;IF(AND(EDATE($D7,Milestones!$AA$66)&lt;=AsOfDate,IF($R7=0,$X7,IF(AND($T7&lt;&gt;"",EDATE($D7,Milestones!$AA$66)&gt;=$T7),$W7,IF(AND($S7&lt;&gt;"",EDATE($D7,Milestones!$AA$66)&gt;=$S7),$V7,$U7)))=Milestones!$AB$66),UPPER(TEXT(EDATE($D7,Milestones!$AA$66),"dd mmm yy"))&amp;" "&amp;Milestones!$AB$66&amp;" "&amp;Milestones!$AC$66&amp;";  ","")&amp;IF(AND(EDATE($D7,Milestones!$AA$67)&lt;=AsOfDate,IF($R7=0,$X7,IF(AND($T7&lt;&gt;"",EDATE($D7,Milestones!$AA$67)&gt;=$T7),$W7,IF(AND($S7&lt;&gt;"",EDATE($D7,Milestones!$AA$67)&gt;=$S7),$V7,$U7)))=Milestones!$AB$67),UPPER(TEXT(EDATE($D7,Milestones!$AA$67),"dd mmm yy"))&amp;" "&amp;Milestones!$AB$67&amp;" "&amp;Milestones!$AC$67&amp;";  ","")&amp;IF(AND(EDATE($D7,Milestones!$AA$68)&lt;=AsOfDate,IF($R7=0,$X7,IF(AND($T7&lt;&gt;"",EDATE($D7,Milestones!$AA$68)&gt;=$T7),$W7,IF(AND($S7&lt;&gt;"",EDATE($D7,Milestones!$AA$68)&gt;=$S7),$V7,$U7)))=Milestones!$AB$68),UPPER(TEXT(EDATE($D7,Milestones!$AA$68),"dd mmm yy"))&amp;" "&amp;Milestones!$AB$68&amp;" "&amp;Milestones!$AC$68&amp;";  ","")&amp;IF(AND(EDATE($D7,Milestones!$AA$69)&lt;=AsOfDate,IF($R7=0,$X7,IF(AND($T7&lt;&gt;"",EDATE($D7,Milestones!$AA$69)&gt;=$T7),$W7,IF(AND($S7&lt;&gt;"",EDATE($D7,Milestones!$AA$69)&gt;=$S7),$V7,$U7)))=Milestones!$AB$69),UPPER(TEXT(EDATE($D7,Milestones!$AA$69),"dd mmm yy"))&amp;" "&amp;Milestones!$AB$69&amp;" "&amp;Milestones!$AC$69&amp;";  ","")&amp;IF(AND(EDATE($D7,Milestones!$AA$70)&lt;=AsOfDate,IF($R7=0,$X7,IF(AND($T7&lt;&gt;"",EDATE($D7,Milestones!$AA$70)&gt;=$T7),$W7,IF(AND($S7&lt;&gt;"",EDATE($D7,Milestones!$AA$70)&gt;=$S7),$V7,$U7)))=Milestones!$AB$70),UPPER(TEXT(EDATE($D7,Milestones!$AA$70),"dd mmm yy"))&amp;" "&amp;Milestones!$AB$70&amp;" "&amp;Milestones!$AC$70&amp;";  ","")&amp;IF(AND(EDATE($D7,Milestones!$AA$71)&lt;=AsOfDate,IF($R7=0,$X7,IF(AND($T7&lt;&gt;"",EDATE($D7,Milestones!$AA$71)&gt;=$T7),$W7,IF(AND($S7&lt;&gt;"",EDATE($D7,Milestones!$AA$71)&gt;=$S7),$V7,$U7)))=Milestones!$AB$71),UPPER(TEXT(EDATE($D7,Milestones!$AA$71),"dd mmm yy"))&amp;" "&amp;Milestones!$AB$71&amp;" "&amp;Milestones!$AC$71&amp;";  ","")&amp;IF(AND(EDATE($D7,Milestones!$AA$72)&lt;=AsOfDate,IF($R7=0,$X7,IF(AND($T7&lt;&gt;"",EDATE($D7,Milestones!$AA$72)&gt;=$T7),$W7,IF(AND($S7&lt;&gt;"",EDATE($D7,Milestones!$AA$72)&gt;=$S7),$V7,$U7)))=Milestones!$AB$72),UPPER(TEXT(EDATE($D7,Milestones!$AA$72),"dd mmm yy"))&amp;" "&amp;Milestones!$AB$72&amp;" "&amp;Milestones!$AC$72&amp;";  ","")&amp;IF(AND(EDATE($D7,Milestones!$AA$73)&lt;=AsOfDate,IF($R7=0,$X7,IF(AND($T7&lt;&gt;"",EDATE($D7,Milestones!$AA$73)&gt;=$T7),$W7,IF(AND($S7&lt;&gt;"",EDATE($D7,Milestones!$AA$73)&gt;=$S7),$V7,$U7)))=Milestones!$AB$73),UPPER(TEXT(EDATE($D7,Milestones!$AA$73),"dd mmm yy"))&amp;" "&amp;Milestones!$AB$73&amp;" "&amp;Milestones!$AC$73&amp;";  ","")&amp;IF(AND(EDATE($D7,Milestones!$AA$74)&lt;=AsOfDate,IF($R7=0,$X7,IF(AND($T7&lt;&gt;"",EDATE($D7,Milestones!$AA$74)&gt;=$T7),$W7,IF(AND($S7&lt;&gt;"",EDATE($D7,Milestones!$AA$74)&gt;=$S7),$V7,$U7)))=Milestones!$AB$74),UPPER(TEXT(EDATE($D7,Milestones!$AA$74),"dd mmm yy"))&amp;" "&amp;Milestones!$AB$74&amp;" "&amp;Milestones!$AC$74&amp;";  ","")&amp;IF(AND(EDATE($D7,Milestones!$AA$75)&lt;=AsOfDate,IF($R7=0,$X7,IF(AND($T7&lt;&gt;"",EDATE($D7,Milestones!$AA$75)&gt;=$T7),$W7,IF(AND($S7&lt;&gt;"",EDATE($D7,Milestones!$AA$75)&gt;=$S7),$V7,$U7)))=Milestones!$AB$75),UPPER(TEXT(EDATE($D7,Milestones!$AA$75),"dd mmm yy"))&amp;" "&amp;Milestones!$AB$75&amp;" "&amp;Milestones!$AC$75&amp;";  ","")&amp;IF(AND(EDATE($D7,Milestones!$AA$76)&lt;=AsOfDate,IF($R7=0,$X7,IF(AND($T7&lt;&gt;"",EDATE($D7,Milestones!$AA$76)&gt;=$T7),$W7,IF(AND($S7&lt;&gt;"",EDATE($D7,Milestones!$AA$76)&gt;=$S7),$V7,$U7)))=Milestones!$AB$76),UPPER(TEXT(EDATE($D7,Milestones!$AA$76),"dd mmm yy"))&amp;" "&amp;Milestones!$AB$76&amp;" "&amp;Milestones!$AC$76&amp;";  ","")&amp;IF(AND(EDATE($D7,Milestones!$AA$77)&lt;=AsOfDate,IF($R7=0,$X7,IF(AND($T7&lt;&gt;"",EDATE($D7,Milestones!$AA$77)&gt;=$T7),$W7,IF(AND($S7&lt;&gt;"",EDATE($D7,Milestones!$AA$77)&gt;=$S7),$V7,$U7)))=Milestones!$AB$77),UPPER(TEXT(EDATE($D7,Milestones!$AA$77),"dd mmm yy"))&amp;" "&amp;Milestones!$AB$77&amp;" "&amp;Milestones!$AC$77&amp;";  ","")&amp;IF(AND(EDATE($D7,Milestones!$AA$78)&lt;=AsOfDate,IF($R7=0,$X7,IF(AND($T7&lt;&gt;"",EDATE($D7,Milestones!$AA$78)&gt;=$T7),$W7,IF(AND($S7&lt;&gt;"",EDATE($D7,Milestones!$AA$78)&gt;=$S7),$V7,$U7)))=Milestones!$AB$78),UPPER(TEXT(EDATE($D7,Milestones!$AA$78),"dd mmm yy"))&amp;" "&amp;Milestones!$AB$78&amp;" "&amp;Milestones!$AC$78&amp;";  ","")&amp;IF(AND(EDATE($D7,Milestones!$AA$79)&lt;=AsOfDate,IF($R7=0,$X7,IF(AND($T7&lt;&gt;"",EDATE($D7,Milestones!$AA$79)&gt;=$T7),$W7,IF(AND($S7&lt;&gt;"",EDATE($D7,Milestones!$AA$79)&gt;=$S7),$V7,$U7)))=Milestones!$AB$79),UPPER(TEXT(EDATE($D7,Milestones!$AA$79),"dd mmm yy"))&amp;" "&amp;Milestones!$AB$79&amp;" "&amp;Milestones!$AC$79&amp;";  ",""))</f>
        <v/>
      </c>
      <c r="L7" s="0" t="str">
        <f aca="false">IF(OR($A7="",$D7=""),"",IF(AND(EDATE($D7,Milestones!$AA$80)&lt;=AsOfDate,IF($R7=0,$X7,IF(AND($T7&lt;&gt;"",EDATE($D7,Milestones!$AA$80)&gt;=$T7),$W7,IF(AND($S7&lt;&gt;"",EDATE($D7,Milestones!$AA$80)&gt;=$S7),$V7,$U7)))=Milestones!$AB$80),UPPER(TEXT(EDATE($D7,Milestones!$AA$80),"dd mmm yy"))&amp;" "&amp;Milestones!$AB$80&amp;" "&amp;Milestones!$AC$80&amp;";  ","")&amp;IF(AND(EDATE($D7,Milestones!$AA$81)&lt;=AsOfDate,IF($R7=0,$X7,IF(AND($T7&lt;&gt;"",EDATE($D7,Milestones!$AA$81)&gt;=$T7),$W7,IF(AND($S7&lt;&gt;"",EDATE($D7,Milestones!$AA$81)&gt;=$S7),$V7,$U7)))=Milestones!$AB$81),UPPER(TEXT(EDATE($D7,Milestones!$AA$81),"dd mmm yy"))&amp;" "&amp;Milestones!$AB$81&amp;" "&amp;Milestones!$AC$81&amp;";  ","")&amp;IF(AND(EDATE($D7,Milestones!$AA$82)&lt;=AsOfDate,IF($R7=0,$X7,IF(AND($T7&lt;&gt;"",EDATE($D7,Milestones!$AA$82)&gt;=$T7),$W7,IF(AND($S7&lt;&gt;"",EDATE($D7,Milestones!$AA$82)&gt;=$S7),$V7,$U7)))=Milestones!$AB$82),UPPER(TEXT(EDATE($D7,Milestones!$AA$82),"dd mmm yy"))&amp;" "&amp;Milestones!$AB$82&amp;" "&amp;Milestones!$AC$82&amp;";  ","")&amp;IF(AND(EDATE($D7,Milestones!$AA$83)&lt;=AsOfDate,IF($R7=0,$X7,IF(AND($T7&lt;&gt;"",EDATE($D7,Milestones!$AA$83)&gt;=$T7),$W7,IF(AND($S7&lt;&gt;"",EDATE($D7,Milestones!$AA$83)&gt;=$S7),$V7,$U7)))=Milestones!$AB$83),UPPER(TEXT(EDATE($D7,Milestones!$AA$83),"dd mmm yy"))&amp;" "&amp;Milestones!$AB$83&amp;" "&amp;Milestones!$AC$83&amp;";  ","")&amp;IF(AND(EDATE($D7,Milestones!$AA$84)&lt;=AsOfDate,IF($R7=0,$X7,IF(AND($T7&lt;&gt;"",EDATE($D7,Milestones!$AA$84)&gt;=$T7),$W7,IF(AND($S7&lt;&gt;"",EDATE($D7,Milestones!$AA$84)&gt;=$S7),$V7,$U7)))=Milestones!$AB$84),UPPER(TEXT(EDATE($D7,Milestones!$AA$84),"dd mmm yy"))&amp;" "&amp;Milestones!$AB$84&amp;" "&amp;Milestones!$AC$84&amp;";  ","")&amp;IF(AND(EDATE($D7,Milestones!$AA$85)&lt;=AsOfDate,IF($R7=0,$X7,IF(AND($T7&lt;&gt;"",EDATE($D7,Milestones!$AA$85)&gt;=$T7),$W7,IF(AND($S7&lt;&gt;"",EDATE($D7,Milestones!$AA$85)&gt;=$S7),$V7,$U7)))=Milestones!$AB$85),UPPER(TEXT(EDATE($D7,Milestones!$AA$85),"dd mmm yy"))&amp;" "&amp;Milestones!$AB$85&amp;" "&amp;Milestones!$AC$85&amp;";  ","")&amp;IF(AND(EDATE($D7,Milestones!$AA$86)&lt;=AsOfDate,IF($R7=0,$X7,IF(AND($T7&lt;&gt;"",EDATE($D7,Milestones!$AA$86)&gt;=$T7),$W7,IF(AND($S7&lt;&gt;"",EDATE($D7,Milestones!$AA$86)&gt;=$S7),$V7,$U7)))=Milestones!$AB$86),UPPER(TEXT(EDATE($D7,Milestones!$AA$86),"dd mmm yy"))&amp;" "&amp;Milestones!$AB$86&amp;" "&amp;Milestones!$AC$86&amp;";  ","")&amp;IF(AND(EDATE($D7,Milestones!$AA$87)&lt;=AsOfDate,IF($R7=0,$X7,IF(AND($T7&lt;&gt;"",EDATE($D7,Milestones!$AA$87)&gt;=$T7),$W7,IF(AND($S7&lt;&gt;"",EDATE($D7,Milestones!$AA$87)&gt;=$S7),$V7,$U7)))=Milestones!$AB$87),UPPER(TEXT(EDATE($D7,Milestones!$AA$87),"dd mmm yy"))&amp;" "&amp;Milestones!$AB$87&amp;" "&amp;Milestones!$AC$87&amp;";  ","")&amp;IF(AND(EDATE($D7,Milestones!$AA$88)&lt;=AsOfDate,IF($R7=0,$X7,IF(AND($T7&lt;&gt;"",EDATE($D7,Milestones!$AA$88)&gt;=$T7),$W7,IF(AND($S7&lt;&gt;"",EDATE($D7,Milestones!$AA$88)&gt;=$S7),$V7,$U7)))=Milestones!$AB$88),UPPER(TEXT(EDATE($D7,Milestones!$AA$88),"dd mmm yy"))&amp;" "&amp;Milestones!$AB$88&amp;" "&amp;Milestones!$AC$88&amp;";  ","")&amp;IF(AND(EDATE($D7,Milestones!$AA$89)&lt;=AsOfDate,IF($R7=0,$X7,IF(AND($T7&lt;&gt;"",EDATE($D7,Milestones!$AA$89)&gt;=$T7),$W7,IF(AND($S7&lt;&gt;"",EDATE($D7,Milestones!$AA$89)&gt;=$S7),$V7,$U7)))=Milestones!$AB$89),UPPER(TEXT(EDATE($D7,Milestones!$AA$89),"dd mmm yy"))&amp;" "&amp;Milestones!$AB$89&amp;" "&amp;Milestones!$AC$89&amp;";  ","")&amp;IF(AND(EDATE($D7,Milestones!$AA$90)&lt;=AsOfDate,IF($R7=0,$X7,IF(AND($T7&lt;&gt;"",EDATE($D7,Milestones!$AA$90)&gt;=$T7),$W7,IF(AND($S7&lt;&gt;"",EDATE($D7,Milestones!$AA$90)&gt;=$S7),$V7,$U7)))=Milestones!$AB$90),UPPER(TEXT(EDATE($D7,Milestones!$AA$90),"dd mmm yy"))&amp;" "&amp;Milestones!$AB$90&amp;" "&amp;Milestones!$AC$90&amp;";  ","")&amp;IF(AND(EDATE($D7,Milestones!$AA$91)&lt;=AsOfDate,IF($R7=0,$X7,IF(AND($T7&lt;&gt;"",EDATE($D7,Milestones!$AA$91)&gt;=$T7),$W7,IF(AND($S7&lt;&gt;"",EDATE($D7,Milestones!$AA$91)&gt;=$S7),$V7,$U7)))=Milestones!$AB$91),UPPER(TEXT(EDATE($D7,Milestones!$AA$91),"dd mmm yy"))&amp;" "&amp;Milestones!$AB$91&amp;" "&amp;Milestones!$AC$91&amp;";  ","")&amp;IF(AND(EDATE($D7,Milestones!$AA$92)&lt;=AsOfDate,IF($R7=0,$X7,IF(AND($T7&lt;&gt;"",EDATE($D7,Milestones!$AA$92)&gt;=$T7),$W7,IF(AND($S7&lt;&gt;"",EDATE($D7,Milestones!$AA$92)&gt;=$S7),$V7,$U7)))=Milestones!$AB$92),UPPER(TEXT(EDATE($D7,Milestones!$AA$92),"dd mmm yy"))&amp;" "&amp;Milestones!$AB$92&amp;" "&amp;Milestones!$AC$92&amp;";  ","")&amp;IF(AND(EDATE($D7,Milestones!$AA$93)&lt;=AsOfDate,IF($R7=0,$X7,IF(AND($T7&lt;&gt;"",EDATE($D7,Milestones!$AA$93)&gt;=$T7),$W7,IF(AND($S7&lt;&gt;"",EDATE($D7,Milestones!$AA$93)&gt;=$S7),$V7,$U7)))=Milestones!$AB$93),UPPER(TEXT(EDATE($D7,Milestones!$AA$93),"dd mmm yy"))&amp;" "&amp;Milestones!$AB$93&amp;" "&amp;Milestones!$AC$93&amp;";  ","")&amp;IF(AND(EDATE($D7,Milestones!$AA$94)&lt;=AsOfDate,IF($R7=0,$X7,IF(AND($T7&lt;&gt;"",EDATE($D7,Milestones!$AA$94)&gt;=$T7),$W7,IF(AND($S7&lt;&gt;"",EDATE($D7,Milestones!$AA$94)&gt;=$S7),$V7,$U7)))=Milestones!$AB$94),UPPER(TEXT(EDATE($D7,Milestones!$AA$94),"dd mmm yy"))&amp;" "&amp;Milestones!$AB$94&amp;" "&amp;Milestones!$AC$94&amp;";  ","")&amp;IF(AND(EDATE($D7,Milestones!$AA$95)&lt;=AsOfDate,IF($R7=0,$X7,IF(AND($T7&lt;&gt;"",EDATE($D7,Milestones!$AA$95)&gt;=$T7),$W7,IF(AND($S7&lt;&gt;"",EDATE($D7,Milestones!$AA$95)&gt;=$S7),$V7,$U7)))=Milestones!$AB$95),UPPER(TEXT(EDATE($D7,Milestones!$AA$95),"dd mmm yy"))&amp;" "&amp;Milestones!$AB$95&amp;" "&amp;Milestones!$AC$95&amp;";  ","")&amp;IF(AND(EDATE($D7,Milestones!$AA$96)&lt;=AsOfDate,IF($R7=0,$X7,IF(AND($T7&lt;&gt;"",EDATE($D7,Milestones!$AA$96)&gt;=$T7),$W7,IF(AND($S7&lt;&gt;"",EDATE($D7,Milestones!$AA$96)&gt;=$S7),$V7,$U7)))=Milestones!$AB$96),UPPER(TEXT(EDATE($D7,Milestones!$AA$96),"dd mmm yy"))&amp;" "&amp;Milestones!$AB$96&amp;" "&amp;Milestones!$AC$96&amp;";  ","")&amp;IF(AND(EDATE($D7,Milestones!$AA$97)&lt;=AsOfDate,IF($R7=0,$X7,IF(AND($T7&lt;&gt;"",EDATE($D7,Milestones!$AA$97)&gt;=$T7),$W7,IF(AND($S7&lt;&gt;"",EDATE($D7,Milestones!$AA$97)&gt;=$S7),$V7,$U7)))=Milestones!$AB$97),UPPER(TEXT(EDATE($D7,Milestones!$AA$97),"dd mmm yy"))&amp;" "&amp;Milestones!$AB$97&amp;" "&amp;Milestones!$AC$97&amp;";  ","")&amp;IF(AND(EDATE($D7,Milestones!$AA$98)&lt;=AsOfDate,IF($R7=0,$X7,IF(AND($T7&lt;&gt;"",EDATE($D7,Milestones!$AA$98)&gt;=$T7),$W7,IF(AND($S7&lt;&gt;"",EDATE($D7,Milestones!$AA$98)&gt;=$S7),$V7,$U7)))=Milestones!$AB$98),UPPER(TEXT(EDATE($D7,Milestones!$AA$98),"dd mmm yy"))&amp;" "&amp;Milestones!$AB$98&amp;" "&amp;Milestones!$AC$98&amp;";  ","")&amp;IF(AND(EDATE($D7,Milestones!$AA$99)&lt;=AsOfDate,IF($R7=0,$X7,IF(AND($T7&lt;&gt;"",EDATE($D7,Milestones!$AA$99)&gt;=$T7),$W7,IF(AND($S7&lt;&gt;"",EDATE($D7,Milestones!$AA$99)&gt;=$S7),$V7,$U7)))=Milestones!$AB$99),UPPER(TEXT(EDATE($D7,Milestones!$AA$99),"dd mmm yy"))&amp;" "&amp;Milestones!$AB$99&amp;" "&amp;Milestones!$AC$99&amp;";  ",""))</f>
        <v/>
      </c>
      <c r="M7" s="0" t="str">
        <f aca="false">IF(OR($A7="",$D7=""),"",IF(AND(EDATE($D7,Milestones!$AA$100)&lt;=AsOfDate,IF($R7=0,$X7,IF(AND($T7&lt;&gt;"",EDATE($D7,Milestones!$AA$100)&gt;=$T7),$W7,IF(AND($S7&lt;&gt;"",EDATE($D7,Milestones!$AA$100)&gt;=$S7),$V7,$U7)))=Milestones!$AB$100),UPPER(TEXT(EDATE($D7,Milestones!$AA$100),"dd mmm yy"))&amp;" "&amp;Milestones!$AB$100&amp;" "&amp;Milestones!$AC$100&amp;";  ","")&amp;IF(AND(EDATE($D7,Milestones!$AA$101)&lt;=AsOfDate,IF($R7=0,$X7,IF(AND($T7&lt;&gt;"",EDATE($D7,Milestones!$AA$101)&gt;=$T7),$W7,IF(AND($S7&lt;&gt;"",EDATE($D7,Milestones!$AA$101)&gt;=$S7),$V7,$U7)))=Milestones!$AB$101),UPPER(TEXT(EDATE($D7,Milestones!$AA$101),"dd mmm yy"))&amp;" "&amp;Milestones!$AB$101&amp;" "&amp;Milestones!$AC$101&amp;";  ","")&amp;IF(AND(EDATE($D7,Milestones!$AA$102)&lt;=AsOfDate,IF($R7=0,$X7,IF(AND($T7&lt;&gt;"",EDATE($D7,Milestones!$AA$102)&gt;=$T7),$W7,IF(AND($S7&lt;&gt;"",EDATE($D7,Milestones!$AA$102)&gt;=$S7),$V7,$U7)))=Milestones!$AB$102),UPPER(TEXT(EDATE($D7,Milestones!$AA$102),"dd mmm yy"))&amp;" "&amp;Milestones!$AB$102&amp;" "&amp;Milestones!$AC$102&amp;";  ","")&amp;IF(AND(EDATE($D7,Milestones!$AA$103)&lt;=AsOfDate,IF($R7=0,$X7,IF(AND($T7&lt;&gt;"",EDATE($D7,Milestones!$AA$103)&gt;=$T7),$W7,IF(AND($S7&lt;&gt;"",EDATE($D7,Milestones!$AA$103)&gt;=$S7),$V7,$U7)))=Milestones!$AB$103),UPPER(TEXT(EDATE($D7,Milestones!$AA$103),"dd mmm yy"))&amp;" "&amp;Milestones!$AB$103&amp;" "&amp;Milestones!$AC$103&amp;";  ","")&amp;IF(AND(EDATE($D7,Milestones!$AA$104)&lt;=AsOfDate,IF($R7=0,$X7,IF(AND($T7&lt;&gt;"",EDATE($D7,Milestones!$AA$104)&gt;=$T7),$W7,IF(AND($S7&lt;&gt;"",EDATE($D7,Milestones!$AA$104)&gt;=$S7),$V7,$U7)))=Milestones!$AB$104),UPPER(TEXT(EDATE($D7,Milestones!$AA$104),"dd mmm yy"))&amp;" "&amp;Milestones!$AB$104&amp;" "&amp;Milestones!$AC$104&amp;";  ","")&amp;IF(AND(EDATE($D7,Milestones!$AA$105)&lt;=AsOfDate,IF($R7=0,$X7,IF(AND($T7&lt;&gt;"",EDATE($D7,Milestones!$AA$105)&gt;=$T7),$W7,IF(AND($S7&lt;&gt;"",EDATE($D7,Milestones!$AA$105)&gt;=$S7),$V7,$U7)))=Milestones!$AB$105),UPPER(TEXT(EDATE($D7,Milestones!$AA$105),"dd mmm yy"))&amp;" "&amp;Milestones!$AB$105&amp;" "&amp;Milestones!$AC$105&amp;";  ","")&amp;IF(AND(EDATE($D7,Milestones!$AA$106)&lt;=AsOfDate,IF($R7=0,$X7,IF(AND($T7&lt;&gt;"",EDATE($D7,Milestones!$AA$106)&gt;=$T7),$W7,IF(AND($S7&lt;&gt;"",EDATE($D7,Milestones!$AA$106)&gt;=$S7),$V7,$U7)))=Milestones!$AB$106),UPPER(TEXT(EDATE($D7,Milestones!$AA$106),"dd mmm yy"))&amp;" "&amp;Milestones!$AB$106&amp;" "&amp;Milestones!$AC$106&amp;";  ","")&amp;IF(AND(EDATE($D7,Milestones!$AA$107)&lt;=AsOfDate,IF($R7=0,$X7,IF(AND($T7&lt;&gt;"",EDATE($D7,Milestones!$AA$107)&gt;=$T7),$W7,IF(AND($S7&lt;&gt;"",EDATE($D7,Milestones!$AA$107)&gt;=$S7),$V7,$U7)))=Milestones!$AB$107),UPPER(TEXT(EDATE($D7,Milestones!$AA$107),"dd mmm yy"))&amp;" "&amp;Milestones!$AB$107&amp;" "&amp;Milestones!$AC$107&amp;";  ","")&amp;IF(AND(EDATE($D7,Milestones!$AA$108)&lt;=AsOfDate,IF($R7=0,$X7,IF(AND($T7&lt;&gt;"",EDATE($D7,Milestones!$AA$108)&gt;=$T7),$W7,IF(AND($S7&lt;&gt;"",EDATE($D7,Milestones!$AA$108)&gt;=$S7),$V7,$U7)))=Milestones!$AB$108),UPPER(TEXT(EDATE($D7,Milestones!$AA$108),"dd mmm yy"))&amp;" "&amp;Milestones!$AB$108&amp;" "&amp;Milestones!$AC$108&amp;";  ","")&amp;IF(AND(EDATE($D7,Milestones!$AA$109)&lt;=AsOfDate,IF($R7=0,$X7,IF(AND($T7&lt;&gt;"",EDATE($D7,Milestones!$AA$109)&gt;=$T7),$W7,IF(AND($S7&lt;&gt;"",EDATE($D7,Milestones!$AA$109)&gt;=$S7),$V7,$U7)))=Milestones!$AB$109),UPPER(TEXT(EDATE($D7,Milestones!$AA$109),"dd mmm yy"))&amp;" "&amp;Milestones!$AB$109&amp;" "&amp;Milestones!$AC$109&amp;";  ","")&amp;IF(AND(EDATE($D7,Milestones!$AA$110)&lt;=AsOfDate,IF($R7=0,$X7,IF(AND($T7&lt;&gt;"",EDATE($D7,Milestones!$AA$110)&gt;=$T7),$W7,IF(AND($S7&lt;&gt;"",EDATE($D7,Milestones!$AA$110)&gt;=$S7),$V7,$U7)))=Milestones!$AB$110),UPPER(TEXT(EDATE($D7,Milestones!$AA$110),"dd mmm yy"))&amp;" "&amp;Milestones!$AB$110&amp;" "&amp;Milestones!$AC$110&amp;";  ","")&amp;IF(AND(EDATE($D7,Milestones!$AA$111)&lt;=AsOfDate,IF($R7=0,$X7,IF(AND($T7&lt;&gt;"",EDATE($D7,Milestones!$AA$111)&gt;=$T7),$W7,IF(AND($S7&lt;&gt;"",EDATE($D7,Milestones!$AA$111)&gt;=$S7),$V7,$U7)))=Milestones!$AB$111),UPPER(TEXT(EDATE($D7,Milestones!$AA$111),"dd mmm yy"))&amp;" "&amp;Milestones!$AB$111&amp;" "&amp;Milestones!$AC$111&amp;";  ","")&amp;IF(AND(EDATE($D7,Milestones!$AA$112)&lt;=AsOfDate,IF($R7=0,$X7,IF(AND($T7&lt;&gt;"",EDATE($D7,Milestones!$AA$112)&gt;=$T7),$W7,IF(AND($S7&lt;&gt;"",EDATE($D7,Milestones!$AA$112)&gt;=$S7),$V7,$U7)))=Milestones!$AB$112),UPPER(TEXT(EDATE($D7,Milestones!$AA$112),"dd mmm yy"))&amp;" "&amp;Milestones!$AB$112&amp;" "&amp;Milestones!$AC$112&amp;";  ","")&amp;IF(AND(EDATE($D7,Milestones!$AA$113)&lt;=AsOfDate,IF($R7=0,$X7,IF(AND($T7&lt;&gt;"",EDATE($D7,Milestones!$AA$113)&gt;=$T7),$W7,IF(AND($S7&lt;&gt;"",EDATE($D7,Milestones!$AA$113)&gt;=$S7),$V7,$U7)))=Milestones!$AB$113),UPPER(TEXT(EDATE($D7,Milestones!$AA$113),"dd mmm yy"))&amp;" "&amp;Milestones!$AB$113&amp;" "&amp;Milestones!$AC$113&amp;";  ","")&amp;IF(AND(EDATE($D7,Milestones!$AA$114)&lt;=AsOfDate,IF($R7=0,$X7,IF(AND($T7&lt;&gt;"",EDATE($D7,Milestones!$AA$114)&gt;=$T7),$W7,IF(AND($S7&lt;&gt;"",EDATE($D7,Milestones!$AA$114)&gt;=$S7),$V7,$U7)))=Milestones!$AB$114),UPPER(TEXT(EDATE($D7,Milestones!$AA$114),"dd mmm yy"))&amp;" "&amp;Milestones!$AB$114&amp;" "&amp;Milestones!$AC$114&amp;";  ","")&amp;IF(AND(EDATE($D7,Milestones!$AA$115)&lt;=AsOfDate,IF($R7=0,$X7,IF(AND($T7&lt;&gt;"",EDATE($D7,Milestones!$AA$115)&gt;=$T7),$W7,IF(AND($S7&lt;&gt;"",EDATE($D7,Milestones!$AA$115)&gt;=$S7),$V7,$U7)))=Milestones!$AB$115),UPPER(TEXT(EDATE($D7,Milestones!$AA$115),"dd mmm yy"))&amp;" "&amp;Milestones!$AB$115&amp;" "&amp;Milestones!$AC$115&amp;";  ","")&amp;IF(AND(EDATE($D7,Milestones!$AA$116)&lt;=AsOfDate,IF($R7=0,$X7,IF(AND($T7&lt;&gt;"",EDATE($D7,Milestones!$AA$116)&gt;=$T7),$W7,IF(AND($S7&lt;&gt;"",EDATE($D7,Milestones!$AA$116)&gt;=$S7),$V7,$U7)))=Milestones!$AB$116),UPPER(TEXT(EDATE($D7,Milestones!$AA$116),"dd mmm yy"))&amp;" "&amp;Milestones!$AB$116&amp;" "&amp;Milestones!$AC$116&amp;";  ","")&amp;IF(AND(EDATE($D7,Milestones!$AA$117)&lt;=AsOfDate,IF($R7=0,$X7,IF(AND($T7&lt;&gt;"",EDATE($D7,Milestones!$AA$117)&gt;=$T7),$W7,IF(AND($S7&lt;&gt;"",EDATE($D7,Milestones!$AA$117)&gt;=$S7),$V7,$U7)))=Milestones!$AB$117),UPPER(TEXT(EDATE($D7,Milestones!$AA$117),"dd mmm yy"))&amp;" "&amp;Milestones!$AB$117&amp;" "&amp;Milestones!$AC$117&amp;";  ","")&amp;IF(AND(EDATE($D7,Milestones!$AA$118)&lt;=AsOfDate,IF($R7=0,$X7,IF(AND($T7&lt;&gt;"",EDATE($D7,Milestones!$AA$118)&gt;=$T7),$W7,IF(AND($S7&lt;&gt;"",EDATE($D7,Milestones!$AA$118)&gt;=$S7),$V7,$U7)))=Milestones!$AB$118),UPPER(TEXT(EDATE($D7,Milestones!$AA$118),"dd mmm yy"))&amp;" "&amp;Milestones!$AB$118&amp;" "&amp;Milestones!$AC$118&amp;";  ","")&amp;IF(AND(EDATE($D7,Milestones!$AA$119)&lt;=AsOfDate,IF($R7=0,$X7,IF(AND($T7&lt;&gt;"",EDATE($D7,Milestones!$AA$119)&gt;=$T7),$W7,IF(AND($S7&lt;&gt;"",EDATE($D7,Milestones!$AA$119)&gt;=$S7),$V7,$U7)))=Milestones!$AB$119),UPPER(TEXT(EDATE($D7,Milestones!$AA$119),"dd mmm yy"))&amp;" "&amp;Milestones!$AB$119&amp;" "&amp;Milestones!$AC$119&amp;";  ",""))</f>
        <v/>
      </c>
      <c r="N7" s="0" t="str">
        <f aca="false">IF(OR($A7="",$D7=""),"",IF(AND(EDATE($D7,Milestones!$AA$120)&lt;=AsOfDate,IF($R7=0,$X7,IF(AND($T7&lt;&gt;"",EDATE($D7,Milestones!$AA$120)&gt;=$T7),$W7,IF(AND($S7&lt;&gt;"",EDATE($D7,Milestones!$AA$120)&gt;=$S7),$V7,$U7)))=Milestones!$AB$120),UPPER(TEXT(EDATE($D7,Milestones!$AA$120),"dd mmm yy"))&amp;" "&amp;Milestones!$AB$120&amp;" "&amp;Milestones!$AC$120&amp;";  ","")&amp;IF(AND(EDATE($D7,Milestones!$AA$121)&lt;=AsOfDate,IF($R7=0,$X7,IF(AND($T7&lt;&gt;"",EDATE($D7,Milestones!$AA$121)&gt;=$T7),$W7,IF(AND($S7&lt;&gt;"",EDATE($D7,Milestones!$AA$121)&gt;=$S7),$V7,$U7)))=Milestones!$AB$121),UPPER(TEXT(EDATE($D7,Milestones!$AA$121),"dd mmm yy"))&amp;" "&amp;Milestones!$AB$121&amp;" "&amp;Milestones!$AC$121&amp;";  ","")&amp;IF(AND(EDATE($D7,Milestones!$AA$122)&lt;=AsOfDate,IF($R7=0,$X7,IF(AND($T7&lt;&gt;"",EDATE($D7,Milestones!$AA$122)&gt;=$T7),$W7,IF(AND($S7&lt;&gt;"",EDATE($D7,Milestones!$AA$122)&gt;=$S7),$V7,$U7)))=Milestones!$AB$122),UPPER(TEXT(EDATE($D7,Milestones!$AA$122),"dd mmm yy"))&amp;" "&amp;Milestones!$AB$122&amp;" "&amp;Milestones!$AC$122&amp;";  ","")&amp;IF(AND(EDATE($D7,Milestones!$AA$123)&lt;=AsOfDate,IF($R7=0,$X7,IF(AND($T7&lt;&gt;"",EDATE($D7,Milestones!$AA$123)&gt;=$T7),$W7,IF(AND($S7&lt;&gt;"",EDATE($D7,Milestones!$AA$123)&gt;=$S7),$V7,$U7)))=Milestones!$AB$123),UPPER(TEXT(EDATE($D7,Milestones!$AA$123),"dd mmm yy"))&amp;" "&amp;Milestones!$AB$123&amp;" "&amp;Milestones!$AC$123&amp;";  ","")&amp;IF(AND(EDATE($D7,Milestones!$AA$124)&lt;=AsOfDate,IF($R7=0,$X7,IF(AND($T7&lt;&gt;"",EDATE($D7,Milestones!$AA$124)&gt;=$T7),$W7,IF(AND($S7&lt;&gt;"",EDATE($D7,Milestones!$AA$124)&gt;=$S7),$V7,$U7)))=Milestones!$AB$124),UPPER(TEXT(EDATE($D7,Milestones!$AA$124),"dd mmm yy"))&amp;" "&amp;Milestones!$AB$124&amp;" "&amp;Milestones!$AC$124&amp;";  ","")&amp;IF(AND(EDATE($D7,Milestones!$AA$125)&lt;=AsOfDate,IF($R7=0,$X7,IF(AND($T7&lt;&gt;"",EDATE($D7,Milestones!$AA$125)&gt;=$T7),$W7,IF(AND($S7&lt;&gt;"",EDATE($D7,Milestones!$AA$125)&gt;=$S7),$V7,$U7)))=Milestones!$AB$125),UPPER(TEXT(EDATE($D7,Milestones!$AA$125),"dd mmm yy"))&amp;" "&amp;Milestones!$AB$125&amp;" "&amp;Milestones!$AC$125&amp;";  ","")&amp;IF(AND(EDATE($D7,Milestones!$AA$126)&lt;=AsOfDate,IF($R7=0,$X7,IF(AND($T7&lt;&gt;"",EDATE($D7,Milestones!$AA$126)&gt;=$T7),$W7,IF(AND($S7&lt;&gt;"",EDATE($D7,Milestones!$AA$126)&gt;=$S7),$V7,$U7)))=Milestones!$AB$126),UPPER(TEXT(EDATE($D7,Milestones!$AA$126),"dd mmm yy"))&amp;" "&amp;Milestones!$AB$126&amp;" "&amp;Milestones!$AC$126&amp;";  ","")&amp;IF(AND(EDATE($D7,Milestones!$AA$127)&lt;=AsOfDate,IF($R7=0,$X7,IF(AND($T7&lt;&gt;"",EDATE($D7,Milestones!$AA$127)&gt;=$T7),$W7,IF(AND($S7&lt;&gt;"",EDATE($D7,Milestones!$AA$127)&gt;=$S7),$V7,$U7)))=Milestones!$AB$127),UPPER(TEXT(EDATE($D7,Milestones!$AA$127),"dd mmm yy"))&amp;" "&amp;Milestones!$AB$127&amp;" "&amp;Milestones!$AC$127&amp;";  ","")&amp;IF(AND(EDATE($D7,Milestones!$AA$128)&lt;=AsOfDate,IF($R7=0,$X7,IF(AND($T7&lt;&gt;"",EDATE($D7,Milestones!$AA$128)&gt;=$T7),$W7,IF(AND($S7&lt;&gt;"",EDATE($D7,Milestones!$AA$128)&gt;=$S7),$V7,$U7)))=Milestones!$AB$128),UPPER(TEXT(EDATE($D7,Milestones!$AA$128),"dd mmm yy"))&amp;" "&amp;Milestones!$AB$128&amp;" "&amp;Milestones!$AC$128&amp;";  ","")&amp;IF(AND(EDATE($D7,Milestones!$AA$129)&lt;=AsOfDate,IF($R7=0,$X7,IF(AND($T7&lt;&gt;"",EDATE($D7,Milestones!$AA$129)&gt;=$T7),$W7,IF(AND($S7&lt;&gt;"",EDATE($D7,Milestones!$AA$129)&gt;=$S7),$V7,$U7)))=Milestones!$AB$129),UPPER(TEXT(EDATE($D7,Milestones!$AA$129),"dd mmm yy"))&amp;" "&amp;Milestones!$AB$129&amp;" "&amp;Milestones!$AC$129&amp;";  ","")&amp;IF(AND(EDATE($D7,Milestones!$AA$130)&lt;=AsOfDate,IF($R7=0,$X7,IF(AND($T7&lt;&gt;"",EDATE($D7,Milestones!$AA$130)&gt;=$T7),$W7,IF(AND($S7&lt;&gt;"",EDATE($D7,Milestones!$AA$130)&gt;=$S7),$V7,$U7)))=Milestones!$AB$130),UPPER(TEXT(EDATE($D7,Milestones!$AA$130),"dd mmm yy"))&amp;" "&amp;Milestones!$AB$130&amp;" "&amp;Milestones!$AC$130&amp;";  ","")&amp;IF(AND(EDATE($D7,Milestones!$AA$131)&lt;=AsOfDate,IF($R7=0,$X7,IF(AND($T7&lt;&gt;"",EDATE($D7,Milestones!$AA$131)&gt;=$T7),$W7,IF(AND($S7&lt;&gt;"",EDATE($D7,Milestones!$AA$131)&gt;=$S7),$V7,$U7)))=Milestones!$AB$131),UPPER(TEXT(EDATE($D7,Milestones!$AA$131),"dd mmm yy"))&amp;" "&amp;Milestones!$AB$131&amp;" "&amp;Milestones!$AC$131&amp;";  ","")&amp;IF(AND(EDATE($D7,Milestones!$AA$132)&lt;=AsOfDate,IF($R7=0,$X7,IF(AND($T7&lt;&gt;"",EDATE($D7,Milestones!$AA$132)&gt;=$T7),$W7,IF(AND($S7&lt;&gt;"",EDATE($D7,Milestones!$AA$132)&gt;=$S7),$V7,$U7)))=Milestones!$AB$132),UPPER(TEXT(EDATE($D7,Milestones!$AA$132),"dd mmm yy"))&amp;" "&amp;Milestones!$AB$132&amp;" "&amp;Milestones!$AC$132&amp;";  ","")&amp;IF(AND(EDATE($D7,Milestones!$AA$133)&lt;=AsOfDate,IF($R7=0,$X7,IF(AND($T7&lt;&gt;"",EDATE($D7,Milestones!$AA$133)&gt;=$T7),$W7,IF(AND($S7&lt;&gt;"",EDATE($D7,Milestones!$AA$133)&gt;=$S7),$V7,$U7)))=Milestones!$AB$133),UPPER(TEXT(EDATE($D7,Milestones!$AA$133),"dd mmm yy"))&amp;" "&amp;Milestones!$AB$133&amp;" "&amp;Milestones!$AC$133&amp;";  ","")&amp;IF(AND(EDATE($D7,Milestones!$AA$134)&lt;=AsOfDate,IF($R7=0,$X7,IF(AND($T7&lt;&gt;"",EDATE($D7,Milestones!$AA$134)&gt;=$T7),$W7,IF(AND($S7&lt;&gt;"",EDATE($D7,Milestones!$AA$134)&gt;=$S7),$V7,$U7)))=Milestones!$AB$134),UPPER(TEXT(EDATE($D7,Milestones!$AA$134),"dd mmm yy"))&amp;" "&amp;Milestones!$AB$134&amp;" "&amp;Milestones!$AC$134&amp;";  ","")&amp;IF(AND(EDATE($D7,Milestones!$AA$135)&lt;=AsOfDate,IF($R7=0,$X7,IF(AND($T7&lt;&gt;"",EDATE($D7,Milestones!$AA$135)&gt;=$T7),$W7,IF(AND($S7&lt;&gt;"",EDATE($D7,Milestones!$AA$135)&gt;=$S7),$V7,$U7)))=Milestones!$AB$135),UPPER(TEXT(EDATE($D7,Milestones!$AA$135),"dd mmm yy"))&amp;" "&amp;Milestones!$AB$135&amp;" "&amp;Milestones!$AC$135&amp;";  ","")&amp;IF(AND(EDATE($D7,Milestones!$AA$136)&lt;=AsOfDate,IF($R7=0,$X7,IF(AND($T7&lt;&gt;"",EDATE($D7,Milestones!$AA$136)&gt;=$T7),$W7,IF(AND($S7&lt;&gt;"",EDATE($D7,Milestones!$AA$136)&gt;=$S7),$V7,$U7)))=Milestones!$AB$136),UPPER(TEXT(EDATE($D7,Milestones!$AA$136),"dd mmm yy"))&amp;" "&amp;Milestones!$AB$136&amp;" "&amp;Milestones!$AC$136&amp;";  ","")&amp;IF(AND(EDATE($D7,Milestones!$AA$137)&lt;=AsOfDate,IF($R7=0,$X7,IF(AND($T7&lt;&gt;"",EDATE($D7,Milestones!$AA$137)&gt;=$T7),$W7,IF(AND($S7&lt;&gt;"",EDATE($D7,Milestones!$AA$137)&gt;=$S7),$V7,$U7)))=Milestones!$AB$137),UPPER(TEXT(EDATE($D7,Milestones!$AA$137),"dd mmm yy"))&amp;" "&amp;Milestones!$AB$137&amp;" "&amp;Milestones!$AC$137&amp;";  ","")&amp;IF(AND(EDATE($D7,Milestones!$AA$138)&lt;=AsOfDate,IF($R7=0,$X7,IF(AND($T7&lt;&gt;"",EDATE($D7,Milestones!$AA$138)&gt;=$T7),$W7,IF(AND($S7&lt;&gt;"",EDATE($D7,Milestones!$AA$138)&gt;=$S7),$V7,$U7)))=Milestones!$AB$138),UPPER(TEXT(EDATE($D7,Milestones!$AA$138),"dd mmm yy"))&amp;" "&amp;Milestones!$AB$138&amp;" "&amp;Milestones!$AC$138&amp;";  ","")&amp;IF(AND(EDATE($D7,Milestones!$AA$139)&lt;=AsOfDate,IF($R7=0,$X7,IF(AND($T7&lt;&gt;"",EDATE($D7,Milestones!$AA$139)&gt;=$T7),$W7,IF(AND($S7&lt;&gt;"",EDATE($D7,Milestones!$AA$139)&gt;=$S7),$V7,$U7)))=Milestones!$AB$139),UPPER(TEXT(EDATE($D7,Milestones!$AA$139),"dd mmm yy"))&amp;" "&amp;Milestones!$AB$139&amp;" "&amp;Milestones!$AC$139&amp;";  ",""))</f>
        <v/>
      </c>
      <c r="O7" s="0" t="str">
        <f aca="false">IF(OR($A7="",$D7=""),"",IF(AND(EDATE($D7,Milestones!$AA$140)&lt;=AsOfDate,IF($R7=0,$X7,IF(AND($T7&lt;&gt;"",EDATE($D7,Milestones!$AA$140)&gt;=$T7),$W7,IF(AND($S7&lt;&gt;"",EDATE($D7,Milestones!$AA$140)&gt;=$S7),$V7,$U7)))=Milestones!$AB$140),UPPER(TEXT(EDATE($D7,Milestones!$AA$140),"dd mmm yy"))&amp;" "&amp;Milestones!$AB$140&amp;" "&amp;Milestones!$AC$140&amp;";  ","")&amp;IF(AND(EDATE($D7,Milestones!$AA$141)&lt;=AsOfDate,IF($R7=0,$X7,IF(AND($T7&lt;&gt;"",EDATE($D7,Milestones!$AA$141)&gt;=$T7),$W7,IF(AND($S7&lt;&gt;"",EDATE($D7,Milestones!$AA$141)&gt;=$S7),$V7,$U7)))=Milestones!$AB$141),UPPER(TEXT(EDATE($D7,Milestones!$AA$141),"dd mmm yy"))&amp;" "&amp;Milestones!$AB$141&amp;" "&amp;Milestones!$AC$141&amp;";  ","")&amp;IF(AND(EDATE($D7,Milestones!$AA$142)&lt;=AsOfDate,IF($R7=0,$X7,IF(AND($T7&lt;&gt;"",EDATE($D7,Milestones!$AA$142)&gt;=$T7),$W7,IF(AND($S7&lt;&gt;"",EDATE($D7,Milestones!$AA$142)&gt;=$S7),$V7,$U7)))=Milestones!$AB$142),UPPER(TEXT(EDATE($D7,Milestones!$AA$142),"dd mmm yy"))&amp;" "&amp;Milestones!$AB$142&amp;" "&amp;Milestones!$AC$142&amp;";  ","")&amp;IF(AND(EDATE($D7,Milestones!$AA$143)&lt;=AsOfDate,IF($R7=0,$X7,IF(AND($T7&lt;&gt;"",EDATE($D7,Milestones!$AA$143)&gt;=$T7),$W7,IF(AND($S7&lt;&gt;"",EDATE($D7,Milestones!$AA$143)&gt;=$S7),$V7,$U7)))=Milestones!$AB$143),UPPER(TEXT(EDATE($D7,Milestones!$AA$143),"dd mmm yy"))&amp;" "&amp;Milestones!$AB$143&amp;" "&amp;Milestones!$AC$143&amp;";  ","")&amp;IF(AND(EDATE($D7,Milestones!$AA$144)&lt;=AsOfDate,IF($R7=0,$X7,IF(AND($T7&lt;&gt;"",EDATE($D7,Milestones!$AA$144)&gt;=$T7),$W7,IF(AND($S7&lt;&gt;"",EDATE($D7,Milestones!$AA$144)&gt;=$S7),$V7,$U7)))=Milestones!$AB$144),UPPER(TEXT(EDATE($D7,Milestones!$AA$144),"dd mmm yy"))&amp;" "&amp;Milestones!$AB$144&amp;" "&amp;Milestones!$AC$144&amp;";  ","")&amp;IF(AND(EDATE($D7,Milestones!$AA$145)&lt;=AsOfDate,IF($R7=0,$X7,IF(AND($T7&lt;&gt;"",EDATE($D7,Milestones!$AA$145)&gt;=$T7),$W7,IF(AND($S7&lt;&gt;"",EDATE($D7,Milestones!$AA$145)&gt;=$S7),$V7,$U7)))=Milestones!$AB$145),UPPER(TEXT(EDATE($D7,Milestones!$AA$145),"dd mmm yy"))&amp;" "&amp;Milestones!$AB$145&amp;" "&amp;Milestones!$AC$145&amp;";  ","")&amp;IF(AND(EDATE($D7,Milestones!$AA$146)&lt;=AsOfDate,IF($R7=0,$X7,IF(AND($T7&lt;&gt;"",EDATE($D7,Milestones!$AA$146)&gt;=$T7),$W7,IF(AND($S7&lt;&gt;"",EDATE($D7,Milestones!$AA$146)&gt;=$S7),$V7,$U7)))=Milestones!$AB$146),UPPER(TEXT(EDATE($D7,Milestones!$AA$146),"dd mmm yy"))&amp;" "&amp;Milestones!$AB$146&amp;" "&amp;Milestones!$AC$146&amp;";  ","")&amp;IF(AND(EDATE($D7,Milestones!$AA$147)&lt;=AsOfDate,IF($R7=0,$X7,IF(AND($T7&lt;&gt;"",EDATE($D7,Milestones!$AA$147)&gt;=$T7),$W7,IF(AND($S7&lt;&gt;"",EDATE($D7,Milestones!$AA$147)&gt;=$S7),$V7,$U7)))=Milestones!$AB$147),UPPER(TEXT(EDATE($D7,Milestones!$AA$147),"dd mmm yy"))&amp;" "&amp;Milestones!$AB$147&amp;" "&amp;Milestones!$AC$147&amp;";  ","")&amp;IF(AND(EDATE($D7,Milestones!$AA$148)&lt;=AsOfDate,IF($R7=0,$X7,IF(AND($T7&lt;&gt;"",EDATE($D7,Milestones!$AA$148)&gt;=$T7),$W7,IF(AND($S7&lt;&gt;"",EDATE($D7,Milestones!$AA$148)&gt;=$S7),$V7,$U7)))=Milestones!$AB$148),UPPER(TEXT(EDATE($D7,Milestones!$AA$148),"dd mmm yy"))&amp;" "&amp;Milestones!$AB$148&amp;" "&amp;Milestones!$AC$148&amp;";  ","")&amp;IF(AND(EDATE($D7,Milestones!$AA$149)&lt;=AsOfDate,IF($R7=0,$X7,IF(AND($T7&lt;&gt;"",EDATE($D7,Milestones!$AA$149)&gt;=$T7),$W7,IF(AND($S7&lt;&gt;"",EDATE($D7,Milestones!$AA$149)&gt;=$S7),$V7,$U7)))=Milestones!$AB$149),UPPER(TEXT(EDATE($D7,Milestones!$AA$149),"dd mmm yy"))&amp;" "&amp;Milestones!$AB$149&amp;" "&amp;Milestones!$AC$149&amp;";  ","")&amp;IF(AND(EDATE($D7,Milestones!$AA$150)&lt;=AsOfDate,IF($R7=0,$X7,IF(AND($T7&lt;&gt;"",EDATE($D7,Milestones!$AA$150)&gt;=$T7),$W7,IF(AND($S7&lt;&gt;"",EDATE($D7,Milestones!$AA$150)&gt;=$S7),$V7,$U7)))=Milestones!$AB$150),UPPER(TEXT(EDATE($D7,Milestones!$AA$150),"dd mmm yy"))&amp;" "&amp;Milestones!$AB$150&amp;" "&amp;Milestones!$AC$150&amp;";  ","")&amp;IF(AND(EDATE($D7,Milestones!$AA$151)&lt;=AsOfDate,IF($R7=0,$X7,IF(AND($T7&lt;&gt;"",EDATE($D7,Milestones!$AA$151)&gt;=$T7),$W7,IF(AND($S7&lt;&gt;"",EDATE($D7,Milestones!$AA$151)&gt;=$S7),$V7,$U7)))=Milestones!$AB$151),UPPER(TEXT(EDATE($D7,Milestones!$AA$151),"dd mmm yy"))&amp;" "&amp;Milestones!$AB$151&amp;" "&amp;Milestones!$AC$151&amp;";  ","")&amp;IF(AND(EDATE($D7,Milestones!$AA$152)&lt;=AsOfDate,IF($R7=0,$X7,IF(AND($T7&lt;&gt;"",EDATE($D7,Milestones!$AA$152)&gt;=$T7),$W7,IF(AND($S7&lt;&gt;"",EDATE($D7,Milestones!$AA$152)&gt;=$S7),$V7,$U7)))=Milestones!$AB$152),UPPER(TEXT(EDATE($D7,Milestones!$AA$152),"dd mmm yy"))&amp;" "&amp;Milestones!$AB$152&amp;" "&amp;Milestones!$AC$152&amp;";  ","")&amp;IF(AND(EDATE($D7,Milestones!$AA$153)&lt;=AsOfDate,IF($R7=0,$X7,IF(AND($T7&lt;&gt;"",EDATE($D7,Milestones!$AA$153)&gt;=$T7),$W7,IF(AND($S7&lt;&gt;"",EDATE($D7,Milestones!$AA$153)&gt;=$S7),$V7,$U7)))=Milestones!$AB$153),UPPER(TEXT(EDATE($D7,Milestones!$AA$153),"dd mmm yy"))&amp;" "&amp;Milestones!$AB$153&amp;" "&amp;Milestones!$AC$153&amp;";  ","")&amp;IF(AND(EDATE($D7,Milestones!$AA$154)&lt;=AsOfDate,IF($R7=0,$X7,IF(AND($T7&lt;&gt;"",EDATE($D7,Milestones!$AA$154)&gt;=$T7),$W7,IF(AND($S7&lt;&gt;"",EDATE($D7,Milestones!$AA$154)&gt;=$S7),$V7,$U7)))=Milestones!$AB$154),UPPER(TEXT(EDATE($D7,Milestones!$AA$154),"dd mmm yy"))&amp;" "&amp;Milestones!$AB$154&amp;" "&amp;Milestones!$AC$154&amp;";  ","")&amp;IF(AND(EDATE($D7,Milestones!$AA$155)&lt;=AsOfDate,IF($R7=0,$X7,IF(AND($T7&lt;&gt;"",EDATE($D7,Milestones!$AA$155)&gt;=$T7),$W7,IF(AND($S7&lt;&gt;"",EDATE($D7,Milestones!$AA$155)&gt;=$S7),$V7,$U7)))=Milestones!$AB$155),UPPER(TEXT(EDATE($D7,Milestones!$AA$155),"dd mmm yy"))&amp;" "&amp;Milestones!$AB$155&amp;" "&amp;Milestones!$AC$155&amp;";  ","")&amp;IF(AND(EDATE($D7,Milestones!$AA$156)&lt;=AsOfDate,IF($R7=0,$X7,IF(AND($T7&lt;&gt;"",EDATE($D7,Milestones!$AA$156)&gt;=$T7),$W7,IF(AND($S7&lt;&gt;"",EDATE($D7,Milestones!$AA$156)&gt;=$S7),$V7,$U7)))=Milestones!$AB$156),UPPER(TEXT(EDATE($D7,Milestones!$AA$156),"dd mmm yy"))&amp;" "&amp;Milestones!$AB$156&amp;" "&amp;Milestones!$AC$156&amp;";  ","")&amp;IF(AND(EDATE($D7,Milestones!$AA$157)&lt;=AsOfDate,IF($R7=0,$X7,IF(AND($T7&lt;&gt;"",EDATE($D7,Milestones!$AA$157)&gt;=$T7),$W7,IF(AND($S7&lt;&gt;"",EDATE($D7,Milestones!$AA$157)&gt;=$S7),$V7,$U7)))=Milestones!$AB$157),UPPER(TEXT(EDATE($D7,Milestones!$AA$157),"dd mmm yy"))&amp;" "&amp;Milestones!$AB$157&amp;" "&amp;Milestones!$AC$157&amp;";  ","")&amp;IF(AND(EDATE($D7,Milestones!$AA$158)&lt;=AsOfDate,IF($R7=0,$X7,IF(AND($T7&lt;&gt;"",EDATE($D7,Milestones!$AA$158)&gt;=$T7),$W7,IF(AND($S7&lt;&gt;"",EDATE($D7,Milestones!$AA$158)&gt;=$S7),$V7,$U7)))=Milestones!$AB$158),UPPER(TEXT(EDATE($D7,Milestones!$AA$158),"dd mmm yy"))&amp;" "&amp;Milestones!$AB$158&amp;" "&amp;Milestones!$AC$158&amp;";  ","")&amp;IF(AND(EDATE($D7,Milestones!$AA$159)&lt;=AsOfDate,IF($R7=0,$X7,IF(AND($T7&lt;&gt;"",EDATE($D7,Milestones!$AA$159)&gt;=$T7),$W7,IF(AND($S7&lt;&gt;"",EDATE($D7,Milestones!$AA$159)&gt;=$S7),$V7,$U7)))=Milestones!$AB$159),UPPER(TEXT(EDATE($D7,Milestones!$AA$159),"dd mmm yy"))&amp;" "&amp;Milestones!$AB$159&amp;" "&amp;Milestones!$AC$159&amp;";  ",""))</f>
        <v/>
      </c>
      <c r="P7" s="0" t="str">
        <f aca="false">IF(OR($A7="",$D7=""),"",IF(AND(EDATE($D7,Milestones!$AA$160)&lt;=AsOfDate,IF($R7=0,$X7,IF(AND($T7&lt;&gt;"",EDATE($D7,Milestones!$AA$160)&gt;=$T7),$W7,IF(AND($S7&lt;&gt;"",EDATE($D7,Milestones!$AA$160)&gt;=$S7),$V7,$U7)))=Milestones!$AB$160),UPPER(TEXT(EDATE($D7,Milestones!$AA$160),"dd mmm yy"))&amp;" "&amp;Milestones!$AB$160&amp;" "&amp;Milestones!$AC$160&amp;";  ","")&amp;IF(AND(EDATE($D7,Milestones!$AA$161)&lt;=AsOfDate,IF($R7=0,$X7,IF(AND($T7&lt;&gt;"",EDATE($D7,Milestones!$AA$161)&gt;=$T7),$W7,IF(AND($S7&lt;&gt;"",EDATE($D7,Milestones!$AA$161)&gt;=$S7),$V7,$U7)))=Milestones!$AB$161),UPPER(TEXT(EDATE($D7,Milestones!$AA$161),"dd mmm yy"))&amp;" "&amp;Milestones!$AB$161&amp;" "&amp;Milestones!$AC$161&amp;";  ","")&amp;IF(AND(EDATE($D7,Milestones!$AA$162)&lt;=AsOfDate,IF($R7=0,$X7,IF(AND($T7&lt;&gt;"",EDATE($D7,Milestones!$AA$162)&gt;=$T7),$W7,IF(AND($S7&lt;&gt;"",EDATE($D7,Milestones!$AA$162)&gt;=$S7),$V7,$U7)))=Milestones!$AB$162),UPPER(TEXT(EDATE($D7,Milestones!$AA$162),"dd mmm yy"))&amp;" "&amp;Milestones!$AB$162&amp;" "&amp;Milestones!$AC$162&amp;";  ","")&amp;IF(AND(EDATE($D7,Milestones!$AA$163)&lt;=AsOfDate,IF($R7=0,$X7,IF(AND($T7&lt;&gt;"",EDATE($D7,Milestones!$AA$163)&gt;=$T7),$W7,IF(AND($S7&lt;&gt;"",EDATE($D7,Milestones!$AA$163)&gt;=$S7),$V7,$U7)))=Milestones!$AB$163),UPPER(TEXT(EDATE($D7,Milestones!$AA$163),"dd mmm yy"))&amp;" "&amp;Milestones!$AB$163&amp;" "&amp;Milestones!$AC$163&amp;";  ","")&amp;IF(AND(EDATE($D7,Milestones!$AA$164)&lt;=AsOfDate,IF($R7=0,$X7,IF(AND($T7&lt;&gt;"",EDATE($D7,Milestones!$AA$164)&gt;=$T7),$W7,IF(AND($S7&lt;&gt;"",EDATE($D7,Milestones!$AA$164)&gt;=$S7),$V7,$U7)))=Milestones!$AB$164),UPPER(TEXT(EDATE($D7,Milestones!$AA$164),"dd mmm yy"))&amp;" "&amp;Milestones!$AB$164&amp;" "&amp;Milestones!$AC$164&amp;";  ","")&amp;IF(AND(EDATE($D7,Milestones!$AA$165)&lt;=AsOfDate,IF($R7=0,$X7,IF(AND($T7&lt;&gt;"",EDATE($D7,Milestones!$AA$165)&gt;=$T7),$W7,IF(AND($S7&lt;&gt;"",EDATE($D7,Milestones!$AA$165)&gt;=$S7),$V7,$U7)))=Milestones!$AB$165),UPPER(TEXT(EDATE($D7,Milestones!$AA$165),"dd mmm yy"))&amp;" "&amp;Milestones!$AB$165&amp;" "&amp;Milestones!$AC$165&amp;";  ","")&amp;IF(AND(EDATE($D7,Milestones!$AA$166)&lt;=AsOfDate,IF($R7=0,$X7,IF(AND($T7&lt;&gt;"",EDATE($D7,Milestones!$AA$166)&gt;=$T7),$W7,IF(AND($S7&lt;&gt;"",EDATE($D7,Milestones!$AA$166)&gt;=$S7),$V7,$U7)))=Milestones!$AB$166),UPPER(TEXT(EDATE($D7,Milestones!$AA$166),"dd mmm yy"))&amp;" "&amp;Milestones!$AB$166&amp;" "&amp;Milestones!$AC$166&amp;";  ","")&amp;IF(AND(EDATE($D7,Milestones!$AA$167)&lt;=AsOfDate,IF($R7=0,$X7,IF(AND($T7&lt;&gt;"",EDATE($D7,Milestones!$AA$167)&gt;=$T7),$W7,IF(AND($S7&lt;&gt;"",EDATE($D7,Milestones!$AA$167)&gt;=$S7),$V7,$U7)))=Milestones!$AB$167),UPPER(TEXT(EDATE($D7,Milestones!$AA$167),"dd mmm yy"))&amp;" "&amp;Milestones!$AB$167&amp;" "&amp;Milestones!$AC$167&amp;";  ","")&amp;IF(AND(EDATE($D7,Milestones!$AA$168)&lt;=AsOfDate,IF($R7=0,$X7,IF(AND($T7&lt;&gt;"",EDATE($D7,Milestones!$AA$168)&gt;=$T7),$W7,IF(AND($S7&lt;&gt;"",EDATE($D7,Milestones!$AA$168)&gt;=$S7),$V7,$U7)))=Milestones!$AB$168),UPPER(TEXT(EDATE($D7,Milestones!$AA$168),"dd mmm yy"))&amp;" "&amp;Milestones!$AB$168&amp;" "&amp;Milestones!$AC$168&amp;";  ","")&amp;IF(AND(EDATE($D7,Milestones!$AA$169)&lt;=AsOfDate,IF($R7=0,$X7,IF(AND($T7&lt;&gt;"",EDATE($D7,Milestones!$AA$169)&gt;=$T7),$W7,IF(AND($S7&lt;&gt;"",EDATE($D7,Milestones!$AA$169)&gt;=$S7),$V7,$U7)))=Milestones!$AB$169),UPPER(TEXT(EDATE($D7,Milestones!$AA$169),"dd mmm yy"))&amp;" "&amp;Milestones!$AB$169&amp;" "&amp;Milestones!$AC$169&amp;";  ","")&amp;IF(AND(EDATE($D7,Milestones!$AA$170)&lt;=AsOfDate,IF($R7=0,$X7,IF(AND($T7&lt;&gt;"",EDATE($D7,Milestones!$AA$170)&gt;=$T7),$W7,IF(AND($S7&lt;&gt;"",EDATE($D7,Milestones!$AA$170)&gt;=$S7),$V7,$U7)))=Milestones!$AB$170),UPPER(TEXT(EDATE($D7,Milestones!$AA$170),"dd mmm yy"))&amp;" "&amp;Milestones!$AB$170&amp;" "&amp;Milestones!$AC$170&amp;";  ","")&amp;IF(AND(EDATE($D7,Milestones!$AA$171)&lt;=AsOfDate,IF($R7=0,$X7,IF(AND($T7&lt;&gt;"",EDATE($D7,Milestones!$AA$171)&gt;=$T7),$W7,IF(AND($S7&lt;&gt;"",EDATE($D7,Milestones!$AA$171)&gt;=$S7),$V7,$U7)))=Milestones!$AB$171),UPPER(TEXT(EDATE($D7,Milestones!$AA$171),"dd mmm yy"))&amp;" "&amp;Milestones!$AB$171&amp;" "&amp;Milestones!$AC$171&amp;";  ","")&amp;IF(AND(EDATE($D7,Milestones!$AA$172)&lt;=AsOfDate,IF($R7=0,$X7,IF(AND($T7&lt;&gt;"",EDATE($D7,Milestones!$AA$172)&gt;=$T7),$W7,IF(AND($S7&lt;&gt;"",EDATE($D7,Milestones!$AA$172)&gt;=$S7),$V7,$U7)))=Milestones!$AB$172),UPPER(TEXT(EDATE($D7,Milestones!$AA$172),"dd mmm yy"))&amp;" "&amp;Milestones!$AB$172&amp;" "&amp;Milestones!$AC$172&amp;";  ","")&amp;IF(AND(EDATE($D7,Milestones!$AA$173)&lt;=AsOfDate,IF($R7=0,$X7,IF(AND($T7&lt;&gt;"",EDATE($D7,Milestones!$AA$173)&gt;=$T7),$W7,IF(AND($S7&lt;&gt;"",EDATE($D7,Milestones!$AA$173)&gt;=$S7),$V7,$U7)))=Milestones!$AB$173),UPPER(TEXT(EDATE($D7,Milestones!$AA$173),"dd mmm yy"))&amp;" "&amp;Milestones!$AB$173&amp;" "&amp;Milestones!$AC$173&amp;";  ","")&amp;IF(AND(EDATE($D7,Milestones!$AA$174)&lt;=AsOfDate,IF($R7=0,$X7,IF(AND($T7&lt;&gt;"",EDATE($D7,Milestones!$AA$174)&gt;=$T7),$W7,IF(AND($S7&lt;&gt;"",EDATE($D7,Milestones!$AA$174)&gt;=$S7),$V7,$U7)))=Milestones!$AB$174),UPPER(TEXT(EDATE($D7,Milestones!$AA$174),"dd mmm yy"))&amp;" "&amp;Milestones!$AB$174&amp;" "&amp;Milestones!$AC$174&amp;";  ","")&amp;IF(AND(EDATE($D7,Milestones!$AA$175)&lt;=AsOfDate,IF($R7=0,$X7,IF(AND($T7&lt;&gt;"",EDATE($D7,Milestones!$AA$175)&gt;=$T7),$W7,IF(AND($S7&lt;&gt;"",EDATE($D7,Milestones!$AA$175)&gt;=$S7),$V7,$U7)))=Milestones!$AB$175),UPPER(TEXT(EDATE($D7,Milestones!$AA$175),"dd mmm yy"))&amp;" "&amp;Milestones!$AB$175&amp;" "&amp;Milestones!$AC$175&amp;";  ","")&amp;IF(AND(EDATE($D7,Milestones!$AA$176)&lt;=AsOfDate,IF($R7=0,$X7,IF(AND($T7&lt;&gt;"",EDATE($D7,Milestones!$AA$176)&gt;=$T7),$W7,IF(AND($S7&lt;&gt;"",EDATE($D7,Milestones!$AA$176)&gt;=$S7),$V7,$U7)))=Milestones!$AB$176),UPPER(TEXT(EDATE($D7,Milestones!$AA$176),"dd mmm yy"))&amp;" "&amp;Milestones!$AB$176&amp;" "&amp;Milestones!$AC$176&amp;";  ","")&amp;IF(AND(EDATE($D7,Milestones!$AA$177)&lt;=AsOfDate,IF($R7=0,$X7,IF(AND($T7&lt;&gt;"",EDATE($D7,Milestones!$AA$177)&gt;=$T7),$W7,IF(AND($S7&lt;&gt;"",EDATE($D7,Milestones!$AA$177)&gt;=$S7),$V7,$U7)))=Milestones!$AB$177),UPPER(TEXT(EDATE($D7,Milestones!$AA$177),"dd mmm yy"))&amp;" "&amp;Milestones!$AB$177&amp;" "&amp;Milestones!$AC$177&amp;";  ","")&amp;IF(AND(EDATE($D7,Milestones!$AA$178)&lt;=AsOfDate,IF($R7=0,$X7,IF(AND($T7&lt;&gt;"",EDATE($D7,Milestones!$AA$178)&gt;=$T7),$W7,IF(AND($S7&lt;&gt;"",EDATE($D7,Milestones!$AA$178)&gt;=$S7),$V7,$U7)))=Milestones!$AB$178),UPPER(TEXT(EDATE($D7,Milestones!$AA$178),"dd mmm yy"))&amp;" "&amp;Milestones!$AB$178&amp;" "&amp;Milestones!$AC$178&amp;";  ","")&amp;IF(AND(EDATE($D7,Milestones!$AA$179)&lt;=AsOfDate,IF($R7=0,$X7,IF(AND($T7&lt;&gt;"",EDATE($D7,Milestones!$AA$179)&gt;=$T7),$W7,IF(AND($S7&lt;&gt;"",EDATE($D7,Milestones!$AA$179)&gt;=$S7),$V7,$U7)))=Milestones!$AB$179),UPPER(TEXT(EDATE($D7,Milestones!$AA$179),"dd mmm yy"))&amp;" "&amp;Milestones!$AB$179&amp;" "&amp;Milestones!$AC$179&amp;";  ",""))</f>
        <v/>
      </c>
      <c r="Q7" s="0" t="str">
        <f aca="false">IF(OR($A7="",$D7=""),"",IF(AND(EDATE($D7,Milestones!$AA$180)&lt;=AsOfDate,IF($R7=0,$X7,IF(AND($T7&lt;&gt;"",EDATE($D7,Milestones!$AA$180)&gt;=$T7),$W7,IF(AND($S7&lt;&gt;"",EDATE($D7,Milestones!$AA$180)&gt;=$S7),$V7,$U7)))=Milestones!$AB$180),UPPER(TEXT(EDATE($D7,Milestones!$AA$180),"dd mmm yy"))&amp;" "&amp;Milestones!$AB$180&amp;" "&amp;Milestones!$AC$180&amp;";  ","")&amp;IF(AND(EDATE($D7,Milestones!$AA$181)&lt;=AsOfDate,IF($R7=0,$X7,IF(AND($T7&lt;&gt;"",EDATE($D7,Milestones!$AA$181)&gt;=$T7),$W7,IF(AND($S7&lt;&gt;"",EDATE($D7,Milestones!$AA$181)&gt;=$S7),$V7,$U7)))=Milestones!$AB$181),UPPER(TEXT(EDATE($D7,Milestones!$AA$181),"dd mmm yy"))&amp;" "&amp;Milestones!$AB$181&amp;" "&amp;Milestones!$AC$181&amp;";  ","")&amp;IF(AND(EDATE($D7,Milestones!$AA$182)&lt;=AsOfDate,IF($R7=0,$X7,IF(AND($T7&lt;&gt;"",EDATE($D7,Milestones!$AA$182)&gt;=$T7),$W7,IF(AND($S7&lt;&gt;"",EDATE($D7,Milestones!$AA$182)&gt;=$S7),$V7,$U7)))=Milestones!$AB$182),UPPER(TEXT(EDATE($D7,Milestones!$AA$182),"dd mmm yy"))&amp;" "&amp;Milestones!$AB$182&amp;" "&amp;Milestones!$AC$182&amp;";  ","")&amp;IF(AND(EDATE($D7,Milestones!$AA$183)&lt;=AsOfDate,IF($R7=0,$X7,IF(AND($T7&lt;&gt;"",EDATE($D7,Milestones!$AA$183)&gt;=$T7),$W7,IF(AND($S7&lt;&gt;"",EDATE($D7,Milestones!$AA$183)&gt;=$S7),$V7,$U7)))=Milestones!$AB$183),UPPER(TEXT(EDATE($D7,Milestones!$AA$183),"dd mmm yy"))&amp;" "&amp;Milestones!$AB$183&amp;" "&amp;Milestones!$AC$183&amp;";  ","")&amp;IF(AND(EDATE($D7,Milestones!$AA$184)&lt;=AsOfDate,IF($R7=0,$X7,IF(AND($T7&lt;&gt;"",EDATE($D7,Milestones!$AA$184)&gt;=$T7),$W7,IF(AND($S7&lt;&gt;"",EDATE($D7,Milestones!$AA$184)&gt;=$S7),$V7,$U7)))=Milestones!$AB$184),UPPER(TEXT(EDATE($D7,Milestones!$AA$184),"dd mmm yy"))&amp;" "&amp;Milestones!$AB$184&amp;" "&amp;Milestones!$AC$184&amp;";  ","")&amp;IF(AND(EDATE($D7,Milestones!$AA$185)&lt;=AsOfDate,IF($R7=0,$X7,IF(AND($T7&lt;&gt;"",EDATE($D7,Milestones!$AA$185)&gt;=$T7),$W7,IF(AND($S7&lt;&gt;"",EDATE($D7,Milestones!$AA$185)&gt;=$S7),$V7,$U7)))=Milestones!$AB$185),UPPER(TEXT(EDATE($D7,Milestones!$AA$185),"dd mmm yy"))&amp;" "&amp;Milestones!$AB$185&amp;" "&amp;Milestones!$AC$185&amp;";  ","")&amp;IF(AND(EDATE($D7,Milestones!$AA$186)&lt;=AsOfDate,IF($R7=0,$X7,IF(AND($T7&lt;&gt;"",EDATE($D7,Milestones!$AA$186)&gt;=$T7),$W7,IF(AND($S7&lt;&gt;"",EDATE($D7,Milestones!$AA$186)&gt;=$S7),$V7,$U7)))=Milestones!$AB$186),UPPER(TEXT(EDATE($D7,Milestones!$AA$186),"dd mmm yy"))&amp;" "&amp;Milestones!$AB$186&amp;" "&amp;Milestones!$AC$186&amp;";  ","")&amp;IF(AND(EDATE($D7,Milestones!$AA$187)&lt;=AsOfDate,IF($R7=0,$X7,IF(AND($T7&lt;&gt;"",EDATE($D7,Milestones!$AA$187)&gt;=$T7),$W7,IF(AND($S7&lt;&gt;"",EDATE($D7,Milestones!$AA$187)&gt;=$S7),$V7,$U7)))=Milestones!$AB$187),UPPER(TEXT(EDATE($D7,Milestones!$AA$187),"dd mmm yy"))&amp;" "&amp;Milestones!$AB$187&amp;" "&amp;Milestones!$AC$187&amp;";  ","")&amp;IF(AND(EDATE($D7,Milestones!$AA$188)&lt;=AsOfDate,IF($R7=0,$X7,IF(AND($T7&lt;&gt;"",EDATE($D7,Milestones!$AA$188)&gt;=$T7),$W7,IF(AND($S7&lt;&gt;"",EDATE($D7,Milestones!$AA$188)&gt;=$S7),$V7,$U7)))=Milestones!$AB$188),UPPER(TEXT(EDATE($D7,Milestones!$AA$188),"dd mmm yy"))&amp;" "&amp;Milestones!$AB$188&amp;" "&amp;Milestones!$AC$188&amp;";  ","")&amp;IF(AND(EDATE($D7,Milestones!$AA$189)&lt;=AsOfDate,IF($R7=0,$X7,IF(AND($T7&lt;&gt;"",EDATE($D7,Milestones!$AA$189)&gt;=$T7),$W7,IF(AND($S7&lt;&gt;"",EDATE($D7,Milestones!$AA$189)&gt;=$S7),$V7,$U7)))=Milestones!$AB$189),UPPER(TEXT(EDATE($D7,Milestones!$AA$189),"dd mmm yy"))&amp;" "&amp;Milestones!$AB$189&amp;" "&amp;Milestones!$AC$189&amp;";  ","")&amp;IF(AND(EDATE($D7,Milestones!$AA$190)&lt;=AsOfDate,IF($R7=0,$X7,IF(AND($T7&lt;&gt;"",EDATE($D7,Milestones!$AA$190)&gt;=$T7),$W7,IF(AND($S7&lt;&gt;"",EDATE($D7,Milestones!$AA$190)&gt;=$S7),$V7,$U7)))=Milestones!$AB$190),UPPER(TEXT(EDATE($D7,Milestones!$AA$190),"dd mmm yy"))&amp;" "&amp;Milestones!$AB$190&amp;" "&amp;Milestones!$AC$190&amp;";  ","")&amp;IF(AND(EDATE($D7,Milestones!$AA$191)&lt;=AsOfDate,IF($R7=0,$X7,IF(AND($T7&lt;&gt;"",EDATE($D7,Milestones!$AA$191)&gt;=$T7),$W7,IF(AND($S7&lt;&gt;"",EDATE($D7,Milestones!$AA$191)&gt;=$S7),$V7,$U7)))=Milestones!$AB$191),UPPER(TEXT(EDATE($D7,Milestones!$AA$191),"dd mmm yy"))&amp;" "&amp;Milestones!$AB$191&amp;" "&amp;Milestones!$AC$191&amp;";  ","")&amp;IF(AND(EDATE($D7,Milestones!$AA$192)&lt;=AsOfDate,IF($R7=0,$X7,IF(AND($T7&lt;&gt;"",EDATE($D7,Milestones!$AA$192)&gt;=$T7),$W7,IF(AND($S7&lt;&gt;"",EDATE($D7,Milestones!$AA$192)&gt;=$S7),$V7,$U7)))=Milestones!$AB$192),UPPER(TEXT(EDATE($D7,Milestones!$AA$192),"dd mmm yy"))&amp;" "&amp;Milestones!$AB$192&amp;" "&amp;Milestones!$AC$192&amp;";  ","")&amp;IF(AND(EDATE($D7,Milestones!$AA$193)&lt;=AsOfDate,IF($R7=0,$X7,IF(AND($T7&lt;&gt;"",EDATE($D7,Milestones!$AA$193)&gt;=$T7),$W7,IF(AND($S7&lt;&gt;"",EDATE($D7,Milestones!$AA$193)&gt;=$S7),$V7,$U7)))=Milestones!$AB$193),UPPER(TEXT(EDATE($D7,Milestones!$AA$193),"dd mmm yy"))&amp;" "&amp;Milestones!$AB$193&amp;" "&amp;Milestones!$AC$193&amp;";  ","")&amp;IF(AND(EDATE($D7,Milestones!$AA$194)&lt;=AsOfDate,IF($R7=0,$X7,IF(AND($T7&lt;&gt;"",EDATE($D7,Milestones!$AA$194)&gt;=$T7),$W7,IF(AND($S7&lt;&gt;"",EDATE($D7,Milestones!$AA$194)&gt;=$S7),$V7,$U7)))=Milestones!$AB$194),UPPER(TEXT(EDATE($D7,Milestones!$AA$194),"dd mmm yy"))&amp;" "&amp;Milestones!$AB$194&amp;" "&amp;Milestones!$AC$194&amp;";  ","")&amp;IF(AND(EDATE($D7,Milestones!$AA$195)&lt;=AsOfDate,IF($R7=0,$X7,IF(AND($T7&lt;&gt;"",EDATE($D7,Milestones!$AA$195)&gt;=$T7),$W7,IF(AND($S7&lt;&gt;"",EDATE($D7,Milestones!$AA$195)&gt;=$S7),$V7,$U7)))=Milestones!$AB$195),UPPER(TEXT(EDATE($D7,Milestones!$AA$195),"dd mmm yy"))&amp;" "&amp;Milestones!$AB$195&amp;" "&amp;Milestones!$AC$195&amp;";  ","")&amp;IF(AND(EDATE($D7,Milestones!$AA$196)&lt;=AsOfDate,IF($R7=0,$X7,IF(AND($T7&lt;&gt;"",EDATE($D7,Milestones!$AA$196)&gt;=$T7),$W7,IF(AND($S7&lt;&gt;"",EDATE($D7,Milestones!$AA$196)&gt;=$S7),$V7,$U7)))=Milestones!$AB$196),UPPER(TEXT(EDATE($D7,Milestones!$AA$196),"dd mmm yy"))&amp;" "&amp;Milestones!$AB$196&amp;" "&amp;Milestones!$AC$196&amp;";  ","")&amp;IF(AND(EDATE($D7,Milestones!$AA$197)&lt;=AsOfDate,IF($R7=0,$X7,IF(AND($T7&lt;&gt;"",EDATE($D7,Milestones!$AA$197)&gt;=$T7),$W7,IF(AND($S7&lt;&gt;"",EDATE($D7,Milestones!$AA$197)&gt;=$S7),$V7,$U7)))=Milestones!$AB$197),UPPER(TEXT(EDATE($D7,Milestones!$AA$197),"dd mmm yy"))&amp;" "&amp;Milestones!$AB$197&amp;" "&amp;Milestones!$AC$197&amp;";  ","")&amp;IF(AND(EDATE($D7,Milestones!$AA$198)&lt;=AsOfDate,IF($R7=0,$X7,IF(AND($T7&lt;&gt;"",EDATE($D7,Milestones!$AA$198)&gt;=$T7),$W7,IF(AND($S7&lt;&gt;"",EDATE($D7,Milestones!$AA$198)&gt;=$S7),$V7,$U7)))=Milestones!$AB$198),UPPER(TEXT(EDATE($D7,Milestones!$AA$198),"dd mmm yy"))&amp;" "&amp;Milestones!$AB$198&amp;" "&amp;Milestones!$AC$198&amp;";  ","")&amp;IF(AND(EDATE($D7,Milestones!$AA$199)&lt;=AsOfDate,IF($R7=0,$X7,IF(AND($T7&lt;&gt;"",EDATE($D7,Milestones!$AA$199)&gt;=$T7),$W7,IF(AND($S7&lt;&gt;"",EDATE($D7,Milestones!$AA$199)&gt;=$S7),$V7,$U7)))=Milestones!$AB$199),UPPER(TEXT(EDATE($D7,Milestones!$AA$199),"dd mmm yy"))&amp;" "&amp;Milestones!$AB$199&amp;" "&amp;Milestones!$AC$199&amp;";  ",""))</f>
        <v/>
      </c>
      <c r="R7" s="33" t="n">
        <f aca="false">IF(Staff!$A7="","",Staff!$AI7)</f>
        <v>0</v>
      </c>
      <c r="S7" s="0" t="str">
        <f aca="false">IF(Staff!$A7="","",Staff!$AK7)</f>
        <v/>
      </c>
      <c r="T7" s="0" t="str">
        <f aca="false">IF(Staff!$A7="","",Staff!$AL7)</f>
        <v/>
      </c>
      <c r="U7" s="0" t="str">
        <f aca="false">IF(Staff!$A7="","",Staff!$AP7)</f>
        <v>None</v>
      </c>
      <c r="V7" s="0" t="str">
        <f aca="false">IF(Staff!$A7="","",Staff!$AQ7)</f>
        <v/>
      </c>
      <c r="W7" s="0" t="str">
        <f aca="false">IF(Staff!$A7="","",Staff!$AR7)</f>
        <v/>
      </c>
      <c r="X7" s="0" t="str">
        <f aca="false">IF(Staff!$A7="","",Staff!$AS7)</f>
        <v>None</v>
      </c>
    </row>
    <row r="8" customFormat="false" ht="15" hidden="false" customHeight="false" outlineLevel="0" collapsed="false">
      <c r="A8" s="19" t="str">
        <f aca="false">IF(Staff!$A8="","",Staff!$A8)</f>
        <v>Alex</v>
      </c>
      <c r="B8" s="19" t="str">
        <f aca="false">IF(Staff!$A8="","",Staff!$B8)</f>
        <v>Gage</v>
      </c>
      <c r="C8" s="19" t="str">
        <f aca="false">IF(Staff!$A8="","",Staff!$C8)</f>
        <v>Casual</v>
      </c>
      <c r="D8" s="17" t="n">
        <f aca="false">IF(Staff!$A8="","",Staff!$AH8)</f>
        <v>44858</v>
      </c>
      <c r="E8" s="20" t="n">
        <f aca="false">IF(Staff!$A8="","",Staff!$O8)</f>
        <v>0</v>
      </c>
      <c r="F8" s="19" t="n">
        <f aca="false">IF(E8="","",E8*HoursPerDay)</f>
        <v>0</v>
      </c>
      <c r="G8" s="20" t="n">
        <f aca="false">IF(Staff!$A8="","",Staff!$AE8)</f>
        <v>0</v>
      </c>
      <c r="H8" s="32" t="str">
        <f aca="false">IF($A8="","",I8&amp;J8&amp;K8&amp;L8&amp;M8&amp;N8&amp;O8&amp;P8&amp;Q8)</f>
        <v/>
      </c>
      <c r="I8" s="0" t="str">
        <f aca="false">IF(OR($A8="",$D8=""),"",IF(AND(EDATE($D8,Milestones!$AA$20)&lt;=AsOfDate,IF($R8=0,$X8,IF(AND($T8&lt;&gt;"",EDATE($D8,Milestones!$AA$20)&gt;=$T8),$W8,IF(AND($S8&lt;&gt;"",EDATE($D8,Milestones!$AA$20)&gt;=$S8),$V8,$U8)))=Milestones!$AB$20),UPPER(TEXT(EDATE($D8,Milestones!$AA$20),"dd mmm yy"))&amp;" "&amp;Milestones!$AB$20&amp;" "&amp;Milestones!$AC$20&amp;";  ","")&amp;IF(AND(EDATE($D8,Milestones!$AA$21)&lt;=AsOfDate,IF($R8=0,$X8,IF(AND($T8&lt;&gt;"",EDATE($D8,Milestones!$AA$21)&gt;=$T8),$W8,IF(AND($S8&lt;&gt;"",EDATE($D8,Milestones!$AA$21)&gt;=$S8),$V8,$U8)))=Milestones!$AB$21),UPPER(TEXT(EDATE($D8,Milestones!$AA$21),"dd mmm yy"))&amp;" "&amp;Milestones!$AB$21&amp;" "&amp;Milestones!$AC$21&amp;";  ","")&amp;IF(AND(EDATE($D8,Milestones!$AA$22)&lt;=AsOfDate,IF($R8=0,$X8,IF(AND($T8&lt;&gt;"",EDATE($D8,Milestones!$AA$22)&gt;=$T8),$W8,IF(AND($S8&lt;&gt;"",EDATE($D8,Milestones!$AA$22)&gt;=$S8),$V8,$U8)))=Milestones!$AB$22),UPPER(TEXT(EDATE($D8,Milestones!$AA$22),"dd mmm yy"))&amp;" "&amp;Milestones!$AB$22&amp;" "&amp;Milestones!$AC$22&amp;";  ","")&amp;IF(AND(EDATE($D8,Milestones!$AA$23)&lt;=AsOfDate,IF($R8=0,$X8,IF(AND($T8&lt;&gt;"",EDATE($D8,Milestones!$AA$23)&gt;=$T8),$W8,IF(AND($S8&lt;&gt;"",EDATE($D8,Milestones!$AA$23)&gt;=$S8),$V8,$U8)))=Milestones!$AB$23),UPPER(TEXT(EDATE($D8,Milestones!$AA$23),"dd mmm yy"))&amp;" "&amp;Milestones!$AB$23&amp;" "&amp;Milestones!$AC$23&amp;";  ","")&amp;IF(AND(EDATE($D8,Milestones!$AA$24)&lt;=AsOfDate,IF($R8=0,$X8,IF(AND($T8&lt;&gt;"",EDATE($D8,Milestones!$AA$24)&gt;=$T8),$W8,IF(AND($S8&lt;&gt;"",EDATE($D8,Milestones!$AA$24)&gt;=$S8),$V8,$U8)))=Milestones!$AB$24),UPPER(TEXT(EDATE($D8,Milestones!$AA$24),"dd mmm yy"))&amp;" "&amp;Milestones!$AB$24&amp;" "&amp;Milestones!$AC$24&amp;";  ","")&amp;IF(AND(EDATE($D8,Milestones!$AA$25)&lt;=AsOfDate,IF($R8=0,$X8,IF(AND($T8&lt;&gt;"",EDATE($D8,Milestones!$AA$25)&gt;=$T8),$W8,IF(AND($S8&lt;&gt;"",EDATE($D8,Milestones!$AA$25)&gt;=$S8),$V8,$U8)))=Milestones!$AB$25),UPPER(TEXT(EDATE($D8,Milestones!$AA$25),"dd mmm yy"))&amp;" "&amp;Milestones!$AB$25&amp;" "&amp;Milestones!$AC$25&amp;";  ","")&amp;IF(AND(EDATE($D8,Milestones!$AA$26)&lt;=AsOfDate,IF($R8=0,$X8,IF(AND($T8&lt;&gt;"",EDATE($D8,Milestones!$AA$26)&gt;=$T8),$W8,IF(AND($S8&lt;&gt;"",EDATE($D8,Milestones!$AA$26)&gt;=$S8),$V8,$U8)))=Milestones!$AB$26),UPPER(TEXT(EDATE($D8,Milestones!$AA$26),"dd mmm yy"))&amp;" "&amp;Milestones!$AB$26&amp;" "&amp;Milestones!$AC$26&amp;";  ","")&amp;IF(AND(EDATE($D8,Milestones!$AA$27)&lt;=AsOfDate,IF($R8=0,$X8,IF(AND($T8&lt;&gt;"",EDATE($D8,Milestones!$AA$27)&gt;=$T8),$W8,IF(AND($S8&lt;&gt;"",EDATE($D8,Milestones!$AA$27)&gt;=$S8),$V8,$U8)))=Milestones!$AB$27),UPPER(TEXT(EDATE($D8,Milestones!$AA$27),"dd mmm yy"))&amp;" "&amp;Milestones!$AB$27&amp;" "&amp;Milestones!$AC$27&amp;";  ","")&amp;IF(AND(EDATE($D8,Milestones!$AA$28)&lt;=AsOfDate,IF($R8=0,$X8,IF(AND($T8&lt;&gt;"",EDATE($D8,Milestones!$AA$28)&gt;=$T8),$W8,IF(AND($S8&lt;&gt;"",EDATE($D8,Milestones!$AA$28)&gt;=$S8),$V8,$U8)))=Milestones!$AB$28),UPPER(TEXT(EDATE($D8,Milestones!$AA$28),"dd mmm yy"))&amp;" "&amp;Milestones!$AB$28&amp;" "&amp;Milestones!$AC$28&amp;";  ","")&amp;IF(AND(EDATE($D8,Milestones!$AA$29)&lt;=AsOfDate,IF($R8=0,$X8,IF(AND($T8&lt;&gt;"",EDATE($D8,Milestones!$AA$29)&gt;=$T8),$W8,IF(AND($S8&lt;&gt;"",EDATE($D8,Milestones!$AA$29)&gt;=$S8),$V8,$U8)))=Milestones!$AB$29),UPPER(TEXT(EDATE($D8,Milestones!$AA$29),"dd mmm yy"))&amp;" "&amp;Milestones!$AB$29&amp;" "&amp;Milestones!$AC$29&amp;";  ","")&amp;IF(AND(EDATE($D8,Milestones!$AA$30)&lt;=AsOfDate,IF($R8=0,$X8,IF(AND($T8&lt;&gt;"",EDATE($D8,Milestones!$AA$30)&gt;=$T8),$W8,IF(AND($S8&lt;&gt;"",EDATE($D8,Milestones!$AA$30)&gt;=$S8),$V8,$U8)))=Milestones!$AB$30),UPPER(TEXT(EDATE($D8,Milestones!$AA$30),"dd mmm yy"))&amp;" "&amp;Milestones!$AB$30&amp;" "&amp;Milestones!$AC$30&amp;";  ","")&amp;IF(AND(EDATE($D8,Milestones!$AA$31)&lt;=AsOfDate,IF($R8=0,$X8,IF(AND($T8&lt;&gt;"",EDATE($D8,Milestones!$AA$31)&gt;=$T8),$W8,IF(AND($S8&lt;&gt;"",EDATE($D8,Milestones!$AA$31)&gt;=$S8),$V8,$U8)))=Milestones!$AB$31),UPPER(TEXT(EDATE($D8,Milestones!$AA$31),"dd mmm yy"))&amp;" "&amp;Milestones!$AB$31&amp;" "&amp;Milestones!$AC$31&amp;";  ","")&amp;IF(AND(EDATE($D8,Milestones!$AA$32)&lt;=AsOfDate,IF($R8=0,$X8,IF(AND($T8&lt;&gt;"",EDATE($D8,Milestones!$AA$32)&gt;=$T8),$W8,IF(AND($S8&lt;&gt;"",EDATE($D8,Milestones!$AA$32)&gt;=$S8),$V8,$U8)))=Milestones!$AB$32),UPPER(TEXT(EDATE($D8,Milestones!$AA$32),"dd mmm yy"))&amp;" "&amp;Milestones!$AB$32&amp;" "&amp;Milestones!$AC$32&amp;";  ","")&amp;IF(AND(EDATE($D8,Milestones!$AA$33)&lt;=AsOfDate,IF($R8=0,$X8,IF(AND($T8&lt;&gt;"",EDATE($D8,Milestones!$AA$33)&gt;=$T8),$W8,IF(AND($S8&lt;&gt;"",EDATE($D8,Milestones!$AA$33)&gt;=$S8),$V8,$U8)))=Milestones!$AB$33),UPPER(TEXT(EDATE($D8,Milestones!$AA$33),"dd mmm yy"))&amp;" "&amp;Milestones!$AB$33&amp;" "&amp;Milestones!$AC$33&amp;";  ","")&amp;IF(AND(EDATE($D8,Milestones!$AA$34)&lt;=AsOfDate,IF($R8=0,$X8,IF(AND($T8&lt;&gt;"",EDATE($D8,Milestones!$AA$34)&gt;=$T8),$W8,IF(AND($S8&lt;&gt;"",EDATE($D8,Milestones!$AA$34)&gt;=$S8),$V8,$U8)))=Milestones!$AB$34),UPPER(TEXT(EDATE($D8,Milestones!$AA$34),"dd mmm yy"))&amp;" "&amp;Milestones!$AB$34&amp;" "&amp;Milestones!$AC$34&amp;";  ","")&amp;IF(AND(EDATE($D8,Milestones!$AA$35)&lt;=AsOfDate,IF($R8=0,$X8,IF(AND($T8&lt;&gt;"",EDATE($D8,Milestones!$AA$35)&gt;=$T8),$W8,IF(AND($S8&lt;&gt;"",EDATE($D8,Milestones!$AA$35)&gt;=$S8),$V8,$U8)))=Milestones!$AB$35),UPPER(TEXT(EDATE($D8,Milestones!$AA$35),"dd mmm yy"))&amp;" "&amp;Milestones!$AB$35&amp;" "&amp;Milestones!$AC$35&amp;";  ","")&amp;IF(AND(EDATE($D8,Milestones!$AA$36)&lt;=AsOfDate,IF($R8=0,$X8,IF(AND($T8&lt;&gt;"",EDATE($D8,Milestones!$AA$36)&gt;=$T8),$W8,IF(AND($S8&lt;&gt;"",EDATE($D8,Milestones!$AA$36)&gt;=$S8),$V8,$U8)))=Milestones!$AB$36),UPPER(TEXT(EDATE($D8,Milestones!$AA$36),"dd mmm yy"))&amp;" "&amp;Milestones!$AB$36&amp;" "&amp;Milestones!$AC$36&amp;";  ","")&amp;IF(AND(EDATE($D8,Milestones!$AA$37)&lt;=AsOfDate,IF($R8=0,$X8,IF(AND($T8&lt;&gt;"",EDATE($D8,Milestones!$AA$37)&gt;=$T8),$W8,IF(AND($S8&lt;&gt;"",EDATE($D8,Milestones!$AA$37)&gt;=$S8),$V8,$U8)))=Milestones!$AB$37),UPPER(TEXT(EDATE($D8,Milestones!$AA$37),"dd mmm yy"))&amp;" "&amp;Milestones!$AB$37&amp;" "&amp;Milestones!$AC$37&amp;";  ","")&amp;IF(AND(EDATE($D8,Milestones!$AA$38)&lt;=AsOfDate,IF($R8=0,$X8,IF(AND($T8&lt;&gt;"",EDATE($D8,Milestones!$AA$38)&gt;=$T8),$W8,IF(AND($S8&lt;&gt;"",EDATE($D8,Milestones!$AA$38)&gt;=$S8),$V8,$U8)))=Milestones!$AB$38),UPPER(TEXT(EDATE($D8,Milestones!$AA$38),"dd mmm yy"))&amp;" "&amp;Milestones!$AB$38&amp;" "&amp;Milestones!$AC$38&amp;";  ","")&amp;IF(AND(EDATE($D8,Milestones!$AA$39)&lt;=AsOfDate,IF($R8=0,$X8,IF(AND($T8&lt;&gt;"",EDATE($D8,Milestones!$AA$39)&gt;=$T8),$W8,IF(AND($S8&lt;&gt;"",EDATE($D8,Milestones!$AA$39)&gt;=$S8),$V8,$U8)))=Milestones!$AB$39),UPPER(TEXT(EDATE($D8,Milestones!$AA$39),"dd mmm yy"))&amp;" "&amp;Milestones!$AB$39&amp;" "&amp;Milestones!$AC$39&amp;";  ",""))</f>
        <v/>
      </c>
      <c r="J8" s="0" t="str">
        <f aca="false">IF(OR($A8="",$D8=""),"",IF(AND(EDATE($D8,Milestones!$AA$40)&lt;=AsOfDate,IF($R8=0,$X8,IF(AND($T8&lt;&gt;"",EDATE($D8,Milestones!$AA$40)&gt;=$T8),$W8,IF(AND($S8&lt;&gt;"",EDATE($D8,Milestones!$AA$40)&gt;=$S8),$V8,$U8)))=Milestones!$AB$40),UPPER(TEXT(EDATE($D8,Milestones!$AA$40),"dd mmm yy"))&amp;" "&amp;Milestones!$AB$40&amp;" "&amp;Milestones!$AC$40&amp;";  ","")&amp;IF(AND(EDATE($D8,Milestones!$AA$41)&lt;=AsOfDate,IF($R8=0,$X8,IF(AND($T8&lt;&gt;"",EDATE($D8,Milestones!$AA$41)&gt;=$T8),$W8,IF(AND($S8&lt;&gt;"",EDATE($D8,Milestones!$AA$41)&gt;=$S8),$V8,$U8)))=Milestones!$AB$41),UPPER(TEXT(EDATE($D8,Milestones!$AA$41),"dd mmm yy"))&amp;" "&amp;Milestones!$AB$41&amp;" "&amp;Milestones!$AC$41&amp;";  ","")&amp;IF(AND(EDATE($D8,Milestones!$AA$42)&lt;=AsOfDate,IF($R8=0,$X8,IF(AND($T8&lt;&gt;"",EDATE($D8,Milestones!$AA$42)&gt;=$T8),$W8,IF(AND($S8&lt;&gt;"",EDATE($D8,Milestones!$AA$42)&gt;=$S8),$V8,$U8)))=Milestones!$AB$42),UPPER(TEXT(EDATE($D8,Milestones!$AA$42),"dd mmm yy"))&amp;" "&amp;Milestones!$AB$42&amp;" "&amp;Milestones!$AC$42&amp;";  ","")&amp;IF(AND(EDATE($D8,Milestones!$AA$43)&lt;=AsOfDate,IF($R8=0,$X8,IF(AND($T8&lt;&gt;"",EDATE($D8,Milestones!$AA$43)&gt;=$T8),$W8,IF(AND($S8&lt;&gt;"",EDATE($D8,Milestones!$AA$43)&gt;=$S8),$V8,$U8)))=Milestones!$AB$43),UPPER(TEXT(EDATE($D8,Milestones!$AA$43),"dd mmm yy"))&amp;" "&amp;Milestones!$AB$43&amp;" "&amp;Milestones!$AC$43&amp;";  ","")&amp;IF(AND(EDATE($D8,Milestones!$AA$44)&lt;=AsOfDate,IF($R8=0,$X8,IF(AND($T8&lt;&gt;"",EDATE($D8,Milestones!$AA$44)&gt;=$T8),$W8,IF(AND($S8&lt;&gt;"",EDATE($D8,Milestones!$AA$44)&gt;=$S8),$V8,$U8)))=Milestones!$AB$44),UPPER(TEXT(EDATE($D8,Milestones!$AA$44),"dd mmm yy"))&amp;" "&amp;Milestones!$AB$44&amp;" "&amp;Milestones!$AC$44&amp;";  ","")&amp;IF(AND(EDATE($D8,Milestones!$AA$45)&lt;=AsOfDate,IF($R8=0,$X8,IF(AND($T8&lt;&gt;"",EDATE($D8,Milestones!$AA$45)&gt;=$T8),$W8,IF(AND($S8&lt;&gt;"",EDATE($D8,Milestones!$AA$45)&gt;=$S8),$V8,$U8)))=Milestones!$AB$45),UPPER(TEXT(EDATE($D8,Milestones!$AA$45),"dd mmm yy"))&amp;" "&amp;Milestones!$AB$45&amp;" "&amp;Milestones!$AC$45&amp;";  ","")&amp;IF(AND(EDATE($D8,Milestones!$AA$46)&lt;=AsOfDate,IF($R8=0,$X8,IF(AND($T8&lt;&gt;"",EDATE($D8,Milestones!$AA$46)&gt;=$T8),$W8,IF(AND($S8&lt;&gt;"",EDATE($D8,Milestones!$AA$46)&gt;=$S8),$V8,$U8)))=Milestones!$AB$46),UPPER(TEXT(EDATE($D8,Milestones!$AA$46),"dd mmm yy"))&amp;" "&amp;Milestones!$AB$46&amp;" "&amp;Milestones!$AC$46&amp;";  ","")&amp;IF(AND(EDATE($D8,Milestones!$AA$47)&lt;=AsOfDate,IF($R8=0,$X8,IF(AND($T8&lt;&gt;"",EDATE($D8,Milestones!$AA$47)&gt;=$T8),$W8,IF(AND($S8&lt;&gt;"",EDATE($D8,Milestones!$AA$47)&gt;=$S8),$V8,$U8)))=Milestones!$AB$47),UPPER(TEXT(EDATE($D8,Milestones!$AA$47),"dd mmm yy"))&amp;" "&amp;Milestones!$AB$47&amp;" "&amp;Milestones!$AC$47&amp;";  ","")&amp;IF(AND(EDATE($D8,Milestones!$AA$48)&lt;=AsOfDate,IF($R8=0,$X8,IF(AND($T8&lt;&gt;"",EDATE($D8,Milestones!$AA$48)&gt;=$T8),$W8,IF(AND($S8&lt;&gt;"",EDATE($D8,Milestones!$AA$48)&gt;=$S8),$V8,$U8)))=Milestones!$AB$48),UPPER(TEXT(EDATE($D8,Milestones!$AA$48),"dd mmm yy"))&amp;" "&amp;Milestones!$AB$48&amp;" "&amp;Milestones!$AC$48&amp;";  ","")&amp;IF(AND(EDATE($D8,Milestones!$AA$49)&lt;=AsOfDate,IF($R8=0,$X8,IF(AND($T8&lt;&gt;"",EDATE($D8,Milestones!$AA$49)&gt;=$T8),$W8,IF(AND($S8&lt;&gt;"",EDATE($D8,Milestones!$AA$49)&gt;=$S8),$V8,$U8)))=Milestones!$AB$49),UPPER(TEXT(EDATE($D8,Milestones!$AA$49),"dd mmm yy"))&amp;" "&amp;Milestones!$AB$49&amp;" "&amp;Milestones!$AC$49&amp;";  ","")&amp;IF(AND(EDATE($D8,Milestones!$AA$50)&lt;=AsOfDate,IF($R8=0,$X8,IF(AND($T8&lt;&gt;"",EDATE($D8,Milestones!$AA$50)&gt;=$T8),$W8,IF(AND($S8&lt;&gt;"",EDATE($D8,Milestones!$AA$50)&gt;=$S8),$V8,$U8)))=Milestones!$AB$50),UPPER(TEXT(EDATE($D8,Milestones!$AA$50),"dd mmm yy"))&amp;" "&amp;Milestones!$AB$50&amp;" "&amp;Milestones!$AC$50&amp;";  ","")&amp;IF(AND(EDATE($D8,Milestones!$AA$51)&lt;=AsOfDate,IF($R8=0,$X8,IF(AND($T8&lt;&gt;"",EDATE($D8,Milestones!$AA$51)&gt;=$T8),$W8,IF(AND($S8&lt;&gt;"",EDATE($D8,Milestones!$AA$51)&gt;=$S8),$V8,$U8)))=Milestones!$AB$51),UPPER(TEXT(EDATE($D8,Milestones!$AA$51),"dd mmm yy"))&amp;" "&amp;Milestones!$AB$51&amp;" "&amp;Milestones!$AC$51&amp;";  ","")&amp;IF(AND(EDATE($D8,Milestones!$AA$52)&lt;=AsOfDate,IF($R8=0,$X8,IF(AND($T8&lt;&gt;"",EDATE($D8,Milestones!$AA$52)&gt;=$T8),$W8,IF(AND($S8&lt;&gt;"",EDATE($D8,Milestones!$AA$52)&gt;=$S8),$V8,$U8)))=Milestones!$AB$52),UPPER(TEXT(EDATE($D8,Milestones!$AA$52),"dd mmm yy"))&amp;" "&amp;Milestones!$AB$52&amp;" "&amp;Milestones!$AC$52&amp;";  ","")&amp;IF(AND(EDATE($D8,Milestones!$AA$53)&lt;=AsOfDate,IF($R8=0,$X8,IF(AND($T8&lt;&gt;"",EDATE($D8,Milestones!$AA$53)&gt;=$T8),$W8,IF(AND($S8&lt;&gt;"",EDATE($D8,Milestones!$AA$53)&gt;=$S8),$V8,$U8)))=Milestones!$AB$53),UPPER(TEXT(EDATE($D8,Milestones!$AA$53),"dd mmm yy"))&amp;" "&amp;Milestones!$AB$53&amp;" "&amp;Milestones!$AC$53&amp;";  ","")&amp;IF(AND(EDATE($D8,Milestones!$AA$54)&lt;=AsOfDate,IF($R8=0,$X8,IF(AND($T8&lt;&gt;"",EDATE($D8,Milestones!$AA$54)&gt;=$T8),$W8,IF(AND($S8&lt;&gt;"",EDATE($D8,Milestones!$AA$54)&gt;=$S8),$V8,$U8)))=Milestones!$AB$54),UPPER(TEXT(EDATE($D8,Milestones!$AA$54),"dd mmm yy"))&amp;" "&amp;Milestones!$AB$54&amp;" "&amp;Milestones!$AC$54&amp;";  ","")&amp;IF(AND(EDATE($D8,Milestones!$AA$55)&lt;=AsOfDate,IF($R8=0,$X8,IF(AND($T8&lt;&gt;"",EDATE($D8,Milestones!$AA$55)&gt;=$T8),$W8,IF(AND($S8&lt;&gt;"",EDATE($D8,Milestones!$AA$55)&gt;=$S8),$V8,$U8)))=Milestones!$AB$55),UPPER(TEXT(EDATE($D8,Milestones!$AA$55),"dd mmm yy"))&amp;" "&amp;Milestones!$AB$55&amp;" "&amp;Milestones!$AC$55&amp;";  ","")&amp;IF(AND(EDATE($D8,Milestones!$AA$56)&lt;=AsOfDate,IF($R8=0,$X8,IF(AND($T8&lt;&gt;"",EDATE($D8,Milestones!$AA$56)&gt;=$T8),$W8,IF(AND($S8&lt;&gt;"",EDATE($D8,Milestones!$AA$56)&gt;=$S8),$V8,$U8)))=Milestones!$AB$56),UPPER(TEXT(EDATE($D8,Milestones!$AA$56),"dd mmm yy"))&amp;" "&amp;Milestones!$AB$56&amp;" "&amp;Milestones!$AC$56&amp;";  ","")&amp;IF(AND(EDATE($D8,Milestones!$AA$57)&lt;=AsOfDate,IF($R8=0,$X8,IF(AND($T8&lt;&gt;"",EDATE($D8,Milestones!$AA$57)&gt;=$T8),$W8,IF(AND($S8&lt;&gt;"",EDATE($D8,Milestones!$AA$57)&gt;=$S8),$V8,$U8)))=Milestones!$AB$57),UPPER(TEXT(EDATE($D8,Milestones!$AA$57),"dd mmm yy"))&amp;" "&amp;Milestones!$AB$57&amp;" "&amp;Milestones!$AC$57&amp;";  ","")&amp;IF(AND(EDATE($D8,Milestones!$AA$58)&lt;=AsOfDate,IF($R8=0,$X8,IF(AND($T8&lt;&gt;"",EDATE($D8,Milestones!$AA$58)&gt;=$T8),$W8,IF(AND($S8&lt;&gt;"",EDATE($D8,Milestones!$AA$58)&gt;=$S8),$V8,$U8)))=Milestones!$AB$58),UPPER(TEXT(EDATE($D8,Milestones!$AA$58),"dd mmm yy"))&amp;" "&amp;Milestones!$AB$58&amp;" "&amp;Milestones!$AC$58&amp;";  ","")&amp;IF(AND(EDATE($D8,Milestones!$AA$59)&lt;=AsOfDate,IF($R8=0,$X8,IF(AND($T8&lt;&gt;"",EDATE($D8,Milestones!$AA$59)&gt;=$T8),$W8,IF(AND($S8&lt;&gt;"",EDATE($D8,Milestones!$AA$59)&gt;=$S8),$V8,$U8)))=Milestones!$AB$59),UPPER(TEXT(EDATE($D8,Milestones!$AA$59),"dd mmm yy"))&amp;" "&amp;Milestones!$AB$59&amp;" "&amp;Milestones!$AC$59&amp;";  ",""))</f>
        <v/>
      </c>
      <c r="K8" s="0" t="str">
        <f aca="false">IF(OR($A8="",$D8=""),"",IF(AND(EDATE($D8,Milestones!$AA$60)&lt;=AsOfDate,IF($R8=0,$X8,IF(AND($T8&lt;&gt;"",EDATE($D8,Milestones!$AA$60)&gt;=$T8),$W8,IF(AND($S8&lt;&gt;"",EDATE($D8,Milestones!$AA$60)&gt;=$S8),$V8,$U8)))=Milestones!$AB$60),UPPER(TEXT(EDATE($D8,Milestones!$AA$60),"dd mmm yy"))&amp;" "&amp;Milestones!$AB$60&amp;" "&amp;Milestones!$AC$60&amp;";  ","")&amp;IF(AND(EDATE($D8,Milestones!$AA$61)&lt;=AsOfDate,IF($R8=0,$X8,IF(AND($T8&lt;&gt;"",EDATE($D8,Milestones!$AA$61)&gt;=$T8),$W8,IF(AND($S8&lt;&gt;"",EDATE($D8,Milestones!$AA$61)&gt;=$S8),$V8,$U8)))=Milestones!$AB$61),UPPER(TEXT(EDATE($D8,Milestones!$AA$61),"dd mmm yy"))&amp;" "&amp;Milestones!$AB$61&amp;" "&amp;Milestones!$AC$61&amp;";  ","")&amp;IF(AND(EDATE($D8,Milestones!$AA$62)&lt;=AsOfDate,IF($R8=0,$X8,IF(AND($T8&lt;&gt;"",EDATE($D8,Milestones!$AA$62)&gt;=$T8),$W8,IF(AND($S8&lt;&gt;"",EDATE($D8,Milestones!$AA$62)&gt;=$S8),$V8,$U8)))=Milestones!$AB$62),UPPER(TEXT(EDATE($D8,Milestones!$AA$62),"dd mmm yy"))&amp;" "&amp;Milestones!$AB$62&amp;" "&amp;Milestones!$AC$62&amp;";  ","")&amp;IF(AND(EDATE($D8,Milestones!$AA$63)&lt;=AsOfDate,IF($R8=0,$X8,IF(AND($T8&lt;&gt;"",EDATE($D8,Milestones!$AA$63)&gt;=$T8),$W8,IF(AND($S8&lt;&gt;"",EDATE($D8,Milestones!$AA$63)&gt;=$S8),$V8,$U8)))=Milestones!$AB$63),UPPER(TEXT(EDATE($D8,Milestones!$AA$63),"dd mmm yy"))&amp;" "&amp;Milestones!$AB$63&amp;" "&amp;Milestones!$AC$63&amp;";  ","")&amp;IF(AND(EDATE($D8,Milestones!$AA$64)&lt;=AsOfDate,IF($R8=0,$X8,IF(AND($T8&lt;&gt;"",EDATE($D8,Milestones!$AA$64)&gt;=$T8),$W8,IF(AND($S8&lt;&gt;"",EDATE($D8,Milestones!$AA$64)&gt;=$S8),$V8,$U8)))=Milestones!$AB$64),UPPER(TEXT(EDATE($D8,Milestones!$AA$64),"dd mmm yy"))&amp;" "&amp;Milestones!$AB$64&amp;" "&amp;Milestones!$AC$64&amp;";  ","")&amp;IF(AND(EDATE($D8,Milestones!$AA$65)&lt;=AsOfDate,IF($R8=0,$X8,IF(AND($T8&lt;&gt;"",EDATE($D8,Milestones!$AA$65)&gt;=$T8),$W8,IF(AND($S8&lt;&gt;"",EDATE($D8,Milestones!$AA$65)&gt;=$S8),$V8,$U8)))=Milestones!$AB$65),UPPER(TEXT(EDATE($D8,Milestones!$AA$65),"dd mmm yy"))&amp;" "&amp;Milestones!$AB$65&amp;" "&amp;Milestones!$AC$65&amp;";  ","")&amp;IF(AND(EDATE($D8,Milestones!$AA$66)&lt;=AsOfDate,IF($R8=0,$X8,IF(AND($T8&lt;&gt;"",EDATE($D8,Milestones!$AA$66)&gt;=$T8),$W8,IF(AND($S8&lt;&gt;"",EDATE($D8,Milestones!$AA$66)&gt;=$S8),$V8,$U8)))=Milestones!$AB$66),UPPER(TEXT(EDATE($D8,Milestones!$AA$66),"dd mmm yy"))&amp;" "&amp;Milestones!$AB$66&amp;" "&amp;Milestones!$AC$66&amp;";  ","")&amp;IF(AND(EDATE($D8,Milestones!$AA$67)&lt;=AsOfDate,IF($R8=0,$X8,IF(AND($T8&lt;&gt;"",EDATE($D8,Milestones!$AA$67)&gt;=$T8),$W8,IF(AND($S8&lt;&gt;"",EDATE($D8,Milestones!$AA$67)&gt;=$S8),$V8,$U8)))=Milestones!$AB$67),UPPER(TEXT(EDATE($D8,Milestones!$AA$67),"dd mmm yy"))&amp;" "&amp;Milestones!$AB$67&amp;" "&amp;Milestones!$AC$67&amp;";  ","")&amp;IF(AND(EDATE($D8,Milestones!$AA$68)&lt;=AsOfDate,IF($R8=0,$X8,IF(AND($T8&lt;&gt;"",EDATE($D8,Milestones!$AA$68)&gt;=$T8),$W8,IF(AND($S8&lt;&gt;"",EDATE($D8,Milestones!$AA$68)&gt;=$S8),$V8,$U8)))=Milestones!$AB$68),UPPER(TEXT(EDATE($D8,Milestones!$AA$68),"dd mmm yy"))&amp;" "&amp;Milestones!$AB$68&amp;" "&amp;Milestones!$AC$68&amp;";  ","")&amp;IF(AND(EDATE($D8,Milestones!$AA$69)&lt;=AsOfDate,IF($R8=0,$X8,IF(AND($T8&lt;&gt;"",EDATE($D8,Milestones!$AA$69)&gt;=$T8),$W8,IF(AND($S8&lt;&gt;"",EDATE($D8,Milestones!$AA$69)&gt;=$S8),$V8,$U8)))=Milestones!$AB$69),UPPER(TEXT(EDATE($D8,Milestones!$AA$69),"dd mmm yy"))&amp;" "&amp;Milestones!$AB$69&amp;" "&amp;Milestones!$AC$69&amp;";  ","")&amp;IF(AND(EDATE($D8,Milestones!$AA$70)&lt;=AsOfDate,IF($R8=0,$X8,IF(AND($T8&lt;&gt;"",EDATE($D8,Milestones!$AA$70)&gt;=$T8),$W8,IF(AND($S8&lt;&gt;"",EDATE($D8,Milestones!$AA$70)&gt;=$S8),$V8,$U8)))=Milestones!$AB$70),UPPER(TEXT(EDATE($D8,Milestones!$AA$70),"dd mmm yy"))&amp;" "&amp;Milestones!$AB$70&amp;" "&amp;Milestones!$AC$70&amp;";  ","")&amp;IF(AND(EDATE($D8,Milestones!$AA$71)&lt;=AsOfDate,IF($R8=0,$X8,IF(AND($T8&lt;&gt;"",EDATE($D8,Milestones!$AA$71)&gt;=$T8),$W8,IF(AND($S8&lt;&gt;"",EDATE($D8,Milestones!$AA$71)&gt;=$S8),$V8,$U8)))=Milestones!$AB$71),UPPER(TEXT(EDATE($D8,Milestones!$AA$71),"dd mmm yy"))&amp;" "&amp;Milestones!$AB$71&amp;" "&amp;Milestones!$AC$71&amp;";  ","")&amp;IF(AND(EDATE($D8,Milestones!$AA$72)&lt;=AsOfDate,IF($R8=0,$X8,IF(AND($T8&lt;&gt;"",EDATE($D8,Milestones!$AA$72)&gt;=$T8),$W8,IF(AND($S8&lt;&gt;"",EDATE($D8,Milestones!$AA$72)&gt;=$S8),$V8,$U8)))=Milestones!$AB$72),UPPER(TEXT(EDATE($D8,Milestones!$AA$72),"dd mmm yy"))&amp;" "&amp;Milestones!$AB$72&amp;" "&amp;Milestones!$AC$72&amp;";  ","")&amp;IF(AND(EDATE($D8,Milestones!$AA$73)&lt;=AsOfDate,IF($R8=0,$X8,IF(AND($T8&lt;&gt;"",EDATE($D8,Milestones!$AA$73)&gt;=$T8),$W8,IF(AND($S8&lt;&gt;"",EDATE($D8,Milestones!$AA$73)&gt;=$S8),$V8,$U8)))=Milestones!$AB$73),UPPER(TEXT(EDATE($D8,Milestones!$AA$73),"dd mmm yy"))&amp;" "&amp;Milestones!$AB$73&amp;" "&amp;Milestones!$AC$73&amp;";  ","")&amp;IF(AND(EDATE($D8,Milestones!$AA$74)&lt;=AsOfDate,IF($R8=0,$X8,IF(AND($T8&lt;&gt;"",EDATE($D8,Milestones!$AA$74)&gt;=$T8),$W8,IF(AND($S8&lt;&gt;"",EDATE($D8,Milestones!$AA$74)&gt;=$S8),$V8,$U8)))=Milestones!$AB$74),UPPER(TEXT(EDATE($D8,Milestones!$AA$74),"dd mmm yy"))&amp;" "&amp;Milestones!$AB$74&amp;" "&amp;Milestones!$AC$74&amp;";  ","")&amp;IF(AND(EDATE($D8,Milestones!$AA$75)&lt;=AsOfDate,IF($R8=0,$X8,IF(AND($T8&lt;&gt;"",EDATE($D8,Milestones!$AA$75)&gt;=$T8),$W8,IF(AND($S8&lt;&gt;"",EDATE($D8,Milestones!$AA$75)&gt;=$S8),$V8,$U8)))=Milestones!$AB$75),UPPER(TEXT(EDATE($D8,Milestones!$AA$75),"dd mmm yy"))&amp;" "&amp;Milestones!$AB$75&amp;" "&amp;Milestones!$AC$75&amp;";  ","")&amp;IF(AND(EDATE($D8,Milestones!$AA$76)&lt;=AsOfDate,IF($R8=0,$X8,IF(AND($T8&lt;&gt;"",EDATE($D8,Milestones!$AA$76)&gt;=$T8),$W8,IF(AND($S8&lt;&gt;"",EDATE($D8,Milestones!$AA$76)&gt;=$S8),$V8,$U8)))=Milestones!$AB$76),UPPER(TEXT(EDATE($D8,Milestones!$AA$76),"dd mmm yy"))&amp;" "&amp;Milestones!$AB$76&amp;" "&amp;Milestones!$AC$76&amp;";  ","")&amp;IF(AND(EDATE($D8,Milestones!$AA$77)&lt;=AsOfDate,IF($R8=0,$X8,IF(AND($T8&lt;&gt;"",EDATE($D8,Milestones!$AA$77)&gt;=$T8),$W8,IF(AND($S8&lt;&gt;"",EDATE($D8,Milestones!$AA$77)&gt;=$S8),$V8,$U8)))=Milestones!$AB$77),UPPER(TEXT(EDATE($D8,Milestones!$AA$77),"dd mmm yy"))&amp;" "&amp;Milestones!$AB$77&amp;" "&amp;Milestones!$AC$77&amp;";  ","")&amp;IF(AND(EDATE($D8,Milestones!$AA$78)&lt;=AsOfDate,IF($R8=0,$X8,IF(AND($T8&lt;&gt;"",EDATE($D8,Milestones!$AA$78)&gt;=$T8),$W8,IF(AND($S8&lt;&gt;"",EDATE($D8,Milestones!$AA$78)&gt;=$S8),$V8,$U8)))=Milestones!$AB$78),UPPER(TEXT(EDATE($D8,Milestones!$AA$78),"dd mmm yy"))&amp;" "&amp;Milestones!$AB$78&amp;" "&amp;Milestones!$AC$78&amp;";  ","")&amp;IF(AND(EDATE($D8,Milestones!$AA$79)&lt;=AsOfDate,IF($R8=0,$X8,IF(AND($T8&lt;&gt;"",EDATE($D8,Milestones!$AA$79)&gt;=$T8),$W8,IF(AND($S8&lt;&gt;"",EDATE($D8,Milestones!$AA$79)&gt;=$S8),$V8,$U8)))=Milestones!$AB$79),UPPER(TEXT(EDATE($D8,Milestones!$AA$79),"dd mmm yy"))&amp;" "&amp;Milestones!$AB$79&amp;" "&amp;Milestones!$AC$79&amp;";  ",""))</f>
        <v/>
      </c>
      <c r="L8" s="0" t="str">
        <f aca="false">IF(OR($A8="",$D8=""),"",IF(AND(EDATE($D8,Milestones!$AA$80)&lt;=AsOfDate,IF($R8=0,$X8,IF(AND($T8&lt;&gt;"",EDATE($D8,Milestones!$AA$80)&gt;=$T8),$W8,IF(AND($S8&lt;&gt;"",EDATE($D8,Milestones!$AA$80)&gt;=$S8),$V8,$U8)))=Milestones!$AB$80),UPPER(TEXT(EDATE($D8,Milestones!$AA$80),"dd mmm yy"))&amp;" "&amp;Milestones!$AB$80&amp;" "&amp;Milestones!$AC$80&amp;";  ","")&amp;IF(AND(EDATE($D8,Milestones!$AA$81)&lt;=AsOfDate,IF($R8=0,$X8,IF(AND($T8&lt;&gt;"",EDATE($D8,Milestones!$AA$81)&gt;=$T8),$W8,IF(AND($S8&lt;&gt;"",EDATE($D8,Milestones!$AA$81)&gt;=$S8),$V8,$U8)))=Milestones!$AB$81),UPPER(TEXT(EDATE($D8,Milestones!$AA$81),"dd mmm yy"))&amp;" "&amp;Milestones!$AB$81&amp;" "&amp;Milestones!$AC$81&amp;";  ","")&amp;IF(AND(EDATE($D8,Milestones!$AA$82)&lt;=AsOfDate,IF($R8=0,$X8,IF(AND($T8&lt;&gt;"",EDATE($D8,Milestones!$AA$82)&gt;=$T8),$W8,IF(AND($S8&lt;&gt;"",EDATE($D8,Milestones!$AA$82)&gt;=$S8),$V8,$U8)))=Milestones!$AB$82),UPPER(TEXT(EDATE($D8,Milestones!$AA$82),"dd mmm yy"))&amp;" "&amp;Milestones!$AB$82&amp;" "&amp;Milestones!$AC$82&amp;";  ","")&amp;IF(AND(EDATE($D8,Milestones!$AA$83)&lt;=AsOfDate,IF($R8=0,$X8,IF(AND($T8&lt;&gt;"",EDATE($D8,Milestones!$AA$83)&gt;=$T8),$W8,IF(AND($S8&lt;&gt;"",EDATE($D8,Milestones!$AA$83)&gt;=$S8),$V8,$U8)))=Milestones!$AB$83),UPPER(TEXT(EDATE($D8,Milestones!$AA$83),"dd mmm yy"))&amp;" "&amp;Milestones!$AB$83&amp;" "&amp;Milestones!$AC$83&amp;";  ","")&amp;IF(AND(EDATE($D8,Milestones!$AA$84)&lt;=AsOfDate,IF($R8=0,$X8,IF(AND($T8&lt;&gt;"",EDATE($D8,Milestones!$AA$84)&gt;=$T8),$W8,IF(AND($S8&lt;&gt;"",EDATE($D8,Milestones!$AA$84)&gt;=$S8),$V8,$U8)))=Milestones!$AB$84),UPPER(TEXT(EDATE($D8,Milestones!$AA$84),"dd mmm yy"))&amp;" "&amp;Milestones!$AB$84&amp;" "&amp;Milestones!$AC$84&amp;";  ","")&amp;IF(AND(EDATE($D8,Milestones!$AA$85)&lt;=AsOfDate,IF($R8=0,$X8,IF(AND($T8&lt;&gt;"",EDATE($D8,Milestones!$AA$85)&gt;=$T8),$W8,IF(AND($S8&lt;&gt;"",EDATE($D8,Milestones!$AA$85)&gt;=$S8),$V8,$U8)))=Milestones!$AB$85),UPPER(TEXT(EDATE($D8,Milestones!$AA$85),"dd mmm yy"))&amp;" "&amp;Milestones!$AB$85&amp;" "&amp;Milestones!$AC$85&amp;";  ","")&amp;IF(AND(EDATE($D8,Milestones!$AA$86)&lt;=AsOfDate,IF($R8=0,$X8,IF(AND($T8&lt;&gt;"",EDATE($D8,Milestones!$AA$86)&gt;=$T8),$W8,IF(AND($S8&lt;&gt;"",EDATE($D8,Milestones!$AA$86)&gt;=$S8),$V8,$U8)))=Milestones!$AB$86),UPPER(TEXT(EDATE($D8,Milestones!$AA$86),"dd mmm yy"))&amp;" "&amp;Milestones!$AB$86&amp;" "&amp;Milestones!$AC$86&amp;";  ","")&amp;IF(AND(EDATE($D8,Milestones!$AA$87)&lt;=AsOfDate,IF($R8=0,$X8,IF(AND($T8&lt;&gt;"",EDATE($D8,Milestones!$AA$87)&gt;=$T8),$W8,IF(AND($S8&lt;&gt;"",EDATE($D8,Milestones!$AA$87)&gt;=$S8),$V8,$U8)))=Milestones!$AB$87),UPPER(TEXT(EDATE($D8,Milestones!$AA$87),"dd mmm yy"))&amp;" "&amp;Milestones!$AB$87&amp;" "&amp;Milestones!$AC$87&amp;";  ","")&amp;IF(AND(EDATE($D8,Milestones!$AA$88)&lt;=AsOfDate,IF($R8=0,$X8,IF(AND($T8&lt;&gt;"",EDATE($D8,Milestones!$AA$88)&gt;=$T8),$W8,IF(AND($S8&lt;&gt;"",EDATE($D8,Milestones!$AA$88)&gt;=$S8),$V8,$U8)))=Milestones!$AB$88),UPPER(TEXT(EDATE($D8,Milestones!$AA$88),"dd mmm yy"))&amp;" "&amp;Milestones!$AB$88&amp;" "&amp;Milestones!$AC$88&amp;";  ","")&amp;IF(AND(EDATE($D8,Milestones!$AA$89)&lt;=AsOfDate,IF($R8=0,$X8,IF(AND($T8&lt;&gt;"",EDATE($D8,Milestones!$AA$89)&gt;=$T8),$W8,IF(AND($S8&lt;&gt;"",EDATE($D8,Milestones!$AA$89)&gt;=$S8),$V8,$U8)))=Milestones!$AB$89),UPPER(TEXT(EDATE($D8,Milestones!$AA$89),"dd mmm yy"))&amp;" "&amp;Milestones!$AB$89&amp;" "&amp;Milestones!$AC$89&amp;";  ","")&amp;IF(AND(EDATE($D8,Milestones!$AA$90)&lt;=AsOfDate,IF($R8=0,$X8,IF(AND($T8&lt;&gt;"",EDATE($D8,Milestones!$AA$90)&gt;=$T8),$W8,IF(AND($S8&lt;&gt;"",EDATE($D8,Milestones!$AA$90)&gt;=$S8),$V8,$U8)))=Milestones!$AB$90),UPPER(TEXT(EDATE($D8,Milestones!$AA$90),"dd mmm yy"))&amp;" "&amp;Milestones!$AB$90&amp;" "&amp;Milestones!$AC$90&amp;";  ","")&amp;IF(AND(EDATE($D8,Milestones!$AA$91)&lt;=AsOfDate,IF($R8=0,$X8,IF(AND($T8&lt;&gt;"",EDATE($D8,Milestones!$AA$91)&gt;=$T8),$W8,IF(AND($S8&lt;&gt;"",EDATE($D8,Milestones!$AA$91)&gt;=$S8),$V8,$U8)))=Milestones!$AB$91),UPPER(TEXT(EDATE($D8,Milestones!$AA$91),"dd mmm yy"))&amp;" "&amp;Milestones!$AB$91&amp;" "&amp;Milestones!$AC$91&amp;";  ","")&amp;IF(AND(EDATE($D8,Milestones!$AA$92)&lt;=AsOfDate,IF($R8=0,$X8,IF(AND($T8&lt;&gt;"",EDATE($D8,Milestones!$AA$92)&gt;=$T8),$W8,IF(AND($S8&lt;&gt;"",EDATE($D8,Milestones!$AA$92)&gt;=$S8),$V8,$U8)))=Milestones!$AB$92),UPPER(TEXT(EDATE($D8,Milestones!$AA$92),"dd mmm yy"))&amp;" "&amp;Milestones!$AB$92&amp;" "&amp;Milestones!$AC$92&amp;";  ","")&amp;IF(AND(EDATE($D8,Milestones!$AA$93)&lt;=AsOfDate,IF($R8=0,$X8,IF(AND($T8&lt;&gt;"",EDATE($D8,Milestones!$AA$93)&gt;=$T8),$W8,IF(AND($S8&lt;&gt;"",EDATE($D8,Milestones!$AA$93)&gt;=$S8),$V8,$U8)))=Milestones!$AB$93),UPPER(TEXT(EDATE($D8,Milestones!$AA$93),"dd mmm yy"))&amp;" "&amp;Milestones!$AB$93&amp;" "&amp;Milestones!$AC$93&amp;";  ","")&amp;IF(AND(EDATE($D8,Milestones!$AA$94)&lt;=AsOfDate,IF($R8=0,$X8,IF(AND($T8&lt;&gt;"",EDATE($D8,Milestones!$AA$94)&gt;=$T8),$W8,IF(AND($S8&lt;&gt;"",EDATE($D8,Milestones!$AA$94)&gt;=$S8),$V8,$U8)))=Milestones!$AB$94),UPPER(TEXT(EDATE($D8,Milestones!$AA$94),"dd mmm yy"))&amp;" "&amp;Milestones!$AB$94&amp;" "&amp;Milestones!$AC$94&amp;";  ","")&amp;IF(AND(EDATE($D8,Milestones!$AA$95)&lt;=AsOfDate,IF($R8=0,$X8,IF(AND($T8&lt;&gt;"",EDATE($D8,Milestones!$AA$95)&gt;=$T8),$W8,IF(AND($S8&lt;&gt;"",EDATE($D8,Milestones!$AA$95)&gt;=$S8),$V8,$U8)))=Milestones!$AB$95),UPPER(TEXT(EDATE($D8,Milestones!$AA$95),"dd mmm yy"))&amp;" "&amp;Milestones!$AB$95&amp;" "&amp;Milestones!$AC$95&amp;";  ","")&amp;IF(AND(EDATE($D8,Milestones!$AA$96)&lt;=AsOfDate,IF($R8=0,$X8,IF(AND($T8&lt;&gt;"",EDATE($D8,Milestones!$AA$96)&gt;=$T8),$W8,IF(AND($S8&lt;&gt;"",EDATE($D8,Milestones!$AA$96)&gt;=$S8),$V8,$U8)))=Milestones!$AB$96),UPPER(TEXT(EDATE($D8,Milestones!$AA$96),"dd mmm yy"))&amp;" "&amp;Milestones!$AB$96&amp;" "&amp;Milestones!$AC$96&amp;";  ","")&amp;IF(AND(EDATE($D8,Milestones!$AA$97)&lt;=AsOfDate,IF($R8=0,$X8,IF(AND($T8&lt;&gt;"",EDATE($D8,Milestones!$AA$97)&gt;=$T8),$W8,IF(AND($S8&lt;&gt;"",EDATE($D8,Milestones!$AA$97)&gt;=$S8),$V8,$U8)))=Milestones!$AB$97),UPPER(TEXT(EDATE($D8,Milestones!$AA$97),"dd mmm yy"))&amp;" "&amp;Milestones!$AB$97&amp;" "&amp;Milestones!$AC$97&amp;";  ","")&amp;IF(AND(EDATE($D8,Milestones!$AA$98)&lt;=AsOfDate,IF($R8=0,$X8,IF(AND($T8&lt;&gt;"",EDATE($D8,Milestones!$AA$98)&gt;=$T8),$W8,IF(AND($S8&lt;&gt;"",EDATE($D8,Milestones!$AA$98)&gt;=$S8),$V8,$U8)))=Milestones!$AB$98),UPPER(TEXT(EDATE($D8,Milestones!$AA$98),"dd mmm yy"))&amp;" "&amp;Milestones!$AB$98&amp;" "&amp;Milestones!$AC$98&amp;";  ","")&amp;IF(AND(EDATE($D8,Milestones!$AA$99)&lt;=AsOfDate,IF($R8=0,$X8,IF(AND($T8&lt;&gt;"",EDATE($D8,Milestones!$AA$99)&gt;=$T8),$W8,IF(AND($S8&lt;&gt;"",EDATE($D8,Milestones!$AA$99)&gt;=$S8),$V8,$U8)))=Milestones!$AB$99),UPPER(TEXT(EDATE($D8,Milestones!$AA$99),"dd mmm yy"))&amp;" "&amp;Milestones!$AB$99&amp;" "&amp;Milestones!$AC$99&amp;";  ",""))</f>
        <v/>
      </c>
      <c r="M8" s="0" t="str">
        <f aca="false">IF(OR($A8="",$D8=""),"",IF(AND(EDATE($D8,Milestones!$AA$100)&lt;=AsOfDate,IF($R8=0,$X8,IF(AND($T8&lt;&gt;"",EDATE($D8,Milestones!$AA$100)&gt;=$T8),$W8,IF(AND($S8&lt;&gt;"",EDATE($D8,Milestones!$AA$100)&gt;=$S8),$V8,$U8)))=Milestones!$AB$100),UPPER(TEXT(EDATE($D8,Milestones!$AA$100),"dd mmm yy"))&amp;" "&amp;Milestones!$AB$100&amp;" "&amp;Milestones!$AC$100&amp;";  ","")&amp;IF(AND(EDATE($D8,Milestones!$AA$101)&lt;=AsOfDate,IF($R8=0,$X8,IF(AND($T8&lt;&gt;"",EDATE($D8,Milestones!$AA$101)&gt;=$T8),$W8,IF(AND($S8&lt;&gt;"",EDATE($D8,Milestones!$AA$101)&gt;=$S8),$V8,$U8)))=Milestones!$AB$101),UPPER(TEXT(EDATE($D8,Milestones!$AA$101),"dd mmm yy"))&amp;" "&amp;Milestones!$AB$101&amp;" "&amp;Milestones!$AC$101&amp;";  ","")&amp;IF(AND(EDATE($D8,Milestones!$AA$102)&lt;=AsOfDate,IF($R8=0,$X8,IF(AND($T8&lt;&gt;"",EDATE($D8,Milestones!$AA$102)&gt;=$T8),$W8,IF(AND($S8&lt;&gt;"",EDATE($D8,Milestones!$AA$102)&gt;=$S8),$V8,$U8)))=Milestones!$AB$102),UPPER(TEXT(EDATE($D8,Milestones!$AA$102),"dd mmm yy"))&amp;" "&amp;Milestones!$AB$102&amp;" "&amp;Milestones!$AC$102&amp;";  ","")&amp;IF(AND(EDATE($D8,Milestones!$AA$103)&lt;=AsOfDate,IF($R8=0,$X8,IF(AND($T8&lt;&gt;"",EDATE($D8,Milestones!$AA$103)&gt;=$T8),$W8,IF(AND($S8&lt;&gt;"",EDATE($D8,Milestones!$AA$103)&gt;=$S8),$V8,$U8)))=Milestones!$AB$103),UPPER(TEXT(EDATE($D8,Milestones!$AA$103),"dd mmm yy"))&amp;" "&amp;Milestones!$AB$103&amp;" "&amp;Milestones!$AC$103&amp;";  ","")&amp;IF(AND(EDATE($D8,Milestones!$AA$104)&lt;=AsOfDate,IF($R8=0,$X8,IF(AND($T8&lt;&gt;"",EDATE($D8,Milestones!$AA$104)&gt;=$T8),$W8,IF(AND($S8&lt;&gt;"",EDATE($D8,Milestones!$AA$104)&gt;=$S8),$V8,$U8)))=Milestones!$AB$104),UPPER(TEXT(EDATE($D8,Milestones!$AA$104),"dd mmm yy"))&amp;" "&amp;Milestones!$AB$104&amp;" "&amp;Milestones!$AC$104&amp;";  ","")&amp;IF(AND(EDATE($D8,Milestones!$AA$105)&lt;=AsOfDate,IF($R8=0,$X8,IF(AND($T8&lt;&gt;"",EDATE($D8,Milestones!$AA$105)&gt;=$T8),$W8,IF(AND($S8&lt;&gt;"",EDATE($D8,Milestones!$AA$105)&gt;=$S8),$V8,$U8)))=Milestones!$AB$105),UPPER(TEXT(EDATE($D8,Milestones!$AA$105),"dd mmm yy"))&amp;" "&amp;Milestones!$AB$105&amp;" "&amp;Milestones!$AC$105&amp;";  ","")&amp;IF(AND(EDATE($D8,Milestones!$AA$106)&lt;=AsOfDate,IF($R8=0,$X8,IF(AND($T8&lt;&gt;"",EDATE($D8,Milestones!$AA$106)&gt;=$T8),$W8,IF(AND($S8&lt;&gt;"",EDATE($D8,Milestones!$AA$106)&gt;=$S8),$V8,$U8)))=Milestones!$AB$106),UPPER(TEXT(EDATE($D8,Milestones!$AA$106),"dd mmm yy"))&amp;" "&amp;Milestones!$AB$106&amp;" "&amp;Milestones!$AC$106&amp;";  ","")&amp;IF(AND(EDATE($D8,Milestones!$AA$107)&lt;=AsOfDate,IF($R8=0,$X8,IF(AND($T8&lt;&gt;"",EDATE($D8,Milestones!$AA$107)&gt;=$T8),$W8,IF(AND($S8&lt;&gt;"",EDATE($D8,Milestones!$AA$107)&gt;=$S8),$V8,$U8)))=Milestones!$AB$107),UPPER(TEXT(EDATE($D8,Milestones!$AA$107),"dd mmm yy"))&amp;" "&amp;Milestones!$AB$107&amp;" "&amp;Milestones!$AC$107&amp;";  ","")&amp;IF(AND(EDATE($D8,Milestones!$AA$108)&lt;=AsOfDate,IF($R8=0,$X8,IF(AND($T8&lt;&gt;"",EDATE($D8,Milestones!$AA$108)&gt;=$T8),$W8,IF(AND($S8&lt;&gt;"",EDATE($D8,Milestones!$AA$108)&gt;=$S8),$V8,$U8)))=Milestones!$AB$108),UPPER(TEXT(EDATE($D8,Milestones!$AA$108),"dd mmm yy"))&amp;" "&amp;Milestones!$AB$108&amp;" "&amp;Milestones!$AC$108&amp;";  ","")&amp;IF(AND(EDATE($D8,Milestones!$AA$109)&lt;=AsOfDate,IF($R8=0,$X8,IF(AND($T8&lt;&gt;"",EDATE($D8,Milestones!$AA$109)&gt;=$T8),$W8,IF(AND($S8&lt;&gt;"",EDATE($D8,Milestones!$AA$109)&gt;=$S8),$V8,$U8)))=Milestones!$AB$109),UPPER(TEXT(EDATE($D8,Milestones!$AA$109),"dd mmm yy"))&amp;" "&amp;Milestones!$AB$109&amp;" "&amp;Milestones!$AC$109&amp;";  ","")&amp;IF(AND(EDATE($D8,Milestones!$AA$110)&lt;=AsOfDate,IF($R8=0,$X8,IF(AND($T8&lt;&gt;"",EDATE($D8,Milestones!$AA$110)&gt;=$T8),$W8,IF(AND($S8&lt;&gt;"",EDATE($D8,Milestones!$AA$110)&gt;=$S8),$V8,$U8)))=Milestones!$AB$110),UPPER(TEXT(EDATE($D8,Milestones!$AA$110),"dd mmm yy"))&amp;" "&amp;Milestones!$AB$110&amp;" "&amp;Milestones!$AC$110&amp;";  ","")&amp;IF(AND(EDATE($D8,Milestones!$AA$111)&lt;=AsOfDate,IF($R8=0,$X8,IF(AND($T8&lt;&gt;"",EDATE($D8,Milestones!$AA$111)&gt;=$T8),$W8,IF(AND($S8&lt;&gt;"",EDATE($D8,Milestones!$AA$111)&gt;=$S8),$V8,$U8)))=Milestones!$AB$111),UPPER(TEXT(EDATE($D8,Milestones!$AA$111),"dd mmm yy"))&amp;" "&amp;Milestones!$AB$111&amp;" "&amp;Milestones!$AC$111&amp;";  ","")&amp;IF(AND(EDATE($D8,Milestones!$AA$112)&lt;=AsOfDate,IF($R8=0,$X8,IF(AND($T8&lt;&gt;"",EDATE($D8,Milestones!$AA$112)&gt;=$T8),$W8,IF(AND($S8&lt;&gt;"",EDATE($D8,Milestones!$AA$112)&gt;=$S8),$V8,$U8)))=Milestones!$AB$112),UPPER(TEXT(EDATE($D8,Milestones!$AA$112),"dd mmm yy"))&amp;" "&amp;Milestones!$AB$112&amp;" "&amp;Milestones!$AC$112&amp;";  ","")&amp;IF(AND(EDATE($D8,Milestones!$AA$113)&lt;=AsOfDate,IF($R8=0,$X8,IF(AND($T8&lt;&gt;"",EDATE($D8,Milestones!$AA$113)&gt;=$T8),$W8,IF(AND($S8&lt;&gt;"",EDATE($D8,Milestones!$AA$113)&gt;=$S8),$V8,$U8)))=Milestones!$AB$113),UPPER(TEXT(EDATE($D8,Milestones!$AA$113),"dd mmm yy"))&amp;" "&amp;Milestones!$AB$113&amp;" "&amp;Milestones!$AC$113&amp;";  ","")&amp;IF(AND(EDATE($D8,Milestones!$AA$114)&lt;=AsOfDate,IF($R8=0,$X8,IF(AND($T8&lt;&gt;"",EDATE($D8,Milestones!$AA$114)&gt;=$T8),$W8,IF(AND($S8&lt;&gt;"",EDATE($D8,Milestones!$AA$114)&gt;=$S8),$V8,$U8)))=Milestones!$AB$114),UPPER(TEXT(EDATE($D8,Milestones!$AA$114),"dd mmm yy"))&amp;" "&amp;Milestones!$AB$114&amp;" "&amp;Milestones!$AC$114&amp;";  ","")&amp;IF(AND(EDATE($D8,Milestones!$AA$115)&lt;=AsOfDate,IF($R8=0,$X8,IF(AND($T8&lt;&gt;"",EDATE($D8,Milestones!$AA$115)&gt;=$T8),$W8,IF(AND($S8&lt;&gt;"",EDATE($D8,Milestones!$AA$115)&gt;=$S8),$V8,$U8)))=Milestones!$AB$115),UPPER(TEXT(EDATE($D8,Milestones!$AA$115),"dd mmm yy"))&amp;" "&amp;Milestones!$AB$115&amp;" "&amp;Milestones!$AC$115&amp;";  ","")&amp;IF(AND(EDATE($D8,Milestones!$AA$116)&lt;=AsOfDate,IF($R8=0,$X8,IF(AND($T8&lt;&gt;"",EDATE($D8,Milestones!$AA$116)&gt;=$T8),$W8,IF(AND($S8&lt;&gt;"",EDATE($D8,Milestones!$AA$116)&gt;=$S8),$V8,$U8)))=Milestones!$AB$116),UPPER(TEXT(EDATE($D8,Milestones!$AA$116),"dd mmm yy"))&amp;" "&amp;Milestones!$AB$116&amp;" "&amp;Milestones!$AC$116&amp;";  ","")&amp;IF(AND(EDATE($D8,Milestones!$AA$117)&lt;=AsOfDate,IF($R8=0,$X8,IF(AND($T8&lt;&gt;"",EDATE($D8,Milestones!$AA$117)&gt;=$T8),$W8,IF(AND($S8&lt;&gt;"",EDATE($D8,Milestones!$AA$117)&gt;=$S8),$V8,$U8)))=Milestones!$AB$117),UPPER(TEXT(EDATE($D8,Milestones!$AA$117),"dd mmm yy"))&amp;" "&amp;Milestones!$AB$117&amp;" "&amp;Milestones!$AC$117&amp;";  ","")&amp;IF(AND(EDATE($D8,Milestones!$AA$118)&lt;=AsOfDate,IF($R8=0,$X8,IF(AND($T8&lt;&gt;"",EDATE($D8,Milestones!$AA$118)&gt;=$T8),$W8,IF(AND($S8&lt;&gt;"",EDATE($D8,Milestones!$AA$118)&gt;=$S8),$V8,$U8)))=Milestones!$AB$118),UPPER(TEXT(EDATE($D8,Milestones!$AA$118),"dd mmm yy"))&amp;" "&amp;Milestones!$AB$118&amp;" "&amp;Milestones!$AC$118&amp;";  ","")&amp;IF(AND(EDATE($D8,Milestones!$AA$119)&lt;=AsOfDate,IF($R8=0,$X8,IF(AND($T8&lt;&gt;"",EDATE($D8,Milestones!$AA$119)&gt;=$T8),$W8,IF(AND($S8&lt;&gt;"",EDATE($D8,Milestones!$AA$119)&gt;=$S8),$V8,$U8)))=Milestones!$AB$119),UPPER(TEXT(EDATE($D8,Milestones!$AA$119),"dd mmm yy"))&amp;" "&amp;Milestones!$AB$119&amp;" "&amp;Milestones!$AC$119&amp;";  ",""))</f>
        <v/>
      </c>
      <c r="N8" s="0" t="str">
        <f aca="false">IF(OR($A8="",$D8=""),"",IF(AND(EDATE($D8,Milestones!$AA$120)&lt;=AsOfDate,IF($R8=0,$X8,IF(AND($T8&lt;&gt;"",EDATE($D8,Milestones!$AA$120)&gt;=$T8),$W8,IF(AND($S8&lt;&gt;"",EDATE($D8,Milestones!$AA$120)&gt;=$S8),$V8,$U8)))=Milestones!$AB$120),UPPER(TEXT(EDATE($D8,Milestones!$AA$120),"dd mmm yy"))&amp;" "&amp;Milestones!$AB$120&amp;" "&amp;Milestones!$AC$120&amp;";  ","")&amp;IF(AND(EDATE($D8,Milestones!$AA$121)&lt;=AsOfDate,IF($R8=0,$X8,IF(AND($T8&lt;&gt;"",EDATE($D8,Milestones!$AA$121)&gt;=$T8),$W8,IF(AND($S8&lt;&gt;"",EDATE($D8,Milestones!$AA$121)&gt;=$S8),$V8,$U8)))=Milestones!$AB$121),UPPER(TEXT(EDATE($D8,Milestones!$AA$121),"dd mmm yy"))&amp;" "&amp;Milestones!$AB$121&amp;" "&amp;Milestones!$AC$121&amp;";  ","")&amp;IF(AND(EDATE($D8,Milestones!$AA$122)&lt;=AsOfDate,IF($R8=0,$X8,IF(AND($T8&lt;&gt;"",EDATE($D8,Milestones!$AA$122)&gt;=$T8),$W8,IF(AND($S8&lt;&gt;"",EDATE($D8,Milestones!$AA$122)&gt;=$S8),$V8,$U8)))=Milestones!$AB$122),UPPER(TEXT(EDATE($D8,Milestones!$AA$122),"dd mmm yy"))&amp;" "&amp;Milestones!$AB$122&amp;" "&amp;Milestones!$AC$122&amp;";  ","")&amp;IF(AND(EDATE($D8,Milestones!$AA$123)&lt;=AsOfDate,IF($R8=0,$X8,IF(AND($T8&lt;&gt;"",EDATE($D8,Milestones!$AA$123)&gt;=$T8),$W8,IF(AND($S8&lt;&gt;"",EDATE($D8,Milestones!$AA$123)&gt;=$S8),$V8,$U8)))=Milestones!$AB$123),UPPER(TEXT(EDATE($D8,Milestones!$AA$123),"dd mmm yy"))&amp;" "&amp;Milestones!$AB$123&amp;" "&amp;Milestones!$AC$123&amp;";  ","")&amp;IF(AND(EDATE($D8,Milestones!$AA$124)&lt;=AsOfDate,IF($R8=0,$X8,IF(AND($T8&lt;&gt;"",EDATE($D8,Milestones!$AA$124)&gt;=$T8),$W8,IF(AND($S8&lt;&gt;"",EDATE($D8,Milestones!$AA$124)&gt;=$S8),$V8,$U8)))=Milestones!$AB$124),UPPER(TEXT(EDATE($D8,Milestones!$AA$124),"dd mmm yy"))&amp;" "&amp;Milestones!$AB$124&amp;" "&amp;Milestones!$AC$124&amp;";  ","")&amp;IF(AND(EDATE($D8,Milestones!$AA$125)&lt;=AsOfDate,IF($R8=0,$X8,IF(AND($T8&lt;&gt;"",EDATE($D8,Milestones!$AA$125)&gt;=$T8),$W8,IF(AND($S8&lt;&gt;"",EDATE($D8,Milestones!$AA$125)&gt;=$S8),$V8,$U8)))=Milestones!$AB$125),UPPER(TEXT(EDATE($D8,Milestones!$AA$125),"dd mmm yy"))&amp;" "&amp;Milestones!$AB$125&amp;" "&amp;Milestones!$AC$125&amp;";  ","")&amp;IF(AND(EDATE($D8,Milestones!$AA$126)&lt;=AsOfDate,IF($R8=0,$X8,IF(AND($T8&lt;&gt;"",EDATE($D8,Milestones!$AA$126)&gt;=$T8),$W8,IF(AND($S8&lt;&gt;"",EDATE($D8,Milestones!$AA$126)&gt;=$S8),$V8,$U8)))=Milestones!$AB$126),UPPER(TEXT(EDATE($D8,Milestones!$AA$126),"dd mmm yy"))&amp;" "&amp;Milestones!$AB$126&amp;" "&amp;Milestones!$AC$126&amp;";  ","")&amp;IF(AND(EDATE($D8,Milestones!$AA$127)&lt;=AsOfDate,IF($R8=0,$X8,IF(AND($T8&lt;&gt;"",EDATE($D8,Milestones!$AA$127)&gt;=$T8),$W8,IF(AND($S8&lt;&gt;"",EDATE($D8,Milestones!$AA$127)&gt;=$S8),$V8,$U8)))=Milestones!$AB$127),UPPER(TEXT(EDATE($D8,Milestones!$AA$127),"dd mmm yy"))&amp;" "&amp;Milestones!$AB$127&amp;" "&amp;Milestones!$AC$127&amp;";  ","")&amp;IF(AND(EDATE($D8,Milestones!$AA$128)&lt;=AsOfDate,IF($R8=0,$X8,IF(AND($T8&lt;&gt;"",EDATE($D8,Milestones!$AA$128)&gt;=$T8),$W8,IF(AND($S8&lt;&gt;"",EDATE($D8,Milestones!$AA$128)&gt;=$S8),$V8,$U8)))=Milestones!$AB$128),UPPER(TEXT(EDATE($D8,Milestones!$AA$128),"dd mmm yy"))&amp;" "&amp;Milestones!$AB$128&amp;" "&amp;Milestones!$AC$128&amp;";  ","")&amp;IF(AND(EDATE($D8,Milestones!$AA$129)&lt;=AsOfDate,IF($R8=0,$X8,IF(AND($T8&lt;&gt;"",EDATE($D8,Milestones!$AA$129)&gt;=$T8),$W8,IF(AND($S8&lt;&gt;"",EDATE($D8,Milestones!$AA$129)&gt;=$S8),$V8,$U8)))=Milestones!$AB$129),UPPER(TEXT(EDATE($D8,Milestones!$AA$129),"dd mmm yy"))&amp;" "&amp;Milestones!$AB$129&amp;" "&amp;Milestones!$AC$129&amp;";  ","")&amp;IF(AND(EDATE($D8,Milestones!$AA$130)&lt;=AsOfDate,IF($R8=0,$X8,IF(AND($T8&lt;&gt;"",EDATE($D8,Milestones!$AA$130)&gt;=$T8),$W8,IF(AND($S8&lt;&gt;"",EDATE($D8,Milestones!$AA$130)&gt;=$S8),$V8,$U8)))=Milestones!$AB$130),UPPER(TEXT(EDATE($D8,Milestones!$AA$130),"dd mmm yy"))&amp;" "&amp;Milestones!$AB$130&amp;" "&amp;Milestones!$AC$130&amp;";  ","")&amp;IF(AND(EDATE($D8,Milestones!$AA$131)&lt;=AsOfDate,IF($R8=0,$X8,IF(AND($T8&lt;&gt;"",EDATE($D8,Milestones!$AA$131)&gt;=$T8),$W8,IF(AND($S8&lt;&gt;"",EDATE($D8,Milestones!$AA$131)&gt;=$S8),$V8,$U8)))=Milestones!$AB$131),UPPER(TEXT(EDATE($D8,Milestones!$AA$131),"dd mmm yy"))&amp;" "&amp;Milestones!$AB$131&amp;" "&amp;Milestones!$AC$131&amp;";  ","")&amp;IF(AND(EDATE($D8,Milestones!$AA$132)&lt;=AsOfDate,IF($R8=0,$X8,IF(AND($T8&lt;&gt;"",EDATE($D8,Milestones!$AA$132)&gt;=$T8),$W8,IF(AND($S8&lt;&gt;"",EDATE($D8,Milestones!$AA$132)&gt;=$S8),$V8,$U8)))=Milestones!$AB$132),UPPER(TEXT(EDATE($D8,Milestones!$AA$132),"dd mmm yy"))&amp;" "&amp;Milestones!$AB$132&amp;" "&amp;Milestones!$AC$132&amp;";  ","")&amp;IF(AND(EDATE($D8,Milestones!$AA$133)&lt;=AsOfDate,IF($R8=0,$X8,IF(AND($T8&lt;&gt;"",EDATE($D8,Milestones!$AA$133)&gt;=$T8),$W8,IF(AND($S8&lt;&gt;"",EDATE($D8,Milestones!$AA$133)&gt;=$S8),$V8,$U8)))=Milestones!$AB$133),UPPER(TEXT(EDATE($D8,Milestones!$AA$133),"dd mmm yy"))&amp;" "&amp;Milestones!$AB$133&amp;" "&amp;Milestones!$AC$133&amp;";  ","")&amp;IF(AND(EDATE($D8,Milestones!$AA$134)&lt;=AsOfDate,IF($R8=0,$X8,IF(AND($T8&lt;&gt;"",EDATE($D8,Milestones!$AA$134)&gt;=$T8),$W8,IF(AND($S8&lt;&gt;"",EDATE($D8,Milestones!$AA$134)&gt;=$S8),$V8,$U8)))=Milestones!$AB$134),UPPER(TEXT(EDATE($D8,Milestones!$AA$134),"dd mmm yy"))&amp;" "&amp;Milestones!$AB$134&amp;" "&amp;Milestones!$AC$134&amp;";  ","")&amp;IF(AND(EDATE($D8,Milestones!$AA$135)&lt;=AsOfDate,IF($R8=0,$X8,IF(AND($T8&lt;&gt;"",EDATE($D8,Milestones!$AA$135)&gt;=$T8),$W8,IF(AND($S8&lt;&gt;"",EDATE($D8,Milestones!$AA$135)&gt;=$S8),$V8,$U8)))=Milestones!$AB$135),UPPER(TEXT(EDATE($D8,Milestones!$AA$135),"dd mmm yy"))&amp;" "&amp;Milestones!$AB$135&amp;" "&amp;Milestones!$AC$135&amp;";  ","")&amp;IF(AND(EDATE($D8,Milestones!$AA$136)&lt;=AsOfDate,IF($R8=0,$X8,IF(AND($T8&lt;&gt;"",EDATE($D8,Milestones!$AA$136)&gt;=$T8),$W8,IF(AND($S8&lt;&gt;"",EDATE($D8,Milestones!$AA$136)&gt;=$S8),$V8,$U8)))=Milestones!$AB$136),UPPER(TEXT(EDATE($D8,Milestones!$AA$136),"dd mmm yy"))&amp;" "&amp;Milestones!$AB$136&amp;" "&amp;Milestones!$AC$136&amp;";  ","")&amp;IF(AND(EDATE($D8,Milestones!$AA$137)&lt;=AsOfDate,IF($R8=0,$X8,IF(AND($T8&lt;&gt;"",EDATE($D8,Milestones!$AA$137)&gt;=$T8),$W8,IF(AND($S8&lt;&gt;"",EDATE($D8,Milestones!$AA$137)&gt;=$S8),$V8,$U8)))=Milestones!$AB$137),UPPER(TEXT(EDATE($D8,Milestones!$AA$137),"dd mmm yy"))&amp;" "&amp;Milestones!$AB$137&amp;" "&amp;Milestones!$AC$137&amp;";  ","")&amp;IF(AND(EDATE($D8,Milestones!$AA$138)&lt;=AsOfDate,IF($R8=0,$X8,IF(AND($T8&lt;&gt;"",EDATE($D8,Milestones!$AA$138)&gt;=$T8),$W8,IF(AND($S8&lt;&gt;"",EDATE($D8,Milestones!$AA$138)&gt;=$S8),$V8,$U8)))=Milestones!$AB$138),UPPER(TEXT(EDATE($D8,Milestones!$AA$138),"dd mmm yy"))&amp;" "&amp;Milestones!$AB$138&amp;" "&amp;Milestones!$AC$138&amp;";  ","")&amp;IF(AND(EDATE($D8,Milestones!$AA$139)&lt;=AsOfDate,IF($R8=0,$X8,IF(AND($T8&lt;&gt;"",EDATE($D8,Milestones!$AA$139)&gt;=$T8),$W8,IF(AND($S8&lt;&gt;"",EDATE($D8,Milestones!$AA$139)&gt;=$S8),$V8,$U8)))=Milestones!$AB$139),UPPER(TEXT(EDATE($D8,Milestones!$AA$139),"dd mmm yy"))&amp;" "&amp;Milestones!$AB$139&amp;" "&amp;Milestones!$AC$139&amp;";  ",""))</f>
        <v/>
      </c>
      <c r="O8" s="0" t="str">
        <f aca="false">IF(OR($A8="",$D8=""),"",IF(AND(EDATE($D8,Milestones!$AA$140)&lt;=AsOfDate,IF($R8=0,$X8,IF(AND($T8&lt;&gt;"",EDATE($D8,Milestones!$AA$140)&gt;=$T8),$W8,IF(AND($S8&lt;&gt;"",EDATE($D8,Milestones!$AA$140)&gt;=$S8),$V8,$U8)))=Milestones!$AB$140),UPPER(TEXT(EDATE($D8,Milestones!$AA$140),"dd mmm yy"))&amp;" "&amp;Milestones!$AB$140&amp;" "&amp;Milestones!$AC$140&amp;";  ","")&amp;IF(AND(EDATE($D8,Milestones!$AA$141)&lt;=AsOfDate,IF($R8=0,$X8,IF(AND($T8&lt;&gt;"",EDATE($D8,Milestones!$AA$141)&gt;=$T8),$W8,IF(AND($S8&lt;&gt;"",EDATE($D8,Milestones!$AA$141)&gt;=$S8),$V8,$U8)))=Milestones!$AB$141),UPPER(TEXT(EDATE($D8,Milestones!$AA$141),"dd mmm yy"))&amp;" "&amp;Milestones!$AB$141&amp;" "&amp;Milestones!$AC$141&amp;";  ","")&amp;IF(AND(EDATE($D8,Milestones!$AA$142)&lt;=AsOfDate,IF($R8=0,$X8,IF(AND($T8&lt;&gt;"",EDATE($D8,Milestones!$AA$142)&gt;=$T8),$W8,IF(AND($S8&lt;&gt;"",EDATE($D8,Milestones!$AA$142)&gt;=$S8),$V8,$U8)))=Milestones!$AB$142),UPPER(TEXT(EDATE($D8,Milestones!$AA$142),"dd mmm yy"))&amp;" "&amp;Milestones!$AB$142&amp;" "&amp;Milestones!$AC$142&amp;";  ","")&amp;IF(AND(EDATE($D8,Milestones!$AA$143)&lt;=AsOfDate,IF($R8=0,$X8,IF(AND($T8&lt;&gt;"",EDATE($D8,Milestones!$AA$143)&gt;=$T8),$W8,IF(AND($S8&lt;&gt;"",EDATE($D8,Milestones!$AA$143)&gt;=$S8),$V8,$U8)))=Milestones!$AB$143),UPPER(TEXT(EDATE($D8,Milestones!$AA$143),"dd mmm yy"))&amp;" "&amp;Milestones!$AB$143&amp;" "&amp;Milestones!$AC$143&amp;";  ","")&amp;IF(AND(EDATE($D8,Milestones!$AA$144)&lt;=AsOfDate,IF($R8=0,$X8,IF(AND($T8&lt;&gt;"",EDATE($D8,Milestones!$AA$144)&gt;=$T8),$W8,IF(AND($S8&lt;&gt;"",EDATE($D8,Milestones!$AA$144)&gt;=$S8),$V8,$U8)))=Milestones!$AB$144),UPPER(TEXT(EDATE($D8,Milestones!$AA$144),"dd mmm yy"))&amp;" "&amp;Milestones!$AB$144&amp;" "&amp;Milestones!$AC$144&amp;";  ","")&amp;IF(AND(EDATE($D8,Milestones!$AA$145)&lt;=AsOfDate,IF($R8=0,$X8,IF(AND($T8&lt;&gt;"",EDATE($D8,Milestones!$AA$145)&gt;=$T8),$W8,IF(AND($S8&lt;&gt;"",EDATE($D8,Milestones!$AA$145)&gt;=$S8),$V8,$U8)))=Milestones!$AB$145),UPPER(TEXT(EDATE($D8,Milestones!$AA$145),"dd mmm yy"))&amp;" "&amp;Milestones!$AB$145&amp;" "&amp;Milestones!$AC$145&amp;";  ","")&amp;IF(AND(EDATE($D8,Milestones!$AA$146)&lt;=AsOfDate,IF($R8=0,$X8,IF(AND($T8&lt;&gt;"",EDATE($D8,Milestones!$AA$146)&gt;=$T8),$W8,IF(AND($S8&lt;&gt;"",EDATE($D8,Milestones!$AA$146)&gt;=$S8),$V8,$U8)))=Milestones!$AB$146),UPPER(TEXT(EDATE($D8,Milestones!$AA$146),"dd mmm yy"))&amp;" "&amp;Milestones!$AB$146&amp;" "&amp;Milestones!$AC$146&amp;";  ","")&amp;IF(AND(EDATE($D8,Milestones!$AA$147)&lt;=AsOfDate,IF($R8=0,$X8,IF(AND($T8&lt;&gt;"",EDATE($D8,Milestones!$AA$147)&gt;=$T8),$W8,IF(AND($S8&lt;&gt;"",EDATE($D8,Milestones!$AA$147)&gt;=$S8),$V8,$U8)))=Milestones!$AB$147),UPPER(TEXT(EDATE($D8,Milestones!$AA$147),"dd mmm yy"))&amp;" "&amp;Milestones!$AB$147&amp;" "&amp;Milestones!$AC$147&amp;";  ","")&amp;IF(AND(EDATE($D8,Milestones!$AA$148)&lt;=AsOfDate,IF($R8=0,$X8,IF(AND($T8&lt;&gt;"",EDATE($D8,Milestones!$AA$148)&gt;=$T8),$W8,IF(AND($S8&lt;&gt;"",EDATE($D8,Milestones!$AA$148)&gt;=$S8),$V8,$U8)))=Milestones!$AB$148),UPPER(TEXT(EDATE($D8,Milestones!$AA$148),"dd mmm yy"))&amp;" "&amp;Milestones!$AB$148&amp;" "&amp;Milestones!$AC$148&amp;";  ","")&amp;IF(AND(EDATE($D8,Milestones!$AA$149)&lt;=AsOfDate,IF($R8=0,$X8,IF(AND($T8&lt;&gt;"",EDATE($D8,Milestones!$AA$149)&gt;=$T8),$W8,IF(AND($S8&lt;&gt;"",EDATE($D8,Milestones!$AA$149)&gt;=$S8),$V8,$U8)))=Milestones!$AB$149),UPPER(TEXT(EDATE($D8,Milestones!$AA$149),"dd mmm yy"))&amp;" "&amp;Milestones!$AB$149&amp;" "&amp;Milestones!$AC$149&amp;";  ","")&amp;IF(AND(EDATE($D8,Milestones!$AA$150)&lt;=AsOfDate,IF($R8=0,$X8,IF(AND($T8&lt;&gt;"",EDATE($D8,Milestones!$AA$150)&gt;=$T8),$W8,IF(AND($S8&lt;&gt;"",EDATE($D8,Milestones!$AA$150)&gt;=$S8),$V8,$U8)))=Milestones!$AB$150),UPPER(TEXT(EDATE($D8,Milestones!$AA$150),"dd mmm yy"))&amp;" "&amp;Milestones!$AB$150&amp;" "&amp;Milestones!$AC$150&amp;";  ","")&amp;IF(AND(EDATE($D8,Milestones!$AA$151)&lt;=AsOfDate,IF($R8=0,$X8,IF(AND($T8&lt;&gt;"",EDATE($D8,Milestones!$AA$151)&gt;=$T8),$W8,IF(AND($S8&lt;&gt;"",EDATE($D8,Milestones!$AA$151)&gt;=$S8),$V8,$U8)))=Milestones!$AB$151),UPPER(TEXT(EDATE($D8,Milestones!$AA$151),"dd mmm yy"))&amp;" "&amp;Milestones!$AB$151&amp;" "&amp;Milestones!$AC$151&amp;";  ","")&amp;IF(AND(EDATE($D8,Milestones!$AA$152)&lt;=AsOfDate,IF($R8=0,$X8,IF(AND($T8&lt;&gt;"",EDATE($D8,Milestones!$AA$152)&gt;=$T8),$W8,IF(AND($S8&lt;&gt;"",EDATE($D8,Milestones!$AA$152)&gt;=$S8),$V8,$U8)))=Milestones!$AB$152),UPPER(TEXT(EDATE($D8,Milestones!$AA$152),"dd mmm yy"))&amp;" "&amp;Milestones!$AB$152&amp;" "&amp;Milestones!$AC$152&amp;";  ","")&amp;IF(AND(EDATE($D8,Milestones!$AA$153)&lt;=AsOfDate,IF($R8=0,$X8,IF(AND($T8&lt;&gt;"",EDATE($D8,Milestones!$AA$153)&gt;=$T8),$W8,IF(AND($S8&lt;&gt;"",EDATE($D8,Milestones!$AA$153)&gt;=$S8),$V8,$U8)))=Milestones!$AB$153),UPPER(TEXT(EDATE($D8,Milestones!$AA$153),"dd mmm yy"))&amp;" "&amp;Milestones!$AB$153&amp;" "&amp;Milestones!$AC$153&amp;";  ","")&amp;IF(AND(EDATE($D8,Milestones!$AA$154)&lt;=AsOfDate,IF($R8=0,$X8,IF(AND($T8&lt;&gt;"",EDATE($D8,Milestones!$AA$154)&gt;=$T8),$W8,IF(AND($S8&lt;&gt;"",EDATE($D8,Milestones!$AA$154)&gt;=$S8),$V8,$U8)))=Milestones!$AB$154),UPPER(TEXT(EDATE($D8,Milestones!$AA$154),"dd mmm yy"))&amp;" "&amp;Milestones!$AB$154&amp;" "&amp;Milestones!$AC$154&amp;";  ","")&amp;IF(AND(EDATE($D8,Milestones!$AA$155)&lt;=AsOfDate,IF($R8=0,$X8,IF(AND($T8&lt;&gt;"",EDATE($D8,Milestones!$AA$155)&gt;=$T8),$W8,IF(AND($S8&lt;&gt;"",EDATE($D8,Milestones!$AA$155)&gt;=$S8),$V8,$U8)))=Milestones!$AB$155),UPPER(TEXT(EDATE($D8,Milestones!$AA$155),"dd mmm yy"))&amp;" "&amp;Milestones!$AB$155&amp;" "&amp;Milestones!$AC$155&amp;";  ","")&amp;IF(AND(EDATE($D8,Milestones!$AA$156)&lt;=AsOfDate,IF($R8=0,$X8,IF(AND($T8&lt;&gt;"",EDATE($D8,Milestones!$AA$156)&gt;=$T8),$W8,IF(AND($S8&lt;&gt;"",EDATE($D8,Milestones!$AA$156)&gt;=$S8),$V8,$U8)))=Milestones!$AB$156),UPPER(TEXT(EDATE($D8,Milestones!$AA$156),"dd mmm yy"))&amp;" "&amp;Milestones!$AB$156&amp;" "&amp;Milestones!$AC$156&amp;";  ","")&amp;IF(AND(EDATE($D8,Milestones!$AA$157)&lt;=AsOfDate,IF($R8=0,$X8,IF(AND($T8&lt;&gt;"",EDATE($D8,Milestones!$AA$157)&gt;=$T8),$W8,IF(AND($S8&lt;&gt;"",EDATE($D8,Milestones!$AA$157)&gt;=$S8),$V8,$U8)))=Milestones!$AB$157),UPPER(TEXT(EDATE($D8,Milestones!$AA$157),"dd mmm yy"))&amp;" "&amp;Milestones!$AB$157&amp;" "&amp;Milestones!$AC$157&amp;";  ","")&amp;IF(AND(EDATE($D8,Milestones!$AA$158)&lt;=AsOfDate,IF($R8=0,$X8,IF(AND($T8&lt;&gt;"",EDATE($D8,Milestones!$AA$158)&gt;=$T8),$W8,IF(AND($S8&lt;&gt;"",EDATE($D8,Milestones!$AA$158)&gt;=$S8),$V8,$U8)))=Milestones!$AB$158),UPPER(TEXT(EDATE($D8,Milestones!$AA$158),"dd mmm yy"))&amp;" "&amp;Milestones!$AB$158&amp;" "&amp;Milestones!$AC$158&amp;";  ","")&amp;IF(AND(EDATE($D8,Milestones!$AA$159)&lt;=AsOfDate,IF($R8=0,$X8,IF(AND($T8&lt;&gt;"",EDATE($D8,Milestones!$AA$159)&gt;=$T8),$W8,IF(AND($S8&lt;&gt;"",EDATE($D8,Milestones!$AA$159)&gt;=$S8),$V8,$U8)))=Milestones!$AB$159),UPPER(TEXT(EDATE($D8,Milestones!$AA$159),"dd mmm yy"))&amp;" "&amp;Milestones!$AB$159&amp;" "&amp;Milestones!$AC$159&amp;";  ",""))</f>
        <v/>
      </c>
      <c r="P8" s="0" t="str">
        <f aca="false">IF(OR($A8="",$D8=""),"",IF(AND(EDATE($D8,Milestones!$AA$160)&lt;=AsOfDate,IF($R8=0,$X8,IF(AND($T8&lt;&gt;"",EDATE($D8,Milestones!$AA$160)&gt;=$T8),$W8,IF(AND($S8&lt;&gt;"",EDATE($D8,Milestones!$AA$160)&gt;=$S8),$V8,$U8)))=Milestones!$AB$160),UPPER(TEXT(EDATE($D8,Milestones!$AA$160),"dd mmm yy"))&amp;" "&amp;Milestones!$AB$160&amp;" "&amp;Milestones!$AC$160&amp;";  ","")&amp;IF(AND(EDATE($D8,Milestones!$AA$161)&lt;=AsOfDate,IF($R8=0,$X8,IF(AND($T8&lt;&gt;"",EDATE($D8,Milestones!$AA$161)&gt;=$T8),$W8,IF(AND($S8&lt;&gt;"",EDATE($D8,Milestones!$AA$161)&gt;=$S8),$V8,$U8)))=Milestones!$AB$161),UPPER(TEXT(EDATE($D8,Milestones!$AA$161),"dd mmm yy"))&amp;" "&amp;Milestones!$AB$161&amp;" "&amp;Milestones!$AC$161&amp;";  ","")&amp;IF(AND(EDATE($D8,Milestones!$AA$162)&lt;=AsOfDate,IF($R8=0,$X8,IF(AND($T8&lt;&gt;"",EDATE($D8,Milestones!$AA$162)&gt;=$T8),$W8,IF(AND($S8&lt;&gt;"",EDATE($D8,Milestones!$AA$162)&gt;=$S8),$V8,$U8)))=Milestones!$AB$162),UPPER(TEXT(EDATE($D8,Milestones!$AA$162),"dd mmm yy"))&amp;" "&amp;Milestones!$AB$162&amp;" "&amp;Milestones!$AC$162&amp;";  ","")&amp;IF(AND(EDATE($D8,Milestones!$AA$163)&lt;=AsOfDate,IF($R8=0,$X8,IF(AND($T8&lt;&gt;"",EDATE($D8,Milestones!$AA$163)&gt;=$T8),$W8,IF(AND($S8&lt;&gt;"",EDATE($D8,Milestones!$AA$163)&gt;=$S8),$V8,$U8)))=Milestones!$AB$163),UPPER(TEXT(EDATE($D8,Milestones!$AA$163),"dd mmm yy"))&amp;" "&amp;Milestones!$AB$163&amp;" "&amp;Milestones!$AC$163&amp;";  ","")&amp;IF(AND(EDATE($D8,Milestones!$AA$164)&lt;=AsOfDate,IF($R8=0,$X8,IF(AND($T8&lt;&gt;"",EDATE($D8,Milestones!$AA$164)&gt;=$T8),$W8,IF(AND($S8&lt;&gt;"",EDATE($D8,Milestones!$AA$164)&gt;=$S8),$V8,$U8)))=Milestones!$AB$164),UPPER(TEXT(EDATE($D8,Milestones!$AA$164),"dd mmm yy"))&amp;" "&amp;Milestones!$AB$164&amp;" "&amp;Milestones!$AC$164&amp;";  ","")&amp;IF(AND(EDATE($D8,Milestones!$AA$165)&lt;=AsOfDate,IF($R8=0,$X8,IF(AND($T8&lt;&gt;"",EDATE($D8,Milestones!$AA$165)&gt;=$T8),$W8,IF(AND($S8&lt;&gt;"",EDATE($D8,Milestones!$AA$165)&gt;=$S8),$V8,$U8)))=Milestones!$AB$165),UPPER(TEXT(EDATE($D8,Milestones!$AA$165),"dd mmm yy"))&amp;" "&amp;Milestones!$AB$165&amp;" "&amp;Milestones!$AC$165&amp;";  ","")&amp;IF(AND(EDATE($D8,Milestones!$AA$166)&lt;=AsOfDate,IF($R8=0,$X8,IF(AND($T8&lt;&gt;"",EDATE($D8,Milestones!$AA$166)&gt;=$T8),$W8,IF(AND($S8&lt;&gt;"",EDATE($D8,Milestones!$AA$166)&gt;=$S8),$V8,$U8)))=Milestones!$AB$166),UPPER(TEXT(EDATE($D8,Milestones!$AA$166),"dd mmm yy"))&amp;" "&amp;Milestones!$AB$166&amp;" "&amp;Milestones!$AC$166&amp;";  ","")&amp;IF(AND(EDATE($D8,Milestones!$AA$167)&lt;=AsOfDate,IF($R8=0,$X8,IF(AND($T8&lt;&gt;"",EDATE($D8,Milestones!$AA$167)&gt;=$T8),$W8,IF(AND($S8&lt;&gt;"",EDATE($D8,Milestones!$AA$167)&gt;=$S8),$V8,$U8)))=Milestones!$AB$167),UPPER(TEXT(EDATE($D8,Milestones!$AA$167),"dd mmm yy"))&amp;" "&amp;Milestones!$AB$167&amp;" "&amp;Milestones!$AC$167&amp;";  ","")&amp;IF(AND(EDATE($D8,Milestones!$AA$168)&lt;=AsOfDate,IF($R8=0,$X8,IF(AND($T8&lt;&gt;"",EDATE($D8,Milestones!$AA$168)&gt;=$T8),$W8,IF(AND($S8&lt;&gt;"",EDATE($D8,Milestones!$AA$168)&gt;=$S8),$V8,$U8)))=Milestones!$AB$168),UPPER(TEXT(EDATE($D8,Milestones!$AA$168),"dd mmm yy"))&amp;" "&amp;Milestones!$AB$168&amp;" "&amp;Milestones!$AC$168&amp;";  ","")&amp;IF(AND(EDATE($D8,Milestones!$AA$169)&lt;=AsOfDate,IF($R8=0,$X8,IF(AND($T8&lt;&gt;"",EDATE($D8,Milestones!$AA$169)&gt;=$T8),$W8,IF(AND($S8&lt;&gt;"",EDATE($D8,Milestones!$AA$169)&gt;=$S8),$V8,$U8)))=Milestones!$AB$169),UPPER(TEXT(EDATE($D8,Milestones!$AA$169),"dd mmm yy"))&amp;" "&amp;Milestones!$AB$169&amp;" "&amp;Milestones!$AC$169&amp;";  ","")&amp;IF(AND(EDATE($D8,Milestones!$AA$170)&lt;=AsOfDate,IF($R8=0,$X8,IF(AND($T8&lt;&gt;"",EDATE($D8,Milestones!$AA$170)&gt;=$T8),$W8,IF(AND($S8&lt;&gt;"",EDATE($D8,Milestones!$AA$170)&gt;=$S8),$V8,$U8)))=Milestones!$AB$170),UPPER(TEXT(EDATE($D8,Milestones!$AA$170),"dd mmm yy"))&amp;" "&amp;Milestones!$AB$170&amp;" "&amp;Milestones!$AC$170&amp;";  ","")&amp;IF(AND(EDATE($D8,Milestones!$AA$171)&lt;=AsOfDate,IF($R8=0,$X8,IF(AND($T8&lt;&gt;"",EDATE($D8,Milestones!$AA$171)&gt;=$T8),$W8,IF(AND($S8&lt;&gt;"",EDATE($D8,Milestones!$AA$171)&gt;=$S8),$V8,$U8)))=Milestones!$AB$171),UPPER(TEXT(EDATE($D8,Milestones!$AA$171),"dd mmm yy"))&amp;" "&amp;Milestones!$AB$171&amp;" "&amp;Milestones!$AC$171&amp;";  ","")&amp;IF(AND(EDATE($D8,Milestones!$AA$172)&lt;=AsOfDate,IF($R8=0,$X8,IF(AND($T8&lt;&gt;"",EDATE($D8,Milestones!$AA$172)&gt;=$T8),$W8,IF(AND($S8&lt;&gt;"",EDATE($D8,Milestones!$AA$172)&gt;=$S8),$V8,$U8)))=Milestones!$AB$172),UPPER(TEXT(EDATE($D8,Milestones!$AA$172),"dd mmm yy"))&amp;" "&amp;Milestones!$AB$172&amp;" "&amp;Milestones!$AC$172&amp;";  ","")&amp;IF(AND(EDATE($D8,Milestones!$AA$173)&lt;=AsOfDate,IF($R8=0,$X8,IF(AND($T8&lt;&gt;"",EDATE($D8,Milestones!$AA$173)&gt;=$T8),$W8,IF(AND($S8&lt;&gt;"",EDATE($D8,Milestones!$AA$173)&gt;=$S8),$V8,$U8)))=Milestones!$AB$173),UPPER(TEXT(EDATE($D8,Milestones!$AA$173),"dd mmm yy"))&amp;" "&amp;Milestones!$AB$173&amp;" "&amp;Milestones!$AC$173&amp;";  ","")&amp;IF(AND(EDATE($D8,Milestones!$AA$174)&lt;=AsOfDate,IF($R8=0,$X8,IF(AND($T8&lt;&gt;"",EDATE($D8,Milestones!$AA$174)&gt;=$T8),$W8,IF(AND($S8&lt;&gt;"",EDATE($D8,Milestones!$AA$174)&gt;=$S8),$V8,$U8)))=Milestones!$AB$174),UPPER(TEXT(EDATE($D8,Milestones!$AA$174),"dd mmm yy"))&amp;" "&amp;Milestones!$AB$174&amp;" "&amp;Milestones!$AC$174&amp;";  ","")&amp;IF(AND(EDATE($D8,Milestones!$AA$175)&lt;=AsOfDate,IF($R8=0,$X8,IF(AND($T8&lt;&gt;"",EDATE($D8,Milestones!$AA$175)&gt;=$T8),$W8,IF(AND($S8&lt;&gt;"",EDATE($D8,Milestones!$AA$175)&gt;=$S8),$V8,$U8)))=Milestones!$AB$175),UPPER(TEXT(EDATE($D8,Milestones!$AA$175),"dd mmm yy"))&amp;" "&amp;Milestones!$AB$175&amp;" "&amp;Milestones!$AC$175&amp;";  ","")&amp;IF(AND(EDATE($D8,Milestones!$AA$176)&lt;=AsOfDate,IF($R8=0,$X8,IF(AND($T8&lt;&gt;"",EDATE($D8,Milestones!$AA$176)&gt;=$T8),$W8,IF(AND($S8&lt;&gt;"",EDATE($D8,Milestones!$AA$176)&gt;=$S8),$V8,$U8)))=Milestones!$AB$176),UPPER(TEXT(EDATE($D8,Milestones!$AA$176),"dd mmm yy"))&amp;" "&amp;Milestones!$AB$176&amp;" "&amp;Milestones!$AC$176&amp;";  ","")&amp;IF(AND(EDATE($D8,Milestones!$AA$177)&lt;=AsOfDate,IF($R8=0,$X8,IF(AND($T8&lt;&gt;"",EDATE($D8,Milestones!$AA$177)&gt;=$T8),$W8,IF(AND($S8&lt;&gt;"",EDATE($D8,Milestones!$AA$177)&gt;=$S8),$V8,$U8)))=Milestones!$AB$177),UPPER(TEXT(EDATE($D8,Milestones!$AA$177),"dd mmm yy"))&amp;" "&amp;Milestones!$AB$177&amp;" "&amp;Milestones!$AC$177&amp;";  ","")&amp;IF(AND(EDATE($D8,Milestones!$AA$178)&lt;=AsOfDate,IF($R8=0,$X8,IF(AND($T8&lt;&gt;"",EDATE($D8,Milestones!$AA$178)&gt;=$T8),$W8,IF(AND($S8&lt;&gt;"",EDATE($D8,Milestones!$AA$178)&gt;=$S8),$V8,$U8)))=Milestones!$AB$178),UPPER(TEXT(EDATE($D8,Milestones!$AA$178),"dd mmm yy"))&amp;" "&amp;Milestones!$AB$178&amp;" "&amp;Milestones!$AC$178&amp;";  ","")&amp;IF(AND(EDATE($D8,Milestones!$AA$179)&lt;=AsOfDate,IF($R8=0,$X8,IF(AND($T8&lt;&gt;"",EDATE($D8,Milestones!$AA$179)&gt;=$T8),$W8,IF(AND($S8&lt;&gt;"",EDATE($D8,Milestones!$AA$179)&gt;=$S8),$V8,$U8)))=Milestones!$AB$179),UPPER(TEXT(EDATE($D8,Milestones!$AA$179),"dd mmm yy"))&amp;" "&amp;Milestones!$AB$179&amp;" "&amp;Milestones!$AC$179&amp;";  ",""))</f>
        <v/>
      </c>
      <c r="Q8" s="0" t="str">
        <f aca="false">IF(OR($A8="",$D8=""),"",IF(AND(EDATE($D8,Milestones!$AA$180)&lt;=AsOfDate,IF($R8=0,$X8,IF(AND($T8&lt;&gt;"",EDATE($D8,Milestones!$AA$180)&gt;=$T8),$W8,IF(AND($S8&lt;&gt;"",EDATE($D8,Milestones!$AA$180)&gt;=$S8),$V8,$U8)))=Milestones!$AB$180),UPPER(TEXT(EDATE($D8,Milestones!$AA$180),"dd mmm yy"))&amp;" "&amp;Milestones!$AB$180&amp;" "&amp;Milestones!$AC$180&amp;";  ","")&amp;IF(AND(EDATE($D8,Milestones!$AA$181)&lt;=AsOfDate,IF($R8=0,$X8,IF(AND($T8&lt;&gt;"",EDATE($D8,Milestones!$AA$181)&gt;=$T8),$W8,IF(AND($S8&lt;&gt;"",EDATE($D8,Milestones!$AA$181)&gt;=$S8),$V8,$U8)))=Milestones!$AB$181),UPPER(TEXT(EDATE($D8,Milestones!$AA$181),"dd mmm yy"))&amp;" "&amp;Milestones!$AB$181&amp;" "&amp;Milestones!$AC$181&amp;";  ","")&amp;IF(AND(EDATE($D8,Milestones!$AA$182)&lt;=AsOfDate,IF($R8=0,$X8,IF(AND($T8&lt;&gt;"",EDATE($D8,Milestones!$AA$182)&gt;=$T8),$W8,IF(AND($S8&lt;&gt;"",EDATE($D8,Milestones!$AA$182)&gt;=$S8),$V8,$U8)))=Milestones!$AB$182),UPPER(TEXT(EDATE($D8,Milestones!$AA$182),"dd mmm yy"))&amp;" "&amp;Milestones!$AB$182&amp;" "&amp;Milestones!$AC$182&amp;";  ","")&amp;IF(AND(EDATE($D8,Milestones!$AA$183)&lt;=AsOfDate,IF($R8=0,$X8,IF(AND($T8&lt;&gt;"",EDATE($D8,Milestones!$AA$183)&gt;=$T8),$W8,IF(AND($S8&lt;&gt;"",EDATE($D8,Milestones!$AA$183)&gt;=$S8),$V8,$U8)))=Milestones!$AB$183),UPPER(TEXT(EDATE($D8,Milestones!$AA$183),"dd mmm yy"))&amp;" "&amp;Milestones!$AB$183&amp;" "&amp;Milestones!$AC$183&amp;";  ","")&amp;IF(AND(EDATE($D8,Milestones!$AA$184)&lt;=AsOfDate,IF($R8=0,$X8,IF(AND($T8&lt;&gt;"",EDATE($D8,Milestones!$AA$184)&gt;=$T8),$W8,IF(AND($S8&lt;&gt;"",EDATE($D8,Milestones!$AA$184)&gt;=$S8),$V8,$U8)))=Milestones!$AB$184),UPPER(TEXT(EDATE($D8,Milestones!$AA$184),"dd mmm yy"))&amp;" "&amp;Milestones!$AB$184&amp;" "&amp;Milestones!$AC$184&amp;";  ","")&amp;IF(AND(EDATE($D8,Milestones!$AA$185)&lt;=AsOfDate,IF($R8=0,$X8,IF(AND($T8&lt;&gt;"",EDATE($D8,Milestones!$AA$185)&gt;=$T8),$W8,IF(AND($S8&lt;&gt;"",EDATE($D8,Milestones!$AA$185)&gt;=$S8),$V8,$U8)))=Milestones!$AB$185),UPPER(TEXT(EDATE($D8,Milestones!$AA$185),"dd mmm yy"))&amp;" "&amp;Milestones!$AB$185&amp;" "&amp;Milestones!$AC$185&amp;";  ","")&amp;IF(AND(EDATE($D8,Milestones!$AA$186)&lt;=AsOfDate,IF($R8=0,$X8,IF(AND($T8&lt;&gt;"",EDATE($D8,Milestones!$AA$186)&gt;=$T8),$W8,IF(AND($S8&lt;&gt;"",EDATE($D8,Milestones!$AA$186)&gt;=$S8),$V8,$U8)))=Milestones!$AB$186),UPPER(TEXT(EDATE($D8,Milestones!$AA$186),"dd mmm yy"))&amp;" "&amp;Milestones!$AB$186&amp;" "&amp;Milestones!$AC$186&amp;";  ","")&amp;IF(AND(EDATE($D8,Milestones!$AA$187)&lt;=AsOfDate,IF($R8=0,$X8,IF(AND($T8&lt;&gt;"",EDATE($D8,Milestones!$AA$187)&gt;=$T8),$W8,IF(AND($S8&lt;&gt;"",EDATE($D8,Milestones!$AA$187)&gt;=$S8),$V8,$U8)))=Milestones!$AB$187),UPPER(TEXT(EDATE($D8,Milestones!$AA$187),"dd mmm yy"))&amp;" "&amp;Milestones!$AB$187&amp;" "&amp;Milestones!$AC$187&amp;";  ","")&amp;IF(AND(EDATE($D8,Milestones!$AA$188)&lt;=AsOfDate,IF($R8=0,$X8,IF(AND($T8&lt;&gt;"",EDATE($D8,Milestones!$AA$188)&gt;=$T8),$W8,IF(AND($S8&lt;&gt;"",EDATE($D8,Milestones!$AA$188)&gt;=$S8),$V8,$U8)))=Milestones!$AB$188),UPPER(TEXT(EDATE($D8,Milestones!$AA$188),"dd mmm yy"))&amp;" "&amp;Milestones!$AB$188&amp;" "&amp;Milestones!$AC$188&amp;";  ","")&amp;IF(AND(EDATE($D8,Milestones!$AA$189)&lt;=AsOfDate,IF($R8=0,$X8,IF(AND($T8&lt;&gt;"",EDATE($D8,Milestones!$AA$189)&gt;=$T8),$W8,IF(AND($S8&lt;&gt;"",EDATE($D8,Milestones!$AA$189)&gt;=$S8),$V8,$U8)))=Milestones!$AB$189),UPPER(TEXT(EDATE($D8,Milestones!$AA$189),"dd mmm yy"))&amp;" "&amp;Milestones!$AB$189&amp;" "&amp;Milestones!$AC$189&amp;";  ","")&amp;IF(AND(EDATE($D8,Milestones!$AA$190)&lt;=AsOfDate,IF($R8=0,$X8,IF(AND($T8&lt;&gt;"",EDATE($D8,Milestones!$AA$190)&gt;=$T8),$W8,IF(AND($S8&lt;&gt;"",EDATE($D8,Milestones!$AA$190)&gt;=$S8),$V8,$U8)))=Milestones!$AB$190),UPPER(TEXT(EDATE($D8,Milestones!$AA$190),"dd mmm yy"))&amp;" "&amp;Milestones!$AB$190&amp;" "&amp;Milestones!$AC$190&amp;";  ","")&amp;IF(AND(EDATE($D8,Milestones!$AA$191)&lt;=AsOfDate,IF($R8=0,$X8,IF(AND($T8&lt;&gt;"",EDATE($D8,Milestones!$AA$191)&gt;=$T8),$W8,IF(AND($S8&lt;&gt;"",EDATE($D8,Milestones!$AA$191)&gt;=$S8),$V8,$U8)))=Milestones!$AB$191),UPPER(TEXT(EDATE($D8,Milestones!$AA$191),"dd mmm yy"))&amp;" "&amp;Milestones!$AB$191&amp;" "&amp;Milestones!$AC$191&amp;";  ","")&amp;IF(AND(EDATE($D8,Milestones!$AA$192)&lt;=AsOfDate,IF($R8=0,$X8,IF(AND($T8&lt;&gt;"",EDATE($D8,Milestones!$AA$192)&gt;=$T8),$W8,IF(AND($S8&lt;&gt;"",EDATE($D8,Milestones!$AA$192)&gt;=$S8),$V8,$U8)))=Milestones!$AB$192),UPPER(TEXT(EDATE($D8,Milestones!$AA$192),"dd mmm yy"))&amp;" "&amp;Milestones!$AB$192&amp;" "&amp;Milestones!$AC$192&amp;";  ","")&amp;IF(AND(EDATE($D8,Milestones!$AA$193)&lt;=AsOfDate,IF($R8=0,$X8,IF(AND($T8&lt;&gt;"",EDATE($D8,Milestones!$AA$193)&gt;=$T8),$W8,IF(AND($S8&lt;&gt;"",EDATE($D8,Milestones!$AA$193)&gt;=$S8),$V8,$U8)))=Milestones!$AB$193),UPPER(TEXT(EDATE($D8,Milestones!$AA$193),"dd mmm yy"))&amp;" "&amp;Milestones!$AB$193&amp;" "&amp;Milestones!$AC$193&amp;";  ","")&amp;IF(AND(EDATE($D8,Milestones!$AA$194)&lt;=AsOfDate,IF($R8=0,$X8,IF(AND($T8&lt;&gt;"",EDATE($D8,Milestones!$AA$194)&gt;=$T8),$W8,IF(AND($S8&lt;&gt;"",EDATE($D8,Milestones!$AA$194)&gt;=$S8),$V8,$U8)))=Milestones!$AB$194),UPPER(TEXT(EDATE($D8,Milestones!$AA$194),"dd mmm yy"))&amp;" "&amp;Milestones!$AB$194&amp;" "&amp;Milestones!$AC$194&amp;";  ","")&amp;IF(AND(EDATE($D8,Milestones!$AA$195)&lt;=AsOfDate,IF($R8=0,$X8,IF(AND($T8&lt;&gt;"",EDATE($D8,Milestones!$AA$195)&gt;=$T8),$W8,IF(AND($S8&lt;&gt;"",EDATE($D8,Milestones!$AA$195)&gt;=$S8),$V8,$U8)))=Milestones!$AB$195),UPPER(TEXT(EDATE($D8,Milestones!$AA$195),"dd mmm yy"))&amp;" "&amp;Milestones!$AB$195&amp;" "&amp;Milestones!$AC$195&amp;";  ","")&amp;IF(AND(EDATE($D8,Milestones!$AA$196)&lt;=AsOfDate,IF($R8=0,$X8,IF(AND($T8&lt;&gt;"",EDATE($D8,Milestones!$AA$196)&gt;=$T8),$W8,IF(AND($S8&lt;&gt;"",EDATE($D8,Milestones!$AA$196)&gt;=$S8),$V8,$U8)))=Milestones!$AB$196),UPPER(TEXT(EDATE($D8,Milestones!$AA$196),"dd mmm yy"))&amp;" "&amp;Milestones!$AB$196&amp;" "&amp;Milestones!$AC$196&amp;";  ","")&amp;IF(AND(EDATE($D8,Milestones!$AA$197)&lt;=AsOfDate,IF($R8=0,$X8,IF(AND($T8&lt;&gt;"",EDATE($D8,Milestones!$AA$197)&gt;=$T8),$W8,IF(AND($S8&lt;&gt;"",EDATE($D8,Milestones!$AA$197)&gt;=$S8),$V8,$U8)))=Milestones!$AB$197),UPPER(TEXT(EDATE($D8,Milestones!$AA$197),"dd mmm yy"))&amp;" "&amp;Milestones!$AB$197&amp;" "&amp;Milestones!$AC$197&amp;";  ","")&amp;IF(AND(EDATE($D8,Milestones!$AA$198)&lt;=AsOfDate,IF($R8=0,$X8,IF(AND($T8&lt;&gt;"",EDATE($D8,Milestones!$AA$198)&gt;=$T8),$W8,IF(AND($S8&lt;&gt;"",EDATE($D8,Milestones!$AA$198)&gt;=$S8),$V8,$U8)))=Milestones!$AB$198),UPPER(TEXT(EDATE($D8,Milestones!$AA$198),"dd mmm yy"))&amp;" "&amp;Milestones!$AB$198&amp;" "&amp;Milestones!$AC$198&amp;";  ","")&amp;IF(AND(EDATE($D8,Milestones!$AA$199)&lt;=AsOfDate,IF($R8=0,$X8,IF(AND($T8&lt;&gt;"",EDATE($D8,Milestones!$AA$199)&gt;=$T8),$W8,IF(AND($S8&lt;&gt;"",EDATE($D8,Milestones!$AA$199)&gt;=$S8),$V8,$U8)))=Milestones!$AB$199),UPPER(TEXT(EDATE($D8,Milestones!$AA$199),"dd mmm yy"))&amp;" "&amp;Milestones!$AB$199&amp;" "&amp;Milestones!$AC$199&amp;";  ",""))</f>
        <v/>
      </c>
      <c r="R8" s="33" t="n">
        <f aca="false">IF(Staff!$A8="","",Staff!$AI8)</f>
        <v>0</v>
      </c>
      <c r="S8" s="0" t="str">
        <f aca="false">IF(Staff!$A8="","",Staff!$AK8)</f>
        <v/>
      </c>
      <c r="T8" s="0" t="str">
        <f aca="false">IF(Staff!$A8="","",Staff!$AL8)</f>
        <v/>
      </c>
      <c r="U8" s="0" t="str">
        <f aca="false">IF(Staff!$A8="","",Staff!$AP8)</f>
        <v>None</v>
      </c>
      <c r="V8" s="0" t="str">
        <f aca="false">IF(Staff!$A8="","",Staff!$AQ8)</f>
        <v/>
      </c>
      <c r="W8" s="0" t="str">
        <f aca="false">IF(Staff!$A8="","",Staff!$AR8)</f>
        <v/>
      </c>
      <c r="X8" s="0" t="str">
        <f aca="false">IF(Staff!$A8="","",Staff!$AS8)</f>
        <v>None</v>
      </c>
    </row>
    <row r="9" customFormat="false" ht="15" hidden="false" customHeight="false" outlineLevel="0" collapsed="false">
      <c r="A9" s="19" t="str">
        <f aca="false">IF(Staff!$A9="","",Staff!$A9)</f>
        <v>Alexander</v>
      </c>
      <c r="B9" s="19" t="str">
        <f aca="false">IF(Staff!$A9="","",Staff!$B9)</f>
        <v>Mattock</v>
      </c>
      <c r="C9" s="19" t="str">
        <f aca="false">IF(Staff!$A9="","",Staff!$C9)</f>
        <v>Casual</v>
      </c>
      <c r="D9" s="17" t="n">
        <f aca="false">IF(Staff!$A9="","",Staff!$AH9)</f>
        <v>46055</v>
      </c>
      <c r="E9" s="20" t="n">
        <f aca="false">IF(Staff!$A9="","",Staff!$O9)</f>
        <v>0</v>
      </c>
      <c r="F9" s="19" t="n">
        <f aca="false">IF(E9="","",E9*HoursPerDay)</f>
        <v>0</v>
      </c>
      <c r="G9" s="20" t="n">
        <f aca="false">IF(Staff!$A9="","",Staff!$AE9)</f>
        <v>0</v>
      </c>
      <c r="H9" s="32" t="str">
        <f aca="false">IF($A9="","",I9&amp;J9&amp;K9&amp;L9&amp;M9&amp;N9&amp;O9&amp;P9&amp;Q9)</f>
        <v/>
      </c>
      <c r="I9" s="0" t="str">
        <f aca="false">IF(OR($A9="",$D9=""),"",IF(AND(EDATE($D9,Milestones!$AA$20)&lt;=AsOfDate,IF($R9=0,$X9,IF(AND($T9&lt;&gt;"",EDATE($D9,Milestones!$AA$20)&gt;=$T9),$W9,IF(AND($S9&lt;&gt;"",EDATE($D9,Milestones!$AA$20)&gt;=$S9),$V9,$U9)))=Milestones!$AB$20),UPPER(TEXT(EDATE($D9,Milestones!$AA$20),"dd mmm yy"))&amp;" "&amp;Milestones!$AB$20&amp;" "&amp;Milestones!$AC$20&amp;";  ","")&amp;IF(AND(EDATE($D9,Milestones!$AA$21)&lt;=AsOfDate,IF($R9=0,$X9,IF(AND($T9&lt;&gt;"",EDATE($D9,Milestones!$AA$21)&gt;=$T9),$W9,IF(AND($S9&lt;&gt;"",EDATE($D9,Milestones!$AA$21)&gt;=$S9),$V9,$U9)))=Milestones!$AB$21),UPPER(TEXT(EDATE($D9,Milestones!$AA$21),"dd mmm yy"))&amp;" "&amp;Milestones!$AB$21&amp;" "&amp;Milestones!$AC$21&amp;";  ","")&amp;IF(AND(EDATE($D9,Milestones!$AA$22)&lt;=AsOfDate,IF($R9=0,$X9,IF(AND($T9&lt;&gt;"",EDATE($D9,Milestones!$AA$22)&gt;=$T9),$W9,IF(AND($S9&lt;&gt;"",EDATE($D9,Milestones!$AA$22)&gt;=$S9),$V9,$U9)))=Milestones!$AB$22),UPPER(TEXT(EDATE($D9,Milestones!$AA$22),"dd mmm yy"))&amp;" "&amp;Milestones!$AB$22&amp;" "&amp;Milestones!$AC$22&amp;";  ","")&amp;IF(AND(EDATE($D9,Milestones!$AA$23)&lt;=AsOfDate,IF($R9=0,$X9,IF(AND($T9&lt;&gt;"",EDATE($D9,Milestones!$AA$23)&gt;=$T9),$W9,IF(AND($S9&lt;&gt;"",EDATE($D9,Milestones!$AA$23)&gt;=$S9),$V9,$U9)))=Milestones!$AB$23),UPPER(TEXT(EDATE($D9,Milestones!$AA$23),"dd mmm yy"))&amp;" "&amp;Milestones!$AB$23&amp;" "&amp;Milestones!$AC$23&amp;";  ","")&amp;IF(AND(EDATE($D9,Milestones!$AA$24)&lt;=AsOfDate,IF($R9=0,$X9,IF(AND($T9&lt;&gt;"",EDATE($D9,Milestones!$AA$24)&gt;=$T9),$W9,IF(AND($S9&lt;&gt;"",EDATE($D9,Milestones!$AA$24)&gt;=$S9),$V9,$U9)))=Milestones!$AB$24),UPPER(TEXT(EDATE($D9,Milestones!$AA$24),"dd mmm yy"))&amp;" "&amp;Milestones!$AB$24&amp;" "&amp;Milestones!$AC$24&amp;";  ","")&amp;IF(AND(EDATE($D9,Milestones!$AA$25)&lt;=AsOfDate,IF($R9=0,$X9,IF(AND($T9&lt;&gt;"",EDATE($D9,Milestones!$AA$25)&gt;=$T9),$W9,IF(AND($S9&lt;&gt;"",EDATE($D9,Milestones!$AA$25)&gt;=$S9),$V9,$U9)))=Milestones!$AB$25),UPPER(TEXT(EDATE($D9,Milestones!$AA$25),"dd mmm yy"))&amp;" "&amp;Milestones!$AB$25&amp;" "&amp;Milestones!$AC$25&amp;";  ","")&amp;IF(AND(EDATE($D9,Milestones!$AA$26)&lt;=AsOfDate,IF($R9=0,$X9,IF(AND($T9&lt;&gt;"",EDATE($D9,Milestones!$AA$26)&gt;=$T9),$W9,IF(AND($S9&lt;&gt;"",EDATE($D9,Milestones!$AA$26)&gt;=$S9),$V9,$U9)))=Milestones!$AB$26),UPPER(TEXT(EDATE($D9,Milestones!$AA$26),"dd mmm yy"))&amp;" "&amp;Milestones!$AB$26&amp;" "&amp;Milestones!$AC$26&amp;";  ","")&amp;IF(AND(EDATE($D9,Milestones!$AA$27)&lt;=AsOfDate,IF($R9=0,$X9,IF(AND($T9&lt;&gt;"",EDATE($D9,Milestones!$AA$27)&gt;=$T9),$W9,IF(AND($S9&lt;&gt;"",EDATE($D9,Milestones!$AA$27)&gt;=$S9),$V9,$U9)))=Milestones!$AB$27),UPPER(TEXT(EDATE($D9,Milestones!$AA$27),"dd mmm yy"))&amp;" "&amp;Milestones!$AB$27&amp;" "&amp;Milestones!$AC$27&amp;";  ","")&amp;IF(AND(EDATE($D9,Milestones!$AA$28)&lt;=AsOfDate,IF($R9=0,$X9,IF(AND($T9&lt;&gt;"",EDATE($D9,Milestones!$AA$28)&gt;=$T9),$W9,IF(AND($S9&lt;&gt;"",EDATE($D9,Milestones!$AA$28)&gt;=$S9),$V9,$U9)))=Milestones!$AB$28),UPPER(TEXT(EDATE($D9,Milestones!$AA$28),"dd mmm yy"))&amp;" "&amp;Milestones!$AB$28&amp;" "&amp;Milestones!$AC$28&amp;";  ","")&amp;IF(AND(EDATE($D9,Milestones!$AA$29)&lt;=AsOfDate,IF($R9=0,$X9,IF(AND($T9&lt;&gt;"",EDATE($D9,Milestones!$AA$29)&gt;=$T9),$W9,IF(AND($S9&lt;&gt;"",EDATE($D9,Milestones!$AA$29)&gt;=$S9),$V9,$U9)))=Milestones!$AB$29),UPPER(TEXT(EDATE($D9,Milestones!$AA$29),"dd mmm yy"))&amp;" "&amp;Milestones!$AB$29&amp;" "&amp;Milestones!$AC$29&amp;";  ","")&amp;IF(AND(EDATE($D9,Milestones!$AA$30)&lt;=AsOfDate,IF($R9=0,$X9,IF(AND($T9&lt;&gt;"",EDATE($D9,Milestones!$AA$30)&gt;=$T9),$W9,IF(AND($S9&lt;&gt;"",EDATE($D9,Milestones!$AA$30)&gt;=$S9),$V9,$U9)))=Milestones!$AB$30),UPPER(TEXT(EDATE($D9,Milestones!$AA$30),"dd mmm yy"))&amp;" "&amp;Milestones!$AB$30&amp;" "&amp;Milestones!$AC$30&amp;";  ","")&amp;IF(AND(EDATE($D9,Milestones!$AA$31)&lt;=AsOfDate,IF($R9=0,$X9,IF(AND($T9&lt;&gt;"",EDATE($D9,Milestones!$AA$31)&gt;=$T9),$W9,IF(AND($S9&lt;&gt;"",EDATE($D9,Milestones!$AA$31)&gt;=$S9),$V9,$U9)))=Milestones!$AB$31),UPPER(TEXT(EDATE($D9,Milestones!$AA$31),"dd mmm yy"))&amp;" "&amp;Milestones!$AB$31&amp;" "&amp;Milestones!$AC$31&amp;";  ","")&amp;IF(AND(EDATE($D9,Milestones!$AA$32)&lt;=AsOfDate,IF($R9=0,$X9,IF(AND($T9&lt;&gt;"",EDATE($D9,Milestones!$AA$32)&gt;=$T9),$W9,IF(AND($S9&lt;&gt;"",EDATE($D9,Milestones!$AA$32)&gt;=$S9),$V9,$U9)))=Milestones!$AB$32),UPPER(TEXT(EDATE($D9,Milestones!$AA$32),"dd mmm yy"))&amp;" "&amp;Milestones!$AB$32&amp;" "&amp;Milestones!$AC$32&amp;";  ","")&amp;IF(AND(EDATE($D9,Milestones!$AA$33)&lt;=AsOfDate,IF($R9=0,$X9,IF(AND($T9&lt;&gt;"",EDATE($D9,Milestones!$AA$33)&gt;=$T9),$W9,IF(AND($S9&lt;&gt;"",EDATE($D9,Milestones!$AA$33)&gt;=$S9),$V9,$U9)))=Milestones!$AB$33),UPPER(TEXT(EDATE($D9,Milestones!$AA$33),"dd mmm yy"))&amp;" "&amp;Milestones!$AB$33&amp;" "&amp;Milestones!$AC$33&amp;";  ","")&amp;IF(AND(EDATE($D9,Milestones!$AA$34)&lt;=AsOfDate,IF($R9=0,$X9,IF(AND($T9&lt;&gt;"",EDATE($D9,Milestones!$AA$34)&gt;=$T9),$W9,IF(AND($S9&lt;&gt;"",EDATE($D9,Milestones!$AA$34)&gt;=$S9),$V9,$U9)))=Milestones!$AB$34),UPPER(TEXT(EDATE($D9,Milestones!$AA$34),"dd mmm yy"))&amp;" "&amp;Milestones!$AB$34&amp;" "&amp;Milestones!$AC$34&amp;";  ","")&amp;IF(AND(EDATE($D9,Milestones!$AA$35)&lt;=AsOfDate,IF($R9=0,$X9,IF(AND($T9&lt;&gt;"",EDATE($D9,Milestones!$AA$35)&gt;=$T9),$W9,IF(AND($S9&lt;&gt;"",EDATE($D9,Milestones!$AA$35)&gt;=$S9),$V9,$U9)))=Milestones!$AB$35),UPPER(TEXT(EDATE($D9,Milestones!$AA$35),"dd mmm yy"))&amp;" "&amp;Milestones!$AB$35&amp;" "&amp;Milestones!$AC$35&amp;";  ","")&amp;IF(AND(EDATE($D9,Milestones!$AA$36)&lt;=AsOfDate,IF($R9=0,$X9,IF(AND($T9&lt;&gt;"",EDATE($D9,Milestones!$AA$36)&gt;=$T9),$W9,IF(AND($S9&lt;&gt;"",EDATE($D9,Milestones!$AA$36)&gt;=$S9),$V9,$U9)))=Milestones!$AB$36),UPPER(TEXT(EDATE($D9,Milestones!$AA$36),"dd mmm yy"))&amp;" "&amp;Milestones!$AB$36&amp;" "&amp;Milestones!$AC$36&amp;";  ","")&amp;IF(AND(EDATE($D9,Milestones!$AA$37)&lt;=AsOfDate,IF($R9=0,$X9,IF(AND($T9&lt;&gt;"",EDATE($D9,Milestones!$AA$37)&gt;=$T9),$W9,IF(AND($S9&lt;&gt;"",EDATE($D9,Milestones!$AA$37)&gt;=$S9),$V9,$U9)))=Milestones!$AB$37),UPPER(TEXT(EDATE($D9,Milestones!$AA$37),"dd mmm yy"))&amp;" "&amp;Milestones!$AB$37&amp;" "&amp;Milestones!$AC$37&amp;";  ","")&amp;IF(AND(EDATE($D9,Milestones!$AA$38)&lt;=AsOfDate,IF($R9=0,$X9,IF(AND($T9&lt;&gt;"",EDATE($D9,Milestones!$AA$38)&gt;=$T9),$W9,IF(AND($S9&lt;&gt;"",EDATE($D9,Milestones!$AA$38)&gt;=$S9),$V9,$U9)))=Milestones!$AB$38),UPPER(TEXT(EDATE($D9,Milestones!$AA$38),"dd mmm yy"))&amp;" "&amp;Milestones!$AB$38&amp;" "&amp;Milestones!$AC$38&amp;";  ","")&amp;IF(AND(EDATE($D9,Milestones!$AA$39)&lt;=AsOfDate,IF($R9=0,$X9,IF(AND($T9&lt;&gt;"",EDATE($D9,Milestones!$AA$39)&gt;=$T9),$W9,IF(AND($S9&lt;&gt;"",EDATE($D9,Milestones!$AA$39)&gt;=$S9),$V9,$U9)))=Milestones!$AB$39),UPPER(TEXT(EDATE($D9,Milestones!$AA$39),"dd mmm yy"))&amp;" "&amp;Milestones!$AB$39&amp;" "&amp;Milestones!$AC$39&amp;";  ",""))</f>
        <v/>
      </c>
      <c r="J9" s="0" t="str">
        <f aca="false">IF(OR($A9="",$D9=""),"",IF(AND(EDATE($D9,Milestones!$AA$40)&lt;=AsOfDate,IF($R9=0,$X9,IF(AND($T9&lt;&gt;"",EDATE($D9,Milestones!$AA$40)&gt;=$T9),$W9,IF(AND($S9&lt;&gt;"",EDATE($D9,Milestones!$AA$40)&gt;=$S9),$V9,$U9)))=Milestones!$AB$40),UPPER(TEXT(EDATE($D9,Milestones!$AA$40),"dd mmm yy"))&amp;" "&amp;Milestones!$AB$40&amp;" "&amp;Milestones!$AC$40&amp;";  ","")&amp;IF(AND(EDATE($D9,Milestones!$AA$41)&lt;=AsOfDate,IF($R9=0,$X9,IF(AND($T9&lt;&gt;"",EDATE($D9,Milestones!$AA$41)&gt;=$T9),$W9,IF(AND($S9&lt;&gt;"",EDATE($D9,Milestones!$AA$41)&gt;=$S9),$V9,$U9)))=Milestones!$AB$41),UPPER(TEXT(EDATE($D9,Milestones!$AA$41),"dd mmm yy"))&amp;" "&amp;Milestones!$AB$41&amp;" "&amp;Milestones!$AC$41&amp;";  ","")&amp;IF(AND(EDATE($D9,Milestones!$AA$42)&lt;=AsOfDate,IF($R9=0,$X9,IF(AND($T9&lt;&gt;"",EDATE($D9,Milestones!$AA$42)&gt;=$T9),$W9,IF(AND($S9&lt;&gt;"",EDATE($D9,Milestones!$AA$42)&gt;=$S9),$V9,$U9)))=Milestones!$AB$42),UPPER(TEXT(EDATE($D9,Milestones!$AA$42),"dd mmm yy"))&amp;" "&amp;Milestones!$AB$42&amp;" "&amp;Milestones!$AC$42&amp;";  ","")&amp;IF(AND(EDATE($D9,Milestones!$AA$43)&lt;=AsOfDate,IF($R9=0,$X9,IF(AND($T9&lt;&gt;"",EDATE($D9,Milestones!$AA$43)&gt;=$T9),$W9,IF(AND($S9&lt;&gt;"",EDATE($D9,Milestones!$AA$43)&gt;=$S9),$V9,$U9)))=Milestones!$AB$43),UPPER(TEXT(EDATE($D9,Milestones!$AA$43),"dd mmm yy"))&amp;" "&amp;Milestones!$AB$43&amp;" "&amp;Milestones!$AC$43&amp;";  ","")&amp;IF(AND(EDATE($D9,Milestones!$AA$44)&lt;=AsOfDate,IF($R9=0,$X9,IF(AND($T9&lt;&gt;"",EDATE($D9,Milestones!$AA$44)&gt;=$T9),$W9,IF(AND($S9&lt;&gt;"",EDATE($D9,Milestones!$AA$44)&gt;=$S9),$V9,$U9)))=Milestones!$AB$44),UPPER(TEXT(EDATE($D9,Milestones!$AA$44),"dd mmm yy"))&amp;" "&amp;Milestones!$AB$44&amp;" "&amp;Milestones!$AC$44&amp;";  ","")&amp;IF(AND(EDATE($D9,Milestones!$AA$45)&lt;=AsOfDate,IF($R9=0,$X9,IF(AND($T9&lt;&gt;"",EDATE($D9,Milestones!$AA$45)&gt;=$T9),$W9,IF(AND($S9&lt;&gt;"",EDATE($D9,Milestones!$AA$45)&gt;=$S9),$V9,$U9)))=Milestones!$AB$45),UPPER(TEXT(EDATE($D9,Milestones!$AA$45),"dd mmm yy"))&amp;" "&amp;Milestones!$AB$45&amp;" "&amp;Milestones!$AC$45&amp;";  ","")&amp;IF(AND(EDATE($D9,Milestones!$AA$46)&lt;=AsOfDate,IF($R9=0,$X9,IF(AND($T9&lt;&gt;"",EDATE($D9,Milestones!$AA$46)&gt;=$T9),$W9,IF(AND($S9&lt;&gt;"",EDATE($D9,Milestones!$AA$46)&gt;=$S9),$V9,$U9)))=Milestones!$AB$46),UPPER(TEXT(EDATE($D9,Milestones!$AA$46),"dd mmm yy"))&amp;" "&amp;Milestones!$AB$46&amp;" "&amp;Milestones!$AC$46&amp;";  ","")&amp;IF(AND(EDATE($D9,Milestones!$AA$47)&lt;=AsOfDate,IF($R9=0,$X9,IF(AND($T9&lt;&gt;"",EDATE($D9,Milestones!$AA$47)&gt;=$T9),$W9,IF(AND($S9&lt;&gt;"",EDATE($D9,Milestones!$AA$47)&gt;=$S9),$V9,$U9)))=Milestones!$AB$47),UPPER(TEXT(EDATE($D9,Milestones!$AA$47),"dd mmm yy"))&amp;" "&amp;Milestones!$AB$47&amp;" "&amp;Milestones!$AC$47&amp;";  ","")&amp;IF(AND(EDATE($D9,Milestones!$AA$48)&lt;=AsOfDate,IF($R9=0,$X9,IF(AND($T9&lt;&gt;"",EDATE($D9,Milestones!$AA$48)&gt;=$T9),$W9,IF(AND($S9&lt;&gt;"",EDATE($D9,Milestones!$AA$48)&gt;=$S9),$V9,$U9)))=Milestones!$AB$48),UPPER(TEXT(EDATE($D9,Milestones!$AA$48),"dd mmm yy"))&amp;" "&amp;Milestones!$AB$48&amp;" "&amp;Milestones!$AC$48&amp;";  ","")&amp;IF(AND(EDATE($D9,Milestones!$AA$49)&lt;=AsOfDate,IF($R9=0,$X9,IF(AND($T9&lt;&gt;"",EDATE($D9,Milestones!$AA$49)&gt;=$T9),$W9,IF(AND($S9&lt;&gt;"",EDATE($D9,Milestones!$AA$49)&gt;=$S9),$V9,$U9)))=Milestones!$AB$49),UPPER(TEXT(EDATE($D9,Milestones!$AA$49),"dd mmm yy"))&amp;" "&amp;Milestones!$AB$49&amp;" "&amp;Milestones!$AC$49&amp;";  ","")&amp;IF(AND(EDATE($D9,Milestones!$AA$50)&lt;=AsOfDate,IF($R9=0,$X9,IF(AND($T9&lt;&gt;"",EDATE($D9,Milestones!$AA$50)&gt;=$T9),$W9,IF(AND($S9&lt;&gt;"",EDATE($D9,Milestones!$AA$50)&gt;=$S9),$V9,$U9)))=Milestones!$AB$50),UPPER(TEXT(EDATE($D9,Milestones!$AA$50),"dd mmm yy"))&amp;" "&amp;Milestones!$AB$50&amp;" "&amp;Milestones!$AC$50&amp;";  ","")&amp;IF(AND(EDATE($D9,Milestones!$AA$51)&lt;=AsOfDate,IF($R9=0,$X9,IF(AND($T9&lt;&gt;"",EDATE($D9,Milestones!$AA$51)&gt;=$T9),$W9,IF(AND($S9&lt;&gt;"",EDATE($D9,Milestones!$AA$51)&gt;=$S9),$V9,$U9)))=Milestones!$AB$51),UPPER(TEXT(EDATE($D9,Milestones!$AA$51),"dd mmm yy"))&amp;" "&amp;Milestones!$AB$51&amp;" "&amp;Milestones!$AC$51&amp;";  ","")&amp;IF(AND(EDATE($D9,Milestones!$AA$52)&lt;=AsOfDate,IF($R9=0,$X9,IF(AND($T9&lt;&gt;"",EDATE($D9,Milestones!$AA$52)&gt;=$T9),$W9,IF(AND($S9&lt;&gt;"",EDATE($D9,Milestones!$AA$52)&gt;=$S9),$V9,$U9)))=Milestones!$AB$52),UPPER(TEXT(EDATE($D9,Milestones!$AA$52),"dd mmm yy"))&amp;" "&amp;Milestones!$AB$52&amp;" "&amp;Milestones!$AC$52&amp;";  ","")&amp;IF(AND(EDATE($D9,Milestones!$AA$53)&lt;=AsOfDate,IF($R9=0,$X9,IF(AND($T9&lt;&gt;"",EDATE($D9,Milestones!$AA$53)&gt;=$T9),$W9,IF(AND($S9&lt;&gt;"",EDATE($D9,Milestones!$AA$53)&gt;=$S9),$V9,$U9)))=Milestones!$AB$53),UPPER(TEXT(EDATE($D9,Milestones!$AA$53),"dd mmm yy"))&amp;" "&amp;Milestones!$AB$53&amp;" "&amp;Milestones!$AC$53&amp;";  ","")&amp;IF(AND(EDATE($D9,Milestones!$AA$54)&lt;=AsOfDate,IF($R9=0,$X9,IF(AND($T9&lt;&gt;"",EDATE($D9,Milestones!$AA$54)&gt;=$T9),$W9,IF(AND($S9&lt;&gt;"",EDATE($D9,Milestones!$AA$54)&gt;=$S9),$V9,$U9)))=Milestones!$AB$54),UPPER(TEXT(EDATE($D9,Milestones!$AA$54),"dd mmm yy"))&amp;" "&amp;Milestones!$AB$54&amp;" "&amp;Milestones!$AC$54&amp;";  ","")&amp;IF(AND(EDATE($D9,Milestones!$AA$55)&lt;=AsOfDate,IF($R9=0,$X9,IF(AND($T9&lt;&gt;"",EDATE($D9,Milestones!$AA$55)&gt;=$T9),$W9,IF(AND($S9&lt;&gt;"",EDATE($D9,Milestones!$AA$55)&gt;=$S9),$V9,$U9)))=Milestones!$AB$55),UPPER(TEXT(EDATE($D9,Milestones!$AA$55),"dd mmm yy"))&amp;" "&amp;Milestones!$AB$55&amp;" "&amp;Milestones!$AC$55&amp;";  ","")&amp;IF(AND(EDATE($D9,Milestones!$AA$56)&lt;=AsOfDate,IF($R9=0,$X9,IF(AND($T9&lt;&gt;"",EDATE($D9,Milestones!$AA$56)&gt;=$T9),$W9,IF(AND($S9&lt;&gt;"",EDATE($D9,Milestones!$AA$56)&gt;=$S9),$V9,$U9)))=Milestones!$AB$56),UPPER(TEXT(EDATE($D9,Milestones!$AA$56),"dd mmm yy"))&amp;" "&amp;Milestones!$AB$56&amp;" "&amp;Milestones!$AC$56&amp;";  ","")&amp;IF(AND(EDATE($D9,Milestones!$AA$57)&lt;=AsOfDate,IF($R9=0,$X9,IF(AND($T9&lt;&gt;"",EDATE($D9,Milestones!$AA$57)&gt;=$T9),$W9,IF(AND($S9&lt;&gt;"",EDATE($D9,Milestones!$AA$57)&gt;=$S9),$V9,$U9)))=Milestones!$AB$57),UPPER(TEXT(EDATE($D9,Milestones!$AA$57),"dd mmm yy"))&amp;" "&amp;Milestones!$AB$57&amp;" "&amp;Milestones!$AC$57&amp;";  ","")&amp;IF(AND(EDATE($D9,Milestones!$AA$58)&lt;=AsOfDate,IF($R9=0,$X9,IF(AND($T9&lt;&gt;"",EDATE($D9,Milestones!$AA$58)&gt;=$T9),$W9,IF(AND($S9&lt;&gt;"",EDATE($D9,Milestones!$AA$58)&gt;=$S9),$V9,$U9)))=Milestones!$AB$58),UPPER(TEXT(EDATE($D9,Milestones!$AA$58),"dd mmm yy"))&amp;" "&amp;Milestones!$AB$58&amp;" "&amp;Milestones!$AC$58&amp;";  ","")&amp;IF(AND(EDATE($D9,Milestones!$AA$59)&lt;=AsOfDate,IF($R9=0,$X9,IF(AND($T9&lt;&gt;"",EDATE($D9,Milestones!$AA$59)&gt;=$T9),$W9,IF(AND($S9&lt;&gt;"",EDATE($D9,Milestones!$AA$59)&gt;=$S9),$V9,$U9)))=Milestones!$AB$59),UPPER(TEXT(EDATE($D9,Milestones!$AA$59),"dd mmm yy"))&amp;" "&amp;Milestones!$AB$59&amp;" "&amp;Milestones!$AC$59&amp;";  ",""))</f>
        <v/>
      </c>
      <c r="K9" s="0" t="str">
        <f aca="false">IF(OR($A9="",$D9=""),"",IF(AND(EDATE($D9,Milestones!$AA$60)&lt;=AsOfDate,IF($R9=0,$X9,IF(AND($T9&lt;&gt;"",EDATE($D9,Milestones!$AA$60)&gt;=$T9),$W9,IF(AND($S9&lt;&gt;"",EDATE($D9,Milestones!$AA$60)&gt;=$S9),$V9,$U9)))=Milestones!$AB$60),UPPER(TEXT(EDATE($D9,Milestones!$AA$60),"dd mmm yy"))&amp;" "&amp;Milestones!$AB$60&amp;" "&amp;Milestones!$AC$60&amp;";  ","")&amp;IF(AND(EDATE($D9,Milestones!$AA$61)&lt;=AsOfDate,IF($R9=0,$X9,IF(AND($T9&lt;&gt;"",EDATE($D9,Milestones!$AA$61)&gt;=$T9),$W9,IF(AND($S9&lt;&gt;"",EDATE($D9,Milestones!$AA$61)&gt;=$S9),$V9,$U9)))=Milestones!$AB$61),UPPER(TEXT(EDATE($D9,Milestones!$AA$61),"dd mmm yy"))&amp;" "&amp;Milestones!$AB$61&amp;" "&amp;Milestones!$AC$61&amp;";  ","")&amp;IF(AND(EDATE($D9,Milestones!$AA$62)&lt;=AsOfDate,IF($R9=0,$X9,IF(AND($T9&lt;&gt;"",EDATE($D9,Milestones!$AA$62)&gt;=$T9),$W9,IF(AND($S9&lt;&gt;"",EDATE($D9,Milestones!$AA$62)&gt;=$S9),$V9,$U9)))=Milestones!$AB$62),UPPER(TEXT(EDATE($D9,Milestones!$AA$62),"dd mmm yy"))&amp;" "&amp;Milestones!$AB$62&amp;" "&amp;Milestones!$AC$62&amp;";  ","")&amp;IF(AND(EDATE($D9,Milestones!$AA$63)&lt;=AsOfDate,IF($R9=0,$X9,IF(AND($T9&lt;&gt;"",EDATE($D9,Milestones!$AA$63)&gt;=$T9),$W9,IF(AND($S9&lt;&gt;"",EDATE($D9,Milestones!$AA$63)&gt;=$S9),$V9,$U9)))=Milestones!$AB$63),UPPER(TEXT(EDATE($D9,Milestones!$AA$63),"dd mmm yy"))&amp;" "&amp;Milestones!$AB$63&amp;" "&amp;Milestones!$AC$63&amp;";  ","")&amp;IF(AND(EDATE($D9,Milestones!$AA$64)&lt;=AsOfDate,IF($R9=0,$X9,IF(AND($T9&lt;&gt;"",EDATE($D9,Milestones!$AA$64)&gt;=$T9),$W9,IF(AND($S9&lt;&gt;"",EDATE($D9,Milestones!$AA$64)&gt;=$S9),$V9,$U9)))=Milestones!$AB$64),UPPER(TEXT(EDATE($D9,Milestones!$AA$64),"dd mmm yy"))&amp;" "&amp;Milestones!$AB$64&amp;" "&amp;Milestones!$AC$64&amp;";  ","")&amp;IF(AND(EDATE($D9,Milestones!$AA$65)&lt;=AsOfDate,IF($R9=0,$X9,IF(AND($T9&lt;&gt;"",EDATE($D9,Milestones!$AA$65)&gt;=$T9),$W9,IF(AND($S9&lt;&gt;"",EDATE($D9,Milestones!$AA$65)&gt;=$S9),$V9,$U9)))=Milestones!$AB$65),UPPER(TEXT(EDATE($D9,Milestones!$AA$65),"dd mmm yy"))&amp;" "&amp;Milestones!$AB$65&amp;" "&amp;Milestones!$AC$65&amp;";  ","")&amp;IF(AND(EDATE($D9,Milestones!$AA$66)&lt;=AsOfDate,IF($R9=0,$X9,IF(AND($T9&lt;&gt;"",EDATE($D9,Milestones!$AA$66)&gt;=$T9),$W9,IF(AND($S9&lt;&gt;"",EDATE($D9,Milestones!$AA$66)&gt;=$S9),$V9,$U9)))=Milestones!$AB$66),UPPER(TEXT(EDATE($D9,Milestones!$AA$66),"dd mmm yy"))&amp;" "&amp;Milestones!$AB$66&amp;" "&amp;Milestones!$AC$66&amp;";  ","")&amp;IF(AND(EDATE($D9,Milestones!$AA$67)&lt;=AsOfDate,IF($R9=0,$X9,IF(AND($T9&lt;&gt;"",EDATE($D9,Milestones!$AA$67)&gt;=$T9),$W9,IF(AND($S9&lt;&gt;"",EDATE($D9,Milestones!$AA$67)&gt;=$S9),$V9,$U9)))=Milestones!$AB$67),UPPER(TEXT(EDATE($D9,Milestones!$AA$67),"dd mmm yy"))&amp;" "&amp;Milestones!$AB$67&amp;" "&amp;Milestones!$AC$67&amp;";  ","")&amp;IF(AND(EDATE($D9,Milestones!$AA$68)&lt;=AsOfDate,IF($R9=0,$X9,IF(AND($T9&lt;&gt;"",EDATE($D9,Milestones!$AA$68)&gt;=$T9),$W9,IF(AND($S9&lt;&gt;"",EDATE($D9,Milestones!$AA$68)&gt;=$S9),$V9,$U9)))=Milestones!$AB$68),UPPER(TEXT(EDATE($D9,Milestones!$AA$68),"dd mmm yy"))&amp;" "&amp;Milestones!$AB$68&amp;" "&amp;Milestones!$AC$68&amp;";  ","")&amp;IF(AND(EDATE($D9,Milestones!$AA$69)&lt;=AsOfDate,IF($R9=0,$X9,IF(AND($T9&lt;&gt;"",EDATE($D9,Milestones!$AA$69)&gt;=$T9),$W9,IF(AND($S9&lt;&gt;"",EDATE($D9,Milestones!$AA$69)&gt;=$S9),$V9,$U9)))=Milestones!$AB$69),UPPER(TEXT(EDATE($D9,Milestones!$AA$69),"dd mmm yy"))&amp;" "&amp;Milestones!$AB$69&amp;" "&amp;Milestones!$AC$69&amp;";  ","")&amp;IF(AND(EDATE($D9,Milestones!$AA$70)&lt;=AsOfDate,IF($R9=0,$X9,IF(AND($T9&lt;&gt;"",EDATE($D9,Milestones!$AA$70)&gt;=$T9),$W9,IF(AND($S9&lt;&gt;"",EDATE($D9,Milestones!$AA$70)&gt;=$S9),$V9,$U9)))=Milestones!$AB$70),UPPER(TEXT(EDATE($D9,Milestones!$AA$70),"dd mmm yy"))&amp;" "&amp;Milestones!$AB$70&amp;" "&amp;Milestones!$AC$70&amp;";  ","")&amp;IF(AND(EDATE($D9,Milestones!$AA$71)&lt;=AsOfDate,IF($R9=0,$X9,IF(AND($T9&lt;&gt;"",EDATE($D9,Milestones!$AA$71)&gt;=$T9),$W9,IF(AND($S9&lt;&gt;"",EDATE($D9,Milestones!$AA$71)&gt;=$S9),$V9,$U9)))=Milestones!$AB$71),UPPER(TEXT(EDATE($D9,Milestones!$AA$71),"dd mmm yy"))&amp;" "&amp;Milestones!$AB$71&amp;" "&amp;Milestones!$AC$71&amp;";  ","")&amp;IF(AND(EDATE($D9,Milestones!$AA$72)&lt;=AsOfDate,IF($R9=0,$X9,IF(AND($T9&lt;&gt;"",EDATE($D9,Milestones!$AA$72)&gt;=$T9),$W9,IF(AND($S9&lt;&gt;"",EDATE($D9,Milestones!$AA$72)&gt;=$S9),$V9,$U9)))=Milestones!$AB$72),UPPER(TEXT(EDATE($D9,Milestones!$AA$72),"dd mmm yy"))&amp;" "&amp;Milestones!$AB$72&amp;" "&amp;Milestones!$AC$72&amp;";  ","")&amp;IF(AND(EDATE($D9,Milestones!$AA$73)&lt;=AsOfDate,IF($R9=0,$X9,IF(AND($T9&lt;&gt;"",EDATE($D9,Milestones!$AA$73)&gt;=$T9),$W9,IF(AND($S9&lt;&gt;"",EDATE($D9,Milestones!$AA$73)&gt;=$S9),$V9,$U9)))=Milestones!$AB$73),UPPER(TEXT(EDATE($D9,Milestones!$AA$73),"dd mmm yy"))&amp;" "&amp;Milestones!$AB$73&amp;" "&amp;Milestones!$AC$73&amp;";  ","")&amp;IF(AND(EDATE($D9,Milestones!$AA$74)&lt;=AsOfDate,IF($R9=0,$X9,IF(AND($T9&lt;&gt;"",EDATE($D9,Milestones!$AA$74)&gt;=$T9),$W9,IF(AND($S9&lt;&gt;"",EDATE($D9,Milestones!$AA$74)&gt;=$S9),$V9,$U9)))=Milestones!$AB$74),UPPER(TEXT(EDATE($D9,Milestones!$AA$74),"dd mmm yy"))&amp;" "&amp;Milestones!$AB$74&amp;" "&amp;Milestones!$AC$74&amp;";  ","")&amp;IF(AND(EDATE($D9,Milestones!$AA$75)&lt;=AsOfDate,IF($R9=0,$X9,IF(AND($T9&lt;&gt;"",EDATE($D9,Milestones!$AA$75)&gt;=$T9),$W9,IF(AND($S9&lt;&gt;"",EDATE($D9,Milestones!$AA$75)&gt;=$S9),$V9,$U9)))=Milestones!$AB$75),UPPER(TEXT(EDATE($D9,Milestones!$AA$75),"dd mmm yy"))&amp;" "&amp;Milestones!$AB$75&amp;" "&amp;Milestones!$AC$75&amp;";  ","")&amp;IF(AND(EDATE($D9,Milestones!$AA$76)&lt;=AsOfDate,IF($R9=0,$X9,IF(AND($T9&lt;&gt;"",EDATE($D9,Milestones!$AA$76)&gt;=$T9),$W9,IF(AND($S9&lt;&gt;"",EDATE($D9,Milestones!$AA$76)&gt;=$S9),$V9,$U9)))=Milestones!$AB$76),UPPER(TEXT(EDATE($D9,Milestones!$AA$76),"dd mmm yy"))&amp;" "&amp;Milestones!$AB$76&amp;" "&amp;Milestones!$AC$76&amp;";  ","")&amp;IF(AND(EDATE($D9,Milestones!$AA$77)&lt;=AsOfDate,IF($R9=0,$X9,IF(AND($T9&lt;&gt;"",EDATE($D9,Milestones!$AA$77)&gt;=$T9),$W9,IF(AND($S9&lt;&gt;"",EDATE($D9,Milestones!$AA$77)&gt;=$S9),$V9,$U9)))=Milestones!$AB$77),UPPER(TEXT(EDATE($D9,Milestones!$AA$77),"dd mmm yy"))&amp;" "&amp;Milestones!$AB$77&amp;" "&amp;Milestones!$AC$77&amp;";  ","")&amp;IF(AND(EDATE($D9,Milestones!$AA$78)&lt;=AsOfDate,IF($R9=0,$X9,IF(AND($T9&lt;&gt;"",EDATE($D9,Milestones!$AA$78)&gt;=$T9),$W9,IF(AND($S9&lt;&gt;"",EDATE($D9,Milestones!$AA$78)&gt;=$S9),$V9,$U9)))=Milestones!$AB$78),UPPER(TEXT(EDATE($D9,Milestones!$AA$78),"dd mmm yy"))&amp;" "&amp;Milestones!$AB$78&amp;" "&amp;Milestones!$AC$78&amp;";  ","")&amp;IF(AND(EDATE($D9,Milestones!$AA$79)&lt;=AsOfDate,IF($R9=0,$X9,IF(AND($T9&lt;&gt;"",EDATE($D9,Milestones!$AA$79)&gt;=$T9),$W9,IF(AND($S9&lt;&gt;"",EDATE($D9,Milestones!$AA$79)&gt;=$S9),$V9,$U9)))=Milestones!$AB$79),UPPER(TEXT(EDATE($D9,Milestones!$AA$79),"dd mmm yy"))&amp;" "&amp;Milestones!$AB$79&amp;" "&amp;Milestones!$AC$79&amp;";  ",""))</f>
        <v/>
      </c>
      <c r="L9" s="0" t="str">
        <f aca="false">IF(OR($A9="",$D9=""),"",IF(AND(EDATE($D9,Milestones!$AA$80)&lt;=AsOfDate,IF($R9=0,$X9,IF(AND($T9&lt;&gt;"",EDATE($D9,Milestones!$AA$80)&gt;=$T9),$W9,IF(AND($S9&lt;&gt;"",EDATE($D9,Milestones!$AA$80)&gt;=$S9),$V9,$U9)))=Milestones!$AB$80),UPPER(TEXT(EDATE($D9,Milestones!$AA$80),"dd mmm yy"))&amp;" "&amp;Milestones!$AB$80&amp;" "&amp;Milestones!$AC$80&amp;";  ","")&amp;IF(AND(EDATE($D9,Milestones!$AA$81)&lt;=AsOfDate,IF($R9=0,$X9,IF(AND($T9&lt;&gt;"",EDATE($D9,Milestones!$AA$81)&gt;=$T9),$W9,IF(AND($S9&lt;&gt;"",EDATE($D9,Milestones!$AA$81)&gt;=$S9),$V9,$U9)))=Milestones!$AB$81),UPPER(TEXT(EDATE($D9,Milestones!$AA$81),"dd mmm yy"))&amp;" "&amp;Milestones!$AB$81&amp;" "&amp;Milestones!$AC$81&amp;";  ","")&amp;IF(AND(EDATE($D9,Milestones!$AA$82)&lt;=AsOfDate,IF($R9=0,$X9,IF(AND($T9&lt;&gt;"",EDATE($D9,Milestones!$AA$82)&gt;=$T9),$W9,IF(AND($S9&lt;&gt;"",EDATE($D9,Milestones!$AA$82)&gt;=$S9),$V9,$U9)))=Milestones!$AB$82),UPPER(TEXT(EDATE($D9,Milestones!$AA$82),"dd mmm yy"))&amp;" "&amp;Milestones!$AB$82&amp;" "&amp;Milestones!$AC$82&amp;";  ","")&amp;IF(AND(EDATE($D9,Milestones!$AA$83)&lt;=AsOfDate,IF($R9=0,$X9,IF(AND($T9&lt;&gt;"",EDATE($D9,Milestones!$AA$83)&gt;=$T9),$W9,IF(AND($S9&lt;&gt;"",EDATE($D9,Milestones!$AA$83)&gt;=$S9),$V9,$U9)))=Milestones!$AB$83),UPPER(TEXT(EDATE($D9,Milestones!$AA$83),"dd mmm yy"))&amp;" "&amp;Milestones!$AB$83&amp;" "&amp;Milestones!$AC$83&amp;";  ","")&amp;IF(AND(EDATE($D9,Milestones!$AA$84)&lt;=AsOfDate,IF($R9=0,$X9,IF(AND($T9&lt;&gt;"",EDATE($D9,Milestones!$AA$84)&gt;=$T9),$W9,IF(AND($S9&lt;&gt;"",EDATE($D9,Milestones!$AA$84)&gt;=$S9),$V9,$U9)))=Milestones!$AB$84),UPPER(TEXT(EDATE($D9,Milestones!$AA$84),"dd mmm yy"))&amp;" "&amp;Milestones!$AB$84&amp;" "&amp;Milestones!$AC$84&amp;";  ","")&amp;IF(AND(EDATE($D9,Milestones!$AA$85)&lt;=AsOfDate,IF($R9=0,$X9,IF(AND($T9&lt;&gt;"",EDATE($D9,Milestones!$AA$85)&gt;=$T9),$W9,IF(AND($S9&lt;&gt;"",EDATE($D9,Milestones!$AA$85)&gt;=$S9),$V9,$U9)))=Milestones!$AB$85),UPPER(TEXT(EDATE($D9,Milestones!$AA$85),"dd mmm yy"))&amp;" "&amp;Milestones!$AB$85&amp;" "&amp;Milestones!$AC$85&amp;";  ","")&amp;IF(AND(EDATE($D9,Milestones!$AA$86)&lt;=AsOfDate,IF($R9=0,$X9,IF(AND($T9&lt;&gt;"",EDATE($D9,Milestones!$AA$86)&gt;=$T9),$W9,IF(AND($S9&lt;&gt;"",EDATE($D9,Milestones!$AA$86)&gt;=$S9),$V9,$U9)))=Milestones!$AB$86),UPPER(TEXT(EDATE($D9,Milestones!$AA$86),"dd mmm yy"))&amp;" "&amp;Milestones!$AB$86&amp;" "&amp;Milestones!$AC$86&amp;";  ","")&amp;IF(AND(EDATE($D9,Milestones!$AA$87)&lt;=AsOfDate,IF($R9=0,$X9,IF(AND($T9&lt;&gt;"",EDATE($D9,Milestones!$AA$87)&gt;=$T9),$W9,IF(AND($S9&lt;&gt;"",EDATE($D9,Milestones!$AA$87)&gt;=$S9),$V9,$U9)))=Milestones!$AB$87),UPPER(TEXT(EDATE($D9,Milestones!$AA$87),"dd mmm yy"))&amp;" "&amp;Milestones!$AB$87&amp;" "&amp;Milestones!$AC$87&amp;";  ","")&amp;IF(AND(EDATE($D9,Milestones!$AA$88)&lt;=AsOfDate,IF($R9=0,$X9,IF(AND($T9&lt;&gt;"",EDATE($D9,Milestones!$AA$88)&gt;=$T9),$W9,IF(AND($S9&lt;&gt;"",EDATE($D9,Milestones!$AA$88)&gt;=$S9),$V9,$U9)))=Milestones!$AB$88),UPPER(TEXT(EDATE($D9,Milestones!$AA$88),"dd mmm yy"))&amp;" "&amp;Milestones!$AB$88&amp;" "&amp;Milestones!$AC$88&amp;";  ","")&amp;IF(AND(EDATE($D9,Milestones!$AA$89)&lt;=AsOfDate,IF($R9=0,$X9,IF(AND($T9&lt;&gt;"",EDATE($D9,Milestones!$AA$89)&gt;=$T9),$W9,IF(AND($S9&lt;&gt;"",EDATE($D9,Milestones!$AA$89)&gt;=$S9),$V9,$U9)))=Milestones!$AB$89),UPPER(TEXT(EDATE($D9,Milestones!$AA$89),"dd mmm yy"))&amp;" "&amp;Milestones!$AB$89&amp;" "&amp;Milestones!$AC$89&amp;";  ","")&amp;IF(AND(EDATE($D9,Milestones!$AA$90)&lt;=AsOfDate,IF($R9=0,$X9,IF(AND($T9&lt;&gt;"",EDATE($D9,Milestones!$AA$90)&gt;=$T9),$W9,IF(AND($S9&lt;&gt;"",EDATE($D9,Milestones!$AA$90)&gt;=$S9),$V9,$U9)))=Milestones!$AB$90),UPPER(TEXT(EDATE($D9,Milestones!$AA$90),"dd mmm yy"))&amp;" "&amp;Milestones!$AB$90&amp;" "&amp;Milestones!$AC$90&amp;";  ","")&amp;IF(AND(EDATE($D9,Milestones!$AA$91)&lt;=AsOfDate,IF($R9=0,$X9,IF(AND($T9&lt;&gt;"",EDATE($D9,Milestones!$AA$91)&gt;=$T9),$W9,IF(AND($S9&lt;&gt;"",EDATE($D9,Milestones!$AA$91)&gt;=$S9),$V9,$U9)))=Milestones!$AB$91),UPPER(TEXT(EDATE($D9,Milestones!$AA$91),"dd mmm yy"))&amp;" "&amp;Milestones!$AB$91&amp;" "&amp;Milestones!$AC$91&amp;";  ","")&amp;IF(AND(EDATE($D9,Milestones!$AA$92)&lt;=AsOfDate,IF($R9=0,$X9,IF(AND($T9&lt;&gt;"",EDATE($D9,Milestones!$AA$92)&gt;=$T9),$W9,IF(AND($S9&lt;&gt;"",EDATE($D9,Milestones!$AA$92)&gt;=$S9),$V9,$U9)))=Milestones!$AB$92),UPPER(TEXT(EDATE($D9,Milestones!$AA$92),"dd mmm yy"))&amp;" "&amp;Milestones!$AB$92&amp;" "&amp;Milestones!$AC$92&amp;";  ","")&amp;IF(AND(EDATE($D9,Milestones!$AA$93)&lt;=AsOfDate,IF($R9=0,$X9,IF(AND($T9&lt;&gt;"",EDATE($D9,Milestones!$AA$93)&gt;=$T9),$W9,IF(AND($S9&lt;&gt;"",EDATE($D9,Milestones!$AA$93)&gt;=$S9),$V9,$U9)))=Milestones!$AB$93),UPPER(TEXT(EDATE($D9,Milestones!$AA$93),"dd mmm yy"))&amp;" "&amp;Milestones!$AB$93&amp;" "&amp;Milestones!$AC$93&amp;";  ","")&amp;IF(AND(EDATE($D9,Milestones!$AA$94)&lt;=AsOfDate,IF($R9=0,$X9,IF(AND($T9&lt;&gt;"",EDATE($D9,Milestones!$AA$94)&gt;=$T9),$W9,IF(AND($S9&lt;&gt;"",EDATE($D9,Milestones!$AA$94)&gt;=$S9),$V9,$U9)))=Milestones!$AB$94),UPPER(TEXT(EDATE($D9,Milestones!$AA$94),"dd mmm yy"))&amp;" "&amp;Milestones!$AB$94&amp;" "&amp;Milestones!$AC$94&amp;";  ","")&amp;IF(AND(EDATE($D9,Milestones!$AA$95)&lt;=AsOfDate,IF($R9=0,$X9,IF(AND($T9&lt;&gt;"",EDATE($D9,Milestones!$AA$95)&gt;=$T9),$W9,IF(AND($S9&lt;&gt;"",EDATE($D9,Milestones!$AA$95)&gt;=$S9),$V9,$U9)))=Milestones!$AB$95),UPPER(TEXT(EDATE($D9,Milestones!$AA$95),"dd mmm yy"))&amp;" "&amp;Milestones!$AB$95&amp;" "&amp;Milestones!$AC$95&amp;";  ","")&amp;IF(AND(EDATE($D9,Milestones!$AA$96)&lt;=AsOfDate,IF($R9=0,$X9,IF(AND($T9&lt;&gt;"",EDATE($D9,Milestones!$AA$96)&gt;=$T9),$W9,IF(AND($S9&lt;&gt;"",EDATE($D9,Milestones!$AA$96)&gt;=$S9),$V9,$U9)))=Milestones!$AB$96),UPPER(TEXT(EDATE($D9,Milestones!$AA$96),"dd mmm yy"))&amp;" "&amp;Milestones!$AB$96&amp;" "&amp;Milestones!$AC$96&amp;";  ","")&amp;IF(AND(EDATE($D9,Milestones!$AA$97)&lt;=AsOfDate,IF($R9=0,$X9,IF(AND($T9&lt;&gt;"",EDATE($D9,Milestones!$AA$97)&gt;=$T9),$W9,IF(AND($S9&lt;&gt;"",EDATE($D9,Milestones!$AA$97)&gt;=$S9),$V9,$U9)))=Milestones!$AB$97),UPPER(TEXT(EDATE($D9,Milestones!$AA$97),"dd mmm yy"))&amp;" "&amp;Milestones!$AB$97&amp;" "&amp;Milestones!$AC$97&amp;";  ","")&amp;IF(AND(EDATE($D9,Milestones!$AA$98)&lt;=AsOfDate,IF($R9=0,$X9,IF(AND($T9&lt;&gt;"",EDATE($D9,Milestones!$AA$98)&gt;=$T9),$W9,IF(AND($S9&lt;&gt;"",EDATE($D9,Milestones!$AA$98)&gt;=$S9),$V9,$U9)))=Milestones!$AB$98),UPPER(TEXT(EDATE($D9,Milestones!$AA$98),"dd mmm yy"))&amp;" "&amp;Milestones!$AB$98&amp;" "&amp;Milestones!$AC$98&amp;";  ","")&amp;IF(AND(EDATE($D9,Milestones!$AA$99)&lt;=AsOfDate,IF($R9=0,$X9,IF(AND($T9&lt;&gt;"",EDATE($D9,Milestones!$AA$99)&gt;=$T9),$W9,IF(AND($S9&lt;&gt;"",EDATE($D9,Milestones!$AA$99)&gt;=$S9),$V9,$U9)))=Milestones!$AB$99),UPPER(TEXT(EDATE($D9,Milestones!$AA$99),"dd mmm yy"))&amp;" "&amp;Milestones!$AB$99&amp;" "&amp;Milestones!$AC$99&amp;";  ",""))</f>
        <v/>
      </c>
      <c r="M9" s="0" t="str">
        <f aca="false">IF(OR($A9="",$D9=""),"",IF(AND(EDATE($D9,Milestones!$AA$100)&lt;=AsOfDate,IF($R9=0,$X9,IF(AND($T9&lt;&gt;"",EDATE($D9,Milestones!$AA$100)&gt;=$T9),$W9,IF(AND($S9&lt;&gt;"",EDATE($D9,Milestones!$AA$100)&gt;=$S9),$V9,$U9)))=Milestones!$AB$100),UPPER(TEXT(EDATE($D9,Milestones!$AA$100),"dd mmm yy"))&amp;" "&amp;Milestones!$AB$100&amp;" "&amp;Milestones!$AC$100&amp;";  ","")&amp;IF(AND(EDATE($D9,Milestones!$AA$101)&lt;=AsOfDate,IF($R9=0,$X9,IF(AND($T9&lt;&gt;"",EDATE($D9,Milestones!$AA$101)&gt;=$T9),$W9,IF(AND($S9&lt;&gt;"",EDATE($D9,Milestones!$AA$101)&gt;=$S9),$V9,$U9)))=Milestones!$AB$101),UPPER(TEXT(EDATE($D9,Milestones!$AA$101),"dd mmm yy"))&amp;" "&amp;Milestones!$AB$101&amp;" "&amp;Milestones!$AC$101&amp;";  ","")&amp;IF(AND(EDATE($D9,Milestones!$AA$102)&lt;=AsOfDate,IF($R9=0,$X9,IF(AND($T9&lt;&gt;"",EDATE($D9,Milestones!$AA$102)&gt;=$T9),$W9,IF(AND($S9&lt;&gt;"",EDATE($D9,Milestones!$AA$102)&gt;=$S9),$V9,$U9)))=Milestones!$AB$102),UPPER(TEXT(EDATE($D9,Milestones!$AA$102),"dd mmm yy"))&amp;" "&amp;Milestones!$AB$102&amp;" "&amp;Milestones!$AC$102&amp;";  ","")&amp;IF(AND(EDATE($D9,Milestones!$AA$103)&lt;=AsOfDate,IF($R9=0,$X9,IF(AND($T9&lt;&gt;"",EDATE($D9,Milestones!$AA$103)&gt;=$T9),$W9,IF(AND($S9&lt;&gt;"",EDATE($D9,Milestones!$AA$103)&gt;=$S9),$V9,$U9)))=Milestones!$AB$103),UPPER(TEXT(EDATE($D9,Milestones!$AA$103),"dd mmm yy"))&amp;" "&amp;Milestones!$AB$103&amp;" "&amp;Milestones!$AC$103&amp;";  ","")&amp;IF(AND(EDATE($D9,Milestones!$AA$104)&lt;=AsOfDate,IF($R9=0,$X9,IF(AND($T9&lt;&gt;"",EDATE($D9,Milestones!$AA$104)&gt;=$T9),$W9,IF(AND($S9&lt;&gt;"",EDATE($D9,Milestones!$AA$104)&gt;=$S9),$V9,$U9)))=Milestones!$AB$104),UPPER(TEXT(EDATE($D9,Milestones!$AA$104),"dd mmm yy"))&amp;" "&amp;Milestones!$AB$104&amp;" "&amp;Milestones!$AC$104&amp;";  ","")&amp;IF(AND(EDATE($D9,Milestones!$AA$105)&lt;=AsOfDate,IF($R9=0,$X9,IF(AND($T9&lt;&gt;"",EDATE($D9,Milestones!$AA$105)&gt;=$T9),$W9,IF(AND($S9&lt;&gt;"",EDATE($D9,Milestones!$AA$105)&gt;=$S9),$V9,$U9)))=Milestones!$AB$105),UPPER(TEXT(EDATE($D9,Milestones!$AA$105),"dd mmm yy"))&amp;" "&amp;Milestones!$AB$105&amp;" "&amp;Milestones!$AC$105&amp;";  ","")&amp;IF(AND(EDATE($D9,Milestones!$AA$106)&lt;=AsOfDate,IF($R9=0,$X9,IF(AND($T9&lt;&gt;"",EDATE($D9,Milestones!$AA$106)&gt;=$T9),$W9,IF(AND($S9&lt;&gt;"",EDATE($D9,Milestones!$AA$106)&gt;=$S9),$V9,$U9)))=Milestones!$AB$106),UPPER(TEXT(EDATE($D9,Milestones!$AA$106),"dd mmm yy"))&amp;" "&amp;Milestones!$AB$106&amp;" "&amp;Milestones!$AC$106&amp;";  ","")&amp;IF(AND(EDATE($D9,Milestones!$AA$107)&lt;=AsOfDate,IF($R9=0,$X9,IF(AND($T9&lt;&gt;"",EDATE($D9,Milestones!$AA$107)&gt;=$T9),$W9,IF(AND($S9&lt;&gt;"",EDATE($D9,Milestones!$AA$107)&gt;=$S9),$V9,$U9)))=Milestones!$AB$107),UPPER(TEXT(EDATE($D9,Milestones!$AA$107),"dd mmm yy"))&amp;" "&amp;Milestones!$AB$107&amp;" "&amp;Milestones!$AC$107&amp;";  ","")&amp;IF(AND(EDATE($D9,Milestones!$AA$108)&lt;=AsOfDate,IF($R9=0,$X9,IF(AND($T9&lt;&gt;"",EDATE($D9,Milestones!$AA$108)&gt;=$T9),$W9,IF(AND($S9&lt;&gt;"",EDATE($D9,Milestones!$AA$108)&gt;=$S9),$V9,$U9)))=Milestones!$AB$108),UPPER(TEXT(EDATE($D9,Milestones!$AA$108),"dd mmm yy"))&amp;" "&amp;Milestones!$AB$108&amp;" "&amp;Milestones!$AC$108&amp;";  ","")&amp;IF(AND(EDATE($D9,Milestones!$AA$109)&lt;=AsOfDate,IF($R9=0,$X9,IF(AND($T9&lt;&gt;"",EDATE($D9,Milestones!$AA$109)&gt;=$T9),$W9,IF(AND($S9&lt;&gt;"",EDATE($D9,Milestones!$AA$109)&gt;=$S9),$V9,$U9)))=Milestones!$AB$109),UPPER(TEXT(EDATE($D9,Milestones!$AA$109),"dd mmm yy"))&amp;" "&amp;Milestones!$AB$109&amp;" "&amp;Milestones!$AC$109&amp;";  ","")&amp;IF(AND(EDATE($D9,Milestones!$AA$110)&lt;=AsOfDate,IF($R9=0,$X9,IF(AND($T9&lt;&gt;"",EDATE($D9,Milestones!$AA$110)&gt;=$T9),$W9,IF(AND($S9&lt;&gt;"",EDATE($D9,Milestones!$AA$110)&gt;=$S9),$V9,$U9)))=Milestones!$AB$110),UPPER(TEXT(EDATE($D9,Milestones!$AA$110),"dd mmm yy"))&amp;" "&amp;Milestones!$AB$110&amp;" "&amp;Milestones!$AC$110&amp;";  ","")&amp;IF(AND(EDATE($D9,Milestones!$AA$111)&lt;=AsOfDate,IF($R9=0,$X9,IF(AND($T9&lt;&gt;"",EDATE($D9,Milestones!$AA$111)&gt;=$T9),$W9,IF(AND($S9&lt;&gt;"",EDATE($D9,Milestones!$AA$111)&gt;=$S9),$V9,$U9)))=Milestones!$AB$111),UPPER(TEXT(EDATE($D9,Milestones!$AA$111),"dd mmm yy"))&amp;" "&amp;Milestones!$AB$111&amp;" "&amp;Milestones!$AC$111&amp;";  ","")&amp;IF(AND(EDATE($D9,Milestones!$AA$112)&lt;=AsOfDate,IF($R9=0,$X9,IF(AND($T9&lt;&gt;"",EDATE($D9,Milestones!$AA$112)&gt;=$T9),$W9,IF(AND($S9&lt;&gt;"",EDATE($D9,Milestones!$AA$112)&gt;=$S9),$V9,$U9)))=Milestones!$AB$112),UPPER(TEXT(EDATE($D9,Milestones!$AA$112),"dd mmm yy"))&amp;" "&amp;Milestones!$AB$112&amp;" "&amp;Milestones!$AC$112&amp;";  ","")&amp;IF(AND(EDATE($D9,Milestones!$AA$113)&lt;=AsOfDate,IF($R9=0,$X9,IF(AND($T9&lt;&gt;"",EDATE($D9,Milestones!$AA$113)&gt;=$T9),$W9,IF(AND($S9&lt;&gt;"",EDATE($D9,Milestones!$AA$113)&gt;=$S9),$V9,$U9)))=Milestones!$AB$113),UPPER(TEXT(EDATE($D9,Milestones!$AA$113),"dd mmm yy"))&amp;" "&amp;Milestones!$AB$113&amp;" "&amp;Milestones!$AC$113&amp;";  ","")&amp;IF(AND(EDATE($D9,Milestones!$AA$114)&lt;=AsOfDate,IF($R9=0,$X9,IF(AND($T9&lt;&gt;"",EDATE($D9,Milestones!$AA$114)&gt;=$T9),$W9,IF(AND($S9&lt;&gt;"",EDATE($D9,Milestones!$AA$114)&gt;=$S9),$V9,$U9)))=Milestones!$AB$114),UPPER(TEXT(EDATE($D9,Milestones!$AA$114),"dd mmm yy"))&amp;" "&amp;Milestones!$AB$114&amp;" "&amp;Milestones!$AC$114&amp;";  ","")&amp;IF(AND(EDATE($D9,Milestones!$AA$115)&lt;=AsOfDate,IF($R9=0,$X9,IF(AND($T9&lt;&gt;"",EDATE($D9,Milestones!$AA$115)&gt;=$T9),$W9,IF(AND($S9&lt;&gt;"",EDATE($D9,Milestones!$AA$115)&gt;=$S9),$V9,$U9)))=Milestones!$AB$115),UPPER(TEXT(EDATE($D9,Milestones!$AA$115),"dd mmm yy"))&amp;" "&amp;Milestones!$AB$115&amp;" "&amp;Milestones!$AC$115&amp;";  ","")&amp;IF(AND(EDATE($D9,Milestones!$AA$116)&lt;=AsOfDate,IF($R9=0,$X9,IF(AND($T9&lt;&gt;"",EDATE($D9,Milestones!$AA$116)&gt;=$T9),$W9,IF(AND($S9&lt;&gt;"",EDATE($D9,Milestones!$AA$116)&gt;=$S9),$V9,$U9)))=Milestones!$AB$116),UPPER(TEXT(EDATE($D9,Milestones!$AA$116),"dd mmm yy"))&amp;" "&amp;Milestones!$AB$116&amp;" "&amp;Milestones!$AC$116&amp;";  ","")&amp;IF(AND(EDATE($D9,Milestones!$AA$117)&lt;=AsOfDate,IF($R9=0,$X9,IF(AND($T9&lt;&gt;"",EDATE($D9,Milestones!$AA$117)&gt;=$T9),$W9,IF(AND($S9&lt;&gt;"",EDATE($D9,Milestones!$AA$117)&gt;=$S9),$V9,$U9)))=Milestones!$AB$117),UPPER(TEXT(EDATE($D9,Milestones!$AA$117),"dd mmm yy"))&amp;" "&amp;Milestones!$AB$117&amp;" "&amp;Milestones!$AC$117&amp;";  ","")&amp;IF(AND(EDATE($D9,Milestones!$AA$118)&lt;=AsOfDate,IF($R9=0,$X9,IF(AND($T9&lt;&gt;"",EDATE($D9,Milestones!$AA$118)&gt;=$T9),$W9,IF(AND($S9&lt;&gt;"",EDATE($D9,Milestones!$AA$118)&gt;=$S9),$V9,$U9)))=Milestones!$AB$118),UPPER(TEXT(EDATE($D9,Milestones!$AA$118),"dd mmm yy"))&amp;" "&amp;Milestones!$AB$118&amp;" "&amp;Milestones!$AC$118&amp;";  ","")&amp;IF(AND(EDATE($D9,Milestones!$AA$119)&lt;=AsOfDate,IF($R9=0,$X9,IF(AND($T9&lt;&gt;"",EDATE($D9,Milestones!$AA$119)&gt;=$T9),$W9,IF(AND($S9&lt;&gt;"",EDATE($D9,Milestones!$AA$119)&gt;=$S9),$V9,$U9)))=Milestones!$AB$119),UPPER(TEXT(EDATE($D9,Milestones!$AA$119),"dd mmm yy"))&amp;" "&amp;Milestones!$AB$119&amp;" "&amp;Milestones!$AC$119&amp;";  ",""))</f>
        <v/>
      </c>
      <c r="N9" s="0" t="str">
        <f aca="false">IF(OR($A9="",$D9=""),"",IF(AND(EDATE($D9,Milestones!$AA$120)&lt;=AsOfDate,IF($R9=0,$X9,IF(AND($T9&lt;&gt;"",EDATE($D9,Milestones!$AA$120)&gt;=$T9),$W9,IF(AND($S9&lt;&gt;"",EDATE($D9,Milestones!$AA$120)&gt;=$S9),$V9,$U9)))=Milestones!$AB$120),UPPER(TEXT(EDATE($D9,Milestones!$AA$120),"dd mmm yy"))&amp;" "&amp;Milestones!$AB$120&amp;" "&amp;Milestones!$AC$120&amp;";  ","")&amp;IF(AND(EDATE($D9,Milestones!$AA$121)&lt;=AsOfDate,IF($R9=0,$X9,IF(AND($T9&lt;&gt;"",EDATE($D9,Milestones!$AA$121)&gt;=$T9),$W9,IF(AND($S9&lt;&gt;"",EDATE($D9,Milestones!$AA$121)&gt;=$S9),$V9,$U9)))=Milestones!$AB$121),UPPER(TEXT(EDATE($D9,Milestones!$AA$121),"dd mmm yy"))&amp;" "&amp;Milestones!$AB$121&amp;" "&amp;Milestones!$AC$121&amp;";  ","")&amp;IF(AND(EDATE($D9,Milestones!$AA$122)&lt;=AsOfDate,IF($R9=0,$X9,IF(AND($T9&lt;&gt;"",EDATE($D9,Milestones!$AA$122)&gt;=$T9),$W9,IF(AND($S9&lt;&gt;"",EDATE($D9,Milestones!$AA$122)&gt;=$S9),$V9,$U9)))=Milestones!$AB$122),UPPER(TEXT(EDATE($D9,Milestones!$AA$122),"dd mmm yy"))&amp;" "&amp;Milestones!$AB$122&amp;" "&amp;Milestones!$AC$122&amp;";  ","")&amp;IF(AND(EDATE($D9,Milestones!$AA$123)&lt;=AsOfDate,IF($R9=0,$X9,IF(AND($T9&lt;&gt;"",EDATE($D9,Milestones!$AA$123)&gt;=$T9),$W9,IF(AND($S9&lt;&gt;"",EDATE($D9,Milestones!$AA$123)&gt;=$S9),$V9,$U9)))=Milestones!$AB$123),UPPER(TEXT(EDATE($D9,Milestones!$AA$123),"dd mmm yy"))&amp;" "&amp;Milestones!$AB$123&amp;" "&amp;Milestones!$AC$123&amp;";  ","")&amp;IF(AND(EDATE($D9,Milestones!$AA$124)&lt;=AsOfDate,IF($R9=0,$X9,IF(AND($T9&lt;&gt;"",EDATE($D9,Milestones!$AA$124)&gt;=$T9),$W9,IF(AND($S9&lt;&gt;"",EDATE($D9,Milestones!$AA$124)&gt;=$S9),$V9,$U9)))=Milestones!$AB$124),UPPER(TEXT(EDATE($D9,Milestones!$AA$124),"dd mmm yy"))&amp;" "&amp;Milestones!$AB$124&amp;" "&amp;Milestones!$AC$124&amp;";  ","")&amp;IF(AND(EDATE($D9,Milestones!$AA$125)&lt;=AsOfDate,IF($R9=0,$X9,IF(AND($T9&lt;&gt;"",EDATE($D9,Milestones!$AA$125)&gt;=$T9),$W9,IF(AND($S9&lt;&gt;"",EDATE($D9,Milestones!$AA$125)&gt;=$S9),$V9,$U9)))=Milestones!$AB$125),UPPER(TEXT(EDATE($D9,Milestones!$AA$125),"dd mmm yy"))&amp;" "&amp;Milestones!$AB$125&amp;" "&amp;Milestones!$AC$125&amp;";  ","")&amp;IF(AND(EDATE($D9,Milestones!$AA$126)&lt;=AsOfDate,IF($R9=0,$X9,IF(AND($T9&lt;&gt;"",EDATE($D9,Milestones!$AA$126)&gt;=$T9),$W9,IF(AND($S9&lt;&gt;"",EDATE($D9,Milestones!$AA$126)&gt;=$S9),$V9,$U9)))=Milestones!$AB$126),UPPER(TEXT(EDATE($D9,Milestones!$AA$126),"dd mmm yy"))&amp;" "&amp;Milestones!$AB$126&amp;" "&amp;Milestones!$AC$126&amp;";  ","")&amp;IF(AND(EDATE($D9,Milestones!$AA$127)&lt;=AsOfDate,IF($R9=0,$X9,IF(AND($T9&lt;&gt;"",EDATE($D9,Milestones!$AA$127)&gt;=$T9),$W9,IF(AND($S9&lt;&gt;"",EDATE($D9,Milestones!$AA$127)&gt;=$S9),$V9,$U9)))=Milestones!$AB$127),UPPER(TEXT(EDATE($D9,Milestones!$AA$127),"dd mmm yy"))&amp;" "&amp;Milestones!$AB$127&amp;" "&amp;Milestones!$AC$127&amp;";  ","")&amp;IF(AND(EDATE($D9,Milestones!$AA$128)&lt;=AsOfDate,IF($R9=0,$X9,IF(AND($T9&lt;&gt;"",EDATE($D9,Milestones!$AA$128)&gt;=$T9),$W9,IF(AND($S9&lt;&gt;"",EDATE($D9,Milestones!$AA$128)&gt;=$S9),$V9,$U9)))=Milestones!$AB$128),UPPER(TEXT(EDATE($D9,Milestones!$AA$128),"dd mmm yy"))&amp;" "&amp;Milestones!$AB$128&amp;" "&amp;Milestones!$AC$128&amp;";  ","")&amp;IF(AND(EDATE($D9,Milestones!$AA$129)&lt;=AsOfDate,IF($R9=0,$X9,IF(AND($T9&lt;&gt;"",EDATE($D9,Milestones!$AA$129)&gt;=$T9),$W9,IF(AND($S9&lt;&gt;"",EDATE($D9,Milestones!$AA$129)&gt;=$S9),$V9,$U9)))=Milestones!$AB$129),UPPER(TEXT(EDATE($D9,Milestones!$AA$129),"dd mmm yy"))&amp;" "&amp;Milestones!$AB$129&amp;" "&amp;Milestones!$AC$129&amp;";  ","")&amp;IF(AND(EDATE($D9,Milestones!$AA$130)&lt;=AsOfDate,IF($R9=0,$X9,IF(AND($T9&lt;&gt;"",EDATE($D9,Milestones!$AA$130)&gt;=$T9),$W9,IF(AND($S9&lt;&gt;"",EDATE($D9,Milestones!$AA$130)&gt;=$S9),$V9,$U9)))=Milestones!$AB$130),UPPER(TEXT(EDATE($D9,Milestones!$AA$130),"dd mmm yy"))&amp;" "&amp;Milestones!$AB$130&amp;" "&amp;Milestones!$AC$130&amp;";  ","")&amp;IF(AND(EDATE($D9,Milestones!$AA$131)&lt;=AsOfDate,IF($R9=0,$X9,IF(AND($T9&lt;&gt;"",EDATE($D9,Milestones!$AA$131)&gt;=$T9),$W9,IF(AND($S9&lt;&gt;"",EDATE($D9,Milestones!$AA$131)&gt;=$S9),$V9,$U9)))=Milestones!$AB$131),UPPER(TEXT(EDATE($D9,Milestones!$AA$131),"dd mmm yy"))&amp;" "&amp;Milestones!$AB$131&amp;" "&amp;Milestones!$AC$131&amp;";  ","")&amp;IF(AND(EDATE($D9,Milestones!$AA$132)&lt;=AsOfDate,IF($R9=0,$X9,IF(AND($T9&lt;&gt;"",EDATE($D9,Milestones!$AA$132)&gt;=$T9),$W9,IF(AND($S9&lt;&gt;"",EDATE($D9,Milestones!$AA$132)&gt;=$S9),$V9,$U9)))=Milestones!$AB$132),UPPER(TEXT(EDATE($D9,Milestones!$AA$132),"dd mmm yy"))&amp;" "&amp;Milestones!$AB$132&amp;" "&amp;Milestones!$AC$132&amp;";  ","")&amp;IF(AND(EDATE($D9,Milestones!$AA$133)&lt;=AsOfDate,IF($R9=0,$X9,IF(AND($T9&lt;&gt;"",EDATE($D9,Milestones!$AA$133)&gt;=$T9),$W9,IF(AND($S9&lt;&gt;"",EDATE($D9,Milestones!$AA$133)&gt;=$S9),$V9,$U9)))=Milestones!$AB$133),UPPER(TEXT(EDATE($D9,Milestones!$AA$133),"dd mmm yy"))&amp;" "&amp;Milestones!$AB$133&amp;" "&amp;Milestones!$AC$133&amp;";  ","")&amp;IF(AND(EDATE($D9,Milestones!$AA$134)&lt;=AsOfDate,IF($R9=0,$X9,IF(AND($T9&lt;&gt;"",EDATE($D9,Milestones!$AA$134)&gt;=$T9),$W9,IF(AND($S9&lt;&gt;"",EDATE($D9,Milestones!$AA$134)&gt;=$S9),$V9,$U9)))=Milestones!$AB$134),UPPER(TEXT(EDATE($D9,Milestones!$AA$134),"dd mmm yy"))&amp;" "&amp;Milestones!$AB$134&amp;" "&amp;Milestones!$AC$134&amp;";  ","")&amp;IF(AND(EDATE($D9,Milestones!$AA$135)&lt;=AsOfDate,IF($R9=0,$X9,IF(AND($T9&lt;&gt;"",EDATE($D9,Milestones!$AA$135)&gt;=$T9),$W9,IF(AND($S9&lt;&gt;"",EDATE($D9,Milestones!$AA$135)&gt;=$S9),$V9,$U9)))=Milestones!$AB$135),UPPER(TEXT(EDATE($D9,Milestones!$AA$135),"dd mmm yy"))&amp;" "&amp;Milestones!$AB$135&amp;" "&amp;Milestones!$AC$135&amp;";  ","")&amp;IF(AND(EDATE($D9,Milestones!$AA$136)&lt;=AsOfDate,IF($R9=0,$X9,IF(AND($T9&lt;&gt;"",EDATE($D9,Milestones!$AA$136)&gt;=$T9),$W9,IF(AND($S9&lt;&gt;"",EDATE($D9,Milestones!$AA$136)&gt;=$S9),$V9,$U9)))=Milestones!$AB$136),UPPER(TEXT(EDATE($D9,Milestones!$AA$136),"dd mmm yy"))&amp;" "&amp;Milestones!$AB$136&amp;" "&amp;Milestones!$AC$136&amp;";  ","")&amp;IF(AND(EDATE($D9,Milestones!$AA$137)&lt;=AsOfDate,IF($R9=0,$X9,IF(AND($T9&lt;&gt;"",EDATE($D9,Milestones!$AA$137)&gt;=$T9),$W9,IF(AND($S9&lt;&gt;"",EDATE($D9,Milestones!$AA$137)&gt;=$S9),$V9,$U9)))=Milestones!$AB$137),UPPER(TEXT(EDATE($D9,Milestones!$AA$137),"dd mmm yy"))&amp;" "&amp;Milestones!$AB$137&amp;" "&amp;Milestones!$AC$137&amp;";  ","")&amp;IF(AND(EDATE($D9,Milestones!$AA$138)&lt;=AsOfDate,IF($R9=0,$X9,IF(AND($T9&lt;&gt;"",EDATE($D9,Milestones!$AA$138)&gt;=$T9),$W9,IF(AND($S9&lt;&gt;"",EDATE($D9,Milestones!$AA$138)&gt;=$S9),$V9,$U9)))=Milestones!$AB$138),UPPER(TEXT(EDATE($D9,Milestones!$AA$138),"dd mmm yy"))&amp;" "&amp;Milestones!$AB$138&amp;" "&amp;Milestones!$AC$138&amp;";  ","")&amp;IF(AND(EDATE($D9,Milestones!$AA$139)&lt;=AsOfDate,IF($R9=0,$X9,IF(AND($T9&lt;&gt;"",EDATE($D9,Milestones!$AA$139)&gt;=$T9),$W9,IF(AND($S9&lt;&gt;"",EDATE($D9,Milestones!$AA$139)&gt;=$S9),$V9,$U9)))=Milestones!$AB$139),UPPER(TEXT(EDATE($D9,Milestones!$AA$139),"dd mmm yy"))&amp;" "&amp;Milestones!$AB$139&amp;" "&amp;Milestones!$AC$139&amp;";  ",""))</f>
        <v/>
      </c>
      <c r="O9" s="0" t="str">
        <f aca="false">IF(OR($A9="",$D9=""),"",IF(AND(EDATE($D9,Milestones!$AA$140)&lt;=AsOfDate,IF($R9=0,$X9,IF(AND($T9&lt;&gt;"",EDATE($D9,Milestones!$AA$140)&gt;=$T9),$W9,IF(AND($S9&lt;&gt;"",EDATE($D9,Milestones!$AA$140)&gt;=$S9),$V9,$U9)))=Milestones!$AB$140),UPPER(TEXT(EDATE($D9,Milestones!$AA$140),"dd mmm yy"))&amp;" "&amp;Milestones!$AB$140&amp;" "&amp;Milestones!$AC$140&amp;";  ","")&amp;IF(AND(EDATE($D9,Milestones!$AA$141)&lt;=AsOfDate,IF($R9=0,$X9,IF(AND($T9&lt;&gt;"",EDATE($D9,Milestones!$AA$141)&gt;=$T9),$W9,IF(AND($S9&lt;&gt;"",EDATE($D9,Milestones!$AA$141)&gt;=$S9),$V9,$U9)))=Milestones!$AB$141),UPPER(TEXT(EDATE($D9,Milestones!$AA$141),"dd mmm yy"))&amp;" "&amp;Milestones!$AB$141&amp;" "&amp;Milestones!$AC$141&amp;";  ","")&amp;IF(AND(EDATE($D9,Milestones!$AA$142)&lt;=AsOfDate,IF($R9=0,$X9,IF(AND($T9&lt;&gt;"",EDATE($D9,Milestones!$AA$142)&gt;=$T9),$W9,IF(AND($S9&lt;&gt;"",EDATE($D9,Milestones!$AA$142)&gt;=$S9),$V9,$U9)))=Milestones!$AB$142),UPPER(TEXT(EDATE($D9,Milestones!$AA$142),"dd mmm yy"))&amp;" "&amp;Milestones!$AB$142&amp;" "&amp;Milestones!$AC$142&amp;";  ","")&amp;IF(AND(EDATE($D9,Milestones!$AA$143)&lt;=AsOfDate,IF($R9=0,$X9,IF(AND($T9&lt;&gt;"",EDATE($D9,Milestones!$AA$143)&gt;=$T9),$W9,IF(AND($S9&lt;&gt;"",EDATE($D9,Milestones!$AA$143)&gt;=$S9),$V9,$U9)))=Milestones!$AB$143),UPPER(TEXT(EDATE($D9,Milestones!$AA$143),"dd mmm yy"))&amp;" "&amp;Milestones!$AB$143&amp;" "&amp;Milestones!$AC$143&amp;";  ","")&amp;IF(AND(EDATE($D9,Milestones!$AA$144)&lt;=AsOfDate,IF($R9=0,$X9,IF(AND($T9&lt;&gt;"",EDATE($D9,Milestones!$AA$144)&gt;=$T9),$W9,IF(AND($S9&lt;&gt;"",EDATE($D9,Milestones!$AA$144)&gt;=$S9),$V9,$U9)))=Milestones!$AB$144),UPPER(TEXT(EDATE($D9,Milestones!$AA$144),"dd mmm yy"))&amp;" "&amp;Milestones!$AB$144&amp;" "&amp;Milestones!$AC$144&amp;";  ","")&amp;IF(AND(EDATE($D9,Milestones!$AA$145)&lt;=AsOfDate,IF($R9=0,$X9,IF(AND($T9&lt;&gt;"",EDATE($D9,Milestones!$AA$145)&gt;=$T9),$W9,IF(AND($S9&lt;&gt;"",EDATE($D9,Milestones!$AA$145)&gt;=$S9),$V9,$U9)))=Milestones!$AB$145),UPPER(TEXT(EDATE($D9,Milestones!$AA$145),"dd mmm yy"))&amp;" "&amp;Milestones!$AB$145&amp;" "&amp;Milestones!$AC$145&amp;";  ","")&amp;IF(AND(EDATE($D9,Milestones!$AA$146)&lt;=AsOfDate,IF($R9=0,$X9,IF(AND($T9&lt;&gt;"",EDATE($D9,Milestones!$AA$146)&gt;=$T9),$W9,IF(AND($S9&lt;&gt;"",EDATE($D9,Milestones!$AA$146)&gt;=$S9),$V9,$U9)))=Milestones!$AB$146),UPPER(TEXT(EDATE($D9,Milestones!$AA$146),"dd mmm yy"))&amp;" "&amp;Milestones!$AB$146&amp;" "&amp;Milestones!$AC$146&amp;";  ","")&amp;IF(AND(EDATE($D9,Milestones!$AA$147)&lt;=AsOfDate,IF($R9=0,$X9,IF(AND($T9&lt;&gt;"",EDATE($D9,Milestones!$AA$147)&gt;=$T9),$W9,IF(AND($S9&lt;&gt;"",EDATE($D9,Milestones!$AA$147)&gt;=$S9),$V9,$U9)))=Milestones!$AB$147),UPPER(TEXT(EDATE($D9,Milestones!$AA$147),"dd mmm yy"))&amp;" "&amp;Milestones!$AB$147&amp;" "&amp;Milestones!$AC$147&amp;";  ","")&amp;IF(AND(EDATE($D9,Milestones!$AA$148)&lt;=AsOfDate,IF($R9=0,$X9,IF(AND($T9&lt;&gt;"",EDATE($D9,Milestones!$AA$148)&gt;=$T9),$W9,IF(AND($S9&lt;&gt;"",EDATE($D9,Milestones!$AA$148)&gt;=$S9),$V9,$U9)))=Milestones!$AB$148),UPPER(TEXT(EDATE($D9,Milestones!$AA$148),"dd mmm yy"))&amp;" "&amp;Milestones!$AB$148&amp;" "&amp;Milestones!$AC$148&amp;";  ","")&amp;IF(AND(EDATE($D9,Milestones!$AA$149)&lt;=AsOfDate,IF($R9=0,$X9,IF(AND($T9&lt;&gt;"",EDATE($D9,Milestones!$AA$149)&gt;=$T9),$W9,IF(AND($S9&lt;&gt;"",EDATE($D9,Milestones!$AA$149)&gt;=$S9),$V9,$U9)))=Milestones!$AB$149),UPPER(TEXT(EDATE($D9,Milestones!$AA$149),"dd mmm yy"))&amp;" "&amp;Milestones!$AB$149&amp;" "&amp;Milestones!$AC$149&amp;";  ","")&amp;IF(AND(EDATE($D9,Milestones!$AA$150)&lt;=AsOfDate,IF($R9=0,$X9,IF(AND($T9&lt;&gt;"",EDATE($D9,Milestones!$AA$150)&gt;=$T9),$W9,IF(AND($S9&lt;&gt;"",EDATE($D9,Milestones!$AA$150)&gt;=$S9),$V9,$U9)))=Milestones!$AB$150),UPPER(TEXT(EDATE($D9,Milestones!$AA$150),"dd mmm yy"))&amp;" "&amp;Milestones!$AB$150&amp;" "&amp;Milestones!$AC$150&amp;";  ","")&amp;IF(AND(EDATE($D9,Milestones!$AA$151)&lt;=AsOfDate,IF($R9=0,$X9,IF(AND($T9&lt;&gt;"",EDATE($D9,Milestones!$AA$151)&gt;=$T9),$W9,IF(AND($S9&lt;&gt;"",EDATE($D9,Milestones!$AA$151)&gt;=$S9),$V9,$U9)))=Milestones!$AB$151),UPPER(TEXT(EDATE($D9,Milestones!$AA$151),"dd mmm yy"))&amp;" "&amp;Milestones!$AB$151&amp;" "&amp;Milestones!$AC$151&amp;";  ","")&amp;IF(AND(EDATE($D9,Milestones!$AA$152)&lt;=AsOfDate,IF($R9=0,$X9,IF(AND($T9&lt;&gt;"",EDATE($D9,Milestones!$AA$152)&gt;=$T9),$W9,IF(AND($S9&lt;&gt;"",EDATE($D9,Milestones!$AA$152)&gt;=$S9),$V9,$U9)))=Milestones!$AB$152),UPPER(TEXT(EDATE($D9,Milestones!$AA$152),"dd mmm yy"))&amp;" "&amp;Milestones!$AB$152&amp;" "&amp;Milestones!$AC$152&amp;";  ","")&amp;IF(AND(EDATE($D9,Milestones!$AA$153)&lt;=AsOfDate,IF($R9=0,$X9,IF(AND($T9&lt;&gt;"",EDATE($D9,Milestones!$AA$153)&gt;=$T9),$W9,IF(AND($S9&lt;&gt;"",EDATE($D9,Milestones!$AA$153)&gt;=$S9),$V9,$U9)))=Milestones!$AB$153),UPPER(TEXT(EDATE($D9,Milestones!$AA$153),"dd mmm yy"))&amp;" "&amp;Milestones!$AB$153&amp;" "&amp;Milestones!$AC$153&amp;";  ","")&amp;IF(AND(EDATE($D9,Milestones!$AA$154)&lt;=AsOfDate,IF($R9=0,$X9,IF(AND($T9&lt;&gt;"",EDATE($D9,Milestones!$AA$154)&gt;=$T9),$W9,IF(AND($S9&lt;&gt;"",EDATE($D9,Milestones!$AA$154)&gt;=$S9),$V9,$U9)))=Milestones!$AB$154),UPPER(TEXT(EDATE($D9,Milestones!$AA$154),"dd mmm yy"))&amp;" "&amp;Milestones!$AB$154&amp;" "&amp;Milestones!$AC$154&amp;";  ","")&amp;IF(AND(EDATE($D9,Milestones!$AA$155)&lt;=AsOfDate,IF($R9=0,$X9,IF(AND($T9&lt;&gt;"",EDATE($D9,Milestones!$AA$155)&gt;=$T9),$W9,IF(AND($S9&lt;&gt;"",EDATE($D9,Milestones!$AA$155)&gt;=$S9),$V9,$U9)))=Milestones!$AB$155),UPPER(TEXT(EDATE($D9,Milestones!$AA$155),"dd mmm yy"))&amp;" "&amp;Milestones!$AB$155&amp;" "&amp;Milestones!$AC$155&amp;";  ","")&amp;IF(AND(EDATE($D9,Milestones!$AA$156)&lt;=AsOfDate,IF($R9=0,$X9,IF(AND($T9&lt;&gt;"",EDATE($D9,Milestones!$AA$156)&gt;=$T9),$W9,IF(AND($S9&lt;&gt;"",EDATE($D9,Milestones!$AA$156)&gt;=$S9),$V9,$U9)))=Milestones!$AB$156),UPPER(TEXT(EDATE($D9,Milestones!$AA$156),"dd mmm yy"))&amp;" "&amp;Milestones!$AB$156&amp;" "&amp;Milestones!$AC$156&amp;";  ","")&amp;IF(AND(EDATE($D9,Milestones!$AA$157)&lt;=AsOfDate,IF($R9=0,$X9,IF(AND($T9&lt;&gt;"",EDATE($D9,Milestones!$AA$157)&gt;=$T9),$W9,IF(AND($S9&lt;&gt;"",EDATE($D9,Milestones!$AA$157)&gt;=$S9),$V9,$U9)))=Milestones!$AB$157),UPPER(TEXT(EDATE($D9,Milestones!$AA$157),"dd mmm yy"))&amp;" "&amp;Milestones!$AB$157&amp;" "&amp;Milestones!$AC$157&amp;";  ","")&amp;IF(AND(EDATE($D9,Milestones!$AA$158)&lt;=AsOfDate,IF($R9=0,$X9,IF(AND($T9&lt;&gt;"",EDATE($D9,Milestones!$AA$158)&gt;=$T9),$W9,IF(AND($S9&lt;&gt;"",EDATE($D9,Milestones!$AA$158)&gt;=$S9),$V9,$U9)))=Milestones!$AB$158),UPPER(TEXT(EDATE($D9,Milestones!$AA$158),"dd mmm yy"))&amp;" "&amp;Milestones!$AB$158&amp;" "&amp;Milestones!$AC$158&amp;";  ","")&amp;IF(AND(EDATE($D9,Milestones!$AA$159)&lt;=AsOfDate,IF($R9=0,$X9,IF(AND($T9&lt;&gt;"",EDATE($D9,Milestones!$AA$159)&gt;=$T9),$W9,IF(AND($S9&lt;&gt;"",EDATE($D9,Milestones!$AA$159)&gt;=$S9),$V9,$U9)))=Milestones!$AB$159),UPPER(TEXT(EDATE($D9,Milestones!$AA$159),"dd mmm yy"))&amp;" "&amp;Milestones!$AB$159&amp;" "&amp;Milestones!$AC$159&amp;";  ",""))</f>
        <v/>
      </c>
      <c r="P9" s="0" t="str">
        <f aca="false">IF(OR($A9="",$D9=""),"",IF(AND(EDATE($D9,Milestones!$AA$160)&lt;=AsOfDate,IF($R9=0,$X9,IF(AND($T9&lt;&gt;"",EDATE($D9,Milestones!$AA$160)&gt;=$T9),$W9,IF(AND($S9&lt;&gt;"",EDATE($D9,Milestones!$AA$160)&gt;=$S9),$V9,$U9)))=Milestones!$AB$160),UPPER(TEXT(EDATE($D9,Milestones!$AA$160),"dd mmm yy"))&amp;" "&amp;Milestones!$AB$160&amp;" "&amp;Milestones!$AC$160&amp;";  ","")&amp;IF(AND(EDATE($D9,Milestones!$AA$161)&lt;=AsOfDate,IF($R9=0,$X9,IF(AND($T9&lt;&gt;"",EDATE($D9,Milestones!$AA$161)&gt;=$T9),$W9,IF(AND($S9&lt;&gt;"",EDATE($D9,Milestones!$AA$161)&gt;=$S9),$V9,$U9)))=Milestones!$AB$161),UPPER(TEXT(EDATE($D9,Milestones!$AA$161),"dd mmm yy"))&amp;" "&amp;Milestones!$AB$161&amp;" "&amp;Milestones!$AC$161&amp;";  ","")&amp;IF(AND(EDATE($D9,Milestones!$AA$162)&lt;=AsOfDate,IF($R9=0,$X9,IF(AND($T9&lt;&gt;"",EDATE($D9,Milestones!$AA$162)&gt;=$T9),$W9,IF(AND($S9&lt;&gt;"",EDATE($D9,Milestones!$AA$162)&gt;=$S9),$V9,$U9)))=Milestones!$AB$162),UPPER(TEXT(EDATE($D9,Milestones!$AA$162),"dd mmm yy"))&amp;" "&amp;Milestones!$AB$162&amp;" "&amp;Milestones!$AC$162&amp;";  ","")&amp;IF(AND(EDATE($D9,Milestones!$AA$163)&lt;=AsOfDate,IF($R9=0,$X9,IF(AND($T9&lt;&gt;"",EDATE($D9,Milestones!$AA$163)&gt;=$T9),$W9,IF(AND($S9&lt;&gt;"",EDATE($D9,Milestones!$AA$163)&gt;=$S9),$V9,$U9)))=Milestones!$AB$163),UPPER(TEXT(EDATE($D9,Milestones!$AA$163),"dd mmm yy"))&amp;" "&amp;Milestones!$AB$163&amp;" "&amp;Milestones!$AC$163&amp;";  ","")&amp;IF(AND(EDATE($D9,Milestones!$AA$164)&lt;=AsOfDate,IF($R9=0,$X9,IF(AND($T9&lt;&gt;"",EDATE($D9,Milestones!$AA$164)&gt;=$T9),$W9,IF(AND($S9&lt;&gt;"",EDATE($D9,Milestones!$AA$164)&gt;=$S9),$V9,$U9)))=Milestones!$AB$164),UPPER(TEXT(EDATE($D9,Milestones!$AA$164),"dd mmm yy"))&amp;" "&amp;Milestones!$AB$164&amp;" "&amp;Milestones!$AC$164&amp;";  ","")&amp;IF(AND(EDATE($D9,Milestones!$AA$165)&lt;=AsOfDate,IF($R9=0,$X9,IF(AND($T9&lt;&gt;"",EDATE($D9,Milestones!$AA$165)&gt;=$T9),$W9,IF(AND($S9&lt;&gt;"",EDATE($D9,Milestones!$AA$165)&gt;=$S9),$V9,$U9)))=Milestones!$AB$165),UPPER(TEXT(EDATE($D9,Milestones!$AA$165),"dd mmm yy"))&amp;" "&amp;Milestones!$AB$165&amp;" "&amp;Milestones!$AC$165&amp;";  ","")&amp;IF(AND(EDATE($D9,Milestones!$AA$166)&lt;=AsOfDate,IF($R9=0,$X9,IF(AND($T9&lt;&gt;"",EDATE($D9,Milestones!$AA$166)&gt;=$T9),$W9,IF(AND($S9&lt;&gt;"",EDATE($D9,Milestones!$AA$166)&gt;=$S9),$V9,$U9)))=Milestones!$AB$166),UPPER(TEXT(EDATE($D9,Milestones!$AA$166),"dd mmm yy"))&amp;" "&amp;Milestones!$AB$166&amp;" "&amp;Milestones!$AC$166&amp;";  ","")&amp;IF(AND(EDATE($D9,Milestones!$AA$167)&lt;=AsOfDate,IF($R9=0,$X9,IF(AND($T9&lt;&gt;"",EDATE($D9,Milestones!$AA$167)&gt;=$T9),$W9,IF(AND($S9&lt;&gt;"",EDATE($D9,Milestones!$AA$167)&gt;=$S9),$V9,$U9)))=Milestones!$AB$167),UPPER(TEXT(EDATE($D9,Milestones!$AA$167),"dd mmm yy"))&amp;" "&amp;Milestones!$AB$167&amp;" "&amp;Milestones!$AC$167&amp;";  ","")&amp;IF(AND(EDATE($D9,Milestones!$AA$168)&lt;=AsOfDate,IF($R9=0,$X9,IF(AND($T9&lt;&gt;"",EDATE($D9,Milestones!$AA$168)&gt;=$T9),$W9,IF(AND($S9&lt;&gt;"",EDATE($D9,Milestones!$AA$168)&gt;=$S9),$V9,$U9)))=Milestones!$AB$168),UPPER(TEXT(EDATE($D9,Milestones!$AA$168),"dd mmm yy"))&amp;" "&amp;Milestones!$AB$168&amp;" "&amp;Milestones!$AC$168&amp;";  ","")&amp;IF(AND(EDATE($D9,Milestones!$AA$169)&lt;=AsOfDate,IF($R9=0,$X9,IF(AND($T9&lt;&gt;"",EDATE($D9,Milestones!$AA$169)&gt;=$T9),$W9,IF(AND($S9&lt;&gt;"",EDATE($D9,Milestones!$AA$169)&gt;=$S9),$V9,$U9)))=Milestones!$AB$169),UPPER(TEXT(EDATE($D9,Milestones!$AA$169),"dd mmm yy"))&amp;" "&amp;Milestones!$AB$169&amp;" "&amp;Milestones!$AC$169&amp;";  ","")&amp;IF(AND(EDATE($D9,Milestones!$AA$170)&lt;=AsOfDate,IF($R9=0,$X9,IF(AND($T9&lt;&gt;"",EDATE($D9,Milestones!$AA$170)&gt;=$T9),$W9,IF(AND($S9&lt;&gt;"",EDATE($D9,Milestones!$AA$170)&gt;=$S9),$V9,$U9)))=Milestones!$AB$170),UPPER(TEXT(EDATE($D9,Milestones!$AA$170),"dd mmm yy"))&amp;" "&amp;Milestones!$AB$170&amp;" "&amp;Milestones!$AC$170&amp;";  ","")&amp;IF(AND(EDATE($D9,Milestones!$AA$171)&lt;=AsOfDate,IF($R9=0,$X9,IF(AND($T9&lt;&gt;"",EDATE($D9,Milestones!$AA$171)&gt;=$T9),$W9,IF(AND($S9&lt;&gt;"",EDATE($D9,Milestones!$AA$171)&gt;=$S9),$V9,$U9)))=Milestones!$AB$171),UPPER(TEXT(EDATE($D9,Milestones!$AA$171),"dd mmm yy"))&amp;" "&amp;Milestones!$AB$171&amp;" "&amp;Milestones!$AC$171&amp;";  ","")&amp;IF(AND(EDATE($D9,Milestones!$AA$172)&lt;=AsOfDate,IF($R9=0,$X9,IF(AND($T9&lt;&gt;"",EDATE($D9,Milestones!$AA$172)&gt;=$T9),$W9,IF(AND($S9&lt;&gt;"",EDATE($D9,Milestones!$AA$172)&gt;=$S9),$V9,$U9)))=Milestones!$AB$172),UPPER(TEXT(EDATE($D9,Milestones!$AA$172),"dd mmm yy"))&amp;" "&amp;Milestones!$AB$172&amp;" "&amp;Milestones!$AC$172&amp;";  ","")&amp;IF(AND(EDATE($D9,Milestones!$AA$173)&lt;=AsOfDate,IF($R9=0,$X9,IF(AND($T9&lt;&gt;"",EDATE($D9,Milestones!$AA$173)&gt;=$T9),$W9,IF(AND($S9&lt;&gt;"",EDATE($D9,Milestones!$AA$173)&gt;=$S9),$V9,$U9)))=Milestones!$AB$173),UPPER(TEXT(EDATE($D9,Milestones!$AA$173),"dd mmm yy"))&amp;" "&amp;Milestones!$AB$173&amp;" "&amp;Milestones!$AC$173&amp;";  ","")&amp;IF(AND(EDATE($D9,Milestones!$AA$174)&lt;=AsOfDate,IF($R9=0,$X9,IF(AND($T9&lt;&gt;"",EDATE($D9,Milestones!$AA$174)&gt;=$T9),$W9,IF(AND($S9&lt;&gt;"",EDATE($D9,Milestones!$AA$174)&gt;=$S9),$V9,$U9)))=Milestones!$AB$174),UPPER(TEXT(EDATE($D9,Milestones!$AA$174),"dd mmm yy"))&amp;" "&amp;Milestones!$AB$174&amp;" "&amp;Milestones!$AC$174&amp;";  ","")&amp;IF(AND(EDATE($D9,Milestones!$AA$175)&lt;=AsOfDate,IF($R9=0,$X9,IF(AND($T9&lt;&gt;"",EDATE($D9,Milestones!$AA$175)&gt;=$T9),$W9,IF(AND($S9&lt;&gt;"",EDATE($D9,Milestones!$AA$175)&gt;=$S9),$V9,$U9)))=Milestones!$AB$175),UPPER(TEXT(EDATE($D9,Milestones!$AA$175),"dd mmm yy"))&amp;" "&amp;Milestones!$AB$175&amp;" "&amp;Milestones!$AC$175&amp;";  ","")&amp;IF(AND(EDATE($D9,Milestones!$AA$176)&lt;=AsOfDate,IF($R9=0,$X9,IF(AND($T9&lt;&gt;"",EDATE($D9,Milestones!$AA$176)&gt;=$T9),$W9,IF(AND($S9&lt;&gt;"",EDATE($D9,Milestones!$AA$176)&gt;=$S9),$V9,$U9)))=Milestones!$AB$176),UPPER(TEXT(EDATE($D9,Milestones!$AA$176),"dd mmm yy"))&amp;" "&amp;Milestones!$AB$176&amp;" "&amp;Milestones!$AC$176&amp;";  ","")&amp;IF(AND(EDATE($D9,Milestones!$AA$177)&lt;=AsOfDate,IF($R9=0,$X9,IF(AND($T9&lt;&gt;"",EDATE($D9,Milestones!$AA$177)&gt;=$T9),$W9,IF(AND($S9&lt;&gt;"",EDATE($D9,Milestones!$AA$177)&gt;=$S9),$V9,$U9)))=Milestones!$AB$177),UPPER(TEXT(EDATE($D9,Milestones!$AA$177),"dd mmm yy"))&amp;" "&amp;Milestones!$AB$177&amp;" "&amp;Milestones!$AC$177&amp;";  ","")&amp;IF(AND(EDATE($D9,Milestones!$AA$178)&lt;=AsOfDate,IF($R9=0,$X9,IF(AND($T9&lt;&gt;"",EDATE($D9,Milestones!$AA$178)&gt;=$T9),$W9,IF(AND($S9&lt;&gt;"",EDATE($D9,Milestones!$AA$178)&gt;=$S9),$V9,$U9)))=Milestones!$AB$178),UPPER(TEXT(EDATE($D9,Milestones!$AA$178),"dd mmm yy"))&amp;" "&amp;Milestones!$AB$178&amp;" "&amp;Milestones!$AC$178&amp;";  ","")&amp;IF(AND(EDATE($D9,Milestones!$AA$179)&lt;=AsOfDate,IF($R9=0,$X9,IF(AND($T9&lt;&gt;"",EDATE($D9,Milestones!$AA$179)&gt;=$T9),$W9,IF(AND($S9&lt;&gt;"",EDATE($D9,Milestones!$AA$179)&gt;=$S9),$V9,$U9)))=Milestones!$AB$179),UPPER(TEXT(EDATE($D9,Milestones!$AA$179),"dd mmm yy"))&amp;" "&amp;Milestones!$AB$179&amp;" "&amp;Milestones!$AC$179&amp;";  ",""))</f>
        <v/>
      </c>
      <c r="Q9" s="0" t="str">
        <f aca="false">IF(OR($A9="",$D9=""),"",IF(AND(EDATE($D9,Milestones!$AA$180)&lt;=AsOfDate,IF($R9=0,$X9,IF(AND($T9&lt;&gt;"",EDATE($D9,Milestones!$AA$180)&gt;=$T9),$W9,IF(AND($S9&lt;&gt;"",EDATE($D9,Milestones!$AA$180)&gt;=$S9),$V9,$U9)))=Milestones!$AB$180),UPPER(TEXT(EDATE($D9,Milestones!$AA$180),"dd mmm yy"))&amp;" "&amp;Milestones!$AB$180&amp;" "&amp;Milestones!$AC$180&amp;";  ","")&amp;IF(AND(EDATE($D9,Milestones!$AA$181)&lt;=AsOfDate,IF($R9=0,$X9,IF(AND($T9&lt;&gt;"",EDATE($D9,Milestones!$AA$181)&gt;=$T9),$W9,IF(AND($S9&lt;&gt;"",EDATE($D9,Milestones!$AA$181)&gt;=$S9),$V9,$U9)))=Milestones!$AB$181),UPPER(TEXT(EDATE($D9,Milestones!$AA$181),"dd mmm yy"))&amp;" "&amp;Milestones!$AB$181&amp;" "&amp;Milestones!$AC$181&amp;";  ","")&amp;IF(AND(EDATE($D9,Milestones!$AA$182)&lt;=AsOfDate,IF($R9=0,$X9,IF(AND($T9&lt;&gt;"",EDATE($D9,Milestones!$AA$182)&gt;=$T9),$W9,IF(AND($S9&lt;&gt;"",EDATE($D9,Milestones!$AA$182)&gt;=$S9),$V9,$U9)))=Milestones!$AB$182),UPPER(TEXT(EDATE($D9,Milestones!$AA$182),"dd mmm yy"))&amp;" "&amp;Milestones!$AB$182&amp;" "&amp;Milestones!$AC$182&amp;";  ","")&amp;IF(AND(EDATE($D9,Milestones!$AA$183)&lt;=AsOfDate,IF($R9=0,$X9,IF(AND($T9&lt;&gt;"",EDATE($D9,Milestones!$AA$183)&gt;=$T9),$W9,IF(AND($S9&lt;&gt;"",EDATE($D9,Milestones!$AA$183)&gt;=$S9),$V9,$U9)))=Milestones!$AB$183),UPPER(TEXT(EDATE($D9,Milestones!$AA$183),"dd mmm yy"))&amp;" "&amp;Milestones!$AB$183&amp;" "&amp;Milestones!$AC$183&amp;";  ","")&amp;IF(AND(EDATE($D9,Milestones!$AA$184)&lt;=AsOfDate,IF($R9=0,$X9,IF(AND($T9&lt;&gt;"",EDATE($D9,Milestones!$AA$184)&gt;=$T9),$W9,IF(AND($S9&lt;&gt;"",EDATE($D9,Milestones!$AA$184)&gt;=$S9),$V9,$U9)))=Milestones!$AB$184),UPPER(TEXT(EDATE($D9,Milestones!$AA$184),"dd mmm yy"))&amp;" "&amp;Milestones!$AB$184&amp;" "&amp;Milestones!$AC$184&amp;";  ","")&amp;IF(AND(EDATE($D9,Milestones!$AA$185)&lt;=AsOfDate,IF($R9=0,$X9,IF(AND($T9&lt;&gt;"",EDATE($D9,Milestones!$AA$185)&gt;=$T9),$W9,IF(AND($S9&lt;&gt;"",EDATE($D9,Milestones!$AA$185)&gt;=$S9),$V9,$U9)))=Milestones!$AB$185),UPPER(TEXT(EDATE($D9,Milestones!$AA$185),"dd mmm yy"))&amp;" "&amp;Milestones!$AB$185&amp;" "&amp;Milestones!$AC$185&amp;";  ","")&amp;IF(AND(EDATE($D9,Milestones!$AA$186)&lt;=AsOfDate,IF($R9=0,$X9,IF(AND($T9&lt;&gt;"",EDATE($D9,Milestones!$AA$186)&gt;=$T9),$W9,IF(AND($S9&lt;&gt;"",EDATE($D9,Milestones!$AA$186)&gt;=$S9),$V9,$U9)))=Milestones!$AB$186),UPPER(TEXT(EDATE($D9,Milestones!$AA$186),"dd mmm yy"))&amp;" "&amp;Milestones!$AB$186&amp;" "&amp;Milestones!$AC$186&amp;";  ","")&amp;IF(AND(EDATE($D9,Milestones!$AA$187)&lt;=AsOfDate,IF($R9=0,$X9,IF(AND($T9&lt;&gt;"",EDATE($D9,Milestones!$AA$187)&gt;=$T9),$W9,IF(AND($S9&lt;&gt;"",EDATE($D9,Milestones!$AA$187)&gt;=$S9),$V9,$U9)))=Milestones!$AB$187),UPPER(TEXT(EDATE($D9,Milestones!$AA$187),"dd mmm yy"))&amp;" "&amp;Milestones!$AB$187&amp;" "&amp;Milestones!$AC$187&amp;";  ","")&amp;IF(AND(EDATE($D9,Milestones!$AA$188)&lt;=AsOfDate,IF($R9=0,$X9,IF(AND($T9&lt;&gt;"",EDATE($D9,Milestones!$AA$188)&gt;=$T9),$W9,IF(AND($S9&lt;&gt;"",EDATE($D9,Milestones!$AA$188)&gt;=$S9),$V9,$U9)))=Milestones!$AB$188),UPPER(TEXT(EDATE($D9,Milestones!$AA$188),"dd mmm yy"))&amp;" "&amp;Milestones!$AB$188&amp;" "&amp;Milestones!$AC$188&amp;";  ","")&amp;IF(AND(EDATE($D9,Milestones!$AA$189)&lt;=AsOfDate,IF($R9=0,$X9,IF(AND($T9&lt;&gt;"",EDATE($D9,Milestones!$AA$189)&gt;=$T9),$W9,IF(AND($S9&lt;&gt;"",EDATE($D9,Milestones!$AA$189)&gt;=$S9),$V9,$U9)))=Milestones!$AB$189),UPPER(TEXT(EDATE($D9,Milestones!$AA$189),"dd mmm yy"))&amp;" "&amp;Milestones!$AB$189&amp;" "&amp;Milestones!$AC$189&amp;";  ","")&amp;IF(AND(EDATE($D9,Milestones!$AA$190)&lt;=AsOfDate,IF($R9=0,$X9,IF(AND($T9&lt;&gt;"",EDATE($D9,Milestones!$AA$190)&gt;=$T9),$W9,IF(AND($S9&lt;&gt;"",EDATE($D9,Milestones!$AA$190)&gt;=$S9),$V9,$U9)))=Milestones!$AB$190),UPPER(TEXT(EDATE($D9,Milestones!$AA$190),"dd mmm yy"))&amp;" "&amp;Milestones!$AB$190&amp;" "&amp;Milestones!$AC$190&amp;";  ","")&amp;IF(AND(EDATE($D9,Milestones!$AA$191)&lt;=AsOfDate,IF($R9=0,$X9,IF(AND($T9&lt;&gt;"",EDATE($D9,Milestones!$AA$191)&gt;=$T9),$W9,IF(AND($S9&lt;&gt;"",EDATE($D9,Milestones!$AA$191)&gt;=$S9),$V9,$U9)))=Milestones!$AB$191),UPPER(TEXT(EDATE($D9,Milestones!$AA$191),"dd mmm yy"))&amp;" "&amp;Milestones!$AB$191&amp;" "&amp;Milestones!$AC$191&amp;";  ","")&amp;IF(AND(EDATE($D9,Milestones!$AA$192)&lt;=AsOfDate,IF($R9=0,$X9,IF(AND($T9&lt;&gt;"",EDATE($D9,Milestones!$AA$192)&gt;=$T9),$W9,IF(AND($S9&lt;&gt;"",EDATE($D9,Milestones!$AA$192)&gt;=$S9),$V9,$U9)))=Milestones!$AB$192),UPPER(TEXT(EDATE($D9,Milestones!$AA$192),"dd mmm yy"))&amp;" "&amp;Milestones!$AB$192&amp;" "&amp;Milestones!$AC$192&amp;";  ","")&amp;IF(AND(EDATE($D9,Milestones!$AA$193)&lt;=AsOfDate,IF($R9=0,$X9,IF(AND($T9&lt;&gt;"",EDATE($D9,Milestones!$AA$193)&gt;=$T9),$W9,IF(AND($S9&lt;&gt;"",EDATE($D9,Milestones!$AA$193)&gt;=$S9),$V9,$U9)))=Milestones!$AB$193),UPPER(TEXT(EDATE($D9,Milestones!$AA$193),"dd mmm yy"))&amp;" "&amp;Milestones!$AB$193&amp;" "&amp;Milestones!$AC$193&amp;";  ","")&amp;IF(AND(EDATE($D9,Milestones!$AA$194)&lt;=AsOfDate,IF($R9=0,$X9,IF(AND($T9&lt;&gt;"",EDATE($D9,Milestones!$AA$194)&gt;=$T9),$W9,IF(AND($S9&lt;&gt;"",EDATE($D9,Milestones!$AA$194)&gt;=$S9),$V9,$U9)))=Milestones!$AB$194),UPPER(TEXT(EDATE($D9,Milestones!$AA$194),"dd mmm yy"))&amp;" "&amp;Milestones!$AB$194&amp;" "&amp;Milestones!$AC$194&amp;";  ","")&amp;IF(AND(EDATE($D9,Milestones!$AA$195)&lt;=AsOfDate,IF($R9=0,$X9,IF(AND($T9&lt;&gt;"",EDATE($D9,Milestones!$AA$195)&gt;=$T9),$W9,IF(AND($S9&lt;&gt;"",EDATE($D9,Milestones!$AA$195)&gt;=$S9),$V9,$U9)))=Milestones!$AB$195),UPPER(TEXT(EDATE($D9,Milestones!$AA$195),"dd mmm yy"))&amp;" "&amp;Milestones!$AB$195&amp;" "&amp;Milestones!$AC$195&amp;";  ","")&amp;IF(AND(EDATE($D9,Milestones!$AA$196)&lt;=AsOfDate,IF($R9=0,$X9,IF(AND($T9&lt;&gt;"",EDATE($D9,Milestones!$AA$196)&gt;=$T9),$W9,IF(AND($S9&lt;&gt;"",EDATE($D9,Milestones!$AA$196)&gt;=$S9),$V9,$U9)))=Milestones!$AB$196),UPPER(TEXT(EDATE($D9,Milestones!$AA$196),"dd mmm yy"))&amp;" "&amp;Milestones!$AB$196&amp;" "&amp;Milestones!$AC$196&amp;";  ","")&amp;IF(AND(EDATE($D9,Milestones!$AA$197)&lt;=AsOfDate,IF($R9=0,$X9,IF(AND($T9&lt;&gt;"",EDATE($D9,Milestones!$AA$197)&gt;=$T9),$W9,IF(AND($S9&lt;&gt;"",EDATE($D9,Milestones!$AA$197)&gt;=$S9),$V9,$U9)))=Milestones!$AB$197),UPPER(TEXT(EDATE($D9,Milestones!$AA$197),"dd mmm yy"))&amp;" "&amp;Milestones!$AB$197&amp;" "&amp;Milestones!$AC$197&amp;";  ","")&amp;IF(AND(EDATE($D9,Milestones!$AA$198)&lt;=AsOfDate,IF($R9=0,$X9,IF(AND($T9&lt;&gt;"",EDATE($D9,Milestones!$AA$198)&gt;=$T9),$W9,IF(AND($S9&lt;&gt;"",EDATE($D9,Milestones!$AA$198)&gt;=$S9),$V9,$U9)))=Milestones!$AB$198),UPPER(TEXT(EDATE($D9,Milestones!$AA$198),"dd mmm yy"))&amp;" "&amp;Milestones!$AB$198&amp;" "&amp;Milestones!$AC$198&amp;";  ","")&amp;IF(AND(EDATE($D9,Milestones!$AA$199)&lt;=AsOfDate,IF($R9=0,$X9,IF(AND($T9&lt;&gt;"",EDATE($D9,Milestones!$AA$199)&gt;=$T9),$W9,IF(AND($S9&lt;&gt;"",EDATE($D9,Milestones!$AA$199)&gt;=$S9),$V9,$U9)))=Milestones!$AB$199),UPPER(TEXT(EDATE($D9,Milestones!$AA$199),"dd mmm yy"))&amp;" "&amp;Milestones!$AB$199&amp;" "&amp;Milestones!$AC$199&amp;";  ",""))</f>
        <v/>
      </c>
      <c r="R9" s="33" t="n">
        <f aca="false">IF(Staff!$A9="","",Staff!$AI9)</f>
        <v>0</v>
      </c>
      <c r="S9" s="0" t="str">
        <f aca="false">IF(Staff!$A9="","",Staff!$AK9)</f>
        <v/>
      </c>
      <c r="T9" s="0" t="str">
        <f aca="false">IF(Staff!$A9="","",Staff!$AL9)</f>
        <v/>
      </c>
      <c r="U9" s="0" t="str">
        <f aca="false">IF(Staff!$A9="","",Staff!$AP9)</f>
        <v>None</v>
      </c>
      <c r="V9" s="0" t="str">
        <f aca="false">IF(Staff!$A9="","",Staff!$AQ9)</f>
        <v/>
      </c>
      <c r="W9" s="0" t="str">
        <f aca="false">IF(Staff!$A9="","",Staff!$AR9)</f>
        <v/>
      </c>
      <c r="X9" s="0" t="str">
        <f aca="false">IF(Staff!$A9="","",Staff!$AS9)</f>
        <v>None</v>
      </c>
    </row>
    <row r="10" customFormat="false" ht="15" hidden="false" customHeight="false" outlineLevel="0" collapsed="false">
      <c r="A10" s="19" t="str">
        <f aca="false">IF(Staff!$A10="","",Staff!$A10)</f>
        <v>Amadeus</v>
      </c>
      <c r="B10" s="19" t="str">
        <f aca="false">IF(Staff!$A10="","",Staff!$B10)</f>
        <v>Anggaraksa</v>
      </c>
      <c r="C10" s="19" t="str">
        <f aca="false">IF(Staff!$A10="","",Staff!$C10)</f>
        <v>Casual</v>
      </c>
      <c r="D10" s="17" t="n">
        <f aca="false">IF(Staff!$A10="","",Staff!$AH10)</f>
        <v>45747</v>
      </c>
      <c r="E10" s="20" t="n">
        <f aca="false">IF(Staff!$A10="","",Staff!$O10)</f>
        <v>0</v>
      </c>
      <c r="F10" s="19" t="n">
        <f aca="false">IF(E10="","",E10*HoursPerDay)</f>
        <v>0</v>
      </c>
      <c r="G10" s="20" t="n">
        <f aca="false">IF(Staff!$A10="","",Staff!$AE10)</f>
        <v>0</v>
      </c>
      <c r="H10" s="32" t="str">
        <f aca="false">IF($A10="","",I10&amp;J10&amp;K10&amp;L10&amp;M10&amp;N10&amp;O10&amp;P10&amp;Q10)</f>
        <v/>
      </c>
      <c r="I10" s="0" t="str">
        <f aca="false">IF(OR($A10="",$D10=""),"",IF(AND(EDATE($D10,Milestones!$AA$20)&lt;=AsOfDate,IF($R10=0,$X10,IF(AND($T10&lt;&gt;"",EDATE($D10,Milestones!$AA$20)&gt;=$T10),$W10,IF(AND($S10&lt;&gt;"",EDATE($D10,Milestones!$AA$20)&gt;=$S10),$V10,$U10)))=Milestones!$AB$20),UPPER(TEXT(EDATE($D10,Milestones!$AA$20),"dd mmm yy"))&amp;" "&amp;Milestones!$AB$20&amp;" "&amp;Milestones!$AC$20&amp;";  ","")&amp;IF(AND(EDATE($D10,Milestones!$AA$21)&lt;=AsOfDate,IF($R10=0,$X10,IF(AND($T10&lt;&gt;"",EDATE($D10,Milestones!$AA$21)&gt;=$T10),$W10,IF(AND($S10&lt;&gt;"",EDATE($D10,Milestones!$AA$21)&gt;=$S10),$V10,$U10)))=Milestones!$AB$21),UPPER(TEXT(EDATE($D10,Milestones!$AA$21),"dd mmm yy"))&amp;" "&amp;Milestones!$AB$21&amp;" "&amp;Milestones!$AC$21&amp;";  ","")&amp;IF(AND(EDATE($D10,Milestones!$AA$22)&lt;=AsOfDate,IF($R10=0,$X10,IF(AND($T10&lt;&gt;"",EDATE($D10,Milestones!$AA$22)&gt;=$T10),$W10,IF(AND($S10&lt;&gt;"",EDATE($D10,Milestones!$AA$22)&gt;=$S10),$V10,$U10)))=Milestones!$AB$22),UPPER(TEXT(EDATE($D10,Milestones!$AA$22),"dd mmm yy"))&amp;" "&amp;Milestones!$AB$22&amp;" "&amp;Milestones!$AC$22&amp;";  ","")&amp;IF(AND(EDATE($D10,Milestones!$AA$23)&lt;=AsOfDate,IF($R10=0,$X10,IF(AND($T10&lt;&gt;"",EDATE($D10,Milestones!$AA$23)&gt;=$T10),$W10,IF(AND($S10&lt;&gt;"",EDATE($D10,Milestones!$AA$23)&gt;=$S10),$V10,$U10)))=Milestones!$AB$23),UPPER(TEXT(EDATE($D10,Milestones!$AA$23),"dd mmm yy"))&amp;" "&amp;Milestones!$AB$23&amp;" "&amp;Milestones!$AC$23&amp;";  ","")&amp;IF(AND(EDATE($D10,Milestones!$AA$24)&lt;=AsOfDate,IF($R10=0,$X10,IF(AND($T10&lt;&gt;"",EDATE($D10,Milestones!$AA$24)&gt;=$T10),$W10,IF(AND($S10&lt;&gt;"",EDATE($D10,Milestones!$AA$24)&gt;=$S10),$V10,$U10)))=Milestones!$AB$24),UPPER(TEXT(EDATE($D10,Milestones!$AA$24),"dd mmm yy"))&amp;" "&amp;Milestones!$AB$24&amp;" "&amp;Milestones!$AC$24&amp;";  ","")&amp;IF(AND(EDATE($D10,Milestones!$AA$25)&lt;=AsOfDate,IF($R10=0,$X10,IF(AND($T10&lt;&gt;"",EDATE($D10,Milestones!$AA$25)&gt;=$T10),$W10,IF(AND($S10&lt;&gt;"",EDATE($D10,Milestones!$AA$25)&gt;=$S10),$V10,$U10)))=Milestones!$AB$25),UPPER(TEXT(EDATE($D10,Milestones!$AA$25),"dd mmm yy"))&amp;" "&amp;Milestones!$AB$25&amp;" "&amp;Milestones!$AC$25&amp;";  ","")&amp;IF(AND(EDATE($D10,Milestones!$AA$26)&lt;=AsOfDate,IF($R10=0,$X10,IF(AND($T10&lt;&gt;"",EDATE($D10,Milestones!$AA$26)&gt;=$T10),$W10,IF(AND($S10&lt;&gt;"",EDATE($D10,Milestones!$AA$26)&gt;=$S10),$V10,$U10)))=Milestones!$AB$26),UPPER(TEXT(EDATE($D10,Milestones!$AA$26),"dd mmm yy"))&amp;" "&amp;Milestones!$AB$26&amp;" "&amp;Milestones!$AC$26&amp;";  ","")&amp;IF(AND(EDATE($D10,Milestones!$AA$27)&lt;=AsOfDate,IF($R10=0,$X10,IF(AND($T10&lt;&gt;"",EDATE($D10,Milestones!$AA$27)&gt;=$T10),$W10,IF(AND($S10&lt;&gt;"",EDATE($D10,Milestones!$AA$27)&gt;=$S10),$V10,$U10)))=Milestones!$AB$27),UPPER(TEXT(EDATE($D10,Milestones!$AA$27),"dd mmm yy"))&amp;" "&amp;Milestones!$AB$27&amp;" "&amp;Milestones!$AC$27&amp;";  ","")&amp;IF(AND(EDATE($D10,Milestones!$AA$28)&lt;=AsOfDate,IF($R10=0,$X10,IF(AND($T10&lt;&gt;"",EDATE($D10,Milestones!$AA$28)&gt;=$T10),$W10,IF(AND($S10&lt;&gt;"",EDATE($D10,Milestones!$AA$28)&gt;=$S10),$V10,$U10)))=Milestones!$AB$28),UPPER(TEXT(EDATE($D10,Milestones!$AA$28),"dd mmm yy"))&amp;" "&amp;Milestones!$AB$28&amp;" "&amp;Milestones!$AC$28&amp;";  ","")&amp;IF(AND(EDATE($D10,Milestones!$AA$29)&lt;=AsOfDate,IF($R10=0,$X10,IF(AND($T10&lt;&gt;"",EDATE($D10,Milestones!$AA$29)&gt;=$T10),$W10,IF(AND($S10&lt;&gt;"",EDATE($D10,Milestones!$AA$29)&gt;=$S10),$V10,$U10)))=Milestones!$AB$29),UPPER(TEXT(EDATE($D10,Milestones!$AA$29),"dd mmm yy"))&amp;" "&amp;Milestones!$AB$29&amp;" "&amp;Milestones!$AC$29&amp;";  ","")&amp;IF(AND(EDATE($D10,Milestones!$AA$30)&lt;=AsOfDate,IF($R10=0,$X10,IF(AND($T10&lt;&gt;"",EDATE($D10,Milestones!$AA$30)&gt;=$T10),$W10,IF(AND($S10&lt;&gt;"",EDATE($D10,Milestones!$AA$30)&gt;=$S10),$V10,$U10)))=Milestones!$AB$30),UPPER(TEXT(EDATE($D10,Milestones!$AA$30),"dd mmm yy"))&amp;" "&amp;Milestones!$AB$30&amp;" "&amp;Milestones!$AC$30&amp;";  ","")&amp;IF(AND(EDATE($D10,Milestones!$AA$31)&lt;=AsOfDate,IF($R10=0,$X10,IF(AND($T10&lt;&gt;"",EDATE($D10,Milestones!$AA$31)&gt;=$T10),$W10,IF(AND($S10&lt;&gt;"",EDATE($D10,Milestones!$AA$31)&gt;=$S10),$V10,$U10)))=Milestones!$AB$31),UPPER(TEXT(EDATE($D10,Milestones!$AA$31),"dd mmm yy"))&amp;" "&amp;Milestones!$AB$31&amp;" "&amp;Milestones!$AC$31&amp;";  ","")&amp;IF(AND(EDATE($D10,Milestones!$AA$32)&lt;=AsOfDate,IF($R10=0,$X10,IF(AND($T10&lt;&gt;"",EDATE($D10,Milestones!$AA$32)&gt;=$T10),$W10,IF(AND($S10&lt;&gt;"",EDATE($D10,Milestones!$AA$32)&gt;=$S10),$V10,$U10)))=Milestones!$AB$32),UPPER(TEXT(EDATE($D10,Milestones!$AA$32),"dd mmm yy"))&amp;" "&amp;Milestones!$AB$32&amp;" "&amp;Milestones!$AC$32&amp;";  ","")&amp;IF(AND(EDATE($D10,Milestones!$AA$33)&lt;=AsOfDate,IF($R10=0,$X10,IF(AND($T10&lt;&gt;"",EDATE($D10,Milestones!$AA$33)&gt;=$T10),$W10,IF(AND($S10&lt;&gt;"",EDATE($D10,Milestones!$AA$33)&gt;=$S10),$V10,$U10)))=Milestones!$AB$33),UPPER(TEXT(EDATE($D10,Milestones!$AA$33),"dd mmm yy"))&amp;" "&amp;Milestones!$AB$33&amp;" "&amp;Milestones!$AC$33&amp;";  ","")&amp;IF(AND(EDATE($D10,Milestones!$AA$34)&lt;=AsOfDate,IF($R10=0,$X10,IF(AND($T10&lt;&gt;"",EDATE($D10,Milestones!$AA$34)&gt;=$T10),$W10,IF(AND($S10&lt;&gt;"",EDATE($D10,Milestones!$AA$34)&gt;=$S10),$V10,$U10)))=Milestones!$AB$34),UPPER(TEXT(EDATE($D10,Milestones!$AA$34),"dd mmm yy"))&amp;" "&amp;Milestones!$AB$34&amp;" "&amp;Milestones!$AC$34&amp;";  ","")&amp;IF(AND(EDATE($D10,Milestones!$AA$35)&lt;=AsOfDate,IF($R10=0,$X10,IF(AND($T10&lt;&gt;"",EDATE($D10,Milestones!$AA$35)&gt;=$T10),$W10,IF(AND($S10&lt;&gt;"",EDATE($D10,Milestones!$AA$35)&gt;=$S10),$V10,$U10)))=Milestones!$AB$35),UPPER(TEXT(EDATE($D10,Milestones!$AA$35),"dd mmm yy"))&amp;" "&amp;Milestones!$AB$35&amp;" "&amp;Milestones!$AC$35&amp;";  ","")&amp;IF(AND(EDATE($D10,Milestones!$AA$36)&lt;=AsOfDate,IF($R10=0,$X10,IF(AND($T10&lt;&gt;"",EDATE($D10,Milestones!$AA$36)&gt;=$T10),$W10,IF(AND($S10&lt;&gt;"",EDATE($D10,Milestones!$AA$36)&gt;=$S10),$V10,$U10)))=Milestones!$AB$36),UPPER(TEXT(EDATE($D10,Milestones!$AA$36),"dd mmm yy"))&amp;" "&amp;Milestones!$AB$36&amp;" "&amp;Milestones!$AC$36&amp;";  ","")&amp;IF(AND(EDATE($D10,Milestones!$AA$37)&lt;=AsOfDate,IF($R10=0,$X10,IF(AND($T10&lt;&gt;"",EDATE($D10,Milestones!$AA$37)&gt;=$T10),$W10,IF(AND($S10&lt;&gt;"",EDATE($D10,Milestones!$AA$37)&gt;=$S10),$V10,$U10)))=Milestones!$AB$37),UPPER(TEXT(EDATE($D10,Milestones!$AA$37),"dd mmm yy"))&amp;" "&amp;Milestones!$AB$37&amp;" "&amp;Milestones!$AC$37&amp;";  ","")&amp;IF(AND(EDATE($D10,Milestones!$AA$38)&lt;=AsOfDate,IF($R10=0,$X10,IF(AND($T10&lt;&gt;"",EDATE($D10,Milestones!$AA$38)&gt;=$T10),$W10,IF(AND($S10&lt;&gt;"",EDATE($D10,Milestones!$AA$38)&gt;=$S10),$V10,$U10)))=Milestones!$AB$38),UPPER(TEXT(EDATE($D10,Milestones!$AA$38),"dd mmm yy"))&amp;" "&amp;Milestones!$AB$38&amp;" "&amp;Milestones!$AC$38&amp;";  ","")&amp;IF(AND(EDATE($D10,Milestones!$AA$39)&lt;=AsOfDate,IF($R10=0,$X10,IF(AND($T10&lt;&gt;"",EDATE($D10,Milestones!$AA$39)&gt;=$T10),$W10,IF(AND($S10&lt;&gt;"",EDATE($D10,Milestones!$AA$39)&gt;=$S10),$V10,$U10)))=Milestones!$AB$39),UPPER(TEXT(EDATE($D10,Milestones!$AA$39),"dd mmm yy"))&amp;" "&amp;Milestones!$AB$39&amp;" "&amp;Milestones!$AC$39&amp;";  ",""))</f>
        <v/>
      </c>
      <c r="J10" s="0" t="str">
        <f aca="false">IF(OR($A10="",$D10=""),"",IF(AND(EDATE($D10,Milestones!$AA$40)&lt;=AsOfDate,IF($R10=0,$X10,IF(AND($T10&lt;&gt;"",EDATE($D10,Milestones!$AA$40)&gt;=$T10),$W10,IF(AND($S10&lt;&gt;"",EDATE($D10,Milestones!$AA$40)&gt;=$S10),$V10,$U10)))=Milestones!$AB$40),UPPER(TEXT(EDATE($D10,Milestones!$AA$40),"dd mmm yy"))&amp;" "&amp;Milestones!$AB$40&amp;" "&amp;Milestones!$AC$40&amp;";  ","")&amp;IF(AND(EDATE($D10,Milestones!$AA$41)&lt;=AsOfDate,IF($R10=0,$X10,IF(AND($T10&lt;&gt;"",EDATE($D10,Milestones!$AA$41)&gt;=$T10),$W10,IF(AND($S10&lt;&gt;"",EDATE($D10,Milestones!$AA$41)&gt;=$S10),$V10,$U10)))=Milestones!$AB$41),UPPER(TEXT(EDATE($D10,Milestones!$AA$41),"dd mmm yy"))&amp;" "&amp;Milestones!$AB$41&amp;" "&amp;Milestones!$AC$41&amp;";  ","")&amp;IF(AND(EDATE($D10,Milestones!$AA$42)&lt;=AsOfDate,IF($R10=0,$X10,IF(AND($T10&lt;&gt;"",EDATE($D10,Milestones!$AA$42)&gt;=$T10),$W10,IF(AND($S10&lt;&gt;"",EDATE($D10,Milestones!$AA$42)&gt;=$S10),$V10,$U10)))=Milestones!$AB$42),UPPER(TEXT(EDATE($D10,Milestones!$AA$42),"dd mmm yy"))&amp;" "&amp;Milestones!$AB$42&amp;" "&amp;Milestones!$AC$42&amp;";  ","")&amp;IF(AND(EDATE($D10,Milestones!$AA$43)&lt;=AsOfDate,IF($R10=0,$X10,IF(AND($T10&lt;&gt;"",EDATE($D10,Milestones!$AA$43)&gt;=$T10),$W10,IF(AND($S10&lt;&gt;"",EDATE($D10,Milestones!$AA$43)&gt;=$S10),$V10,$U10)))=Milestones!$AB$43),UPPER(TEXT(EDATE($D10,Milestones!$AA$43),"dd mmm yy"))&amp;" "&amp;Milestones!$AB$43&amp;" "&amp;Milestones!$AC$43&amp;";  ","")&amp;IF(AND(EDATE($D10,Milestones!$AA$44)&lt;=AsOfDate,IF($R10=0,$X10,IF(AND($T10&lt;&gt;"",EDATE($D10,Milestones!$AA$44)&gt;=$T10),$W10,IF(AND($S10&lt;&gt;"",EDATE($D10,Milestones!$AA$44)&gt;=$S10),$V10,$U10)))=Milestones!$AB$44),UPPER(TEXT(EDATE($D10,Milestones!$AA$44),"dd mmm yy"))&amp;" "&amp;Milestones!$AB$44&amp;" "&amp;Milestones!$AC$44&amp;";  ","")&amp;IF(AND(EDATE($D10,Milestones!$AA$45)&lt;=AsOfDate,IF($R10=0,$X10,IF(AND($T10&lt;&gt;"",EDATE($D10,Milestones!$AA$45)&gt;=$T10),$W10,IF(AND($S10&lt;&gt;"",EDATE($D10,Milestones!$AA$45)&gt;=$S10),$V10,$U10)))=Milestones!$AB$45),UPPER(TEXT(EDATE($D10,Milestones!$AA$45),"dd mmm yy"))&amp;" "&amp;Milestones!$AB$45&amp;" "&amp;Milestones!$AC$45&amp;";  ","")&amp;IF(AND(EDATE($D10,Milestones!$AA$46)&lt;=AsOfDate,IF($R10=0,$X10,IF(AND($T10&lt;&gt;"",EDATE($D10,Milestones!$AA$46)&gt;=$T10),$W10,IF(AND($S10&lt;&gt;"",EDATE($D10,Milestones!$AA$46)&gt;=$S10),$V10,$U10)))=Milestones!$AB$46),UPPER(TEXT(EDATE($D10,Milestones!$AA$46),"dd mmm yy"))&amp;" "&amp;Milestones!$AB$46&amp;" "&amp;Milestones!$AC$46&amp;";  ","")&amp;IF(AND(EDATE($D10,Milestones!$AA$47)&lt;=AsOfDate,IF($R10=0,$X10,IF(AND($T10&lt;&gt;"",EDATE($D10,Milestones!$AA$47)&gt;=$T10),$W10,IF(AND($S10&lt;&gt;"",EDATE($D10,Milestones!$AA$47)&gt;=$S10),$V10,$U10)))=Milestones!$AB$47),UPPER(TEXT(EDATE($D10,Milestones!$AA$47),"dd mmm yy"))&amp;" "&amp;Milestones!$AB$47&amp;" "&amp;Milestones!$AC$47&amp;";  ","")&amp;IF(AND(EDATE($D10,Milestones!$AA$48)&lt;=AsOfDate,IF($R10=0,$X10,IF(AND($T10&lt;&gt;"",EDATE($D10,Milestones!$AA$48)&gt;=$T10),$W10,IF(AND($S10&lt;&gt;"",EDATE($D10,Milestones!$AA$48)&gt;=$S10),$V10,$U10)))=Milestones!$AB$48),UPPER(TEXT(EDATE($D10,Milestones!$AA$48),"dd mmm yy"))&amp;" "&amp;Milestones!$AB$48&amp;" "&amp;Milestones!$AC$48&amp;";  ","")&amp;IF(AND(EDATE($D10,Milestones!$AA$49)&lt;=AsOfDate,IF($R10=0,$X10,IF(AND($T10&lt;&gt;"",EDATE($D10,Milestones!$AA$49)&gt;=$T10),$W10,IF(AND($S10&lt;&gt;"",EDATE($D10,Milestones!$AA$49)&gt;=$S10),$V10,$U10)))=Milestones!$AB$49),UPPER(TEXT(EDATE($D10,Milestones!$AA$49),"dd mmm yy"))&amp;" "&amp;Milestones!$AB$49&amp;" "&amp;Milestones!$AC$49&amp;";  ","")&amp;IF(AND(EDATE($D10,Milestones!$AA$50)&lt;=AsOfDate,IF($R10=0,$X10,IF(AND($T10&lt;&gt;"",EDATE($D10,Milestones!$AA$50)&gt;=$T10),$W10,IF(AND($S10&lt;&gt;"",EDATE($D10,Milestones!$AA$50)&gt;=$S10),$V10,$U10)))=Milestones!$AB$50),UPPER(TEXT(EDATE($D10,Milestones!$AA$50),"dd mmm yy"))&amp;" "&amp;Milestones!$AB$50&amp;" "&amp;Milestones!$AC$50&amp;";  ","")&amp;IF(AND(EDATE($D10,Milestones!$AA$51)&lt;=AsOfDate,IF($R10=0,$X10,IF(AND($T10&lt;&gt;"",EDATE($D10,Milestones!$AA$51)&gt;=$T10),$W10,IF(AND($S10&lt;&gt;"",EDATE($D10,Milestones!$AA$51)&gt;=$S10),$V10,$U10)))=Milestones!$AB$51),UPPER(TEXT(EDATE($D10,Milestones!$AA$51),"dd mmm yy"))&amp;" "&amp;Milestones!$AB$51&amp;" "&amp;Milestones!$AC$51&amp;";  ","")&amp;IF(AND(EDATE($D10,Milestones!$AA$52)&lt;=AsOfDate,IF($R10=0,$X10,IF(AND($T10&lt;&gt;"",EDATE($D10,Milestones!$AA$52)&gt;=$T10),$W10,IF(AND($S10&lt;&gt;"",EDATE($D10,Milestones!$AA$52)&gt;=$S10),$V10,$U10)))=Milestones!$AB$52),UPPER(TEXT(EDATE($D10,Milestones!$AA$52),"dd mmm yy"))&amp;" "&amp;Milestones!$AB$52&amp;" "&amp;Milestones!$AC$52&amp;";  ","")&amp;IF(AND(EDATE($D10,Milestones!$AA$53)&lt;=AsOfDate,IF($R10=0,$X10,IF(AND($T10&lt;&gt;"",EDATE($D10,Milestones!$AA$53)&gt;=$T10),$W10,IF(AND($S10&lt;&gt;"",EDATE($D10,Milestones!$AA$53)&gt;=$S10),$V10,$U10)))=Milestones!$AB$53),UPPER(TEXT(EDATE($D10,Milestones!$AA$53),"dd mmm yy"))&amp;" "&amp;Milestones!$AB$53&amp;" "&amp;Milestones!$AC$53&amp;";  ","")&amp;IF(AND(EDATE($D10,Milestones!$AA$54)&lt;=AsOfDate,IF($R10=0,$X10,IF(AND($T10&lt;&gt;"",EDATE($D10,Milestones!$AA$54)&gt;=$T10),$W10,IF(AND($S10&lt;&gt;"",EDATE($D10,Milestones!$AA$54)&gt;=$S10),$V10,$U10)))=Milestones!$AB$54),UPPER(TEXT(EDATE($D10,Milestones!$AA$54),"dd mmm yy"))&amp;" "&amp;Milestones!$AB$54&amp;" "&amp;Milestones!$AC$54&amp;";  ","")&amp;IF(AND(EDATE($D10,Milestones!$AA$55)&lt;=AsOfDate,IF($R10=0,$X10,IF(AND($T10&lt;&gt;"",EDATE($D10,Milestones!$AA$55)&gt;=$T10),$W10,IF(AND($S10&lt;&gt;"",EDATE($D10,Milestones!$AA$55)&gt;=$S10),$V10,$U10)))=Milestones!$AB$55),UPPER(TEXT(EDATE($D10,Milestones!$AA$55),"dd mmm yy"))&amp;" "&amp;Milestones!$AB$55&amp;" "&amp;Milestones!$AC$55&amp;";  ","")&amp;IF(AND(EDATE($D10,Milestones!$AA$56)&lt;=AsOfDate,IF($R10=0,$X10,IF(AND($T10&lt;&gt;"",EDATE($D10,Milestones!$AA$56)&gt;=$T10),$W10,IF(AND($S10&lt;&gt;"",EDATE($D10,Milestones!$AA$56)&gt;=$S10),$V10,$U10)))=Milestones!$AB$56),UPPER(TEXT(EDATE($D10,Milestones!$AA$56),"dd mmm yy"))&amp;" "&amp;Milestones!$AB$56&amp;" "&amp;Milestones!$AC$56&amp;";  ","")&amp;IF(AND(EDATE($D10,Milestones!$AA$57)&lt;=AsOfDate,IF($R10=0,$X10,IF(AND($T10&lt;&gt;"",EDATE($D10,Milestones!$AA$57)&gt;=$T10),$W10,IF(AND($S10&lt;&gt;"",EDATE($D10,Milestones!$AA$57)&gt;=$S10),$V10,$U10)))=Milestones!$AB$57),UPPER(TEXT(EDATE($D10,Milestones!$AA$57),"dd mmm yy"))&amp;" "&amp;Milestones!$AB$57&amp;" "&amp;Milestones!$AC$57&amp;";  ","")&amp;IF(AND(EDATE($D10,Milestones!$AA$58)&lt;=AsOfDate,IF($R10=0,$X10,IF(AND($T10&lt;&gt;"",EDATE($D10,Milestones!$AA$58)&gt;=$T10),$W10,IF(AND($S10&lt;&gt;"",EDATE($D10,Milestones!$AA$58)&gt;=$S10),$V10,$U10)))=Milestones!$AB$58),UPPER(TEXT(EDATE($D10,Milestones!$AA$58),"dd mmm yy"))&amp;" "&amp;Milestones!$AB$58&amp;" "&amp;Milestones!$AC$58&amp;";  ","")&amp;IF(AND(EDATE($D10,Milestones!$AA$59)&lt;=AsOfDate,IF($R10=0,$X10,IF(AND($T10&lt;&gt;"",EDATE($D10,Milestones!$AA$59)&gt;=$T10),$W10,IF(AND($S10&lt;&gt;"",EDATE($D10,Milestones!$AA$59)&gt;=$S10),$V10,$U10)))=Milestones!$AB$59),UPPER(TEXT(EDATE($D10,Milestones!$AA$59),"dd mmm yy"))&amp;" "&amp;Milestones!$AB$59&amp;" "&amp;Milestones!$AC$59&amp;";  ",""))</f>
        <v/>
      </c>
      <c r="K10" s="0" t="str">
        <f aca="false">IF(OR($A10="",$D10=""),"",IF(AND(EDATE($D10,Milestones!$AA$60)&lt;=AsOfDate,IF($R10=0,$X10,IF(AND($T10&lt;&gt;"",EDATE($D10,Milestones!$AA$60)&gt;=$T10),$W10,IF(AND($S10&lt;&gt;"",EDATE($D10,Milestones!$AA$60)&gt;=$S10),$V10,$U10)))=Milestones!$AB$60),UPPER(TEXT(EDATE($D10,Milestones!$AA$60),"dd mmm yy"))&amp;" "&amp;Milestones!$AB$60&amp;" "&amp;Milestones!$AC$60&amp;";  ","")&amp;IF(AND(EDATE($D10,Milestones!$AA$61)&lt;=AsOfDate,IF($R10=0,$X10,IF(AND($T10&lt;&gt;"",EDATE($D10,Milestones!$AA$61)&gt;=$T10),$W10,IF(AND($S10&lt;&gt;"",EDATE($D10,Milestones!$AA$61)&gt;=$S10),$V10,$U10)))=Milestones!$AB$61),UPPER(TEXT(EDATE($D10,Milestones!$AA$61),"dd mmm yy"))&amp;" "&amp;Milestones!$AB$61&amp;" "&amp;Milestones!$AC$61&amp;";  ","")&amp;IF(AND(EDATE($D10,Milestones!$AA$62)&lt;=AsOfDate,IF($R10=0,$X10,IF(AND($T10&lt;&gt;"",EDATE($D10,Milestones!$AA$62)&gt;=$T10),$W10,IF(AND($S10&lt;&gt;"",EDATE($D10,Milestones!$AA$62)&gt;=$S10),$V10,$U10)))=Milestones!$AB$62),UPPER(TEXT(EDATE($D10,Milestones!$AA$62),"dd mmm yy"))&amp;" "&amp;Milestones!$AB$62&amp;" "&amp;Milestones!$AC$62&amp;";  ","")&amp;IF(AND(EDATE($D10,Milestones!$AA$63)&lt;=AsOfDate,IF($R10=0,$X10,IF(AND($T10&lt;&gt;"",EDATE($D10,Milestones!$AA$63)&gt;=$T10),$W10,IF(AND($S10&lt;&gt;"",EDATE($D10,Milestones!$AA$63)&gt;=$S10),$V10,$U10)))=Milestones!$AB$63),UPPER(TEXT(EDATE($D10,Milestones!$AA$63),"dd mmm yy"))&amp;" "&amp;Milestones!$AB$63&amp;" "&amp;Milestones!$AC$63&amp;";  ","")&amp;IF(AND(EDATE($D10,Milestones!$AA$64)&lt;=AsOfDate,IF($R10=0,$X10,IF(AND($T10&lt;&gt;"",EDATE($D10,Milestones!$AA$64)&gt;=$T10),$W10,IF(AND($S10&lt;&gt;"",EDATE($D10,Milestones!$AA$64)&gt;=$S10),$V10,$U10)))=Milestones!$AB$64),UPPER(TEXT(EDATE($D10,Milestones!$AA$64),"dd mmm yy"))&amp;" "&amp;Milestones!$AB$64&amp;" "&amp;Milestones!$AC$64&amp;";  ","")&amp;IF(AND(EDATE($D10,Milestones!$AA$65)&lt;=AsOfDate,IF($R10=0,$X10,IF(AND($T10&lt;&gt;"",EDATE($D10,Milestones!$AA$65)&gt;=$T10),$W10,IF(AND($S10&lt;&gt;"",EDATE($D10,Milestones!$AA$65)&gt;=$S10),$V10,$U10)))=Milestones!$AB$65),UPPER(TEXT(EDATE($D10,Milestones!$AA$65),"dd mmm yy"))&amp;" "&amp;Milestones!$AB$65&amp;" "&amp;Milestones!$AC$65&amp;";  ","")&amp;IF(AND(EDATE($D10,Milestones!$AA$66)&lt;=AsOfDate,IF($R10=0,$X10,IF(AND($T10&lt;&gt;"",EDATE($D10,Milestones!$AA$66)&gt;=$T10),$W10,IF(AND($S10&lt;&gt;"",EDATE($D10,Milestones!$AA$66)&gt;=$S10),$V10,$U10)))=Milestones!$AB$66),UPPER(TEXT(EDATE($D10,Milestones!$AA$66),"dd mmm yy"))&amp;" "&amp;Milestones!$AB$66&amp;" "&amp;Milestones!$AC$66&amp;";  ","")&amp;IF(AND(EDATE($D10,Milestones!$AA$67)&lt;=AsOfDate,IF($R10=0,$X10,IF(AND($T10&lt;&gt;"",EDATE($D10,Milestones!$AA$67)&gt;=$T10),$W10,IF(AND($S10&lt;&gt;"",EDATE($D10,Milestones!$AA$67)&gt;=$S10),$V10,$U10)))=Milestones!$AB$67),UPPER(TEXT(EDATE($D10,Milestones!$AA$67),"dd mmm yy"))&amp;" "&amp;Milestones!$AB$67&amp;" "&amp;Milestones!$AC$67&amp;";  ","")&amp;IF(AND(EDATE($D10,Milestones!$AA$68)&lt;=AsOfDate,IF($R10=0,$X10,IF(AND($T10&lt;&gt;"",EDATE($D10,Milestones!$AA$68)&gt;=$T10),$W10,IF(AND($S10&lt;&gt;"",EDATE($D10,Milestones!$AA$68)&gt;=$S10),$V10,$U10)))=Milestones!$AB$68),UPPER(TEXT(EDATE($D10,Milestones!$AA$68),"dd mmm yy"))&amp;" "&amp;Milestones!$AB$68&amp;" "&amp;Milestones!$AC$68&amp;";  ","")&amp;IF(AND(EDATE($D10,Milestones!$AA$69)&lt;=AsOfDate,IF($R10=0,$X10,IF(AND($T10&lt;&gt;"",EDATE($D10,Milestones!$AA$69)&gt;=$T10),$W10,IF(AND($S10&lt;&gt;"",EDATE($D10,Milestones!$AA$69)&gt;=$S10),$V10,$U10)))=Milestones!$AB$69),UPPER(TEXT(EDATE($D10,Milestones!$AA$69),"dd mmm yy"))&amp;" "&amp;Milestones!$AB$69&amp;" "&amp;Milestones!$AC$69&amp;";  ","")&amp;IF(AND(EDATE($D10,Milestones!$AA$70)&lt;=AsOfDate,IF($R10=0,$X10,IF(AND($T10&lt;&gt;"",EDATE($D10,Milestones!$AA$70)&gt;=$T10),$W10,IF(AND($S10&lt;&gt;"",EDATE($D10,Milestones!$AA$70)&gt;=$S10),$V10,$U10)))=Milestones!$AB$70),UPPER(TEXT(EDATE($D10,Milestones!$AA$70),"dd mmm yy"))&amp;" "&amp;Milestones!$AB$70&amp;" "&amp;Milestones!$AC$70&amp;";  ","")&amp;IF(AND(EDATE($D10,Milestones!$AA$71)&lt;=AsOfDate,IF($R10=0,$X10,IF(AND($T10&lt;&gt;"",EDATE($D10,Milestones!$AA$71)&gt;=$T10),$W10,IF(AND($S10&lt;&gt;"",EDATE($D10,Milestones!$AA$71)&gt;=$S10),$V10,$U10)))=Milestones!$AB$71),UPPER(TEXT(EDATE($D10,Milestones!$AA$71),"dd mmm yy"))&amp;" "&amp;Milestones!$AB$71&amp;" "&amp;Milestones!$AC$71&amp;";  ","")&amp;IF(AND(EDATE($D10,Milestones!$AA$72)&lt;=AsOfDate,IF($R10=0,$X10,IF(AND($T10&lt;&gt;"",EDATE($D10,Milestones!$AA$72)&gt;=$T10),$W10,IF(AND($S10&lt;&gt;"",EDATE($D10,Milestones!$AA$72)&gt;=$S10),$V10,$U10)))=Milestones!$AB$72),UPPER(TEXT(EDATE($D10,Milestones!$AA$72),"dd mmm yy"))&amp;" "&amp;Milestones!$AB$72&amp;" "&amp;Milestones!$AC$72&amp;";  ","")&amp;IF(AND(EDATE($D10,Milestones!$AA$73)&lt;=AsOfDate,IF($R10=0,$X10,IF(AND($T10&lt;&gt;"",EDATE($D10,Milestones!$AA$73)&gt;=$T10),$W10,IF(AND($S10&lt;&gt;"",EDATE($D10,Milestones!$AA$73)&gt;=$S10),$V10,$U10)))=Milestones!$AB$73),UPPER(TEXT(EDATE($D10,Milestones!$AA$73),"dd mmm yy"))&amp;" "&amp;Milestones!$AB$73&amp;" "&amp;Milestones!$AC$73&amp;";  ","")&amp;IF(AND(EDATE($D10,Milestones!$AA$74)&lt;=AsOfDate,IF($R10=0,$X10,IF(AND($T10&lt;&gt;"",EDATE($D10,Milestones!$AA$74)&gt;=$T10),$W10,IF(AND($S10&lt;&gt;"",EDATE($D10,Milestones!$AA$74)&gt;=$S10),$V10,$U10)))=Milestones!$AB$74),UPPER(TEXT(EDATE($D10,Milestones!$AA$74),"dd mmm yy"))&amp;" "&amp;Milestones!$AB$74&amp;" "&amp;Milestones!$AC$74&amp;";  ","")&amp;IF(AND(EDATE($D10,Milestones!$AA$75)&lt;=AsOfDate,IF($R10=0,$X10,IF(AND($T10&lt;&gt;"",EDATE($D10,Milestones!$AA$75)&gt;=$T10),$W10,IF(AND($S10&lt;&gt;"",EDATE($D10,Milestones!$AA$75)&gt;=$S10),$V10,$U10)))=Milestones!$AB$75),UPPER(TEXT(EDATE($D10,Milestones!$AA$75),"dd mmm yy"))&amp;" "&amp;Milestones!$AB$75&amp;" "&amp;Milestones!$AC$75&amp;";  ","")&amp;IF(AND(EDATE($D10,Milestones!$AA$76)&lt;=AsOfDate,IF($R10=0,$X10,IF(AND($T10&lt;&gt;"",EDATE($D10,Milestones!$AA$76)&gt;=$T10),$W10,IF(AND($S10&lt;&gt;"",EDATE($D10,Milestones!$AA$76)&gt;=$S10),$V10,$U10)))=Milestones!$AB$76),UPPER(TEXT(EDATE($D10,Milestones!$AA$76),"dd mmm yy"))&amp;" "&amp;Milestones!$AB$76&amp;" "&amp;Milestones!$AC$76&amp;";  ","")&amp;IF(AND(EDATE($D10,Milestones!$AA$77)&lt;=AsOfDate,IF($R10=0,$X10,IF(AND($T10&lt;&gt;"",EDATE($D10,Milestones!$AA$77)&gt;=$T10),$W10,IF(AND($S10&lt;&gt;"",EDATE($D10,Milestones!$AA$77)&gt;=$S10),$V10,$U10)))=Milestones!$AB$77),UPPER(TEXT(EDATE($D10,Milestones!$AA$77),"dd mmm yy"))&amp;" "&amp;Milestones!$AB$77&amp;" "&amp;Milestones!$AC$77&amp;";  ","")&amp;IF(AND(EDATE($D10,Milestones!$AA$78)&lt;=AsOfDate,IF($R10=0,$X10,IF(AND($T10&lt;&gt;"",EDATE($D10,Milestones!$AA$78)&gt;=$T10),$W10,IF(AND($S10&lt;&gt;"",EDATE($D10,Milestones!$AA$78)&gt;=$S10),$V10,$U10)))=Milestones!$AB$78),UPPER(TEXT(EDATE($D10,Milestones!$AA$78),"dd mmm yy"))&amp;" "&amp;Milestones!$AB$78&amp;" "&amp;Milestones!$AC$78&amp;";  ","")&amp;IF(AND(EDATE($D10,Milestones!$AA$79)&lt;=AsOfDate,IF($R10=0,$X10,IF(AND($T10&lt;&gt;"",EDATE($D10,Milestones!$AA$79)&gt;=$T10),$W10,IF(AND($S10&lt;&gt;"",EDATE($D10,Milestones!$AA$79)&gt;=$S10),$V10,$U10)))=Milestones!$AB$79),UPPER(TEXT(EDATE($D10,Milestones!$AA$79),"dd mmm yy"))&amp;" "&amp;Milestones!$AB$79&amp;" "&amp;Milestones!$AC$79&amp;";  ",""))</f>
        <v/>
      </c>
      <c r="L10" s="0" t="str">
        <f aca="false">IF(OR($A10="",$D10=""),"",IF(AND(EDATE($D10,Milestones!$AA$80)&lt;=AsOfDate,IF($R10=0,$X10,IF(AND($T10&lt;&gt;"",EDATE($D10,Milestones!$AA$80)&gt;=$T10),$W10,IF(AND($S10&lt;&gt;"",EDATE($D10,Milestones!$AA$80)&gt;=$S10),$V10,$U10)))=Milestones!$AB$80),UPPER(TEXT(EDATE($D10,Milestones!$AA$80),"dd mmm yy"))&amp;" "&amp;Milestones!$AB$80&amp;" "&amp;Milestones!$AC$80&amp;";  ","")&amp;IF(AND(EDATE($D10,Milestones!$AA$81)&lt;=AsOfDate,IF($R10=0,$X10,IF(AND($T10&lt;&gt;"",EDATE($D10,Milestones!$AA$81)&gt;=$T10),$W10,IF(AND($S10&lt;&gt;"",EDATE($D10,Milestones!$AA$81)&gt;=$S10),$V10,$U10)))=Milestones!$AB$81),UPPER(TEXT(EDATE($D10,Milestones!$AA$81),"dd mmm yy"))&amp;" "&amp;Milestones!$AB$81&amp;" "&amp;Milestones!$AC$81&amp;";  ","")&amp;IF(AND(EDATE($D10,Milestones!$AA$82)&lt;=AsOfDate,IF($R10=0,$X10,IF(AND($T10&lt;&gt;"",EDATE($D10,Milestones!$AA$82)&gt;=$T10),$W10,IF(AND($S10&lt;&gt;"",EDATE($D10,Milestones!$AA$82)&gt;=$S10),$V10,$U10)))=Milestones!$AB$82),UPPER(TEXT(EDATE($D10,Milestones!$AA$82),"dd mmm yy"))&amp;" "&amp;Milestones!$AB$82&amp;" "&amp;Milestones!$AC$82&amp;";  ","")&amp;IF(AND(EDATE($D10,Milestones!$AA$83)&lt;=AsOfDate,IF($R10=0,$X10,IF(AND($T10&lt;&gt;"",EDATE($D10,Milestones!$AA$83)&gt;=$T10),$W10,IF(AND($S10&lt;&gt;"",EDATE($D10,Milestones!$AA$83)&gt;=$S10),$V10,$U10)))=Milestones!$AB$83),UPPER(TEXT(EDATE($D10,Milestones!$AA$83),"dd mmm yy"))&amp;" "&amp;Milestones!$AB$83&amp;" "&amp;Milestones!$AC$83&amp;";  ","")&amp;IF(AND(EDATE($D10,Milestones!$AA$84)&lt;=AsOfDate,IF($R10=0,$X10,IF(AND($T10&lt;&gt;"",EDATE($D10,Milestones!$AA$84)&gt;=$T10),$W10,IF(AND($S10&lt;&gt;"",EDATE($D10,Milestones!$AA$84)&gt;=$S10),$V10,$U10)))=Milestones!$AB$84),UPPER(TEXT(EDATE($D10,Milestones!$AA$84),"dd mmm yy"))&amp;" "&amp;Milestones!$AB$84&amp;" "&amp;Milestones!$AC$84&amp;";  ","")&amp;IF(AND(EDATE($D10,Milestones!$AA$85)&lt;=AsOfDate,IF($R10=0,$X10,IF(AND($T10&lt;&gt;"",EDATE($D10,Milestones!$AA$85)&gt;=$T10),$W10,IF(AND($S10&lt;&gt;"",EDATE($D10,Milestones!$AA$85)&gt;=$S10),$V10,$U10)))=Milestones!$AB$85),UPPER(TEXT(EDATE($D10,Milestones!$AA$85),"dd mmm yy"))&amp;" "&amp;Milestones!$AB$85&amp;" "&amp;Milestones!$AC$85&amp;";  ","")&amp;IF(AND(EDATE($D10,Milestones!$AA$86)&lt;=AsOfDate,IF($R10=0,$X10,IF(AND($T10&lt;&gt;"",EDATE($D10,Milestones!$AA$86)&gt;=$T10),$W10,IF(AND($S10&lt;&gt;"",EDATE($D10,Milestones!$AA$86)&gt;=$S10),$V10,$U10)))=Milestones!$AB$86),UPPER(TEXT(EDATE($D10,Milestones!$AA$86),"dd mmm yy"))&amp;" "&amp;Milestones!$AB$86&amp;" "&amp;Milestones!$AC$86&amp;";  ","")&amp;IF(AND(EDATE($D10,Milestones!$AA$87)&lt;=AsOfDate,IF($R10=0,$X10,IF(AND($T10&lt;&gt;"",EDATE($D10,Milestones!$AA$87)&gt;=$T10),$W10,IF(AND($S10&lt;&gt;"",EDATE($D10,Milestones!$AA$87)&gt;=$S10),$V10,$U10)))=Milestones!$AB$87),UPPER(TEXT(EDATE($D10,Milestones!$AA$87),"dd mmm yy"))&amp;" "&amp;Milestones!$AB$87&amp;" "&amp;Milestones!$AC$87&amp;";  ","")&amp;IF(AND(EDATE($D10,Milestones!$AA$88)&lt;=AsOfDate,IF($R10=0,$X10,IF(AND($T10&lt;&gt;"",EDATE($D10,Milestones!$AA$88)&gt;=$T10),$W10,IF(AND($S10&lt;&gt;"",EDATE($D10,Milestones!$AA$88)&gt;=$S10),$V10,$U10)))=Milestones!$AB$88),UPPER(TEXT(EDATE($D10,Milestones!$AA$88),"dd mmm yy"))&amp;" "&amp;Milestones!$AB$88&amp;" "&amp;Milestones!$AC$88&amp;";  ","")&amp;IF(AND(EDATE($D10,Milestones!$AA$89)&lt;=AsOfDate,IF($R10=0,$X10,IF(AND($T10&lt;&gt;"",EDATE($D10,Milestones!$AA$89)&gt;=$T10),$W10,IF(AND($S10&lt;&gt;"",EDATE($D10,Milestones!$AA$89)&gt;=$S10),$V10,$U10)))=Milestones!$AB$89),UPPER(TEXT(EDATE($D10,Milestones!$AA$89),"dd mmm yy"))&amp;" "&amp;Milestones!$AB$89&amp;" "&amp;Milestones!$AC$89&amp;";  ","")&amp;IF(AND(EDATE($D10,Milestones!$AA$90)&lt;=AsOfDate,IF($R10=0,$X10,IF(AND($T10&lt;&gt;"",EDATE($D10,Milestones!$AA$90)&gt;=$T10),$W10,IF(AND($S10&lt;&gt;"",EDATE($D10,Milestones!$AA$90)&gt;=$S10),$V10,$U10)))=Milestones!$AB$90),UPPER(TEXT(EDATE($D10,Milestones!$AA$90),"dd mmm yy"))&amp;" "&amp;Milestones!$AB$90&amp;" "&amp;Milestones!$AC$90&amp;";  ","")&amp;IF(AND(EDATE($D10,Milestones!$AA$91)&lt;=AsOfDate,IF($R10=0,$X10,IF(AND($T10&lt;&gt;"",EDATE($D10,Milestones!$AA$91)&gt;=$T10),$W10,IF(AND($S10&lt;&gt;"",EDATE($D10,Milestones!$AA$91)&gt;=$S10),$V10,$U10)))=Milestones!$AB$91),UPPER(TEXT(EDATE($D10,Milestones!$AA$91),"dd mmm yy"))&amp;" "&amp;Milestones!$AB$91&amp;" "&amp;Milestones!$AC$91&amp;";  ","")&amp;IF(AND(EDATE($D10,Milestones!$AA$92)&lt;=AsOfDate,IF($R10=0,$X10,IF(AND($T10&lt;&gt;"",EDATE($D10,Milestones!$AA$92)&gt;=$T10),$W10,IF(AND($S10&lt;&gt;"",EDATE($D10,Milestones!$AA$92)&gt;=$S10),$V10,$U10)))=Milestones!$AB$92),UPPER(TEXT(EDATE($D10,Milestones!$AA$92),"dd mmm yy"))&amp;" "&amp;Milestones!$AB$92&amp;" "&amp;Milestones!$AC$92&amp;";  ","")&amp;IF(AND(EDATE($D10,Milestones!$AA$93)&lt;=AsOfDate,IF($R10=0,$X10,IF(AND($T10&lt;&gt;"",EDATE($D10,Milestones!$AA$93)&gt;=$T10),$W10,IF(AND($S10&lt;&gt;"",EDATE($D10,Milestones!$AA$93)&gt;=$S10),$V10,$U10)))=Milestones!$AB$93),UPPER(TEXT(EDATE($D10,Milestones!$AA$93),"dd mmm yy"))&amp;" "&amp;Milestones!$AB$93&amp;" "&amp;Milestones!$AC$93&amp;";  ","")&amp;IF(AND(EDATE($D10,Milestones!$AA$94)&lt;=AsOfDate,IF($R10=0,$X10,IF(AND($T10&lt;&gt;"",EDATE($D10,Milestones!$AA$94)&gt;=$T10),$W10,IF(AND($S10&lt;&gt;"",EDATE($D10,Milestones!$AA$94)&gt;=$S10),$V10,$U10)))=Milestones!$AB$94),UPPER(TEXT(EDATE($D10,Milestones!$AA$94),"dd mmm yy"))&amp;" "&amp;Milestones!$AB$94&amp;" "&amp;Milestones!$AC$94&amp;";  ","")&amp;IF(AND(EDATE($D10,Milestones!$AA$95)&lt;=AsOfDate,IF($R10=0,$X10,IF(AND($T10&lt;&gt;"",EDATE($D10,Milestones!$AA$95)&gt;=$T10),$W10,IF(AND($S10&lt;&gt;"",EDATE($D10,Milestones!$AA$95)&gt;=$S10),$V10,$U10)))=Milestones!$AB$95),UPPER(TEXT(EDATE($D10,Milestones!$AA$95),"dd mmm yy"))&amp;" "&amp;Milestones!$AB$95&amp;" "&amp;Milestones!$AC$95&amp;";  ","")&amp;IF(AND(EDATE($D10,Milestones!$AA$96)&lt;=AsOfDate,IF($R10=0,$X10,IF(AND($T10&lt;&gt;"",EDATE($D10,Milestones!$AA$96)&gt;=$T10),$W10,IF(AND($S10&lt;&gt;"",EDATE($D10,Milestones!$AA$96)&gt;=$S10),$V10,$U10)))=Milestones!$AB$96),UPPER(TEXT(EDATE($D10,Milestones!$AA$96),"dd mmm yy"))&amp;" "&amp;Milestones!$AB$96&amp;" "&amp;Milestones!$AC$96&amp;";  ","")&amp;IF(AND(EDATE($D10,Milestones!$AA$97)&lt;=AsOfDate,IF($R10=0,$X10,IF(AND($T10&lt;&gt;"",EDATE($D10,Milestones!$AA$97)&gt;=$T10),$W10,IF(AND($S10&lt;&gt;"",EDATE($D10,Milestones!$AA$97)&gt;=$S10),$V10,$U10)))=Milestones!$AB$97),UPPER(TEXT(EDATE($D10,Milestones!$AA$97),"dd mmm yy"))&amp;" "&amp;Milestones!$AB$97&amp;" "&amp;Milestones!$AC$97&amp;";  ","")&amp;IF(AND(EDATE($D10,Milestones!$AA$98)&lt;=AsOfDate,IF($R10=0,$X10,IF(AND($T10&lt;&gt;"",EDATE($D10,Milestones!$AA$98)&gt;=$T10),$W10,IF(AND($S10&lt;&gt;"",EDATE($D10,Milestones!$AA$98)&gt;=$S10),$V10,$U10)))=Milestones!$AB$98),UPPER(TEXT(EDATE($D10,Milestones!$AA$98),"dd mmm yy"))&amp;" "&amp;Milestones!$AB$98&amp;" "&amp;Milestones!$AC$98&amp;";  ","")&amp;IF(AND(EDATE($D10,Milestones!$AA$99)&lt;=AsOfDate,IF($R10=0,$X10,IF(AND($T10&lt;&gt;"",EDATE($D10,Milestones!$AA$99)&gt;=$T10),$W10,IF(AND($S10&lt;&gt;"",EDATE($D10,Milestones!$AA$99)&gt;=$S10),$V10,$U10)))=Milestones!$AB$99),UPPER(TEXT(EDATE($D10,Milestones!$AA$99),"dd mmm yy"))&amp;" "&amp;Milestones!$AB$99&amp;" "&amp;Milestones!$AC$99&amp;";  ",""))</f>
        <v/>
      </c>
      <c r="M10" s="0" t="str">
        <f aca="false">IF(OR($A10="",$D10=""),"",IF(AND(EDATE($D10,Milestones!$AA$100)&lt;=AsOfDate,IF($R10=0,$X10,IF(AND($T10&lt;&gt;"",EDATE($D10,Milestones!$AA$100)&gt;=$T10),$W10,IF(AND($S10&lt;&gt;"",EDATE($D10,Milestones!$AA$100)&gt;=$S10),$V10,$U10)))=Milestones!$AB$100),UPPER(TEXT(EDATE($D10,Milestones!$AA$100),"dd mmm yy"))&amp;" "&amp;Milestones!$AB$100&amp;" "&amp;Milestones!$AC$100&amp;";  ","")&amp;IF(AND(EDATE($D10,Milestones!$AA$101)&lt;=AsOfDate,IF($R10=0,$X10,IF(AND($T10&lt;&gt;"",EDATE($D10,Milestones!$AA$101)&gt;=$T10),$W10,IF(AND($S10&lt;&gt;"",EDATE($D10,Milestones!$AA$101)&gt;=$S10),$V10,$U10)))=Milestones!$AB$101),UPPER(TEXT(EDATE($D10,Milestones!$AA$101),"dd mmm yy"))&amp;" "&amp;Milestones!$AB$101&amp;" "&amp;Milestones!$AC$101&amp;";  ","")&amp;IF(AND(EDATE($D10,Milestones!$AA$102)&lt;=AsOfDate,IF($R10=0,$X10,IF(AND($T10&lt;&gt;"",EDATE($D10,Milestones!$AA$102)&gt;=$T10),$W10,IF(AND($S10&lt;&gt;"",EDATE($D10,Milestones!$AA$102)&gt;=$S10),$V10,$U10)))=Milestones!$AB$102),UPPER(TEXT(EDATE($D10,Milestones!$AA$102),"dd mmm yy"))&amp;" "&amp;Milestones!$AB$102&amp;" "&amp;Milestones!$AC$102&amp;";  ","")&amp;IF(AND(EDATE($D10,Milestones!$AA$103)&lt;=AsOfDate,IF($R10=0,$X10,IF(AND($T10&lt;&gt;"",EDATE($D10,Milestones!$AA$103)&gt;=$T10),$W10,IF(AND($S10&lt;&gt;"",EDATE($D10,Milestones!$AA$103)&gt;=$S10),$V10,$U10)))=Milestones!$AB$103),UPPER(TEXT(EDATE($D10,Milestones!$AA$103),"dd mmm yy"))&amp;" "&amp;Milestones!$AB$103&amp;" "&amp;Milestones!$AC$103&amp;";  ","")&amp;IF(AND(EDATE($D10,Milestones!$AA$104)&lt;=AsOfDate,IF($R10=0,$X10,IF(AND($T10&lt;&gt;"",EDATE($D10,Milestones!$AA$104)&gt;=$T10),$W10,IF(AND($S10&lt;&gt;"",EDATE($D10,Milestones!$AA$104)&gt;=$S10),$V10,$U10)))=Milestones!$AB$104),UPPER(TEXT(EDATE($D10,Milestones!$AA$104),"dd mmm yy"))&amp;" "&amp;Milestones!$AB$104&amp;" "&amp;Milestones!$AC$104&amp;";  ","")&amp;IF(AND(EDATE($D10,Milestones!$AA$105)&lt;=AsOfDate,IF($R10=0,$X10,IF(AND($T10&lt;&gt;"",EDATE($D10,Milestones!$AA$105)&gt;=$T10),$W10,IF(AND($S10&lt;&gt;"",EDATE($D10,Milestones!$AA$105)&gt;=$S10),$V10,$U10)))=Milestones!$AB$105),UPPER(TEXT(EDATE($D10,Milestones!$AA$105),"dd mmm yy"))&amp;" "&amp;Milestones!$AB$105&amp;" "&amp;Milestones!$AC$105&amp;";  ","")&amp;IF(AND(EDATE($D10,Milestones!$AA$106)&lt;=AsOfDate,IF($R10=0,$X10,IF(AND($T10&lt;&gt;"",EDATE($D10,Milestones!$AA$106)&gt;=$T10),$W10,IF(AND($S10&lt;&gt;"",EDATE($D10,Milestones!$AA$106)&gt;=$S10),$V10,$U10)))=Milestones!$AB$106),UPPER(TEXT(EDATE($D10,Milestones!$AA$106),"dd mmm yy"))&amp;" "&amp;Milestones!$AB$106&amp;" "&amp;Milestones!$AC$106&amp;";  ","")&amp;IF(AND(EDATE($D10,Milestones!$AA$107)&lt;=AsOfDate,IF($R10=0,$X10,IF(AND($T10&lt;&gt;"",EDATE($D10,Milestones!$AA$107)&gt;=$T10),$W10,IF(AND($S10&lt;&gt;"",EDATE($D10,Milestones!$AA$107)&gt;=$S10),$V10,$U10)))=Milestones!$AB$107),UPPER(TEXT(EDATE($D10,Milestones!$AA$107),"dd mmm yy"))&amp;" "&amp;Milestones!$AB$107&amp;" "&amp;Milestones!$AC$107&amp;";  ","")&amp;IF(AND(EDATE($D10,Milestones!$AA$108)&lt;=AsOfDate,IF($R10=0,$X10,IF(AND($T10&lt;&gt;"",EDATE($D10,Milestones!$AA$108)&gt;=$T10),$W10,IF(AND($S10&lt;&gt;"",EDATE($D10,Milestones!$AA$108)&gt;=$S10),$V10,$U10)))=Milestones!$AB$108),UPPER(TEXT(EDATE($D10,Milestones!$AA$108),"dd mmm yy"))&amp;" "&amp;Milestones!$AB$108&amp;" "&amp;Milestones!$AC$108&amp;";  ","")&amp;IF(AND(EDATE($D10,Milestones!$AA$109)&lt;=AsOfDate,IF($R10=0,$X10,IF(AND($T10&lt;&gt;"",EDATE($D10,Milestones!$AA$109)&gt;=$T10),$W10,IF(AND($S10&lt;&gt;"",EDATE($D10,Milestones!$AA$109)&gt;=$S10),$V10,$U10)))=Milestones!$AB$109),UPPER(TEXT(EDATE($D10,Milestones!$AA$109),"dd mmm yy"))&amp;" "&amp;Milestones!$AB$109&amp;" "&amp;Milestones!$AC$109&amp;";  ","")&amp;IF(AND(EDATE($D10,Milestones!$AA$110)&lt;=AsOfDate,IF($R10=0,$X10,IF(AND($T10&lt;&gt;"",EDATE($D10,Milestones!$AA$110)&gt;=$T10),$W10,IF(AND($S10&lt;&gt;"",EDATE($D10,Milestones!$AA$110)&gt;=$S10),$V10,$U10)))=Milestones!$AB$110),UPPER(TEXT(EDATE($D10,Milestones!$AA$110),"dd mmm yy"))&amp;" "&amp;Milestones!$AB$110&amp;" "&amp;Milestones!$AC$110&amp;";  ","")&amp;IF(AND(EDATE($D10,Milestones!$AA$111)&lt;=AsOfDate,IF($R10=0,$X10,IF(AND($T10&lt;&gt;"",EDATE($D10,Milestones!$AA$111)&gt;=$T10),$W10,IF(AND($S10&lt;&gt;"",EDATE($D10,Milestones!$AA$111)&gt;=$S10),$V10,$U10)))=Milestones!$AB$111),UPPER(TEXT(EDATE($D10,Milestones!$AA$111),"dd mmm yy"))&amp;" "&amp;Milestones!$AB$111&amp;" "&amp;Milestones!$AC$111&amp;";  ","")&amp;IF(AND(EDATE($D10,Milestones!$AA$112)&lt;=AsOfDate,IF($R10=0,$X10,IF(AND($T10&lt;&gt;"",EDATE($D10,Milestones!$AA$112)&gt;=$T10),$W10,IF(AND($S10&lt;&gt;"",EDATE($D10,Milestones!$AA$112)&gt;=$S10),$V10,$U10)))=Milestones!$AB$112),UPPER(TEXT(EDATE($D10,Milestones!$AA$112),"dd mmm yy"))&amp;" "&amp;Milestones!$AB$112&amp;" "&amp;Milestones!$AC$112&amp;";  ","")&amp;IF(AND(EDATE($D10,Milestones!$AA$113)&lt;=AsOfDate,IF($R10=0,$X10,IF(AND($T10&lt;&gt;"",EDATE($D10,Milestones!$AA$113)&gt;=$T10),$W10,IF(AND($S10&lt;&gt;"",EDATE($D10,Milestones!$AA$113)&gt;=$S10),$V10,$U10)))=Milestones!$AB$113),UPPER(TEXT(EDATE($D10,Milestones!$AA$113),"dd mmm yy"))&amp;" "&amp;Milestones!$AB$113&amp;" "&amp;Milestones!$AC$113&amp;";  ","")&amp;IF(AND(EDATE($D10,Milestones!$AA$114)&lt;=AsOfDate,IF($R10=0,$X10,IF(AND($T10&lt;&gt;"",EDATE($D10,Milestones!$AA$114)&gt;=$T10),$W10,IF(AND($S10&lt;&gt;"",EDATE($D10,Milestones!$AA$114)&gt;=$S10),$V10,$U10)))=Milestones!$AB$114),UPPER(TEXT(EDATE($D10,Milestones!$AA$114),"dd mmm yy"))&amp;" "&amp;Milestones!$AB$114&amp;" "&amp;Milestones!$AC$114&amp;";  ","")&amp;IF(AND(EDATE($D10,Milestones!$AA$115)&lt;=AsOfDate,IF($R10=0,$X10,IF(AND($T10&lt;&gt;"",EDATE($D10,Milestones!$AA$115)&gt;=$T10),$W10,IF(AND($S10&lt;&gt;"",EDATE($D10,Milestones!$AA$115)&gt;=$S10),$V10,$U10)))=Milestones!$AB$115),UPPER(TEXT(EDATE($D10,Milestones!$AA$115),"dd mmm yy"))&amp;" "&amp;Milestones!$AB$115&amp;" "&amp;Milestones!$AC$115&amp;";  ","")&amp;IF(AND(EDATE($D10,Milestones!$AA$116)&lt;=AsOfDate,IF($R10=0,$X10,IF(AND($T10&lt;&gt;"",EDATE($D10,Milestones!$AA$116)&gt;=$T10),$W10,IF(AND($S10&lt;&gt;"",EDATE($D10,Milestones!$AA$116)&gt;=$S10),$V10,$U10)))=Milestones!$AB$116),UPPER(TEXT(EDATE($D10,Milestones!$AA$116),"dd mmm yy"))&amp;" "&amp;Milestones!$AB$116&amp;" "&amp;Milestones!$AC$116&amp;";  ","")&amp;IF(AND(EDATE($D10,Milestones!$AA$117)&lt;=AsOfDate,IF($R10=0,$X10,IF(AND($T10&lt;&gt;"",EDATE($D10,Milestones!$AA$117)&gt;=$T10),$W10,IF(AND($S10&lt;&gt;"",EDATE($D10,Milestones!$AA$117)&gt;=$S10),$V10,$U10)))=Milestones!$AB$117),UPPER(TEXT(EDATE($D10,Milestones!$AA$117),"dd mmm yy"))&amp;" "&amp;Milestones!$AB$117&amp;" "&amp;Milestones!$AC$117&amp;";  ","")&amp;IF(AND(EDATE($D10,Milestones!$AA$118)&lt;=AsOfDate,IF($R10=0,$X10,IF(AND($T10&lt;&gt;"",EDATE($D10,Milestones!$AA$118)&gt;=$T10),$W10,IF(AND($S10&lt;&gt;"",EDATE($D10,Milestones!$AA$118)&gt;=$S10),$V10,$U10)))=Milestones!$AB$118),UPPER(TEXT(EDATE($D10,Milestones!$AA$118),"dd mmm yy"))&amp;" "&amp;Milestones!$AB$118&amp;" "&amp;Milestones!$AC$118&amp;";  ","")&amp;IF(AND(EDATE($D10,Milestones!$AA$119)&lt;=AsOfDate,IF($R10=0,$X10,IF(AND($T10&lt;&gt;"",EDATE($D10,Milestones!$AA$119)&gt;=$T10),$W10,IF(AND($S10&lt;&gt;"",EDATE($D10,Milestones!$AA$119)&gt;=$S10),$V10,$U10)))=Milestones!$AB$119),UPPER(TEXT(EDATE($D10,Milestones!$AA$119),"dd mmm yy"))&amp;" "&amp;Milestones!$AB$119&amp;" "&amp;Milestones!$AC$119&amp;";  ",""))</f>
        <v/>
      </c>
      <c r="N10" s="0" t="str">
        <f aca="false">IF(OR($A10="",$D10=""),"",IF(AND(EDATE($D10,Milestones!$AA$120)&lt;=AsOfDate,IF($R10=0,$X10,IF(AND($T10&lt;&gt;"",EDATE($D10,Milestones!$AA$120)&gt;=$T10),$W10,IF(AND($S10&lt;&gt;"",EDATE($D10,Milestones!$AA$120)&gt;=$S10),$V10,$U10)))=Milestones!$AB$120),UPPER(TEXT(EDATE($D10,Milestones!$AA$120),"dd mmm yy"))&amp;" "&amp;Milestones!$AB$120&amp;" "&amp;Milestones!$AC$120&amp;";  ","")&amp;IF(AND(EDATE($D10,Milestones!$AA$121)&lt;=AsOfDate,IF($R10=0,$X10,IF(AND($T10&lt;&gt;"",EDATE($D10,Milestones!$AA$121)&gt;=$T10),$W10,IF(AND($S10&lt;&gt;"",EDATE($D10,Milestones!$AA$121)&gt;=$S10),$V10,$U10)))=Milestones!$AB$121),UPPER(TEXT(EDATE($D10,Milestones!$AA$121),"dd mmm yy"))&amp;" "&amp;Milestones!$AB$121&amp;" "&amp;Milestones!$AC$121&amp;";  ","")&amp;IF(AND(EDATE($D10,Milestones!$AA$122)&lt;=AsOfDate,IF($R10=0,$X10,IF(AND($T10&lt;&gt;"",EDATE($D10,Milestones!$AA$122)&gt;=$T10),$W10,IF(AND($S10&lt;&gt;"",EDATE($D10,Milestones!$AA$122)&gt;=$S10),$V10,$U10)))=Milestones!$AB$122),UPPER(TEXT(EDATE($D10,Milestones!$AA$122),"dd mmm yy"))&amp;" "&amp;Milestones!$AB$122&amp;" "&amp;Milestones!$AC$122&amp;";  ","")&amp;IF(AND(EDATE($D10,Milestones!$AA$123)&lt;=AsOfDate,IF($R10=0,$X10,IF(AND($T10&lt;&gt;"",EDATE($D10,Milestones!$AA$123)&gt;=$T10),$W10,IF(AND($S10&lt;&gt;"",EDATE($D10,Milestones!$AA$123)&gt;=$S10),$V10,$U10)))=Milestones!$AB$123),UPPER(TEXT(EDATE($D10,Milestones!$AA$123),"dd mmm yy"))&amp;" "&amp;Milestones!$AB$123&amp;" "&amp;Milestones!$AC$123&amp;";  ","")&amp;IF(AND(EDATE($D10,Milestones!$AA$124)&lt;=AsOfDate,IF($R10=0,$X10,IF(AND($T10&lt;&gt;"",EDATE($D10,Milestones!$AA$124)&gt;=$T10),$W10,IF(AND($S10&lt;&gt;"",EDATE($D10,Milestones!$AA$124)&gt;=$S10),$V10,$U10)))=Milestones!$AB$124),UPPER(TEXT(EDATE($D10,Milestones!$AA$124),"dd mmm yy"))&amp;" "&amp;Milestones!$AB$124&amp;" "&amp;Milestones!$AC$124&amp;";  ","")&amp;IF(AND(EDATE($D10,Milestones!$AA$125)&lt;=AsOfDate,IF($R10=0,$X10,IF(AND($T10&lt;&gt;"",EDATE($D10,Milestones!$AA$125)&gt;=$T10),$W10,IF(AND($S10&lt;&gt;"",EDATE($D10,Milestones!$AA$125)&gt;=$S10),$V10,$U10)))=Milestones!$AB$125),UPPER(TEXT(EDATE($D10,Milestones!$AA$125),"dd mmm yy"))&amp;" "&amp;Milestones!$AB$125&amp;" "&amp;Milestones!$AC$125&amp;";  ","")&amp;IF(AND(EDATE($D10,Milestones!$AA$126)&lt;=AsOfDate,IF($R10=0,$X10,IF(AND($T10&lt;&gt;"",EDATE($D10,Milestones!$AA$126)&gt;=$T10),$W10,IF(AND($S10&lt;&gt;"",EDATE($D10,Milestones!$AA$126)&gt;=$S10),$V10,$U10)))=Milestones!$AB$126),UPPER(TEXT(EDATE($D10,Milestones!$AA$126),"dd mmm yy"))&amp;" "&amp;Milestones!$AB$126&amp;" "&amp;Milestones!$AC$126&amp;";  ","")&amp;IF(AND(EDATE($D10,Milestones!$AA$127)&lt;=AsOfDate,IF($R10=0,$X10,IF(AND($T10&lt;&gt;"",EDATE($D10,Milestones!$AA$127)&gt;=$T10),$W10,IF(AND($S10&lt;&gt;"",EDATE($D10,Milestones!$AA$127)&gt;=$S10),$V10,$U10)))=Milestones!$AB$127),UPPER(TEXT(EDATE($D10,Milestones!$AA$127),"dd mmm yy"))&amp;" "&amp;Milestones!$AB$127&amp;" "&amp;Milestones!$AC$127&amp;";  ","")&amp;IF(AND(EDATE($D10,Milestones!$AA$128)&lt;=AsOfDate,IF($R10=0,$X10,IF(AND($T10&lt;&gt;"",EDATE($D10,Milestones!$AA$128)&gt;=$T10),$W10,IF(AND($S10&lt;&gt;"",EDATE($D10,Milestones!$AA$128)&gt;=$S10),$V10,$U10)))=Milestones!$AB$128),UPPER(TEXT(EDATE($D10,Milestones!$AA$128),"dd mmm yy"))&amp;" "&amp;Milestones!$AB$128&amp;" "&amp;Milestones!$AC$128&amp;";  ","")&amp;IF(AND(EDATE($D10,Milestones!$AA$129)&lt;=AsOfDate,IF($R10=0,$X10,IF(AND($T10&lt;&gt;"",EDATE($D10,Milestones!$AA$129)&gt;=$T10),$W10,IF(AND($S10&lt;&gt;"",EDATE($D10,Milestones!$AA$129)&gt;=$S10),$V10,$U10)))=Milestones!$AB$129),UPPER(TEXT(EDATE($D10,Milestones!$AA$129),"dd mmm yy"))&amp;" "&amp;Milestones!$AB$129&amp;" "&amp;Milestones!$AC$129&amp;";  ","")&amp;IF(AND(EDATE($D10,Milestones!$AA$130)&lt;=AsOfDate,IF($R10=0,$X10,IF(AND($T10&lt;&gt;"",EDATE($D10,Milestones!$AA$130)&gt;=$T10),$W10,IF(AND($S10&lt;&gt;"",EDATE($D10,Milestones!$AA$130)&gt;=$S10),$V10,$U10)))=Milestones!$AB$130),UPPER(TEXT(EDATE($D10,Milestones!$AA$130),"dd mmm yy"))&amp;" "&amp;Milestones!$AB$130&amp;" "&amp;Milestones!$AC$130&amp;";  ","")&amp;IF(AND(EDATE($D10,Milestones!$AA$131)&lt;=AsOfDate,IF($R10=0,$X10,IF(AND($T10&lt;&gt;"",EDATE($D10,Milestones!$AA$131)&gt;=$T10),$W10,IF(AND($S10&lt;&gt;"",EDATE($D10,Milestones!$AA$131)&gt;=$S10),$V10,$U10)))=Milestones!$AB$131),UPPER(TEXT(EDATE($D10,Milestones!$AA$131),"dd mmm yy"))&amp;" "&amp;Milestones!$AB$131&amp;" "&amp;Milestones!$AC$131&amp;";  ","")&amp;IF(AND(EDATE($D10,Milestones!$AA$132)&lt;=AsOfDate,IF($R10=0,$X10,IF(AND($T10&lt;&gt;"",EDATE($D10,Milestones!$AA$132)&gt;=$T10),$W10,IF(AND($S10&lt;&gt;"",EDATE($D10,Milestones!$AA$132)&gt;=$S10),$V10,$U10)))=Milestones!$AB$132),UPPER(TEXT(EDATE($D10,Milestones!$AA$132),"dd mmm yy"))&amp;" "&amp;Milestones!$AB$132&amp;" "&amp;Milestones!$AC$132&amp;";  ","")&amp;IF(AND(EDATE($D10,Milestones!$AA$133)&lt;=AsOfDate,IF($R10=0,$X10,IF(AND($T10&lt;&gt;"",EDATE($D10,Milestones!$AA$133)&gt;=$T10),$W10,IF(AND($S10&lt;&gt;"",EDATE($D10,Milestones!$AA$133)&gt;=$S10),$V10,$U10)))=Milestones!$AB$133),UPPER(TEXT(EDATE($D10,Milestones!$AA$133),"dd mmm yy"))&amp;" "&amp;Milestones!$AB$133&amp;" "&amp;Milestones!$AC$133&amp;";  ","")&amp;IF(AND(EDATE($D10,Milestones!$AA$134)&lt;=AsOfDate,IF($R10=0,$X10,IF(AND($T10&lt;&gt;"",EDATE($D10,Milestones!$AA$134)&gt;=$T10),$W10,IF(AND($S10&lt;&gt;"",EDATE($D10,Milestones!$AA$134)&gt;=$S10),$V10,$U10)))=Milestones!$AB$134),UPPER(TEXT(EDATE($D10,Milestones!$AA$134),"dd mmm yy"))&amp;" "&amp;Milestones!$AB$134&amp;" "&amp;Milestones!$AC$134&amp;";  ","")&amp;IF(AND(EDATE($D10,Milestones!$AA$135)&lt;=AsOfDate,IF($R10=0,$X10,IF(AND($T10&lt;&gt;"",EDATE($D10,Milestones!$AA$135)&gt;=$T10),$W10,IF(AND($S10&lt;&gt;"",EDATE($D10,Milestones!$AA$135)&gt;=$S10),$V10,$U10)))=Milestones!$AB$135),UPPER(TEXT(EDATE($D10,Milestones!$AA$135),"dd mmm yy"))&amp;" "&amp;Milestones!$AB$135&amp;" "&amp;Milestones!$AC$135&amp;";  ","")&amp;IF(AND(EDATE($D10,Milestones!$AA$136)&lt;=AsOfDate,IF($R10=0,$X10,IF(AND($T10&lt;&gt;"",EDATE($D10,Milestones!$AA$136)&gt;=$T10),$W10,IF(AND($S10&lt;&gt;"",EDATE($D10,Milestones!$AA$136)&gt;=$S10),$V10,$U10)))=Milestones!$AB$136),UPPER(TEXT(EDATE($D10,Milestones!$AA$136),"dd mmm yy"))&amp;" "&amp;Milestones!$AB$136&amp;" "&amp;Milestones!$AC$136&amp;";  ","")&amp;IF(AND(EDATE($D10,Milestones!$AA$137)&lt;=AsOfDate,IF($R10=0,$X10,IF(AND($T10&lt;&gt;"",EDATE($D10,Milestones!$AA$137)&gt;=$T10),$W10,IF(AND($S10&lt;&gt;"",EDATE($D10,Milestones!$AA$137)&gt;=$S10),$V10,$U10)))=Milestones!$AB$137),UPPER(TEXT(EDATE($D10,Milestones!$AA$137),"dd mmm yy"))&amp;" "&amp;Milestones!$AB$137&amp;" "&amp;Milestones!$AC$137&amp;";  ","")&amp;IF(AND(EDATE($D10,Milestones!$AA$138)&lt;=AsOfDate,IF($R10=0,$X10,IF(AND($T10&lt;&gt;"",EDATE($D10,Milestones!$AA$138)&gt;=$T10),$W10,IF(AND($S10&lt;&gt;"",EDATE($D10,Milestones!$AA$138)&gt;=$S10),$V10,$U10)))=Milestones!$AB$138),UPPER(TEXT(EDATE($D10,Milestones!$AA$138),"dd mmm yy"))&amp;" "&amp;Milestones!$AB$138&amp;" "&amp;Milestones!$AC$138&amp;";  ","")&amp;IF(AND(EDATE($D10,Milestones!$AA$139)&lt;=AsOfDate,IF($R10=0,$X10,IF(AND($T10&lt;&gt;"",EDATE($D10,Milestones!$AA$139)&gt;=$T10),$W10,IF(AND($S10&lt;&gt;"",EDATE($D10,Milestones!$AA$139)&gt;=$S10),$V10,$U10)))=Milestones!$AB$139),UPPER(TEXT(EDATE($D10,Milestones!$AA$139),"dd mmm yy"))&amp;" "&amp;Milestones!$AB$139&amp;" "&amp;Milestones!$AC$139&amp;";  ",""))</f>
        <v/>
      </c>
      <c r="O10" s="0" t="str">
        <f aca="false">IF(OR($A10="",$D10=""),"",IF(AND(EDATE($D10,Milestones!$AA$140)&lt;=AsOfDate,IF($R10=0,$X10,IF(AND($T10&lt;&gt;"",EDATE($D10,Milestones!$AA$140)&gt;=$T10),$W10,IF(AND($S10&lt;&gt;"",EDATE($D10,Milestones!$AA$140)&gt;=$S10),$V10,$U10)))=Milestones!$AB$140),UPPER(TEXT(EDATE($D10,Milestones!$AA$140),"dd mmm yy"))&amp;" "&amp;Milestones!$AB$140&amp;" "&amp;Milestones!$AC$140&amp;";  ","")&amp;IF(AND(EDATE($D10,Milestones!$AA$141)&lt;=AsOfDate,IF($R10=0,$X10,IF(AND($T10&lt;&gt;"",EDATE($D10,Milestones!$AA$141)&gt;=$T10),$W10,IF(AND($S10&lt;&gt;"",EDATE($D10,Milestones!$AA$141)&gt;=$S10),$V10,$U10)))=Milestones!$AB$141),UPPER(TEXT(EDATE($D10,Milestones!$AA$141),"dd mmm yy"))&amp;" "&amp;Milestones!$AB$141&amp;" "&amp;Milestones!$AC$141&amp;";  ","")&amp;IF(AND(EDATE($D10,Milestones!$AA$142)&lt;=AsOfDate,IF($R10=0,$X10,IF(AND($T10&lt;&gt;"",EDATE($D10,Milestones!$AA$142)&gt;=$T10),$W10,IF(AND($S10&lt;&gt;"",EDATE($D10,Milestones!$AA$142)&gt;=$S10),$V10,$U10)))=Milestones!$AB$142),UPPER(TEXT(EDATE($D10,Milestones!$AA$142),"dd mmm yy"))&amp;" "&amp;Milestones!$AB$142&amp;" "&amp;Milestones!$AC$142&amp;";  ","")&amp;IF(AND(EDATE($D10,Milestones!$AA$143)&lt;=AsOfDate,IF($R10=0,$X10,IF(AND($T10&lt;&gt;"",EDATE($D10,Milestones!$AA$143)&gt;=$T10),$W10,IF(AND($S10&lt;&gt;"",EDATE($D10,Milestones!$AA$143)&gt;=$S10),$V10,$U10)))=Milestones!$AB$143),UPPER(TEXT(EDATE($D10,Milestones!$AA$143),"dd mmm yy"))&amp;" "&amp;Milestones!$AB$143&amp;" "&amp;Milestones!$AC$143&amp;";  ","")&amp;IF(AND(EDATE($D10,Milestones!$AA$144)&lt;=AsOfDate,IF($R10=0,$X10,IF(AND($T10&lt;&gt;"",EDATE($D10,Milestones!$AA$144)&gt;=$T10),$W10,IF(AND($S10&lt;&gt;"",EDATE($D10,Milestones!$AA$144)&gt;=$S10),$V10,$U10)))=Milestones!$AB$144),UPPER(TEXT(EDATE($D10,Milestones!$AA$144),"dd mmm yy"))&amp;" "&amp;Milestones!$AB$144&amp;" "&amp;Milestones!$AC$144&amp;";  ","")&amp;IF(AND(EDATE($D10,Milestones!$AA$145)&lt;=AsOfDate,IF($R10=0,$X10,IF(AND($T10&lt;&gt;"",EDATE($D10,Milestones!$AA$145)&gt;=$T10),$W10,IF(AND($S10&lt;&gt;"",EDATE($D10,Milestones!$AA$145)&gt;=$S10),$V10,$U10)))=Milestones!$AB$145),UPPER(TEXT(EDATE($D10,Milestones!$AA$145),"dd mmm yy"))&amp;" "&amp;Milestones!$AB$145&amp;" "&amp;Milestones!$AC$145&amp;";  ","")&amp;IF(AND(EDATE($D10,Milestones!$AA$146)&lt;=AsOfDate,IF($R10=0,$X10,IF(AND($T10&lt;&gt;"",EDATE($D10,Milestones!$AA$146)&gt;=$T10),$W10,IF(AND($S10&lt;&gt;"",EDATE($D10,Milestones!$AA$146)&gt;=$S10),$V10,$U10)))=Milestones!$AB$146),UPPER(TEXT(EDATE($D10,Milestones!$AA$146),"dd mmm yy"))&amp;" "&amp;Milestones!$AB$146&amp;" "&amp;Milestones!$AC$146&amp;";  ","")&amp;IF(AND(EDATE($D10,Milestones!$AA$147)&lt;=AsOfDate,IF($R10=0,$X10,IF(AND($T10&lt;&gt;"",EDATE($D10,Milestones!$AA$147)&gt;=$T10),$W10,IF(AND($S10&lt;&gt;"",EDATE($D10,Milestones!$AA$147)&gt;=$S10),$V10,$U10)))=Milestones!$AB$147),UPPER(TEXT(EDATE($D10,Milestones!$AA$147),"dd mmm yy"))&amp;" "&amp;Milestones!$AB$147&amp;" "&amp;Milestones!$AC$147&amp;";  ","")&amp;IF(AND(EDATE($D10,Milestones!$AA$148)&lt;=AsOfDate,IF($R10=0,$X10,IF(AND($T10&lt;&gt;"",EDATE($D10,Milestones!$AA$148)&gt;=$T10),$W10,IF(AND($S10&lt;&gt;"",EDATE($D10,Milestones!$AA$148)&gt;=$S10),$V10,$U10)))=Milestones!$AB$148),UPPER(TEXT(EDATE($D10,Milestones!$AA$148),"dd mmm yy"))&amp;" "&amp;Milestones!$AB$148&amp;" "&amp;Milestones!$AC$148&amp;";  ","")&amp;IF(AND(EDATE($D10,Milestones!$AA$149)&lt;=AsOfDate,IF($R10=0,$X10,IF(AND($T10&lt;&gt;"",EDATE($D10,Milestones!$AA$149)&gt;=$T10),$W10,IF(AND($S10&lt;&gt;"",EDATE($D10,Milestones!$AA$149)&gt;=$S10),$V10,$U10)))=Milestones!$AB$149),UPPER(TEXT(EDATE($D10,Milestones!$AA$149),"dd mmm yy"))&amp;" "&amp;Milestones!$AB$149&amp;" "&amp;Milestones!$AC$149&amp;";  ","")&amp;IF(AND(EDATE($D10,Milestones!$AA$150)&lt;=AsOfDate,IF($R10=0,$X10,IF(AND($T10&lt;&gt;"",EDATE($D10,Milestones!$AA$150)&gt;=$T10),$W10,IF(AND($S10&lt;&gt;"",EDATE($D10,Milestones!$AA$150)&gt;=$S10),$V10,$U10)))=Milestones!$AB$150),UPPER(TEXT(EDATE($D10,Milestones!$AA$150),"dd mmm yy"))&amp;" "&amp;Milestones!$AB$150&amp;" "&amp;Milestones!$AC$150&amp;";  ","")&amp;IF(AND(EDATE($D10,Milestones!$AA$151)&lt;=AsOfDate,IF($R10=0,$X10,IF(AND($T10&lt;&gt;"",EDATE($D10,Milestones!$AA$151)&gt;=$T10),$W10,IF(AND($S10&lt;&gt;"",EDATE($D10,Milestones!$AA$151)&gt;=$S10),$V10,$U10)))=Milestones!$AB$151),UPPER(TEXT(EDATE($D10,Milestones!$AA$151),"dd mmm yy"))&amp;" "&amp;Milestones!$AB$151&amp;" "&amp;Milestones!$AC$151&amp;";  ","")&amp;IF(AND(EDATE($D10,Milestones!$AA$152)&lt;=AsOfDate,IF($R10=0,$X10,IF(AND($T10&lt;&gt;"",EDATE($D10,Milestones!$AA$152)&gt;=$T10),$W10,IF(AND($S10&lt;&gt;"",EDATE($D10,Milestones!$AA$152)&gt;=$S10),$V10,$U10)))=Milestones!$AB$152),UPPER(TEXT(EDATE($D10,Milestones!$AA$152),"dd mmm yy"))&amp;" "&amp;Milestones!$AB$152&amp;" "&amp;Milestones!$AC$152&amp;";  ","")&amp;IF(AND(EDATE($D10,Milestones!$AA$153)&lt;=AsOfDate,IF($R10=0,$X10,IF(AND($T10&lt;&gt;"",EDATE($D10,Milestones!$AA$153)&gt;=$T10),$W10,IF(AND($S10&lt;&gt;"",EDATE($D10,Milestones!$AA$153)&gt;=$S10),$V10,$U10)))=Milestones!$AB$153),UPPER(TEXT(EDATE($D10,Milestones!$AA$153),"dd mmm yy"))&amp;" "&amp;Milestones!$AB$153&amp;" "&amp;Milestones!$AC$153&amp;";  ","")&amp;IF(AND(EDATE($D10,Milestones!$AA$154)&lt;=AsOfDate,IF($R10=0,$X10,IF(AND($T10&lt;&gt;"",EDATE($D10,Milestones!$AA$154)&gt;=$T10),$W10,IF(AND($S10&lt;&gt;"",EDATE($D10,Milestones!$AA$154)&gt;=$S10),$V10,$U10)))=Milestones!$AB$154),UPPER(TEXT(EDATE($D10,Milestones!$AA$154),"dd mmm yy"))&amp;" "&amp;Milestones!$AB$154&amp;" "&amp;Milestones!$AC$154&amp;";  ","")&amp;IF(AND(EDATE($D10,Milestones!$AA$155)&lt;=AsOfDate,IF($R10=0,$X10,IF(AND($T10&lt;&gt;"",EDATE($D10,Milestones!$AA$155)&gt;=$T10),$W10,IF(AND($S10&lt;&gt;"",EDATE($D10,Milestones!$AA$155)&gt;=$S10),$V10,$U10)))=Milestones!$AB$155),UPPER(TEXT(EDATE($D10,Milestones!$AA$155),"dd mmm yy"))&amp;" "&amp;Milestones!$AB$155&amp;" "&amp;Milestones!$AC$155&amp;";  ","")&amp;IF(AND(EDATE($D10,Milestones!$AA$156)&lt;=AsOfDate,IF($R10=0,$X10,IF(AND($T10&lt;&gt;"",EDATE($D10,Milestones!$AA$156)&gt;=$T10),$W10,IF(AND($S10&lt;&gt;"",EDATE($D10,Milestones!$AA$156)&gt;=$S10),$V10,$U10)))=Milestones!$AB$156),UPPER(TEXT(EDATE($D10,Milestones!$AA$156),"dd mmm yy"))&amp;" "&amp;Milestones!$AB$156&amp;" "&amp;Milestones!$AC$156&amp;";  ","")&amp;IF(AND(EDATE($D10,Milestones!$AA$157)&lt;=AsOfDate,IF($R10=0,$X10,IF(AND($T10&lt;&gt;"",EDATE($D10,Milestones!$AA$157)&gt;=$T10),$W10,IF(AND($S10&lt;&gt;"",EDATE($D10,Milestones!$AA$157)&gt;=$S10),$V10,$U10)))=Milestones!$AB$157),UPPER(TEXT(EDATE($D10,Milestones!$AA$157),"dd mmm yy"))&amp;" "&amp;Milestones!$AB$157&amp;" "&amp;Milestones!$AC$157&amp;";  ","")&amp;IF(AND(EDATE($D10,Milestones!$AA$158)&lt;=AsOfDate,IF($R10=0,$X10,IF(AND($T10&lt;&gt;"",EDATE($D10,Milestones!$AA$158)&gt;=$T10),$W10,IF(AND($S10&lt;&gt;"",EDATE($D10,Milestones!$AA$158)&gt;=$S10),$V10,$U10)))=Milestones!$AB$158),UPPER(TEXT(EDATE($D10,Milestones!$AA$158),"dd mmm yy"))&amp;" "&amp;Milestones!$AB$158&amp;" "&amp;Milestones!$AC$158&amp;";  ","")&amp;IF(AND(EDATE($D10,Milestones!$AA$159)&lt;=AsOfDate,IF($R10=0,$X10,IF(AND($T10&lt;&gt;"",EDATE($D10,Milestones!$AA$159)&gt;=$T10),$W10,IF(AND($S10&lt;&gt;"",EDATE($D10,Milestones!$AA$159)&gt;=$S10),$V10,$U10)))=Milestones!$AB$159),UPPER(TEXT(EDATE($D10,Milestones!$AA$159),"dd mmm yy"))&amp;" "&amp;Milestones!$AB$159&amp;" "&amp;Milestones!$AC$159&amp;";  ",""))</f>
        <v/>
      </c>
      <c r="P10" s="0" t="str">
        <f aca="false">IF(OR($A10="",$D10=""),"",IF(AND(EDATE($D10,Milestones!$AA$160)&lt;=AsOfDate,IF($R10=0,$X10,IF(AND($T10&lt;&gt;"",EDATE($D10,Milestones!$AA$160)&gt;=$T10),$W10,IF(AND($S10&lt;&gt;"",EDATE($D10,Milestones!$AA$160)&gt;=$S10),$V10,$U10)))=Milestones!$AB$160),UPPER(TEXT(EDATE($D10,Milestones!$AA$160),"dd mmm yy"))&amp;" "&amp;Milestones!$AB$160&amp;" "&amp;Milestones!$AC$160&amp;";  ","")&amp;IF(AND(EDATE($D10,Milestones!$AA$161)&lt;=AsOfDate,IF($R10=0,$X10,IF(AND($T10&lt;&gt;"",EDATE($D10,Milestones!$AA$161)&gt;=$T10),$W10,IF(AND($S10&lt;&gt;"",EDATE($D10,Milestones!$AA$161)&gt;=$S10),$V10,$U10)))=Milestones!$AB$161),UPPER(TEXT(EDATE($D10,Milestones!$AA$161),"dd mmm yy"))&amp;" "&amp;Milestones!$AB$161&amp;" "&amp;Milestones!$AC$161&amp;";  ","")&amp;IF(AND(EDATE($D10,Milestones!$AA$162)&lt;=AsOfDate,IF($R10=0,$X10,IF(AND($T10&lt;&gt;"",EDATE($D10,Milestones!$AA$162)&gt;=$T10),$W10,IF(AND($S10&lt;&gt;"",EDATE($D10,Milestones!$AA$162)&gt;=$S10),$V10,$U10)))=Milestones!$AB$162),UPPER(TEXT(EDATE($D10,Milestones!$AA$162),"dd mmm yy"))&amp;" "&amp;Milestones!$AB$162&amp;" "&amp;Milestones!$AC$162&amp;";  ","")&amp;IF(AND(EDATE($D10,Milestones!$AA$163)&lt;=AsOfDate,IF($R10=0,$X10,IF(AND($T10&lt;&gt;"",EDATE($D10,Milestones!$AA$163)&gt;=$T10),$W10,IF(AND($S10&lt;&gt;"",EDATE($D10,Milestones!$AA$163)&gt;=$S10),$V10,$U10)))=Milestones!$AB$163),UPPER(TEXT(EDATE($D10,Milestones!$AA$163),"dd mmm yy"))&amp;" "&amp;Milestones!$AB$163&amp;" "&amp;Milestones!$AC$163&amp;";  ","")&amp;IF(AND(EDATE($D10,Milestones!$AA$164)&lt;=AsOfDate,IF($R10=0,$X10,IF(AND($T10&lt;&gt;"",EDATE($D10,Milestones!$AA$164)&gt;=$T10),$W10,IF(AND($S10&lt;&gt;"",EDATE($D10,Milestones!$AA$164)&gt;=$S10),$V10,$U10)))=Milestones!$AB$164),UPPER(TEXT(EDATE($D10,Milestones!$AA$164),"dd mmm yy"))&amp;" "&amp;Milestones!$AB$164&amp;" "&amp;Milestones!$AC$164&amp;";  ","")&amp;IF(AND(EDATE($D10,Milestones!$AA$165)&lt;=AsOfDate,IF($R10=0,$X10,IF(AND($T10&lt;&gt;"",EDATE($D10,Milestones!$AA$165)&gt;=$T10),$W10,IF(AND($S10&lt;&gt;"",EDATE($D10,Milestones!$AA$165)&gt;=$S10),$V10,$U10)))=Milestones!$AB$165),UPPER(TEXT(EDATE($D10,Milestones!$AA$165),"dd mmm yy"))&amp;" "&amp;Milestones!$AB$165&amp;" "&amp;Milestones!$AC$165&amp;";  ","")&amp;IF(AND(EDATE($D10,Milestones!$AA$166)&lt;=AsOfDate,IF($R10=0,$X10,IF(AND($T10&lt;&gt;"",EDATE($D10,Milestones!$AA$166)&gt;=$T10),$W10,IF(AND($S10&lt;&gt;"",EDATE($D10,Milestones!$AA$166)&gt;=$S10),$V10,$U10)))=Milestones!$AB$166),UPPER(TEXT(EDATE($D10,Milestones!$AA$166),"dd mmm yy"))&amp;" "&amp;Milestones!$AB$166&amp;" "&amp;Milestones!$AC$166&amp;";  ","")&amp;IF(AND(EDATE($D10,Milestones!$AA$167)&lt;=AsOfDate,IF($R10=0,$X10,IF(AND($T10&lt;&gt;"",EDATE($D10,Milestones!$AA$167)&gt;=$T10),$W10,IF(AND($S10&lt;&gt;"",EDATE($D10,Milestones!$AA$167)&gt;=$S10),$V10,$U10)))=Milestones!$AB$167),UPPER(TEXT(EDATE($D10,Milestones!$AA$167),"dd mmm yy"))&amp;" "&amp;Milestones!$AB$167&amp;" "&amp;Milestones!$AC$167&amp;";  ","")&amp;IF(AND(EDATE($D10,Milestones!$AA$168)&lt;=AsOfDate,IF($R10=0,$X10,IF(AND($T10&lt;&gt;"",EDATE($D10,Milestones!$AA$168)&gt;=$T10),$W10,IF(AND($S10&lt;&gt;"",EDATE($D10,Milestones!$AA$168)&gt;=$S10),$V10,$U10)))=Milestones!$AB$168),UPPER(TEXT(EDATE($D10,Milestones!$AA$168),"dd mmm yy"))&amp;" "&amp;Milestones!$AB$168&amp;" "&amp;Milestones!$AC$168&amp;";  ","")&amp;IF(AND(EDATE($D10,Milestones!$AA$169)&lt;=AsOfDate,IF($R10=0,$X10,IF(AND($T10&lt;&gt;"",EDATE($D10,Milestones!$AA$169)&gt;=$T10),$W10,IF(AND($S10&lt;&gt;"",EDATE($D10,Milestones!$AA$169)&gt;=$S10),$V10,$U10)))=Milestones!$AB$169),UPPER(TEXT(EDATE($D10,Milestones!$AA$169),"dd mmm yy"))&amp;" "&amp;Milestones!$AB$169&amp;" "&amp;Milestones!$AC$169&amp;";  ","")&amp;IF(AND(EDATE($D10,Milestones!$AA$170)&lt;=AsOfDate,IF($R10=0,$X10,IF(AND($T10&lt;&gt;"",EDATE($D10,Milestones!$AA$170)&gt;=$T10),$W10,IF(AND($S10&lt;&gt;"",EDATE($D10,Milestones!$AA$170)&gt;=$S10),$V10,$U10)))=Milestones!$AB$170),UPPER(TEXT(EDATE($D10,Milestones!$AA$170),"dd mmm yy"))&amp;" "&amp;Milestones!$AB$170&amp;" "&amp;Milestones!$AC$170&amp;";  ","")&amp;IF(AND(EDATE($D10,Milestones!$AA$171)&lt;=AsOfDate,IF($R10=0,$X10,IF(AND($T10&lt;&gt;"",EDATE($D10,Milestones!$AA$171)&gt;=$T10),$W10,IF(AND($S10&lt;&gt;"",EDATE($D10,Milestones!$AA$171)&gt;=$S10),$V10,$U10)))=Milestones!$AB$171),UPPER(TEXT(EDATE($D10,Milestones!$AA$171),"dd mmm yy"))&amp;" "&amp;Milestones!$AB$171&amp;" "&amp;Milestones!$AC$171&amp;";  ","")&amp;IF(AND(EDATE($D10,Milestones!$AA$172)&lt;=AsOfDate,IF($R10=0,$X10,IF(AND($T10&lt;&gt;"",EDATE($D10,Milestones!$AA$172)&gt;=$T10),$W10,IF(AND($S10&lt;&gt;"",EDATE($D10,Milestones!$AA$172)&gt;=$S10),$V10,$U10)))=Milestones!$AB$172),UPPER(TEXT(EDATE($D10,Milestones!$AA$172),"dd mmm yy"))&amp;" "&amp;Milestones!$AB$172&amp;" "&amp;Milestones!$AC$172&amp;";  ","")&amp;IF(AND(EDATE($D10,Milestones!$AA$173)&lt;=AsOfDate,IF($R10=0,$X10,IF(AND($T10&lt;&gt;"",EDATE($D10,Milestones!$AA$173)&gt;=$T10),$W10,IF(AND($S10&lt;&gt;"",EDATE($D10,Milestones!$AA$173)&gt;=$S10),$V10,$U10)))=Milestones!$AB$173),UPPER(TEXT(EDATE($D10,Milestones!$AA$173),"dd mmm yy"))&amp;" "&amp;Milestones!$AB$173&amp;" "&amp;Milestones!$AC$173&amp;";  ","")&amp;IF(AND(EDATE($D10,Milestones!$AA$174)&lt;=AsOfDate,IF($R10=0,$X10,IF(AND($T10&lt;&gt;"",EDATE($D10,Milestones!$AA$174)&gt;=$T10),$W10,IF(AND($S10&lt;&gt;"",EDATE($D10,Milestones!$AA$174)&gt;=$S10),$V10,$U10)))=Milestones!$AB$174),UPPER(TEXT(EDATE($D10,Milestones!$AA$174),"dd mmm yy"))&amp;" "&amp;Milestones!$AB$174&amp;" "&amp;Milestones!$AC$174&amp;";  ","")&amp;IF(AND(EDATE($D10,Milestones!$AA$175)&lt;=AsOfDate,IF($R10=0,$X10,IF(AND($T10&lt;&gt;"",EDATE($D10,Milestones!$AA$175)&gt;=$T10),$W10,IF(AND($S10&lt;&gt;"",EDATE($D10,Milestones!$AA$175)&gt;=$S10),$V10,$U10)))=Milestones!$AB$175),UPPER(TEXT(EDATE($D10,Milestones!$AA$175),"dd mmm yy"))&amp;" "&amp;Milestones!$AB$175&amp;" "&amp;Milestones!$AC$175&amp;";  ","")&amp;IF(AND(EDATE($D10,Milestones!$AA$176)&lt;=AsOfDate,IF($R10=0,$X10,IF(AND($T10&lt;&gt;"",EDATE($D10,Milestones!$AA$176)&gt;=$T10),$W10,IF(AND($S10&lt;&gt;"",EDATE($D10,Milestones!$AA$176)&gt;=$S10),$V10,$U10)))=Milestones!$AB$176),UPPER(TEXT(EDATE($D10,Milestones!$AA$176),"dd mmm yy"))&amp;" "&amp;Milestones!$AB$176&amp;" "&amp;Milestones!$AC$176&amp;";  ","")&amp;IF(AND(EDATE($D10,Milestones!$AA$177)&lt;=AsOfDate,IF($R10=0,$X10,IF(AND($T10&lt;&gt;"",EDATE($D10,Milestones!$AA$177)&gt;=$T10),$W10,IF(AND($S10&lt;&gt;"",EDATE($D10,Milestones!$AA$177)&gt;=$S10),$V10,$U10)))=Milestones!$AB$177),UPPER(TEXT(EDATE($D10,Milestones!$AA$177),"dd mmm yy"))&amp;" "&amp;Milestones!$AB$177&amp;" "&amp;Milestones!$AC$177&amp;";  ","")&amp;IF(AND(EDATE($D10,Milestones!$AA$178)&lt;=AsOfDate,IF($R10=0,$X10,IF(AND($T10&lt;&gt;"",EDATE($D10,Milestones!$AA$178)&gt;=$T10),$W10,IF(AND($S10&lt;&gt;"",EDATE($D10,Milestones!$AA$178)&gt;=$S10),$V10,$U10)))=Milestones!$AB$178),UPPER(TEXT(EDATE($D10,Milestones!$AA$178),"dd mmm yy"))&amp;" "&amp;Milestones!$AB$178&amp;" "&amp;Milestones!$AC$178&amp;";  ","")&amp;IF(AND(EDATE($D10,Milestones!$AA$179)&lt;=AsOfDate,IF($R10=0,$X10,IF(AND($T10&lt;&gt;"",EDATE($D10,Milestones!$AA$179)&gt;=$T10),$W10,IF(AND($S10&lt;&gt;"",EDATE($D10,Milestones!$AA$179)&gt;=$S10),$V10,$U10)))=Milestones!$AB$179),UPPER(TEXT(EDATE($D10,Milestones!$AA$179),"dd mmm yy"))&amp;" "&amp;Milestones!$AB$179&amp;" "&amp;Milestones!$AC$179&amp;";  ",""))</f>
        <v/>
      </c>
      <c r="Q10" s="0" t="str">
        <f aca="false">IF(OR($A10="",$D10=""),"",IF(AND(EDATE($D10,Milestones!$AA$180)&lt;=AsOfDate,IF($R10=0,$X10,IF(AND($T10&lt;&gt;"",EDATE($D10,Milestones!$AA$180)&gt;=$T10),$W10,IF(AND($S10&lt;&gt;"",EDATE($D10,Milestones!$AA$180)&gt;=$S10),$V10,$U10)))=Milestones!$AB$180),UPPER(TEXT(EDATE($D10,Milestones!$AA$180),"dd mmm yy"))&amp;" "&amp;Milestones!$AB$180&amp;" "&amp;Milestones!$AC$180&amp;";  ","")&amp;IF(AND(EDATE($D10,Milestones!$AA$181)&lt;=AsOfDate,IF($R10=0,$X10,IF(AND($T10&lt;&gt;"",EDATE($D10,Milestones!$AA$181)&gt;=$T10),$W10,IF(AND($S10&lt;&gt;"",EDATE($D10,Milestones!$AA$181)&gt;=$S10),$V10,$U10)))=Milestones!$AB$181),UPPER(TEXT(EDATE($D10,Milestones!$AA$181),"dd mmm yy"))&amp;" "&amp;Milestones!$AB$181&amp;" "&amp;Milestones!$AC$181&amp;";  ","")&amp;IF(AND(EDATE($D10,Milestones!$AA$182)&lt;=AsOfDate,IF($R10=0,$X10,IF(AND($T10&lt;&gt;"",EDATE($D10,Milestones!$AA$182)&gt;=$T10),$W10,IF(AND($S10&lt;&gt;"",EDATE($D10,Milestones!$AA$182)&gt;=$S10),$V10,$U10)))=Milestones!$AB$182),UPPER(TEXT(EDATE($D10,Milestones!$AA$182),"dd mmm yy"))&amp;" "&amp;Milestones!$AB$182&amp;" "&amp;Milestones!$AC$182&amp;";  ","")&amp;IF(AND(EDATE($D10,Milestones!$AA$183)&lt;=AsOfDate,IF($R10=0,$X10,IF(AND($T10&lt;&gt;"",EDATE($D10,Milestones!$AA$183)&gt;=$T10),$W10,IF(AND($S10&lt;&gt;"",EDATE($D10,Milestones!$AA$183)&gt;=$S10),$V10,$U10)))=Milestones!$AB$183),UPPER(TEXT(EDATE($D10,Milestones!$AA$183),"dd mmm yy"))&amp;" "&amp;Milestones!$AB$183&amp;" "&amp;Milestones!$AC$183&amp;";  ","")&amp;IF(AND(EDATE($D10,Milestones!$AA$184)&lt;=AsOfDate,IF($R10=0,$X10,IF(AND($T10&lt;&gt;"",EDATE($D10,Milestones!$AA$184)&gt;=$T10),$W10,IF(AND($S10&lt;&gt;"",EDATE($D10,Milestones!$AA$184)&gt;=$S10),$V10,$U10)))=Milestones!$AB$184),UPPER(TEXT(EDATE($D10,Milestones!$AA$184),"dd mmm yy"))&amp;" "&amp;Milestones!$AB$184&amp;" "&amp;Milestones!$AC$184&amp;";  ","")&amp;IF(AND(EDATE($D10,Milestones!$AA$185)&lt;=AsOfDate,IF($R10=0,$X10,IF(AND($T10&lt;&gt;"",EDATE($D10,Milestones!$AA$185)&gt;=$T10),$W10,IF(AND($S10&lt;&gt;"",EDATE($D10,Milestones!$AA$185)&gt;=$S10),$V10,$U10)))=Milestones!$AB$185),UPPER(TEXT(EDATE($D10,Milestones!$AA$185),"dd mmm yy"))&amp;" "&amp;Milestones!$AB$185&amp;" "&amp;Milestones!$AC$185&amp;";  ","")&amp;IF(AND(EDATE($D10,Milestones!$AA$186)&lt;=AsOfDate,IF($R10=0,$X10,IF(AND($T10&lt;&gt;"",EDATE($D10,Milestones!$AA$186)&gt;=$T10),$W10,IF(AND($S10&lt;&gt;"",EDATE($D10,Milestones!$AA$186)&gt;=$S10),$V10,$U10)))=Milestones!$AB$186),UPPER(TEXT(EDATE($D10,Milestones!$AA$186),"dd mmm yy"))&amp;" "&amp;Milestones!$AB$186&amp;" "&amp;Milestones!$AC$186&amp;";  ","")&amp;IF(AND(EDATE($D10,Milestones!$AA$187)&lt;=AsOfDate,IF($R10=0,$X10,IF(AND($T10&lt;&gt;"",EDATE($D10,Milestones!$AA$187)&gt;=$T10),$W10,IF(AND($S10&lt;&gt;"",EDATE($D10,Milestones!$AA$187)&gt;=$S10),$V10,$U10)))=Milestones!$AB$187),UPPER(TEXT(EDATE($D10,Milestones!$AA$187),"dd mmm yy"))&amp;" "&amp;Milestones!$AB$187&amp;" "&amp;Milestones!$AC$187&amp;";  ","")&amp;IF(AND(EDATE($D10,Milestones!$AA$188)&lt;=AsOfDate,IF($R10=0,$X10,IF(AND($T10&lt;&gt;"",EDATE($D10,Milestones!$AA$188)&gt;=$T10),$W10,IF(AND($S10&lt;&gt;"",EDATE($D10,Milestones!$AA$188)&gt;=$S10),$V10,$U10)))=Milestones!$AB$188),UPPER(TEXT(EDATE($D10,Milestones!$AA$188),"dd mmm yy"))&amp;" "&amp;Milestones!$AB$188&amp;" "&amp;Milestones!$AC$188&amp;";  ","")&amp;IF(AND(EDATE($D10,Milestones!$AA$189)&lt;=AsOfDate,IF($R10=0,$X10,IF(AND($T10&lt;&gt;"",EDATE($D10,Milestones!$AA$189)&gt;=$T10),$W10,IF(AND($S10&lt;&gt;"",EDATE($D10,Milestones!$AA$189)&gt;=$S10),$V10,$U10)))=Milestones!$AB$189),UPPER(TEXT(EDATE($D10,Milestones!$AA$189),"dd mmm yy"))&amp;" "&amp;Milestones!$AB$189&amp;" "&amp;Milestones!$AC$189&amp;";  ","")&amp;IF(AND(EDATE($D10,Milestones!$AA$190)&lt;=AsOfDate,IF($R10=0,$X10,IF(AND($T10&lt;&gt;"",EDATE($D10,Milestones!$AA$190)&gt;=$T10),$W10,IF(AND($S10&lt;&gt;"",EDATE($D10,Milestones!$AA$190)&gt;=$S10),$V10,$U10)))=Milestones!$AB$190),UPPER(TEXT(EDATE($D10,Milestones!$AA$190),"dd mmm yy"))&amp;" "&amp;Milestones!$AB$190&amp;" "&amp;Milestones!$AC$190&amp;";  ","")&amp;IF(AND(EDATE($D10,Milestones!$AA$191)&lt;=AsOfDate,IF($R10=0,$X10,IF(AND($T10&lt;&gt;"",EDATE($D10,Milestones!$AA$191)&gt;=$T10),$W10,IF(AND($S10&lt;&gt;"",EDATE($D10,Milestones!$AA$191)&gt;=$S10),$V10,$U10)))=Milestones!$AB$191),UPPER(TEXT(EDATE($D10,Milestones!$AA$191),"dd mmm yy"))&amp;" "&amp;Milestones!$AB$191&amp;" "&amp;Milestones!$AC$191&amp;";  ","")&amp;IF(AND(EDATE($D10,Milestones!$AA$192)&lt;=AsOfDate,IF($R10=0,$X10,IF(AND($T10&lt;&gt;"",EDATE($D10,Milestones!$AA$192)&gt;=$T10),$W10,IF(AND($S10&lt;&gt;"",EDATE($D10,Milestones!$AA$192)&gt;=$S10),$V10,$U10)))=Milestones!$AB$192),UPPER(TEXT(EDATE($D10,Milestones!$AA$192),"dd mmm yy"))&amp;" "&amp;Milestones!$AB$192&amp;" "&amp;Milestones!$AC$192&amp;";  ","")&amp;IF(AND(EDATE($D10,Milestones!$AA$193)&lt;=AsOfDate,IF($R10=0,$X10,IF(AND($T10&lt;&gt;"",EDATE($D10,Milestones!$AA$193)&gt;=$T10),$W10,IF(AND($S10&lt;&gt;"",EDATE($D10,Milestones!$AA$193)&gt;=$S10),$V10,$U10)))=Milestones!$AB$193),UPPER(TEXT(EDATE($D10,Milestones!$AA$193),"dd mmm yy"))&amp;" "&amp;Milestones!$AB$193&amp;" "&amp;Milestones!$AC$193&amp;";  ","")&amp;IF(AND(EDATE($D10,Milestones!$AA$194)&lt;=AsOfDate,IF($R10=0,$X10,IF(AND($T10&lt;&gt;"",EDATE($D10,Milestones!$AA$194)&gt;=$T10),$W10,IF(AND($S10&lt;&gt;"",EDATE($D10,Milestones!$AA$194)&gt;=$S10),$V10,$U10)))=Milestones!$AB$194),UPPER(TEXT(EDATE($D10,Milestones!$AA$194),"dd mmm yy"))&amp;" "&amp;Milestones!$AB$194&amp;" "&amp;Milestones!$AC$194&amp;";  ","")&amp;IF(AND(EDATE($D10,Milestones!$AA$195)&lt;=AsOfDate,IF($R10=0,$X10,IF(AND($T10&lt;&gt;"",EDATE($D10,Milestones!$AA$195)&gt;=$T10),$W10,IF(AND($S10&lt;&gt;"",EDATE($D10,Milestones!$AA$195)&gt;=$S10),$V10,$U10)))=Milestones!$AB$195),UPPER(TEXT(EDATE($D10,Milestones!$AA$195),"dd mmm yy"))&amp;" "&amp;Milestones!$AB$195&amp;" "&amp;Milestones!$AC$195&amp;";  ","")&amp;IF(AND(EDATE($D10,Milestones!$AA$196)&lt;=AsOfDate,IF($R10=0,$X10,IF(AND($T10&lt;&gt;"",EDATE($D10,Milestones!$AA$196)&gt;=$T10),$W10,IF(AND($S10&lt;&gt;"",EDATE($D10,Milestones!$AA$196)&gt;=$S10),$V10,$U10)))=Milestones!$AB$196),UPPER(TEXT(EDATE($D10,Milestones!$AA$196),"dd mmm yy"))&amp;" "&amp;Milestones!$AB$196&amp;" "&amp;Milestones!$AC$196&amp;";  ","")&amp;IF(AND(EDATE($D10,Milestones!$AA$197)&lt;=AsOfDate,IF($R10=0,$X10,IF(AND($T10&lt;&gt;"",EDATE($D10,Milestones!$AA$197)&gt;=$T10),$W10,IF(AND($S10&lt;&gt;"",EDATE($D10,Milestones!$AA$197)&gt;=$S10),$V10,$U10)))=Milestones!$AB$197),UPPER(TEXT(EDATE($D10,Milestones!$AA$197),"dd mmm yy"))&amp;" "&amp;Milestones!$AB$197&amp;" "&amp;Milestones!$AC$197&amp;";  ","")&amp;IF(AND(EDATE($D10,Milestones!$AA$198)&lt;=AsOfDate,IF($R10=0,$X10,IF(AND($T10&lt;&gt;"",EDATE($D10,Milestones!$AA$198)&gt;=$T10),$W10,IF(AND($S10&lt;&gt;"",EDATE($D10,Milestones!$AA$198)&gt;=$S10),$V10,$U10)))=Milestones!$AB$198),UPPER(TEXT(EDATE($D10,Milestones!$AA$198),"dd mmm yy"))&amp;" "&amp;Milestones!$AB$198&amp;" "&amp;Milestones!$AC$198&amp;";  ","")&amp;IF(AND(EDATE($D10,Milestones!$AA$199)&lt;=AsOfDate,IF($R10=0,$X10,IF(AND($T10&lt;&gt;"",EDATE($D10,Milestones!$AA$199)&gt;=$T10),$W10,IF(AND($S10&lt;&gt;"",EDATE($D10,Milestones!$AA$199)&gt;=$S10),$V10,$U10)))=Milestones!$AB$199),UPPER(TEXT(EDATE($D10,Milestones!$AA$199),"dd mmm yy"))&amp;" "&amp;Milestones!$AB$199&amp;" "&amp;Milestones!$AC$199&amp;";  ",""))</f>
        <v/>
      </c>
      <c r="R10" s="33" t="n">
        <f aca="false">IF(Staff!$A10="","",Staff!$AI10)</f>
        <v>0</v>
      </c>
      <c r="S10" s="0" t="str">
        <f aca="false">IF(Staff!$A10="","",Staff!$AK10)</f>
        <v/>
      </c>
      <c r="T10" s="0" t="str">
        <f aca="false">IF(Staff!$A10="","",Staff!$AL10)</f>
        <v/>
      </c>
      <c r="U10" s="0" t="str">
        <f aca="false">IF(Staff!$A10="","",Staff!$AP10)</f>
        <v>None</v>
      </c>
      <c r="V10" s="0" t="str">
        <f aca="false">IF(Staff!$A10="","",Staff!$AQ10)</f>
        <v/>
      </c>
      <c r="W10" s="0" t="str">
        <f aca="false">IF(Staff!$A10="","",Staff!$AR10)</f>
        <v/>
      </c>
      <c r="X10" s="0" t="str">
        <f aca="false">IF(Staff!$A10="","",Staff!$AS10)</f>
        <v>None</v>
      </c>
    </row>
    <row r="11" customFormat="false" ht="15" hidden="false" customHeight="false" outlineLevel="0" collapsed="false">
      <c r="A11" s="19" t="str">
        <f aca="false">IF(Staff!$A11="","",Staff!$A11)</f>
        <v>Anton</v>
      </c>
      <c r="B11" s="19" t="str">
        <f aca="false">IF(Staff!$A11="","",Staff!$B11)</f>
        <v>Khumala</v>
      </c>
      <c r="C11" s="19" t="str">
        <f aca="false">IF(Staff!$A11="","",Staff!$C11)</f>
        <v>Casual</v>
      </c>
      <c r="D11" s="17" t="n">
        <f aca="false">IF(Staff!$A11="","",Staff!$AH11)</f>
        <v>46055</v>
      </c>
      <c r="E11" s="20" t="n">
        <f aca="false">IF(Staff!$A11="","",Staff!$O11)</f>
        <v>0</v>
      </c>
      <c r="F11" s="19" t="n">
        <f aca="false">IF(E11="","",E11*HoursPerDay)</f>
        <v>0</v>
      </c>
      <c r="G11" s="20" t="n">
        <f aca="false">IF(Staff!$A11="","",Staff!$AE11)</f>
        <v>0</v>
      </c>
      <c r="H11" s="32" t="str">
        <f aca="false">IF($A11="","",I11&amp;J11&amp;K11&amp;L11&amp;M11&amp;N11&amp;O11&amp;P11&amp;Q11)</f>
        <v/>
      </c>
      <c r="I11" s="0" t="str">
        <f aca="false">IF(OR($A11="",$D11=""),"",IF(AND(EDATE($D11,Milestones!$AA$20)&lt;=AsOfDate,IF($R11=0,$X11,IF(AND($T11&lt;&gt;"",EDATE($D11,Milestones!$AA$20)&gt;=$T11),$W11,IF(AND($S11&lt;&gt;"",EDATE($D11,Milestones!$AA$20)&gt;=$S11),$V11,$U11)))=Milestones!$AB$20),UPPER(TEXT(EDATE($D11,Milestones!$AA$20),"dd mmm yy"))&amp;" "&amp;Milestones!$AB$20&amp;" "&amp;Milestones!$AC$20&amp;";  ","")&amp;IF(AND(EDATE($D11,Milestones!$AA$21)&lt;=AsOfDate,IF($R11=0,$X11,IF(AND($T11&lt;&gt;"",EDATE($D11,Milestones!$AA$21)&gt;=$T11),$W11,IF(AND($S11&lt;&gt;"",EDATE($D11,Milestones!$AA$21)&gt;=$S11),$V11,$U11)))=Milestones!$AB$21),UPPER(TEXT(EDATE($D11,Milestones!$AA$21),"dd mmm yy"))&amp;" "&amp;Milestones!$AB$21&amp;" "&amp;Milestones!$AC$21&amp;";  ","")&amp;IF(AND(EDATE($D11,Milestones!$AA$22)&lt;=AsOfDate,IF($R11=0,$X11,IF(AND($T11&lt;&gt;"",EDATE($D11,Milestones!$AA$22)&gt;=$T11),$W11,IF(AND($S11&lt;&gt;"",EDATE($D11,Milestones!$AA$22)&gt;=$S11),$V11,$U11)))=Milestones!$AB$22),UPPER(TEXT(EDATE($D11,Milestones!$AA$22),"dd mmm yy"))&amp;" "&amp;Milestones!$AB$22&amp;" "&amp;Milestones!$AC$22&amp;";  ","")&amp;IF(AND(EDATE($D11,Milestones!$AA$23)&lt;=AsOfDate,IF($R11=0,$X11,IF(AND($T11&lt;&gt;"",EDATE($D11,Milestones!$AA$23)&gt;=$T11),$W11,IF(AND($S11&lt;&gt;"",EDATE($D11,Milestones!$AA$23)&gt;=$S11),$V11,$U11)))=Milestones!$AB$23),UPPER(TEXT(EDATE($D11,Milestones!$AA$23),"dd mmm yy"))&amp;" "&amp;Milestones!$AB$23&amp;" "&amp;Milestones!$AC$23&amp;";  ","")&amp;IF(AND(EDATE($D11,Milestones!$AA$24)&lt;=AsOfDate,IF($R11=0,$X11,IF(AND($T11&lt;&gt;"",EDATE($D11,Milestones!$AA$24)&gt;=$T11),$W11,IF(AND($S11&lt;&gt;"",EDATE($D11,Milestones!$AA$24)&gt;=$S11),$V11,$U11)))=Milestones!$AB$24),UPPER(TEXT(EDATE($D11,Milestones!$AA$24),"dd mmm yy"))&amp;" "&amp;Milestones!$AB$24&amp;" "&amp;Milestones!$AC$24&amp;";  ","")&amp;IF(AND(EDATE($D11,Milestones!$AA$25)&lt;=AsOfDate,IF($R11=0,$X11,IF(AND($T11&lt;&gt;"",EDATE($D11,Milestones!$AA$25)&gt;=$T11),$W11,IF(AND($S11&lt;&gt;"",EDATE($D11,Milestones!$AA$25)&gt;=$S11),$V11,$U11)))=Milestones!$AB$25),UPPER(TEXT(EDATE($D11,Milestones!$AA$25),"dd mmm yy"))&amp;" "&amp;Milestones!$AB$25&amp;" "&amp;Milestones!$AC$25&amp;";  ","")&amp;IF(AND(EDATE($D11,Milestones!$AA$26)&lt;=AsOfDate,IF($R11=0,$X11,IF(AND($T11&lt;&gt;"",EDATE($D11,Milestones!$AA$26)&gt;=$T11),$W11,IF(AND($S11&lt;&gt;"",EDATE($D11,Milestones!$AA$26)&gt;=$S11),$V11,$U11)))=Milestones!$AB$26),UPPER(TEXT(EDATE($D11,Milestones!$AA$26),"dd mmm yy"))&amp;" "&amp;Milestones!$AB$26&amp;" "&amp;Milestones!$AC$26&amp;";  ","")&amp;IF(AND(EDATE($D11,Milestones!$AA$27)&lt;=AsOfDate,IF($R11=0,$X11,IF(AND($T11&lt;&gt;"",EDATE($D11,Milestones!$AA$27)&gt;=$T11),$W11,IF(AND($S11&lt;&gt;"",EDATE($D11,Milestones!$AA$27)&gt;=$S11),$V11,$U11)))=Milestones!$AB$27),UPPER(TEXT(EDATE($D11,Milestones!$AA$27),"dd mmm yy"))&amp;" "&amp;Milestones!$AB$27&amp;" "&amp;Milestones!$AC$27&amp;";  ","")&amp;IF(AND(EDATE($D11,Milestones!$AA$28)&lt;=AsOfDate,IF($R11=0,$X11,IF(AND($T11&lt;&gt;"",EDATE($D11,Milestones!$AA$28)&gt;=$T11),$W11,IF(AND($S11&lt;&gt;"",EDATE($D11,Milestones!$AA$28)&gt;=$S11),$V11,$U11)))=Milestones!$AB$28),UPPER(TEXT(EDATE($D11,Milestones!$AA$28),"dd mmm yy"))&amp;" "&amp;Milestones!$AB$28&amp;" "&amp;Milestones!$AC$28&amp;";  ","")&amp;IF(AND(EDATE($D11,Milestones!$AA$29)&lt;=AsOfDate,IF($R11=0,$X11,IF(AND($T11&lt;&gt;"",EDATE($D11,Milestones!$AA$29)&gt;=$T11),$W11,IF(AND($S11&lt;&gt;"",EDATE($D11,Milestones!$AA$29)&gt;=$S11),$V11,$U11)))=Milestones!$AB$29),UPPER(TEXT(EDATE($D11,Milestones!$AA$29),"dd mmm yy"))&amp;" "&amp;Milestones!$AB$29&amp;" "&amp;Milestones!$AC$29&amp;";  ","")&amp;IF(AND(EDATE($D11,Milestones!$AA$30)&lt;=AsOfDate,IF($R11=0,$X11,IF(AND($T11&lt;&gt;"",EDATE($D11,Milestones!$AA$30)&gt;=$T11),$W11,IF(AND($S11&lt;&gt;"",EDATE($D11,Milestones!$AA$30)&gt;=$S11),$V11,$U11)))=Milestones!$AB$30),UPPER(TEXT(EDATE($D11,Milestones!$AA$30),"dd mmm yy"))&amp;" "&amp;Milestones!$AB$30&amp;" "&amp;Milestones!$AC$30&amp;";  ","")&amp;IF(AND(EDATE($D11,Milestones!$AA$31)&lt;=AsOfDate,IF($R11=0,$X11,IF(AND($T11&lt;&gt;"",EDATE($D11,Milestones!$AA$31)&gt;=$T11),$W11,IF(AND($S11&lt;&gt;"",EDATE($D11,Milestones!$AA$31)&gt;=$S11),$V11,$U11)))=Milestones!$AB$31),UPPER(TEXT(EDATE($D11,Milestones!$AA$31),"dd mmm yy"))&amp;" "&amp;Milestones!$AB$31&amp;" "&amp;Milestones!$AC$31&amp;";  ","")&amp;IF(AND(EDATE($D11,Milestones!$AA$32)&lt;=AsOfDate,IF($R11=0,$X11,IF(AND($T11&lt;&gt;"",EDATE($D11,Milestones!$AA$32)&gt;=$T11),$W11,IF(AND($S11&lt;&gt;"",EDATE($D11,Milestones!$AA$32)&gt;=$S11),$V11,$U11)))=Milestones!$AB$32),UPPER(TEXT(EDATE($D11,Milestones!$AA$32),"dd mmm yy"))&amp;" "&amp;Milestones!$AB$32&amp;" "&amp;Milestones!$AC$32&amp;";  ","")&amp;IF(AND(EDATE($D11,Milestones!$AA$33)&lt;=AsOfDate,IF($R11=0,$X11,IF(AND($T11&lt;&gt;"",EDATE($D11,Milestones!$AA$33)&gt;=$T11),$W11,IF(AND($S11&lt;&gt;"",EDATE($D11,Milestones!$AA$33)&gt;=$S11),$V11,$U11)))=Milestones!$AB$33),UPPER(TEXT(EDATE($D11,Milestones!$AA$33),"dd mmm yy"))&amp;" "&amp;Milestones!$AB$33&amp;" "&amp;Milestones!$AC$33&amp;";  ","")&amp;IF(AND(EDATE($D11,Milestones!$AA$34)&lt;=AsOfDate,IF($R11=0,$X11,IF(AND($T11&lt;&gt;"",EDATE($D11,Milestones!$AA$34)&gt;=$T11),$W11,IF(AND($S11&lt;&gt;"",EDATE($D11,Milestones!$AA$34)&gt;=$S11),$V11,$U11)))=Milestones!$AB$34),UPPER(TEXT(EDATE($D11,Milestones!$AA$34),"dd mmm yy"))&amp;" "&amp;Milestones!$AB$34&amp;" "&amp;Milestones!$AC$34&amp;";  ","")&amp;IF(AND(EDATE($D11,Milestones!$AA$35)&lt;=AsOfDate,IF($R11=0,$X11,IF(AND($T11&lt;&gt;"",EDATE($D11,Milestones!$AA$35)&gt;=$T11),$W11,IF(AND($S11&lt;&gt;"",EDATE($D11,Milestones!$AA$35)&gt;=$S11),$V11,$U11)))=Milestones!$AB$35),UPPER(TEXT(EDATE($D11,Milestones!$AA$35),"dd mmm yy"))&amp;" "&amp;Milestones!$AB$35&amp;" "&amp;Milestones!$AC$35&amp;";  ","")&amp;IF(AND(EDATE($D11,Milestones!$AA$36)&lt;=AsOfDate,IF($R11=0,$X11,IF(AND($T11&lt;&gt;"",EDATE($D11,Milestones!$AA$36)&gt;=$T11),$W11,IF(AND($S11&lt;&gt;"",EDATE($D11,Milestones!$AA$36)&gt;=$S11),$V11,$U11)))=Milestones!$AB$36),UPPER(TEXT(EDATE($D11,Milestones!$AA$36),"dd mmm yy"))&amp;" "&amp;Milestones!$AB$36&amp;" "&amp;Milestones!$AC$36&amp;";  ","")&amp;IF(AND(EDATE($D11,Milestones!$AA$37)&lt;=AsOfDate,IF($R11=0,$X11,IF(AND($T11&lt;&gt;"",EDATE($D11,Milestones!$AA$37)&gt;=$T11),$W11,IF(AND($S11&lt;&gt;"",EDATE($D11,Milestones!$AA$37)&gt;=$S11),$V11,$U11)))=Milestones!$AB$37),UPPER(TEXT(EDATE($D11,Milestones!$AA$37),"dd mmm yy"))&amp;" "&amp;Milestones!$AB$37&amp;" "&amp;Milestones!$AC$37&amp;";  ","")&amp;IF(AND(EDATE($D11,Milestones!$AA$38)&lt;=AsOfDate,IF($R11=0,$X11,IF(AND($T11&lt;&gt;"",EDATE($D11,Milestones!$AA$38)&gt;=$T11),$W11,IF(AND($S11&lt;&gt;"",EDATE($D11,Milestones!$AA$38)&gt;=$S11),$V11,$U11)))=Milestones!$AB$38),UPPER(TEXT(EDATE($D11,Milestones!$AA$38),"dd mmm yy"))&amp;" "&amp;Milestones!$AB$38&amp;" "&amp;Milestones!$AC$38&amp;";  ","")&amp;IF(AND(EDATE($D11,Milestones!$AA$39)&lt;=AsOfDate,IF($R11=0,$X11,IF(AND($T11&lt;&gt;"",EDATE($D11,Milestones!$AA$39)&gt;=$T11),$W11,IF(AND($S11&lt;&gt;"",EDATE($D11,Milestones!$AA$39)&gt;=$S11),$V11,$U11)))=Milestones!$AB$39),UPPER(TEXT(EDATE($D11,Milestones!$AA$39),"dd mmm yy"))&amp;" "&amp;Milestones!$AB$39&amp;" "&amp;Milestones!$AC$39&amp;";  ",""))</f>
        <v/>
      </c>
      <c r="J11" s="0" t="str">
        <f aca="false">IF(OR($A11="",$D11=""),"",IF(AND(EDATE($D11,Milestones!$AA$40)&lt;=AsOfDate,IF($R11=0,$X11,IF(AND($T11&lt;&gt;"",EDATE($D11,Milestones!$AA$40)&gt;=$T11),$W11,IF(AND($S11&lt;&gt;"",EDATE($D11,Milestones!$AA$40)&gt;=$S11),$V11,$U11)))=Milestones!$AB$40),UPPER(TEXT(EDATE($D11,Milestones!$AA$40),"dd mmm yy"))&amp;" "&amp;Milestones!$AB$40&amp;" "&amp;Milestones!$AC$40&amp;";  ","")&amp;IF(AND(EDATE($D11,Milestones!$AA$41)&lt;=AsOfDate,IF($R11=0,$X11,IF(AND($T11&lt;&gt;"",EDATE($D11,Milestones!$AA$41)&gt;=$T11),$W11,IF(AND($S11&lt;&gt;"",EDATE($D11,Milestones!$AA$41)&gt;=$S11),$V11,$U11)))=Milestones!$AB$41),UPPER(TEXT(EDATE($D11,Milestones!$AA$41),"dd mmm yy"))&amp;" "&amp;Milestones!$AB$41&amp;" "&amp;Milestones!$AC$41&amp;";  ","")&amp;IF(AND(EDATE($D11,Milestones!$AA$42)&lt;=AsOfDate,IF($R11=0,$X11,IF(AND($T11&lt;&gt;"",EDATE($D11,Milestones!$AA$42)&gt;=$T11),$W11,IF(AND($S11&lt;&gt;"",EDATE($D11,Milestones!$AA$42)&gt;=$S11),$V11,$U11)))=Milestones!$AB$42),UPPER(TEXT(EDATE($D11,Milestones!$AA$42),"dd mmm yy"))&amp;" "&amp;Milestones!$AB$42&amp;" "&amp;Milestones!$AC$42&amp;";  ","")&amp;IF(AND(EDATE($D11,Milestones!$AA$43)&lt;=AsOfDate,IF($R11=0,$X11,IF(AND($T11&lt;&gt;"",EDATE($D11,Milestones!$AA$43)&gt;=$T11),$W11,IF(AND($S11&lt;&gt;"",EDATE($D11,Milestones!$AA$43)&gt;=$S11),$V11,$U11)))=Milestones!$AB$43),UPPER(TEXT(EDATE($D11,Milestones!$AA$43),"dd mmm yy"))&amp;" "&amp;Milestones!$AB$43&amp;" "&amp;Milestones!$AC$43&amp;";  ","")&amp;IF(AND(EDATE($D11,Milestones!$AA$44)&lt;=AsOfDate,IF($R11=0,$X11,IF(AND($T11&lt;&gt;"",EDATE($D11,Milestones!$AA$44)&gt;=$T11),$W11,IF(AND($S11&lt;&gt;"",EDATE($D11,Milestones!$AA$44)&gt;=$S11),$V11,$U11)))=Milestones!$AB$44),UPPER(TEXT(EDATE($D11,Milestones!$AA$44),"dd mmm yy"))&amp;" "&amp;Milestones!$AB$44&amp;" "&amp;Milestones!$AC$44&amp;";  ","")&amp;IF(AND(EDATE($D11,Milestones!$AA$45)&lt;=AsOfDate,IF($R11=0,$X11,IF(AND($T11&lt;&gt;"",EDATE($D11,Milestones!$AA$45)&gt;=$T11),$W11,IF(AND($S11&lt;&gt;"",EDATE($D11,Milestones!$AA$45)&gt;=$S11),$V11,$U11)))=Milestones!$AB$45),UPPER(TEXT(EDATE($D11,Milestones!$AA$45),"dd mmm yy"))&amp;" "&amp;Milestones!$AB$45&amp;" "&amp;Milestones!$AC$45&amp;";  ","")&amp;IF(AND(EDATE($D11,Milestones!$AA$46)&lt;=AsOfDate,IF($R11=0,$X11,IF(AND($T11&lt;&gt;"",EDATE($D11,Milestones!$AA$46)&gt;=$T11),$W11,IF(AND($S11&lt;&gt;"",EDATE($D11,Milestones!$AA$46)&gt;=$S11),$V11,$U11)))=Milestones!$AB$46),UPPER(TEXT(EDATE($D11,Milestones!$AA$46),"dd mmm yy"))&amp;" "&amp;Milestones!$AB$46&amp;" "&amp;Milestones!$AC$46&amp;";  ","")&amp;IF(AND(EDATE($D11,Milestones!$AA$47)&lt;=AsOfDate,IF($R11=0,$X11,IF(AND($T11&lt;&gt;"",EDATE($D11,Milestones!$AA$47)&gt;=$T11),$W11,IF(AND($S11&lt;&gt;"",EDATE($D11,Milestones!$AA$47)&gt;=$S11),$V11,$U11)))=Milestones!$AB$47),UPPER(TEXT(EDATE($D11,Milestones!$AA$47),"dd mmm yy"))&amp;" "&amp;Milestones!$AB$47&amp;" "&amp;Milestones!$AC$47&amp;";  ","")&amp;IF(AND(EDATE($D11,Milestones!$AA$48)&lt;=AsOfDate,IF($R11=0,$X11,IF(AND($T11&lt;&gt;"",EDATE($D11,Milestones!$AA$48)&gt;=$T11),$W11,IF(AND($S11&lt;&gt;"",EDATE($D11,Milestones!$AA$48)&gt;=$S11),$V11,$U11)))=Milestones!$AB$48),UPPER(TEXT(EDATE($D11,Milestones!$AA$48),"dd mmm yy"))&amp;" "&amp;Milestones!$AB$48&amp;" "&amp;Milestones!$AC$48&amp;";  ","")&amp;IF(AND(EDATE($D11,Milestones!$AA$49)&lt;=AsOfDate,IF($R11=0,$X11,IF(AND($T11&lt;&gt;"",EDATE($D11,Milestones!$AA$49)&gt;=$T11),$W11,IF(AND($S11&lt;&gt;"",EDATE($D11,Milestones!$AA$49)&gt;=$S11),$V11,$U11)))=Milestones!$AB$49),UPPER(TEXT(EDATE($D11,Milestones!$AA$49),"dd mmm yy"))&amp;" "&amp;Milestones!$AB$49&amp;" "&amp;Milestones!$AC$49&amp;";  ","")&amp;IF(AND(EDATE($D11,Milestones!$AA$50)&lt;=AsOfDate,IF($R11=0,$X11,IF(AND($T11&lt;&gt;"",EDATE($D11,Milestones!$AA$50)&gt;=$T11),$W11,IF(AND($S11&lt;&gt;"",EDATE($D11,Milestones!$AA$50)&gt;=$S11),$V11,$U11)))=Milestones!$AB$50),UPPER(TEXT(EDATE($D11,Milestones!$AA$50),"dd mmm yy"))&amp;" "&amp;Milestones!$AB$50&amp;" "&amp;Milestones!$AC$50&amp;";  ","")&amp;IF(AND(EDATE($D11,Milestones!$AA$51)&lt;=AsOfDate,IF($R11=0,$X11,IF(AND($T11&lt;&gt;"",EDATE($D11,Milestones!$AA$51)&gt;=$T11),$W11,IF(AND($S11&lt;&gt;"",EDATE($D11,Milestones!$AA$51)&gt;=$S11),$V11,$U11)))=Milestones!$AB$51),UPPER(TEXT(EDATE($D11,Milestones!$AA$51),"dd mmm yy"))&amp;" "&amp;Milestones!$AB$51&amp;" "&amp;Milestones!$AC$51&amp;";  ","")&amp;IF(AND(EDATE($D11,Milestones!$AA$52)&lt;=AsOfDate,IF($R11=0,$X11,IF(AND($T11&lt;&gt;"",EDATE($D11,Milestones!$AA$52)&gt;=$T11),$W11,IF(AND($S11&lt;&gt;"",EDATE($D11,Milestones!$AA$52)&gt;=$S11),$V11,$U11)))=Milestones!$AB$52),UPPER(TEXT(EDATE($D11,Milestones!$AA$52),"dd mmm yy"))&amp;" "&amp;Milestones!$AB$52&amp;" "&amp;Milestones!$AC$52&amp;";  ","")&amp;IF(AND(EDATE($D11,Milestones!$AA$53)&lt;=AsOfDate,IF($R11=0,$X11,IF(AND($T11&lt;&gt;"",EDATE($D11,Milestones!$AA$53)&gt;=$T11),$W11,IF(AND($S11&lt;&gt;"",EDATE($D11,Milestones!$AA$53)&gt;=$S11),$V11,$U11)))=Milestones!$AB$53),UPPER(TEXT(EDATE($D11,Milestones!$AA$53),"dd mmm yy"))&amp;" "&amp;Milestones!$AB$53&amp;" "&amp;Milestones!$AC$53&amp;";  ","")&amp;IF(AND(EDATE($D11,Milestones!$AA$54)&lt;=AsOfDate,IF($R11=0,$X11,IF(AND($T11&lt;&gt;"",EDATE($D11,Milestones!$AA$54)&gt;=$T11),$W11,IF(AND($S11&lt;&gt;"",EDATE($D11,Milestones!$AA$54)&gt;=$S11),$V11,$U11)))=Milestones!$AB$54),UPPER(TEXT(EDATE($D11,Milestones!$AA$54),"dd mmm yy"))&amp;" "&amp;Milestones!$AB$54&amp;" "&amp;Milestones!$AC$54&amp;";  ","")&amp;IF(AND(EDATE($D11,Milestones!$AA$55)&lt;=AsOfDate,IF($R11=0,$X11,IF(AND($T11&lt;&gt;"",EDATE($D11,Milestones!$AA$55)&gt;=$T11),$W11,IF(AND($S11&lt;&gt;"",EDATE($D11,Milestones!$AA$55)&gt;=$S11),$V11,$U11)))=Milestones!$AB$55),UPPER(TEXT(EDATE($D11,Milestones!$AA$55),"dd mmm yy"))&amp;" "&amp;Milestones!$AB$55&amp;" "&amp;Milestones!$AC$55&amp;";  ","")&amp;IF(AND(EDATE($D11,Milestones!$AA$56)&lt;=AsOfDate,IF($R11=0,$X11,IF(AND($T11&lt;&gt;"",EDATE($D11,Milestones!$AA$56)&gt;=$T11),$W11,IF(AND($S11&lt;&gt;"",EDATE($D11,Milestones!$AA$56)&gt;=$S11),$V11,$U11)))=Milestones!$AB$56),UPPER(TEXT(EDATE($D11,Milestones!$AA$56),"dd mmm yy"))&amp;" "&amp;Milestones!$AB$56&amp;" "&amp;Milestones!$AC$56&amp;";  ","")&amp;IF(AND(EDATE($D11,Milestones!$AA$57)&lt;=AsOfDate,IF($R11=0,$X11,IF(AND($T11&lt;&gt;"",EDATE($D11,Milestones!$AA$57)&gt;=$T11),$W11,IF(AND($S11&lt;&gt;"",EDATE($D11,Milestones!$AA$57)&gt;=$S11),$V11,$U11)))=Milestones!$AB$57),UPPER(TEXT(EDATE($D11,Milestones!$AA$57),"dd mmm yy"))&amp;" "&amp;Milestones!$AB$57&amp;" "&amp;Milestones!$AC$57&amp;";  ","")&amp;IF(AND(EDATE($D11,Milestones!$AA$58)&lt;=AsOfDate,IF($R11=0,$X11,IF(AND($T11&lt;&gt;"",EDATE($D11,Milestones!$AA$58)&gt;=$T11),$W11,IF(AND($S11&lt;&gt;"",EDATE($D11,Milestones!$AA$58)&gt;=$S11),$V11,$U11)))=Milestones!$AB$58),UPPER(TEXT(EDATE($D11,Milestones!$AA$58),"dd mmm yy"))&amp;" "&amp;Milestones!$AB$58&amp;" "&amp;Milestones!$AC$58&amp;";  ","")&amp;IF(AND(EDATE($D11,Milestones!$AA$59)&lt;=AsOfDate,IF($R11=0,$X11,IF(AND($T11&lt;&gt;"",EDATE($D11,Milestones!$AA$59)&gt;=$T11),$W11,IF(AND($S11&lt;&gt;"",EDATE($D11,Milestones!$AA$59)&gt;=$S11),$V11,$U11)))=Milestones!$AB$59),UPPER(TEXT(EDATE($D11,Milestones!$AA$59),"dd mmm yy"))&amp;" "&amp;Milestones!$AB$59&amp;" "&amp;Milestones!$AC$59&amp;";  ",""))</f>
        <v/>
      </c>
      <c r="K11" s="0" t="str">
        <f aca="false">IF(OR($A11="",$D11=""),"",IF(AND(EDATE($D11,Milestones!$AA$60)&lt;=AsOfDate,IF($R11=0,$X11,IF(AND($T11&lt;&gt;"",EDATE($D11,Milestones!$AA$60)&gt;=$T11),$W11,IF(AND($S11&lt;&gt;"",EDATE($D11,Milestones!$AA$60)&gt;=$S11),$V11,$U11)))=Milestones!$AB$60),UPPER(TEXT(EDATE($D11,Milestones!$AA$60),"dd mmm yy"))&amp;" "&amp;Milestones!$AB$60&amp;" "&amp;Milestones!$AC$60&amp;";  ","")&amp;IF(AND(EDATE($D11,Milestones!$AA$61)&lt;=AsOfDate,IF($R11=0,$X11,IF(AND($T11&lt;&gt;"",EDATE($D11,Milestones!$AA$61)&gt;=$T11),$W11,IF(AND($S11&lt;&gt;"",EDATE($D11,Milestones!$AA$61)&gt;=$S11),$V11,$U11)))=Milestones!$AB$61),UPPER(TEXT(EDATE($D11,Milestones!$AA$61),"dd mmm yy"))&amp;" "&amp;Milestones!$AB$61&amp;" "&amp;Milestones!$AC$61&amp;";  ","")&amp;IF(AND(EDATE($D11,Milestones!$AA$62)&lt;=AsOfDate,IF($R11=0,$X11,IF(AND($T11&lt;&gt;"",EDATE($D11,Milestones!$AA$62)&gt;=$T11),$W11,IF(AND($S11&lt;&gt;"",EDATE($D11,Milestones!$AA$62)&gt;=$S11),$V11,$U11)))=Milestones!$AB$62),UPPER(TEXT(EDATE($D11,Milestones!$AA$62),"dd mmm yy"))&amp;" "&amp;Milestones!$AB$62&amp;" "&amp;Milestones!$AC$62&amp;";  ","")&amp;IF(AND(EDATE($D11,Milestones!$AA$63)&lt;=AsOfDate,IF($R11=0,$X11,IF(AND($T11&lt;&gt;"",EDATE($D11,Milestones!$AA$63)&gt;=$T11),$W11,IF(AND($S11&lt;&gt;"",EDATE($D11,Milestones!$AA$63)&gt;=$S11),$V11,$U11)))=Milestones!$AB$63),UPPER(TEXT(EDATE($D11,Milestones!$AA$63),"dd mmm yy"))&amp;" "&amp;Milestones!$AB$63&amp;" "&amp;Milestones!$AC$63&amp;";  ","")&amp;IF(AND(EDATE($D11,Milestones!$AA$64)&lt;=AsOfDate,IF($R11=0,$X11,IF(AND($T11&lt;&gt;"",EDATE($D11,Milestones!$AA$64)&gt;=$T11),$W11,IF(AND($S11&lt;&gt;"",EDATE($D11,Milestones!$AA$64)&gt;=$S11),$V11,$U11)))=Milestones!$AB$64),UPPER(TEXT(EDATE($D11,Milestones!$AA$64),"dd mmm yy"))&amp;" "&amp;Milestones!$AB$64&amp;" "&amp;Milestones!$AC$64&amp;";  ","")&amp;IF(AND(EDATE($D11,Milestones!$AA$65)&lt;=AsOfDate,IF($R11=0,$X11,IF(AND($T11&lt;&gt;"",EDATE($D11,Milestones!$AA$65)&gt;=$T11),$W11,IF(AND($S11&lt;&gt;"",EDATE($D11,Milestones!$AA$65)&gt;=$S11),$V11,$U11)))=Milestones!$AB$65),UPPER(TEXT(EDATE($D11,Milestones!$AA$65),"dd mmm yy"))&amp;" "&amp;Milestones!$AB$65&amp;" "&amp;Milestones!$AC$65&amp;";  ","")&amp;IF(AND(EDATE($D11,Milestones!$AA$66)&lt;=AsOfDate,IF($R11=0,$X11,IF(AND($T11&lt;&gt;"",EDATE($D11,Milestones!$AA$66)&gt;=$T11),$W11,IF(AND($S11&lt;&gt;"",EDATE($D11,Milestones!$AA$66)&gt;=$S11),$V11,$U11)))=Milestones!$AB$66),UPPER(TEXT(EDATE($D11,Milestones!$AA$66),"dd mmm yy"))&amp;" "&amp;Milestones!$AB$66&amp;" "&amp;Milestones!$AC$66&amp;";  ","")&amp;IF(AND(EDATE($D11,Milestones!$AA$67)&lt;=AsOfDate,IF($R11=0,$X11,IF(AND($T11&lt;&gt;"",EDATE($D11,Milestones!$AA$67)&gt;=$T11),$W11,IF(AND($S11&lt;&gt;"",EDATE($D11,Milestones!$AA$67)&gt;=$S11),$V11,$U11)))=Milestones!$AB$67),UPPER(TEXT(EDATE($D11,Milestones!$AA$67),"dd mmm yy"))&amp;" "&amp;Milestones!$AB$67&amp;" "&amp;Milestones!$AC$67&amp;";  ","")&amp;IF(AND(EDATE($D11,Milestones!$AA$68)&lt;=AsOfDate,IF($R11=0,$X11,IF(AND($T11&lt;&gt;"",EDATE($D11,Milestones!$AA$68)&gt;=$T11),$W11,IF(AND($S11&lt;&gt;"",EDATE($D11,Milestones!$AA$68)&gt;=$S11),$V11,$U11)))=Milestones!$AB$68),UPPER(TEXT(EDATE($D11,Milestones!$AA$68),"dd mmm yy"))&amp;" "&amp;Milestones!$AB$68&amp;" "&amp;Milestones!$AC$68&amp;";  ","")&amp;IF(AND(EDATE($D11,Milestones!$AA$69)&lt;=AsOfDate,IF($R11=0,$X11,IF(AND($T11&lt;&gt;"",EDATE($D11,Milestones!$AA$69)&gt;=$T11),$W11,IF(AND($S11&lt;&gt;"",EDATE($D11,Milestones!$AA$69)&gt;=$S11),$V11,$U11)))=Milestones!$AB$69),UPPER(TEXT(EDATE($D11,Milestones!$AA$69),"dd mmm yy"))&amp;" "&amp;Milestones!$AB$69&amp;" "&amp;Milestones!$AC$69&amp;";  ","")&amp;IF(AND(EDATE($D11,Milestones!$AA$70)&lt;=AsOfDate,IF($R11=0,$X11,IF(AND($T11&lt;&gt;"",EDATE($D11,Milestones!$AA$70)&gt;=$T11),$W11,IF(AND($S11&lt;&gt;"",EDATE($D11,Milestones!$AA$70)&gt;=$S11),$V11,$U11)))=Milestones!$AB$70),UPPER(TEXT(EDATE($D11,Milestones!$AA$70),"dd mmm yy"))&amp;" "&amp;Milestones!$AB$70&amp;" "&amp;Milestones!$AC$70&amp;";  ","")&amp;IF(AND(EDATE($D11,Milestones!$AA$71)&lt;=AsOfDate,IF($R11=0,$X11,IF(AND($T11&lt;&gt;"",EDATE($D11,Milestones!$AA$71)&gt;=$T11),$W11,IF(AND($S11&lt;&gt;"",EDATE($D11,Milestones!$AA$71)&gt;=$S11),$V11,$U11)))=Milestones!$AB$71),UPPER(TEXT(EDATE($D11,Milestones!$AA$71),"dd mmm yy"))&amp;" "&amp;Milestones!$AB$71&amp;" "&amp;Milestones!$AC$71&amp;";  ","")&amp;IF(AND(EDATE($D11,Milestones!$AA$72)&lt;=AsOfDate,IF($R11=0,$X11,IF(AND($T11&lt;&gt;"",EDATE($D11,Milestones!$AA$72)&gt;=$T11),$W11,IF(AND($S11&lt;&gt;"",EDATE($D11,Milestones!$AA$72)&gt;=$S11),$V11,$U11)))=Milestones!$AB$72),UPPER(TEXT(EDATE($D11,Milestones!$AA$72),"dd mmm yy"))&amp;" "&amp;Milestones!$AB$72&amp;" "&amp;Milestones!$AC$72&amp;";  ","")&amp;IF(AND(EDATE($D11,Milestones!$AA$73)&lt;=AsOfDate,IF($R11=0,$X11,IF(AND($T11&lt;&gt;"",EDATE($D11,Milestones!$AA$73)&gt;=$T11),$W11,IF(AND($S11&lt;&gt;"",EDATE($D11,Milestones!$AA$73)&gt;=$S11),$V11,$U11)))=Milestones!$AB$73),UPPER(TEXT(EDATE($D11,Milestones!$AA$73),"dd mmm yy"))&amp;" "&amp;Milestones!$AB$73&amp;" "&amp;Milestones!$AC$73&amp;";  ","")&amp;IF(AND(EDATE($D11,Milestones!$AA$74)&lt;=AsOfDate,IF($R11=0,$X11,IF(AND($T11&lt;&gt;"",EDATE($D11,Milestones!$AA$74)&gt;=$T11),$W11,IF(AND($S11&lt;&gt;"",EDATE($D11,Milestones!$AA$74)&gt;=$S11),$V11,$U11)))=Milestones!$AB$74),UPPER(TEXT(EDATE($D11,Milestones!$AA$74),"dd mmm yy"))&amp;" "&amp;Milestones!$AB$74&amp;" "&amp;Milestones!$AC$74&amp;";  ","")&amp;IF(AND(EDATE($D11,Milestones!$AA$75)&lt;=AsOfDate,IF($R11=0,$X11,IF(AND($T11&lt;&gt;"",EDATE($D11,Milestones!$AA$75)&gt;=$T11),$W11,IF(AND($S11&lt;&gt;"",EDATE($D11,Milestones!$AA$75)&gt;=$S11),$V11,$U11)))=Milestones!$AB$75),UPPER(TEXT(EDATE($D11,Milestones!$AA$75),"dd mmm yy"))&amp;" "&amp;Milestones!$AB$75&amp;" "&amp;Milestones!$AC$75&amp;";  ","")&amp;IF(AND(EDATE($D11,Milestones!$AA$76)&lt;=AsOfDate,IF($R11=0,$X11,IF(AND($T11&lt;&gt;"",EDATE($D11,Milestones!$AA$76)&gt;=$T11),$W11,IF(AND($S11&lt;&gt;"",EDATE($D11,Milestones!$AA$76)&gt;=$S11),$V11,$U11)))=Milestones!$AB$76),UPPER(TEXT(EDATE($D11,Milestones!$AA$76),"dd mmm yy"))&amp;" "&amp;Milestones!$AB$76&amp;" "&amp;Milestones!$AC$76&amp;";  ","")&amp;IF(AND(EDATE($D11,Milestones!$AA$77)&lt;=AsOfDate,IF($R11=0,$X11,IF(AND($T11&lt;&gt;"",EDATE($D11,Milestones!$AA$77)&gt;=$T11),$W11,IF(AND($S11&lt;&gt;"",EDATE($D11,Milestones!$AA$77)&gt;=$S11),$V11,$U11)))=Milestones!$AB$77),UPPER(TEXT(EDATE($D11,Milestones!$AA$77),"dd mmm yy"))&amp;" "&amp;Milestones!$AB$77&amp;" "&amp;Milestones!$AC$77&amp;";  ","")&amp;IF(AND(EDATE($D11,Milestones!$AA$78)&lt;=AsOfDate,IF($R11=0,$X11,IF(AND($T11&lt;&gt;"",EDATE($D11,Milestones!$AA$78)&gt;=$T11),$W11,IF(AND($S11&lt;&gt;"",EDATE($D11,Milestones!$AA$78)&gt;=$S11),$V11,$U11)))=Milestones!$AB$78),UPPER(TEXT(EDATE($D11,Milestones!$AA$78),"dd mmm yy"))&amp;" "&amp;Milestones!$AB$78&amp;" "&amp;Milestones!$AC$78&amp;";  ","")&amp;IF(AND(EDATE($D11,Milestones!$AA$79)&lt;=AsOfDate,IF($R11=0,$X11,IF(AND($T11&lt;&gt;"",EDATE($D11,Milestones!$AA$79)&gt;=$T11),$W11,IF(AND($S11&lt;&gt;"",EDATE($D11,Milestones!$AA$79)&gt;=$S11),$V11,$U11)))=Milestones!$AB$79),UPPER(TEXT(EDATE($D11,Milestones!$AA$79),"dd mmm yy"))&amp;" "&amp;Milestones!$AB$79&amp;" "&amp;Milestones!$AC$79&amp;";  ",""))</f>
        <v/>
      </c>
      <c r="L11" s="0" t="str">
        <f aca="false">IF(OR($A11="",$D11=""),"",IF(AND(EDATE($D11,Milestones!$AA$80)&lt;=AsOfDate,IF($R11=0,$X11,IF(AND($T11&lt;&gt;"",EDATE($D11,Milestones!$AA$80)&gt;=$T11),$W11,IF(AND($S11&lt;&gt;"",EDATE($D11,Milestones!$AA$80)&gt;=$S11),$V11,$U11)))=Milestones!$AB$80),UPPER(TEXT(EDATE($D11,Milestones!$AA$80),"dd mmm yy"))&amp;" "&amp;Milestones!$AB$80&amp;" "&amp;Milestones!$AC$80&amp;";  ","")&amp;IF(AND(EDATE($D11,Milestones!$AA$81)&lt;=AsOfDate,IF($R11=0,$X11,IF(AND($T11&lt;&gt;"",EDATE($D11,Milestones!$AA$81)&gt;=$T11),$W11,IF(AND($S11&lt;&gt;"",EDATE($D11,Milestones!$AA$81)&gt;=$S11),$V11,$U11)))=Milestones!$AB$81),UPPER(TEXT(EDATE($D11,Milestones!$AA$81),"dd mmm yy"))&amp;" "&amp;Milestones!$AB$81&amp;" "&amp;Milestones!$AC$81&amp;";  ","")&amp;IF(AND(EDATE($D11,Milestones!$AA$82)&lt;=AsOfDate,IF($R11=0,$X11,IF(AND($T11&lt;&gt;"",EDATE($D11,Milestones!$AA$82)&gt;=$T11),$W11,IF(AND($S11&lt;&gt;"",EDATE($D11,Milestones!$AA$82)&gt;=$S11),$V11,$U11)))=Milestones!$AB$82),UPPER(TEXT(EDATE($D11,Milestones!$AA$82),"dd mmm yy"))&amp;" "&amp;Milestones!$AB$82&amp;" "&amp;Milestones!$AC$82&amp;";  ","")&amp;IF(AND(EDATE($D11,Milestones!$AA$83)&lt;=AsOfDate,IF($R11=0,$X11,IF(AND($T11&lt;&gt;"",EDATE($D11,Milestones!$AA$83)&gt;=$T11),$W11,IF(AND($S11&lt;&gt;"",EDATE($D11,Milestones!$AA$83)&gt;=$S11),$V11,$U11)))=Milestones!$AB$83),UPPER(TEXT(EDATE($D11,Milestones!$AA$83),"dd mmm yy"))&amp;" "&amp;Milestones!$AB$83&amp;" "&amp;Milestones!$AC$83&amp;";  ","")&amp;IF(AND(EDATE($D11,Milestones!$AA$84)&lt;=AsOfDate,IF($R11=0,$X11,IF(AND($T11&lt;&gt;"",EDATE($D11,Milestones!$AA$84)&gt;=$T11),$W11,IF(AND($S11&lt;&gt;"",EDATE($D11,Milestones!$AA$84)&gt;=$S11),$V11,$U11)))=Milestones!$AB$84),UPPER(TEXT(EDATE($D11,Milestones!$AA$84),"dd mmm yy"))&amp;" "&amp;Milestones!$AB$84&amp;" "&amp;Milestones!$AC$84&amp;";  ","")&amp;IF(AND(EDATE($D11,Milestones!$AA$85)&lt;=AsOfDate,IF($R11=0,$X11,IF(AND($T11&lt;&gt;"",EDATE($D11,Milestones!$AA$85)&gt;=$T11),$W11,IF(AND($S11&lt;&gt;"",EDATE($D11,Milestones!$AA$85)&gt;=$S11),$V11,$U11)))=Milestones!$AB$85),UPPER(TEXT(EDATE($D11,Milestones!$AA$85),"dd mmm yy"))&amp;" "&amp;Milestones!$AB$85&amp;" "&amp;Milestones!$AC$85&amp;";  ","")&amp;IF(AND(EDATE($D11,Milestones!$AA$86)&lt;=AsOfDate,IF($R11=0,$X11,IF(AND($T11&lt;&gt;"",EDATE($D11,Milestones!$AA$86)&gt;=$T11),$W11,IF(AND($S11&lt;&gt;"",EDATE($D11,Milestones!$AA$86)&gt;=$S11),$V11,$U11)))=Milestones!$AB$86),UPPER(TEXT(EDATE($D11,Milestones!$AA$86),"dd mmm yy"))&amp;" "&amp;Milestones!$AB$86&amp;" "&amp;Milestones!$AC$86&amp;";  ","")&amp;IF(AND(EDATE($D11,Milestones!$AA$87)&lt;=AsOfDate,IF($R11=0,$X11,IF(AND($T11&lt;&gt;"",EDATE($D11,Milestones!$AA$87)&gt;=$T11),$W11,IF(AND($S11&lt;&gt;"",EDATE($D11,Milestones!$AA$87)&gt;=$S11),$V11,$U11)))=Milestones!$AB$87),UPPER(TEXT(EDATE($D11,Milestones!$AA$87),"dd mmm yy"))&amp;" "&amp;Milestones!$AB$87&amp;" "&amp;Milestones!$AC$87&amp;";  ","")&amp;IF(AND(EDATE($D11,Milestones!$AA$88)&lt;=AsOfDate,IF($R11=0,$X11,IF(AND($T11&lt;&gt;"",EDATE($D11,Milestones!$AA$88)&gt;=$T11),$W11,IF(AND($S11&lt;&gt;"",EDATE($D11,Milestones!$AA$88)&gt;=$S11),$V11,$U11)))=Milestones!$AB$88),UPPER(TEXT(EDATE($D11,Milestones!$AA$88),"dd mmm yy"))&amp;" "&amp;Milestones!$AB$88&amp;" "&amp;Milestones!$AC$88&amp;";  ","")&amp;IF(AND(EDATE($D11,Milestones!$AA$89)&lt;=AsOfDate,IF($R11=0,$X11,IF(AND($T11&lt;&gt;"",EDATE($D11,Milestones!$AA$89)&gt;=$T11),$W11,IF(AND($S11&lt;&gt;"",EDATE($D11,Milestones!$AA$89)&gt;=$S11),$V11,$U11)))=Milestones!$AB$89),UPPER(TEXT(EDATE($D11,Milestones!$AA$89),"dd mmm yy"))&amp;" "&amp;Milestones!$AB$89&amp;" "&amp;Milestones!$AC$89&amp;";  ","")&amp;IF(AND(EDATE($D11,Milestones!$AA$90)&lt;=AsOfDate,IF($R11=0,$X11,IF(AND($T11&lt;&gt;"",EDATE($D11,Milestones!$AA$90)&gt;=$T11),$W11,IF(AND($S11&lt;&gt;"",EDATE($D11,Milestones!$AA$90)&gt;=$S11),$V11,$U11)))=Milestones!$AB$90),UPPER(TEXT(EDATE($D11,Milestones!$AA$90),"dd mmm yy"))&amp;" "&amp;Milestones!$AB$90&amp;" "&amp;Milestones!$AC$90&amp;";  ","")&amp;IF(AND(EDATE($D11,Milestones!$AA$91)&lt;=AsOfDate,IF($R11=0,$X11,IF(AND($T11&lt;&gt;"",EDATE($D11,Milestones!$AA$91)&gt;=$T11),$W11,IF(AND($S11&lt;&gt;"",EDATE($D11,Milestones!$AA$91)&gt;=$S11),$V11,$U11)))=Milestones!$AB$91),UPPER(TEXT(EDATE($D11,Milestones!$AA$91),"dd mmm yy"))&amp;" "&amp;Milestones!$AB$91&amp;" "&amp;Milestones!$AC$91&amp;";  ","")&amp;IF(AND(EDATE($D11,Milestones!$AA$92)&lt;=AsOfDate,IF($R11=0,$X11,IF(AND($T11&lt;&gt;"",EDATE($D11,Milestones!$AA$92)&gt;=$T11),$W11,IF(AND($S11&lt;&gt;"",EDATE($D11,Milestones!$AA$92)&gt;=$S11),$V11,$U11)))=Milestones!$AB$92),UPPER(TEXT(EDATE($D11,Milestones!$AA$92),"dd mmm yy"))&amp;" "&amp;Milestones!$AB$92&amp;" "&amp;Milestones!$AC$92&amp;";  ","")&amp;IF(AND(EDATE($D11,Milestones!$AA$93)&lt;=AsOfDate,IF($R11=0,$X11,IF(AND($T11&lt;&gt;"",EDATE($D11,Milestones!$AA$93)&gt;=$T11),$W11,IF(AND($S11&lt;&gt;"",EDATE($D11,Milestones!$AA$93)&gt;=$S11),$V11,$U11)))=Milestones!$AB$93),UPPER(TEXT(EDATE($D11,Milestones!$AA$93),"dd mmm yy"))&amp;" "&amp;Milestones!$AB$93&amp;" "&amp;Milestones!$AC$93&amp;";  ","")&amp;IF(AND(EDATE($D11,Milestones!$AA$94)&lt;=AsOfDate,IF($R11=0,$X11,IF(AND($T11&lt;&gt;"",EDATE($D11,Milestones!$AA$94)&gt;=$T11),$W11,IF(AND($S11&lt;&gt;"",EDATE($D11,Milestones!$AA$94)&gt;=$S11),$V11,$U11)))=Milestones!$AB$94),UPPER(TEXT(EDATE($D11,Milestones!$AA$94),"dd mmm yy"))&amp;" "&amp;Milestones!$AB$94&amp;" "&amp;Milestones!$AC$94&amp;";  ","")&amp;IF(AND(EDATE($D11,Milestones!$AA$95)&lt;=AsOfDate,IF($R11=0,$X11,IF(AND($T11&lt;&gt;"",EDATE($D11,Milestones!$AA$95)&gt;=$T11),$W11,IF(AND($S11&lt;&gt;"",EDATE($D11,Milestones!$AA$95)&gt;=$S11),$V11,$U11)))=Milestones!$AB$95),UPPER(TEXT(EDATE($D11,Milestones!$AA$95),"dd mmm yy"))&amp;" "&amp;Milestones!$AB$95&amp;" "&amp;Milestones!$AC$95&amp;";  ","")&amp;IF(AND(EDATE($D11,Milestones!$AA$96)&lt;=AsOfDate,IF($R11=0,$X11,IF(AND($T11&lt;&gt;"",EDATE($D11,Milestones!$AA$96)&gt;=$T11),$W11,IF(AND($S11&lt;&gt;"",EDATE($D11,Milestones!$AA$96)&gt;=$S11),$V11,$U11)))=Milestones!$AB$96),UPPER(TEXT(EDATE($D11,Milestones!$AA$96),"dd mmm yy"))&amp;" "&amp;Milestones!$AB$96&amp;" "&amp;Milestones!$AC$96&amp;";  ","")&amp;IF(AND(EDATE($D11,Milestones!$AA$97)&lt;=AsOfDate,IF($R11=0,$X11,IF(AND($T11&lt;&gt;"",EDATE($D11,Milestones!$AA$97)&gt;=$T11),$W11,IF(AND($S11&lt;&gt;"",EDATE($D11,Milestones!$AA$97)&gt;=$S11),$V11,$U11)))=Milestones!$AB$97),UPPER(TEXT(EDATE($D11,Milestones!$AA$97),"dd mmm yy"))&amp;" "&amp;Milestones!$AB$97&amp;" "&amp;Milestones!$AC$97&amp;";  ","")&amp;IF(AND(EDATE($D11,Milestones!$AA$98)&lt;=AsOfDate,IF($R11=0,$X11,IF(AND($T11&lt;&gt;"",EDATE($D11,Milestones!$AA$98)&gt;=$T11),$W11,IF(AND($S11&lt;&gt;"",EDATE($D11,Milestones!$AA$98)&gt;=$S11),$V11,$U11)))=Milestones!$AB$98),UPPER(TEXT(EDATE($D11,Milestones!$AA$98),"dd mmm yy"))&amp;" "&amp;Milestones!$AB$98&amp;" "&amp;Milestones!$AC$98&amp;";  ","")&amp;IF(AND(EDATE($D11,Milestones!$AA$99)&lt;=AsOfDate,IF($R11=0,$X11,IF(AND($T11&lt;&gt;"",EDATE($D11,Milestones!$AA$99)&gt;=$T11),$W11,IF(AND($S11&lt;&gt;"",EDATE($D11,Milestones!$AA$99)&gt;=$S11),$V11,$U11)))=Milestones!$AB$99),UPPER(TEXT(EDATE($D11,Milestones!$AA$99),"dd mmm yy"))&amp;" "&amp;Milestones!$AB$99&amp;" "&amp;Milestones!$AC$99&amp;";  ",""))</f>
        <v/>
      </c>
      <c r="M11" s="0" t="str">
        <f aca="false">IF(OR($A11="",$D11=""),"",IF(AND(EDATE($D11,Milestones!$AA$100)&lt;=AsOfDate,IF($R11=0,$X11,IF(AND($T11&lt;&gt;"",EDATE($D11,Milestones!$AA$100)&gt;=$T11),$W11,IF(AND($S11&lt;&gt;"",EDATE($D11,Milestones!$AA$100)&gt;=$S11),$V11,$U11)))=Milestones!$AB$100),UPPER(TEXT(EDATE($D11,Milestones!$AA$100),"dd mmm yy"))&amp;" "&amp;Milestones!$AB$100&amp;" "&amp;Milestones!$AC$100&amp;";  ","")&amp;IF(AND(EDATE($D11,Milestones!$AA$101)&lt;=AsOfDate,IF($R11=0,$X11,IF(AND($T11&lt;&gt;"",EDATE($D11,Milestones!$AA$101)&gt;=$T11),$W11,IF(AND($S11&lt;&gt;"",EDATE($D11,Milestones!$AA$101)&gt;=$S11),$V11,$U11)))=Milestones!$AB$101),UPPER(TEXT(EDATE($D11,Milestones!$AA$101),"dd mmm yy"))&amp;" "&amp;Milestones!$AB$101&amp;" "&amp;Milestones!$AC$101&amp;";  ","")&amp;IF(AND(EDATE($D11,Milestones!$AA$102)&lt;=AsOfDate,IF($R11=0,$X11,IF(AND($T11&lt;&gt;"",EDATE($D11,Milestones!$AA$102)&gt;=$T11),$W11,IF(AND($S11&lt;&gt;"",EDATE($D11,Milestones!$AA$102)&gt;=$S11),$V11,$U11)))=Milestones!$AB$102),UPPER(TEXT(EDATE($D11,Milestones!$AA$102),"dd mmm yy"))&amp;" "&amp;Milestones!$AB$102&amp;" "&amp;Milestones!$AC$102&amp;";  ","")&amp;IF(AND(EDATE($D11,Milestones!$AA$103)&lt;=AsOfDate,IF($R11=0,$X11,IF(AND($T11&lt;&gt;"",EDATE($D11,Milestones!$AA$103)&gt;=$T11),$W11,IF(AND($S11&lt;&gt;"",EDATE($D11,Milestones!$AA$103)&gt;=$S11),$V11,$U11)))=Milestones!$AB$103),UPPER(TEXT(EDATE($D11,Milestones!$AA$103),"dd mmm yy"))&amp;" "&amp;Milestones!$AB$103&amp;" "&amp;Milestones!$AC$103&amp;";  ","")&amp;IF(AND(EDATE($D11,Milestones!$AA$104)&lt;=AsOfDate,IF($R11=0,$X11,IF(AND($T11&lt;&gt;"",EDATE($D11,Milestones!$AA$104)&gt;=$T11),$W11,IF(AND($S11&lt;&gt;"",EDATE($D11,Milestones!$AA$104)&gt;=$S11),$V11,$U11)))=Milestones!$AB$104),UPPER(TEXT(EDATE($D11,Milestones!$AA$104),"dd mmm yy"))&amp;" "&amp;Milestones!$AB$104&amp;" "&amp;Milestones!$AC$104&amp;";  ","")&amp;IF(AND(EDATE($D11,Milestones!$AA$105)&lt;=AsOfDate,IF($R11=0,$X11,IF(AND($T11&lt;&gt;"",EDATE($D11,Milestones!$AA$105)&gt;=$T11),$W11,IF(AND($S11&lt;&gt;"",EDATE($D11,Milestones!$AA$105)&gt;=$S11),$V11,$U11)))=Milestones!$AB$105),UPPER(TEXT(EDATE($D11,Milestones!$AA$105),"dd mmm yy"))&amp;" "&amp;Milestones!$AB$105&amp;" "&amp;Milestones!$AC$105&amp;";  ","")&amp;IF(AND(EDATE($D11,Milestones!$AA$106)&lt;=AsOfDate,IF($R11=0,$X11,IF(AND($T11&lt;&gt;"",EDATE($D11,Milestones!$AA$106)&gt;=$T11),$W11,IF(AND($S11&lt;&gt;"",EDATE($D11,Milestones!$AA$106)&gt;=$S11),$V11,$U11)))=Milestones!$AB$106),UPPER(TEXT(EDATE($D11,Milestones!$AA$106),"dd mmm yy"))&amp;" "&amp;Milestones!$AB$106&amp;" "&amp;Milestones!$AC$106&amp;";  ","")&amp;IF(AND(EDATE($D11,Milestones!$AA$107)&lt;=AsOfDate,IF($R11=0,$X11,IF(AND($T11&lt;&gt;"",EDATE($D11,Milestones!$AA$107)&gt;=$T11),$W11,IF(AND($S11&lt;&gt;"",EDATE($D11,Milestones!$AA$107)&gt;=$S11),$V11,$U11)))=Milestones!$AB$107),UPPER(TEXT(EDATE($D11,Milestones!$AA$107),"dd mmm yy"))&amp;" "&amp;Milestones!$AB$107&amp;" "&amp;Milestones!$AC$107&amp;";  ","")&amp;IF(AND(EDATE($D11,Milestones!$AA$108)&lt;=AsOfDate,IF($R11=0,$X11,IF(AND($T11&lt;&gt;"",EDATE($D11,Milestones!$AA$108)&gt;=$T11),$W11,IF(AND($S11&lt;&gt;"",EDATE($D11,Milestones!$AA$108)&gt;=$S11),$V11,$U11)))=Milestones!$AB$108),UPPER(TEXT(EDATE($D11,Milestones!$AA$108),"dd mmm yy"))&amp;" "&amp;Milestones!$AB$108&amp;" "&amp;Milestones!$AC$108&amp;";  ","")&amp;IF(AND(EDATE($D11,Milestones!$AA$109)&lt;=AsOfDate,IF($R11=0,$X11,IF(AND($T11&lt;&gt;"",EDATE($D11,Milestones!$AA$109)&gt;=$T11),$W11,IF(AND($S11&lt;&gt;"",EDATE($D11,Milestones!$AA$109)&gt;=$S11),$V11,$U11)))=Milestones!$AB$109),UPPER(TEXT(EDATE($D11,Milestones!$AA$109),"dd mmm yy"))&amp;" "&amp;Milestones!$AB$109&amp;" "&amp;Milestones!$AC$109&amp;";  ","")&amp;IF(AND(EDATE($D11,Milestones!$AA$110)&lt;=AsOfDate,IF($R11=0,$X11,IF(AND($T11&lt;&gt;"",EDATE($D11,Milestones!$AA$110)&gt;=$T11),$W11,IF(AND($S11&lt;&gt;"",EDATE($D11,Milestones!$AA$110)&gt;=$S11),$V11,$U11)))=Milestones!$AB$110),UPPER(TEXT(EDATE($D11,Milestones!$AA$110),"dd mmm yy"))&amp;" "&amp;Milestones!$AB$110&amp;" "&amp;Milestones!$AC$110&amp;";  ","")&amp;IF(AND(EDATE($D11,Milestones!$AA$111)&lt;=AsOfDate,IF($R11=0,$X11,IF(AND($T11&lt;&gt;"",EDATE($D11,Milestones!$AA$111)&gt;=$T11),$W11,IF(AND($S11&lt;&gt;"",EDATE($D11,Milestones!$AA$111)&gt;=$S11),$V11,$U11)))=Milestones!$AB$111),UPPER(TEXT(EDATE($D11,Milestones!$AA$111),"dd mmm yy"))&amp;" "&amp;Milestones!$AB$111&amp;" "&amp;Milestones!$AC$111&amp;";  ","")&amp;IF(AND(EDATE($D11,Milestones!$AA$112)&lt;=AsOfDate,IF($R11=0,$X11,IF(AND($T11&lt;&gt;"",EDATE($D11,Milestones!$AA$112)&gt;=$T11),$W11,IF(AND($S11&lt;&gt;"",EDATE($D11,Milestones!$AA$112)&gt;=$S11),$V11,$U11)))=Milestones!$AB$112),UPPER(TEXT(EDATE($D11,Milestones!$AA$112),"dd mmm yy"))&amp;" "&amp;Milestones!$AB$112&amp;" "&amp;Milestones!$AC$112&amp;";  ","")&amp;IF(AND(EDATE($D11,Milestones!$AA$113)&lt;=AsOfDate,IF($R11=0,$X11,IF(AND($T11&lt;&gt;"",EDATE($D11,Milestones!$AA$113)&gt;=$T11),$W11,IF(AND($S11&lt;&gt;"",EDATE($D11,Milestones!$AA$113)&gt;=$S11),$V11,$U11)))=Milestones!$AB$113),UPPER(TEXT(EDATE($D11,Milestones!$AA$113),"dd mmm yy"))&amp;" "&amp;Milestones!$AB$113&amp;" "&amp;Milestones!$AC$113&amp;";  ","")&amp;IF(AND(EDATE($D11,Milestones!$AA$114)&lt;=AsOfDate,IF($R11=0,$X11,IF(AND($T11&lt;&gt;"",EDATE($D11,Milestones!$AA$114)&gt;=$T11),$W11,IF(AND($S11&lt;&gt;"",EDATE($D11,Milestones!$AA$114)&gt;=$S11),$V11,$U11)))=Milestones!$AB$114),UPPER(TEXT(EDATE($D11,Milestones!$AA$114),"dd mmm yy"))&amp;" "&amp;Milestones!$AB$114&amp;" "&amp;Milestones!$AC$114&amp;";  ","")&amp;IF(AND(EDATE($D11,Milestones!$AA$115)&lt;=AsOfDate,IF($R11=0,$X11,IF(AND($T11&lt;&gt;"",EDATE($D11,Milestones!$AA$115)&gt;=$T11),$W11,IF(AND($S11&lt;&gt;"",EDATE($D11,Milestones!$AA$115)&gt;=$S11),$V11,$U11)))=Milestones!$AB$115),UPPER(TEXT(EDATE($D11,Milestones!$AA$115),"dd mmm yy"))&amp;" "&amp;Milestones!$AB$115&amp;" "&amp;Milestones!$AC$115&amp;";  ","")&amp;IF(AND(EDATE($D11,Milestones!$AA$116)&lt;=AsOfDate,IF($R11=0,$X11,IF(AND($T11&lt;&gt;"",EDATE($D11,Milestones!$AA$116)&gt;=$T11),$W11,IF(AND($S11&lt;&gt;"",EDATE($D11,Milestones!$AA$116)&gt;=$S11),$V11,$U11)))=Milestones!$AB$116),UPPER(TEXT(EDATE($D11,Milestones!$AA$116),"dd mmm yy"))&amp;" "&amp;Milestones!$AB$116&amp;" "&amp;Milestones!$AC$116&amp;";  ","")&amp;IF(AND(EDATE($D11,Milestones!$AA$117)&lt;=AsOfDate,IF($R11=0,$X11,IF(AND($T11&lt;&gt;"",EDATE($D11,Milestones!$AA$117)&gt;=$T11),$W11,IF(AND($S11&lt;&gt;"",EDATE($D11,Milestones!$AA$117)&gt;=$S11),$V11,$U11)))=Milestones!$AB$117),UPPER(TEXT(EDATE($D11,Milestones!$AA$117),"dd mmm yy"))&amp;" "&amp;Milestones!$AB$117&amp;" "&amp;Milestones!$AC$117&amp;";  ","")&amp;IF(AND(EDATE($D11,Milestones!$AA$118)&lt;=AsOfDate,IF($R11=0,$X11,IF(AND($T11&lt;&gt;"",EDATE($D11,Milestones!$AA$118)&gt;=$T11),$W11,IF(AND($S11&lt;&gt;"",EDATE($D11,Milestones!$AA$118)&gt;=$S11),$V11,$U11)))=Milestones!$AB$118),UPPER(TEXT(EDATE($D11,Milestones!$AA$118),"dd mmm yy"))&amp;" "&amp;Milestones!$AB$118&amp;" "&amp;Milestones!$AC$118&amp;";  ","")&amp;IF(AND(EDATE($D11,Milestones!$AA$119)&lt;=AsOfDate,IF($R11=0,$X11,IF(AND($T11&lt;&gt;"",EDATE($D11,Milestones!$AA$119)&gt;=$T11),$W11,IF(AND($S11&lt;&gt;"",EDATE($D11,Milestones!$AA$119)&gt;=$S11),$V11,$U11)))=Milestones!$AB$119),UPPER(TEXT(EDATE($D11,Milestones!$AA$119),"dd mmm yy"))&amp;" "&amp;Milestones!$AB$119&amp;" "&amp;Milestones!$AC$119&amp;";  ",""))</f>
        <v/>
      </c>
      <c r="N11" s="0" t="str">
        <f aca="false">IF(OR($A11="",$D11=""),"",IF(AND(EDATE($D11,Milestones!$AA$120)&lt;=AsOfDate,IF($R11=0,$X11,IF(AND($T11&lt;&gt;"",EDATE($D11,Milestones!$AA$120)&gt;=$T11),$W11,IF(AND($S11&lt;&gt;"",EDATE($D11,Milestones!$AA$120)&gt;=$S11),$V11,$U11)))=Milestones!$AB$120),UPPER(TEXT(EDATE($D11,Milestones!$AA$120),"dd mmm yy"))&amp;" "&amp;Milestones!$AB$120&amp;" "&amp;Milestones!$AC$120&amp;";  ","")&amp;IF(AND(EDATE($D11,Milestones!$AA$121)&lt;=AsOfDate,IF($R11=0,$X11,IF(AND($T11&lt;&gt;"",EDATE($D11,Milestones!$AA$121)&gt;=$T11),$W11,IF(AND($S11&lt;&gt;"",EDATE($D11,Milestones!$AA$121)&gt;=$S11),$V11,$U11)))=Milestones!$AB$121),UPPER(TEXT(EDATE($D11,Milestones!$AA$121),"dd mmm yy"))&amp;" "&amp;Milestones!$AB$121&amp;" "&amp;Milestones!$AC$121&amp;";  ","")&amp;IF(AND(EDATE($D11,Milestones!$AA$122)&lt;=AsOfDate,IF($R11=0,$X11,IF(AND($T11&lt;&gt;"",EDATE($D11,Milestones!$AA$122)&gt;=$T11),$W11,IF(AND($S11&lt;&gt;"",EDATE($D11,Milestones!$AA$122)&gt;=$S11),$V11,$U11)))=Milestones!$AB$122),UPPER(TEXT(EDATE($D11,Milestones!$AA$122),"dd mmm yy"))&amp;" "&amp;Milestones!$AB$122&amp;" "&amp;Milestones!$AC$122&amp;";  ","")&amp;IF(AND(EDATE($D11,Milestones!$AA$123)&lt;=AsOfDate,IF($R11=0,$X11,IF(AND($T11&lt;&gt;"",EDATE($D11,Milestones!$AA$123)&gt;=$T11),$W11,IF(AND($S11&lt;&gt;"",EDATE($D11,Milestones!$AA$123)&gt;=$S11),$V11,$U11)))=Milestones!$AB$123),UPPER(TEXT(EDATE($D11,Milestones!$AA$123),"dd mmm yy"))&amp;" "&amp;Milestones!$AB$123&amp;" "&amp;Milestones!$AC$123&amp;";  ","")&amp;IF(AND(EDATE($D11,Milestones!$AA$124)&lt;=AsOfDate,IF($R11=0,$X11,IF(AND($T11&lt;&gt;"",EDATE($D11,Milestones!$AA$124)&gt;=$T11),$W11,IF(AND($S11&lt;&gt;"",EDATE($D11,Milestones!$AA$124)&gt;=$S11),$V11,$U11)))=Milestones!$AB$124),UPPER(TEXT(EDATE($D11,Milestones!$AA$124),"dd mmm yy"))&amp;" "&amp;Milestones!$AB$124&amp;" "&amp;Milestones!$AC$124&amp;";  ","")&amp;IF(AND(EDATE($D11,Milestones!$AA$125)&lt;=AsOfDate,IF($R11=0,$X11,IF(AND($T11&lt;&gt;"",EDATE($D11,Milestones!$AA$125)&gt;=$T11),$W11,IF(AND($S11&lt;&gt;"",EDATE($D11,Milestones!$AA$125)&gt;=$S11),$V11,$U11)))=Milestones!$AB$125),UPPER(TEXT(EDATE($D11,Milestones!$AA$125),"dd mmm yy"))&amp;" "&amp;Milestones!$AB$125&amp;" "&amp;Milestones!$AC$125&amp;";  ","")&amp;IF(AND(EDATE($D11,Milestones!$AA$126)&lt;=AsOfDate,IF($R11=0,$X11,IF(AND($T11&lt;&gt;"",EDATE($D11,Milestones!$AA$126)&gt;=$T11),$W11,IF(AND($S11&lt;&gt;"",EDATE($D11,Milestones!$AA$126)&gt;=$S11),$V11,$U11)))=Milestones!$AB$126),UPPER(TEXT(EDATE($D11,Milestones!$AA$126),"dd mmm yy"))&amp;" "&amp;Milestones!$AB$126&amp;" "&amp;Milestones!$AC$126&amp;";  ","")&amp;IF(AND(EDATE($D11,Milestones!$AA$127)&lt;=AsOfDate,IF($R11=0,$X11,IF(AND($T11&lt;&gt;"",EDATE($D11,Milestones!$AA$127)&gt;=$T11),$W11,IF(AND($S11&lt;&gt;"",EDATE($D11,Milestones!$AA$127)&gt;=$S11),$V11,$U11)))=Milestones!$AB$127),UPPER(TEXT(EDATE($D11,Milestones!$AA$127),"dd mmm yy"))&amp;" "&amp;Milestones!$AB$127&amp;" "&amp;Milestones!$AC$127&amp;";  ","")&amp;IF(AND(EDATE($D11,Milestones!$AA$128)&lt;=AsOfDate,IF($R11=0,$X11,IF(AND($T11&lt;&gt;"",EDATE($D11,Milestones!$AA$128)&gt;=$T11),$W11,IF(AND($S11&lt;&gt;"",EDATE($D11,Milestones!$AA$128)&gt;=$S11),$V11,$U11)))=Milestones!$AB$128),UPPER(TEXT(EDATE($D11,Milestones!$AA$128),"dd mmm yy"))&amp;" "&amp;Milestones!$AB$128&amp;" "&amp;Milestones!$AC$128&amp;";  ","")&amp;IF(AND(EDATE($D11,Milestones!$AA$129)&lt;=AsOfDate,IF($R11=0,$X11,IF(AND($T11&lt;&gt;"",EDATE($D11,Milestones!$AA$129)&gt;=$T11),$W11,IF(AND($S11&lt;&gt;"",EDATE($D11,Milestones!$AA$129)&gt;=$S11),$V11,$U11)))=Milestones!$AB$129),UPPER(TEXT(EDATE($D11,Milestones!$AA$129),"dd mmm yy"))&amp;" "&amp;Milestones!$AB$129&amp;" "&amp;Milestones!$AC$129&amp;";  ","")&amp;IF(AND(EDATE($D11,Milestones!$AA$130)&lt;=AsOfDate,IF($R11=0,$X11,IF(AND($T11&lt;&gt;"",EDATE($D11,Milestones!$AA$130)&gt;=$T11),$W11,IF(AND($S11&lt;&gt;"",EDATE($D11,Milestones!$AA$130)&gt;=$S11),$V11,$U11)))=Milestones!$AB$130),UPPER(TEXT(EDATE($D11,Milestones!$AA$130),"dd mmm yy"))&amp;" "&amp;Milestones!$AB$130&amp;" "&amp;Milestones!$AC$130&amp;";  ","")&amp;IF(AND(EDATE($D11,Milestones!$AA$131)&lt;=AsOfDate,IF($R11=0,$X11,IF(AND($T11&lt;&gt;"",EDATE($D11,Milestones!$AA$131)&gt;=$T11),$W11,IF(AND($S11&lt;&gt;"",EDATE($D11,Milestones!$AA$131)&gt;=$S11),$V11,$U11)))=Milestones!$AB$131),UPPER(TEXT(EDATE($D11,Milestones!$AA$131),"dd mmm yy"))&amp;" "&amp;Milestones!$AB$131&amp;" "&amp;Milestones!$AC$131&amp;";  ","")&amp;IF(AND(EDATE($D11,Milestones!$AA$132)&lt;=AsOfDate,IF($R11=0,$X11,IF(AND($T11&lt;&gt;"",EDATE($D11,Milestones!$AA$132)&gt;=$T11),$W11,IF(AND($S11&lt;&gt;"",EDATE($D11,Milestones!$AA$132)&gt;=$S11),$V11,$U11)))=Milestones!$AB$132),UPPER(TEXT(EDATE($D11,Milestones!$AA$132),"dd mmm yy"))&amp;" "&amp;Milestones!$AB$132&amp;" "&amp;Milestones!$AC$132&amp;";  ","")&amp;IF(AND(EDATE($D11,Milestones!$AA$133)&lt;=AsOfDate,IF($R11=0,$X11,IF(AND($T11&lt;&gt;"",EDATE($D11,Milestones!$AA$133)&gt;=$T11),$W11,IF(AND($S11&lt;&gt;"",EDATE($D11,Milestones!$AA$133)&gt;=$S11),$V11,$U11)))=Milestones!$AB$133),UPPER(TEXT(EDATE($D11,Milestones!$AA$133),"dd mmm yy"))&amp;" "&amp;Milestones!$AB$133&amp;" "&amp;Milestones!$AC$133&amp;";  ","")&amp;IF(AND(EDATE($D11,Milestones!$AA$134)&lt;=AsOfDate,IF($R11=0,$X11,IF(AND($T11&lt;&gt;"",EDATE($D11,Milestones!$AA$134)&gt;=$T11),$W11,IF(AND($S11&lt;&gt;"",EDATE($D11,Milestones!$AA$134)&gt;=$S11),$V11,$U11)))=Milestones!$AB$134),UPPER(TEXT(EDATE($D11,Milestones!$AA$134),"dd mmm yy"))&amp;" "&amp;Milestones!$AB$134&amp;" "&amp;Milestones!$AC$134&amp;";  ","")&amp;IF(AND(EDATE($D11,Milestones!$AA$135)&lt;=AsOfDate,IF($R11=0,$X11,IF(AND($T11&lt;&gt;"",EDATE($D11,Milestones!$AA$135)&gt;=$T11),$W11,IF(AND($S11&lt;&gt;"",EDATE($D11,Milestones!$AA$135)&gt;=$S11),$V11,$U11)))=Milestones!$AB$135),UPPER(TEXT(EDATE($D11,Milestones!$AA$135),"dd mmm yy"))&amp;" "&amp;Milestones!$AB$135&amp;" "&amp;Milestones!$AC$135&amp;";  ","")&amp;IF(AND(EDATE($D11,Milestones!$AA$136)&lt;=AsOfDate,IF($R11=0,$X11,IF(AND($T11&lt;&gt;"",EDATE($D11,Milestones!$AA$136)&gt;=$T11),$W11,IF(AND($S11&lt;&gt;"",EDATE($D11,Milestones!$AA$136)&gt;=$S11),$V11,$U11)))=Milestones!$AB$136),UPPER(TEXT(EDATE($D11,Milestones!$AA$136),"dd mmm yy"))&amp;" "&amp;Milestones!$AB$136&amp;" "&amp;Milestones!$AC$136&amp;";  ","")&amp;IF(AND(EDATE($D11,Milestones!$AA$137)&lt;=AsOfDate,IF($R11=0,$X11,IF(AND($T11&lt;&gt;"",EDATE($D11,Milestones!$AA$137)&gt;=$T11),$W11,IF(AND($S11&lt;&gt;"",EDATE($D11,Milestones!$AA$137)&gt;=$S11),$V11,$U11)))=Milestones!$AB$137),UPPER(TEXT(EDATE($D11,Milestones!$AA$137),"dd mmm yy"))&amp;" "&amp;Milestones!$AB$137&amp;" "&amp;Milestones!$AC$137&amp;";  ","")&amp;IF(AND(EDATE($D11,Milestones!$AA$138)&lt;=AsOfDate,IF($R11=0,$X11,IF(AND($T11&lt;&gt;"",EDATE($D11,Milestones!$AA$138)&gt;=$T11),$W11,IF(AND($S11&lt;&gt;"",EDATE($D11,Milestones!$AA$138)&gt;=$S11),$V11,$U11)))=Milestones!$AB$138),UPPER(TEXT(EDATE($D11,Milestones!$AA$138),"dd mmm yy"))&amp;" "&amp;Milestones!$AB$138&amp;" "&amp;Milestones!$AC$138&amp;";  ","")&amp;IF(AND(EDATE($D11,Milestones!$AA$139)&lt;=AsOfDate,IF($R11=0,$X11,IF(AND($T11&lt;&gt;"",EDATE($D11,Milestones!$AA$139)&gt;=$T11),$W11,IF(AND($S11&lt;&gt;"",EDATE($D11,Milestones!$AA$139)&gt;=$S11),$V11,$U11)))=Milestones!$AB$139),UPPER(TEXT(EDATE($D11,Milestones!$AA$139),"dd mmm yy"))&amp;" "&amp;Milestones!$AB$139&amp;" "&amp;Milestones!$AC$139&amp;";  ",""))</f>
        <v/>
      </c>
      <c r="O11" s="0" t="str">
        <f aca="false">IF(OR($A11="",$D11=""),"",IF(AND(EDATE($D11,Milestones!$AA$140)&lt;=AsOfDate,IF($R11=0,$X11,IF(AND($T11&lt;&gt;"",EDATE($D11,Milestones!$AA$140)&gt;=$T11),$W11,IF(AND($S11&lt;&gt;"",EDATE($D11,Milestones!$AA$140)&gt;=$S11),$V11,$U11)))=Milestones!$AB$140),UPPER(TEXT(EDATE($D11,Milestones!$AA$140),"dd mmm yy"))&amp;" "&amp;Milestones!$AB$140&amp;" "&amp;Milestones!$AC$140&amp;";  ","")&amp;IF(AND(EDATE($D11,Milestones!$AA$141)&lt;=AsOfDate,IF($R11=0,$X11,IF(AND($T11&lt;&gt;"",EDATE($D11,Milestones!$AA$141)&gt;=$T11),$W11,IF(AND($S11&lt;&gt;"",EDATE($D11,Milestones!$AA$141)&gt;=$S11),$V11,$U11)))=Milestones!$AB$141),UPPER(TEXT(EDATE($D11,Milestones!$AA$141),"dd mmm yy"))&amp;" "&amp;Milestones!$AB$141&amp;" "&amp;Milestones!$AC$141&amp;";  ","")&amp;IF(AND(EDATE($D11,Milestones!$AA$142)&lt;=AsOfDate,IF($R11=0,$X11,IF(AND($T11&lt;&gt;"",EDATE($D11,Milestones!$AA$142)&gt;=$T11),$W11,IF(AND($S11&lt;&gt;"",EDATE($D11,Milestones!$AA$142)&gt;=$S11),$V11,$U11)))=Milestones!$AB$142),UPPER(TEXT(EDATE($D11,Milestones!$AA$142),"dd mmm yy"))&amp;" "&amp;Milestones!$AB$142&amp;" "&amp;Milestones!$AC$142&amp;";  ","")&amp;IF(AND(EDATE($D11,Milestones!$AA$143)&lt;=AsOfDate,IF($R11=0,$X11,IF(AND($T11&lt;&gt;"",EDATE($D11,Milestones!$AA$143)&gt;=$T11),$W11,IF(AND($S11&lt;&gt;"",EDATE($D11,Milestones!$AA$143)&gt;=$S11),$V11,$U11)))=Milestones!$AB$143),UPPER(TEXT(EDATE($D11,Milestones!$AA$143),"dd mmm yy"))&amp;" "&amp;Milestones!$AB$143&amp;" "&amp;Milestones!$AC$143&amp;";  ","")&amp;IF(AND(EDATE($D11,Milestones!$AA$144)&lt;=AsOfDate,IF($R11=0,$X11,IF(AND($T11&lt;&gt;"",EDATE($D11,Milestones!$AA$144)&gt;=$T11),$W11,IF(AND($S11&lt;&gt;"",EDATE($D11,Milestones!$AA$144)&gt;=$S11),$V11,$U11)))=Milestones!$AB$144),UPPER(TEXT(EDATE($D11,Milestones!$AA$144),"dd mmm yy"))&amp;" "&amp;Milestones!$AB$144&amp;" "&amp;Milestones!$AC$144&amp;";  ","")&amp;IF(AND(EDATE($D11,Milestones!$AA$145)&lt;=AsOfDate,IF($R11=0,$X11,IF(AND($T11&lt;&gt;"",EDATE($D11,Milestones!$AA$145)&gt;=$T11),$W11,IF(AND($S11&lt;&gt;"",EDATE($D11,Milestones!$AA$145)&gt;=$S11),$V11,$U11)))=Milestones!$AB$145),UPPER(TEXT(EDATE($D11,Milestones!$AA$145),"dd mmm yy"))&amp;" "&amp;Milestones!$AB$145&amp;" "&amp;Milestones!$AC$145&amp;";  ","")&amp;IF(AND(EDATE($D11,Milestones!$AA$146)&lt;=AsOfDate,IF($R11=0,$X11,IF(AND($T11&lt;&gt;"",EDATE($D11,Milestones!$AA$146)&gt;=$T11),$W11,IF(AND($S11&lt;&gt;"",EDATE($D11,Milestones!$AA$146)&gt;=$S11),$V11,$U11)))=Milestones!$AB$146),UPPER(TEXT(EDATE($D11,Milestones!$AA$146),"dd mmm yy"))&amp;" "&amp;Milestones!$AB$146&amp;" "&amp;Milestones!$AC$146&amp;";  ","")&amp;IF(AND(EDATE($D11,Milestones!$AA$147)&lt;=AsOfDate,IF($R11=0,$X11,IF(AND($T11&lt;&gt;"",EDATE($D11,Milestones!$AA$147)&gt;=$T11),$W11,IF(AND($S11&lt;&gt;"",EDATE($D11,Milestones!$AA$147)&gt;=$S11),$V11,$U11)))=Milestones!$AB$147),UPPER(TEXT(EDATE($D11,Milestones!$AA$147),"dd mmm yy"))&amp;" "&amp;Milestones!$AB$147&amp;" "&amp;Milestones!$AC$147&amp;";  ","")&amp;IF(AND(EDATE($D11,Milestones!$AA$148)&lt;=AsOfDate,IF($R11=0,$X11,IF(AND($T11&lt;&gt;"",EDATE($D11,Milestones!$AA$148)&gt;=$T11),$W11,IF(AND($S11&lt;&gt;"",EDATE($D11,Milestones!$AA$148)&gt;=$S11),$V11,$U11)))=Milestones!$AB$148),UPPER(TEXT(EDATE($D11,Milestones!$AA$148),"dd mmm yy"))&amp;" "&amp;Milestones!$AB$148&amp;" "&amp;Milestones!$AC$148&amp;";  ","")&amp;IF(AND(EDATE($D11,Milestones!$AA$149)&lt;=AsOfDate,IF($R11=0,$X11,IF(AND($T11&lt;&gt;"",EDATE($D11,Milestones!$AA$149)&gt;=$T11),$W11,IF(AND($S11&lt;&gt;"",EDATE($D11,Milestones!$AA$149)&gt;=$S11),$V11,$U11)))=Milestones!$AB$149),UPPER(TEXT(EDATE($D11,Milestones!$AA$149),"dd mmm yy"))&amp;" "&amp;Milestones!$AB$149&amp;" "&amp;Milestones!$AC$149&amp;";  ","")&amp;IF(AND(EDATE($D11,Milestones!$AA$150)&lt;=AsOfDate,IF($R11=0,$X11,IF(AND($T11&lt;&gt;"",EDATE($D11,Milestones!$AA$150)&gt;=$T11),$W11,IF(AND($S11&lt;&gt;"",EDATE($D11,Milestones!$AA$150)&gt;=$S11),$V11,$U11)))=Milestones!$AB$150),UPPER(TEXT(EDATE($D11,Milestones!$AA$150),"dd mmm yy"))&amp;" "&amp;Milestones!$AB$150&amp;" "&amp;Milestones!$AC$150&amp;";  ","")&amp;IF(AND(EDATE($D11,Milestones!$AA$151)&lt;=AsOfDate,IF($R11=0,$X11,IF(AND($T11&lt;&gt;"",EDATE($D11,Milestones!$AA$151)&gt;=$T11),$W11,IF(AND($S11&lt;&gt;"",EDATE($D11,Milestones!$AA$151)&gt;=$S11),$V11,$U11)))=Milestones!$AB$151),UPPER(TEXT(EDATE($D11,Milestones!$AA$151),"dd mmm yy"))&amp;" "&amp;Milestones!$AB$151&amp;" "&amp;Milestones!$AC$151&amp;";  ","")&amp;IF(AND(EDATE($D11,Milestones!$AA$152)&lt;=AsOfDate,IF($R11=0,$X11,IF(AND($T11&lt;&gt;"",EDATE($D11,Milestones!$AA$152)&gt;=$T11),$W11,IF(AND($S11&lt;&gt;"",EDATE($D11,Milestones!$AA$152)&gt;=$S11),$V11,$U11)))=Milestones!$AB$152),UPPER(TEXT(EDATE($D11,Milestones!$AA$152),"dd mmm yy"))&amp;" "&amp;Milestones!$AB$152&amp;" "&amp;Milestones!$AC$152&amp;";  ","")&amp;IF(AND(EDATE($D11,Milestones!$AA$153)&lt;=AsOfDate,IF($R11=0,$X11,IF(AND($T11&lt;&gt;"",EDATE($D11,Milestones!$AA$153)&gt;=$T11),$W11,IF(AND($S11&lt;&gt;"",EDATE($D11,Milestones!$AA$153)&gt;=$S11),$V11,$U11)))=Milestones!$AB$153),UPPER(TEXT(EDATE($D11,Milestones!$AA$153),"dd mmm yy"))&amp;" "&amp;Milestones!$AB$153&amp;" "&amp;Milestones!$AC$153&amp;";  ","")&amp;IF(AND(EDATE($D11,Milestones!$AA$154)&lt;=AsOfDate,IF($R11=0,$X11,IF(AND($T11&lt;&gt;"",EDATE($D11,Milestones!$AA$154)&gt;=$T11),$W11,IF(AND($S11&lt;&gt;"",EDATE($D11,Milestones!$AA$154)&gt;=$S11),$V11,$U11)))=Milestones!$AB$154),UPPER(TEXT(EDATE($D11,Milestones!$AA$154),"dd mmm yy"))&amp;" "&amp;Milestones!$AB$154&amp;" "&amp;Milestones!$AC$154&amp;";  ","")&amp;IF(AND(EDATE($D11,Milestones!$AA$155)&lt;=AsOfDate,IF($R11=0,$X11,IF(AND($T11&lt;&gt;"",EDATE($D11,Milestones!$AA$155)&gt;=$T11),$W11,IF(AND($S11&lt;&gt;"",EDATE($D11,Milestones!$AA$155)&gt;=$S11),$V11,$U11)))=Milestones!$AB$155),UPPER(TEXT(EDATE($D11,Milestones!$AA$155),"dd mmm yy"))&amp;" "&amp;Milestones!$AB$155&amp;" "&amp;Milestones!$AC$155&amp;";  ","")&amp;IF(AND(EDATE($D11,Milestones!$AA$156)&lt;=AsOfDate,IF($R11=0,$X11,IF(AND($T11&lt;&gt;"",EDATE($D11,Milestones!$AA$156)&gt;=$T11),$W11,IF(AND($S11&lt;&gt;"",EDATE($D11,Milestones!$AA$156)&gt;=$S11),$V11,$U11)))=Milestones!$AB$156),UPPER(TEXT(EDATE($D11,Milestones!$AA$156),"dd mmm yy"))&amp;" "&amp;Milestones!$AB$156&amp;" "&amp;Milestones!$AC$156&amp;";  ","")&amp;IF(AND(EDATE($D11,Milestones!$AA$157)&lt;=AsOfDate,IF($R11=0,$X11,IF(AND($T11&lt;&gt;"",EDATE($D11,Milestones!$AA$157)&gt;=$T11),$W11,IF(AND($S11&lt;&gt;"",EDATE($D11,Milestones!$AA$157)&gt;=$S11),$V11,$U11)))=Milestones!$AB$157),UPPER(TEXT(EDATE($D11,Milestones!$AA$157),"dd mmm yy"))&amp;" "&amp;Milestones!$AB$157&amp;" "&amp;Milestones!$AC$157&amp;";  ","")&amp;IF(AND(EDATE($D11,Milestones!$AA$158)&lt;=AsOfDate,IF($R11=0,$X11,IF(AND($T11&lt;&gt;"",EDATE($D11,Milestones!$AA$158)&gt;=$T11),$W11,IF(AND($S11&lt;&gt;"",EDATE($D11,Milestones!$AA$158)&gt;=$S11),$V11,$U11)))=Milestones!$AB$158),UPPER(TEXT(EDATE($D11,Milestones!$AA$158),"dd mmm yy"))&amp;" "&amp;Milestones!$AB$158&amp;" "&amp;Milestones!$AC$158&amp;";  ","")&amp;IF(AND(EDATE($D11,Milestones!$AA$159)&lt;=AsOfDate,IF($R11=0,$X11,IF(AND($T11&lt;&gt;"",EDATE($D11,Milestones!$AA$159)&gt;=$T11),$W11,IF(AND($S11&lt;&gt;"",EDATE($D11,Milestones!$AA$159)&gt;=$S11),$V11,$U11)))=Milestones!$AB$159),UPPER(TEXT(EDATE($D11,Milestones!$AA$159),"dd mmm yy"))&amp;" "&amp;Milestones!$AB$159&amp;" "&amp;Milestones!$AC$159&amp;";  ",""))</f>
        <v/>
      </c>
      <c r="P11" s="0" t="str">
        <f aca="false">IF(OR($A11="",$D11=""),"",IF(AND(EDATE($D11,Milestones!$AA$160)&lt;=AsOfDate,IF($R11=0,$X11,IF(AND($T11&lt;&gt;"",EDATE($D11,Milestones!$AA$160)&gt;=$T11),$W11,IF(AND($S11&lt;&gt;"",EDATE($D11,Milestones!$AA$160)&gt;=$S11),$V11,$U11)))=Milestones!$AB$160),UPPER(TEXT(EDATE($D11,Milestones!$AA$160),"dd mmm yy"))&amp;" "&amp;Milestones!$AB$160&amp;" "&amp;Milestones!$AC$160&amp;";  ","")&amp;IF(AND(EDATE($D11,Milestones!$AA$161)&lt;=AsOfDate,IF($R11=0,$X11,IF(AND($T11&lt;&gt;"",EDATE($D11,Milestones!$AA$161)&gt;=$T11),$W11,IF(AND($S11&lt;&gt;"",EDATE($D11,Milestones!$AA$161)&gt;=$S11),$V11,$U11)))=Milestones!$AB$161),UPPER(TEXT(EDATE($D11,Milestones!$AA$161),"dd mmm yy"))&amp;" "&amp;Milestones!$AB$161&amp;" "&amp;Milestones!$AC$161&amp;";  ","")&amp;IF(AND(EDATE($D11,Milestones!$AA$162)&lt;=AsOfDate,IF($R11=0,$X11,IF(AND($T11&lt;&gt;"",EDATE($D11,Milestones!$AA$162)&gt;=$T11),$W11,IF(AND($S11&lt;&gt;"",EDATE($D11,Milestones!$AA$162)&gt;=$S11),$V11,$U11)))=Milestones!$AB$162),UPPER(TEXT(EDATE($D11,Milestones!$AA$162),"dd mmm yy"))&amp;" "&amp;Milestones!$AB$162&amp;" "&amp;Milestones!$AC$162&amp;";  ","")&amp;IF(AND(EDATE($D11,Milestones!$AA$163)&lt;=AsOfDate,IF($R11=0,$X11,IF(AND($T11&lt;&gt;"",EDATE($D11,Milestones!$AA$163)&gt;=$T11),$W11,IF(AND($S11&lt;&gt;"",EDATE($D11,Milestones!$AA$163)&gt;=$S11),$V11,$U11)))=Milestones!$AB$163),UPPER(TEXT(EDATE($D11,Milestones!$AA$163),"dd mmm yy"))&amp;" "&amp;Milestones!$AB$163&amp;" "&amp;Milestones!$AC$163&amp;";  ","")&amp;IF(AND(EDATE($D11,Milestones!$AA$164)&lt;=AsOfDate,IF($R11=0,$X11,IF(AND($T11&lt;&gt;"",EDATE($D11,Milestones!$AA$164)&gt;=$T11),$W11,IF(AND($S11&lt;&gt;"",EDATE($D11,Milestones!$AA$164)&gt;=$S11),$V11,$U11)))=Milestones!$AB$164),UPPER(TEXT(EDATE($D11,Milestones!$AA$164),"dd mmm yy"))&amp;" "&amp;Milestones!$AB$164&amp;" "&amp;Milestones!$AC$164&amp;";  ","")&amp;IF(AND(EDATE($D11,Milestones!$AA$165)&lt;=AsOfDate,IF($R11=0,$X11,IF(AND($T11&lt;&gt;"",EDATE($D11,Milestones!$AA$165)&gt;=$T11),$W11,IF(AND($S11&lt;&gt;"",EDATE($D11,Milestones!$AA$165)&gt;=$S11),$V11,$U11)))=Milestones!$AB$165),UPPER(TEXT(EDATE($D11,Milestones!$AA$165),"dd mmm yy"))&amp;" "&amp;Milestones!$AB$165&amp;" "&amp;Milestones!$AC$165&amp;";  ","")&amp;IF(AND(EDATE($D11,Milestones!$AA$166)&lt;=AsOfDate,IF($R11=0,$X11,IF(AND($T11&lt;&gt;"",EDATE($D11,Milestones!$AA$166)&gt;=$T11),$W11,IF(AND($S11&lt;&gt;"",EDATE($D11,Milestones!$AA$166)&gt;=$S11),$V11,$U11)))=Milestones!$AB$166),UPPER(TEXT(EDATE($D11,Milestones!$AA$166),"dd mmm yy"))&amp;" "&amp;Milestones!$AB$166&amp;" "&amp;Milestones!$AC$166&amp;";  ","")&amp;IF(AND(EDATE($D11,Milestones!$AA$167)&lt;=AsOfDate,IF($R11=0,$X11,IF(AND($T11&lt;&gt;"",EDATE($D11,Milestones!$AA$167)&gt;=$T11),$W11,IF(AND($S11&lt;&gt;"",EDATE($D11,Milestones!$AA$167)&gt;=$S11),$V11,$U11)))=Milestones!$AB$167),UPPER(TEXT(EDATE($D11,Milestones!$AA$167),"dd mmm yy"))&amp;" "&amp;Milestones!$AB$167&amp;" "&amp;Milestones!$AC$167&amp;";  ","")&amp;IF(AND(EDATE($D11,Milestones!$AA$168)&lt;=AsOfDate,IF($R11=0,$X11,IF(AND($T11&lt;&gt;"",EDATE($D11,Milestones!$AA$168)&gt;=$T11),$W11,IF(AND($S11&lt;&gt;"",EDATE($D11,Milestones!$AA$168)&gt;=$S11),$V11,$U11)))=Milestones!$AB$168),UPPER(TEXT(EDATE($D11,Milestones!$AA$168),"dd mmm yy"))&amp;" "&amp;Milestones!$AB$168&amp;" "&amp;Milestones!$AC$168&amp;";  ","")&amp;IF(AND(EDATE($D11,Milestones!$AA$169)&lt;=AsOfDate,IF($R11=0,$X11,IF(AND($T11&lt;&gt;"",EDATE($D11,Milestones!$AA$169)&gt;=$T11),$W11,IF(AND($S11&lt;&gt;"",EDATE($D11,Milestones!$AA$169)&gt;=$S11),$V11,$U11)))=Milestones!$AB$169),UPPER(TEXT(EDATE($D11,Milestones!$AA$169),"dd mmm yy"))&amp;" "&amp;Milestones!$AB$169&amp;" "&amp;Milestones!$AC$169&amp;";  ","")&amp;IF(AND(EDATE($D11,Milestones!$AA$170)&lt;=AsOfDate,IF($R11=0,$X11,IF(AND($T11&lt;&gt;"",EDATE($D11,Milestones!$AA$170)&gt;=$T11),$W11,IF(AND($S11&lt;&gt;"",EDATE($D11,Milestones!$AA$170)&gt;=$S11),$V11,$U11)))=Milestones!$AB$170),UPPER(TEXT(EDATE($D11,Milestones!$AA$170),"dd mmm yy"))&amp;" "&amp;Milestones!$AB$170&amp;" "&amp;Milestones!$AC$170&amp;";  ","")&amp;IF(AND(EDATE($D11,Milestones!$AA$171)&lt;=AsOfDate,IF($R11=0,$X11,IF(AND($T11&lt;&gt;"",EDATE($D11,Milestones!$AA$171)&gt;=$T11),$W11,IF(AND($S11&lt;&gt;"",EDATE($D11,Milestones!$AA$171)&gt;=$S11),$V11,$U11)))=Milestones!$AB$171),UPPER(TEXT(EDATE($D11,Milestones!$AA$171),"dd mmm yy"))&amp;" "&amp;Milestones!$AB$171&amp;" "&amp;Milestones!$AC$171&amp;";  ","")&amp;IF(AND(EDATE($D11,Milestones!$AA$172)&lt;=AsOfDate,IF($R11=0,$X11,IF(AND($T11&lt;&gt;"",EDATE($D11,Milestones!$AA$172)&gt;=$T11),$W11,IF(AND($S11&lt;&gt;"",EDATE($D11,Milestones!$AA$172)&gt;=$S11),$V11,$U11)))=Milestones!$AB$172),UPPER(TEXT(EDATE($D11,Milestones!$AA$172),"dd mmm yy"))&amp;" "&amp;Milestones!$AB$172&amp;" "&amp;Milestones!$AC$172&amp;";  ","")&amp;IF(AND(EDATE($D11,Milestones!$AA$173)&lt;=AsOfDate,IF($R11=0,$X11,IF(AND($T11&lt;&gt;"",EDATE($D11,Milestones!$AA$173)&gt;=$T11),$W11,IF(AND($S11&lt;&gt;"",EDATE($D11,Milestones!$AA$173)&gt;=$S11),$V11,$U11)))=Milestones!$AB$173),UPPER(TEXT(EDATE($D11,Milestones!$AA$173),"dd mmm yy"))&amp;" "&amp;Milestones!$AB$173&amp;" "&amp;Milestones!$AC$173&amp;";  ","")&amp;IF(AND(EDATE($D11,Milestones!$AA$174)&lt;=AsOfDate,IF($R11=0,$X11,IF(AND($T11&lt;&gt;"",EDATE($D11,Milestones!$AA$174)&gt;=$T11),$W11,IF(AND($S11&lt;&gt;"",EDATE($D11,Milestones!$AA$174)&gt;=$S11),$V11,$U11)))=Milestones!$AB$174),UPPER(TEXT(EDATE($D11,Milestones!$AA$174),"dd mmm yy"))&amp;" "&amp;Milestones!$AB$174&amp;" "&amp;Milestones!$AC$174&amp;";  ","")&amp;IF(AND(EDATE($D11,Milestones!$AA$175)&lt;=AsOfDate,IF($R11=0,$X11,IF(AND($T11&lt;&gt;"",EDATE($D11,Milestones!$AA$175)&gt;=$T11),$W11,IF(AND($S11&lt;&gt;"",EDATE($D11,Milestones!$AA$175)&gt;=$S11),$V11,$U11)))=Milestones!$AB$175),UPPER(TEXT(EDATE($D11,Milestones!$AA$175),"dd mmm yy"))&amp;" "&amp;Milestones!$AB$175&amp;" "&amp;Milestones!$AC$175&amp;";  ","")&amp;IF(AND(EDATE($D11,Milestones!$AA$176)&lt;=AsOfDate,IF($R11=0,$X11,IF(AND($T11&lt;&gt;"",EDATE($D11,Milestones!$AA$176)&gt;=$T11),$W11,IF(AND($S11&lt;&gt;"",EDATE($D11,Milestones!$AA$176)&gt;=$S11),$V11,$U11)))=Milestones!$AB$176),UPPER(TEXT(EDATE($D11,Milestones!$AA$176),"dd mmm yy"))&amp;" "&amp;Milestones!$AB$176&amp;" "&amp;Milestones!$AC$176&amp;";  ","")&amp;IF(AND(EDATE($D11,Milestones!$AA$177)&lt;=AsOfDate,IF($R11=0,$X11,IF(AND($T11&lt;&gt;"",EDATE($D11,Milestones!$AA$177)&gt;=$T11),$W11,IF(AND($S11&lt;&gt;"",EDATE($D11,Milestones!$AA$177)&gt;=$S11),$V11,$U11)))=Milestones!$AB$177),UPPER(TEXT(EDATE($D11,Milestones!$AA$177),"dd mmm yy"))&amp;" "&amp;Milestones!$AB$177&amp;" "&amp;Milestones!$AC$177&amp;";  ","")&amp;IF(AND(EDATE($D11,Milestones!$AA$178)&lt;=AsOfDate,IF($R11=0,$X11,IF(AND($T11&lt;&gt;"",EDATE($D11,Milestones!$AA$178)&gt;=$T11),$W11,IF(AND($S11&lt;&gt;"",EDATE($D11,Milestones!$AA$178)&gt;=$S11),$V11,$U11)))=Milestones!$AB$178),UPPER(TEXT(EDATE($D11,Milestones!$AA$178),"dd mmm yy"))&amp;" "&amp;Milestones!$AB$178&amp;" "&amp;Milestones!$AC$178&amp;";  ","")&amp;IF(AND(EDATE($D11,Milestones!$AA$179)&lt;=AsOfDate,IF($R11=0,$X11,IF(AND($T11&lt;&gt;"",EDATE($D11,Milestones!$AA$179)&gt;=$T11),$W11,IF(AND($S11&lt;&gt;"",EDATE($D11,Milestones!$AA$179)&gt;=$S11),$V11,$U11)))=Milestones!$AB$179),UPPER(TEXT(EDATE($D11,Milestones!$AA$179),"dd mmm yy"))&amp;" "&amp;Milestones!$AB$179&amp;" "&amp;Milestones!$AC$179&amp;";  ",""))</f>
        <v/>
      </c>
      <c r="Q11" s="0" t="str">
        <f aca="false">IF(OR($A11="",$D11=""),"",IF(AND(EDATE($D11,Milestones!$AA$180)&lt;=AsOfDate,IF($R11=0,$X11,IF(AND($T11&lt;&gt;"",EDATE($D11,Milestones!$AA$180)&gt;=$T11),$W11,IF(AND($S11&lt;&gt;"",EDATE($D11,Milestones!$AA$180)&gt;=$S11),$V11,$U11)))=Milestones!$AB$180),UPPER(TEXT(EDATE($D11,Milestones!$AA$180),"dd mmm yy"))&amp;" "&amp;Milestones!$AB$180&amp;" "&amp;Milestones!$AC$180&amp;";  ","")&amp;IF(AND(EDATE($D11,Milestones!$AA$181)&lt;=AsOfDate,IF($R11=0,$X11,IF(AND($T11&lt;&gt;"",EDATE($D11,Milestones!$AA$181)&gt;=$T11),$W11,IF(AND($S11&lt;&gt;"",EDATE($D11,Milestones!$AA$181)&gt;=$S11),$V11,$U11)))=Milestones!$AB$181),UPPER(TEXT(EDATE($D11,Milestones!$AA$181),"dd mmm yy"))&amp;" "&amp;Milestones!$AB$181&amp;" "&amp;Milestones!$AC$181&amp;";  ","")&amp;IF(AND(EDATE($D11,Milestones!$AA$182)&lt;=AsOfDate,IF($R11=0,$X11,IF(AND($T11&lt;&gt;"",EDATE($D11,Milestones!$AA$182)&gt;=$T11),$W11,IF(AND($S11&lt;&gt;"",EDATE($D11,Milestones!$AA$182)&gt;=$S11),$V11,$U11)))=Milestones!$AB$182),UPPER(TEXT(EDATE($D11,Milestones!$AA$182),"dd mmm yy"))&amp;" "&amp;Milestones!$AB$182&amp;" "&amp;Milestones!$AC$182&amp;";  ","")&amp;IF(AND(EDATE($D11,Milestones!$AA$183)&lt;=AsOfDate,IF($R11=0,$X11,IF(AND($T11&lt;&gt;"",EDATE($D11,Milestones!$AA$183)&gt;=$T11),$W11,IF(AND($S11&lt;&gt;"",EDATE($D11,Milestones!$AA$183)&gt;=$S11),$V11,$U11)))=Milestones!$AB$183),UPPER(TEXT(EDATE($D11,Milestones!$AA$183),"dd mmm yy"))&amp;" "&amp;Milestones!$AB$183&amp;" "&amp;Milestones!$AC$183&amp;";  ","")&amp;IF(AND(EDATE($D11,Milestones!$AA$184)&lt;=AsOfDate,IF($R11=0,$X11,IF(AND($T11&lt;&gt;"",EDATE($D11,Milestones!$AA$184)&gt;=$T11),$W11,IF(AND($S11&lt;&gt;"",EDATE($D11,Milestones!$AA$184)&gt;=$S11),$V11,$U11)))=Milestones!$AB$184),UPPER(TEXT(EDATE($D11,Milestones!$AA$184),"dd mmm yy"))&amp;" "&amp;Milestones!$AB$184&amp;" "&amp;Milestones!$AC$184&amp;";  ","")&amp;IF(AND(EDATE($D11,Milestones!$AA$185)&lt;=AsOfDate,IF($R11=0,$X11,IF(AND($T11&lt;&gt;"",EDATE($D11,Milestones!$AA$185)&gt;=$T11),$W11,IF(AND($S11&lt;&gt;"",EDATE($D11,Milestones!$AA$185)&gt;=$S11),$V11,$U11)))=Milestones!$AB$185),UPPER(TEXT(EDATE($D11,Milestones!$AA$185),"dd mmm yy"))&amp;" "&amp;Milestones!$AB$185&amp;" "&amp;Milestones!$AC$185&amp;";  ","")&amp;IF(AND(EDATE($D11,Milestones!$AA$186)&lt;=AsOfDate,IF($R11=0,$X11,IF(AND($T11&lt;&gt;"",EDATE($D11,Milestones!$AA$186)&gt;=$T11),$W11,IF(AND($S11&lt;&gt;"",EDATE($D11,Milestones!$AA$186)&gt;=$S11),$V11,$U11)))=Milestones!$AB$186),UPPER(TEXT(EDATE($D11,Milestones!$AA$186),"dd mmm yy"))&amp;" "&amp;Milestones!$AB$186&amp;" "&amp;Milestones!$AC$186&amp;";  ","")&amp;IF(AND(EDATE($D11,Milestones!$AA$187)&lt;=AsOfDate,IF($R11=0,$X11,IF(AND($T11&lt;&gt;"",EDATE($D11,Milestones!$AA$187)&gt;=$T11),$W11,IF(AND($S11&lt;&gt;"",EDATE($D11,Milestones!$AA$187)&gt;=$S11),$V11,$U11)))=Milestones!$AB$187),UPPER(TEXT(EDATE($D11,Milestones!$AA$187),"dd mmm yy"))&amp;" "&amp;Milestones!$AB$187&amp;" "&amp;Milestones!$AC$187&amp;";  ","")&amp;IF(AND(EDATE($D11,Milestones!$AA$188)&lt;=AsOfDate,IF($R11=0,$X11,IF(AND($T11&lt;&gt;"",EDATE($D11,Milestones!$AA$188)&gt;=$T11),$W11,IF(AND($S11&lt;&gt;"",EDATE($D11,Milestones!$AA$188)&gt;=$S11),$V11,$U11)))=Milestones!$AB$188),UPPER(TEXT(EDATE($D11,Milestones!$AA$188),"dd mmm yy"))&amp;" "&amp;Milestones!$AB$188&amp;" "&amp;Milestones!$AC$188&amp;";  ","")&amp;IF(AND(EDATE($D11,Milestones!$AA$189)&lt;=AsOfDate,IF($R11=0,$X11,IF(AND($T11&lt;&gt;"",EDATE($D11,Milestones!$AA$189)&gt;=$T11),$W11,IF(AND($S11&lt;&gt;"",EDATE($D11,Milestones!$AA$189)&gt;=$S11),$V11,$U11)))=Milestones!$AB$189),UPPER(TEXT(EDATE($D11,Milestones!$AA$189),"dd mmm yy"))&amp;" "&amp;Milestones!$AB$189&amp;" "&amp;Milestones!$AC$189&amp;";  ","")&amp;IF(AND(EDATE($D11,Milestones!$AA$190)&lt;=AsOfDate,IF($R11=0,$X11,IF(AND($T11&lt;&gt;"",EDATE($D11,Milestones!$AA$190)&gt;=$T11),$W11,IF(AND($S11&lt;&gt;"",EDATE($D11,Milestones!$AA$190)&gt;=$S11),$V11,$U11)))=Milestones!$AB$190),UPPER(TEXT(EDATE($D11,Milestones!$AA$190),"dd mmm yy"))&amp;" "&amp;Milestones!$AB$190&amp;" "&amp;Milestones!$AC$190&amp;";  ","")&amp;IF(AND(EDATE($D11,Milestones!$AA$191)&lt;=AsOfDate,IF($R11=0,$X11,IF(AND($T11&lt;&gt;"",EDATE($D11,Milestones!$AA$191)&gt;=$T11),$W11,IF(AND($S11&lt;&gt;"",EDATE($D11,Milestones!$AA$191)&gt;=$S11),$V11,$U11)))=Milestones!$AB$191),UPPER(TEXT(EDATE($D11,Milestones!$AA$191),"dd mmm yy"))&amp;" "&amp;Milestones!$AB$191&amp;" "&amp;Milestones!$AC$191&amp;";  ","")&amp;IF(AND(EDATE($D11,Milestones!$AA$192)&lt;=AsOfDate,IF($R11=0,$X11,IF(AND($T11&lt;&gt;"",EDATE($D11,Milestones!$AA$192)&gt;=$T11),$W11,IF(AND($S11&lt;&gt;"",EDATE($D11,Milestones!$AA$192)&gt;=$S11),$V11,$U11)))=Milestones!$AB$192),UPPER(TEXT(EDATE($D11,Milestones!$AA$192),"dd mmm yy"))&amp;" "&amp;Milestones!$AB$192&amp;" "&amp;Milestones!$AC$192&amp;";  ","")&amp;IF(AND(EDATE($D11,Milestones!$AA$193)&lt;=AsOfDate,IF($R11=0,$X11,IF(AND($T11&lt;&gt;"",EDATE($D11,Milestones!$AA$193)&gt;=$T11),$W11,IF(AND($S11&lt;&gt;"",EDATE($D11,Milestones!$AA$193)&gt;=$S11),$V11,$U11)))=Milestones!$AB$193),UPPER(TEXT(EDATE($D11,Milestones!$AA$193),"dd mmm yy"))&amp;" "&amp;Milestones!$AB$193&amp;" "&amp;Milestones!$AC$193&amp;";  ","")&amp;IF(AND(EDATE($D11,Milestones!$AA$194)&lt;=AsOfDate,IF($R11=0,$X11,IF(AND($T11&lt;&gt;"",EDATE($D11,Milestones!$AA$194)&gt;=$T11),$W11,IF(AND($S11&lt;&gt;"",EDATE($D11,Milestones!$AA$194)&gt;=$S11),$V11,$U11)))=Milestones!$AB$194),UPPER(TEXT(EDATE($D11,Milestones!$AA$194),"dd mmm yy"))&amp;" "&amp;Milestones!$AB$194&amp;" "&amp;Milestones!$AC$194&amp;";  ","")&amp;IF(AND(EDATE($D11,Milestones!$AA$195)&lt;=AsOfDate,IF($R11=0,$X11,IF(AND($T11&lt;&gt;"",EDATE($D11,Milestones!$AA$195)&gt;=$T11),$W11,IF(AND($S11&lt;&gt;"",EDATE($D11,Milestones!$AA$195)&gt;=$S11),$V11,$U11)))=Milestones!$AB$195),UPPER(TEXT(EDATE($D11,Milestones!$AA$195),"dd mmm yy"))&amp;" "&amp;Milestones!$AB$195&amp;" "&amp;Milestones!$AC$195&amp;";  ","")&amp;IF(AND(EDATE($D11,Milestones!$AA$196)&lt;=AsOfDate,IF($R11=0,$X11,IF(AND($T11&lt;&gt;"",EDATE($D11,Milestones!$AA$196)&gt;=$T11),$W11,IF(AND($S11&lt;&gt;"",EDATE($D11,Milestones!$AA$196)&gt;=$S11),$V11,$U11)))=Milestones!$AB$196),UPPER(TEXT(EDATE($D11,Milestones!$AA$196),"dd mmm yy"))&amp;" "&amp;Milestones!$AB$196&amp;" "&amp;Milestones!$AC$196&amp;";  ","")&amp;IF(AND(EDATE($D11,Milestones!$AA$197)&lt;=AsOfDate,IF($R11=0,$X11,IF(AND($T11&lt;&gt;"",EDATE($D11,Milestones!$AA$197)&gt;=$T11),$W11,IF(AND($S11&lt;&gt;"",EDATE($D11,Milestones!$AA$197)&gt;=$S11),$V11,$U11)))=Milestones!$AB$197),UPPER(TEXT(EDATE($D11,Milestones!$AA$197),"dd mmm yy"))&amp;" "&amp;Milestones!$AB$197&amp;" "&amp;Milestones!$AC$197&amp;";  ","")&amp;IF(AND(EDATE($D11,Milestones!$AA$198)&lt;=AsOfDate,IF($R11=0,$X11,IF(AND($T11&lt;&gt;"",EDATE($D11,Milestones!$AA$198)&gt;=$T11),$W11,IF(AND($S11&lt;&gt;"",EDATE($D11,Milestones!$AA$198)&gt;=$S11),$V11,$U11)))=Milestones!$AB$198),UPPER(TEXT(EDATE($D11,Milestones!$AA$198),"dd mmm yy"))&amp;" "&amp;Milestones!$AB$198&amp;" "&amp;Milestones!$AC$198&amp;";  ","")&amp;IF(AND(EDATE($D11,Milestones!$AA$199)&lt;=AsOfDate,IF($R11=0,$X11,IF(AND($T11&lt;&gt;"",EDATE($D11,Milestones!$AA$199)&gt;=$T11),$W11,IF(AND($S11&lt;&gt;"",EDATE($D11,Milestones!$AA$199)&gt;=$S11),$V11,$U11)))=Milestones!$AB$199),UPPER(TEXT(EDATE($D11,Milestones!$AA$199),"dd mmm yy"))&amp;" "&amp;Milestones!$AB$199&amp;" "&amp;Milestones!$AC$199&amp;";  ",""))</f>
        <v/>
      </c>
      <c r="R11" s="33" t="n">
        <f aca="false">IF(Staff!$A11="","",Staff!$AI11)</f>
        <v>0</v>
      </c>
      <c r="S11" s="0" t="str">
        <f aca="false">IF(Staff!$A11="","",Staff!$AK11)</f>
        <v/>
      </c>
      <c r="T11" s="0" t="str">
        <f aca="false">IF(Staff!$A11="","",Staff!$AL11)</f>
        <v/>
      </c>
      <c r="U11" s="0" t="str">
        <f aca="false">IF(Staff!$A11="","",Staff!$AP11)</f>
        <v>None</v>
      </c>
      <c r="V11" s="0" t="str">
        <f aca="false">IF(Staff!$A11="","",Staff!$AQ11)</f>
        <v/>
      </c>
      <c r="W11" s="0" t="str">
        <f aca="false">IF(Staff!$A11="","",Staff!$AR11)</f>
        <v/>
      </c>
      <c r="X11" s="0" t="str">
        <f aca="false">IF(Staff!$A11="","",Staff!$AS11)</f>
        <v>None</v>
      </c>
    </row>
    <row r="12" customFormat="false" ht="15" hidden="false" customHeight="false" outlineLevel="0" collapsed="false">
      <c r="A12" s="19" t="str">
        <f aca="false">IF(Staff!$A12="","",Staff!$A12)</f>
        <v>Blake</v>
      </c>
      <c r="B12" s="19" t="str">
        <f aca="false">IF(Staff!$A12="","",Staff!$B12)</f>
        <v>Crisford</v>
      </c>
      <c r="C12" s="19" t="str">
        <f aca="false">IF(Staff!$A12="","",Staff!$C12)</f>
        <v>Full-Time</v>
      </c>
      <c r="D12" s="17" t="n">
        <f aca="false">IF(Staff!$A12="","",Staff!$AH12)</f>
        <v>44971</v>
      </c>
      <c r="E12" s="20" t="n">
        <f aca="false">IF(Staff!$A12="","",Staff!$O12)</f>
        <v>2</v>
      </c>
      <c r="F12" s="19" t="n">
        <f aca="false">IF(E12="","",E12*HoursPerDay)</f>
        <v>16</v>
      </c>
      <c r="G12" s="20" t="n">
        <f aca="false">IF(Staff!$A12="","",Staff!$AE12)</f>
        <v>0</v>
      </c>
      <c r="H12" s="32" t="str">
        <f aca="false">IF($A12="","",I12&amp;J12&amp;K12&amp;L12&amp;M12&amp;N12&amp;O12&amp;P12&amp;Q12)</f>
        <v>14 FEB 26 FT 1;  14 JUN 26 FT 1;  </v>
      </c>
      <c r="I12" s="0" t="str">
        <f aca="false">IF(OR($A12="",$D12=""),"",IF(AND(EDATE($D12,Milestones!$AA$20)&lt;=AsOfDate,IF($R12=0,$X12,IF(AND($T12&lt;&gt;"",EDATE($D12,Milestones!$AA$20)&gt;=$T12),$W12,IF(AND($S12&lt;&gt;"",EDATE($D12,Milestones!$AA$20)&gt;=$S12),$V12,$U12)))=Milestones!$AB$20),UPPER(TEXT(EDATE($D12,Milestones!$AA$20),"dd mmm yy"))&amp;" "&amp;Milestones!$AB$20&amp;" "&amp;Milestones!$AC$20&amp;";  ","")&amp;IF(AND(EDATE($D12,Milestones!$AA$21)&lt;=AsOfDate,IF($R12=0,$X12,IF(AND($T12&lt;&gt;"",EDATE($D12,Milestones!$AA$21)&gt;=$T12),$W12,IF(AND($S12&lt;&gt;"",EDATE($D12,Milestones!$AA$21)&gt;=$S12),$V12,$U12)))=Milestones!$AB$21),UPPER(TEXT(EDATE($D12,Milestones!$AA$21),"dd mmm yy"))&amp;" "&amp;Milestones!$AB$21&amp;" "&amp;Milestones!$AC$21&amp;";  ","")&amp;IF(AND(EDATE($D12,Milestones!$AA$22)&lt;=AsOfDate,IF($R12=0,$X12,IF(AND($T12&lt;&gt;"",EDATE($D12,Milestones!$AA$22)&gt;=$T12),$W12,IF(AND($S12&lt;&gt;"",EDATE($D12,Milestones!$AA$22)&gt;=$S12),$V12,$U12)))=Milestones!$AB$22),UPPER(TEXT(EDATE($D12,Milestones!$AA$22),"dd mmm yy"))&amp;" "&amp;Milestones!$AB$22&amp;" "&amp;Milestones!$AC$22&amp;";  ","")&amp;IF(AND(EDATE($D12,Milestones!$AA$23)&lt;=AsOfDate,IF($R12=0,$X12,IF(AND($T12&lt;&gt;"",EDATE($D12,Milestones!$AA$23)&gt;=$T12),$W12,IF(AND($S12&lt;&gt;"",EDATE($D12,Milestones!$AA$23)&gt;=$S12),$V12,$U12)))=Milestones!$AB$23),UPPER(TEXT(EDATE($D12,Milestones!$AA$23),"dd mmm yy"))&amp;" "&amp;Milestones!$AB$23&amp;" "&amp;Milestones!$AC$23&amp;";  ","")&amp;IF(AND(EDATE($D12,Milestones!$AA$24)&lt;=AsOfDate,IF($R12=0,$X12,IF(AND($T12&lt;&gt;"",EDATE($D12,Milestones!$AA$24)&gt;=$T12),$W12,IF(AND($S12&lt;&gt;"",EDATE($D12,Milestones!$AA$24)&gt;=$S12),$V12,$U12)))=Milestones!$AB$24),UPPER(TEXT(EDATE($D12,Milestones!$AA$24),"dd mmm yy"))&amp;" "&amp;Milestones!$AB$24&amp;" "&amp;Milestones!$AC$24&amp;";  ","")&amp;IF(AND(EDATE($D12,Milestones!$AA$25)&lt;=AsOfDate,IF($R12=0,$X12,IF(AND($T12&lt;&gt;"",EDATE($D12,Milestones!$AA$25)&gt;=$T12),$W12,IF(AND($S12&lt;&gt;"",EDATE($D12,Milestones!$AA$25)&gt;=$S12),$V12,$U12)))=Milestones!$AB$25),UPPER(TEXT(EDATE($D12,Milestones!$AA$25),"dd mmm yy"))&amp;" "&amp;Milestones!$AB$25&amp;" "&amp;Milestones!$AC$25&amp;";  ","")&amp;IF(AND(EDATE($D12,Milestones!$AA$26)&lt;=AsOfDate,IF($R12=0,$X12,IF(AND($T12&lt;&gt;"",EDATE($D12,Milestones!$AA$26)&gt;=$T12),$W12,IF(AND($S12&lt;&gt;"",EDATE($D12,Milestones!$AA$26)&gt;=$S12),$V12,$U12)))=Milestones!$AB$26),UPPER(TEXT(EDATE($D12,Milestones!$AA$26),"dd mmm yy"))&amp;" "&amp;Milestones!$AB$26&amp;" "&amp;Milestones!$AC$26&amp;";  ","")&amp;IF(AND(EDATE($D12,Milestones!$AA$27)&lt;=AsOfDate,IF($R12=0,$X12,IF(AND($T12&lt;&gt;"",EDATE($D12,Milestones!$AA$27)&gt;=$T12),$W12,IF(AND($S12&lt;&gt;"",EDATE($D12,Milestones!$AA$27)&gt;=$S12),$V12,$U12)))=Milestones!$AB$27),UPPER(TEXT(EDATE($D12,Milestones!$AA$27),"dd mmm yy"))&amp;" "&amp;Milestones!$AB$27&amp;" "&amp;Milestones!$AC$27&amp;";  ","")&amp;IF(AND(EDATE($D12,Milestones!$AA$28)&lt;=AsOfDate,IF($R12=0,$X12,IF(AND($T12&lt;&gt;"",EDATE($D12,Milestones!$AA$28)&gt;=$T12),$W12,IF(AND($S12&lt;&gt;"",EDATE($D12,Milestones!$AA$28)&gt;=$S12),$V12,$U12)))=Milestones!$AB$28),UPPER(TEXT(EDATE($D12,Milestones!$AA$28),"dd mmm yy"))&amp;" "&amp;Milestones!$AB$28&amp;" "&amp;Milestones!$AC$28&amp;";  ","")&amp;IF(AND(EDATE($D12,Milestones!$AA$29)&lt;=AsOfDate,IF($R12=0,$X12,IF(AND($T12&lt;&gt;"",EDATE($D12,Milestones!$AA$29)&gt;=$T12),$W12,IF(AND($S12&lt;&gt;"",EDATE($D12,Milestones!$AA$29)&gt;=$S12),$V12,$U12)))=Milestones!$AB$29),UPPER(TEXT(EDATE($D12,Milestones!$AA$29),"dd mmm yy"))&amp;" "&amp;Milestones!$AB$29&amp;" "&amp;Milestones!$AC$29&amp;";  ","")&amp;IF(AND(EDATE($D12,Milestones!$AA$30)&lt;=AsOfDate,IF($R12=0,$X12,IF(AND($T12&lt;&gt;"",EDATE($D12,Milestones!$AA$30)&gt;=$T12),$W12,IF(AND($S12&lt;&gt;"",EDATE($D12,Milestones!$AA$30)&gt;=$S12),$V12,$U12)))=Milestones!$AB$30),UPPER(TEXT(EDATE($D12,Milestones!$AA$30),"dd mmm yy"))&amp;" "&amp;Milestones!$AB$30&amp;" "&amp;Milestones!$AC$30&amp;";  ","")&amp;IF(AND(EDATE($D12,Milestones!$AA$31)&lt;=AsOfDate,IF($R12=0,$X12,IF(AND($T12&lt;&gt;"",EDATE($D12,Milestones!$AA$31)&gt;=$T12),$W12,IF(AND($S12&lt;&gt;"",EDATE($D12,Milestones!$AA$31)&gt;=$S12),$V12,$U12)))=Milestones!$AB$31),UPPER(TEXT(EDATE($D12,Milestones!$AA$31),"dd mmm yy"))&amp;" "&amp;Milestones!$AB$31&amp;" "&amp;Milestones!$AC$31&amp;";  ","")&amp;IF(AND(EDATE($D12,Milestones!$AA$32)&lt;=AsOfDate,IF($R12=0,$X12,IF(AND($T12&lt;&gt;"",EDATE($D12,Milestones!$AA$32)&gt;=$T12),$W12,IF(AND($S12&lt;&gt;"",EDATE($D12,Milestones!$AA$32)&gt;=$S12),$V12,$U12)))=Milestones!$AB$32),UPPER(TEXT(EDATE($D12,Milestones!$AA$32),"dd mmm yy"))&amp;" "&amp;Milestones!$AB$32&amp;" "&amp;Milestones!$AC$32&amp;";  ","")&amp;IF(AND(EDATE($D12,Milestones!$AA$33)&lt;=AsOfDate,IF($R12=0,$X12,IF(AND($T12&lt;&gt;"",EDATE($D12,Milestones!$AA$33)&gt;=$T12),$W12,IF(AND($S12&lt;&gt;"",EDATE($D12,Milestones!$AA$33)&gt;=$S12),$V12,$U12)))=Milestones!$AB$33),UPPER(TEXT(EDATE($D12,Milestones!$AA$33),"dd mmm yy"))&amp;" "&amp;Milestones!$AB$33&amp;" "&amp;Milestones!$AC$33&amp;";  ","")&amp;IF(AND(EDATE($D12,Milestones!$AA$34)&lt;=AsOfDate,IF($R12=0,$X12,IF(AND($T12&lt;&gt;"",EDATE($D12,Milestones!$AA$34)&gt;=$T12),$W12,IF(AND($S12&lt;&gt;"",EDATE($D12,Milestones!$AA$34)&gt;=$S12),$V12,$U12)))=Milestones!$AB$34),UPPER(TEXT(EDATE($D12,Milestones!$AA$34),"dd mmm yy"))&amp;" "&amp;Milestones!$AB$34&amp;" "&amp;Milestones!$AC$34&amp;";  ","")&amp;IF(AND(EDATE($D12,Milestones!$AA$35)&lt;=AsOfDate,IF($R12=0,$X12,IF(AND($T12&lt;&gt;"",EDATE($D12,Milestones!$AA$35)&gt;=$T12),$W12,IF(AND($S12&lt;&gt;"",EDATE($D12,Milestones!$AA$35)&gt;=$S12),$V12,$U12)))=Milestones!$AB$35),UPPER(TEXT(EDATE($D12,Milestones!$AA$35),"dd mmm yy"))&amp;" "&amp;Milestones!$AB$35&amp;" "&amp;Milestones!$AC$35&amp;";  ","")&amp;IF(AND(EDATE($D12,Milestones!$AA$36)&lt;=AsOfDate,IF($R12=0,$X12,IF(AND($T12&lt;&gt;"",EDATE($D12,Milestones!$AA$36)&gt;=$T12),$W12,IF(AND($S12&lt;&gt;"",EDATE($D12,Milestones!$AA$36)&gt;=$S12),$V12,$U12)))=Milestones!$AB$36),UPPER(TEXT(EDATE($D12,Milestones!$AA$36),"dd mmm yy"))&amp;" "&amp;Milestones!$AB$36&amp;" "&amp;Milestones!$AC$36&amp;";  ","")&amp;IF(AND(EDATE($D12,Milestones!$AA$37)&lt;=AsOfDate,IF($R12=0,$X12,IF(AND($T12&lt;&gt;"",EDATE($D12,Milestones!$AA$37)&gt;=$T12),$W12,IF(AND($S12&lt;&gt;"",EDATE($D12,Milestones!$AA$37)&gt;=$S12),$V12,$U12)))=Milestones!$AB$37),UPPER(TEXT(EDATE($D12,Milestones!$AA$37),"dd mmm yy"))&amp;" "&amp;Milestones!$AB$37&amp;" "&amp;Milestones!$AC$37&amp;";  ","")&amp;IF(AND(EDATE($D12,Milestones!$AA$38)&lt;=AsOfDate,IF($R12=0,$X12,IF(AND($T12&lt;&gt;"",EDATE($D12,Milestones!$AA$38)&gt;=$T12),$W12,IF(AND($S12&lt;&gt;"",EDATE($D12,Milestones!$AA$38)&gt;=$S12),$V12,$U12)))=Milestones!$AB$38),UPPER(TEXT(EDATE($D12,Milestones!$AA$38),"dd mmm yy"))&amp;" "&amp;Milestones!$AB$38&amp;" "&amp;Milestones!$AC$38&amp;";  ","")&amp;IF(AND(EDATE($D12,Milestones!$AA$39)&lt;=AsOfDate,IF($R12=0,$X12,IF(AND($T12&lt;&gt;"",EDATE($D12,Milestones!$AA$39)&gt;=$T12),$W12,IF(AND($S12&lt;&gt;"",EDATE($D12,Milestones!$AA$39)&gt;=$S12),$V12,$U12)))=Milestones!$AB$39),UPPER(TEXT(EDATE($D12,Milestones!$AA$39),"dd mmm yy"))&amp;" "&amp;Milestones!$AB$39&amp;" "&amp;Milestones!$AC$39&amp;";  ",""))</f>
        <v>14 FEB 26 FT 1;  14 JUN 26 FT 1;  </v>
      </c>
      <c r="J12" s="0" t="str">
        <f aca="false">IF(OR($A12="",$D12=""),"",IF(AND(EDATE($D12,Milestones!$AA$40)&lt;=AsOfDate,IF($R12=0,$X12,IF(AND($T12&lt;&gt;"",EDATE($D12,Milestones!$AA$40)&gt;=$T12),$W12,IF(AND($S12&lt;&gt;"",EDATE($D12,Milestones!$AA$40)&gt;=$S12),$V12,$U12)))=Milestones!$AB$40),UPPER(TEXT(EDATE($D12,Milestones!$AA$40),"dd mmm yy"))&amp;" "&amp;Milestones!$AB$40&amp;" "&amp;Milestones!$AC$40&amp;";  ","")&amp;IF(AND(EDATE($D12,Milestones!$AA$41)&lt;=AsOfDate,IF($R12=0,$X12,IF(AND($T12&lt;&gt;"",EDATE($D12,Milestones!$AA$41)&gt;=$T12),$W12,IF(AND($S12&lt;&gt;"",EDATE($D12,Milestones!$AA$41)&gt;=$S12),$V12,$U12)))=Milestones!$AB$41),UPPER(TEXT(EDATE($D12,Milestones!$AA$41),"dd mmm yy"))&amp;" "&amp;Milestones!$AB$41&amp;" "&amp;Milestones!$AC$41&amp;";  ","")&amp;IF(AND(EDATE($D12,Milestones!$AA$42)&lt;=AsOfDate,IF($R12=0,$X12,IF(AND($T12&lt;&gt;"",EDATE($D12,Milestones!$AA$42)&gt;=$T12),$W12,IF(AND($S12&lt;&gt;"",EDATE($D12,Milestones!$AA$42)&gt;=$S12),$V12,$U12)))=Milestones!$AB$42),UPPER(TEXT(EDATE($D12,Milestones!$AA$42),"dd mmm yy"))&amp;" "&amp;Milestones!$AB$42&amp;" "&amp;Milestones!$AC$42&amp;";  ","")&amp;IF(AND(EDATE($D12,Milestones!$AA$43)&lt;=AsOfDate,IF($R12=0,$X12,IF(AND($T12&lt;&gt;"",EDATE($D12,Milestones!$AA$43)&gt;=$T12),$W12,IF(AND($S12&lt;&gt;"",EDATE($D12,Milestones!$AA$43)&gt;=$S12),$V12,$U12)))=Milestones!$AB$43),UPPER(TEXT(EDATE($D12,Milestones!$AA$43),"dd mmm yy"))&amp;" "&amp;Milestones!$AB$43&amp;" "&amp;Milestones!$AC$43&amp;";  ","")&amp;IF(AND(EDATE($D12,Milestones!$AA$44)&lt;=AsOfDate,IF($R12=0,$X12,IF(AND($T12&lt;&gt;"",EDATE($D12,Milestones!$AA$44)&gt;=$T12),$W12,IF(AND($S12&lt;&gt;"",EDATE($D12,Milestones!$AA$44)&gt;=$S12),$V12,$U12)))=Milestones!$AB$44),UPPER(TEXT(EDATE($D12,Milestones!$AA$44),"dd mmm yy"))&amp;" "&amp;Milestones!$AB$44&amp;" "&amp;Milestones!$AC$44&amp;";  ","")&amp;IF(AND(EDATE($D12,Milestones!$AA$45)&lt;=AsOfDate,IF($R12=0,$X12,IF(AND($T12&lt;&gt;"",EDATE($D12,Milestones!$AA$45)&gt;=$T12),$W12,IF(AND($S12&lt;&gt;"",EDATE($D12,Milestones!$AA$45)&gt;=$S12),$V12,$U12)))=Milestones!$AB$45),UPPER(TEXT(EDATE($D12,Milestones!$AA$45),"dd mmm yy"))&amp;" "&amp;Milestones!$AB$45&amp;" "&amp;Milestones!$AC$45&amp;";  ","")&amp;IF(AND(EDATE($D12,Milestones!$AA$46)&lt;=AsOfDate,IF($R12=0,$X12,IF(AND($T12&lt;&gt;"",EDATE($D12,Milestones!$AA$46)&gt;=$T12),$W12,IF(AND($S12&lt;&gt;"",EDATE($D12,Milestones!$AA$46)&gt;=$S12),$V12,$U12)))=Milestones!$AB$46),UPPER(TEXT(EDATE($D12,Milestones!$AA$46),"dd mmm yy"))&amp;" "&amp;Milestones!$AB$46&amp;" "&amp;Milestones!$AC$46&amp;";  ","")&amp;IF(AND(EDATE($D12,Milestones!$AA$47)&lt;=AsOfDate,IF($R12=0,$X12,IF(AND($T12&lt;&gt;"",EDATE($D12,Milestones!$AA$47)&gt;=$T12),$W12,IF(AND($S12&lt;&gt;"",EDATE($D12,Milestones!$AA$47)&gt;=$S12),$V12,$U12)))=Milestones!$AB$47),UPPER(TEXT(EDATE($D12,Milestones!$AA$47),"dd mmm yy"))&amp;" "&amp;Milestones!$AB$47&amp;" "&amp;Milestones!$AC$47&amp;";  ","")&amp;IF(AND(EDATE($D12,Milestones!$AA$48)&lt;=AsOfDate,IF($R12=0,$X12,IF(AND($T12&lt;&gt;"",EDATE($D12,Milestones!$AA$48)&gt;=$T12),$W12,IF(AND($S12&lt;&gt;"",EDATE($D12,Milestones!$AA$48)&gt;=$S12),$V12,$U12)))=Milestones!$AB$48),UPPER(TEXT(EDATE($D12,Milestones!$AA$48),"dd mmm yy"))&amp;" "&amp;Milestones!$AB$48&amp;" "&amp;Milestones!$AC$48&amp;";  ","")&amp;IF(AND(EDATE($D12,Milestones!$AA$49)&lt;=AsOfDate,IF($R12=0,$X12,IF(AND($T12&lt;&gt;"",EDATE($D12,Milestones!$AA$49)&gt;=$T12),$W12,IF(AND($S12&lt;&gt;"",EDATE($D12,Milestones!$AA$49)&gt;=$S12),$V12,$U12)))=Milestones!$AB$49),UPPER(TEXT(EDATE($D12,Milestones!$AA$49),"dd mmm yy"))&amp;" "&amp;Milestones!$AB$49&amp;" "&amp;Milestones!$AC$49&amp;";  ","")&amp;IF(AND(EDATE($D12,Milestones!$AA$50)&lt;=AsOfDate,IF($R12=0,$X12,IF(AND($T12&lt;&gt;"",EDATE($D12,Milestones!$AA$50)&gt;=$T12),$W12,IF(AND($S12&lt;&gt;"",EDATE($D12,Milestones!$AA$50)&gt;=$S12),$V12,$U12)))=Milestones!$AB$50),UPPER(TEXT(EDATE($D12,Milestones!$AA$50),"dd mmm yy"))&amp;" "&amp;Milestones!$AB$50&amp;" "&amp;Milestones!$AC$50&amp;";  ","")&amp;IF(AND(EDATE($D12,Milestones!$AA$51)&lt;=AsOfDate,IF($R12=0,$X12,IF(AND($T12&lt;&gt;"",EDATE($D12,Milestones!$AA$51)&gt;=$T12),$W12,IF(AND($S12&lt;&gt;"",EDATE($D12,Milestones!$AA$51)&gt;=$S12),$V12,$U12)))=Milestones!$AB$51),UPPER(TEXT(EDATE($D12,Milestones!$AA$51),"dd mmm yy"))&amp;" "&amp;Milestones!$AB$51&amp;" "&amp;Milestones!$AC$51&amp;";  ","")&amp;IF(AND(EDATE($D12,Milestones!$AA$52)&lt;=AsOfDate,IF($R12=0,$X12,IF(AND($T12&lt;&gt;"",EDATE($D12,Milestones!$AA$52)&gt;=$T12),$W12,IF(AND($S12&lt;&gt;"",EDATE($D12,Milestones!$AA$52)&gt;=$S12),$V12,$U12)))=Milestones!$AB$52),UPPER(TEXT(EDATE($D12,Milestones!$AA$52),"dd mmm yy"))&amp;" "&amp;Milestones!$AB$52&amp;" "&amp;Milestones!$AC$52&amp;";  ","")&amp;IF(AND(EDATE($D12,Milestones!$AA$53)&lt;=AsOfDate,IF($R12=0,$X12,IF(AND($T12&lt;&gt;"",EDATE($D12,Milestones!$AA$53)&gt;=$T12),$W12,IF(AND($S12&lt;&gt;"",EDATE($D12,Milestones!$AA$53)&gt;=$S12),$V12,$U12)))=Milestones!$AB$53),UPPER(TEXT(EDATE($D12,Milestones!$AA$53),"dd mmm yy"))&amp;" "&amp;Milestones!$AB$53&amp;" "&amp;Milestones!$AC$53&amp;";  ","")&amp;IF(AND(EDATE($D12,Milestones!$AA$54)&lt;=AsOfDate,IF($R12=0,$X12,IF(AND($T12&lt;&gt;"",EDATE($D12,Milestones!$AA$54)&gt;=$T12),$W12,IF(AND($S12&lt;&gt;"",EDATE($D12,Milestones!$AA$54)&gt;=$S12),$V12,$U12)))=Milestones!$AB$54),UPPER(TEXT(EDATE($D12,Milestones!$AA$54),"dd mmm yy"))&amp;" "&amp;Milestones!$AB$54&amp;" "&amp;Milestones!$AC$54&amp;";  ","")&amp;IF(AND(EDATE($D12,Milestones!$AA$55)&lt;=AsOfDate,IF($R12=0,$X12,IF(AND($T12&lt;&gt;"",EDATE($D12,Milestones!$AA$55)&gt;=$T12),$W12,IF(AND($S12&lt;&gt;"",EDATE($D12,Milestones!$AA$55)&gt;=$S12),$V12,$U12)))=Milestones!$AB$55),UPPER(TEXT(EDATE($D12,Milestones!$AA$55),"dd mmm yy"))&amp;" "&amp;Milestones!$AB$55&amp;" "&amp;Milestones!$AC$55&amp;";  ","")&amp;IF(AND(EDATE($D12,Milestones!$AA$56)&lt;=AsOfDate,IF($R12=0,$X12,IF(AND($T12&lt;&gt;"",EDATE($D12,Milestones!$AA$56)&gt;=$T12),$W12,IF(AND($S12&lt;&gt;"",EDATE($D12,Milestones!$AA$56)&gt;=$S12),$V12,$U12)))=Milestones!$AB$56),UPPER(TEXT(EDATE($D12,Milestones!$AA$56),"dd mmm yy"))&amp;" "&amp;Milestones!$AB$56&amp;" "&amp;Milestones!$AC$56&amp;";  ","")&amp;IF(AND(EDATE($D12,Milestones!$AA$57)&lt;=AsOfDate,IF($R12=0,$X12,IF(AND($T12&lt;&gt;"",EDATE($D12,Milestones!$AA$57)&gt;=$T12),$W12,IF(AND($S12&lt;&gt;"",EDATE($D12,Milestones!$AA$57)&gt;=$S12),$V12,$U12)))=Milestones!$AB$57),UPPER(TEXT(EDATE($D12,Milestones!$AA$57),"dd mmm yy"))&amp;" "&amp;Milestones!$AB$57&amp;" "&amp;Milestones!$AC$57&amp;";  ","")&amp;IF(AND(EDATE($D12,Milestones!$AA$58)&lt;=AsOfDate,IF($R12=0,$X12,IF(AND($T12&lt;&gt;"",EDATE($D12,Milestones!$AA$58)&gt;=$T12),$W12,IF(AND($S12&lt;&gt;"",EDATE($D12,Milestones!$AA$58)&gt;=$S12),$V12,$U12)))=Milestones!$AB$58),UPPER(TEXT(EDATE($D12,Milestones!$AA$58),"dd mmm yy"))&amp;" "&amp;Milestones!$AB$58&amp;" "&amp;Milestones!$AC$58&amp;";  ","")&amp;IF(AND(EDATE($D12,Milestones!$AA$59)&lt;=AsOfDate,IF($R12=0,$X12,IF(AND($T12&lt;&gt;"",EDATE($D12,Milestones!$AA$59)&gt;=$T12),$W12,IF(AND($S12&lt;&gt;"",EDATE($D12,Milestones!$AA$59)&gt;=$S12),$V12,$U12)))=Milestones!$AB$59),UPPER(TEXT(EDATE($D12,Milestones!$AA$59),"dd mmm yy"))&amp;" "&amp;Milestones!$AB$59&amp;" "&amp;Milestones!$AC$59&amp;";  ",""))</f>
        <v/>
      </c>
      <c r="K12" s="0" t="str">
        <f aca="false">IF(OR($A12="",$D12=""),"",IF(AND(EDATE($D12,Milestones!$AA$60)&lt;=AsOfDate,IF($R12=0,$X12,IF(AND($T12&lt;&gt;"",EDATE($D12,Milestones!$AA$60)&gt;=$T12),$W12,IF(AND($S12&lt;&gt;"",EDATE($D12,Milestones!$AA$60)&gt;=$S12),$V12,$U12)))=Milestones!$AB$60),UPPER(TEXT(EDATE($D12,Milestones!$AA$60),"dd mmm yy"))&amp;" "&amp;Milestones!$AB$60&amp;" "&amp;Milestones!$AC$60&amp;";  ","")&amp;IF(AND(EDATE($D12,Milestones!$AA$61)&lt;=AsOfDate,IF($R12=0,$X12,IF(AND($T12&lt;&gt;"",EDATE($D12,Milestones!$AA$61)&gt;=$T12),$W12,IF(AND($S12&lt;&gt;"",EDATE($D12,Milestones!$AA$61)&gt;=$S12),$V12,$U12)))=Milestones!$AB$61),UPPER(TEXT(EDATE($D12,Milestones!$AA$61),"dd mmm yy"))&amp;" "&amp;Milestones!$AB$61&amp;" "&amp;Milestones!$AC$61&amp;";  ","")&amp;IF(AND(EDATE($D12,Milestones!$AA$62)&lt;=AsOfDate,IF($R12=0,$X12,IF(AND($T12&lt;&gt;"",EDATE($D12,Milestones!$AA$62)&gt;=$T12),$W12,IF(AND($S12&lt;&gt;"",EDATE($D12,Milestones!$AA$62)&gt;=$S12),$V12,$U12)))=Milestones!$AB$62),UPPER(TEXT(EDATE($D12,Milestones!$AA$62),"dd mmm yy"))&amp;" "&amp;Milestones!$AB$62&amp;" "&amp;Milestones!$AC$62&amp;";  ","")&amp;IF(AND(EDATE($D12,Milestones!$AA$63)&lt;=AsOfDate,IF($R12=0,$X12,IF(AND($T12&lt;&gt;"",EDATE($D12,Milestones!$AA$63)&gt;=$T12),$W12,IF(AND($S12&lt;&gt;"",EDATE($D12,Milestones!$AA$63)&gt;=$S12),$V12,$U12)))=Milestones!$AB$63),UPPER(TEXT(EDATE($D12,Milestones!$AA$63),"dd mmm yy"))&amp;" "&amp;Milestones!$AB$63&amp;" "&amp;Milestones!$AC$63&amp;";  ","")&amp;IF(AND(EDATE($D12,Milestones!$AA$64)&lt;=AsOfDate,IF($R12=0,$X12,IF(AND($T12&lt;&gt;"",EDATE($D12,Milestones!$AA$64)&gt;=$T12),$W12,IF(AND($S12&lt;&gt;"",EDATE($D12,Milestones!$AA$64)&gt;=$S12),$V12,$U12)))=Milestones!$AB$64),UPPER(TEXT(EDATE($D12,Milestones!$AA$64),"dd mmm yy"))&amp;" "&amp;Milestones!$AB$64&amp;" "&amp;Milestones!$AC$64&amp;";  ","")&amp;IF(AND(EDATE($D12,Milestones!$AA$65)&lt;=AsOfDate,IF($R12=0,$X12,IF(AND($T12&lt;&gt;"",EDATE($D12,Milestones!$AA$65)&gt;=$T12),$W12,IF(AND($S12&lt;&gt;"",EDATE($D12,Milestones!$AA$65)&gt;=$S12),$V12,$U12)))=Milestones!$AB$65),UPPER(TEXT(EDATE($D12,Milestones!$AA$65),"dd mmm yy"))&amp;" "&amp;Milestones!$AB$65&amp;" "&amp;Milestones!$AC$65&amp;";  ","")&amp;IF(AND(EDATE($D12,Milestones!$AA$66)&lt;=AsOfDate,IF($R12=0,$X12,IF(AND($T12&lt;&gt;"",EDATE($D12,Milestones!$AA$66)&gt;=$T12),$W12,IF(AND($S12&lt;&gt;"",EDATE($D12,Milestones!$AA$66)&gt;=$S12),$V12,$U12)))=Milestones!$AB$66),UPPER(TEXT(EDATE($D12,Milestones!$AA$66),"dd mmm yy"))&amp;" "&amp;Milestones!$AB$66&amp;" "&amp;Milestones!$AC$66&amp;";  ","")&amp;IF(AND(EDATE($D12,Milestones!$AA$67)&lt;=AsOfDate,IF($R12=0,$X12,IF(AND($T12&lt;&gt;"",EDATE($D12,Milestones!$AA$67)&gt;=$T12),$W12,IF(AND($S12&lt;&gt;"",EDATE($D12,Milestones!$AA$67)&gt;=$S12),$V12,$U12)))=Milestones!$AB$67),UPPER(TEXT(EDATE($D12,Milestones!$AA$67),"dd mmm yy"))&amp;" "&amp;Milestones!$AB$67&amp;" "&amp;Milestones!$AC$67&amp;";  ","")&amp;IF(AND(EDATE($D12,Milestones!$AA$68)&lt;=AsOfDate,IF($R12=0,$X12,IF(AND($T12&lt;&gt;"",EDATE($D12,Milestones!$AA$68)&gt;=$T12),$W12,IF(AND($S12&lt;&gt;"",EDATE($D12,Milestones!$AA$68)&gt;=$S12),$V12,$U12)))=Milestones!$AB$68),UPPER(TEXT(EDATE($D12,Milestones!$AA$68),"dd mmm yy"))&amp;" "&amp;Milestones!$AB$68&amp;" "&amp;Milestones!$AC$68&amp;";  ","")&amp;IF(AND(EDATE($D12,Milestones!$AA$69)&lt;=AsOfDate,IF($R12=0,$X12,IF(AND($T12&lt;&gt;"",EDATE($D12,Milestones!$AA$69)&gt;=$T12),$W12,IF(AND($S12&lt;&gt;"",EDATE($D12,Milestones!$AA$69)&gt;=$S12),$V12,$U12)))=Milestones!$AB$69),UPPER(TEXT(EDATE($D12,Milestones!$AA$69),"dd mmm yy"))&amp;" "&amp;Milestones!$AB$69&amp;" "&amp;Milestones!$AC$69&amp;";  ","")&amp;IF(AND(EDATE($D12,Milestones!$AA$70)&lt;=AsOfDate,IF($R12=0,$X12,IF(AND($T12&lt;&gt;"",EDATE($D12,Milestones!$AA$70)&gt;=$T12),$W12,IF(AND($S12&lt;&gt;"",EDATE($D12,Milestones!$AA$70)&gt;=$S12),$V12,$U12)))=Milestones!$AB$70),UPPER(TEXT(EDATE($D12,Milestones!$AA$70),"dd mmm yy"))&amp;" "&amp;Milestones!$AB$70&amp;" "&amp;Milestones!$AC$70&amp;";  ","")&amp;IF(AND(EDATE($D12,Milestones!$AA$71)&lt;=AsOfDate,IF($R12=0,$X12,IF(AND($T12&lt;&gt;"",EDATE($D12,Milestones!$AA$71)&gt;=$T12),$W12,IF(AND($S12&lt;&gt;"",EDATE($D12,Milestones!$AA$71)&gt;=$S12),$V12,$U12)))=Milestones!$AB$71),UPPER(TEXT(EDATE($D12,Milestones!$AA$71),"dd mmm yy"))&amp;" "&amp;Milestones!$AB$71&amp;" "&amp;Milestones!$AC$71&amp;";  ","")&amp;IF(AND(EDATE($D12,Milestones!$AA$72)&lt;=AsOfDate,IF($R12=0,$X12,IF(AND($T12&lt;&gt;"",EDATE($D12,Milestones!$AA$72)&gt;=$T12),$W12,IF(AND($S12&lt;&gt;"",EDATE($D12,Milestones!$AA$72)&gt;=$S12),$V12,$U12)))=Milestones!$AB$72),UPPER(TEXT(EDATE($D12,Milestones!$AA$72),"dd mmm yy"))&amp;" "&amp;Milestones!$AB$72&amp;" "&amp;Milestones!$AC$72&amp;";  ","")&amp;IF(AND(EDATE($D12,Milestones!$AA$73)&lt;=AsOfDate,IF($R12=0,$X12,IF(AND($T12&lt;&gt;"",EDATE($D12,Milestones!$AA$73)&gt;=$T12),$W12,IF(AND($S12&lt;&gt;"",EDATE($D12,Milestones!$AA$73)&gt;=$S12),$V12,$U12)))=Milestones!$AB$73),UPPER(TEXT(EDATE($D12,Milestones!$AA$73),"dd mmm yy"))&amp;" "&amp;Milestones!$AB$73&amp;" "&amp;Milestones!$AC$73&amp;";  ","")&amp;IF(AND(EDATE($D12,Milestones!$AA$74)&lt;=AsOfDate,IF($R12=0,$X12,IF(AND($T12&lt;&gt;"",EDATE($D12,Milestones!$AA$74)&gt;=$T12),$W12,IF(AND($S12&lt;&gt;"",EDATE($D12,Milestones!$AA$74)&gt;=$S12),$V12,$U12)))=Milestones!$AB$74),UPPER(TEXT(EDATE($D12,Milestones!$AA$74),"dd mmm yy"))&amp;" "&amp;Milestones!$AB$74&amp;" "&amp;Milestones!$AC$74&amp;";  ","")&amp;IF(AND(EDATE($D12,Milestones!$AA$75)&lt;=AsOfDate,IF($R12=0,$X12,IF(AND($T12&lt;&gt;"",EDATE($D12,Milestones!$AA$75)&gt;=$T12),$W12,IF(AND($S12&lt;&gt;"",EDATE($D12,Milestones!$AA$75)&gt;=$S12),$V12,$U12)))=Milestones!$AB$75),UPPER(TEXT(EDATE($D12,Milestones!$AA$75),"dd mmm yy"))&amp;" "&amp;Milestones!$AB$75&amp;" "&amp;Milestones!$AC$75&amp;";  ","")&amp;IF(AND(EDATE($D12,Milestones!$AA$76)&lt;=AsOfDate,IF($R12=0,$X12,IF(AND($T12&lt;&gt;"",EDATE($D12,Milestones!$AA$76)&gt;=$T12),$W12,IF(AND($S12&lt;&gt;"",EDATE($D12,Milestones!$AA$76)&gt;=$S12),$V12,$U12)))=Milestones!$AB$76),UPPER(TEXT(EDATE($D12,Milestones!$AA$76),"dd mmm yy"))&amp;" "&amp;Milestones!$AB$76&amp;" "&amp;Milestones!$AC$76&amp;";  ","")&amp;IF(AND(EDATE($D12,Milestones!$AA$77)&lt;=AsOfDate,IF($R12=0,$X12,IF(AND($T12&lt;&gt;"",EDATE($D12,Milestones!$AA$77)&gt;=$T12),$W12,IF(AND($S12&lt;&gt;"",EDATE($D12,Milestones!$AA$77)&gt;=$S12),$V12,$U12)))=Milestones!$AB$77),UPPER(TEXT(EDATE($D12,Milestones!$AA$77),"dd mmm yy"))&amp;" "&amp;Milestones!$AB$77&amp;" "&amp;Milestones!$AC$77&amp;";  ","")&amp;IF(AND(EDATE($D12,Milestones!$AA$78)&lt;=AsOfDate,IF($R12=0,$X12,IF(AND($T12&lt;&gt;"",EDATE($D12,Milestones!$AA$78)&gt;=$T12),$W12,IF(AND($S12&lt;&gt;"",EDATE($D12,Milestones!$AA$78)&gt;=$S12),$V12,$U12)))=Milestones!$AB$78),UPPER(TEXT(EDATE($D12,Milestones!$AA$78),"dd mmm yy"))&amp;" "&amp;Milestones!$AB$78&amp;" "&amp;Milestones!$AC$78&amp;";  ","")&amp;IF(AND(EDATE($D12,Milestones!$AA$79)&lt;=AsOfDate,IF($R12=0,$X12,IF(AND($T12&lt;&gt;"",EDATE($D12,Milestones!$AA$79)&gt;=$T12),$W12,IF(AND($S12&lt;&gt;"",EDATE($D12,Milestones!$AA$79)&gt;=$S12),$V12,$U12)))=Milestones!$AB$79),UPPER(TEXT(EDATE($D12,Milestones!$AA$79),"dd mmm yy"))&amp;" "&amp;Milestones!$AB$79&amp;" "&amp;Milestones!$AC$79&amp;";  ",""))</f>
        <v/>
      </c>
      <c r="L12" s="0" t="str">
        <f aca="false">IF(OR($A12="",$D12=""),"",IF(AND(EDATE($D12,Milestones!$AA$80)&lt;=AsOfDate,IF($R12=0,$X12,IF(AND($T12&lt;&gt;"",EDATE($D12,Milestones!$AA$80)&gt;=$T12),$W12,IF(AND($S12&lt;&gt;"",EDATE($D12,Milestones!$AA$80)&gt;=$S12),$V12,$U12)))=Milestones!$AB$80),UPPER(TEXT(EDATE($D12,Milestones!$AA$80),"dd mmm yy"))&amp;" "&amp;Milestones!$AB$80&amp;" "&amp;Milestones!$AC$80&amp;";  ","")&amp;IF(AND(EDATE($D12,Milestones!$AA$81)&lt;=AsOfDate,IF($R12=0,$X12,IF(AND($T12&lt;&gt;"",EDATE($D12,Milestones!$AA$81)&gt;=$T12),$W12,IF(AND($S12&lt;&gt;"",EDATE($D12,Milestones!$AA$81)&gt;=$S12),$V12,$U12)))=Milestones!$AB$81),UPPER(TEXT(EDATE($D12,Milestones!$AA$81),"dd mmm yy"))&amp;" "&amp;Milestones!$AB$81&amp;" "&amp;Milestones!$AC$81&amp;";  ","")&amp;IF(AND(EDATE($D12,Milestones!$AA$82)&lt;=AsOfDate,IF($R12=0,$X12,IF(AND($T12&lt;&gt;"",EDATE($D12,Milestones!$AA$82)&gt;=$T12),$W12,IF(AND($S12&lt;&gt;"",EDATE($D12,Milestones!$AA$82)&gt;=$S12),$V12,$U12)))=Milestones!$AB$82),UPPER(TEXT(EDATE($D12,Milestones!$AA$82),"dd mmm yy"))&amp;" "&amp;Milestones!$AB$82&amp;" "&amp;Milestones!$AC$82&amp;";  ","")&amp;IF(AND(EDATE($D12,Milestones!$AA$83)&lt;=AsOfDate,IF($R12=0,$X12,IF(AND($T12&lt;&gt;"",EDATE($D12,Milestones!$AA$83)&gt;=$T12),$W12,IF(AND($S12&lt;&gt;"",EDATE($D12,Milestones!$AA$83)&gt;=$S12),$V12,$U12)))=Milestones!$AB$83),UPPER(TEXT(EDATE($D12,Milestones!$AA$83),"dd mmm yy"))&amp;" "&amp;Milestones!$AB$83&amp;" "&amp;Milestones!$AC$83&amp;";  ","")&amp;IF(AND(EDATE($D12,Milestones!$AA$84)&lt;=AsOfDate,IF($R12=0,$X12,IF(AND($T12&lt;&gt;"",EDATE($D12,Milestones!$AA$84)&gt;=$T12),$W12,IF(AND($S12&lt;&gt;"",EDATE($D12,Milestones!$AA$84)&gt;=$S12),$V12,$U12)))=Milestones!$AB$84),UPPER(TEXT(EDATE($D12,Milestones!$AA$84),"dd mmm yy"))&amp;" "&amp;Milestones!$AB$84&amp;" "&amp;Milestones!$AC$84&amp;";  ","")&amp;IF(AND(EDATE($D12,Milestones!$AA$85)&lt;=AsOfDate,IF($R12=0,$X12,IF(AND($T12&lt;&gt;"",EDATE($D12,Milestones!$AA$85)&gt;=$T12),$W12,IF(AND($S12&lt;&gt;"",EDATE($D12,Milestones!$AA$85)&gt;=$S12),$V12,$U12)))=Milestones!$AB$85),UPPER(TEXT(EDATE($D12,Milestones!$AA$85),"dd mmm yy"))&amp;" "&amp;Milestones!$AB$85&amp;" "&amp;Milestones!$AC$85&amp;";  ","")&amp;IF(AND(EDATE($D12,Milestones!$AA$86)&lt;=AsOfDate,IF($R12=0,$X12,IF(AND($T12&lt;&gt;"",EDATE($D12,Milestones!$AA$86)&gt;=$T12),$W12,IF(AND($S12&lt;&gt;"",EDATE($D12,Milestones!$AA$86)&gt;=$S12),$V12,$U12)))=Milestones!$AB$86),UPPER(TEXT(EDATE($D12,Milestones!$AA$86),"dd mmm yy"))&amp;" "&amp;Milestones!$AB$86&amp;" "&amp;Milestones!$AC$86&amp;";  ","")&amp;IF(AND(EDATE($D12,Milestones!$AA$87)&lt;=AsOfDate,IF($R12=0,$X12,IF(AND($T12&lt;&gt;"",EDATE($D12,Milestones!$AA$87)&gt;=$T12),$W12,IF(AND($S12&lt;&gt;"",EDATE($D12,Milestones!$AA$87)&gt;=$S12),$V12,$U12)))=Milestones!$AB$87),UPPER(TEXT(EDATE($D12,Milestones!$AA$87),"dd mmm yy"))&amp;" "&amp;Milestones!$AB$87&amp;" "&amp;Milestones!$AC$87&amp;";  ","")&amp;IF(AND(EDATE($D12,Milestones!$AA$88)&lt;=AsOfDate,IF($R12=0,$X12,IF(AND($T12&lt;&gt;"",EDATE($D12,Milestones!$AA$88)&gt;=$T12),$W12,IF(AND($S12&lt;&gt;"",EDATE($D12,Milestones!$AA$88)&gt;=$S12),$V12,$U12)))=Milestones!$AB$88),UPPER(TEXT(EDATE($D12,Milestones!$AA$88),"dd mmm yy"))&amp;" "&amp;Milestones!$AB$88&amp;" "&amp;Milestones!$AC$88&amp;";  ","")&amp;IF(AND(EDATE($D12,Milestones!$AA$89)&lt;=AsOfDate,IF($R12=0,$X12,IF(AND($T12&lt;&gt;"",EDATE($D12,Milestones!$AA$89)&gt;=$T12),$W12,IF(AND($S12&lt;&gt;"",EDATE($D12,Milestones!$AA$89)&gt;=$S12),$V12,$U12)))=Milestones!$AB$89),UPPER(TEXT(EDATE($D12,Milestones!$AA$89),"dd mmm yy"))&amp;" "&amp;Milestones!$AB$89&amp;" "&amp;Milestones!$AC$89&amp;";  ","")&amp;IF(AND(EDATE($D12,Milestones!$AA$90)&lt;=AsOfDate,IF($R12=0,$X12,IF(AND($T12&lt;&gt;"",EDATE($D12,Milestones!$AA$90)&gt;=$T12),$W12,IF(AND($S12&lt;&gt;"",EDATE($D12,Milestones!$AA$90)&gt;=$S12),$V12,$U12)))=Milestones!$AB$90),UPPER(TEXT(EDATE($D12,Milestones!$AA$90),"dd mmm yy"))&amp;" "&amp;Milestones!$AB$90&amp;" "&amp;Milestones!$AC$90&amp;";  ","")&amp;IF(AND(EDATE($D12,Milestones!$AA$91)&lt;=AsOfDate,IF($R12=0,$X12,IF(AND($T12&lt;&gt;"",EDATE($D12,Milestones!$AA$91)&gt;=$T12),$W12,IF(AND($S12&lt;&gt;"",EDATE($D12,Milestones!$AA$91)&gt;=$S12),$V12,$U12)))=Milestones!$AB$91),UPPER(TEXT(EDATE($D12,Milestones!$AA$91),"dd mmm yy"))&amp;" "&amp;Milestones!$AB$91&amp;" "&amp;Milestones!$AC$91&amp;";  ","")&amp;IF(AND(EDATE($D12,Milestones!$AA$92)&lt;=AsOfDate,IF($R12=0,$X12,IF(AND($T12&lt;&gt;"",EDATE($D12,Milestones!$AA$92)&gt;=$T12),$W12,IF(AND($S12&lt;&gt;"",EDATE($D12,Milestones!$AA$92)&gt;=$S12),$V12,$U12)))=Milestones!$AB$92),UPPER(TEXT(EDATE($D12,Milestones!$AA$92),"dd mmm yy"))&amp;" "&amp;Milestones!$AB$92&amp;" "&amp;Milestones!$AC$92&amp;";  ","")&amp;IF(AND(EDATE($D12,Milestones!$AA$93)&lt;=AsOfDate,IF($R12=0,$X12,IF(AND($T12&lt;&gt;"",EDATE($D12,Milestones!$AA$93)&gt;=$T12),$W12,IF(AND($S12&lt;&gt;"",EDATE($D12,Milestones!$AA$93)&gt;=$S12),$V12,$U12)))=Milestones!$AB$93),UPPER(TEXT(EDATE($D12,Milestones!$AA$93),"dd mmm yy"))&amp;" "&amp;Milestones!$AB$93&amp;" "&amp;Milestones!$AC$93&amp;";  ","")&amp;IF(AND(EDATE($D12,Milestones!$AA$94)&lt;=AsOfDate,IF($R12=0,$X12,IF(AND($T12&lt;&gt;"",EDATE($D12,Milestones!$AA$94)&gt;=$T12),$W12,IF(AND($S12&lt;&gt;"",EDATE($D12,Milestones!$AA$94)&gt;=$S12),$V12,$U12)))=Milestones!$AB$94),UPPER(TEXT(EDATE($D12,Milestones!$AA$94),"dd mmm yy"))&amp;" "&amp;Milestones!$AB$94&amp;" "&amp;Milestones!$AC$94&amp;";  ","")&amp;IF(AND(EDATE($D12,Milestones!$AA$95)&lt;=AsOfDate,IF($R12=0,$X12,IF(AND($T12&lt;&gt;"",EDATE($D12,Milestones!$AA$95)&gt;=$T12),$W12,IF(AND($S12&lt;&gt;"",EDATE($D12,Milestones!$AA$95)&gt;=$S12),$V12,$U12)))=Milestones!$AB$95),UPPER(TEXT(EDATE($D12,Milestones!$AA$95),"dd mmm yy"))&amp;" "&amp;Milestones!$AB$95&amp;" "&amp;Milestones!$AC$95&amp;";  ","")&amp;IF(AND(EDATE($D12,Milestones!$AA$96)&lt;=AsOfDate,IF($R12=0,$X12,IF(AND($T12&lt;&gt;"",EDATE($D12,Milestones!$AA$96)&gt;=$T12),$W12,IF(AND($S12&lt;&gt;"",EDATE($D12,Milestones!$AA$96)&gt;=$S12),$V12,$U12)))=Milestones!$AB$96),UPPER(TEXT(EDATE($D12,Milestones!$AA$96),"dd mmm yy"))&amp;" "&amp;Milestones!$AB$96&amp;" "&amp;Milestones!$AC$96&amp;";  ","")&amp;IF(AND(EDATE($D12,Milestones!$AA$97)&lt;=AsOfDate,IF($R12=0,$X12,IF(AND($T12&lt;&gt;"",EDATE($D12,Milestones!$AA$97)&gt;=$T12),$W12,IF(AND($S12&lt;&gt;"",EDATE($D12,Milestones!$AA$97)&gt;=$S12),$V12,$U12)))=Milestones!$AB$97),UPPER(TEXT(EDATE($D12,Milestones!$AA$97),"dd mmm yy"))&amp;" "&amp;Milestones!$AB$97&amp;" "&amp;Milestones!$AC$97&amp;";  ","")&amp;IF(AND(EDATE($D12,Milestones!$AA$98)&lt;=AsOfDate,IF($R12=0,$X12,IF(AND($T12&lt;&gt;"",EDATE($D12,Milestones!$AA$98)&gt;=$T12),$W12,IF(AND($S12&lt;&gt;"",EDATE($D12,Milestones!$AA$98)&gt;=$S12),$V12,$U12)))=Milestones!$AB$98),UPPER(TEXT(EDATE($D12,Milestones!$AA$98),"dd mmm yy"))&amp;" "&amp;Milestones!$AB$98&amp;" "&amp;Milestones!$AC$98&amp;";  ","")&amp;IF(AND(EDATE($D12,Milestones!$AA$99)&lt;=AsOfDate,IF($R12=0,$X12,IF(AND($T12&lt;&gt;"",EDATE($D12,Milestones!$AA$99)&gt;=$T12),$W12,IF(AND($S12&lt;&gt;"",EDATE($D12,Milestones!$AA$99)&gt;=$S12),$V12,$U12)))=Milestones!$AB$99),UPPER(TEXT(EDATE($D12,Milestones!$AA$99),"dd mmm yy"))&amp;" "&amp;Milestones!$AB$99&amp;" "&amp;Milestones!$AC$99&amp;";  ",""))</f>
        <v/>
      </c>
      <c r="M12" s="0" t="str">
        <f aca="false">IF(OR($A12="",$D12=""),"",IF(AND(EDATE($D12,Milestones!$AA$100)&lt;=AsOfDate,IF($R12=0,$X12,IF(AND($T12&lt;&gt;"",EDATE($D12,Milestones!$AA$100)&gt;=$T12),$W12,IF(AND($S12&lt;&gt;"",EDATE($D12,Milestones!$AA$100)&gt;=$S12),$V12,$U12)))=Milestones!$AB$100),UPPER(TEXT(EDATE($D12,Milestones!$AA$100),"dd mmm yy"))&amp;" "&amp;Milestones!$AB$100&amp;" "&amp;Milestones!$AC$100&amp;";  ","")&amp;IF(AND(EDATE($D12,Milestones!$AA$101)&lt;=AsOfDate,IF($R12=0,$X12,IF(AND($T12&lt;&gt;"",EDATE($D12,Milestones!$AA$101)&gt;=$T12),$W12,IF(AND($S12&lt;&gt;"",EDATE($D12,Milestones!$AA$101)&gt;=$S12),$V12,$U12)))=Milestones!$AB$101),UPPER(TEXT(EDATE($D12,Milestones!$AA$101),"dd mmm yy"))&amp;" "&amp;Milestones!$AB$101&amp;" "&amp;Milestones!$AC$101&amp;";  ","")&amp;IF(AND(EDATE($D12,Milestones!$AA$102)&lt;=AsOfDate,IF($R12=0,$X12,IF(AND($T12&lt;&gt;"",EDATE($D12,Milestones!$AA$102)&gt;=$T12),$W12,IF(AND($S12&lt;&gt;"",EDATE($D12,Milestones!$AA$102)&gt;=$S12),$V12,$U12)))=Milestones!$AB$102),UPPER(TEXT(EDATE($D12,Milestones!$AA$102),"dd mmm yy"))&amp;" "&amp;Milestones!$AB$102&amp;" "&amp;Milestones!$AC$102&amp;";  ","")&amp;IF(AND(EDATE($D12,Milestones!$AA$103)&lt;=AsOfDate,IF($R12=0,$X12,IF(AND($T12&lt;&gt;"",EDATE($D12,Milestones!$AA$103)&gt;=$T12),$W12,IF(AND($S12&lt;&gt;"",EDATE($D12,Milestones!$AA$103)&gt;=$S12),$V12,$U12)))=Milestones!$AB$103),UPPER(TEXT(EDATE($D12,Milestones!$AA$103),"dd mmm yy"))&amp;" "&amp;Milestones!$AB$103&amp;" "&amp;Milestones!$AC$103&amp;";  ","")&amp;IF(AND(EDATE($D12,Milestones!$AA$104)&lt;=AsOfDate,IF($R12=0,$X12,IF(AND($T12&lt;&gt;"",EDATE($D12,Milestones!$AA$104)&gt;=$T12),$W12,IF(AND($S12&lt;&gt;"",EDATE($D12,Milestones!$AA$104)&gt;=$S12),$V12,$U12)))=Milestones!$AB$104),UPPER(TEXT(EDATE($D12,Milestones!$AA$104),"dd mmm yy"))&amp;" "&amp;Milestones!$AB$104&amp;" "&amp;Milestones!$AC$104&amp;";  ","")&amp;IF(AND(EDATE($D12,Milestones!$AA$105)&lt;=AsOfDate,IF($R12=0,$X12,IF(AND($T12&lt;&gt;"",EDATE($D12,Milestones!$AA$105)&gt;=$T12),$W12,IF(AND($S12&lt;&gt;"",EDATE($D12,Milestones!$AA$105)&gt;=$S12),$V12,$U12)))=Milestones!$AB$105),UPPER(TEXT(EDATE($D12,Milestones!$AA$105),"dd mmm yy"))&amp;" "&amp;Milestones!$AB$105&amp;" "&amp;Milestones!$AC$105&amp;";  ","")&amp;IF(AND(EDATE($D12,Milestones!$AA$106)&lt;=AsOfDate,IF($R12=0,$X12,IF(AND($T12&lt;&gt;"",EDATE($D12,Milestones!$AA$106)&gt;=$T12),$W12,IF(AND($S12&lt;&gt;"",EDATE($D12,Milestones!$AA$106)&gt;=$S12),$V12,$U12)))=Milestones!$AB$106),UPPER(TEXT(EDATE($D12,Milestones!$AA$106),"dd mmm yy"))&amp;" "&amp;Milestones!$AB$106&amp;" "&amp;Milestones!$AC$106&amp;";  ","")&amp;IF(AND(EDATE($D12,Milestones!$AA$107)&lt;=AsOfDate,IF($R12=0,$X12,IF(AND($T12&lt;&gt;"",EDATE($D12,Milestones!$AA$107)&gt;=$T12),$W12,IF(AND($S12&lt;&gt;"",EDATE($D12,Milestones!$AA$107)&gt;=$S12),$V12,$U12)))=Milestones!$AB$107),UPPER(TEXT(EDATE($D12,Milestones!$AA$107),"dd mmm yy"))&amp;" "&amp;Milestones!$AB$107&amp;" "&amp;Milestones!$AC$107&amp;";  ","")&amp;IF(AND(EDATE($D12,Milestones!$AA$108)&lt;=AsOfDate,IF($R12=0,$X12,IF(AND($T12&lt;&gt;"",EDATE($D12,Milestones!$AA$108)&gt;=$T12),$W12,IF(AND($S12&lt;&gt;"",EDATE($D12,Milestones!$AA$108)&gt;=$S12),$V12,$U12)))=Milestones!$AB$108),UPPER(TEXT(EDATE($D12,Milestones!$AA$108),"dd mmm yy"))&amp;" "&amp;Milestones!$AB$108&amp;" "&amp;Milestones!$AC$108&amp;";  ","")&amp;IF(AND(EDATE($D12,Milestones!$AA$109)&lt;=AsOfDate,IF($R12=0,$X12,IF(AND($T12&lt;&gt;"",EDATE($D12,Milestones!$AA$109)&gt;=$T12),$W12,IF(AND($S12&lt;&gt;"",EDATE($D12,Milestones!$AA$109)&gt;=$S12),$V12,$U12)))=Milestones!$AB$109),UPPER(TEXT(EDATE($D12,Milestones!$AA$109),"dd mmm yy"))&amp;" "&amp;Milestones!$AB$109&amp;" "&amp;Milestones!$AC$109&amp;";  ","")&amp;IF(AND(EDATE($D12,Milestones!$AA$110)&lt;=AsOfDate,IF($R12=0,$X12,IF(AND($T12&lt;&gt;"",EDATE($D12,Milestones!$AA$110)&gt;=$T12),$W12,IF(AND($S12&lt;&gt;"",EDATE($D12,Milestones!$AA$110)&gt;=$S12),$V12,$U12)))=Milestones!$AB$110),UPPER(TEXT(EDATE($D12,Milestones!$AA$110),"dd mmm yy"))&amp;" "&amp;Milestones!$AB$110&amp;" "&amp;Milestones!$AC$110&amp;";  ","")&amp;IF(AND(EDATE($D12,Milestones!$AA$111)&lt;=AsOfDate,IF($R12=0,$X12,IF(AND($T12&lt;&gt;"",EDATE($D12,Milestones!$AA$111)&gt;=$T12),$W12,IF(AND($S12&lt;&gt;"",EDATE($D12,Milestones!$AA$111)&gt;=$S12),$V12,$U12)))=Milestones!$AB$111),UPPER(TEXT(EDATE($D12,Milestones!$AA$111),"dd mmm yy"))&amp;" "&amp;Milestones!$AB$111&amp;" "&amp;Milestones!$AC$111&amp;";  ","")&amp;IF(AND(EDATE($D12,Milestones!$AA$112)&lt;=AsOfDate,IF($R12=0,$X12,IF(AND($T12&lt;&gt;"",EDATE($D12,Milestones!$AA$112)&gt;=$T12),$W12,IF(AND($S12&lt;&gt;"",EDATE($D12,Milestones!$AA$112)&gt;=$S12),$V12,$U12)))=Milestones!$AB$112),UPPER(TEXT(EDATE($D12,Milestones!$AA$112),"dd mmm yy"))&amp;" "&amp;Milestones!$AB$112&amp;" "&amp;Milestones!$AC$112&amp;";  ","")&amp;IF(AND(EDATE($D12,Milestones!$AA$113)&lt;=AsOfDate,IF($R12=0,$X12,IF(AND($T12&lt;&gt;"",EDATE($D12,Milestones!$AA$113)&gt;=$T12),$W12,IF(AND($S12&lt;&gt;"",EDATE($D12,Milestones!$AA$113)&gt;=$S12),$V12,$U12)))=Milestones!$AB$113),UPPER(TEXT(EDATE($D12,Milestones!$AA$113),"dd mmm yy"))&amp;" "&amp;Milestones!$AB$113&amp;" "&amp;Milestones!$AC$113&amp;";  ","")&amp;IF(AND(EDATE($D12,Milestones!$AA$114)&lt;=AsOfDate,IF($R12=0,$X12,IF(AND($T12&lt;&gt;"",EDATE($D12,Milestones!$AA$114)&gt;=$T12),$W12,IF(AND($S12&lt;&gt;"",EDATE($D12,Milestones!$AA$114)&gt;=$S12),$V12,$U12)))=Milestones!$AB$114),UPPER(TEXT(EDATE($D12,Milestones!$AA$114),"dd mmm yy"))&amp;" "&amp;Milestones!$AB$114&amp;" "&amp;Milestones!$AC$114&amp;";  ","")&amp;IF(AND(EDATE($D12,Milestones!$AA$115)&lt;=AsOfDate,IF($R12=0,$X12,IF(AND($T12&lt;&gt;"",EDATE($D12,Milestones!$AA$115)&gt;=$T12),$W12,IF(AND($S12&lt;&gt;"",EDATE($D12,Milestones!$AA$115)&gt;=$S12),$V12,$U12)))=Milestones!$AB$115),UPPER(TEXT(EDATE($D12,Milestones!$AA$115),"dd mmm yy"))&amp;" "&amp;Milestones!$AB$115&amp;" "&amp;Milestones!$AC$115&amp;";  ","")&amp;IF(AND(EDATE($D12,Milestones!$AA$116)&lt;=AsOfDate,IF($R12=0,$X12,IF(AND($T12&lt;&gt;"",EDATE($D12,Milestones!$AA$116)&gt;=$T12),$W12,IF(AND($S12&lt;&gt;"",EDATE($D12,Milestones!$AA$116)&gt;=$S12),$V12,$U12)))=Milestones!$AB$116),UPPER(TEXT(EDATE($D12,Milestones!$AA$116),"dd mmm yy"))&amp;" "&amp;Milestones!$AB$116&amp;" "&amp;Milestones!$AC$116&amp;";  ","")&amp;IF(AND(EDATE($D12,Milestones!$AA$117)&lt;=AsOfDate,IF($R12=0,$X12,IF(AND($T12&lt;&gt;"",EDATE($D12,Milestones!$AA$117)&gt;=$T12),$W12,IF(AND($S12&lt;&gt;"",EDATE($D12,Milestones!$AA$117)&gt;=$S12),$V12,$U12)))=Milestones!$AB$117),UPPER(TEXT(EDATE($D12,Milestones!$AA$117),"dd mmm yy"))&amp;" "&amp;Milestones!$AB$117&amp;" "&amp;Milestones!$AC$117&amp;";  ","")&amp;IF(AND(EDATE($D12,Milestones!$AA$118)&lt;=AsOfDate,IF($R12=0,$X12,IF(AND($T12&lt;&gt;"",EDATE($D12,Milestones!$AA$118)&gt;=$T12),$W12,IF(AND($S12&lt;&gt;"",EDATE($D12,Milestones!$AA$118)&gt;=$S12),$V12,$U12)))=Milestones!$AB$118),UPPER(TEXT(EDATE($D12,Milestones!$AA$118),"dd mmm yy"))&amp;" "&amp;Milestones!$AB$118&amp;" "&amp;Milestones!$AC$118&amp;";  ","")&amp;IF(AND(EDATE($D12,Milestones!$AA$119)&lt;=AsOfDate,IF($R12=0,$X12,IF(AND($T12&lt;&gt;"",EDATE($D12,Milestones!$AA$119)&gt;=$T12),$W12,IF(AND($S12&lt;&gt;"",EDATE($D12,Milestones!$AA$119)&gt;=$S12),$V12,$U12)))=Milestones!$AB$119),UPPER(TEXT(EDATE($D12,Milestones!$AA$119),"dd mmm yy"))&amp;" "&amp;Milestones!$AB$119&amp;" "&amp;Milestones!$AC$119&amp;";  ",""))</f>
        <v/>
      </c>
      <c r="N12" s="0" t="str">
        <f aca="false">IF(OR($A12="",$D12=""),"",IF(AND(EDATE($D12,Milestones!$AA$120)&lt;=AsOfDate,IF($R12=0,$X12,IF(AND($T12&lt;&gt;"",EDATE($D12,Milestones!$AA$120)&gt;=$T12),$W12,IF(AND($S12&lt;&gt;"",EDATE($D12,Milestones!$AA$120)&gt;=$S12),$V12,$U12)))=Milestones!$AB$120),UPPER(TEXT(EDATE($D12,Milestones!$AA$120),"dd mmm yy"))&amp;" "&amp;Milestones!$AB$120&amp;" "&amp;Milestones!$AC$120&amp;";  ","")&amp;IF(AND(EDATE($D12,Milestones!$AA$121)&lt;=AsOfDate,IF($R12=0,$X12,IF(AND($T12&lt;&gt;"",EDATE($D12,Milestones!$AA$121)&gt;=$T12),$W12,IF(AND($S12&lt;&gt;"",EDATE($D12,Milestones!$AA$121)&gt;=$S12),$V12,$U12)))=Milestones!$AB$121),UPPER(TEXT(EDATE($D12,Milestones!$AA$121),"dd mmm yy"))&amp;" "&amp;Milestones!$AB$121&amp;" "&amp;Milestones!$AC$121&amp;";  ","")&amp;IF(AND(EDATE($D12,Milestones!$AA$122)&lt;=AsOfDate,IF($R12=0,$X12,IF(AND($T12&lt;&gt;"",EDATE($D12,Milestones!$AA$122)&gt;=$T12),$W12,IF(AND($S12&lt;&gt;"",EDATE($D12,Milestones!$AA$122)&gt;=$S12),$V12,$U12)))=Milestones!$AB$122),UPPER(TEXT(EDATE($D12,Milestones!$AA$122),"dd mmm yy"))&amp;" "&amp;Milestones!$AB$122&amp;" "&amp;Milestones!$AC$122&amp;";  ","")&amp;IF(AND(EDATE($D12,Milestones!$AA$123)&lt;=AsOfDate,IF($R12=0,$X12,IF(AND($T12&lt;&gt;"",EDATE($D12,Milestones!$AA$123)&gt;=$T12),$W12,IF(AND($S12&lt;&gt;"",EDATE($D12,Milestones!$AA$123)&gt;=$S12),$V12,$U12)))=Milestones!$AB$123),UPPER(TEXT(EDATE($D12,Milestones!$AA$123),"dd mmm yy"))&amp;" "&amp;Milestones!$AB$123&amp;" "&amp;Milestones!$AC$123&amp;";  ","")&amp;IF(AND(EDATE($D12,Milestones!$AA$124)&lt;=AsOfDate,IF($R12=0,$X12,IF(AND($T12&lt;&gt;"",EDATE($D12,Milestones!$AA$124)&gt;=$T12),$W12,IF(AND($S12&lt;&gt;"",EDATE($D12,Milestones!$AA$124)&gt;=$S12),$V12,$U12)))=Milestones!$AB$124),UPPER(TEXT(EDATE($D12,Milestones!$AA$124),"dd mmm yy"))&amp;" "&amp;Milestones!$AB$124&amp;" "&amp;Milestones!$AC$124&amp;";  ","")&amp;IF(AND(EDATE($D12,Milestones!$AA$125)&lt;=AsOfDate,IF($R12=0,$X12,IF(AND($T12&lt;&gt;"",EDATE($D12,Milestones!$AA$125)&gt;=$T12),$W12,IF(AND($S12&lt;&gt;"",EDATE($D12,Milestones!$AA$125)&gt;=$S12),$V12,$U12)))=Milestones!$AB$125),UPPER(TEXT(EDATE($D12,Milestones!$AA$125),"dd mmm yy"))&amp;" "&amp;Milestones!$AB$125&amp;" "&amp;Milestones!$AC$125&amp;";  ","")&amp;IF(AND(EDATE($D12,Milestones!$AA$126)&lt;=AsOfDate,IF($R12=0,$X12,IF(AND($T12&lt;&gt;"",EDATE($D12,Milestones!$AA$126)&gt;=$T12),$W12,IF(AND($S12&lt;&gt;"",EDATE($D12,Milestones!$AA$126)&gt;=$S12),$V12,$U12)))=Milestones!$AB$126),UPPER(TEXT(EDATE($D12,Milestones!$AA$126),"dd mmm yy"))&amp;" "&amp;Milestones!$AB$126&amp;" "&amp;Milestones!$AC$126&amp;";  ","")&amp;IF(AND(EDATE($D12,Milestones!$AA$127)&lt;=AsOfDate,IF($R12=0,$X12,IF(AND($T12&lt;&gt;"",EDATE($D12,Milestones!$AA$127)&gt;=$T12),$W12,IF(AND($S12&lt;&gt;"",EDATE($D12,Milestones!$AA$127)&gt;=$S12),$V12,$U12)))=Milestones!$AB$127),UPPER(TEXT(EDATE($D12,Milestones!$AA$127),"dd mmm yy"))&amp;" "&amp;Milestones!$AB$127&amp;" "&amp;Milestones!$AC$127&amp;";  ","")&amp;IF(AND(EDATE($D12,Milestones!$AA$128)&lt;=AsOfDate,IF($R12=0,$X12,IF(AND($T12&lt;&gt;"",EDATE($D12,Milestones!$AA$128)&gt;=$T12),$W12,IF(AND($S12&lt;&gt;"",EDATE($D12,Milestones!$AA$128)&gt;=$S12),$V12,$U12)))=Milestones!$AB$128),UPPER(TEXT(EDATE($D12,Milestones!$AA$128),"dd mmm yy"))&amp;" "&amp;Milestones!$AB$128&amp;" "&amp;Milestones!$AC$128&amp;";  ","")&amp;IF(AND(EDATE($D12,Milestones!$AA$129)&lt;=AsOfDate,IF($R12=0,$X12,IF(AND($T12&lt;&gt;"",EDATE($D12,Milestones!$AA$129)&gt;=$T12),$W12,IF(AND($S12&lt;&gt;"",EDATE($D12,Milestones!$AA$129)&gt;=$S12),$V12,$U12)))=Milestones!$AB$129),UPPER(TEXT(EDATE($D12,Milestones!$AA$129),"dd mmm yy"))&amp;" "&amp;Milestones!$AB$129&amp;" "&amp;Milestones!$AC$129&amp;";  ","")&amp;IF(AND(EDATE($D12,Milestones!$AA$130)&lt;=AsOfDate,IF($R12=0,$X12,IF(AND($T12&lt;&gt;"",EDATE($D12,Milestones!$AA$130)&gt;=$T12),$W12,IF(AND($S12&lt;&gt;"",EDATE($D12,Milestones!$AA$130)&gt;=$S12),$V12,$U12)))=Milestones!$AB$130),UPPER(TEXT(EDATE($D12,Milestones!$AA$130),"dd mmm yy"))&amp;" "&amp;Milestones!$AB$130&amp;" "&amp;Milestones!$AC$130&amp;";  ","")&amp;IF(AND(EDATE($D12,Milestones!$AA$131)&lt;=AsOfDate,IF($R12=0,$X12,IF(AND($T12&lt;&gt;"",EDATE($D12,Milestones!$AA$131)&gt;=$T12),$W12,IF(AND($S12&lt;&gt;"",EDATE($D12,Milestones!$AA$131)&gt;=$S12),$V12,$U12)))=Milestones!$AB$131),UPPER(TEXT(EDATE($D12,Milestones!$AA$131),"dd mmm yy"))&amp;" "&amp;Milestones!$AB$131&amp;" "&amp;Milestones!$AC$131&amp;";  ","")&amp;IF(AND(EDATE($D12,Milestones!$AA$132)&lt;=AsOfDate,IF($R12=0,$X12,IF(AND($T12&lt;&gt;"",EDATE($D12,Milestones!$AA$132)&gt;=$T12),$W12,IF(AND($S12&lt;&gt;"",EDATE($D12,Milestones!$AA$132)&gt;=$S12),$V12,$U12)))=Milestones!$AB$132),UPPER(TEXT(EDATE($D12,Milestones!$AA$132),"dd mmm yy"))&amp;" "&amp;Milestones!$AB$132&amp;" "&amp;Milestones!$AC$132&amp;";  ","")&amp;IF(AND(EDATE($D12,Milestones!$AA$133)&lt;=AsOfDate,IF($R12=0,$X12,IF(AND($T12&lt;&gt;"",EDATE($D12,Milestones!$AA$133)&gt;=$T12),$W12,IF(AND($S12&lt;&gt;"",EDATE($D12,Milestones!$AA$133)&gt;=$S12),$V12,$U12)))=Milestones!$AB$133),UPPER(TEXT(EDATE($D12,Milestones!$AA$133),"dd mmm yy"))&amp;" "&amp;Milestones!$AB$133&amp;" "&amp;Milestones!$AC$133&amp;";  ","")&amp;IF(AND(EDATE($D12,Milestones!$AA$134)&lt;=AsOfDate,IF($R12=0,$X12,IF(AND($T12&lt;&gt;"",EDATE($D12,Milestones!$AA$134)&gt;=$T12),$W12,IF(AND($S12&lt;&gt;"",EDATE($D12,Milestones!$AA$134)&gt;=$S12),$V12,$U12)))=Milestones!$AB$134),UPPER(TEXT(EDATE($D12,Milestones!$AA$134),"dd mmm yy"))&amp;" "&amp;Milestones!$AB$134&amp;" "&amp;Milestones!$AC$134&amp;";  ","")&amp;IF(AND(EDATE($D12,Milestones!$AA$135)&lt;=AsOfDate,IF($R12=0,$X12,IF(AND($T12&lt;&gt;"",EDATE($D12,Milestones!$AA$135)&gt;=$T12),$W12,IF(AND($S12&lt;&gt;"",EDATE($D12,Milestones!$AA$135)&gt;=$S12),$V12,$U12)))=Milestones!$AB$135),UPPER(TEXT(EDATE($D12,Milestones!$AA$135),"dd mmm yy"))&amp;" "&amp;Milestones!$AB$135&amp;" "&amp;Milestones!$AC$135&amp;";  ","")&amp;IF(AND(EDATE($D12,Milestones!$AA$136)&lt;=AsOfDate,IF($R12=0,$X12,IF(AND($T12&lt;&gt;"",EDATE($D12,Milestones!$AA$136)&gt;=$T12),$W12,IF(AND($S12&lt;&gt;"",EDATE($D12,Milestones!$AA$136)&gt;=$S12),$V12,$U12)))=Milestones!$AB$136),UPPER(TEXT(EDATE($D12,Milestones!$AA$136),"dd mmm yy"))&amp;" "&amp;Milestones!$AB$136&amp;" "&amp;Milestones!$AC$136&amp;";  ","")&amp;IF(AND(EDATE($D12,Milestones!$AA$137)&lt;=AsOfDate,IF($R12=0,$X12,IF(AND($T12&lt;&gt;"",EDATE($D12,Milestones!$AA$137)&gt;=$T12),$W12,IF(AND($S12&lt;&gt;"",EDATE($D12,Milestones!$AA$137)&gt;=$S12),$V12,$U12)))=Milestones!$AB$137),UPPER(TEXT(EDATE($D12,Milestones!$AA$137),"dd mmm yy"))&amp;" "&amp;Milestones!$AB$137&amp;" "&amp;Milestones!$AC$137&amp;";  ","")&amp;IF(AND(EDATE($D12,Milestones!$AA$138)&lt;=AsOfDate,IF($R12=0,$X12,IF(AND($T12&lt;&gt;"",EDATE($D12,Milestones!$AA$138)&gt;=$T12),$W12,IF(AND($S12&lt;&gt;"",EDATE($D12,Milestones!$AA$138)&gt;=$S12),$V12,$U12)))=Milestones!$AB$138),UPPER(TEXT(EDATE($D12,Milestones!$AA$138),"dd mmm yy"))&amp;" "&amp;Milestones!$AB$138&amp;" "&amp;Milestones!$AC$138&amp;";  ","")&amp;IF(AND(EDATE($D12,Milestones!$AA$139)&lt;=AsOfDate,IF($R12=0,$X12,IF(AND($T12&lt;&gt;"",EDATE($D12,Milestones!$AA$139)&gt;=$T12),$W12,IF(AND($S12&lt;&gt;"",EDATE($D12,Milestones!$AA$139)&gt;=$S12),$V12,$U12)))=Milestones!$AB$139),UPPER(TEXT(EDATE($D12,Milestones!$AA$139),"dd mmm yy"))&amp;" "&amp;Milestones!$AB$139&amp;" "&amp;Milestones!$AC$139&amp;";  ",""))</f>
        <v/>
      </c>
      <c r="O12" s="0" t="str">
        <f aca="false">IF(OR($A12="",$D12=""),"",IF(AND(EDATE($D12,Milestones!$AA$140)&lt;=AsOfDate,IF($R12=0,$X12,IF(AND($T12&lt;&gt;"",EDATE($D12,Milestones!$AA$140)&gt;=$T12),$W12,IF(AND($S12&lt;&gt;"",EDATE($D12,Milestones!$AA$140)&gt;=$S12),$V12,$U12)))=Milestones!$AB$140),UPPER(TEXT(EDATE($D12,Milestones!$AA$140),"dd mmm yy"))&amp;" "&amp;Milestones!$AB$140&amp;" "&amp;Milestones!$AC$140&amp;";  ","")&amp;IF(AND(EDATE($D12,Milestones!$AA$141)&lt;=AsOfDate,IF($R12=0,$X12,IF(AND($T12&lt;&gt;"",EDATE($D12,Milestones!$AA$141)&gt;=$T12),$W12,IF(AND($S12&lt;&gt;"",EDATE($D12,Milestones!$AA$141)&gt;=$S12),$V12,$U12)))=Milestones!$AB$141),UPPER(TEXT(EDATE($D12,Milestones!$AA$141),"dd mmm yy"))&amp;" "&amp;Milestones!$AB$141&amp;" "&amp;Milestones!$AC$141&amp;";  ","")&amp;IF(AND(EDATE($D12,Milestones!$AA$142)&lt;=AsOfDate,IF($R12=0,$X12,IF(AND($T12&lt;&gt;"",EDATE($D12,Milestones!$AA$142)&gt;=$T12),$W12,IF(AND($S12&lt;&gt;"",EDATE($D12,Milestones!$AA$142)&gt;=$S12),$V12,$U12)))=Milestones!$AB$142),UPPER(TEXT(EDATE($D12,Milestones!$AA$142),"dd mmm yy"))&amp;" "&amp;Milestones!$AB$142&amp;" "&amp;Milestones!$AC$142&amp;";  ","")&amp;IF(AND(EDATE($D12,Milestones!$AA$143)&lt;=AsOfDate,IF($R12=0,$X12,IF(AND($T12&lt;&gt;"",EDATE($D12,Milestones!$AA$143)&gt;=$T12),$W12,IF(AND($S12&lt;&gt;"",EDATE($D12,Milestones!$AA$143)&gt;=$S12),$V12,$U12)))=Milestones!$AB$143),UPPER(TEXT(EDATE($D12,Milestones!$AA$143),"dd mmm yy"))&amp;" "&amp;Milestones!$AB$143&amp;" "&amp;Milestones!$AC$143&amp;";  ","")&amp;IF(AND(EDATE($D12,Milestones!$AA$144)&lt;=AsOfDate,IF($R12=0,$X12,IF(AND($T12&lt;&gt;"",EDATE($D12,Milestones!$AA$144)&gt;=$T12),$W12,IF(AND($S12&lt;&gt;"",EDATE($D12,Milestones!$AA$144)&gt;=$S12),$V12,$U12)))=Milestones!$AB$144),UPPER(TEXT(EDATE($D12,Milestones!$AA$144),"dd mmm yy"))&amp;" "&amp;Milestones!$AB$144&amp;" "&amp;Milestones!$AC$144&amp;";  ","")&amp;IF(AND(EDATE($D12,Milestones!$AA$145)&lt;=AsOfDate,IF($R12=0,$X12,IF(AND($T12&lt;&gt;"",EDATE($D12,Milestones!$AA$145)&gt;=$T12),$W12,IF(AND($S12&lt;&gt;"",EDATE($D12,Milestones!$AA$145)&gt;=$S12),$V12,$U12)))=Milestones!$AB$145),UPPER(TEXT(EDATE($D12,Milestones!$AA$145),"dd mmm yy"))&amp;" "&amp;Milestones!$AB$145&amp;" "&amp;Milestones!$AC$145&amp;";  ","")&amp;IF(AND(EDATE($D12,Milestones!$AA$146)&lt;=AsOfDate,IF($R12=0,$X12,IF(AND($T12&lt;&gt;"",EDATE($D12,Milestones!$AA$146)&gt;=$T12),$W12,IF(AND($S12&lt;&gt;"",EDATE($D12,Milestones!$AA$146)&gt;=$S12),$V12,$U12)))=Milestones!$AB$146),UPPER(TEXT(EDATE($D12,Milestones!$AA$146),"dd mmm yy"))&amp;" "&amp;Milestones!$AB$146&amp;" "&amp;Milestones!$AC$146&amp;";  ","")&amp;IF(AND(EDATE($D12,Milestones!$AA$147)&lt;=AsOfDate,IF($R12=0,$X12,IF(AND($T12&lt;&gt;"",EDATE($D12,Milestones!$AA$147)&gt;=$T12),$W12,IF(AND($S12&lt;&gt;"",EDATE($D12,Milestones!$AA$147)&gt;=$S12),$V12,$U12)))=Milestones!$AB$147),UPPER(TEXT(EDATE($D12,Milestones!$AA$147),"dd mmm yy"))&amp;" "&amp;Milestones!$AB$147&amp;" "&amp;Milestones!$AC$147&amp;";  ","")&amp;IF(AND(EDATE($D12,Milestones!$AA$148)&lt;=AsOfDate,IF($R12=0,$X12,IF(AND($T12&lt;&gt;"",EDATE($D12,Milestones!$AA$148)&gt;=$T12),$W12,IF(AND($S12&lt;&gt;"",EDATE($D12,Milestones!$AA$148)&gt;=$S12),$V12,$U12)))=Milestones!$AB$148),UPPER(TEXT(EDATE($D12,Milestones!$AA$148),"dd mmm yy"))&amp;" "&amp;Milestones!$AB$148&amp;" "&amp;Milestones!$AC$148&amp;";  ","")&amp;IF(AND(EDATE($D12,Milestones!$AA$149)&lt;=AsOfDate,IF($R12=0,$X12,IF(AND($T12&lt;&gt;"",EDATE($D12,Milestones!$AA$149)&gt;=$T12),$W12,IF(AND($S12&lt;&gt;"",EDATE($D12,Milestones!$AA$149)&gt;=$S12),$V12,$U12)))=Milestones!$AB$149),UPPER(TEXT(EDATE($D12,Milestones!$AA$149),"dd mmm yy"))&amp;" "&amp;Milestones!$AB$149&amp;" "&amp;Milestones!$AC$149&amp;";  ","")&amp;IF(AND(EDATE($D12,Milestones!$AA$150)&lt;=AsOfDate,IF($R12=0,$X12,IF(AND($T12&lt;&gt;"",EDATE($D12,Milestones!$AA$150)&gt;=$T12),$W12,IF(AND($S12&lt;&gt;"",EDATE($D12,Milestones!$AA$150)&gt;=$S12),$V12,$U12)))=Milestones!$AB$150),UPPER(TEXT(EDATE($D12,Milestones!$AA$150),"dd mmm yy"))&amp;" "&amp;Milestones!$AB$150&amp;" "&amp;Milestones!$AC$150&amp;";  ","")&amp;IF(AND(EDATE($D12,Milestones!$AA$151)&lt;=AsOfDate,IF($R12=0,$X12,IF(AND($T12&lt;&gt;"",EDATE($D12,Milestones!$AA$151)&gt;=$T12),$W12,IF(AND($S12&lt;&gt;"",EDATE($D12,Milestones!$AA$151)&gt;=$S12),$V12,$U12)))=Milestones!$AB$151),UPPER(TEXT(EDATE($D12,Milestones!$AA$151),"dd mmm yy"))&amp;" "&amp;Milestones!$AB$151&amp;" "&amp;Milestones!$AC$151&amp;";  ","")&amp;IF(AND(EDATE($D12,Milestones!$AA$152)&lt;=AsOfDate,IF($R12=0,$X12,IF(AND($T12&lt;&gt;"",EDATE($D12,Milestones!$AA$152)&gt;=$T12),$W12,IF(AND($S12&lt;&gt;"",EDATE($D12,Milestones!$AA$152)&gt;=$S12),$V12,$U12)))=Milestones!$AB$152),UPPER(TEXT(EDATE($D12,Milestones!$AA$152),"dd mmm yy"))&amp;" "&amp;Milestones!$AB$152&amp;" "&amp;Milestones!$AC$152&amp;";  ","")&amp;IF(AND(EDATE($D12,Milestones!$AA$153)&lt;=AsOfDate,IF($R12=0,$X12,IF(AND($T12&lt;&gt;"",EDATE($D12,Milestones!$AA$153)&gt;=$T12),$W12,IF(AND($S12&lt;&gt;"",EDATE($D12,Milestones!$AA$153)&gt;=$S12),$V12,$U12)))=Milestones!$AB$153),UPPER(TEXT(EDATE($D12,Milestones!$AA$153),"dd mmm yy"))&amp;" "&amp;Milestones!$AB$153&amp;" "&amp;Milestones!$AC$153&amp;";  ","")&amp;IF(AND(EDATE($D12,Milestones!$AA$154)&lt;=AsOfDate,IF($R12=0,$X12,IF(AND($T12&lt;&gt;"",EDATE($D12,Milestones!$AA$154)&gt;=$T12),$W12,IF(AND($S12&lt;&gt;"",EDATE($D12,Milestones!$AA$154)&gt;=$S12),$V12,$U12)))=Milestones!$AB$154),UPPER(TEXT(EDATE($D12,Milestones!$AA$154),"dd mmm yy"))&amp;" "&amp;Milestones!$AB$154&amp;" "&amp;Milestones!$AC$154&amp;";  ","")&amp;IF(AND(EDATE($D12,Milestones!$AA$155)&lt;=AsOfDate,IF($R12=0,$X12,IF(AND($T12&lt;&gt;"",EDATE($D12,Milestones!$AA$155)&gt;=$T12),$W12,IF(AND($S12&lt;&gt;"",EDATE($D12,Milestones!$AA$155)&gt;=$S12),$V12,$U12)))=Milestones!$AB$155),UPPER(TEXT(EDATE($D12,Milestones!$AA$155),"dd mmm yy"))&amp;" "&amp;Milestones!$AB$155&amp;" "&amp;Milestones!$AC$155&amp;";  ","")&amp;IF(AND(EDATE($D12,Milestones!$AA$156)&lt;=AsOfDate,IF($R12=0,$X12,IF(AND($T12&lt;&gt;"",EDATE($D12,Milestones!$AA$156)&gt;=$T12),$W12,IF(AND($S12&lt;&gt;"",EDATE($D12,Milestones!$AA$156)&gt;=$S12),$V12,$U12)))=Milestones!$AB$156),UPPER(TEXT(EDATE($D12,Milestones!$AA$156),"dd mmm yy"))&amp;" "&amp;Milestones!$AB$156&amp;" "&amp;Milestones!$AC$156&amp;";  ","")&amp;IF(AND(EDATE($D12,Milestones!$AA$157)&lt;=AsOfDate,IF($R12=0,$X12,IF(AND($T12&lt;&gt;"",EDATE($D12,Milestones!$AA$157)&gt;=$T12),$W12,IF(AND($S12&lt;&gt;"",EDATE($D12,Milestones!$AA$157)&gt;=$S12),$V12,$U12)))=Milestones!$AB$157),UPPER(TEXT(EDATE($D12,Milestones!$AA$157),"dd mmm yy"))&amp;" "&amp;Milestones!$AB$157&amp;" "&amp;Milestones!$AC$157&amp;";  ","")&amp;IF(AND(EDATE($D12,Milestones!$AA$158)&lt;=AsOfDate,IF($R12=0,$X12,IF(AND($T12&lt;&gt;"",EDATE($D12,Milestones!$AA$158)&gt;=$T12),$W12,IF(AND($S12&lt;&gt;"",EDATE($D12,Milestones!$AA$158)&gt;=$S12),$V12,$U12)))=Milestones!$AB$158),UPPER(TEXT(EDATE($D12,Milestones!$AA$158),"dd mmm yy"))&amp;" "&amp;Milestones!$AB$158&amp;" "&amp;Milestones!$AC$158&amp;";  ","")&amp;IF(AND(EDATE($D12,Milestones!$AA$159)&lt;=AsOfDate,IF($R12=0,$X12,IF(AND($T12&lt;&gt;"",EDATE($D12,Milestones!$AA$159)&gt;=$T12),$W12,IF(AND($S12&lt;&gt;"",EDATE($D12,Milestones!$AA$159)&gt;=$S12),$V12,$U12)))=Milestones!$AB$159),UPPER(TEXT(EDATE($D12,Milestones!$AA$159),"dd mmm yy"))&amp;" "&amp;Milestones!$AB$159&amp;" "&amp;Milestones!$AC$159&amp;";  ",""))</f>
        <v/>
      </c>
      <c r="P12" s="0" t="str">
        <f aca="false">IF(OR($A12="",$D12=""),"",IF(AND(EDATE($D12,Milestones!$AA$160)&lt;=AsOfDate,IF($R12=0,$X12,IF(AND($T12&lt;&gt;"",EDATE($D12,Milestones!$AA$160)&gt;=$T12),$W12,IF(AND($S12&lt;&gt;"",EDATE($D12,Milestones!$AA$160)&gt;=$S12),$V12,$U12)))=Milestones!$AB$160),UPPER(TEXT(EDATE($D12,Milestones!$AA$160),"dd mmm yy"))&amp;" "&amp;Milestones!$AB$160&amp;" "&amp;Milestones!$AC$160&amp;";  ","")&amp;IF(AND(EDATE($D12,Milestones!$AA$161)&lt;=AsOfDate,IF($R12=0,$X12,IF(AND($T12&lt;&gt;"",EDATE($D12,Milestones!$AA$161)&gt;=$T12),$W12,IF(AND($S12&lt;&gt;"",EDATE($D12,Milestones!$AA$161)&gt;=$S12),$V12,$U12)))=Milestones!$AB$161),UPPER(TEXT(EDATE($D12,Milestones!$AA$161),"dd mmm yy"))&amp;" "&amp;Milestones!$AB$161&amp;" "&amp;Milestones!$AC$161&amp;";  ","")&amp;IF(AND(EDATE($D12,Milestones!$AA$162)&lt;=AsOfDate,IF($R12=0,$X12,IF(AND($T12&lt;&gt;"",EDATE($D12,Milestones!$AA$162)&gt;=$T12),$W12,IF(AND($S12&lt;&gt;"",EDATE($D12,Milestones!$AA$162)&gt;=$S12),$V12,$U12)))=Milestones!$AB$162),UPPER(TEXT(EDATE($D12,Milestones!$AA$162),"dd mmm yy"))&amp;" "&amp;Milestones!$AB$162&amp;" "&amp;Milestones!$AC$162&amp;";  ","")&amp;IF(AND(EDATE($D12,Milestones!$AA$163)&lt;=AsOfDate,IF($R12=0,$X12,IF(AND($T12&lt;&gt;"",EDATE($D12,Milestones!$AA$163)&gt;=$T12),$W12,IF(AND($S12&lt;&gt;"",EDATE($D12,Milestones!$AA$163)&gt;=$S12),$V12,$U12)))=Milestones!$AB$163),UPPER(TEXT(EDATE($D12,Milestones!$AA$163),"dd mmm yy"))&amp;" "&amp;Milestones!$AB$163&amp;" "&amp;Milestones!$AC$163&amp;";  ","")&amp;IF(AND(EDATE($D12,Milestones!$AA$164)&lt;=AsOfDate,IF($R12=0,$X12,IF(AND($T12&lt;&gt;"",EDATE($D12,Milestones!$AA$164)&gt;=$T12),$W12,IF(AND($S12&lt;&gt;"",EDATE($D12,Milestones!$AA$164)&gt;=$S12),$V12,$U12)))=Milestones!$AB$164),UPPER(TEXT(EDATE($D12,Milestones!$AA$164),"dd mmm yy"))&amp;" "&amp;Milestones!$AB$164&amp;" "&amp;Milestones!$AC$164&amp;";  ","")&amp;IF(AND(EDATE($D12,Milestones!$AA$165)&lt;=AsOfDate,IF($R12=0,$X12,IF(AND($T12&lt;&gt;"",EDATE($D12,Milestones!$AA$165)&gt;=$T12),$W12,IF(AND($S12&lt;&gt;"",EDATE($D12,Milestones!$AA$165)&gt;=$S12),$V12,$U12)))=Milestones!$AB$165),UPPER(TEXT(EDATE($D12,Milestones!$AA$165),"dd mmm yy"))&amp;" "&amp;Milestones!$AB$165&amp;" "&amp;Milestones!$AC$165&amp;";  ","")&amp;IF(AND(EDATE($D12,Milestones!$AA$166)&lt;=AsOfDate,IF($R12=0,$X12,IF(AND($T12&lt;&gt;"",EDATE($D12,Milestones!$AA$166)&gt;=$T12),$W12,IF(AND($S12&lt;&gt;"",EDATE($D12,Milestones!$AA$166)&gt;=$S12),$V12,$U12)))=Milestones!$AB$166),UPPER(TEXT(EDATE($D12,Milestones!$AA$166),"dd mmm yy"))&amp;" "&amp;Milestones!$AB$166&amp;" "&amp;Milestones!$AC$166&amp;";  ","")&amp;IF(AND(EDATE($D12,Milestones!$AA$167)&lt;=AsOfDate,IF($R12=0,$X12,IF(AND($T12&lt;&gt;"",EDATE($D12,Milestones!$AA$167)&gt;=$T12),$W12,IF(AND($S12&lt;&gt;"",EDATE($D12,Milestones!$AA$167)&gt;=$S12),$V12,$U12)))=Milestones!$AB$167),UPPER(TEXT(EDATE($D12,Milestones!$AA$167),"dd mmm yy"))&amp;" "&amp;Milestones!$AB$167&amp;" "&amp;Milestones!$AC$167&amp;";  ","")&amp;IF(AND(EDATE($D12,Milestones!$AA$168)&lt;=AsOfDate,IF($R12=0,$X12,IF(AND($T12&lt;&gt;"",EDATE($D12,Milestones!$AA$168)&gt;=$T12),$W12,IF(AND($S12&lt;&gt;"",EDATE($D12,Milestones!$AA$168)&gt;=$S12),$V12,$U12)))=Milestones!$AB$168),UPPER(TEXT(EDATE($D12,Milestones!$AA$168),"dd mmm yy"))&amp;" "&amp;Milestones!$AB$168&amp;" "&amp;Milestones!$AC$168&amp;";  ","")&amp;IF(AND(EDATE($D12,Milestones!$AA$169)&lt;=AsOfDate,IF($R12=0,$X12,IF(AND($T12&lt;&gt;"",EDATE($D12,Milestones!$AA$169)&gt;=$T12),$W12,IF(AND($S12&lt;&gt;"",EDATE($D12,Milestones!$AA$169)&gt;=$S12),$V12,$U12)))=Milestones!$AB$169),UPPER(TEXT(EDATE($D12,Milestones!$AA$169),"dd mmm yy"))&amp;" "&amp;Milestones!$AB$169&amp;" "&amp;Milestones!$AC$169&amp;";  ","")&amp;IF(AND(EDATE($D12,Milestones!$AA$170)&lt;=AsOfDate,IF($R12=0,$X12,IF(AND($T12&lt;&gt;"",EDATE($D12,Milestones!$AA$170)&gt;=$T12),$W12,IF(AND($S12&lt;&gt;"",EDATE($D12,Milestones!$AA$170)&gt;=$S12),$V12,$U12)))=Milestones!$AB$170),UPPER(TEXT(EDATE($D12,Milestones!$AA$170),"dd mmm yy"))&amp;" "&amp;Milestones!$AB$170&amp;" "&amp;Milestones!$AC$170&amp;";  ","")&amp;IF(AND(EDATE($D12,Milestones!$AA$171)&lt;=AsOfDate,IF($R12=0,$X12,IF(AND($T12&lt;&gt;"",EDATE($D12,Milestones!$AA$171)&gt;=$T12),$W12,IF(AND($S12&lt;&gt;"",EDATE($D12,Milestones!$AA$171)&gt;=$S12),$V12,$U12)))=Milestones!$AB$171),UPPER(TEXT(EDATE($D12,Milestones!$AA$171),"dd mmm yy"))&amp;" "&amp;Milestones!$AB$171&amp;" "&amp;Milestones!$AC$171&amp;";  ","")&amp;IF(AND(EDATE($D12,Milestones!$AA$172)&lt;=AsOfDate,IF($R12=0,$X12,IF(AND($T12&lt;&gt;"",EDATE($D12,Milestones!$AA$172)&gt;=$T12),$W12,IF(AND($S12&lt;&gt;"",EDATE($D12,Milestones!$AA$172)&gt;=$S12),$V12,$U12)))=Milestones!$AB$172),UPPER(TEXT(EDATE($D12,Milestones!$AA$172),"dd mmm yy"))&amp;" "&amp;Milestones!$AB$172&amp;" "&amp;Milestones!$AC$172&amp;";  ","")&amp;IF(AND(EDATE($D12,Milestones!$AA$173)&lt;=AsOfDate,IF($R12=0,$X12,IF(AND($T12&lt;&gt;"",EDATE($D12,Milestones!$AA$173)&gt;=$T12),$W12,IF(AND($S12&lt;&gt;"",EDATE($D12,Milestones!$AA$173)&gt;=$S12),$V12,$U12)))=Milestones!$AB$173),UPPER(TEXT(EDATE($D12,Milestones!$AA$173),"dd mmm yy"))&amp;" "&amp;Milestones!$AB$173&amp;" "&amp;Milestones!$AC$173&amp;";  ","")&amp;IF(AND(EDATE($D12,Milestones!$AA$174)&lt;=AsOfDate,IF($R12=0,$X12,IF(AND($T12&lt;&gt;"",EDATE($D12,Milestones!$AA$174)&gt;=$T12),$W12,IF(AND($S12&lt;&gt;"",EDATE($D12,Milestones!$AA$174)&gt;=$S12),$V12,$U12)))=Milestones!$AB$174),UPPER(TEXT(EDATE($D12,Milestones!$AA$174),"dd mmm yy"))&amp;" "&amp;Milestones!$AB$174&amp;" "&amp;Milestones!$AC$174&amp;";  ","")&amp;IF(AND(EDATE($D12,Milestones!$AA$175)&lt;=AsOfDate,IF($R12=0,$X12,IF(AND($T12&lt;&gt;"",EDATE($D12,Milestones!$AA$175)&gt;=$T12),$W12,IF(AND($S12&lt;&gt;"",EDATE($D12,Milestones!$AA$175)&gt;=$S12),$V12,$U12)))=Milestones!$AB$175),UPPER(TEXT(EDATE($D12,Milestones!$AA$175),"dd mmm yy"))&amp;" "&amp;Milestones!$AB$175&amp;" "&amp;Milestones!$AC$175&amp;";  ","")&amp;IF(AND(EDATE($D12,Milestones!$AA$176)&lt;=AsOfDate,IF($R12=0,$X12,IF(AND($T12&lt;&gt;"",EDATE($D12,Milestones!$AA$176)&gt;=$T12),$W12,IF(AND($S12&lt;&gt;"",EDATE($D12,Milestones!$AA$176)&gt;=$S12),$V12,$U12)))=Milestones!$AB$176),UPPER(TEXT(EDATE($D12,Milestones!$AA$176),"dd mmm yy"))&amp;" "&amp;Milestones!$AB$176&amp;" "&amp;Milestones!$AC$176&amp;";  ","")&amp;IF(AND(EDATE($D12,Milestones!$AA$177)&lt;=AsOfDate,IF($R12=0,$X12,IF(AND($T12&lt;&gt;"",EDATE($D12,Milestones!$AA$177)&gt;=$T12),$W12,IF(AND($S12&lt;&gt;"",EDATE($D12,Milestones!$AA$177)&gt;=$S12),$V12,$U12)))=Milestones!$AB$177),UPPER(TEXT(EDATE($D12,Milestones!$AA$177),"dd mmm yy"))&amp;" "&amp;Milestones!$AB$177&amp;" "&amp;Milestones!$AC$177&amp;";  ","")&amp;IF(AND(EDATE($D12,Milestones!$AA$178)&lt;=AsOfDate,IF($R12=0,$X12,IF(AND($T12&lt;&gt;"",EDATE($D12,Milestones!$AA$178)&gt;=$T12),$W12,IF(AND($S12&lt;&gt;"",EDATE($D12,Milestones!$AA$178)&gt;=$S12),$V12,$U12)))=Milestones!$AB$178),UPPER(TEXT(EDATE($D12,Milestones!$AA$178),"dd mmm yy"))&amp;" "&amp;Milestones!$AB$178&amp;" "&amp;Milestones!$AC$178&amp;";  ","")&amp;IF(AND(EDATE($D12,Milestones!$AA$179)&lt;=AsOfDate,IF($R12=0,$X12,IF(AND($T12&lt;&gt;"",EDATE($D12,Milestones!$AA$179)&gt;=$T12),$W12,IF(AND($S12&lt;&gt;"",EDATE($D12,Milestones!$AA$179)&gt;=$S12),$V12,$U12)))=Milestones!$AB$179),UPPER(TEXT(EDATE($D12,Milestones!$AA$179),"dd mmm yy"))&amp;" "&amp;Milestones!$AB$179&amp;" "&amp;Milestones!$AC$179&amp;";  ",""))</f>
        <v/>
      </c>
      <c r="Q12" s="0" t="str">
        <f aca="false">IF(OR($A12="",$D12=""),"",IF(AND(EDATE($D12,Milestones!$AA$180)&lt;=AsOfDate,IF($R12=0,$X12,IF(AND($T12&lt;&gt;"",EDATE($D12,Milestones!$AA$180)&gt;=$T12),$W12,IF(AND($S12&lt;&gt;"",EDATE($D12,Milestones!$AA$180)&gt;=$S12),$V12,$U12)))=Milestones!$AB$180),UPPER(TEXT(EDATE($D12,Milestones!$AA$180),"dd mmm yy"))&amp;" "&amp;Milestones!$AB$180&amp;" "&amp;Milestones!$AC$180&amp;";  ","")&amp;IF(AND(EDATE($D12,Milestones!$AA$181)&lt;=AsOfDate,IF($R12=0,$X12,IF(AND($T12&lt;&gt;"",EDATE($D12,Milestones!$AA$181)&gt;=$T12),$W12,IF(AND($S12&lt;&gt;"",EDATE($D12,Milestones!$AA$181)&gt;=$S12),$V12,$U12)))=Milestones!$AB$181),UPPER(TEXT(EDATE($D12,Milestones!$AA$181),"dd mmm yy"))&amp;" "&amp;Milestones!$AB$181&amp;" "&amp;Milestones!$AC$181&amp;";  ","")&amp;IF(AND(EDATE($D12,Milestones!$AA$182)&lt;=AsOfDate,IF($R12=0,$X12,IF(AND($T12&lt;&gt;"",EDATE($D12,Milestones!$AA$182)&gt;=$T12),$W12,IF(AND($S12&lt;&gt;"",EDATE($D12,Milestones!$AA$182)&gt;=$S12),$V12,$U12)))=Milestones!$AB$182),UPPER(TEXT(EDATE($D12,Milestones!$AA$182),"dd mmm yy"))&amp;" "&amp;Milestones!$AB$182&amp;" "&amp;Milestones!$AC$182&amp;";  ","")&amp;IF(AND(EDATE($D12,Milestones!$AA$183)&lt;=AsOfDate,IF($R12=0,$X12,IF(AND($T12&lt;&gt;"",EDATE($D12,Milestones!$AA$183)&gt;=$T12),$W12,IF(AND($S12&lt;&gt;"",EDATE($D12,Milestones!$AA$183)&gt;=$S12),$V12,$U12)))=Milestones!$AB$183),UPPER(TEXT(EDATE($D12,Milestones!$AA$183),"dd mmm yy"))&amp;" "&amp;Milestones!$AB$183&amp;" "&amp;Milestones!$AC$183&amp;";  ","")&amp;IF(AND(EDATE($D12,Milestones!$AA$184)&lt;=AsOfDate,IF($R12=0,$X12,IF(AND($T12&lt;&gt;"",EDATE($D12,Milestones!$AA$184)&gt;=$T12),$W12,IF(AND($S12&lt;&gt;"",EDATE($D12,Milestones!$AA$184)&gt;=$S12),$V12,$U12)))=Milestones!$AB$184),UPPER(TEXT(EDATE($D12,Milestones!$AA$184),"dd mmm yy"))&amp;" "&amp;Milestones!$AB$184&amp;" "&amp;Milestones!$AC$184&amp;";  ","")&amp;IF(AND(EDATE($D12,Milestones!$AA$185)&lt;=AsOfDate,IF($R12=0,$X12,IF(AND($T12&lt;&gt;"",EDATE($D12,Milestones!$AA$185)&gt;=$T12),$W12,IF(AND($S12&lt;&gt;"",EDATE($D12,Milestones!$AA$185)&gt;=$S12),$V12,$U12)))=Milestones!$AB$185),UPPER(TEXT(EDATE($D12,Milestones!$AA$185),"dd mmm yy"))&amp;" "&amp;Milestones!$AB$185&amp;" "&amp;Milestones!$AC$185&amp;";  ","")&amp;IF(AND(EDATE($D12,Milestones!$AA$186)&lt;=AsOfDate,IF($R12=0,$X12,IF(AND($T12&lt;&gt;"",EDATE($D12,Milestones!$AA$186)&gt;=$T12),$W12,IF(AND($S12&lt;&gt;"",EDATE($D12,Milestones!$AA$186)&gt;=$S12),$V12,$U12)))=Milestones!$AB$186),UPPER(TEXT(EDATE($D12,Milestones!$AA$186),"dd mmm yy"))&amp;" "&amp;Milestones!$AB$186&amp;" "&amp;Milestones!$AC$186&amp;";  ","")&amp;IF(AND(EDATE($D12,Milestones!$AA$187)&lt;=AsOfDate,IF($R12=0,$X12,IF(AND($T12&lt;&gt;"",EDATE($D12,Milestones!$AA$187)&gt;=$T12),$W12,IF(AND($S12&lt;&gt;"",EDATE($D12,Milestones!$AA$187)&gt;=$S12),$V12,$U12)))=Milestones!$AB$187),UPPER(TEXT(EDATE($D12,Milestones!$AA$187),"dd mmm yy"))&amp;" "&amp;Milestones!$AB$187&amp;" "&amp;Milestones!$AC$187&amp;";  ","")&amp;IF(AND(EDATE($D12,Milestones!$AA$188)&lt;=AsOfDate,IF($R12=0,$X12,IF(AND($T12&lt;&gt;"",EDATE($D12,Milestones!$AA$188)&gt;=$T12),$W12,IF(AND($S12&lt;&gt;"",EDATE($D12,Milestones!$AA$188)&gt;=$S12),$V12,$U12)))=Milestones!$AB$188),UPPER(TEXT(EDATE($D12,Milestones!$AA$188),"dd mmm yy"))&amp;" "&amp;Milestones!$AB$188&amp;" "&amp;Milestones!$AC$188&amp;";  ","")&amp;IF(AND(EDATE($D12,Milestones!$AA$189)&lt;=AsOfDate,IF($R12=0,$X12,IF(AND($T12&lt;&gt;"",EDATE($D12,Milestones!$AA$189)&gt;=$T12),$W12,IF(AND($S12&lt;&gt;"",EDATE($D12,Milestones!$AA$189)&gt;=$S12),$V12,$U12)))=Milestones!$AB$189),UPPER(TEXT(EDATE($D12,Milestones!$AA$189),"dd mmm yy"))&amp;" "&amp;Milestones!$AB$189&amp;" "&amp;Milestones!$AC$189&amp;";  ","")&amp;IF(AND(EDATE($D12,Milestones!$AA$190)&lt;=AsOfDate,IF($R12=0,$X12,IF(AND($T12&lt;&gt;"",EDATE($D12,Milestones!$AA$190)&gt;=$T12),$W12,IF(AND($S12&lt;&gt;"",EDATE($D12,Milestones!$AA$190)&gt;=$S12),$V12,$U12)))=Milestones!$AB$190),UPPER(TEXT(EDATE($D12,Milestones!$AA$190),"dd mmm yy"))&amp;" "&amp;Milestones!$AB$190&amp;" "&amp;Milestones!$AC$190&amp;";  ","")&amp;IF(AND(EDATE($D12,Milestones!$AA$191)&lt;=AsOfDate,IF($R12=0,$X12,IF(AND($T12&lt;&gt;"",EDATE($D12,Milestones!$AA$191)&gt;=$T12),$W12,IF(AND($S12&lt;&gt;"",EDATE($D12,Milestones!$AA$191)&gt;=$S12),$V12,$U12)))=Milestones!$AB$191),UPPER(TEXT(EDATE($D12,Milestones!$AA$191),"dd mmm yy"))&amp;" "&amp;Milestones!$AB$191&amp;" "&amp;Milestones!$AC$191&amp;";  ","")&amp;IF(AND(EDATE($D12,Milestones!$AA$192)&lt;=AsOfDate,IF($R12=0,$X12,IF(AND($T12&lt;&gt;"",EDATE($D12,Milestones!$AA$192)&gt;=$T12),$W12,IF(AND($S12&lt;&gt;"",EDATE($D12,Milestones!$AA$192)&gt;=$S12),$V12,$U12)))=Milestones!$AB$192),UPPER(TEXT(EDATE($D12,Milestones!$AA$192),"dd mmm yy"))&amp;" "&amp;Milestones!$AB$192&amp;" "&amp;Milestones!$AC$192&amp;";  ","")&amp;IF(AND(EDATE($D12,Milestones!$AA$193)&lt;=AsOfDate,IF($R12=0,$X12,IF(AND($T12&lt;&gt;"",EDATE($D12,Milestones!$AA$193)&gt;=$T12),$W12,IF(AND($S12&lt;&gt;"",EDATE($D12,Milestones!$AA$193)&gt;=$S12),$V12,$U12)))=Milestones!$AB$193),UPPER(TEXT(EDATE($D12,Milestones!$AA$193),"dd mmm yy"))&amp;" "&amp;Milestones!$AB$193&amp;" "&amp;Milestones!$AC$193&amp;";  ","")&amp;IF(AND(EDATE($D12,Milestones!$AA$194)&lt;=AsOfDate,IF($R12=0,$X12,IF(AND($T12&lt;&gt;"",EDATE($D12,Milestones!$AA$194)&gt;=$T12),$W12,IF(AND($S12&lt;&gt;"",EDATE($D12,Milestones!$AA$194)&gt;=$S12),$V12,$U12)))=Milestones!$AB$194),UPPER(TEXT(EDATE($D12,Milestones!$AA$194),"dd mmm yy"))&amp;" "&amp;Milestones!$AB$194&amp;" "&amp;Milestones!$AC$194&amp;";  ","")&amp;IF(AND(EDATE($D12,Milestones!$AA$195)&lt;=AsOfDate,IF($R12=0,$X12,IF(AND($T12&lt;&gt;"",EDATE($D12,Milestones!$AA$195)&gt;=$T12),$W12,IF(AND($S12&lt;&gt;"",EDATE($D12,Milestones!$AA$195)&gt;=$S12),$V12,$U12)))=Milestones!$AB$195),UPPER(TEXT(EDATE($D12,Milestones!$AA$195),"dd mmm yy"))&amp;" "&amp;Milestones!$AB$195&amp;" "&amp;Milestones!$AC$195&amp;";  ","")&amp;IF(AND(EDATE($D12,Milestones!$AA$196)&lt;=AsOfDate,IF($R12=0,$X12,IF(AND($T12&lt;&gt;"",EDATE($D12,Milestones!$AA$196)&gt;=$T12),$W12,IF(AND($S12&lt;&gt;"",EDATE($D12,Milestones!$AA$196)&gt;=$S12),$V12,$U12)))=Milestones!$AB$196),UPPER(TEXT(EDATE($D12,Milestones!$AA$196),"dd mmm yy"))&amp;" "&amp;Milestones!$AB$196&amp;" "&amp;Milestones!$AC$196&amp;";  ","")&amp;IF(AND(EDATE($D12,Milestones!$AA$197)&lt;=AsOfDate,IF($R12=0,$X12,IF(AND($T12&lt;&gt;"",EDATE($D12,Milestones!$AA$197)&gt;=$T12),$W12,IF(AND($S12&lt;&gt;"",EDATE($D12,Milestones!$AA$197)&gt;=$S12),$V12,$U12)))=Milestones!$AB$197),UPPER(TEXT(EDATE($D12,Milestones!$AA$197),"dd mmm yy"))&amp;" "&amp;Milestones!$AB$197&amp;" "&amp;Milestones!$AC$197&amp;";  ","")&amp;IF(AND(EDATE($D12,Milestones!$AA$198)&lt;=AsOfDate,IF($R12=0,$X12,IF(AND($T12&lt;&gt;"",EDATE($D12,Milestones!$AA$198)&gt;=$T12),$W12,IF(AND($S12&lt;&gt;"",EDATE($D12,Milestones!$AA$198)&gt;=$S12),$V12,$U12)))=Milestones!$AB$198),UPPER(TEXT(EDATE($D12,Milestones!$AA$198),"dd mmm yy"))&amp;" "&amp;Milestones!$AB$198&amp;" "&amp;Milestones!$AC$198&amp;";  ","")&amp;IF(AND(EDATE($D12,Milestones!$AA$199)&lt;=AsOfDate,IF($R12=0,$X12,IF(AND($T12&lt;&gt;"",EDATE($D12,Milestones!$AA$199)&gt;=$T12),$W12,IF(AND($S12&lt;&gt;"",EDATE($D12,Milestones!$AA$199)&gt;=$S12),$V12,$U12)))=Milestones!$AB$199),UPPER(TEXT(EDATE($D12,Milestones!$AA$199),"dd mmm yy"))&amp;" "&amp;Milestones!$AB$199&amp;" "&amp;Milestones!$AC$199&amp;";  ",""))</f>
        <v/>
      </c>
      <c r="R12" s="33" t="n">
        <f aca="false">IF(Staff!$A12="","",Staff!$AI12)</f>
        <v>1</v>
      </c>
      <c r="S12" s="0" t="str">
        <f aca="false">IF(Staff!$A12="","",Staff!$AK12)</f>
        <v/>
      </c>
      <c r="T12" s="0" t="str">
        <f aca="false">IF(Staff!$A12="","",Staff!$AL12)</f>
        <v/>
      </c>
      <c r="U12" s="0" t="str">
        <f aca="false">IF(Staff!$A12="","",Staff!$AP12)</f>
        <v>FT</v>
      </c>
      <c r="V12" s="0" t="str">
        <f aca="false">IF(Staff!$A12="","",Staff!$AQ12)</f>
        <v/>
      </c>
      <c r="W12" s="0" t="str">
        <f aca="false">IF(Staff!$A12="","",Staff!$AR12)</f>
        <v/>
      </c>
      <c r="X12" s="0" t="str">
        <f aca="false">IF(Staff!$A12="","",Staff!$AS12)</f>
        <v>FT</v>
      </c>
    </row>
    <row r="13" customFormat="false" ht="15" hidden="false" customHeight="false" outlineLevel="0" collapsed="false">
      <c r="A13" s="19" t="str">
        <f aca="false">IF(Staff!$A13="","",Staff!$A13)</f>
        <v>Cai</v>
      </c>
      <c r="B13" s="19" t="str">
        <f aca="false">IF(Staff!$A13="","",Staff!$B13)</f>
        <v>Neilson</v>
      </c>
      <c r="C13" s="19" t="str">
        <f aca="false">IF(Staff!$A13="","",Staff!$C13)</f>
        <v>Casual</v>
      </c>
      <c r="D13" s="17" t="n">
        <f aca="false">IF(Staff!$A13="","",Staff!$AH13)</f>
        <v>45924</v>
      </c>
      <c r="E13" s="20" t="n">
        <f aca="false">IF(Staff!$A13="","",Staff!$O13)</f>
        <v>0</v>
      </c>
      <c r="F13" s="19" t="n">
        <f aca="false">IF(E13="","",E13*HoursPerDay)</f>
        <v>0</v>
      </c>
      <c r="G13" s="20" t="n">
        <f aca="false">IF(Staff!$A13="","",Staff!$AE13)</f>
        <v>0</v>
      </c>
      <c r="H13" s="32" t="str">
        <f aca="false">IF($A13="","",I13&amp;J13&amp;K13&amp;L13&amp;M13&amp;N13&amp;O13&amp;P13&amp;Q13)</f>
        <v/>
      </c>
      <c r="I13" s="0" t="str">
        <f aca="false">IF(OR($A13="",$D13=""),"",IF(AND(EDATE($D13,Milestones!$AA$20)&lt;=AsOfDate,IF($R13=0,$X13,IF(AND($T13&lt;&gt;"",EDATE($D13,Milestones!$AA$20)&gt;=$T13),$W13,IF(AND($S13&lt;&gt;"",EDATE($D13,Milestones!$AA$20)&gt;=$S13),$V13,$U13)))=Milestones!$AB$20),UPPER(TEXT(EDATE($D13,Milestones!$AA$20),"dd mmm yy"))&amp;" "&amp;Milestones!$AB$20&amp;" "&amp;Milestones!$AC$20&amp;";  ","")&amp;IF(AND(EDATE($D13,Milestones!$AA$21)&lt;=AsOfDate,IF($R13=0,$X13,IF(AND($T13&lt;&gt;"",EDATE($D13,Milestones!$AA$21)&gt;=$T13),$W13,IF(AND($S13&lt;&gt;"",EDATE($D13,Milestones!$AA$21)&gt;=$S13),$V13,$U13)))=Milestones!$AB$21),UPPER(TEXT(EDATE($D13,Milestones!$AA$21),"dd mmm yy"))&amp;" "&amp;Milestones!$AB$21&amp;" "&amp;Milestones!$AC$21&amp;";  ","")&amp;IF(AND(EDATE($D13,Milestones!$AA$22)&lt;=AsOfDate,IF($R13=0,$X13,IF(AND($T13&lt;&gt;"",EDATE($D13,Milestones!$AA$22)&gt;=$T13),$W13,IF(AND($S13&lt;&gt;"",EDATE($D13,Milestones!$AA$22)&gt;=$S13),$V13,$U13)))=Milestones!$AB$22),UPPER(TEXT(EDATE($D13,Milestones!$AA$22),"dd mmm yy"))&amp;" "&amp;Milestones!$AB$22&amp;" "&amp;Milestones!$AC$22&amp;";  ","")&amp;IF(AND(EDATE($D13,Milestones!$AA$23)&lt;=AsOfDate,IF($R13=0,$X13,IF(AND($T13&lt;&gt;"",EDATE($D13,Milestones!$AA$23)&gt;=$T13),$W13,IF(AND($S13&lt;&gt;"",EDATE($D13,Milestones!$AA$23)&gt;=$S13),$V13,$U13)))=Milestones!$AB$23),UPPER(TEXT(EDATE($D13,Milestones!$AA$23),"dd mmm yy"))&amp;" "&amp;Milestones!$AB$23&amp;" "&amp;Milestones!$AC$23&amp;";  ","")&amp;IF(AND(EDATE($D13,Milestones!$AA$24)&lt;=AsOfDate,IF($R13=0,$X13,IF(AND($T13&lt;&gt;"",EDATE($D13,Milestones!$AA$24)&gt;=$T13),$W13,IF(AND($S13&lt;&gt;"",EDATE($D13,Milestones!$AA$24)&gt;=$S13),$V13,$U13)))=Milestones!$AB$24),UPPER(TEXT(EDATE($D13,Milestones!$AA$24),"dd mmm yy"))&amp;" "&amp;Milestones!$AB$24&amp;" "&amp;Milestones!$AC$24&amp;";  ","")&amp;IF(AND(EDATE($D13,Milestones!$AA$25)&lt;=AsOfDate,IF($R13=0,$X13,IF(AND($T13&lt;&gt;"",EDATE($D13,Milestones!$AA$25)&gt;=$T13),$W13,IF(AND($S13&lt;&gt;"",EDATE($D13,Milestones!$AA$25)&gt;=$S13),$V13,$U13)))=Milestones!$AB$25),UPPER(TEXT(EDATE($D13,Milestones!$AA$25),"dd mmm yy"))&amp;" "&amp;Milestones!$AB$25&amp;" "&amp;Milestones!$AC$25&amp;";  ","")&amp;IF(AND(EDATE($D13,Milestones!$AA$26)&lt;=AsOfDate,IF($R13=0,$X13,IF(AND($T13&lt;&gt;"",EDATE($D13,Milestones!$AA$26)&gt;=$T13),$W13,IF(AND($S13&lt;&gt;"",EDATE($D13,Milestones!$AA$26)&gt;=$S13),$V13,$U13)))=Milestones!$AB$26),UPPER(TEXT(EDATE($D13,Milestones!$AA$26),"dd mmm yy"))&amp;" "&amp;Milestones!$AB$26&amp;" "&amp;Milestones!$AC$26&amp;";  ","")&amp;IF(AND(EDATE($D13,Milestones!$AA$27)&lt;=AsOfDate,IF($R13=0,$X13,IF(AND($T13&lt;&gt;"",EDATE($D13,Milestones!$AA$27)&gt;=$T13),$W13,IF(AND($S13&lt;&gt;"",EDATE($D13,Milestones!$AA$27)&gt;=$S13),$V13,$U13)))=Milestones!$AB$27),UPPER(TEXT(EDATE($D13,Milestones!$AA$27),"dd mmm yy"))&amp;" "&amp;Milestones!$AB$27&amp;" "&amp;Milestones!$AC$27&amp;";  ","")&amp;IF(AND(EDATE($D13,Milestones!$AA$28)&lt;=AsOfDate,IF($R13=0,$X13,IF(AND($T13&lt;&gt;"",EDATE($D13,Milestones!$AA$28)&gt;=$T13),$W13,IF(AND($S13&lt;&gt;"",EDATE($D13,Milestones!$AA$28)&gt;=$S13),$V13,$U13)))=Milestones!$AB$28),UPPER(TEXT(EDATE($D13,Milestones!$AA$28),"dd mmm yy"))&amp;" "&amp;Milestones!$AB$28&amp;" "&amp;Milestones!$AC$28&amp;";  ","")&amp;IF(AND(EDATE($D13,Milestones!$AA$29)&lt;=AsOfDate,IF($R13=0,$X13,IF(AND($T13&lt;&gt;"",EDATE($D13,Milestones!$AA$29)&gt;=$T13),$W13,IF(AND($S13&lt;&gt;"",EDATE($D13,Milestones!$AA$29)&gt;=$S13),$V13,$U13)))=Milestones!$AB$29),UPPER(TEXT(EDATE($D13,Milestones!$AA$29),"dd mmm yy"))&amp;" "&amp;Milestones!$AB$29&amp;" "&amp;Milestones!$AC$29&amp;";  ","")&amp;IF(AND(EDATE($D13,Milestones!$AA$30)&lt;=AsOfDate,IF($R13=0,$X13,IF(AND($T13&lt;&gt;"",EDATE($D13,Milestones!$AA$30)&gt;=$T13),$W13,IF(AND($S13&lt;&gt;"",EDATE($D13,Milestones!$AA$30)&gt;=$S13),$V13,$U13)))=Milestones!$AB$30),UPPER(TEXT(EDATE($D13,Milestones!$AA$30),"dd mmm yy"))&amp;" "&amp;Milestones!$AB$30&amp;" "&amp;Milestones!$AC$30&amp;";  ","")&amp;IF(AND(EDATE($D13,Milestones!$AA$31)&lt;=AsOfDate,IF($R13=0,$X13,IF(AND($T13&lt;&gt;"",EDATE($D13,Milestones!$AA$31)&gt;=$T13),$W13,IF(AND($S13&lt;&gt;"",EDATE($D13,Milestones!$AA$31)&gt;=$S13),$V13,$U13)))=Milestones!$AB$31),UPPER(TEXT(EDATE($D13,Milestones!$AA$31),"dd mmm yy"))&amp;" "&amp;Milestones!$AB$31&amp;" "&amp;Milestones!$AC$31&amp;";  ","")&amp;IF(AND(EDATE($D13,Milestones!$AA$32)&lt;=AsOfDate,IF($R13=0,$X13,IF(AND($T13&lt;&gt;"",EDATE($D13,Milestones!$AA$32)&gt;=$T13),$W13,IF(AND($S13&lt;&gt;"",EDATE($D13,Milestones!$AA$32)&gt;=$S13),$V13,$U13)))=Milestones!$AB$32),UPPER(TEXT(EDATE($D13,Milestones!$AA$32),"dd mmm yy"))&amp;" "&amp;Milestones!$AB$32&amp;" "&amp;Milestones!$AC$32&amp;";  ","")&amp;IF(AND(EDATE($D13,Milestones!$AA$33)&lt;=AsOfDate,IF($R13=0,$X13,IF(AND($T13&lt;&gt;"",EDATE($D13,Milestones!$AA$33)&gt;=$T13),$W13,IF(AND($S13&lt;&gt;"",EDATE($D13,Milestones!$AA$33)&gt;=$S13),$V13,$U13)))=Milestones!$AB$33),UPPER(TEXT(EDATE($D13,Milestones!$AA$33),"dd mmm yy"))&amp;" "&amp;Milestones!$AB$33&amp;" "&amp;Milestones!$AC$33&amp;";  ","")&amp;IF(AND(EDATE($D13,Milestones!$AA$34)&lt;=AsOfDate,IF($R13=0,$X13,IF(AND($T13&lt;&gt;"",EDATE($D13,Milestones!$AA$34)&gt;=$T13),$W13,IF(AND($S13&lt;&gt;"",EDATE($D13,Milestones!$AA$34)&gt;=$S13),$V13,$U13)))=Milestones!$AB$34),UPPER(TEXT(EDATE($D13,Milestones!$AA$34),"dd mmm yy"))&amp;" "&amp;Milestones!$AB$34&amp;" "&amp;Milestones!$AC$34&amp;";  ","")&amp;IF(AND(EDATE($D13,Milestones!$AA$35)&lt;=AsOfDate,IF($R13=0,$X13,IF(AND($T13&lt;&gt;"",EDATE($D13,Milestones!$AA$35)&gt;=$T13),$W13,IF(AND($S13&lt;&gt;"",EDATE($D13,Milestones!$AA$35)&gt;=$S13),$V13,$U13)))=Milestones!$AB$35),UPPER(TEXT(EDATE($D13,Milestones!$AA$35),"dd mmm yy"))&amp;" "&amp;Milestones!$AB$35&amp;" "&amp;Milestones!$AC$35&amp;";  ","")&amp;IF(AND(EDATE($D13,Milestones!$AA$36)&lt;=AsOfDate,IF($R13=0,$X13,IF(AND($T13&lt;&gt;"",EDATE($D13,Milestones!$AA$36)&gt;=$T13),$W13,IF(AND($S13&lt;&gt;"",EDATE($D13,Milestones!$AA$36)&gt;=$S13),$V13,$U13)))=Milestones!$AB$36),UPPER(TEXT(EDATE($D13,Milestones!$AA$36),"dd mmm yy"))&amp;" "&amp;Milestones!$AB$36&amp;" "&amp;Milestones!$AC$36&amp;";  ","")&amp;IF(AND(EDATE($D13,Milestones!$AA$37)&lt;=AsOfDate,IF($R13=0,$X13,IF(AND($T13&lt;&gt;"",EDATE($D13,Milestones!$AA$37)&gt;=$T13),$W13,IF(AND($S13&lt;&gt;"",EDATE($D13,Milestones!$AA$37)&gt;=$S13),$V13,$U13)))=Milestones!$AB$37),UPPER(TEXT(EDATE($D13,Milestones!$AA$37),"dd mmm yy"))&amp;" "&amp;Milestones!$AB$37&amp;" "&amp;Milestones!$AC$37&amp;";  ","")&amp;IF(AND(EDATE($D13,Milestones!$AA$38)&lt;=AsOfDate,IF($R13=0,$X13,IF(AND($T13&lt;&gt;"",EDATE($D13,Milestones!$AA$38)&gt;=$T13),$W13,IF(AND($S13&lt;&gt;"",EDATE($D13,Milestones!$AA$38)&gt;=$S13),$V13,$U13)))=Milestones!$AB$38),UPPER(TEXT(EDATE($D13,Milestones!$AA$38),"dd mmm yy"))&amp;" "&amp;Milestones!$AB$38&amp;" "&amp;Milestones!$AC$38&amp;";  ","")&amp;IF(AND(EDATE($D13,Milestones!$AA$39)&lt;=AsOfDate,IF($R13=0,$X13,IF(AND($T13&lt;&gt;"",EDATE($D13,Milestones!$AA$39)&gt;=$T13),$W13,IF(AND($S13&lt;&gt;"",EDATE($D13,Milestones!$AA$39)&gt;=$S13),$V13,$U13)))=Milestones!$AB$39),UPPER(TEXT(EDATE($D13,Milestones!$AA$39),"dd mmm yy"))&amp;" "&amp;Milestones!$AB$39&amp;" "&amp;Milestones!$AC$39&amp;";  ",""))</f>
        <v/>
      </c>
      <c r="J13" s="0" t="str">
        <f aca="false">IF(OR($A13="",$D13=""),"",IF(AND(EDATE($D13,Milestones!$AA$40)&lt;=AsOfDate,IF($R13=0,$X13,IF(AND($T13&lt;&gt;"",EDATE($D13,Milestones!$AA$40)&gt;=$T13),$W13,IF(AND($S13&lt;&gt;"",EDATE($D13,Milestones!$AA$40)&gt;=$S13),$V13,$U13)))=Milestones!$AB$40),UPPER(TEXT(EDATE($D13,Milestones!$AA$40),"dd mmm yy"))&amp;" "&amp;Milestones!$AB$40&amp;" "&amp;Milestones!$AC$40&amp;";  ","")&amp;IF(AND(EDATE($D13,Milestones!$AA$41)&lt;=AsOfDate,IF($R13=0,$X13,IF(AND($T13&lt;&gt;"",EDATE($D13,Milestones!$AA$41)&gt;=$T13),$W13,IF(AND($S13&lt;&gt;"",EDATE($D13,Milestones!$AA$41)&gt;=$S13),$V13,$U13)))=Milestones!$AB$41),UPPER(TEXT(EDATE($D13,Milestones!$AA$41),"dd mmm yy"))&amp;" "&amp;Milestones!$AB$41&amp;" "&amp;Milestones!$AC$41&amp;";  ","")&amp;IF(AND(EDATE($D13,Milestones!$AA$42)&lt;=AsOfDate,IF($R13=0,$X13,IF(AND($T13&lt;&gt;"",EDATE($D13,Milestones!$AA$42)&gt;=$T13),$W13,IF(AND($S13&lt;&gt;"",EDATE($D13,Milestones!$AA$42)&gt;=$S13),$V13,$U13)))=Milestones!$AB$42),UPPER(TEXT(EDATE($D13,Milestones!$AA$42),"dd mmm yy"))&amp;" "&amp;Milestones!$AB$42&amp;" "&amp;Milestones!$AC$42&amp;";  ","")&amp;IF(AND(EDATE($D13,Milestones!$AA$43)&lt;=AsOfDate,IF($R13=0,$X13,IF(AND($T13&lt;&gt;"",EDATE($D13,Milestones!$AA$43)&gt;=$T13),$W13,IF(AND($S13&lt;&gt;"",EDATE($D13,Milestones!$AA$43)&gt;=$S13),$V13,$U13)))=Milestones!$AB$43),UPPER(TEXT(EDATE($D13,Milestones!$AA$43),"dd mmm yy"))&amp;" "&amp;Milestones!$AB$43&amp;" "&amp;Milestones!$AC$43&amp;";  ","")&amp;IF(AND(EDATE($D13,Milestones!$AA$44)&lt;=AsOfDate,IF($R13=0,$X13,IF(AND($T13&lt;&gt;"",EDATE($D13,Milestones!$AA$44)&gt;=$T13),$W13,IF(AND($S13&lt;&gt;"",EDATE($D13,Milestones!$AA$44)&gt;=$S13),$V13,$U13)))=Milestones!$AB$44),UPPER(TEXT(EDATE($D13,Milestones!$AA$44),"dd mmm yy"))&amp;" "&amp;Milestones!$AB$44&amp;" "&amp;Milestones!$AC$44&amp;";  ","")&amp;IF(AND(EDATE($D13,Milestones!$AA$45)&lt;=AsOfDate,IF($R13=0,$X13,IF(AND($T13&lt;&gt;"",EDATE($D13,Milestones!$AA$45)&gt;=$T13),$W13,IF(AND($S13&lt;&gt;"",EDATE($D13,Milestones!$AA$45)&gt;=$S13),$V13,$U13)))=Milestones!$AB$45),UPPER(TEXT(EDATE($D13,Milestones!$AA$45),"dd mmm yy"))&amp;" "&amp;Milestones!$AB$45&amp;" "&amp;Milestones!$AC$45&amp;";  ","")&amp;IF(AND(EDATE($D13,Milestones!$AA$46)&lt;=AsOfDate,IF($R13=0,$X13,IF(AND($T13&lt;&gt;"",EDATE($D13,Milestones!$AA$46)&gt;=$T13),$W13,IF(AND($S13&lt;&gt;"",EDATE($D13,Milestones!$AA$46)&gt;=$S13),$V13,$U13)))=Milestones!$AB$46),UPPER(TEXT(EDATE($D13,Milestones!$AA$46),"dd mmm yy"))&amp;" "&amp;Milestones!$AB$46&amp;" "&amp;Milestones!$AC$46&amp;";  ","")&amp;IF(AND(EDATE($D13,Milestones!$AA$47)&lt;=AsOfDate,IF($R13=0,$X13,IF(AND($T13&lt;&gt;"",EDATE($D13,Milestones!$AA$47)&gt;=$T13),$W13,IF(AND($S13&lt;&gt;"",EDATE($D13,Milestones!$AA$47)&gt;=$S13),$V13,$U13)))=Milestones!$AB$47),UPPER(TEXT(EDATE($D13,Milestones!$AA$47),"dd mmm yy"))&amp;" "&amp;Milestones!$AB$47&amp;" "&amp;Milestones!$AC$47&amp;";  ","")&amp;IF(AND(EDATE($D13,Milestones!$AA$48)&lt;=AsOfDate,IF($R13=0,$X13,IF(AND($T13&lt;&gt;"",EDATE($D13,Milestones!$AA$48)&gt;=$T13),$W13,IF(AND($S13&lt;&gt;"",EDATE($D13,Milestones!$AA$48)&gt;=$S13),$V13,$U13)))=Milestones!$AB$48),UPPER(TEXT(EDATE($D13,Milestones!$AA$48),"dd mmm yy"))&amp;" "&amp;Milestones!$AB$48&amp;" "&amp;Milestones!$AC$48&amp;";  ","")&amp;IF(AND(EDATE($D13,Milestones!$AA$49)&lt;=AsOfDate,IF($R13=0,$X13,IF(AND($T13&lt;&gt;"",EDATE($D13,Milestones!$AA$49)&gt;=$T13),$W13,IF(AND($S13&lt;&gt;"",EDATE($D13,Milestones!$AA$49)&gt;=$S13),$V13,$U13)))=Milestones!$AB$49),UPPER(TEXT(EDATE($D13,Milestones!$AA$49),"dd mmm yy"))&amp;" "&amp;Milestones!$AB$49&amp;" "&amp;Milestones!$AC$49&amp;";  ","")&amp;IF(AND(EDATE($D13,Milestones!$AA$50)&lt;=AsOfDate,IF($R13=0,$X13,IF(AND($T13&lt;&gt;"",EDATE($D13,Milestones!$AA$50)&gt;=$T13),$W13,IF(AND($S13&lt;&gt;"",EDATE($D13,Milestones!$AA$50)&gt;=$S13),$V13,$U13)))=Milestones!$AB$50),UPPER(TEXT(EDATE($D13,Milestones!$AA$50),"dd mmm yy"))&amp;" "&amp;Milestones!$AB$50&amp;" "&amp;Milestones!$AC$50&amp;";  ","")&amp;IF(AND(EDATE($D13,Milestones!$AA$51)&lt;=AsOfDate,IF($R13=0,$X13,IF(AND($T13&lt;&gt;"",EDATE($D13,Milestones!$AA$51)&gt;=$T13),$W13,IF(AND($S13&lt;&gt;"",EDATE($D13,Milestones!$AA$51)&gt;=$S13),$V13,$U13)))=Milestones!$AB$51),UPPER(TEXT(EDATE($D13,Milestones!$AA$51),"dd mmm yy"))&amp;" "&amp;Milestones!$AB$51&amp;" "&amp;Milestones!$AC$51&amp;";  ","")&amp;IF(AND(EDATE($D13,Milestones!$AA$52)&lt;=AsOfDate,IF($R13=0,$X13,IF(AND($T13&lt;&gt;"",EDATE($D13,Milestones!$AA$52)&gt;=$T13),$W13,IF(AND($S13&lt;&gt;"",EDATE($D13,Milestones!$AA$52)&gt;=$S13),$V13,$U13)))=Milestones!$AB$52),UPPER(TEXT(EDATE($D13,Milestones!$AA$52),"dd mmm yy"))&amp;" "&amp;Milestones!$AB$52&amp;" "&amp;Milestones!$AC$52&amp;";  ","")&amp;IF(AND(EDATE($D13,Milestones!$AA$53)&lt;=AsOfDate,IF($R13=0,$X13,IF(AND($T13&lt;&gt;"",EDATE($D13,Milestones!$AA$53)&gt;=$T13),$W13,IF(AND($S13&lt;&gt;"",EDATE($D13,Milestones!$AA$53)&gt;=$S13),$V13,$U13)))=Milestones!$AB$53),UPPER(TEXT(EDATE($D13,Milestones!$AA$53),"dd mmm yy"))&amp;" "&amp;Milestones!$AB$53&amp;" "&amp;Milestones!$AC$53&amp;";  ","")&amp;IF(AND(EDATE($D13,Milestones!$AA$54)&lt;=AsOfDate,IF($R13=0,$X13,IF(AND($T13&lt;&gt;"",EDATE($D13,Milestones!$AA$54)&gt;=$T13),$W13,IF(AND($S13&lt;&gt;"",EDATE($D13,Milestones!$AA$54)&gt;=$S13),$V13,$U13)))=Milestones!$AB$54),UPPER(TEXT(EDATE($D13,Milestones!$AA$54),"dd mmm yy"))&amp;" "&amp;Milestones!$AB$54&amp;" "&amp;Milestones!$AC$54&amp;";  ","")&amp;IF(AND(EDATE($D13,Milestones!$AA$55)&lt;=AsOfDate,IF($R13=0,$X13,IF(AND($T13&lt;&gt;"",EDATE($D13,Milestones!$AA$55)&gt;=$T13),$W13,IF(AND($S13&lt;&gt;"",EDATE($D13,Milestones!$AA$55)&gt;=$S13),$V13,$U13)))=Milestones!$AB$55),UPPER(TEXT(EDATE($D13,Milestones!$AA$55),"dd mmm yy"))&amp;" "&amp;Milestones!$AB$55&amp;" "&amp;Milestones!$AC$55&amp;";  ","")&amp;IF(AND(EDATE($D13,Milestones!$AA$56)&lt;=AsOfDate,IF($R13=0,$X13,IF(AND($T13&lt;&gt;"",EDATE($D13,Milestones!$AA$56)&gt;=$T13),$W13,IF(AND($S13&lt;&gt;"",EDATE($D13,Milestones!$AA$56)&gt;=$S13),$V13,$U13)))=Milestones!$AB$56),UPPER(TEXT(EDATE($D13,Milestones!$AA$56),"dd mmm yy"))&amp;" "&amp;Milestones!$AB$56&amp;" "&amp;Milestones!$AC$56&amp;";  ","")&amp;IF(AND(EDATE($D13,Milestones!$AA$57)&lt;=AsOfDate,IF($R13=0,$X13,IF(AND($T13&lt;&gt;"",EDATE($D13,Milestones!$AA$57)&gt;=$T13),$W13,IF(AND($S13&lt;&gt;"",EDATE($D13,Milestones!$AA$57)&gt;=$S13),$V13,$U13)))=Milestones!$AB$57),UPPER(TEXT(EDATE($D13,Milestones!$AA$57),"dd mmm yy"))&amp;" "&amp;Milestones!$AB$57&amp;" "&amp;Milestones!$AC$57&amp;";  ","")&amp;IF(AND(EDATE($D13,Milestones!$AA$58)&lt;=AsOfDate,IF($R13=0,$X13,IF(AND($T13&lt;&gt;"",EDATE($D13,Milestones!$AA$58)&gt;=$T13),$W13,IF(AND($S13&lt;&gt;"",EDATE($D13,Milestones!$AA$58)&gt;=$S13),$V13,$U13)))=Milestones!$AB$58),UPPER(TEXT(EDATE($D13,Milestones!$AA$58),"dd mmm yy"))&amp;" "&amp;Milestones!$AB$58&amp;" "&amp;Milestones!$AC$58&amp;";  ","")&amp;IF(AND(EDATE($D13,Milestones!$AA$59)&lt;=AsOfDate,IF($R13=0,$X13,IF(AND($T13&lt;&gt;"",EDATE($D13,Milestones!$AA$59)&gt;=$T13),$W13,IF(AND($S13&lt;&gt;"",EDATE($D13,Milestones!$AA$59)&gt;=$S13),$V13,$U13)))=Milestones!$AB$59),UPPER(TEXT(EDATE($D13,Milestones!$AA$59),"dd mmm yy"))&amp;" "&amp;Milestones!$AB$59&amp;" "&amp;Milestones!$AC$59&amp;";  ",""))</f>
        <v/>
      </c>
      <c r="K13" s="0" t="str">
        <f aca="false">IF(OR($A13="",$D13=""),"",IF(AND(EDATE($D13,Milestones!$AA$60)&lt;=AsOfDate,IF($R13=0,$X13,IF(AND($T13&lt;&gt;"",EDATE($D13,Milestones!$AA$60)&gt;=$T13),$W13,IF(AND($S13&lt;&gt;"",EDATE($D13,Milestones!$AA$60)&gt;=$S13),$V13,$U13)))=Milestones!$AB$60),UPPER(TEXT(EDATE($D13,Milestones!$AA$60),"dd mmm yy"))&amp;" "&amp;Milestones!$AB$60&amp;" "&amp;Milestones!$AC$60&amp;";  ","")&amp;IF(AND(EDATE($D13,Milestones!$AA$61)&lt;=AsOfDate,IF($R13=0,$X13,IF(AND($T13&lt;&gt;"",EDATE($D13,Milestones!$AA$61)&gt;=$T13),$W13,IF(AND($S13&lt;&gt;"",EDATE($D13,Milestones!$AA$61)&gt;=$S13),$V13,$U13)))=Milestones!$AB$61),UPPER(TEXT(EDATE($D13,Milestones!$AA$61),"dd mmm yy"))&amp;" "&amp;Milestones!$AB$61&amp;" "&amp;Milestones!$AC$61&amp;";  ","")&amp;IF(AND(EDATE($D13,Milestones!$AA$62)&lt;=AsOfDate,IF($R13=0,$X13,IF(AND($T13&lt;&gt;"",EDATE($D13,Milestones!$AA$62)&gt;=$T13),$W13,IF(AND($S13&lt;&gt;"",EDATE($D13,Milestones!$AA$62)&gt;=$S13),$V13,$U13)))=Milestones!$AB$62),UPPER(TEXT(EDATE($D13,Milestones!$AA$62),"dd mmm yy"))&amp;" "&amp;Milestones!$AB$62&amp;" "&amp;Milestones!$AC$62&amp;";  ","")&amp;IF(AND(EDATE($D13,Milestones!$AA$63)&lt;=AsOfDate,IF($R13=0,$X13,IF(AND($T13&lt;&gt;"",EDATE($D13,Milestones!$AA$63)&gt;=$T13),$W13,IF(AND($S13&lt;&gt;"",EDATE($D13,Milestones!$AA$63)&gt;=$S13),$V13,$U13)))=Milestones!$AB$63),UPPER(TEXT(EDATE($D13,Milestones!$AA$63),"dd mmm yy"))&amp;" "&amp;Milestones!$AB$63&amp;" "&amp;Milestones!$AC$63&amp;";  ","")&amp;IF(AND(EDATE($D13,Milestones!$AA$64)&lt;=AsOfDate,IF($R13=0,$X13,IF(AND($T13&lt;&gt;"",EDATE($D13,Milestones!$AA$64)&gt;=$T13),$W13,IF(AND($S13&lt;&gt;"",EDATE($D13,Milestones!$AA$64)&gt;=$S13),$V13,$U13)))=Milestones!$AB$64),UPPER(TEXT(EDATE($D13,Milestones!$AA$64),"dd mmm yy"))&amp;" "&amp;Milestones!$AB$64&amp;" "&amp;Milestones!$AC$64&amp;";  ","")&amp;IF(AND(EDATE($D13,Milestones!$AA$65)&lt;=AsOfDate,IF($R13=0,$X13,IF(AND($T13&lt;&gt;"",EDATE($D13,Milestones!$AA$65)&gt;=$T13),$W13,IF(AND($S13&lt;&gt;"",EDATE($D13,Milestones!$AA$65)&gt;=$S13),$V13,$U13)))=Milestones!$AB$65),UPPER(TEXT(EDATE($D13,Milestones!$AA$65),"dd mmm yy"))&amp;" "&amp;Milestones!$AB$65&amp;" "&amp;Milestones!$AC$65&amp;";  ","")&amp;IF(AND(EDATE($D13,Milestones!$AA$66)&lt;=AsOfDate,IF($R13=0,$X13,IF(AND($T13&lt;&gt;"",EDATE($D13,Milestones!$AA$66)&gt;=$T13),$W13,IF(AND($S13&lt;&gt;"",EDATE($D13,Milestones!$AA$66)&gt;=$S13),$V13,$U13)))=Milestones!$AB$66),UPPER(TEXT(EDATE($D13,Milestones!$AA$66),"dd mmm yy"))&amp;" "&amp;Milestones!$AB$66&amp;" "&amp;Milestones!$AC$66&amp;";  ","")&amp;IF(AND(EDATE($D13,Milestones!$AA$67)&lt;=AsOfDate,IF($R13=0,$X13,IF(AND($T13&lt;&gt;"",EDATE($D13,Milestones!$AA$67)&gt;=$T13),$W13,IF(AND($S13&lt;&gt;"",EDATE($D13,Milestones!$AA$67)&gt;=$S13),$V13,$U13)))=Milestones!$AB$67),UPPER(TEXT(EDATE($D13,Milestones!$AA$67),"dd mmm yy"))&amp;" "&amp;Milestones!$AB$67&amp;" "&amp;Milestones!$AC$67&amp;";  ","")&amp;IF(AND(EDATE($D13,Milestones!$AA$68)&lt;=AsOfDate,IF($R13=0,$X13,IF(AND($T13&lt;&gt;"",EDATE($D13,Milestones!$AA$68)&gt;=$T13),$W13,IF(AND($S13&lt;&gt;"",EDATE($D13,Milestones!$AA$68)&gt;=$S13),$V13,$U13)))=Milestones!$AB$68),UPPER(TEXT(EDATE($D13,Milestones!$AA$68),"dd mmm yy"))&amp;" "&amp;Milestones!$AB$68&amp;" "&amp;Milestones!$AC$68&amp;";  ","")&amp;IF(AND(EDATE($D13,Milestones!$AA$69)&lt;=AsOfDate,IF($R13=0,$X13,IF(AND($T13&lt;&gt;"",EDATE($D13,Milestones!$AA$69)&gt;=$T13),$W13,IF(AND($S13&lt;&gt;"",EDATE($D13,Milestones!$AA$69)&gt;=$S13),$V13,$U13)))=Milestones!$AB$69),UPPER(TEXT(EDATE($D13,Milestones!$AA$69),"dd mmm yy"))&amp;" "&amp;Milestones!$AB$69&amp;" "&amp;Milestones!$AC$69&amp;";  ","")&amp;IF(AND(EDATE($D13,Milestones!$AA$70)&lt;=AsOfDate,IF($R13=0,$X13,IF(AND($T13&lt;&gt;"",EDATE($D13,Milestones!$AA$70)&gt;=$T13),$W13,IF(AND($S13&lt;&gt;"",EDATE($D13,Milestones!$AA$70)&gt;=$S13),$V13,$U13)))=Milestones!$AB$70),UPPER(TEXT(EDATE($D13,Milestones!$AA$70),"dd mmm yy"))&amp;" "&amp;Milestones!$AB$70&amp;" "&amp;Milestones!$AC$70&amp;";  ","")&amp;IF(AND(EDATE($D13,Milestones!$AA$71)&lt;=AsOfDate,IF($R13=0,$X13,IF(AND($T13&lt;&gt;"",EDATE($D13,Milestones!$AA$71)&gt;=$T13),$W13,IF(AND($S13&lt;&gt;"",EDATE($D13,Milestones!$AA$71)&gt;=$S13),$V13,$U13)))=Milestones!$AB$71),UPPER(TEXT(EDATE($D13,Milestones!$AA$71),"dd mmm yy"))&amp;" "&amp;Milestones!$AB$71&amp;" "&amp;Milestones!$AC$71&amp;";  ","")&amp;IF(AND(EDATE($D13,Milestones!$AA$72)&lt;=AsOfDate,IF($R13=0,$X13,IF(AND($T13&lt;&gt;"",EDATE($D13,Milestones!$AA$72)&gt;=$T13),$W13,IF(AND($S13&lt;&gt;"",EDATE($D13,Milestones!$AA$72)&gt;=$S13),$V13,$U13)))=Milestones!$AB$72),UPPER(TEXT(EDATE($D13,Milestones!$AA$72),"dd mmm yy"))&amp;" "&amp;Milestones!$AB$72&amp;" "&amp;Milestones!$AC$72&amp;";  ","")&amp;IF(AND(EDATE($D13,Milestones!$AA$73)&lt;=AsOfDate,IF($R13=0,$X13,IF(AND($T13&lt;&gt;"",EDATE($D13,Milestones!$AA$73)&gt;=$T13),$W13,IF(AND($S13&lt;&gt;"",EDATE($D13,Milestones!$AA$73)&gt;=$S13),$V13,$U13)))=Milestones!$AB$73),UPPER(TEXT(EDATE($D13,Milestones!$AA$73),"dd mmm yy"))&amp;" "&amp;Milestones!$AB$73&amp;" "&amp;Milestones!$AC$73&amp;";  ","")&amp;IF(AND(EDATE($D13,Milestones!$AA$74)&lt;=AsOfDate,IF($R13=0,$X13,IF(AND($T13&lt;&gt;"",EDATE($D13,Milestones!$AA$74)&gt;=$T13),$W13,IF(AND($S13&lt;&gt;"",EDATE($D13,Milestones!$AA$74)&gt;=$S13),$V13,$U13)))=Milestones!$AB$74),UPPER(TEXT(EDATE($D13,Milestones!$AA$74),"dd mmm yy"))&amp;" "&amp;Milestones!$AB$74&amp;" "&amp;Milestones!$AC$74&amp;";  ","")&amp;IF(AND(EDATE($D13,Milestones!$AA$75)&lt;=AsOfDate,IF($R13=0,$X13,IF(AND($T13&lt;&gt;"",EDATE($D13,Milestones!$AA$75)&gt;=$T13),$W13,IF(AND($S13&lt;&gt;"",EDATE($D13,Milestones!$AA$75)&gt;=$S13),$V13,$U13)))=Milestones!$AB$75),UPPER(TEXT(EDATE($D13,Milestones!$AA$75),"dd mmm yy"))&amp;" "&amp;Milestones!$AB$75&amp;" "&amp;Milestones!$AC$75&amp;";  ","")&amp;IF(AND(EDATE($D13,Milestones!$AA$76)&lt;=AsOfDate,IF($R13=0,$X13,IF(AND($T13&lt;&gt;"",EDATE($D13,Milestones!$AA$76)&gt;=$T13),$W13,IF(AND($S13&lt;&gt;"",EDATE($D13,Milestones!$AA$76)&gt;=$S13),$V13,$U13)))=Milestones!$AB$76),UPPER(TEXT(EDATE($D13,Milestones!$AA$76),"dd mmm yy"))&amp;" "&amp;Milestones!$AB$76&amp;" "&amp;Milestones!$AC$76&amp;";  ","")&amp;IF(AND(EDATE($D13,Milestones!$AA$77)&lt;=AsOfDate,IF($R13=0,$X13,IF(AND($T13&lt;&gt;"",EDATE($D13,Milestones!$AA$77)&gt;=$T13),$W13,IF(AND($S13&lt;&gt;"",EDATE($D13,Milestones!$AA$77)&gt;=$S13),$V13,$U13)))=Milestones!$AB$77),UPPER(TEXT(EDATE($D13,Milestones!$AA$77),"dd mmm yy"))&amp;" "&amp;Milestones!$AB$77&amp;" "&amp;Milestones!$AC$77&amp;";  ","")&amp;IF(AND(EDATE($D13,Milestones!$AA$78)&lt;=AsOfDate,IF($R13=0,$X13,IF(AND($T13&lt;&gt;"",EDATE($D13,Milestones!$AA$78)&gt;=$T13),$W13,IF(AND($S13&lt;&gt;"",EDATE($D13,Milestones!$AA$78)&gt;=$S13),$V13,$U13)))=Milestones!$AB$78),UPPER(TEXT(EDATE($D13,Milestones!$AA$78),"dd mmm yy"))&amp;" "&amp;Milestones!$AB$78&amp;" "&amp;Milestones!$AC$78&amp;";  ","")&amp;IF(AND(EDATE($D13,Milestones!$AA$79)&lt;=AsOfDate,IF($R13=0,$X13,IF(AND($T13&lt;&gt;"",EDATE($D13,Milestones!$AA$79)&gt;=$T13),$W13,IF(AND($S13&lt;&gt;"",EDATE($D13,Milestones!$AA$79)&gt;=$S13),$V13,$U13)))=Milestones!$AB$79),UPPER(TEXT(EDATE($D13,Milestones!$AA$79),"dd mmm yy"))&amp;" "&amp;Milestones!$AB$79&amp;" "&amp;Milestones!$AC$79&amp;";  ",""))</f>
        <v/>
      </c>
      <c r="L13" s="0" t="str">
        <f aca="false">IF(OR($A13="",$D13=""),"",IF(AND(EDATE($D13,Milestones!$AA$80)&lt;=AsOfDate,IF($R13=0,$X13,IF(AND($T13&lt;&gt;"",EDATE($D13,Milestones!$AA$80)&gt;=$T13),$W13,IF(AND($S13&lt;&gt;"",EDATE($D13,Milestones!$AA$80)&gt;=$S13),$V13,$U13)))=Milestones!$AB$80),UPPER(TEXT(EDATE($D13,Milestones!$AA$80),"dd mmm yy"))&amp;" "&amp;Milestones!$AB$80&amp;" "&amp;Milestones!$AC$80&amp;";  ","")&amp;IF(AND(EDATE($D13,Milestones!$AA$81)&lt;=AsOfDate,IF($R13=0,$X13,IF(AND($T13&lt;&gt;"",EDATE($D13,Milestones!$AA$81)&gt;=$T13),$W13,IF(AND($S13&lt;&gt;"",EDATE($D13,Milestones!$AA$81)&gt;=$S13),$V13,$U13)))=Milestones!$AB$81),UPPER(TEXT(EDATE($D13,Milestones!$AA$81),"dd mmm yy"))&amp;" "&amp;Milestones!$AB$81&amp;" "&amp;Milestones!$AC$81&amp;";  ","")&amp;IF(AND(EDATE($D13,Milestones!$AA$82)&lt;=AsOfDate,IF($R13=0,$X13,IF(AND($T13&lt;&gt;"",EDATE($D13,Milestones!$AA$82)&gt;=$T13),$W13,IF(AND($S13&lt;&gt;"",EDATE($D13,Milestones!$AA$82)&gt;=$S13),$V13,$U13)))=Milestones!$AB$82),UPPER(TEXT(EDATE($D13,Milestones!$AA$82),"dd mmm yy"))&amp;" "&amp;Milestones!$AB$82&amp;" "&amp;Milestones!$AC$82&amp;";  ","")&amp;IF(AND(EDATE($D13,Milestones!$AA$83)&lt;=AsOfDate,IF($R13=0,$X13,IF(AND($T13&lt;&gt;"",EDATE($D13,Milestones!$AA$83)&gt;=$T13),$W13,IF(AND($S13&lt;&gt;"",EDATE($D13,Milestones!$AA$83)&gt;=$S13),$V13,$U13)))=Milestones!$AB$83),UPPER(TEXT(EDATE($D13,Milestones!$AA$83),"dd mmm yy"))&amp;" "&amp;Milestones!$AB$83&amp;" "&amp;Milestones!$AC$83&amp;";  ","")&amp;IF(AND(EDATE($D13,Milestones!$AA$84)&lt;=AsOfDate,IF($R13=0,$X13,IF(AND($T13&lt;&gt;"",EDATE($D13,Milestones!$AA$84)&gt;=$T13),$W13,IF(AND($S13&lt;&gt;"",EDATE($D13,Milestones!$AA$84)&gt;=$S13),$V13,$U13)))=Milestones!$AB$84),UPPER(TEXT(EDATE($D13,Milestones!$AA$84),"dd mmm yy"))&amp;" "&amp;Milestones!$AB$84&amp;" "&amp;Milestones!$AC$84&amp;";  ","")&amp;IF(AND(EDATE($D13,Milestones!$AA$85)&lt;=AsOfDate,IF($R13=0,$X13,IF(AND($T13&lt;&gt;"",EDATE($D13,Milestones!$AA$85)&gt;=$T13),$W13,IF(AND($S13&lt;&gt;"",EDATE($D13,Milestones!$AA$85)&gt;=$S13),$V13,$U13)))=Milestones!$AB$85),UPPER(TEXT(EDATE($D13,Milestones!$AA$85),"dd mmm yy"))&amp;" "&amp;Milestones!$AB$85&amp;" "&amp;Milestones!$AC$85&amp;";  ","")&amp;IF(AND(EDATE($D13,Milestones!$AA$86)&lt;=AsOfDate,IF($R13=0,$X13,IF(AND($T13&lt;&gt;"",EDATE($D13,Milestones!$AA$86)&gt;=$T13),$W13,IF(AND($S13&lt;&gt;"",EDATE($D13,Milestones!$AA$86)&gt;=$S13),$V13,$U13)))=Milestones!$AB$86),UPPER(TEXT(EDATE($D13,Milestones!$AA$86),"dd mmm yy"))&amp;" "&amp;Milestones!$AB$86&amp;" "&amp;Milestones!$AC$86&amp;";  ","")&amp;IF(AND(EDATE($D13,Milestones!$AA$87)&lt;=AsOfDate,IF($R13=0,$X13,IF(AND($T13&lt;&gt;"",EDATE($D13,Milestones!$AA$87)&gt;=$T13),$W13,IF(AND($S13&lt;&gt;"",EDATE($D13,Milestones!$AA$87)&gt;=$S13),$V13,$U13)))=Milestones!$AB$87),UPPER(TEXT(EDATE($D13,Milestones!$AA$87),"dd mmm yy"))&amp;" "&amp;Milestones!$AB$87&amp;" "&amp;Milestones!$AC$87&amp;";  ","")&amp;IF(AND(EDATE($D13,Milestones!$AA$88)&lt;=AsOfDate,IF($R13=0,$X13,IF(AND($T13&lt;&gt;"",EDATE($D13,Milestones!$AA$88)&gt;=$T13),$W13,IF(AND($S13&lt;&gt;"",EDATE($D13,Milestones!$AA$88)&gt;=$S13),$V13,$U13)))=Milestones!$AB$88),UPPER(TEXT(EDATE($D13,Milestones!$AA$88),"dd mmm yy"))&amp;" "&amp;Milestones!$AB$88&amp;" "&amp;Milestones!$AC$88&amp;";  ","")&amp;IF(AND(EDATE($D13,Milestones!$AA$89)&lt;=AsOfDate,IF($R13=0,$X13,IF(AND($T13&lt;&gt;"",EDATE($D13,Milestones!$AA$89)&gt;=$T13),$W13,IF(AND($S13&lt;&gt;"",EDATE($D13,Milestones!$AA$89)&gt;=$S13),$V13,$U13)))=Milestones!$AB$89),UPPER(TEXT(EDATE($D13,Milestones!$AA$89),"dd mmm yy"))&amp;" "&amp;Milestones!$AB$89&amp;" "&amp;Milestones!$AC$89&amp;";  ","")&amp;IF(AND(EDATE($D13,Milestones!$AA$90)&lt;=AsOfDate,IF($R13=0,$X13,IF(AND($T13&lt;&gt;"",EDATE($D13,Milestones!$AA$90)&gt;=$T13),$W13,IF(AND($S13&lt;&gt;"",EDATE($D13,Milestones!$AA$90)&gt;=$S13),$V13,$U13)))=Milestones!$AB$90),UPPER(TEXT(EDATE($D13,Milestones!$AA$90),"dd mmm yy"))&amp;" "&amp;Milestones!$AB$90&amp;" "&amp;Milestones!$AC$90&amp;";  ","")&amp;IF(AND(EDATE($D13,Milestones!$AA$91)&lt;=AsOfDate,IF($R13=0,$X13,IF(AND($T13&lt;&gt;"",EDATE($D13,Milestones!$AA$91)&gt;=$T13),$W13,IF(AND($S13&lt;&gt;"",EDATE($D13,Milestones!$AA$91)&gt;=$S13),$V13,$U13)))=Milestones!$AB$91),UPPER(TEXT(EDATE($D13,Milestones!$AA$91),"dd mmm yy"))&amp;" "&amp;Milestones!$AB$91&amp;" "&amp;Milestones!$AC$91&amp;";  ","")&amp;IF(AND(EDATE($D13,Milestones!$AA$92)&lt;=AsOfDate,IF($R13=0,$X13,IF(AND($T13&lt;&gt;"",EDATE($D13,Milestones!$AA$92)&gt;=$T13),$W13,IF(AND($S13&lt;&gt;"",EDATE($D13,Milestones!$AA$92)&gt;=$S13),$V13,$U13)))=Milestones!$AB$92),UPPER(TEXT(EDATE($D13,Milestones!$AA$92),"dd mmm yy"))&amp;" "&amp;Milestones!$AB$92&amp;" "&amp;Milestones!$AC$92&amp;";  ","")&amp;IF(AND(EDATE($D13,Milestones!$AA$93)&lt;=AsOfDate,IF($R13=0,$X13,IF(AND($T13&lt;&gt;"",EDATE($D13,Milestones!$AA$93)&gt;=$T13),$W13,IF(AND($S13&lt;&gt;"",EDATE($D13,Milestones!$AA$93)&gt;=$S13),$V13,$U13)))=Milestones!$AB$93),UPPER(TEXT(EDATE($D13,Milestones!$AA$93),"dd mmm yy"))&amp;" "&amp;Milestones!$AB$93&amp;" "&amp;Milestones!$AC$93&amp;";  ","")&amp;IF(AND(EDATE($D13,Milestones!$AA$94)&lt;=AsOfDate,IF($R13=0,$X13,IF(AND($T13&lt;&gt;"",EDATE($D13,Milestones!$AA$94)&gt;=$T13),$W13,IF(AND($S13&lt;&gt;"",EDATE($D13,Milestones!$AA$94)&gt;=$S13),$V13,$U13)))=Milestones!$AB$94),UPPER(TEXT(EDATE($D13,Milestones!$AA$94),"dd mmm yy"))&amp;" "&amp;Milestones!$AB$94&amp;" "&amp;Milestones!$AC$94&amp;";  ","")&amp;IF(AND(EDATE($D13,Milestones!$AA$95)&lt;=AsOfDate,IF($R13=0,$X13,IF(AND($T13&lt;&gt;"",EDATE($D13,Milestones!$AA$95)&gt;=$T13),$W13,IF(AND($S13&lt;&gt;"",EDATE($D13,Milestones!$AA$95)&gt;=$S13),$V13,$U13)))=Milestones!$AB$95),UPPER(TEXT(EDATE($D13,Milestones!$AA$95),"dd mmm yy"))&amp;" "&amp;Milestones!$AB$95&amp;" "&amp;Milestones!$AC$95&amp;";  ","")&amp;IF(AND(EDATE($D13,Milestones!$AA$96)&lt;=AsOfDate,IF($R13=0,$X13,IF(AND($T13&lt;&gt;"",EDATE($D13,Milestones!$AA$96)&gt;=$T13),$W13,IF(AND($S13&lt;&gt;"",EDATE($D13,Milestones!$AA$96)&gt;=$S13),$V13,$U13)))=Milestones!$AB$96),UPPER(TEXT(EDATE($D13,Milestones!$AA$96),"dd mmm yy"))&amp;" "&amp;Milestones!$AB$96&amp;" "&amp;Milestones!$AC$96&amp;";  ","")&amp;IF(AND(EDATE($D13,Milestones!$AA$97)&lt;=AsOfDate,IF($R13=0,$X13,IF(AND($T13&lt;&gt;"",EDATE($D13,Milestones!$AA$97)&gt;=$T13),$W13,IF(AND($S13&lt;&gt;"",EDATE($D13,Milestones!$AA$97)&gt;=$S13),$V13,$U13)))=Milestones!$AB$97),UPPER(TEXT(EDATE($D13,Milestones!$AA$97),"dd mmm yy"))&amp;" "&amp;Milestones!$AB$97&amp;" "&amp;Milestones!$AC$97&amp;";  ","")&amp;IF(AND(EDATE($D13,Milestones!$AA$98)&lt;=AsOfDate,IF($R13=0,$X13,IF(AND($T13&lt;&gt;"",EDATE($D13,Milestones!$AA$98)&gt;=$T13),$W13,IF(AND($S13&lt;&gt;"",EDATE($D13,Milestones!$AA$98)&gt;=$S13),$V13,$U13)))=Milestones!$AB$98),UPPER(TEXT(EDATE($D13,Milestones!$AA$98),"dd mmm yy"))&amp;" "&amp;Milestones!$AB$98&amp;" "&amp;Milestones!$AC$98&amp;";  ","")&amp;IF(AND(EDATE($D13,Milestones!$AA$99)&lt;=AsOfDate,IF($R13=0,$X13,IF(AND($T13&lt;&gt;"",EDATE($D13,Milestones!$AA$99)&gt;=$T13),$W13,IF(AND($S13&lt;&gt;"",EDATE($D13,Milestones!$AA$99)&gt;=$S13),$V13,$U13)))=Milestones!$AB$99),UPPER(TEXT(EDATE($D13,Milestones!$AA$99),"dd mmm yy"))&amp;" "&amp;Milestones!$AB$99&amp;" "&amp;Milestones!$AC$99&amp;";  ",""))</f>
        <v/>
      </c>
      <c r="M13" s="0" t="str">
        <f aca="false">IF(OR($A13="",$D13=""),"",IF(AND(EDATE($D13,Milestones!$AA$100)&lt;=AsOfDate,IF($R13=0,$X13,IF(AND($T13&lt;&gt;"",EDATE($D13,Milestones!$AA$100)&gt;=$T13),$W13,IF(AND($S13&lt;&gt;"",EDATE($D13,Milestones!$AA$100)&gt;=$S13),$V13,$U13)))=Milestones!$AB$100),UPPER(TEXT(EDATE($D13,Milestones!$AA$100),"dd mmm yy"))&amp;" "&amp;Milestones!$AB$100&amp;" "&amp;Milestones!$AC$100&amp;";  ","")&amp;IF(AND(EDATE($D13,Milestones!$AA$101)&lt;=AsOfDate,IF($R13=0,$X13,IF(AND($T13&lt;&gt;"",EDATE($D13,Milestones!$AA$101)&gt;=$T13),$W13,IF(AND($S13&lt;&gt;"",EDATE($D13,Milestones!$AA$101)&gt;=$S13),$V13,$U13)))=Milestones!$AB$101),UPPER(TEXT(EDATE($D13,Milestones!$AA$101),"dd mmm yy"))&amp;" "&amp;Milestones!$AB$101&amp;" "&amp;Milestones!$AC$101&amp;";  ","")&amp;IF(AND(EDATE($D13,Milestones!$AA$102)&lt;=AsOfDate,IF($R13=0,$X13,IF(AND($T13&lt;&gt;"",EDATE($D13,Milestones!$AA$102)&gt;=$T13),$W13,IF(AND($S13&lt;&gt;"",EDATE($D13,Milestones!$AA$102)&gt;=$S13),$V13,$U13)))=Milestones!$AB$102),UPPER(TEXT(EDATE($D13,Milestones!$AA$102),"dd mmm yy"))&amp;" "&amp;Milestones!$AB$102&amp;" "&amp;Milestones!$AC$102&amp;";  ","")&amp;IF(AND(EDATE($D13,Milestones!$AA$103)&lt;=AsOfDate,IF($R13=0,$X13,IF(AND($T13&lt;&gt;"",EDATE($D13,Milestones!$AA$103)&gt;=$T13),$W13,IF(AND($S13&lt;&gt;"",EDATE($D13,Milestones!$AA$103)&gt;=$S13),$V13,$U13)))=Milestones!$AB$103),UPPER(TEXT(EDATE($D13,Milestones!$AA$103),"dd mmm yy"))&amp;" "&amp;Milestones!$AB$103&amp;" "&amp;Milestones!$AC$103&amp;";  ","")&amp;IF(AND(EDATE($D13,Milestones!$AA$104)&lt;=AsOfDate,IF($R13=0,$X13,IF(AND($T13&lt;&gt;"",EDATE($D13,Milestones!$AA$104)&gt;=$T13),$W13,IF(AND($S13&lt;&gt;"",EDATE($D13,Milestones!$AA$104)&gt;=$S13),$V13,$U13)))=Milestones!$AB$104),UPPER(TEXT(EDATE($D13,Milestones!$AA$104),"dd mmm yy"))&amp;" "&amp;Milestones!$AB$104&amp;" "&amp;Milestones!$AC$104&amp;";  ","")&amp;IF(AND(EDATE($D13,Milestones!$AA$105)&lt;=AsOfDate,IF($R13=0,$X13,IF(AND($T13&lt;&gt;"",EDATE($D13,Milestones!$AA$105)&gt;=$T13),$W13,IF(AND($S13&lt;&gt;"",EDATE($D13,Milestones!$AA$105)&gt;=$S13),$V13,$U13)))=Milestones!$AB$105),UPPER(TEXT(EDATE($D13,Milestones!$AA$105),"dd mmm yy"))&amp;" "&amp;Milestones!$AB$105&amp;" "&amp;Milestones!$AC$105&amp;";  ","")&amp;IF(AND(EDATE($D13,Milestones!$AA$106)&lt;=AsOfDate,IF($R13=0,$X13,IF(AND($T13&lt;&gt;"",EDATE($D13,Milestones!$AA$106)&gt;=$T13),$W13,IF(AND($S13&lt;&gt;"",EDATE($D13,Milestones!$AA$106)&gt;=$S13),$V13,$U13)))=Milestones!$AB$106),UPPER(TEXT(EDATE($D13,Milestones!$AA$106),"dd mmm yy"))&amp;" "&amp;Milestones!$AB$106&amp;" "&amp;Milestones!$AC$106&amp;";  ","")&amp;IF(AND(EDATE($D13,Milestones!$AA$107)&lt;=AsOfDate,IF($R13=0,$X13,IF(AND($T13&lt;&gt;"",EDATE($D13,Milestones!$AA$107)&gt;=$T13),$W13,IF(AND($S13&lt;&gt;"",EDATE($D13,Milestones!$AA$107)&gt;=$S13),$V13,$U13)))=Milestones!$AB$107),UPPER(TEXT(EDATE($D13,Milestones!$AA$107),"dd mmm yy"))&amp;" "&amp;Milestones!$AB$107&amp;" "&amp;Milestones!$AC$107&amp;";  ","")&amp;IF(AND(EDATE($D13,Milestones!$AA$108)&lt;=AsOfDate,IF($R13=0,$X13,IF(AND($T13&lt;&gt;"",EDATE($D13,Milestones!$AA$108)&gt;=$T13),$W13,IF(AND($S13&lt;&gt;"",EDATE($D13,Milestones!$AA$108)&gt;=$S13),$V13,$U13)))=Milestones!$AB$108),UPPER(TEXT(EDATE($D13,Milestones!$AA$108),"dd mmm yy"))&amp;" "&amp;Milestones!$AB$108&amp;" "&amp;Milestones!$AC$108&amp;";  ","")&amp;IF(AND(EDATE($D13,Milestones!$AA$109)&lt;=AsOfDate,IF($R13=0,$X13,IF(AND($T13&lt;&gt;"",EDATE($D13,Milestones!$AA$109)&gt;=$T13),$W13,IF(AND($S13&lt;&gt;"",EDATE($D13,Milestones!$AA$109)&gt;=$S13),$V13,$U13)))=Milestones!$AB$109),UPPER(TEXT(EDATE($D13,Milestones!$AA$109),"dd mmm yy"))&amp;" "&amp;Milestones!$AB$109&amp;" "&amp;Milestones!$AC$109&amp;";  ","")&amp;IF(AND(EDATE($D13,Milestones!$AA$110)&lt;=AsOfDate,IF($R13=0,$X13,IF(AND($T13&lt;&gt;"",EDATE($D13,Milestones!$AA$110)&gt;=$T13),$W13,IF(AND($S13&lt;&gt;"",EDATE($D13,Milestones!$AA$110)&gt;=$S13),$V13,$U13)))=Milestones!$AB$110),UPPER(TEXT(EDATE($D13,Milestones!$AA$110),"dd mmm yy"))&amp;" "&amp;Milestones!$AB$110&amp;" "&amp;Milestones!$AC$110&amp;";  ","")&amp;IF(AND(EDATE($D13,Milestones!$AA$111)&lt;=AsOfDate,IF($R13=0,$X13,IF(AND($T13&lt;&gt;"",EDATE($D13,Milestones!$AA$111)&gt;=$T13),$W13,IF(AND($S13&lt;&gt;"",EDATE($D13,Milestones!$AA$111)&gt;=$S13),$V13,$U13)))=Milestones!$AB$111),UPPER(TEXT(EDATE($D13,Milestones!$AA$111),"dd mmm yy"))&amp;" "&amp;Milestones!$AB$111&amp;" "&amp;Milestones!$AC$111&amp;";  ","")&amp;IF(AND(EDATE($D13,Milestones!$AA$112)&lt;=AsOfDate,IF($R13=0,$X13,IF(AND($T13&lt;&gt;"",EDATE($D13,Milestones!$AA$112)&gt;=$T13),$W13,IF(AND($S13&lt;&gt;"",EDATE($D13,Milestones!$AA$112)&gt;=$S13),$V13,$U13)))=Milestones!$AB$112),UPPER(TEXT(EDATE($D13,Milestones!$AA$112),"dd mmm yy"))&amp;" "&amp;Milestones!$AB$112&amp;" "&amp;Milestones!$AC$112&amp;";  ","")&amp;IF(AND(EDATE($D13,Milestones!$AA$113)&lt;=AsOfDate,IF($R13=0,$X13,IF(AND($T13&lt;&gt;"",EDATE($D13,Milestones!$AA$113)&gt;=$T13),$W13,IF(AND($S13&lt;&gt;"",EDATE($D13,Milestones!$AA$113)&gt;=$S13),$V13,$U13)))=Milestones!$AB$113),UPPER(TEXT(EDATE($D13,Milestones!$AA$113),"dd mmm yy"))&amp;" "&amp;Milestones!$AB$113&amp;" "&amp;Milestones!$AC$113&amp;";  ","")&amp;IF(AND(EDATE($D13,Milestones!$AA$114)&lt;=AsOfDate,IF($R13=0,$X13,IF(AND($T13&lt;&gt;"",EDATE($D13,Milestones!$AA$114)&gt;=$T13),$W13,IF(AND($S13&lt;&gt;"",EDATE($D13,Milestones!$AA$114)&gt;=$S13),$V13,$U13)))=Milestones!$AB$114),UPPER(TEXT(EDATE($D13,Milestones!$AA$114),"dd mmm yy"))&amp;" "&amp;Milestones!$AB$114&amp;" "&amp;Milestones!$AC$114&amp;";  ","")&amp;IF(AND(EDATE($D13,Milestones!$AA$115)&lt;=AsOfDate,IF($R13=0,$X13,IF(AND($T13&lt;&gt;"",EDATE($D13,Milestones!$AA$115)&gt;=$T13),$W13,IF(AND($S13&lt;&gt;"",EDATE($D13,Milestones!$AA$115)&gt;=$S13),$V13,$U13)))=Milestones!$AB$115),UPPER(TEXT(EDATE($D13,Milestones!$AA$115),"dd mmm yy"))&amp;" "&amp;Milestones!$AB$115&amp;" "&amp;Milestones!$AC$115&amp;";  ","")&amp;IF(AND(EDATE($D13,Milestones!$AA$116)&lt;=AsOfDate,IF($R13=0,$X13,IF(AND($T13&lt;&gt;"",EDATE($D13,Milestones!$AA$116)&gt;=$T13),$W13,IF(AND($S13&lt;&gt;"",EDATE($D13,Milestones!$AA$116)&gt;=$S13),$V13,$U13)))=Milestones!$AB$116),UPPER(TEXT(EDATE($D13,Milestones!$AA$116),"dd mmm yy"))&amp;" "&amp;Milestones!$AB$116&amp;" "&amp;Milestones!$AC$116&amp;";  ","")&amp;IF(AND(EDATE($D13,Milestones!$AA$117)&lt;=AsOfDate,IF($R13=0,$X13,IF(AND($T13&lt;&gt;"",EDATE($D13,Milestones!$AA$117)&gt;=$T13),$W13,IF(AND($S13&lt;&gt;"",EDATE($D13,Milestones!$AA$117)&gt;=$S13),$V13,$U13)))=Milestones!$AB$117),UPPER(TEXT(EDATE($D13,Milestones!$AA$117),"dd mmm yy"))&amp;" "&amp;Milestones!$AB$117&amp;" "&amp;Milestones!$AC$117&amp;";  ","")&amp;IF(AND(EDATE($D13,Milestones!$AA$118)&lt;=AsOfDate,IF($R13=0,$X13,IF(AND($T13&lt;&gt;"",EDATE($D13,Milestones!$AA$118)&gt;=$T13),$W13,IF(AND($S13&lt;&gt;"",EDATE($D13,Milestones!$AA$118)&gt;=$S13),$V13,$U13)))=Milestones!$AB$118),UPPER(TEXT(EDATE($D13,Milestones!$AA$118),"dd mmm yy"))&amp;" "&amp;Milestones!$AB$118&amp;" "&amp;Milestones!$AC$118&amp;";  ","")&amp;IF(AND(EDATE($D13,Milestones!$AA$119)&lt;=AsOfDate,IF($R13=0,$X13,IF(AND($T13&lt;&gt;"",EDATE($D13,Milestones!$AA$119)&gt;=$T13),$W13,IF(AND($S13&lt;&gt;"",EDATE($D13,Milestones!$AA$119)&gt;=$S13),$V13,$U13)))=Milestones!$AB$119),UPPER(TEXT(EDATE($D13,Milestones!$AA$119),"dd mmm yy"))&amp;" "&amp;Milestones!$AB$119&amp;" "&amp;Milestones!$AC$119&amp;";  ",""))</f>
        <v/>
      </c>
      <c r="N13" s="0" t="str">
        <f aca="false">IF(OR($A13="",$D13=""),"",IF(AND(EDATE($D13,Milestones!$AA$120)&lt;=AsOfDate,IF($R13=0,$X13,IF(AND($T13&lt;&gt;"",EDATE($D13,Milestones!$AA$120)&gt;=$T13),$W13,IF(AND($S13&lt;&gt;"",EDATE($D13,Milestones!$AA$120)&gt;=$S13),$V13,$U13)))=Milestones!$AB$120),UPPER(TEXT(EDATE($D13,Milestones!$AA$120),"dd mmm yy"))&amp;" "&amp;Milestones!$AB$120&amp;" "&amp;Milestones!$AC$120&amp;";  ","")&amp;IF(AND(EDATE($D13,Milestones!$AA$121)&lt;=AsOfDate,IF($R13=0,$X13,IF(AND($T13&lt;&gt;"",EDATE($D13,Milestones!$AA$121)&gt;=$T13),$W13,IF(AND($S13&lt;&gt;"",EDATE($D13,Milestones!$AA$121)&gt;=$S13),$V13,$U13)))=Milestones!$AB$121),UPPER(TEXT(EDATE($D13,Milestones!$AA$121),"dd mmm yy"))&amp;" "&amp;Milestones!$AB$121&amp;" "&amp;Milestones!$AC$121&amp;";  ","")&amp;IF(AND(EDATE($D13,Milestones!$AA$122)&lt;=AsOfDate,IF($R13=0,$X13,IF(AND($T13&lt;&gt;"",EDATE($D13,Milestones!$AA$122)&gt;=$T13),$W13,IF(AND($S13&lt;&gt;"",EDATE($D13,Milestones!$AA$122)&gt;=$S13),$V13,$U13)))=Milestones!$AB$122),UPPER(TEXT(EDATE($D13,Milestones!$AA$122),"dd mmm yy"))&amp;" "&amp;Milestones!$AB$122&amp;" "&amp;Milestones!$AC$122&amp;";  ","")&amp;IF(AND(EDATE($D13,Milestones!$AA$123)&lt;=AsOfDate,IF($R13=0,$X13,IF(AND($T13&lt;&gt;"",EDATE($D13,Milestones!$AA$123)&gt;=$T13),$W13,IF(AND($S13&lt;&gt;"",EDATE($D13,Milestones!$AA$123)&gt;=$S13),$V13,$U13)))=Milestones!$AB$123),UPPER(TEXT(EDATE($D13,Milestones!$AA$123),"dd mmm yy"))&amp;" "&amp;Milestones!$AB$123&amp;" "&amp;Milestones!$AC$123&amp;";  ","")&amp;IF(AND(EDATE($D13,Milestones!$AA$124)&lt;=AsOfDate,IF($R13=0,$X13,IF(AND($T13&lt;&gt;"",EDATE($D13,Milestones!$AA$124)&gt;=$T13),$W13,IF(AND($S13&lt;&gt;"",EDATE($D13,Milestones!$AA$124)&gt;=$S13),$V13,$U13)))=Milestones!$AB$124),UPPER(TEXT(EDATE($D13,Milestones!$AA$124),"dd mmm yy"))&amp;" "&amp;Milestones!$AB$124&amp;" "&amp;Milestones!$AC$124&amp;";  ","")&amp;IF(AND(EDATE($D13,Milestones!$AA$125)&lt;=AsOfDate,IF($R13=0,$X13,IF(AND($T13&lt;&gt;"",EDATE($D13,Milestones!$AA$125)&gt;=$T13),$W13,IF(AND($S13&lt;&gt;"",EDATE($D13,Milestones!$AA$125)&gt;=$S13),$V13,$U13)))=Milestones!$AB$125),UPPER(TEXT(EDATE($D13,Milestones!$AA$125),"dd mmm yy"))&amp;" "&amp;Milestones!$AB$125&amp;" "&amp;Milestones!$AC$125&amp;";  ","")&amp;IF(AND(EDATE($D13,Milestones!$AA$126)&lt;=AsOfDate,IF($R13=0,$X13,IF(AND($T13&lt;&gt;"",EDATE($D13,Milestones!$AA$126)&gt;=$T13),$W13,IF(AND($S13&lt;&gt;"",EDATE($D13,Milestones!$AA$126)&gt;=$S13),$V13,$U13)))=Milestones!$AB$126),UPPER(TEXT(EDATE($D13,Milestones!$AA$126),"dd mmm yy"))&amp;" "&amp;Milestones!$AB$126&amp;" "&amp;Milestones!$AC$126&amp;";  ","")&amp;IF(AND(EDATE($D13,Milestones!$AA$127)&lt;=AsOfDate,IF($R13=0,$X13,IF(AND($T13&lt;&gt;"",EDATE($D13,Milestones!$AA$127)&gt;=$T13),$W13,IF(AND($S13&lt;&gt;"",EDATE($D13,Milestones!$AA$127)&gt;=$S13),$V13,$U13)))=Milestones!$AB$127),UPPER(TEXT(EDATE($D13,Milestones!$AA$127),"dd mmm yy"))&amp;" "&amp;Milestones!$AB$127&amp;" "&amp;Milestones!$AC$127&amp;";  ","")&amp;IF(AND(EDATE($D13,Milestones!$AA$128)&lt;=AsOfDate,IF($R13=0,$X13,IF(AND($T13&lt;&gt;"",EDATE($D13,Milestones!$AA$128)&gt;=$T13),$W13,IF(AND($S13&lt;&gt;"",EDATE($D13,Milestones!$AA$128)&gt;=$S13),$V13,$U13)))=Milestones!$AB$128),UPPER(TEXT(EDATE($D13,Milestones!$AA$128),"dd mmm yy"))&amp;" "&amp;Milestones!$AB$128&amp;" "&amp;Milestones!$AC$128&amp;";  ","")&amp;IF(AND(EDATE($D13,Milestones!$AA$129)&lt;=AsOfDate,IF($R13=0,$X13,IF(AND($T13&lt;&gt;"",EDATE($D13,Milestones!$AA$129)&gt;=$T13),$W13,IF(AND($S13&lt;&gt;"",EDATE($D13,Milestones!$AA$129)&gt;=$S13),$V13,$U13)))=Milestones!$AB$129),UPPER(TEXT(EDATE($D13,Milestones!$AA$129),"dd mmm yy"))&amp;" "&amp;Milestones!$AB$129&amp;" "&amp;Milestones!$AC$129&amp;";  ","")&amp;IF(AND(EDATE($D13,Milestones!$AA$130)&lt;=AsOfDate,IF($R13=0,$X13,IF(AND($T13&lt;&gt;"",EDATE($D13,Milestones!$AA$130)&gt;=$T13),$W13,IF(AND($S13&lt;&gt;"",EDATE($D13,Milestones!$AA$130)&gt;=$S13),$V13,$U13)))=Milestones!$AB$130),UPPER(TEXT(EDATE($D13,Milestones!$AA$130),"dd mmm yy"))&amp;" "&amp;Milestones!$AB$130&amp;" "&amp;Milestones!$AC$130&amp;";  ","")&amp;IF(AND(EDATE($D13,Milestones!$AA$131)&lt;=AsOfDate,IF($R13=0,$X13,IF(AND($T13&lt;&gt;"",EDATE($D13,Milestones!$AA$131)&gt;=$T13),$W13,IF(AND($S13&lt;&gt;"",EDATE($D13,Milestones!$AA$131)&gt;=$S13),$V13,$U13)))=Milestones!$AB$131),UPPER(TEXT(EDATE($D13,Milestones!$AA$131),"dd mmm yy"))&amp;" "&amp;Milestones!$AB$131&amp;" "&amp;Milestones!$AC$131&amp;";  ","")&amp;IF(AND(EDATE($D13,Milestones!$AA$132)&lt;=AsOfDate,IF($R13=0,$X13,IF(AND($T13&lt;&gt;"",EDATE($D13,Milestones!$AA$132)&gt;=$T13),$W13,IF(AND($S13&lt;&gt;"",EDATE($D13,Milestones!$AA$132)&gt;=$S13),$V13,$U13)))=Milestones!$AB$132),UPPER(TEXT(EDATE($D13,Milestones!$AA$132),"dd mmm yy"))&amp;" "&amp;Milestones!$AB$132&amp;" "&amp;Milestones!$AC$132&amp;";  ","")&amp;IF(AND(EDATE($D13,Milestones!$AA$133)&lt;=AsOfDate,IF($R13=0,$X13,IF(AND($T13&lt;&gt;"",EDATE($D13,Milestones!$AA$133)&gt;=$T13),$W13,IF(AND($S13&lt;&gt;"",EDATE($D13,Milestones!$AA$133)&gt;=$S13),$V13,$U13)))=Milestones!$AB$133),UPPER(TEXT(EDATE($D13,Milestones!$AA$133),"dd mmm yy"))&amp;" "&amp;Milestones!$AB$133&amp;" "&amp;Milestones!$AC$133&amp;";  ","")&amp;IF(AND(EDATE($D13,Milestones!$AA$134)&lt;=AsOfDate,IF($R13=0,$X13,IF(AND($T13&lt;&gt;"",EDATE($D13,Milestones!$AA$134)&gt;=$T13),$W13,IF(AND($S13&lt;&gt;"",EDATE($D13,Milestones!$AA$134)&gt;=$S13),$V13,$U13)))=Milestones!$AB$134),UPPER(TEXT(EDATE($D13,Milestones!$AA$134),"dd mmm yy"))&amp;" "&amp;Milestones!$AB$134&amp;" "&amp;Milestones!$AC$134&amp;";  ","")&amp;IF(AND(EDATE($D13,Milestones!$AA$135)&lt;=AsOfDate,IF($R13=0,$X13,IF(AND($T13&lt;&gt;"",EDATE($D13,Milestones!$AA$135)&gt;=$T13),$W13,IF(AND($S13&lt;&gt;"",EDATE($D13,Milestones!$AA$135)&gt;=$S13),$V13,$U13)))=Milestones!$AB$135),UPPER(TEXT(EDATE($D13,Milestones!$AA$135),"dd mmm yy"))&amp;" "&amp;Milestones!$AB$135&amp;" "&amp;Milestones!$AC$135&amp;";  ","")&amp;IF(AND(EDATE($D13,Milestones!$AA$136)&lt;=AsOfDate,IF($R13=0,$X13,IF(AND($T13&lt;&gt;"",EDATE($D13,Milestones!$AA$136)&gt;=$T13),$W13,IF(AND($S13&lt;&gt;"",EDATE($D13,Milestones!$AA$136)&gt;=$S13),$V13,$U13)))=Milestones!$AB$136),UPPER(TEXT(EDATE($D13,Milestones!$AA$136),"dd mmm yy"))&amp;" "&amp;Milestones!$AB$136&amp;" "&amp;Milestones!$AC$136&amp;";  ","")&amp;IF(AND(EDATE($D13,Milestones!$AA$137)&lt;=AsOfDate,IF($R13=0,$X13,IF(AND($T13&lt;&gt;"",EDATE($D13,Milestones!$AA$137)&gt;=$T13),$W13,IF(AND($S13&lt;&gt;"",EDATE($D13,Milestones!$AA$137)&gt;=$S13),$V13,$U13)))=Milestones!$AB$137),UPPER(TEXT(EDATE($D13,Milestones!$AA$137),"dd mmm yy"))&amp;" "&amp;Milestones!$AB$137&amp;" "&amp;Milestones!$AC$137&amp;";  ","")&amp;IF(AND(EDATE($D13,Milestones!$AA$138)&lt;=AsOfDate,IF($R13=0,$X13,IF(AND($T13&lt;&gt;"",EDATE($D13,Milestones!$AA$138)&gt;=$T13),$W13,IF(AND($S13&lt;&gt;"",EDATE($D13,Milestones!$AA$138)&gt;=$S13),$V13,$U13)))=Milestones!$AB$138),UPPER(TEXT(EDATE($D13,Milestones!$AA$138),"dd mmm yy"))&amp;" "&amp;Milestones!$AB$138&amp;" "&amp;Milestones!$AC$138&amp;";  ","")&amp;IF(AND(EDATE($D13,Milestones!$AA$139)&lt;=AsOfDate,IF($R13=0,$X13,IF(AND($T13&lt;&gt;"",EDATE($D13,Milestones!$AA$139)&gt;=$T13),$W13,IF(AND($S13&lt;&gt;"",EDATE($D13,Milestones!$AA$139)&gt;=$S13),$V13,$U13)))=Milestones!$AB$139),UPPER(TEXT(EDATE($D13,Milestones!$AA$139),"dd mmm yy"))&amp;" "&amp;Milestones!$AB$139&amp;" "&amp;Milestones!$AC$139&amp;";  ",""))</f>
        <v/>
      </c>
      <c r="O13" s="0" t="str">
        <f aca="false">IF(OR($A13="",$D13=""),"",IF(AND(EDATE($D13,Milestones!$AA$140)&lt;=AsOfDate,IF($R13=0,$X13,IF(AND($T13&lt;&gt;"",EDATE($D13,Milestones!$AA$140)&gt;=$T13),$W13,IF(AND($S13&lt;&gt;"",EDATE($D13,Milestones!$AA$140)&gt;=$S13),$V13,$U13)))=Milestones!$AB$140),UPPER(TEXT(EDATE($D13,Milestones!$AA$140),"dd mmm yy"))&amp;" "&amp;Milestones!$AB$140&amp;" "&amp;Milestones!$AC$140&amp;";  ","")&amp;IF(AND(EDATE($D13,Milestones!$AA$141)&lt;=AsOfDate,IF($R13=0,$X13,IF(AND($T13&lt;&gt;"",EDATE($D13,Milestones!$AA$141)&gt;=$T13),$W13,IF(AND($S13&lt;&gt;"",EDATE($D13,Milestones!$AA$141)&gt;=$S13),$V13,$U13)))=Milestones!$AB$141),UPPER(TEXT(EDATE($D13,Milestones!$AA$141),"dd mmm yy"))&amp;" "&amp;Milestones!$AB$141&amp;" "&amp;Milestones!$AC$141&amp;";  ","")&amp;IF(AND(EDATE($D13,Milestones!$AA$142)&lt;=AsOfDate,IF($R13=0,$X13,IF(AND($T13&lt;&gt;"",EDATE($D13,Milestones!$AA$142)&gt;=$T13),$W13,IF(AND($S13&lt;&gt;"",EDATE($D13,Milestones!$AA$142)&gt;=$S13),$V13,$U13)))=Milestones!$AB$142),UPPER(TEXT(EDATE($D13,Milestones!$AA$142),"dd mmm yy"))&amp;" "&amp;Milestones!$AB$142&amp;" "&amp;Milestones!$AC$142&amp;";  ","")&amp;IF(AND(EDATE($D13,Milestones!$AA$143)&lt;=AsOfDate,IF($R13=0,$X13,IF(AND($T13&lt;&gt;"",EDATE($D13,Milestones!$AA$143)&gt;=$T13),$W13,IF(AND($S13&lt;&gt;"",EDATE($D13,Milestones!$AA$143)&gt;=$S13),$V13,$U13)))=Milestones!$AB$143),UPPER(TEXT(EDATE($D13,Milestones!$AA$143),"dd mmm yy"))&amp;" "&amp;Milestones!$AB$143&amp;" "&amp;Milestones!$AC$143&amp;";  ","")&amp;IF(AND(EDATE($D13,Milestones!$AA$144)&lt;=AsOfDate,IF($R13=0,$X13,IF(AND($T13&lt;&gt;"",EDATE($D13,Milestones!$AA$144)&gt;=$T13),$W13,IF(AND($S13&lt;&gt;"",EDATE($D13,Milestones!$AA$144)&gt;=$S13),$V13,$U13)))=Milestones!$AB$144),UPPER(TEXT(EDATE($D13,Milestones!$AA$144),"dd mmm yy"))&amp;" "&amp;Milestones!$AB$144&amp;" "&amp;Milestones!$AC$144&amp;";  ","")&amp;IF(AND(EDATE($D13,Milestones!$AA$145)&lt;=AsOfDate,IF($R13=0,$X13,IF(AND($T13&lt;&gt;"",EDATE($D13,Milestones!$AA$145)&gt;=$T13),$W13,IF(AND($S13&lt;&gt;"",EDATE($D13,Milestones!$AA$145)&gt;=$S13),$V13,$U13)))=Milestones!$AB$145),UPPER(TEXT(EDATE($D13,Milestones!$AA$145),"dd mmm yy"))&amp;" "&amp;Milestones!$AB$145&amp;" "&amp;Milestones!$AC$145&amp;";  ","")&amp;IF(AND(EDATE($D13,Milestones!$AA$146)&lt;=AsOfDate,IF($R13=0,$X13,IF(AND($T13&lt;&gt;"",EDATE($D13,Milestones!$AA$146)&gt;=$T13),$W13,IF(AND($S13&lt;&gt;"",EDATE($D13,Milestones!$AA$146)&gt;=$S13),$V13,$U13)))=Milestones!$AB$146),UPPER(TEXT(EDATE($D13,Milestones!$AA$146),"dd mmm yy"))&amp;" "&amp;Milestones!$AB$146&amp;" "&amp;Milestones!$AC$146&amp;";  ","")&amp;IF(AND(EDATE($D13,Milestones!$AA$147)&lt;=AsOfDate,IF($R13=0,$X13,IF(AND($T13&lt;&gt;"",EDATE($D13,Milestones!$AA$147)&gt;=$T13),$W13,IF(AND($S13&lt;&gt;"",EDATE($D13,Milestones!$AA$147)&gt;=$S13),$V13,$U13)))=Milestones!$AB$147),UPPER(TEXT(EDATE($D13,Milestones!$AA$147),"dd mmm yy"))&amp;" "&amp;Milestones!$AB$147&amp;" "&amp;Milestones!$AC$147&amp;";  ","")&amp;IF(AND(EDATE($D13,Milestones!$AA$148)&lt;=AsOfDate,IF($R13=0,$X13,IF(AND($T13&lt;&gt;"",EDATE($D13,Milestones!$AA$148)&gt;=$T13),$W13,IF(AND($S13&lt;&gt;"",EDATE($D13,Milestones!$AA$148)&gt;=$S13),$V13,$U13)))=Milestones!$AB$148),UPPER(TEXT(EDATE($D13,Milestones!$AA$148),"dd mmm yy"))&amp;" "&amp;Milestones!$AB$148&amp;" "&amp;Milestones!$AC$148&amp;";  ","")&amp;IF(AND(EDATE($D13,Milestones!$AA$149)&lt;=AsOfDate,IF($R13=0,$X13,IF(AND($T13&lt;&gt;"",EDATE($D13,Milestones!$AA$149)&gt;=$T13),$W13,IF(AND($S13&lt;&gt;"",EDATE($D13,Milestones!$AA$149)&gt;=$S13),$V13,$U13)))=Milestones!$AB$149),UPPER(TEXT(EDATE($D13,Milestones!$AA$149),"dd mmm yy"))&amp;" "&amp;Milestones!$AB$149&amp;" "&amp;Milestones!$AC$149&amp;";  ","")&amp;IF(AND(EDATE($D13,Milestones!$AA$150)&lt;=AsOfDate,IF($R13=0,$X13,IF(AND($T13&lt;&gt;"",EDATE($D13,Milestones!$AA$150)&gt;=$T13),$W13,IF(AND($S13&lt;&gt;"",EDATE($D13,Milestones!$AA$150)&gt;=$S13),$V13,$U13)))=Milestones!$AB$150),UPPER(TEXT(EDATE($D13,Milestones!$AA$150),"dd mmm yy"))&amp;" "&amp;Milestones!$AB$150&amp;" "&amp;Milestones!$AC$150&amp;";  ","")&amp;IF(AND(EDATE($D13,Milestones!$AA$151)&lt;=AsOfDate,IF($R13=0,$X13,IF(AND($T13&lt;&gt;"",EDATE($D13,Milestones!$AA$151)&gt;=$T13),$W13,IF(AND($S13&lt;&gt;"",EDATE($D13,Milestones!$AA$151)&gt;=$S13),$V13,$U13)))=Milestones!$AB$151),UPPER(TEXT(EDATE($D13,Milestones!$AA$151),"dd mmm yy"))&amp;" "&amp;Milestones!$AB$151&amp;" "&amp;Milestones!$AC$151&amp;";  ","")&amp;IF(AND(EDATE($D13,Milestones!$AA$152)&lt;=AsOfDate,IF($R13=0,$X13,IF(AND($T13&lt;&gt;"",EDATE($D13,Milestones!$AA$152)&gt;=$T13),$W13,IF(AND($S13&lt;&gt;"",EDATE($D13,Milestones!$AA$152)&gt;=$S13),$V13,$U13)))=Milestones!$AB$152),UPPER(TEXT(EDATE($D13,Milestones!$AA$152),"dd mmm yy"))&amp;" "&amp;Milestones!$AB$152&amp;" "&amp;Milestones!$AC$152&amp;";  ","")&amp;IF(AND(EDATE($D13,Milestones!$AA$153)&lt;=AsOfDate,IF($R13=0,$X13,IF(AND($T13&lt;&gt;"",EDATE($D13,Milestones!$AA$153)&gt;=$T13),$W13,IF(AND($S13&lt;&gt;"",EDATE($D13,Milestones!$AA$153)&gt;=$S13),$V13,$U13)))=Milestones!$AB$153),UPPER(TEXT(EDATE($D13,Milestones!$AA$153),"dd mmm yy"))&amp;" "&amp;Milestones!$AB$153&amp;" "&amp;Milestones!$AC$153&amp;";  ","")&amp;IF(AND(EDATE($D13,Milestones!$AA$154)&lt;=AsOfDate,IF($R13=0,$X13,IF(AND($T13&lt;&gt;"",EDATE($D13,Milestones!$AA$154)&gt;=$T13),$W13,IF(AND($S13&lt;&gt;"",EDATE($D13,Milestones!$AA$154)&gt;=$S13),$V13,$U13)))=Milestones!$AB$154),UPPER(TEXT(EDATE($D13,Milestones!$AA$154),"dd mmm yy"))&amp;" "&amp;Milestones!$AB$154&amp;" "&amp;Milestones!$AC$154&amp;";  ","")&amp;IF(AND(EDATE($D13,Milestones!$AA$155)&lt;=AsOfDate,IF($R13=0,$X13,IF(AND($T13&lt;&gt;"",EDATE($D13,Milestones!$AA$155)&gt;=$T13),$W13,IF(AND($S13&lt;&gt;"",EDATE($D13,Milestones!$AA$155)&gt;=$S13),$V13,$U13)))=Milestones!$AB$155),UPPER(TEXT(EDATE($D13,Milestones!$AA$155),"dd mmm yy"))&amp;" "&amp;Milestones!$AB$155&amp;" "&amp;Milestones!$AC$155&amp;";  ","")&amp;IF(AND(EDATE($D13,Milestones!$AA$156)&lt;=AsOfDate,IF($R13=0,$X13,IF(AND($T13&lt;&gt;"",EDATE($D13,Milestones!$AA$156)&gt;=$T13),$W13,IF(AND($S13&lt;&gt;"",EDATE($D13,Milestones!$AA$156)&gt;=$S13),$V13,$U13)))=Milestones!$AB$156),UPPER(TEXT(EDATE($D13,Milestones!$AA$156),"dd mmm yy"))&amp;" "&amp;Milestones!$AB$156&amp;" "&amp;Milestones!$AC$156&amp;";  ","")&amp;IF(AND(EDATE($D13,Milestones!$AA$157)&lt;=AsOfDate,IF($R13=0,$X13,IF(AND($T13&lt;&gt;"",EDATE($D13,Milestones!$AA$157)&gt;=$T13),$W13,IF(AND($S13&lt;&gt;"",EDATE($D13,Milestones!$AA$157)&gt;=$S13),$V13,$U13)))=Milestones!$AB$157),UPPER(TEXT(EDATE($D13,Milestones!$AA$157),"dd mmm yy"))&amp;" "&amp;Milestones!$AB$157&amp;" "&amp;Milestones!$AC$157&amp;";  ","")&amp;IF(AND(EDATE($D13,Milestones!$AA$158)&lt;=AsOfDate,IF($R13=0,$X13,IF(AND($T13&lt;&gt;"",EDATE($D13,Milestones!$AA$158)&gt;=$T13),$W13,IF(AND($S13&lt;&gt;"",EDATE($D13,Milestones!$AA$158)&gt;=$S13),$V13,$U13)))=Milestones!$AB$158),UPPER(TEXT(EDATE($D13,Milestones!$AA$158),"dd mmm yy"))&amp;" "&amp;Milestones!$AB$158&amp;" "&amp;Milestones!$AC$158&amp;";  ","")&amp;IF(AND(EDATE($D13,Milestones!$AA$159)&lt;=AsOfDate,IF($R13=0,$X13,IF(AND($T13&lt;&gt;"",EDATE($D13,Milestones!$AA$159)&gt;=$T13),$W13,IF(AND($S13&lt;&gt;"",EDATE($D13,Milestones!$AA$159)&gt;=$S13),$V13,$U13)))=Milestones!$AB$159),UPPER(TEXT(EDATE($D13,Milestones!$AA$159),"dd mmm yy"))&amp;" "&amp;Milestones!$AB$159&amp;" "&amp;Milestones!$AC$159&amp;";  ",""))</f>
        <v/>
      </c>
      <c r="P13" s="0" t="str">
        <f aca="false">IF(OR($A13="",$D13=""),"",IF(AND(EDATE($D13,Milestones!$AA$160)&lt;=AsOfDate,IF($R13=0,$X13,IF(AND($T13&lt;&gt;"",EDATE($D13,Milestones!$AA$160)&gt;=$T13),$W13,IF(AND($S13&lt;&gt;"",EDATE($D13,Milestones!$AA$160)&gt;=$S13),$V13,$U13)))=Milestones!$AB$160),UPPER(TEXT(EDATE($D13,Milestones!$AA$160),"dd mmm yy"))&amp;" "&amp;Milestones!$AB$160&amp;" "&amp;Milestones!$AC$160&amp;";  ","")&amp;IF(AND(EDATE($D13,Milestones!$AA$161)&lt;=AsOfDate,IF($R13=0,$X13,IF(AND($T13&lt;&gt;"",EDATE($D13,Milestones!$AA$161)&gt;=$T13),$W13,IF(AND($S13&lt;&gt;"",EDATE($D13,Milestones!$AA$161)&gt;=$S13),$V13,$U13)))=Milestones!$AB$161),UPPER(TEXT(EDATE($D13,Milestones!$AA$161),"dd mmm yy"))&amp;" "&amp;Milestones!$AB$161&amp;" "&amp;Milestones!$AC$161&amp;";  ","")&amp;IF(AND(EDATE($D13,Milestones!$AA$162)&lt;=AsOfDate,IF($R13=0,$X13,IF(AND($T13&lt;&gt;"",EDATE($D13,Milestones!$AA$162)&gt;=$T13),$W13,IF(AND($S13&lt;&gt;"",EDATE($D13,Milestones!$AA$162)&gt;=$S13),$V13,$U13)))=Milestones!$AB$162),UPPER(TEXT(EDATE($D13,Milestones!$AA$162),"dd mmm yy"))&amp;" "&amp;Milestones!$AB$162&amp;" "&amp;Milestones!$AC$162&amp;";  ","")&amp;IF(AND(EDATE($D13,Milestones!$AA$163)&lt;=AsOfDate,IF($R13=0,$X13,IF(AND($T13&lt;&gt;"",EDATE($D13,Milestones!$AA$163)&gt;=$T13),$W13,IF(AND($S13&lt;&gt;"",EDATE($D13,Milestones!$AA$163)&gt;=$S13),$V13,$U13)))=Milestones!$AB$163),UPPER(TEXT(EDATE($D13,Milestones!$AA$163),"dd mmm yy"))&amp;" "&amp;Milestones!$AB$163&amp;" "&amp;Milestones!$AC$163&amp;";  ","")&amp;IF(AND(EDATE($D13,Milestones!$AA$164)&lt;=AsOfDate,IF($R13=0,$X13,IF(AND($T13&lt;&gt;"",EDATE($D13,Milestones!$AA$164)&gt;=$T13),$W13,IF(AND($S13&lt;&gt;"",EDATE($D13,Milestones!$AA$164)&gt;=$S13),$V13,$U13)))=Milestones!$AB$164),UPPER(TEXT(EDATE($D13,Milestones!$AA$164),"dd mmm yy"))&amp;" "&amp;Milestones!$AB$164&amp;" "&amp;Milestones!$AC$164&amp;";  ","")&amp;IF(AND(EDATE($D13,Milestones!$AA$165)&lt;=AsOfDate,IF($R13=0,$X13,IF(AND($T13&lt;&gt;"",EDATE($D13,Milestones!$AA$165)&gt;=$T13),$W13,IF(AND($S13&lt;&gt;"",EDATE($D13,Milestones!$AA$165)&gt;=$S13),$V13,$U13)))=Milestones!$AB$165),UPPER(TEXT(EDATE($D13,Milestones!$AA$165),"dd mmm yy"))&amp;" "&amp;Milestones!$AB$165&amp;" "&amp;Milestones!$AC$165&amp;";  ","")&amp;IF(AND(EDATE($D13,Milestones!$AA$166)&lt;=AsOfDate,IF($R13=0,$X13,IF(AND($T13&lt;&gt;"",EDATE($D13,Milestones!$AA$166)&gt;=$T13),$W13,IF(AND($S13&lt;&gt;"",EDATE($D13,Milestones!$AA$166)&gt;=$S13),$V13,$U13)))=Milestones!$AB$166),UPPER(TEXT(EDATE($D13,Milestones!$AA$166),"dd mmm yy"))&amp;" "&amp;Milestones!$AB$166&amp;" "&amp;Milestones!$AC$166&amp;";  ","")&amp;IF(AND(EDATE($D13,Milestones!$AA$167)&lt;=AsOfDate,IF($R13=0,$X13,IF(AND($T13&lt;&gt;"",EDATE($D13,Milestones!$AA$167)&gt;=$T13),$W13,IF(AND($S13&lt;&gt;"",EDATE($D13,Milestones!$AA$167)&gt;=$S13),$V13,$U13)))=Milestones!$AB$167),UPPER(TEXT(EDATE($D13,Milestones!$AA$167),"dd mmm yy"))&amp;" "&amp;Milestones!$AB$167&amp;" "&amp;Milestones!$AC$167&amp;";  ","")&amp;IF(AND(EDATE($D13,Milestones!$AA$168)&lt;=AsOfDate,IF($R13=0,$X13,IF(AND($T13&lt;&gt;"",EDATE($D13,Milestones!$AA$168)&gt;=$T13),$W13,IF(AND($S13&lt;&gt;"",EDATE($D13,Milestones!$AA$168)&gt;=$S13),$V13,$U13)))=Milestones!$AB$168),UPPER(TEXT(EDATE($D13,Milestones!$AA$168),"dd mmm yy"))&amp;" "&amp;Milestones!$AB$168&amp;" "&amp;Milestones!$AC$168&amp;";  ","")&amp;IF(AND(EDATE($D13,Milestones!$AA$169)&lt;=AsOfDate,IF($R13=0,$X13,IF(AND($T13&lt;&gt;"",EDATE($D13,Milestones!$AA$169)&gt;=$T13),$W13,IF(AND($S13&lt;&gt;"",EDATE($D13,Milestones!$AA$169)&gt;=$S13),$V13,$U13)))=Milestones!$AB$169),UPPER(TEXT(EDATE($D13,Milestones!$AA$169),"dd mmm yy"))&amp;" "&amp;Milestones!$AB$169&amp;" "&amp;Milestones!$AC$169&amp;";  ","")&amp;IF(AND(EDATE($D13,Milestones!$AA$170)&lt;=AsOfDate,IF($R13=0,$X13,IF(AND($T13&lt;&gt;"",EDATE($D13,Milestones!$AA$170)&gt;=$T13),$W13,IF(AND($S13&lt;&gt;"",EDATE($D13,Milestones!$AA$170)&gt;=$S13),$V13,$U13)))=Milestones!$AB$170),UPPER(TEXT(EDATE($D13,Milestones!$AA$170),"dd mmm yy"))&amp;" "&amp;Milestones!$AB$170&amp;" "&amp;Milestones!$AC$170&amp;";  ","")&amp;IF(AND(EDATE($D13,Milestones!$AA$171)&lt;=AsOfDate,IF($R13=0,$X13,IF(AND($T13&lt;&gt;"",EDATE($D13,Milestones!$AA$171)&gt;=$T13),$W13,IF(AND($S13&lt;&gt;"",EDATE($D13,Milestones!$AA$171)&gt;=$S13),$V13,$U13)))=Milestones!$AB$171),UPPER(TEXT(EDATE($D13,Milestones!$AA$171),"dd mmm yy"))&amp;" "&amp;Milestones!$AB$171&amp;" "&amp;Milestones!$AC$171&amp;";  ","")&amp;IF(AND(EDATE($D13,Milestones!$AA$172)&lt;=AsOfDate,IF($R13=0,$X13,IF(AND($T13&lt;&gt;"",EDATE($D13,Milestones!$AA$172)&gt;=$T13),$W13,IF(AND($S13&lt;&gt;"",EDATE($D13,Milestones!$AA$172)&gt;=$S13),$V13,$U13)))=Milestones!$AB$172),UPPER(TEXT(EDATE($D13,Milestones!$AA$172),"dd mmm yy"))&amp;" "&amp;Milestones!$AB$172&amp;" "&amp;Milestones!$AC$172&amp;";  ","")&amp;IF(AND(EDATE($D13,Milestones!$AA$173)&lt;=AsOfDate,IF($R13=0,$X13,IF(AND($T13&lt;&gt;"",EDATE($D13,Milestones!$AA$173)&gt;=$T13),$W13,IF(AND($S13&lt;&gt;"",EDATE($D13,Milestones!$AA$173)&gt;=$S13),$V13,$U13)))=Milestones!$AB$173),UPPER(TEXT(EDATE($D13,Milestones!$AA$173),"dd mmm yy"))&amp;" "&amp;Milestones!$AB$173&amp;" "&amp;Milestones!$AC$173&amp;";  ","")&amp;IF(AND(EDATE($D13,Milestones!$AA$174)&lt;=AsOfDate,IF($R13=0,$X13,IF(AND($T13&lt;&gt;"",EDATE($D13,Milestones!$AA$174)&gt;=$T13),$W13,IF(AND($S13&lt;&gt;"",EDATE($D13,Milestones!$AA$174)&gt;=$S13),$V13,$U13)))=Milestones!$AB$174),UPPER(TEXT(EDATE($D13,Milestones!$AA$174),"dd mmm yy"))&amp;" "&amp;Milestones!$AB$174&amp;" "&amp;Milestones!$AC$174&amp;";  ","")&amp;IF(AND(EDATE($D13,Milestones!$AA$175)&lt;=AsOfDate,IF($R13=0,$X13,IF(AND($T13&lt;&gt;"",EDATE($D13,Milestones!$AA$175)&gt;=$T13),$W13,IF(AND($S13&lt;&gt;"",EDATE($D13,Milestones!$AA$175)&gt;=$S13),$V13,$U13)))=Milestones!$AB$175),UPPER(TEXT(EDATE($D13,Milestones!$AA$175),"dd mmm yy"))&amp;" "&amp;Milestones!$AB$175&amp;" "&amp;Milestones!$AC$175&amp;";  ","")&amp;IF(AND(EDATE($D13,Milestones!$AA$176)&lt;=AsOfDate,IF($R13=0,$X13,IF(AND($T13&lt;&gt;"",EDATE($D13,Milestones!$AA$176)&gt;=$T13),$W13,IF(AND($S13&lt;&gt;"",EDATE($D13,Milestones!$AA$176)&gt;=$S13),$V13,$U13)))=Milestones!$AB$176),UPPER(TEXT(EDATE($D13,Milestones!$AA$176),"dd mmm yy"))&amp;" "&amp;Milestones!$AB$176&amp;" "&amp;Milestones!$AC$176&amp;";  ","")&amp;IF(AND(EDATE($D13,Milestones!$AA$177)&lt;=AsOfDate,IF($R13=0,$X13,IF(AND($T13&lt;&gt;"",EDATE($D13,Milestones!$AA$177)&gt;=$T13),$W13,IF(AND($S13&lt;&gt;"",EDATE($D13,Milestones!$AA$177)&gt;=$S13),$V13,$U13)))=Milestones!$AB$177),UPPER(TEXT(EDATE($D13,Milestones!$AA$177),"dd mmm yy"))&amp;" "&amp;Milestones!$AB$177&amp;" "&amp;Milestones!$AC$177&amp;";  ","")&amp;IF(AND(EDATE($D13,Milestones!$AA$178)&lt;=AsOfDate,IF($R13=0,$X13,IF(AND($T13&lt;&gt;"",EDATE($D13,Milestones!$AA$178)&gt;=$T13),$W13,IF(AND($S13&lt;&gt;"",EDATE($D13,Milestones!$AA$178)&gt;=$S13),$V13,$U13)))=Milestones!$AB$178),UPPER(TEXT(EDATE($D13,Milestones!$AA$178),"dd mmm yy"))&amp;" "&amp;Milestones!$AB$178&amp;" "&amp;Milestones!$AC$178&amp;";  ","")&amp;IF(AND(EDATE($D13,Milestones!$AA$179)&lt;=AsOfDate,IF($R13=0,$X13,IF(AND($T13&lt;&gt;"",EDATE($D13,Milestones!$AA$179)&gt;=$T13),$W13,IF(AND($S13&lt;&gt;"",EDATE($D13,Milestones!$AA$179)&gt;=$S13),$V13,$U13)))=Milestones!$AB$179),UPPER(TEXT(EDATE($D13,Milestones!$AA$179),"dd mmm yy"))&amp;" "&amp;Milestones!$AB$179&amp;" "&amp;Milestones!$AC$179&amp;";  ",""))</f>
        <v/>
      </c>
      <c r="Q13" s="0" t="str">
        <f aca="false">IF(OR($A13="",$D13=""),"",IF(AND(EDATE($D13,Milestones!$AA$180)&lt;=AsOfDate,IF($R13=0,$X13,IF(AND($T13&lt;&gt;"",EDATE($D13,Milestones!$AA$180)&gt;=$T13),$W13,IF(AND($S13&lt;&gt;"",EDATE($D13,Milestones!$AA$180)&gt;=$S13),$V13,$U13)))=Milestones!$AB$180),UPPER(TEXT(EDATE($D13,Milestones!$AA$180),"dd mmm yy"))&amp;" "&amp;Milestones!$AB$180&amp;" "&amp;Milestones!$AC$180&amp;";  ","")&amp;IF(AND(EDATE($D13,Milestones!$AA$181)&lt;=AsOfDate,IF($R13=0,$X13,IF(AND($T13&lt;&gt;"",EDATE($D13,Milestones!$AA$181)&gt;=$T13),$W13,IF(AND($S13&lt;&gt;"",EDATE($D13,Milestones!$AA$181)&gt;=$S13),$V13,$U13)))=Milestones!$AB$181),UPPER(TEXT(EDATE($D13,Milestones!$AA$181),"dd mmm yy"))&amp;" "&amp;Milestones!$AB$181&amp;" "&amp;Milestones!$AC$181&amp;";  ","")&amp;IF(AND(EDATE($D13,Milestones!$AA$182)&lt;=AsOfDate,IF($R13=0,$X13,IF(AND($T13&lt;&gt;"",EDATE($D13,Milestones!$AA$182)&gt;=$T13),$W13,IF(AND($S13&lt;&gt;"",EDATE($D13,Milestones!$AA$182)&gt;=$S13),$V13,$U13)))=Milestones!$AB$182),UPPER(TEXT(EDATE($D13,Milestones!$AA$182),"dd mmm yy"))&amp;" "&amp;Milestones!$AB$182&amp;" "&amp;Milestones!$AC$182&amp;";  ","")&amp;IF(AND(EDATE($D13,Milestones!$AA$183)&lt;=AsOfDate,IF($R13=0,$X13,IF(AND($T13&lt;&gt;"",EDATE($D13,Milestones!$AA$183)&gt;=$T13),$W13,IF(AND($S13&lt;&gt;"",EDATE($D13,Milestones!$AA$183)&gt;=$S13),$V13,$U13)))=Milestones!$AB$183),UPPER(TEXT(EDATE($D13,Milestones!$AA$183),"dd mmm yy"))&amp;" "&amp;Milestones!$AB$183&amp;" "&amp;Milestones!$AC$183&amp;";  ","")&amp;IF(AND(EDATE($D13,Milestones!$AA$184)&lt;=AsOfDate,IF($R13=0,$X13,IF(AND($T13&lt;&gt;"",EDATE($D13,Milestones!$AA$184)&gt;=$T13),$W13,IF(AND($S13&lt;&gt;"",EDATE($D13,Milestones!$AA$184)&gt;=$S13),$V13,$U13)))=Milestones!$AB$184),UPPER(TEXT(EDATE($D13,Milestones!$AA$184),"dd mmm yy"))&amp;" "&amp;Milestones!$AB$184&amp;" "&amp;Milestones!$AC$184&amp;";  ","")&amp;IF(AND(EDATE($D13,Milestones!$AA$185)&lt;=AsOfDate,IF($R13=0,$X13,IF(AND($T13&lt;&gt;"",EDATE($D13,Milestones!$AA$185)&gt;=$T13),$W13,IF(AND($S13&lt;&gt;"",EDATE($D13,Milestones!$AA$185)&gt;=$S13),$V13,$U13)))=Milestones!$AB$185),UPPER(TEXT(EDATE($D13,Milestones!$AA$185),"dd mmm yy"))&amp;" "&amp;Milestones!$AB$185&amp;" "&amp;Milestones!$AC$185&amp;";  ","")&amp;IF(AND(EDATE($D13,Milestones!$AA$186)&lt;=AsOfDate,IF($R13=0,$X13,IF(AND($T13&lt;&gt;"",EDATE($D13,Milestones!$AA$186)&gt;=$T13),$W13,IF(AND($S13&lt;&gt;"",EDATE($D13,Milestones!$AA$186)&gt;=$S13),$V13,$U13)))=Milestones!$AB$186),UPPER(TEXT(EDATE($D13,Milestones!$AA$186),"dd mmm yy"))&amp;" "&amp;Milestones!$AB$186&amp;" "&amp;Milestones!$AC$186&amp;";  ","")&amp;IF(AND(EDATE($D13,Milestones!$AA$187)&lt;=AsOfDate,IF($R13=0,$X13,IF(AND($T13&lt;&gt;"",EDATE($D13,Milestones!$AA$187)&gt;=$T13),$W13,IF(AND($S13&lt;&gt;"",EDATE($D13,Milestones!$AA$187)&gt;=$S13),$V13,$U13)))=Milestones!$AB$187),UPPER(TEXT(EDATE($D13,Milestones!$AA$187),"dd mmm yy"))&amp;" "&amp;Milestones!$AB$187&amp;" "&amp;Milestones!$AC$187&amp;";  ","")&amp;IF(AND(EDATE($D13,Milestones!$AA$188)&lt;=AsOfDate,IF($R13=0,$X13,IF(AND($T13&lt;&gt;"",EDATE($D13,Milestones!$AA$188)&gt;=$T13),$W13,IF(AND($S13&lt;&gt;"",EDATE($D13,Milestones!$AA$188)&gt;=$S13),$V13,$U13)))=Milestones!$AB$188),UPPER(TEXT(EDATE($D13,Milestones!$AA$188),"dd mmm yy"))&amp;" "&amp;Milestones!$AB$188&amp;" "&amp;Milestones!$AC$188&amp;";  ","")&amp;IF(AND(EDATE($D13,Milestones!$AA$189)&lt;=AsOfDate,IF($R13=0,$X13,IF(AND($T13&lt;&gt;"",EDATE($D13,Milestones!$AA$189)&gt;=$T13),$W13,IF(AND($S13&lt;&gt;"",EDATE($D13,Milestones!$AA$189)&gt;=$S13),$V13,$U13)))=Milestones!$AB$189),UPPER(TEXT(EDATE($D13,Milestones!$AA$189),"dd mmm yy"))&amp;" "&amp;Milestones!$AB$189&amp;" "&amp;Milestones!$AC$189&amp;";  ","")&amp;IF(AND(EDATE($D13,Milestones!$AA$190)&lt;=AsOfDate,IF($R13=0,$X13,IF(AND($T13&lt;&gt;"",EDATE($D13,Milestones!$AA$190)&gt;=$T13),$W13,IF(AND($S13&lt;&gt;"",EDATE($D13,Milestones!$AA$190)&gt;=$S13),$V13,$U13)))=Milestones!$AB$190),UPPER(TEXT(EDATE($D13,Milestones!$AA$190),"dd mmm yy"))&amp;" "&amp;Milestones!$AB$190&amp;" "&amp;Milestones!$AC$190&amp;";  ","")&amp;IF(AND(EDATE($D13,Milestones!$AA$191)&lt;=AsOfDate,IF($R13=0,$X13,IF(AND($T13&lt;&gt;"",EDATE($D13,Milestones!$AA$191)&gt;=$T13),$W13,IF(AND($S13&lt;&gt;"",EDATE($D13,Milestones!$AA$191)&gt;=$S13),$V13,$U13)))=Milestones!$AB$191),UPPER(TEXT(EDATE($D13,Milestones!$AA$191),"dd mmm yy"))&amp;" "&amp;Milestones!$AB$191&amp;" "&amp;Milestones!$AC$191&amp;";  ","")&amp;IF(AND(EDATE($D13,Milestones!$AA$192)&lt;=AsOfDate,IF($R13=0,$X13,IF(AND($T13&lt;&gt;"",EDATE($D13,Milestones!$AA$192)&gt;=$T13),$W13,IF(AND($S13&lt;&gt;"",EDATE($D13,Milestones!$AA$192)&gt;=$S13),$V13,$U13)))=Milestones!$AB$192),UPPER(TEXT(EDATE($D13,Milestones!$AA$192),"dd mmm yy"))&amp;" "&amp;Milestones!$AB$192&amp;" "&amp;Milestones!$AC$192&amp;";  ","")&amp;IF(AND(EDATE($D13,Milestones!$AA$193)&lt;=AsOfDate,IF($R13=0,$X13,IF(AND($T13&lt;&gt;"",EDATE($D13,Milestones!$AA$193)&gt;=$T13),$W13,IF(AND($S13&lt;&gt;"",EDATE($D13,Milestones!$AA$193)&gt;=$S13),$V13,$U13)))=Milestones!$AB$193),UPPER(TEXT(EDATE($D13,Milestones!$AA$193),"dd mmm yy"))&amp;" "&amp;Milestones!$AB$193&amp;" "&amp;Milestones!$AC$193&amp;";  ","")&amp;IF(AND(EDATE($D13,Milestones!$AA$194)&lt;=AsOfDate,IF($R13=0,$X13,IF(AND($T13&lt;&gt;"",EDATE($D13,Milestones!$AA$194)&gt;=$T13),$W13,IF(AND($S13&lt;&gt;"",EDATE($D13,Milestones!$AA$194)&gt;=$S13),$V13,$U13)))=Milestones!$AB$194),UPPER(TEXT(EDATE($D13,Milestones!$AA$194),"dd mmm yy"))&amp;" "&amp;Milestones!$AB$194&amp;" "&amp;Milestones!$AC$194&amp;";  ","")&amp;IF(AND(EDATE($D13,Milestones!$AA$195)&lt;=AsOfDate,IF($R13=0,$X13,IF(AND($T13&lt;&gt;"",EDATE($D13,Milestones!$AA$195)&gt;=$T13),$W13,IF(AND($S13&lt;&gt;"",EDATE($D13,Milestones!$AA$195)&gt;=$S13),$V13,$U13)))=Milestones!$AB$195),UPPER(TEXT(EDATE($D13,Milestones!$AA$195),"dd mmm yy"))&amp;" "&amp;Milestones!$AB$195&amp;" "&amp;Milestones!$AC$195&amp;";  ","")&amp;IF(AND(EDATE($D13,Milestones!$AA$196)&lt;=AsOfDate,IF($R13=0,$X13,IF(AND($T13&lt;&gt;"",EDATE($D13,Milestones!$AA$196)&gt;=$T13),$W13,IF(AND($S13&lt;&gt;"",EDATE($D13,Milestones!$AA$196)&gt;=$S13),$V13,$U13)))=Milestones!$AB$196),UPPER(TEXT(EDATE($D13,Milestones!$AA$196),"dd mmm yy"))&amp;" "&amp;Milestones!$AB$196&amp;" "&amp;Milestones!$AC$196&amp;";  ","")&amp;IF(AND(EDATE($D13,Milestones!$AA$197)&lt;=AsOfDate,IF($R13=0,$X13,IF(AND($T13&lt;&gt;"",EDATE($D13,Milestones!$AA$197)&gt;=$T13),$W13,IF(AND($S13&lt;&gt;"",EDATE($D13,Milestones!$AA$197)&gt;=$S13),$V13,$U13)))=Milestones!$AB$197),UPPER(TEXT(EDATE($D13,Milestones!$AA$197),"dd mmm yy"))&amp;" "&amp;Milestones!$AB$197&amp;" "&amp;Milestones!$AC$197&amp;";  ","")&amp;IF(AND(EDATE($D13,Milestones!$AA$198)&lt;=AsOfDate,IF($R13=0,$X13,IF(AND($T13&lt;&gt;"",EDATE($D13,Milestones!$AA$198)&gt;=$T13),$W13,IF(AND($S13&lt;&gt;"",EDATE($D13,Milestones!$AA$198)&gt;=$S13),$V13,$U13)))=Milestones!$AB$198),UPPER(TEXT(EDATE($D13,Milestones!$AA$198),"dd mmm yy"))&amp;" "&amp;Milestones!$AB$198&amp;" "&amp;Milestones!$AC$198&amp;";  ","")&amp;IF(AND(EDATE($D13,Milestones!$AA$199)&lt;=AsOfDate,IF($R13=0,$X13,IF(AND($T13&lt;&gt;"",EDATE($D13,Milestones!$AA$199)&gt;=$T13),$W13,IF(AND($S13&lt;&gt;"",EDATE($D13,Milestones!$AA$199)&gt;=$S13),$V13,$U13)))=Milestones!$AB$199),UPPER(TEXT(EDATE($D13,Milestones!$AA$199),"dd mmm yy"))&amp;" "&amp;Milestones!$AB$199&amp;" "&amp;Milestones!$AC$199&amp;";  ",""))</f>
        <v/>
      </c>
      <c r="R13" s="33" t="n">
        <f aca="false">IF(Staff!$A13="","",Staff!$AI13)</f>
        <v>0</v>
      </c>
      <c r="S13" s="0" t="str">
        <f aca="false">IF(Staff!$A13="","",Staff!$AK13)</f>
        <v/>
      </c>
      <c r="T13" s="0" t="str">
        <f aca="false">IF(Staff!$A13="","",Staff!$AL13)</f>
        <v/>
      </c>
      <c r="U13" s="0" t="str">
        <f aca="false">IF(Staff!$A13="","",Staff!$AP13)</f>
        <v>None</v>
      </c>
      <c r="V13" s="0" t="str">
        <f aca="false">IF(Staff!$A13="","",Staff!$AQ13)</f>
        <v/>
      </c>
      <c r="W13" s="0" t="str">
        <f aca="false">IF(Staff!$A13="","",Staff!$AR13)</f>
        <v/>
      </c>
      <c r="X13" s="0" t="str">
        <f aca="false">IF(Staff!$A13="","",Staff!$AS13)</f>
        <v>None</v>
      </c>
    </row>
    <row r="14" customFormat="false" ht="15" hidden="false" customHeight="false" outlineLevel="0" collapsed="false">
      <c r="A14" s="19" t="str">
        <f aca="false">IF(Staff!$A14="","",Staff!$A14)</f>
        <v>Carlo</v>
      </c>
      <c r="B14" s="19" t="str">
        <f aca="false">IF(Staff!$A14="","",Staff!$B14)</f>
        <v>Daru</v>
      </c>
      <c r="C14" s="19" t="str">
        <f aca="false">IF(Staff!$A14="","",Staff!$C14)</f>
        <v>Full-Time</v>
      </c>
      <c r="D14" s="17" t="n">
        <f aca="false">IF(Staff!$A14="","",Staff!$AH14)</f>
        <v>44823</v>
      </c>
      <c r="E14" s="20" t="n">
        <f aca="false">IF(Staff!$A14="","",Staff!$O14)</f>
        <v>4</v>
      </c>
      <c r="F14" s="19" t="n">
        <f aca="false">IF(E14="","",E14*HoursPerDay)</f>
        <v>32</v>
      </c>
      <c r="G14" s="20" t="n">
        <f aca="false">IF(Staff!$A14="","",Staff!$AE14)</f>
        <v>0</v>
      </c>
      <c r="H14" s="32" t="str">
        <f aca="false">IF($A14="","",I14&amp;J14&amp;K14&amp;L14&amp;M14&amp;N14&amp;O14&amp;P14&amp;Q14)</f>
        <v>19 SEP 25 FT 1;  19 JAN 26 FT 1;  19 MAY 26 FT 1;  19 SEP 26 FT 1;  </v>
      </c>
      <c r="I14" s="0" t="str">
        <f aca="false">IF(OR($A14="",$D14=""),"",IF(AND(EDATE($D14,Milestones!$AA$20)&lt;=AsOfDate,IF($R14=0,$X14,IF(AND($T14&lt;&gt;"",EDATE($D14,Milestones!$AA$20)&gt;=$T14),$W14,IF(AND($S14&lt;&gt;"",EDATE($D14,Milestones!$AA$20)&gt;=$S14),$V14,$U14)))=Milestones!$AB$20),UPPER(TEXT(EDATE($D14,Milestones!$AA$20),"dd mmm yy"))&amp;" "&amp;Milestones!$AB$20&amp;" "&amp;Milestones!$AC$20&amp;";  ","")&amp;IF(AND(EDATE($D14,Milestones!$AA$21)&lt;=AsOfDate,IF($R14=0,$X14,IF(AND($T14&lt;&gt;"",EDATE($D14,Milestones!$AA$21)&gt;=$T14),$W14,IF(AND($S14&lt;&gt;"",EDATE($D14,Milestones!$AA$21)&gt;=$S14),$V14,$U14)))=Milestones!$AB$21),UPPER(TEXT(EDATE($D14,Milestones!$AA$21),"dd mmm yy"))&amp;" "&amp;Milestones!$AB$21&amp;" "&amp;Milestones!$AC$21&amp;";  ","")&amp;IF(AND(EDATE($D14,Milestones!$AA$22)&lt;=AsOfDate,IF($R14=0,$X14,IF(AND($T14&lt;&gt;"",EDATE($D14,Milestones!$AA$22)&gt;=$T14),$W14,IF(AND($S14&lt;&gt;"",EDATE($D14,Milestones!$AA$22)&gt;=$S14),$V14,$U14)))=Milestones!$AB$22),UPPER(TEXT(EDATE($D14,Milestones!$AA$22),"dd mmm yy"))&amp;" "&amp;Milestones!$AB$22&amp;" "&amp;Milestones!$AC$22&amp;";  ","")&amp;IF(AND(EDATE($D14,Milestones!$AA$23)&lt;=AsOfDate,IF($R14=0,$X14,IF(AND($T14&lt;&gt;"",EDATE($D14,Milestones!$AA$23)&gt;=$T14),$W14,IF(AND($S14&lt;&gt;"",EDATE($D14,Milestones!$AA$23)&gt;=$S14),$V14,$U14)))=Milestones!$AB$23),UPPER(TEXT(EDATE($D14,Milestones!$AA$23),"dd mmm yy"))&amp;" "&amp;Milestones!$AB$23&amp;" "&amp;Milestones!$AC$23&amp;";  ","")&amp;IF(AND(EDATE($D14,Milestones!$AA$24)&lt;=AsOfDate,IF($R14=0,$X14,IF(AND($T14&lt;&gt;"",EDATE($D14,Milestones!$AA$24)&gt;=$T14),$W14,IF(AND($S14&lt;&gt;"",EDATE($D14,Milestones!$AA$24)&gt;=$S14),$V14,$U14)))=Milestones!$AB$24),UPPER(TEXT(EDATE($D14,Milestones!$AA$24),"dd mmm yy"))&amp;" "&amp;Milestones!$AB$24&amp;" "&amp;Milestones!$AC$24&amp;";  ","")&amp;IF(AND(EDATE($D14,Milestones!$AA$25)&lt;=AsOfDate,IF($R14=0,$X14,IF(AND($T14&lt;&gt;"",EDATE($D14,Milestones!$AA$25)&gt;=$T14),$W14,IF(AND($S14&lt;&gt;"",EDATE($D14,Milestones!$AA$25)&gt;=$S14),$V14,$U14)))=Milestones!$AB$25),UPPER(TEXT(EDATE($D14,Milestones!$AA$25),"dd mmm yy"))&amp;" "&amp;Milestones!$AB$25&amp;" "&amp;Milestones!$AC$25&amp;";  ","")&amp;IF(AND(EDATE($D14,Milestones!$AA$26)&lt;=AsOfDate,IF($R14=0,$X14,IF(AND($T14&lt;&gt;"",EDATE($D14,Milestones!$AA$26)&gt;=$T14),$W14,IF(AND($S14&lt;&gt;"",EDATE($D14,Milestones!$AA$26)&gt;=$S14),$V14,$U14)))=Milestones!$AB$26),UPPER(TEXT(EDATE($D14,Milestones!$AA$26),"dd mmm yy"))&amp;" "&amp;Milestones!$AB$26&amp;" "&amp;Milestones!$AC$26&amp;";  ","")&amp;IF(AND(EDATE($D14,Milestones!$AA$27)&lt;=AsOfDate,IF($R14=0,$X14,IF(AND($T14&lt;&gt;"",EDATE($D14,Milestones!$AA$27)&gt;=$T14),$W14,IF(AND($S14&lt;&gt;"",EDATE($D14,Milestones!$AA$27)&gt;=$S14),$V14,$U14)))=Milestones!$AB$27),UPPER(TEXT(EDATE($D14,Milestones!$AA$27),"dd mmm yy"))&amp;" "&amp;Milestones!$AB$27&amp;" "&amp;Milestones!$AC$27&amp;";  ","")&amp;IF(AND(EDATE($D14,Milestones!$AA$28)&lt;=AsOfDate,IF($R14=0,$X14,IF(AND($T14&lt;&gt;"",EDATE($D14,Milestones!$AA$28)&gt;=$T14),$W14,IF(AND($S14&lt;&gt;"",EDATE($D14,Milestones!$AA$28)&gt;=$S14),$V14,$U14)))=Milestones!$AB$28),UPPER(TEXT(EDATE($D14,Milestones!$AA$28),"dd mmm yy"))&amp;" "&amp;Milestones!$AB$28&amp;" "&amp;Milestones!$AC$28&amp;";  ","")&amp;IF(AND(EDATE($D14,Milestones!$AA$29)&lt;=AsOfDate,IF($R14=0,$X14,IF(AND($T14&lt;&gt;"",EDATE($D14,Milestones!$AA$29)&gt;=$T14),$W14,IF(AND($S14&lt;&gt;"",EDATE($D14,Milestones!$AA$29)&gt;=$S14),$V14,$U14)))=Milestones!$AB$29),UPPER(TEXT(EDATE($D14,Milestones!$AA$29),"dd mmm yy"))&amp;" "&amp;Milestones!$AB$29&amp;" "&amp;Milestones!$AC$29&amp;";  ","")&amp;IF(AND(EDATE($D14,Milestones!$AA$30)&lt;=AsOfDate,IF($R14=0,$X14,IF(AND($T14&lt;&gt;"",EDATE($D14,Milestones!$AA$30)&gt;=$T14),$W14,IF(AND($S14&lt;&gt;"",EDATE($D14,Milestones!$AA$30)&gt;=$S14),$V14,$U14)))=Milestones!$AB$30),UPPER(TEXT(EDATE($D14,Milestones!$AA$30),"dd mmm yy"))&amp;" "&amp;Milestones!$AB$30&amp;" "&amp;Milestones!$AC$30&amp;";  ","")&amp;IF(AND(EDATE($D14,Milestones!$AA$31)&lt;=AsOfDate,IF($R14=0,$X14,IF(AND($T14&lt;&gt;"",EDATE($D14,Milestones!$AA$31)&gt;=$T14),$W14,IF(AND($S14&lt;&gt;"",EDATE($D14,Milestones!$AA$31)&gt;=$S14),$V14,$U14)))=Milestones!$AB$31),UPPER(TEXT(EDATE($D14,Milestones!$AA$31),"dd mmm yy"))&amp;" "&amp;Milestones!$AB$31&amp;" "&amp;Milestones!$AC$31&amp;";  ","")&amp;IF(AND(EDATE($D14,Milestones!$AA$32)&lt;=AsOfDate,IF($R14=0,$X14,IF(AND($T14&lt;&gt;"",EDATE($D14,Milestones!$AA$32)&gt;=$T14),$W14,IF(AND($S14&lt;&gt;"",EDATE($D14,Milestones!$AA$32)&gt;=$S14),$V14,$U14)))=Milestones!$AB$32),UPPER(TEXT(EDATE($D14,Milestones!$AA$32),"dd mmm yy"))&amp;" "&amp;Milestones!$AB$32&amp;" "&amp;Milestones!$AC$32&amp;";  ","")&amp;IF(AND(EDATE($D14,Milestones!$AA$33)&lt;=AsOfDate,IF($R14=0,$X14,IF(AND($T14&lt;&gt;"",EDATE($D14,Milestones!$AA$33)&gt;=$T14),$W14,IF(AND($S14&lt;&gt;"",EDATE($D14,Milestones!$AA$33)&gt;=$S14),$V14,$U14)))=Milestones!$AB$33),UPPER(TEXT(EDATE($D14,Milestones!$AA$33),"dd mmm yy"))&amp;" "&amp;Milestones!$AB$33&amp;" "&amp;Milestones!$AC$33&amp;";  ","")&amp;IF(AND(EDATE($D14,Milestones!$AA$34)&lt;=AsOfDate,IF($R14=0,$X14,IF(AND($T14&lt;&gt;"",EDATE($D14,Milestones!$AA$34)&gt;=$T14),$W14,IF(AND($S14&lt;&gt;"",EDATE($D14,Milestones!$AA$34)&gt;=$S14),$V14,$U14)))=Milestones!$AB$34),UPPER(TEXT(EDATE($D14,Milestones!$AA$34),"dd mmm yy"))&amp;" "&amp;Milestones!$AB$34&amp;" "&amp;Milestones!$AC$34&amp;";  ","")&amp;IF(AND(EDATE($D14,Milestones!$AA$35)&lt;=AsOfDate,IF($R14=0,$X14,IF(AND($T14&lt;&gt;"",EDATE($D14,Milestones!$AA$35)&gt;=$T14),$W14,IF(AND($S14&lt;&gt;"",EDATE($D14,Milestones!$AA$35)&gt;=$S14),$V14,$U14)))=Milestones!$AB$35),UPPER(TEXT(EDATE($D14,Milestones!$AA$35),"dd mmm yy"))&amp;" "&amp;Milestones!$AB$35&amp;" "&amp;Milestones!$AC$35&amp;";  ","")&amp;IF(AND(EDATE($D14,Milestones!$AA$36)&lt;=AsOfDate,IF($R14=0,$X14,IF(AND($T14&lt;&gt;"",EDATE($D14,Milestones!$AA$36)&gt;=$T14),$W14,IF(AND($S14&lt;&gt;"",EDATE($D14,Milestones!$AA$36)&gt;=$S14),$V14,$U14)))=Milestones!$AB$36),UPPER(TEXT(EDATE($D14,Milestones!$AA$36),"dd mmm yy"))&amp;" "&amp;Milestones!$AB$36&amp;" "&amp;Milestones!$AC$36&amp;";  ","")&amp;IF(AND(EDATE($D14,Milestones!$AA$37)&lt;=AsOfDate,IF($R14=0,$X14,IF(AND($T14&lt;&gt;"",EDATE($D14,Milestones!$AA$37)&gt;=$T14),$W14,IF(AND($S14&lt;&gt;"",EDATE($D14,Milestones!$AA$37)&gt;=$S14),$V14,$U14)))=Milestones!$AB$37),UPPER(TEXT(EDATE($D14,Milestones!$AA$37),"dd mmm yy"))&amp;" "&amp;Milestones!$AB$37&amp;" "&amp;Milestones!$AC$37&amp;";  ","")&amp;IF(AND(EDATE($D14,Milestones!$AA$38)&lt;=AsOfDate,IF($R14=0,$X14,IF(AND($T14&lt;&gt;"",EDATE($D14,Milestones!$AA$38)&gt;=$T14),$W14,IF(AND($S14&lt;&gt;"",EDATE($D14,Milestones!$AA$38)&gt;=$S14),$V14,$U14)))=Milestones!$AB$38),UPPER(TEXT(EDATE($D14,Milestones!$AA$38),"dd mmm yy"))&amp;" "&amp;Milestones!$AB$38&amp;" "&amp;Milestones!$AC$38&amp;";  ","")&amp;IF(AND(EDATE($D14,Milestones!$AA$39)&lt;=AsOfDate,IF($R14=0,$X14,IF(AND($T14&lt;&gt;"",EDATE($D14,Milestones!$AA$39)&gt;=$T14),$W14,IF(AND($S14&lt;&gt;"",EDATE($D14,Milestones!$AA$39)&gt;=$S14),$V14,$U14)))=Milestones!$AB$39),UPPER(TEXT(EDATE($D14,Milestones!$AA$39),"dd mmm yy"))&amp;" "&amp;Milestones!$AB$39&amp;" "&amp;Milestones!$AC$39&amp;";  ",""))</f>
        <v>19 SEP 25 FT 1;  19 JAN 26 FT 1;  19 MAY 26 FT 1;  19 SEP 26 FT 1;  </v>
      </c>
      <c r="J14" s="0" t="str">
        <f aca="false">IF(OR($A14="",$D14=""),"",IF(AND(EDATE($D14,Milestones!$AA$40)&lt;=AsOfDate,IF($R14=0,$X14,IF(AND($T14&lt;&gt;"",EDATE($D14,Milestones!$AA$40)&gt;=$T14),$W14,IF(AND($S14&lt;&gt;"",EDATE($D14,Milestones!$AA$40)&gt;=$S14),$V14,$U14)))=Milestones!$AB$40),UPPER(TEXT(EDATE($D14,Milestones!$AA$40),"dd mmm yy"))&amp;" "&amp;Milestones!$AB$40&amp;" "&amp;Milestones!$AC$40&amp;";  ","")&amp;IF(AND(EDATE($D14,Milestones!$AA$41)&lt;=AsOfDate,IF($R14=0,$X14,IF(AND($T14&lt;&gt;"",EDATE($D14,Milestones!$AA$41)&gt;=$T14),$W14,IF(AND($S14&lt;&gt;"",EDATE($D14,Milestones!$AA$41)&gt;=$S14),$V14,$U14)))=Milestones!$AB$41),UPPER(TEXT(EDATE($D14,Milestones!$AA$41),"dd mmm yy"))&amp;" "&amp;Milestones!$AB$41&amp;" "&amp;Milestones!$AC$41&amp;";  ","")&amp;IF(AND(EDATE($D14,Milestones!$AA$42)&lt;=AsOfDate,IF($R14=0,$X14,IF(AND($T14&lt;&gt;"",EDATE($D14,Milestones!$AA$42)&gt;=$T14),$W14,IF(AND($S14&lt;&gt;"",EDATE($D14,Milestones!$AA$42)&gt;=$S14),$V14,$U14)))=Milestones!$AB$42),UPPER(TEXT(EDATE($D14,Milestones!$AA$42),"dd mmm yy"))&amp;" "&amp;Milestones!$AB$42&amp;" "&amp;Milestones!$AC$42&amp;";  ","")&amp;IF(AND(EDATE($D14,Milestones!$AA$43)&lt;=AsOfDate,IF($R14=0,$X14,IF(AND($T14&lt;&gt;"",EDATE($D14,Milestones!$AA$43)&gt;=$T14),$W14,IF(AND($S14&lt;&gt;"",EDATE($D14,Milestones!$AA$43)&gt;=$S14),$V14,$U14)))=Milestones!$AB$43),UPPER(TEXT(EDATE($D14,Milestones!$AA$43),"dd mmm yy"))&amp;" "&amp;Milestones!$AB$43&amp;" "&amp;Milestones!$AC$43&amp;";  ","")&amp;IF(AND(EDATE($D14,Milestones!$AA$44)&lt;=AsOfDate,IF($R14=0,$X14,IF(AND($T14&lt;&gt;"",EDATE($D14,Milestones!$AA$44)&gt;=$T14),$W14,IF(AND($S14&lt;&gt;"",EDATE($D14,Milestones!$AA$44)&gt;=$S14),$V14,$U14)))=Milestones!$AB$44),UPPER(TEXT(EDATE($D14,Milestones!$AA$44),"dd mmm yy"))&amp;" "&amp;Milestones!$AB$44&amp;" "&amp;Milestones!$AC$44&amp;";  ","")&amp;IF(AND(EDATE($D14,Milestones!$AA$45)&lt;=AsOfDate,IF($R14=0,$X14,IF(AND($T14&lt;&gt;"",EDATE($D14,Milestones!$AA$45)&gt;=$T14),$W14,IF(AND($S14&lt;&gt;"",EDATE($D14,Milestones!$AA$45)&gt;=$S14),$V14,$U14)))=Milestones!$AB$45),UPPER(TEXT(EDATE($D14,Milestones!$AA$45),"dd mmm yy"))&amp;" "&amp;Milestones!$AB$45&amp;" "&amp;Milestones!$AC$45&amp;";  ","")&amp;IF(AND(EDATE($D14,Milestones!$AA$46)&lt;=AsOfDate,IF($R14=0,$X14,IF(AND($T14&lt;&gt;"",EDATE($D14,Milestones!$AA$46)&gt;=$T14),$W14,IF(AND($S14&lt;&gt;"",EDATE($D14,Milestones!$AA$46)&gt;=$S14),$V14,$U14)))=Milestones!$AB$46),UPPER(TEXT(EDATE($D14,Milestones!$AA$46),"dd mmm yy"))&amp;" "&amp;Milestones!$AB$46&amp;" "&amp;Milestones!$AC$46&amp;";  ","")&amp;IF(AND(EDATE($D14,Milestones!$AA$47)&lt;=AsOfDate,IF($R14=0,$X14,IF(AND($T14&lt;&gt;"",EDATE($D14,Milestones!$AA$47)&gt;=$T14),$W14,IF(AND($S14&lt;&gt;"",EDATE($D14,Milestones!$AA$47)&gt;=$S14),$V14,$U14)))=Milestones!$AB$47),UPPER(TEXT(EDATE($D14,Milestones!$AA$47),"dd mmm yy"))&amp;" "&amp;Milestones!$AB$47&amp;" "&amp;Milestones!$AC$47&amp;";  ","")&amp;IF(AND(EDATE($D14,Milestones!$AA$48)&lt;=AsOfDate,IF($R14=0,$X14,IF(AND($T14&lt;&gt;"",EDATE($D14,Milestones!$AA$48)&gt;=$T14),$W14,IF(AND($S14&lt;&gt;"",EDATE($D14,Milestones!$AA$48)&gt;=$S14),$V14,$U14)))=Milestones!$AB$48),UPPER(TEXT(EDATE($D14,Milestones!$AA$48),"dd mmm yy"))&amp;" "&amp;Milestones!$AB$48&amp;" "&amp;Milestones!$AC$48&amp;";  ","")&amp;IF(AND(EDATE($D14,Milestones!$AA$49)&lt;=AsOfDate,IF($R14=0,$X14,IF(AND($T14&lt;&gt;"",EDATE($D14,Milestones!$AA$49)&gt;=$T14),$W14,IF(AND($S14&lt;&gt;"",EDATE($D14,Milestones!$AA$49)&gt;=$S14),$V14,$U14)))=Milestones!$AB$49),UPPER(TEXT(EDATE($D14,Milestones!$AA$49),"dd mmm yy"))&amp;" "&amp;Milestones!$AB$49&amp;" "&amp;Milestones!$AC$49&amp;";  ","")&amp;IF(AND(EDATE($D14,Milestones!$AA$50)&lt;=AsOfDate,IF($R14=0,$X14,IF(AND($T14&lt;&gt;"",EDATE($D14,Milestones!$AA$50)&gt;=$T14),$W14,IF(AND($S14&lt;&gt;"",EDATE($D14,Milestones!$AA$50)&gt;=$S14),$V14,$U14)))=Milestones!$AB$50),UPPER(TEXT(EDATE($D14,Milestones!$AA$50),"dd mmm yy"))&amp;" "&amp;Milestones!$AB$50&amp;" "&amp;Milestones!$AC$50&amp;";  ","")&amp;IF(AND(EDATE($D14,Milestones!$AA$51)&lt;=AsOfDate,IF($R14=0,$X14,IF(AND($T14&lt;&gt;"",EDATE($D14,Milestones!$AA$51)&gt;=$T14),$W14,IF(AND($S14&lt;&gt;"",EDATE($D14,Milestones!$AA$51)&gt;=$S14),$V14,$U14)))=Milestones!$AB$51),UPPER(TEXT(EDATE($D14,Milestones!$AA$51),"dd mmm yy"))&amp;" "&amp;Milestones!$AB$51&amp;" "&amp;Milestones!$AC$51&amp;";  ","")&amp;IF(AND(EDATE($D14,Milestones!$AA$52)&lt;=AsOfDate,IF($R14=0,$X14,IF(AND($T14&lt;&gt;"",EDATE($D14,Milestones!$AA$52)&gt;=$T14),$W14,IF(AND($S14&lt;&gt;"",EDATE($D14,Milestones!$AA$52)&gt;=$S14),$V14,$U14)))=Milestones!$AB$52),UPPER(TEXT(EDATE($D14,Milestones!$AA$52),"dd mmm yy"))&amp;" "&amp;Milestones!$AB$52&amp;" "&amp;Milestones!$AC$52&amp;";  ","")&amp;IF(AND(EDATE($D14,Milestones!$AA$53)&lt;=AsOfDate,IF($R14=0,$X14,IF(AND($T14&lt;&gt;"",EDATE($D14,Milestones!$AA$53)&gt;=$T14),$W14,IF(AND($S14&lt;&gt;"",EDATE($D14,Milestones!$AA$53)&gt;=$S14),$V14,$U14)))=Milestones!$AB$53),UPPER(TEXT(EDATE($D14,Milestones!$AA$53),"dd mmm yy"))&amp;" "&amp;Milestones!$AB$53&amp;" "&amp;Milestones!$AC$53&amp;";  ","")&amp;IF(AND(EDATE($D14,Milestones!$AA$54)&lt;=AsOfDate,IF($R14=0,$X14,IF(AND($T14&lt;&gt;"",EDATE($D14,Milestones!$AA$54)&gt;=$T14),$W14,IF(AND($S14&lt;&gt;"",EDATE($D14,Milestones!$AA$54)&gt;=$S14),$V14,$U14)))=Milestones!$AB$54),UPPER(TEXT(EDATE($D14,Milestones!$AA$54),"dd mmm yy"))&amp;" "&amp;Milestones!$AB$54&amp;" "&amp;Milestones!$AC$54&amp;";  ","")&amp;IF(AND(EDATE($D14,Milestones!$AA$55)&lt;=AsOfDate,IF($R14=0,$X14,IF(AND($T14&lt;&gt;"",EDATE($D14,Milestones!$AA$55)&gt;=$T14),$W14,IF(AND($S14&lt;&gt;"",EDATE($D14,Milestones!$AA$55)&gt;=$S14),$V14,$U14)))=Milestones!$AB$55),UPPER(TEXT(EDATE($D14,Milestones!$AA$55),"dd mmm yy"))&amp;" "&amp;Milestones!$AB$55&amp;" "&amp;Milestones!$AC$55&amp;";  ","")&amp;IF(AND(EDATE($D14,Milestones!$AA$56)&lt;=AsOfDate,IF($R14=0,$X14,IF(AND($T14&lt;&gt;"",EDATE($D14,Milestones!$AA$56)&gt;=$T14),$W14,IF(AND($S14&lt;&gt;"",EDATE($D14,Milestones!$AA$56)&gt;=$S14),$V14,$U14)))=Milestones!$AB$56),UPPER(TEXT(EDATE($D14,Milestones!$AA$56),"dd mmm yy"))&amp;" "&amp;Milestones!$AB$56&amp;" "&amp;Milestones!$AC$56&amp;";  ","")&amp;IF(AND(EDATE($D14,Milestones!$AA$57)&lt;=AsOfDate,IF($R14=0,$X14,IF(AND($T14&lt;&gt;"",EDATE($D14,Milestones!$AA$57)&gt;=$T14),$W14,IF(AND($S14&lt;&gt;"",EDATE($D14,Milestones!$AA$57)&gt;=$S14),$V14,$U14)))=Milestones!$AB$57),UPPER(TEXT(EDATE($D14,Milestones!$AA$57),"dd mmm yy"))&amp;" "&amp;Milestones!$AB$57&amp;" "&amp;Milestones!$AC$57&amp;";  ","")&amp;IF(AND(EDATE($D14,Milestones!$AA$58)&lt;=AsOfDate,IF($R14=0,$X14,IF(AND($T14&lt;&gt;"",EDATE($D14,Milestones!$AA$58)&gt;=$T14),$W14,IF(AND($S14&lt;&gt;"",EDATE($D14,Milestones!$AA$58)&gt;=$S14),$V14,$U14)))=Milestones!$AB$58),UPPER(TEXT(EDATE($D14,Milestones!$AA$58),"dd mmm yy"))&amp;" "&amp;Milestones!$AB$58&amp;" "&amp;Milestones!$AC$58&amp;";  ","")&amp;IF(AND(EDATE($D14,Milestones!$AA$59)&lt;=AsOfDate,IF($R14=0,$X14,IF(AND($T14&lt;&gt;"",EDATE($D14,Milestones!$AA$59)&gt;=$T14),$W14,IF(AND($S14&lt;&gt;"",EDATE($D14,Milestones!$AA$59)&gt;=$S14),$V14,$U14)))=Milestones!$AB$59),UPPER(TEXT(EDATE($D14,Milestones!$AA$59),"dd mmm yy"))&amp;" "&amp;Milestones!$AB$59&amp;" "&amp;Milestones!$AC$59&amp;";  ",""))</f>
        <v/>
      </c>
      <c r="K14" s="0" t="str">
        <f aca="false">IF(OR($A14="",$D14=""),"",IF(AND(EDATE($D14,Milestones!$AA$60)&lt;=AsOfDate,IF($R14=0,$X14,IF(AND($T14&lt;&gt;"",EDATE($D14,Milestones!$AA$60)&gt;=$T14),$W14,IF(AND($S14&lt;&gt;"",EDATE($D14,Milestones!$AA$60)&gt;=$S14),$V14,$U14)))=Milestones!$AB$60),UPPER(TEXT(EDATE($D14,Milestones!$AA$60),"dd mmm yy"))&amp;" "&amp;Milestones!$AB$60&amp;" "&amp;Milestones!$AC$60&amp;";  ","")&amp;IF(AND(EDATE($D14,Milestones!$AA$61)&lt;=AsOfDate,IF($R14=0,$X14,IF(AND($T14&lt;&gt;"",EDATE($D14,Milestones!$AA$61)&gt;=$T14),$W14,IF(AND($S14&lt;&gt;"",EDATE($D14,Milestones!$AA$61)&gt;=$S14),$V14,$U14)))=Milestones!$AB$61),UPPER(TEXT(EDATE($D14,Milestones!$AA$61),"dd mmm yy"))&amp;" "&amp;Milestones!$AB$61&amp;" "&amp;Milestones!$AC$61&amp;";  ","")&amp;IF(AND(EDATE($D14,Milestones!$AA$62)&lt;=AsOfDate,IF($R14=0,$X14,IF(AND($T14&lt;&gt;"",EDATE($D14,Milestones!$AA$62)&gt;=$T14),$W14,IF(AND($S14&lt;&gt;"",EDATE($D14,Milestones!$AA$62)&gt;=$S14),$V14,$U14)))=Milestones!$AB$62),UPPER(TEXT(EDATE($D14,Milestones!$AA$62),"dd mmm yy"))&amp;" "&amp;Milestones!$AB$62&amp;" "&amp;Milestones!$AC$62&amp;";  ","")&amp;IF(AND(EDATE($D14,Milestones!$AA$63)&lt;=AsOfDate,IF($R14=0,$X14,IF(AND($T14&lt;&gt;"",EDATE($D14,Milestones!$AA$63)&gt;=$T14),$W14,IF(AND($S14&lt;&gt;"",EDATE($D14,Milestones!$AA$63)&gt;=$S14),$V14,$U14)))=Milestones!$AB$63),UPPER(TEXT(EDATE($D14,Milestones!$AA$63),"dd mmm yy"))&amp;" "&amp;Milestones!$AB$63&amp;" "&amp;Milestones!$AC$63&amp;";  ","")&amp;IF(AND(EDATE($D14,Milestones!$AA$64)&lt;=AsOfDate,IF($R14=0,$X14,IF(AND($T14&lt;&gt;"",EDATE($D14,Milestones!$AA$64)&gt;=$T14),$W14,IF(AND($S14&lt;&gt;"",EDATE($D14,Milestones!$AA$64)&gt;=$S14),$V14,$U14)))=Milestones!$AB$64),UPPER(TEXT(EDATE($D14,Milestones!$AA$64),"dd mmm yy"))&amp;" "&amp;Milestones!$AB$64&amp;" "&amp;Milestones!$AC$64&amp;";  ","")&amp;IF(AND(EDATE($D14,Milestones!$AA$65)&lt;=AsOfDate,IF($R14=0,$X14,IF(AND($T14&lt;&gt;"",EDATE($D14,Milestones!$AA$65)&gt;=$T14),$W14,IF(AND($S14&lt;&gt;"",EDATE($D14,Milestones!$AA$65)&gt;=$S14),$V14,$U14)))=Milestones!$AB$65),UPPER(TEXT(EDATE($D14,Milestones!$AA$65),"dd mmm yy"))&amp;" "&amp;Milestones!$AB$65&amp;" "&amp;Milestones!$AC$65&amp;";  ","")&amp;IF(AND(EDATE($D14,Milestones!$AA$66)&lt;=AsOfDate,IF($R14=0,$X14,IF(AND($T14&lt;&gt;"",EDATE($D14,Milestones!$AA$66)&gt;=$T14),$W14,IF(AND($S14&lt;&gt;"",EDATE($D14,Milestones!$AA$66)&gt;=$S14),$V14,$U14)))=Milestones!$AB$66),UPPER(TEXT(EDATE($D14,Milestones!$AA$66),"dd mmm yy"))&amp;" "&amp;Milestones!$AB$66&amp;" "&amp;Milestones!$AC$66&amp;";  ","")&amp;IF(AND(EDATE($D14,Milestones!$AA$67)&lt;=AsOfDate,IF($R14=0,$X14,IF(AND($T14&lt;&gt;"",EDATE($D14,Milestones!$AA$67)&gt;=$T14),$W14,IF(AND($S14&lt;&gt;"",EDATE($D14,Milestones!$AA$67)&gt;=$S14),$V14,$U14)))=Milestones!$AB$67),UPPER(TEXT(EDATE($D14,Milestones!$AA$67),"dd mmm yy"))&amp;" "&amp;Milestones!$AB$67&amp;" "&amp;Milestones!$AC$67&amp;";  ","")&amp;IF(AND(EDATE($D14,Milestones!$AA$68)&lt;=AsOfDate,IF($R14=0,$X14,IF(AND($T14&lt;&gt;"",EDATE($D14,Milestones!$AA$68)&gt;=$T14),$W14,IF(AND($S14&lt;&gt;"",EDATE($D14,Milestones!$AA$68)&gt;=$S14),$V14,$U14)))=Milestones!$AB$68),UPPER(TEXT(EDATE($D14,Milestones!$AA$68),"dd mmm yy"))&amp;" "&amp;Milestones!$AB$68&amp;" "&amp;Milestones!$AC$68&amp;";  ","")&amp;IF(AND(EDATE($D14,Milestones!$AA$69)&lt;=AsOfDate,IF($R14=0,$X14,IF(AND($T14&lt;&gt;"",EDATE($D14,Milestones!$AA$69)&gt;=$T14),$W14,IF(AND($S14&lt;&gt;"",EDATE($D14,Milestones!$AA$69)&gt;=$S14),$V14,$U14)))=Milestones!$AB$69),UPPER(TEXT(EDATE($D14,Milestones!$AA$69),"dd mmm yy"))&amp;" "&amp;Milestones!$AB$69&amp;" "&amp;Milestones!$AC$69&amp;";  ","")&amp;IF(AND(EDATE($D14,Milestones!$AA$70)&lt;=AsOfDate,IF($R14=0,$X14,IF(AND($T14&lt;&gt;"",EDATE($D14,Milestones!$AA$70)&gt;=$T14),$W14,IF(AND($S14&lt;&gt;"",EDATE($D14,Milestones!$AA$70)&gt;=$S14),$V14,$U14)))=Milestones!$AB$70),UPPER(TEXT(EDATE($D14,Milestones!$AA$70),"dd mmm yy"))&amp;" "&amp;Milestones!$AB$70&amp;" "&amp;Milestones!$AC$70&amp;";  ","")&amp;IF(AND(EDATE($D14,Milestones!$AA$71)&lt;=AsOfDate,IF($R14=0,$X14,IF(AND($T14&lt;&gt;"",EDATE($D14,Milestones!$AA$71)&gt;=$T14),$W14,IF(AND($S14&lt;&gt;"",EDATE($D14,Milestones!$AA$71)&gt;=$S14),$V14,$U14)))=Milestones!$AB$71),UPPER(TEXT(EDATE($D14,Milestones!$AA$71),"dd mmm yy"))&amp;" "&amp;Milestones!$AB$71&amp;" "&amp;Milestones!$AC$71&amp;";  ","")&amp;IF(AND(EDATE($D14,Milestones!$AA$72)&lt;=AsOfDate,IF($R14=0,$X14,IF(AND($T14&lt;&gt;"",EDATE($D14,Milestones!$AA$72)&gt;=$T14),$W14,IF(AND($S14&lt;&gt;"",EDATE($D14,Milestones!$AA$72)&gt;=$S14),$V14,$U14)))=Milestones!$AB$72),UPPER(TEXT(EDATE($D14,Milestones!$AA$72),"dd mmm yy"))&amp;" "&amp;Milestones!$AB$72&amp;" "&amp;Milestones!$AC$72&amp;";  ","")&amp;IF(AND(EDATE($D14,Milestones!$AA$73)&lt;=AsOfDate,IF($R14=0,$X14,IF(AND($T14&lt;&gt;"",EDATE($D14,Milestones!$AA$73)&gt;=$T14),$W14,IF(AND($S14&lt;&gt;"",EDATE($D14,Milestones!$AA$73)&gt;=$S14),$V14,$U14)))=Milestones!$AB$73),UPPER(TEXT(EDATE($D14,Milestones!$AA$73),"dd mmm yy"))&amp;" "&amp;Milestones!$AB$73&amp;" "&amp;Milestones!$AC$73&amp;";  ","")&amp;IF(AND(EDATE($D14,Milestones!$AA$74)&lt;=AsOfDate,IF($R14=0,$X14,IF(AND($T14&lt;&gt;"",EDATE($D14,Milestones!$AA$74)&gt;=$T14),$W14,IF(AND($S14&lt;&gt;"",EDATE($D14,Milestones!$AA$74)&gt;=$S14),$V14,$U14)))=Milestones!$AB$74),UPPER(TEXT(EDATE($D14,Milestones!$AA$74),"dd mmm yy"))&amp;" "&amp;Milestones!$AB$74&amp;" "&amp;Milestones!$AC$74&amp;";  ","")&amp;IF(AND(EDATE($D14,Milestones!$AA$75)&lt;=AsOfDate,IF($R14=0,$X14,IF(AND($T14&lt;&gt;"",EDATE($D14,Milestones!$AA$75)&gt;=$T14),$W14,IF(AND($S14&lt;&gt;"",EDATE($D14,Milestones!$AA$75)&gt;=$S14),$V14,$U14)))=Milestones!$AB$75),UPPER(TEXT(EDATE($D14,Milestones!$AA$75),"dd mmm yy"))&amp;" "&amp;Milestones!$AB$75&amp;" "&amp;Milestones!$AC$75&amp;";  ","")&amp;IF(AND(EDATE($D14,Milestones!$AA$76)&lt;=AsOfDate,IF($R14=0,$X14,IF(AND($T14&lt;&gt;"",EDATE($D14,Milestones!$AA$76)&gt;=$T14),$W14,IF(AND($S14&lt;&gt;"",EDATE($D14,Milestones!$AA$76)&gt;=$S14),$V14,$U14)))=Milestones!$AB$76),UPPER(TEXT(EDATE($D14,Milestones!$AA$76),"dd mmm yy"))&amp;" "&amp;Milestones!$AB$76&amp;" "&amp;Milestones!$AC$76&amp;";  ","")&amp;IF(AND(EDATE($D14,Milestones!$AA$77)&lt;=AsOfDate,IF($R14=0,$X14,IF(AND($T14&lt;&gt;"",EDATE($D14,Milestones!$AA$77)&gt;=$T14),$W14,IF(AND($S14&lt;&gt;"",EDATE($D14,Milestones!$AA$77)&gt;=$S14),$V14,$U14)))=Milestones!$AB$77),UPPER(TEXT(EDATE($D14,Milestones!$AA$77),"dd mmm yy"))&amp;" "&amp;Milestones!$AB$77&amp;" "&amp;Milestones!$AC$77&amp;";  ","")&amp;IF(AND(EDATE($D14,Milestones!$AA$78)&lt;=AsOfDate,IF($R14=0,$X14,IF(AND($T14&lt;&gt;"",EDATE($D14,Milestones!$AA$78)&gt;=$T14),$W14,IF(AND($S14&lt;&gt;"",EDATE($D14,Milestones!$AA$78)&gt;=$S14),$V14,$U14)))=Milestones!$AB$78),UPPER(TEXT(EDATE($D14,Milestones!$AA$78),"dd mmm yy"))&amp;" "&amp;Milestones!$AB$78&amp;" "&amp;Milestones!$AC$78&amp;";  ","")&amp;IF(AND(EDATE($D14,Milestones!$AA$79)&lt;=AsOfDate,IF($R14=0,$X14,IF(AND($T14&lt;&gt;"",EDATE($D14,Milestones!$AA$79)&gt;=$T14),$W14,IF(AND($S14&lt;&gt;"",EDATE($D14,Milestones!$AA$79)&gt;=$S14),$V14,$U14)))=Milestones!$AB$79),UPPER(TEXT(EDATE($D14,Milestones!$AA$79),"dd mmm yy"))&amp;" "&amp;Milestones!$AB$79&amp;" "&amp;Milestones!$AC$79&amp;";  ",""))</f>
        <v/>
      </c>
      <c r="L14" s="0" t="str">
        <f aca="false">IF(OR($A14="",$D14=""),"",IF(AND(EDATE($D14,Milestones!$AA$80)&lt;=AsOfDate,IF($R14=0,$X14,IF(AND($T14&lt;&gt;"",EDATE($D14,Milestones!$AA$80)&gt;=$T14),$W14,IF(AND($S14&lt;&gt;"",EDATE($D14,Milestones!$AA$80)&gt;=$S14),$V14,$U14)))=Milestones!$AB$80),UPPER(TEXT(EDATE($D14,Milestones!$AA$80),"dd mmm yy"))&amp;" "&amp;Milestones!$AB$80&amp;" "&amp;Milestones!$AC$80&amp;";  ","")&amp;IF(AND(EDATE($D14,Milestones!$AA$81)&lt;=AsOfDate,IF($R14=0,$X14,IF(AND($T14&lt;&gt;"",EDATE($D14,Milestones!$AA$81)&gt;=$T14),$W14,IF(AND($S14&lt;&gt;"",EDATE($D14,Milestones!$AA$81)&gt;=$S14),$V14,$U14)))=Milestones!$AB$81),UPPER(TEXT(EDATE($D14,Milestones!$AA$81),"dd mmm yy"))&amp;" "&amp;Milestones!$AB$81&amp;" "&amp;Milestones!$AC$81&amp;";  ","")&amp;IF(AND(EDATE($D14,Milestones!$AA$82)&lt;=AsOfDate,IF($R14=0,$X14,IF(AND($T14&lt;&gt;"",EDATE($D14,Milestones!$AA$82)&gt;=$T14),$W14,IF(AND($S14&lt;&gt;"",EDATE($D14,Milestones!$AA$82)&gt;=$S14),$V14,$U14)))=Milestones!$AB$82),UPPER(TEXT(EDATE($D14,Milestones!$AA$82),"dd mmm yy"))&amp;" "&amp;Milestones!$AB$82&amp;" "&amp;Milestones!$AC$82&amp;";  ","")&amp;IF(AND(EDATE($D14,Milestones!$AA$83)&lt;=AsOfDate,IF($R14=0,$X14,IF(AND($T14&lt;&gt;"",EDATE($D14,Milestones!$AA$83)&gt;=$T14),$W14,IF(AND($S14&lt;&gt;"",EDATE($D14,Milestones!$AA$83)&gt;=$S14),$V14,$U14)))=Milestones!$AB$83),UPPER(TEXT(EDATE($D14,Milestones!$AA$83),"dd mmm yy"))&amp;" "&amp;Milestones!$AB$83&amp;" "&amp;Milestones!$AC$83&amp;";  ","")&amp;IF(AND(EDATE($D14,Milestones!$AA$84)&lt;=AsOfDate,IF($R14=0,$X14,IF(AND($T14&lt;&gt;"",EDATE($D14,Milestones!$AA$84)&gt;=$T14),$W14,IF(AND($S14&lt;&gt;"",EDATE($D14,Milestones!$AA$84)&gt;=$S14),$V14,$U14)))=Milestones!$AB$84),UPPER(TEXT(EDATE($D14,Milestones!$AA$84),"dd mmm yy"))&amp;" "&amp;Milestones!$AB$84&amp;" "&amp;Milestones!$AC$84&amp;";  ","")&amp;IF(AND(EDATE($D14,Milestones!$AA$85)&lt;=AsOfDate,IF($R14=0,$X14,IF(AND($T14&lt;&gt;"",EDATE($D14,Milestones!$AA$85)&gt;=$T14),$W14,IF(AND($S14&lt;&gt;"",EDATE($D14,Milestones!$AA$85)&gt;=$S14),$V14,$U14)))=Milestones!$AB$85),UPPER(TEXT(EDATE($D14,Milestones!$AA$85),"dd mmm yy"))&amp;" "&amp;Milestones!$AB$85&amp;" "&amp;Milestones!$AC$85&amp;";  ","")&amp;IF(AND(EDATE($D14,Milestones!$AA$86)&lt;=AsOfDate,IF($R14=0,$X14,IF(AND($T14&lt;&gt;"",EDATE($D14,Milestones!$AA$86)&gt;=$T14),$W14,IF(AND($S14&lt;&gt;"",EDATE($D14,Milestones!$AA$86)&gt;=$S14),$V14,$U14)))=Milestones!$AB$86),UPPER(TEXT(EDATE($D14,Milestones!$AA$86),"dd mmm yy"))&amp;" "&amp;Milestones!$AB$86&amp;" "&amp;Milestones!$AC$86&amp;";  ","")&amp;IF(AND(EDATE($D14,Milestones!$AA$87)&lt;=AsOfDate,IF($R14=0,$X14,IF(AND($T14&lt;&gt;"",EDATE($D14,Milestones!$AA$87)&gt;=$T14),$W14,IF(AND($S14&lt;&gt;"",EDATE($D14,Milestones!$AA$87)&gt;=$S14),$V14,$U14)))=Milestones!$AB$87),UPPER(TEXT(EDATE($D14,Milestones!$AA$87),"dd mmm yy"))&amp;" "&amp;Milestones!$AB$87&amp;" "&amp;Milestones!$AC$87&amp;";  ","")&amp;IF(AND(EDATE($D14,Milestones!$AA$88)&lt;=AsOfDate,IF($R14=0,$X14,IF(AND($T14&lt;&gt;"",EDATE($D14,Milestones!$AA$88)&gt;=$T14),$W14,IF(AND($S14&lt;&gt;"",EDATE($D14,Milestones!$AA$88)&gt;=$S14),$V14,$U14)))=Milestones!$AB$88),UPPER(TEXT(EDATE($D14,Milestones!$AA$88),"dd mmm yy"))&amp;" "&amp;Milestones!$AB$88&amp;" "&amp;Milestones!$AC$88&amp;";  ","")&amp;IF(AND(EDATE($D14,Milestones!$AA$89)&lt;=AsOfDate,IF($R14=0,$X14,IF(AND($T14&lt;&gt;"",EDATE($D14,Milestones!$AA$89)&gt;=$T14),$W14,IF(AND($S14&lt;&gt;"",EDATE($D14,Milestones!$AA$89)&gt;=$S14),$V14,$U14)))=Milestones!$AB$89),UPPER(TEXT(EDATE($D14,Milestones!$AA$89),"dd mmm yy"))&amp;" "&amp;Milestones!$AB$89&amp;" "&amp;Milestones!$AC$89&amp;";  ","")&amp;IF(AND(EDATE($D14,Milestones!$AA$90)&lt;=AsOfDate,IF($R14=0,$X14,IF(AND($T14&lt;&gt;"",EDATE($D14,Milestones!$AA$90)&gt;=$T14),$W14,IF(AND($S14&lt;&gt;"",EDATE($D14,Milestones!$AA$90)&gt;=$S14),$V14,$U14)))=Milestones!$AB$90),UPPER(TEXT(EDATE($D14,Milestones!$AA$90),"dd mmm yy"))&amp;" "&amp;Milestones!$AB$90&amp;" "&amp;Milestones!$AC$90&amp;";  ","")&amp;IF(AND(EDATE($D14,Milestones!$AA$91)&lt;=AsOfDate,IF($R14=0,$X14,IF(AND($T14&lt;&gt;"",EDATE($D14,Milestones!$AA$91)&gt;=$T14),$W14,IF(AND($S14&lt;&gt;"",EDATE($D14,Milestones!$AA$91)&gt;=$S14),$V14,$U14)))=Milestones!$AB$91),UPPER(TEXT(EDATE($D14,Milestones!$AA$91),"dd mmm yy"))&amp;" "&amp;Milestones!$AB$91&amp;" "&amp;Milestones!$AC$91&amp;";  ","")&amp;IF(AND(EDATE($D14,Milestones!$AA$92)&lt;=AsOfDate,IF($R14=0,$X14,IF(AND($T14&lt;&gt;"",EDATE($D14,Milestones!$AA$92)&gt;=$T14),$W14,IF(AND($S14&lt;&gt;"",EDATE($D14,Milestones!$AA$92)&gt;=$S14),$V14,$U14)))=Milestones!$AB$92),UPPER(TEXT(EDATE($D14,Milestones!$AA$92),"dd mmm yy"))&amp;" "&amp;Milestones!$AB$92&amp;" "&amp;Milestones!$AC$92&amp;";  ","")&amp;IF(AND(EDATE($D14,Milestones!$AA$93)&lt;=AsOfDate,IF($R14=0,$X14,IF(AND($T14&lt;&gt;"",EDATE($D14,Milestones!$AA$93)&gt;=$T14),$W14,IF(AND($S14&lt;&gt;"",EDATE($D14,Milestones!$AA$93)&gt;=$S14),$V14,$U14)))=Milestones!$AB$93),UPPER(TEXT(EDATE($D14,Milestones!$AA$93),"dd mmm yy"))&amp;" "&amp;Milestones!$AB$93&amp;" "&amp;Milestones!$AC$93&amp;";  ","")&amp;IF(AND(EDATE($D14,Milestones!$AA$94)&lt;=AsOfDate,IF($R14=0,$X14,IF(AND($T14&lt;&gt;"",EDATE($D14,Milestones!$AA$94)&gt;=$T14),$W14,IF(AND($S14&lt;&gt;"",EDATE($D14,Milestones!$AA$94)&gt;=$S14),$V14,$U14)))=Milestones!$AB$94),UPPER(TEXT(EDATE($D14,Milestones!$AA$94),"dd mmm yy"))&amp;" "&amp;Milestones!$AB$94&amp;" "&amp;Milestones!$AC$94&amp;";  ","")&amp;IF(AND(EDATE($D14,Milestones!$AA$95)&lt;=AsOfDate,IF($R14=0,$X14,IF(AND($T14&lt;&gt;"",EDATE($D14,Milestones!$AA$95)&gt;=$T14),$W14,IF(AND($S14&lt;&gt;"",EDATE($D14,Milestones!$AA$95)&gt;=$S14),$V14,$U14)))=Milestones!$AB$95),UPPER(TEXT(EDATE($D14,Milestones!$AA$95),"dd mmm yy"))&amp;" "&amp;Milestones!$AB$95&amp;" "&amp;Milestones!$AC$95&amp;";  ","")&amp;IF(AND(EDATE($D14,Milestones!$AA$96)&lt;=AsOfDate,IF($R14=0,$X14,IF(AND($T14&lt;&gt;"",EDATE($D14,Milestones!$AA$96)&gt;=$T14),$W14,IF(AND($S14&lt;&gt;"",EDATE($D14,Milestones!$AA$96)&gt;=$S14),$V14,$U14)))=Milestones!$AB$96),UPPER(TEXT(EDATE($D14,Milestones!$AA$96),"dd mmm yy"))&amp;" "&amp;Milestones!$AB$96&amp;" "&amp;Milestones!$AC$96&amp;";  ","")&amp;IF(AND(EDATE($D14,Milestones!$AA$97)&lt;=AsOfDate,IF($R14=0,$X14,IF(AND($T14&lt;&gt;"",EDATE($D14,Milestones!$AA$97)&gt;=$T14),$W14,IF(AND($S14&lt;&gt;"",EDATE($D14,Milestones!$AA$97)&gt;=$S14),$V14,$U14)))=Milestones!$AB$97),UPPER(TEXT(EDATE($D14,Milestones!$AA$97),"dd mmm yy"))&amp;" "&amp;Milestones!$AB$97&amp;" "&amp;Milestones!$AC$97&amp;";  ","")&amp;IF(AND(EDATE($D14,Milestones!$AA$98)&lt;=AsOfDate,IF($R14=0,$X14,IF(AND($T14&lt;&gt;"",EDATE($D14,Milestones!$AA$98)&gt;=$T14),$W14,IF(AND($S14&lt;&gt;"",EDATE($D14,Milestones!$AA$98)&gt;=$S14),$V14,$U14)))=Milestones!$AB$98),UPPER(TEXT(EDATE($D14,Milestones!$AA$98),"dd mmm yy"))&amp;" "&amp;Milestones!$AB$98&amp;" "&amp;Milestones!$AC$98&amp;";  ","")&amp;IF(AND(EDATE($D14,Milestones!$AA$99)&lt;=AsOfDate,IF($R14=0,$X14,IF(AND($T14&lt;&gt;"",EDATE($D14,Milestones!$AA$99)&gt;=$T14),$W14,IF(AND($S14&lt;&gt;"",EDATE($D14,Milestones!$AA$99)&gt;=$S14),$V14,$U14)))=Milestones!$AB$99),UPPER(TEXT(EDATE($D14,Milestones!$AA$99),"dd mmm yy"))&amp;" "&amp;Milestones!$AB$99&amp;" "&amp;Milestones!$AC$99&amp;";  ",""))</f>
        <v/>
      </c>
      <c r="M14" s="0" t="str">
        <f aca="false">IF(OR($A14="",$D14=""),"",IF(AND(EDATE($D14,Milestones!$AA$100)&lt;=AsOfDate,IF($R14=0,$X14,IF(AND($T14&lt;&gt;"",EDATE($D14,Milestones!$AA$100)&gt;=$T14),$W14,IF(AND($S14&lt;&gt;"",EDATE($D14,Milestones!$AA$100)&gt;=$S14),$V14,$U14)))=Milestones!$AB$100),UPPER(TEXT(EDATE($D14,Milestones!$AA$100),"dd mmm yy"))&amp;" "&amp;Milestones!$AB$100&amp;" "&amp;Milestones!$AC$100&amp;";  ","")&amp;IF(AND(EDATE($D14,Milestones!$AA$101)&lt;=AsOfDate,IF($R14=0,$X14,IF(AND($T14&lt;&gt;"",EDATE($D14,Milestones!$AA$101)&gt;=$T14),$W14,IF(AND($S14&lt;&gt;"",EDATE($D14,Milestones!$AA$101)&gt;=$S14),$V14,$U14)))=Milestones!$AB$101),UPPER(TEXT(EDATE($D14,Milestones!$AA$101),"dd mmm yy"))&amp;" "&amp;Milestones!$AB$101&amp;" "&amp;Milestones!$AC$101&amp;";  ","")&amp;IF(AND(EDATE($D14,Milestones!$AA$102)&lt;=AsOfDate,IF($R14=0,$X14,IF(AND($T14&lt;&gt;"",EDATE($D14,Milestones!$AA$102)&gt;=$T14),$W14,IF(AND($S14&lt;&gt;"",EDATE($D14,Milestones!$AA$102)&gt;=$S14),$V14,$U14)))=Milestones!$AB$102),UPPER(TEXT(EDATE($D14,Milestones!$AA$102),"dd mmm yy"))&amp;" "&amp;Milestones!$AB$102&amp;" "&amp;Milestones!$AC$102&amp;";  ","")&amp;IF(AND(EDATE($D14,Milestones!$AA$103)&lt;=AsOfDate,IF($R14=0,$X14,IF(AND($T14&lt;&gt;"",EDATE($D14,Milestones!$AA$103)&gt;=$T14),$W14,IF(AND($S14&lt;&gt;"",EDATE($D14,Milestones!$AA$103)&gt;=$S14),$V14,$U14)))=Milestones!$AB$103),UPPER(TEXT(EDATE($D14,Milestones!$AA$103),"dd mmm yy"))&amp;" "&amp;Milestones!$AB$103&amp;" "&amp;Milestones!$AC$103&amp;";  ","")&amp;IF(AND(EDATE($D14,Milestones!$AA$104)&lt;=AsOfDate,IF($R14=0,$X14,IF(AND($T14&lt;&gt;"",EDATE($D14,Milestones!$AA$104)&gt;=$T14),$W14,IF(AND($S14&lt;&gt;"",EDATE($D14,Milestones!$AA$104)&gt;=$S14),$V14,$U14)))=Milestones!$AB$104),UPPER(TEXT(EDATE($D14,Milestones!$AA$104),"dd mmm yy"))&amp;" "&amp;Milestones!$AB$104&amp;" "&amp;Milestones!$AC$104&amp;";  ","")&amp;IF(AND(EDATE($D14,Milestones!$AA$105)&lt;=AsOfDate,IF($R14=0,$X14,IF(AND($T14&lt;&gt;"",EDATE($D14,Milestones!$AA$105)&gt;=$T14),$W14,IF(AND($S14&lt;&gt;"",EDATE($D14,Milestones!$AA$105)&gt;=$S14),$V14,$U14)))=Milestones!$AB$105),UPPER(TEXT(EDATE($D14,Milestones!$AA$105),"dd mmm yy"))&amp;" "&amp;Milestones!$AB$105&amp;" "&amp;Milestones!$AC$105&amp;";  ","")&amp;IF(AND(EDATE($D14,Milestones!$AA$106)&lt;=AsOfDate,IF($R14=0,$X14,IF(AND($T14&lt;&gt;"",EDATE($D14,Milestones!$AA$106)&gt;=$T14),$W14,IF(AND($S14&lt;&gt;"",EDATE($D14,Milestones!$AA$106)&gt;=$S14),$V14,$U14)))=Milestones!$AB$106),UPPER(TEXT(EDATE($D14,Milestones!$AA$106),"dd mmm yy"))&amp;" "&amp;Milestones!$AB$106&amp;" "&amp;Milestones!$AC$106&amp;";  ","")&amp;IF(AND(EDATE($D14,Milestones!$AA$107)&lt;=AsOfDate,IF($R14=0,$X14,IF(AND($T14&lt;&gt;"",EDATE($D14,Milestones!$AA$107)&gt;=$T14),$W14,IF(AND($S14&lt;&gt;"",EDATE($D14,Milestones!$AA$107)&gt;=$S14),$V14,$U14)))=Milestones!$AB$107),UPPER(TEXT(EDATE($D14,Milestones!$AA$107),"dd mmm yy"))&amp;" "&amp;Milestones!$AB$107&amp;" "&amp;Milestones!$AC$107&amp;";  ","")&amp;IF(AND(EDATE($D14,Milestones!$AA$108)&lt;=AsOfDate,IF($R14=0,$X14,IF(AND($T14&lt;&gt;"",EDATE($D14,Milestones!$AA$108)&gt;=$T14),$W14,IF(AND($S14&lt;&gt;"",EDATE($D14,Milestones!$AA$108)&gt;=$S14),$V14,$U14)))=Milestones!$AB$108),UPPER(TEXT(EDATE($D14,Milestones!$AA$108),"dd mmm yy"))&amp;" "&amp;Milestones!$AB$108&amp;" "&amp;Milestones!$AC$108&amp;";  ","")&amp;IF(AND(EDATE($D14,Milestones!$AA$109)&lt;=AsOfDate,IF($R14=0,$X14,IF(AND($T14&lt;&gt;"",EDATE($D14,Milestones!$AA$109)&gt;=$T14),$W14,IF(AND($S14&lt;&gt;"",EDATE($D14,Milestones!$AA$109)&gt;=$S14),$V14,$U14)))=Milestones!$AB$109),UPPER(TEXT(EDATE($D14,Milestones!$AA$109),"dd mmm yy"))&amp;" "&amp;Milestones!$AB$109&amp;" "&amp;Milestones!$AC$109&amp;";  ","")&amp;IF(AND(EDATE($D14,Milestones!$AA$110)&lt;=AsOfDate,IF($R14=0,$X14,IF(AND($T14&lt;&gt;"",EDATE($D14,Milestones!$AA$110)&gt;=$T14),$W14,IF(AND($S14&lt;&gt;"",EDATE($D14,Milestones!$AA$110)&gt;=$S14),$V14,$U14)))=Milestones!$AB$110),UPPER(TEXT(EDATE($D14,Milestones!$AA$110),"dd mmm yy"))&amp;" "&amp;Milestones!$AB$110&amp;" "&amp;Milestones!$AC$110&amp;";  ","")&amp;IF(AND(EDATE($D14,Milestones!$AA$111)&lt;=AsOfDate,IF($R14=0,$X14,IF(AND($T14&lt;&gt;"",EDATE($D14,Milestones!$AA$111)&gt;=$T14),$W14,IF(AND($S14&lt;&gt;"",EDATE($D14,Milestones!$AA$111)&gt;=$S14),$V14,$U14)))=Milestones!$AB$111),UPPER(TEXT(EDATE($D14,Milestones!$AA$111),"dd mmm yy"))&amp;" "&amp;Milestones!$AB$111&amp;" "&amp;Milestones!$AC$111&amp;";  ","")&amp;IF(AND(EDATE($D14,Milestones!$AA$112)&lt;=AsOfDate,IF($R14=0,$X14,IF(AND($T14&lt;&gt;"",EDATE($D14,Milestones!$AA$112)&gt;=$T14),$W14,IF(AND($S14&lt;&gt;"",EDATE($D14,Milestones!$AA$112)&gt;=$S14),$V14,$U14)))=Milestones!$AB$112),UPPER(TEXT(EDATE($D14,Milestones!$AA$112),"dd mmm yy"))&amp;" "&amp;Milestones!$AB$112&amp;" "&amp;Milestones!$AC$112&amp;";  ","")&amp;IF(AND(EDATE($D14,Milestones!$AA$113)&lt;=AsOfDate,IF($R14=0,$X14,IF(AND($T14&lt;&gt;"",EDATE($D14,Milestones!$AA$113)&gt;=$T14),$W14,IF(AND($S14&lt;&gt;"",EDATE($D14,Milestones!$AA$113)&gt;=$S14),$V14,$U14)))=Milestones!$AB$113),UPPER(TEXT(EDATE($D14,Milestones!$AA$113),"dd mmm yy"))&amp;" "&amp;Milestones!$AB$113&amp;" "&amp;Milestones!$AC$113&amp;";  ","")&amp;IF(AND(EDATE($D14,Milestones!$AA$114)&lt;=AsOfDate,IF($R14=0,$X14,IF(AND($T14&lt;&gt;"",EDATE($D14,Milestones!$AA$114)&gt;=$T14),$W14,IF(AND($S14&lt;&gt;"",EDATE($D14,Milestones!$AA$114)&gt;=$S14),$V14,$U14)))=Milestones!$AB$114),UPPER(TEXT(EDATE($D14,Milestones!$AA$114),"dd mmm yy"))&amp;" "&amp;Milestones!$AB$114&amp;" "&amp;Milestones!$AC$114&amp;";  ","")&amp;IF(AND(EDATE($D14,Milestones!$AA$115)&lt;=AsOfDate,IF($R14=0,$X14,IF(AND($T14&lt;&gt;"",EDATE($D14,Milestones!$AA$115)&gt;=$T14),$W14,IF(AND($S14&lt;&gt;"",EDATE($D14,Milestones!$AA$115)&gt;=$S14),$V14,$U14)))=Milestones!$AB$115),UPPER(TEXT(EDATE($D14,Milestones!$AA$115),"dd mmm yy"))&amp;" "&amp;Milestones!$AB$115&amp;" "&amp;Milestones!$AC$115&amp;";  ","")&amp;IF(AND(EDATE($D14,Milestones!$AA$116)&lt;=AsOfDate,IF($R14=0,$X14,IF(AND($T14&lt;&gt;"",EDATE($D14,Milestones!$AA$116)&gt;=$T14),$W14,IF(AND($S14&lt;&gt;"",EDATE($D14,Milestones!$AA$116)&gt;=$S14),$V14,$U14)))=Milestones!$AB$116),UPPER(TEXT(EDATE($D14,Milestones!$AA$116),"dd mmm yy"))&amp;" "&amp;Milestones!$AB$116&amp;" "&amp;Milestones!$AC$116&amp;";  ","")&amp;IF(AND(EDATE($D14,Milestones!$AA$117)&lt;=AsOfDate,IF($R14=0,$X14,IF(AND($T14&lt;&gt;"",EDATE($D14,Milestones!$AA$117)&gt;=$T14),$W14,IF(AND($S14&lt;&gt;"",EDATE($D14,Milestones!$AA$117)&gt;=$S14),$V14,$U14)))=Milestones!$AB$117),UPPER(TEXT(EDATE($D14,Milestones!$AA$117),"dd mmm yy"))&amp;" "&amp;Milestones!$AB$117&amp;" "&amp;Milestones!$AC$117&amp;";  ","")&amp;IF(AND(EDATE($D14,Milestones!$AA$118)&lt;=AsOfDate,IF($R14=0,$X14,IF(AND($T14&lt;&gt;"",EDATE($D14,Milestones!$AA$118)&gt;=$T14),$W14,IF(AND($S14&lt;&gt;"",EDATE($D14,Milestones!$AA$118)&gt;=$S14),$V14,$U14)))=Milestones!$AB$118),UPPER(TEXT(EDATE($D14,Milestones!$AA$118),"dd mmm yy"))&amp;" "&amp;Milestones!$AB$118&amp;" "&amp;Milestones!$AC$118&amp;";  ","")&amp;IF(AND(EDATE($D14,Milestones!$AA$119)&lt;=AsOfDate,IF($R14=0,$X14,IF(AND($T14&lt;&gt;"",EDATE($D14,Milestones!$AA$119)&gt;=$T14),$W14,IF(AND($S14&lt;&gt;"",EDATE($D14,Milestones!$AA$119)&gt;=$S14),$V14,$U14)))=Milestones!$AB$119),UPPER(TEXT(EDATE($D14,Milestones!$AA$119),"dd mmm yy"))&amp;" "&amp;Milestones!$AB$119&amp;" "&amp;Milestones!$AC$119&amp;";  ",""))</f>
        <v/>
      </c>
      <c r="N14" s="0" t="str">
        <f aca="false">IF(OR($A14="",$D14=""),"",IF(AND(EDATE($D14,Milestones!$AA$120)&lt;=AsOfDate,IF($R14=0,$X14,IF(AND($T14&lt;&gt;"",EDATE($D14,Milestones!$AA$120)&gt;=$T14),$W14,IF(AND($S14&lt;&gt;"",EDATE($D14,Milestones!$AA$120)&gt;=$S14),$V14,$U14)))=Milestones!$AB$120),UPPER(TEXT(EDATE($D14,Milestones!$AA$120),"dd mmm yy"))&amp;" "&amp;Milestones!$AB$120&amp;" "&amp;Milestones!$AC$120&amp;";  ","")&amp;IF(AND(EDATE($D14,Milestones!$AA$121)&lt;=AsOfDate,IF($R14=0,$X14,IF(AND($T14&lt;&gt;"",EDATE($D14,Milestones!$AA$121)&gt;=$T14),$W14,IF(AND($S14&lt;&gt;"",EDATE($D14,Milestones!$AA$121)&gt;=$S14),$V14,$U14)))=Milestones!$AB$121),UPPER(TEXT(EDATE($D14,Milestones!$AA$121),"dd mmm yy"))&amp;" "&amp;Milestones!$AB$121&amp;" "&amp;Milestones!$AC$121&amp;";  ","")&amp;IF(AND(EDATE($D14,Milestones!$AA$122)&lt;=AsOfDate,IF($R14=0,$X14,IF(AND($T14&lt;&gt;"",EDATE($D14,Milestones!$AA$122)&gt;=$T14),$W14,IF(AND($S14&lt;&gt;"",EDATE($D14,Milestones!$AA$122)&gt;=$S14),$V14,$U14)))=Milestones!$AB$122),UPPER(TEXT(EDATE($D14,Milestones!$AA$122),"dd mmm yy"))&amp;" "&amp;Milestones!$AB$122&amp;" "&amp;Milestones!$AC$122&amp;";  ","")&amp;IF(AND(EDATE($D14,Milestones!$AA$123)&lt;=AsOfDate,IF($R14=0,$X14,IF(AND($T14&lt;&gt;"",EDATE($D14,Milestones!$AA$123)&gt;=$T14),$W14,IF(AND($S14&lt;&gt;"",EDATE($D14,Milestones!$AA$123)&gt;=$S14),$V14,$U14)))=Milestones!$AB$123),UPPER(TEXT(EDATE($D14,Milestones!$AA$123),"dd mmm yy"))&amp;" "&amp;Milestones!$AB$123&amp;" "&amp;Milestones!$AC$123&amp;";  ","")&amp;IF(AND(EDATE($D14,Milestones!$AA$124)&lt;=AsOfDate,IF($R14=0,$X14,IF(AND($T14&lt;&gt;"",EDATE($D14,Milestones!$AA$124)&gt;=$T14),$W14,IF(AND($S14&lt;&gt;"",EDATE($D14,Milestones!$AA$124)&gt;=$S14),$V14,$U14)))=Milestones!$AB$124),UPPER(TEXT(EDATE($D14,Milestones!$AA$124),"dd mmm yy"))&amp;" "&amp;Milestones!$AB$124&amp;" "&amp;Milestones!$AC$124&amp;";  ","")&amp;IF(AND(EDATE($D14,Milestones!$AA$125)&lt;=AsOfDate,IF($R14=0,$X14,IF(AND($T14&lt;&gt;"",EDATE($D14,Milestones!$AA$125)&gt;=$T14),$W14,IF(AND($S14&lt;&gt;"",EDATE($D14,Milestones!$AA$125)&gt;=$S14),$V14,$U14)))=Milestones!$AB$125),UPPER(TEXT(EDATE($D14,Milestones!$AA$125),"dd mmm yy"))&amp;" "&amp;Milestones!$AB$125&amp;" "&amp;Milestones!$AC$125&amp;";  ","")&amp;IF(AND(EDATE($D14,Milestones!$AA$126)&lt;=AsOfDate,IF($R14=0,$X14,IF(AND($T14&lt;&gt;"",EDATE($D14,Milestones!$AA$126)&gt;=$T14),$W14,IF(AND($S14&lt;&gt;"",EDATE($D14,Milestones!$AA$126)&gt;=$S14),$V14,$U14)))=Milestones!$AB$126),UPPER(TEXT(EDATE($D14,Milestones!$AA$126),"dd mmm yy"))&amp;" "&amp;Milestones!$AB$126&amp;" "&amp;Milestones!$AC$126&amp;";  ","")&amp;IF(AND(EDATE($D14,Milestones!$AA$127)&lt;=AsOfDate,IF($R14=0,$X14,IF(AND($T14&lt;&gt;"",EDATE($D14,Milestones!$AA$127)&gt;=$T14),$W14,IF(AND($S14&lt;&gt;"",EDATE($D14,Milestones!$AA$127)&gt;=$S14),$V14,$U14)))=Milestones!$AB$127),UPPER(TEXT(EDATE($D14,Milestones!$AA$127),"dd mmm yy"))&amp;" "&amp;Milestones!$AB$127&amp;" "&amp;Milestones!$AC$127&amp;";  ","")&amp;IF(AND(EDATE($D14,Milestones!$AA$128)&lt;=AsOfDate,IF($R14=0,$X14,IF(AND($T14&lt;&gt;"",EDATE($D14,Milestones!$AA$128)&gt;=$T14),$W14,IF(AND($S14&lt;&gt;"",EDATE($D14,Milestones!$AA$128)&gt;=$S14),$V14,$U14)))=Milestones!$AB$128),UPPER(TEXT(EDATE($D14,Milestones!$AA$128),"dd mmm yy"))&amp;" "&amp;Milestones!$AB$128&amp;" "&amp;Milestones!$AC$128&amp;";  ","")&amp;IF(AND(EDATE($D14,Milestones!$AA$129)&lt;=AsOfDate,IF($R14=0,$X14,IF(AND($T14&lt;&gt;"",EDATE($D14,Milestones!$AA$129)&gt;=$T14),$W14,IF(AND($S14&lt;&gt;"",EDATE($D14,Milestones!$AA$129)&gt;=$S14),$V14,$U14)))=Milestones!$AB$129),UPPER(TEXT(EDATE($D14,Milestones!$AA$129),"dd mmm yy"))&amp;" "&amp;Milestones!$AB$129&amp;" "&amp;Milestones!$AC$129&amp;";  ","")&amp;IF(AND(EDATE($D14,Milestones!$AA$130)&lt;=AsOfDate,IF($R14=0,$X14,IF(AND($T14&lt;&gt;"",EDATE($D14,Milestones!$AA$130)&gt;=$T14),$W14,IF(AND($S14&lt;&gt;"",EDATE($D14,Milestones!$AA$130)&gt;=$S14),$V14,$U14)))=Milestones!$AB$130),UPPER(TEXT(EDATE($D14,Milestones!$AA$130),"dd mmm yy"))&amp;" "&amp;Milestones!$AB$130&amp;" "&amp;Milestones!$AC$130&amp;";  ","")&amp;IF(AND(EDATE($D14,Milestones!$AA$131)&lt;=AsOfDate,IF($R14=0,$X14,IF(AND($T14&lt;&gt;"",EDATE($D14,Milestones!$AA$131)&gt;=$T14),$W14,IF(AND($S14&lt;&gt;"",EDATE($D14,Milestones!$AA$131)&gt;=$S14),$V14,$U14)))=Milestones!$AB$131),UPPER(TEXT(EDATE($D14,Milestones!$AA$131),"dd mmm yy"))&amp;" "&amp;Milestones!$AB$131&amp;" "&amp;Milestones!$AC$131&amp;";  ","")&amp;IF(AND(EDATE($D14,Milestones!$AA$132)&lt;=AsOfDate,IF($R14=0,$X14,IF(AND($T14&lt;&gt;"",EDATE($D14,Milestones!$AA$132)&gt;=$T14),$W14,IF(AND($S14&lt;&gt;"",EDATE($D14,Milestones!$AA$132)&gt;=$S14),$V14,$U14)))=Milestones!$AB$132),UPPER(TEXT(EDATE($D14,Milestones!$AA$132),"dd mmm yy"))&amp;" "&amp;Milestones!$AB$132&amp;" "&amp;Milestones!$AC$132&amp;";  ","")&amp;IF(AND(EDATE($D14,Milestones!$AA$133)&lt;=AsOfDate,IF($R14=0,$X14,IF(AND($T14&lt;&gt;"",EDATE($D14,Milestones!$AA$133)&gt;=$T14),$W14,IF(AND($S14&lt;&gt;"",EDATE($D14,Milestones!$AA$133)&gt;=$S14),$V14,$U14)))=Milestones!$AB$133),UPPER(TEXT(EDATE($D14,Milestones!$AA$133),"dd mmm yy"))&amp;" "&amp;Milestones!$AB$133&amp;" "&amp;Milestones!$AC$133&amp;";  ","")&amp;IF(AND(EDATE($D14,Milestones!$AA$134)&lt;=AsOfDate,IF($R14=0,$X14,IF(AND($T14&lt;&gt;"",EDATE($D14,Milestones!$AA$134)&gt;=$T14),$W14,IF(AND($S14&lt;&gt;"",EDATE($D14,Milestones!$AA$134)&gt;=$S14),$V14,$U14)))=Milestones!$AB$134),UPPER(TEXT(EDATE($D14,Milestones!$AA$134),"dd mmm yy"))&amp;" "&amp;Milestones!$AB$134&amp;" "&amp;Milestones!$AC$134&amp;";  ","")&amp;IF(AND(EDATE($D14,Milestones!$AA$135)&lt;=AsOfDate,IF($R14=0,$X14,IF(AND($T14&lt;&gt;"",EDATE($D14,Milestones!$AA$135)&gt;=$T14),$W14,IF(AND($S14&lt;&gt;"",EDATE($D14,Milestones!$AA$135)&gt;=$S14),$V14,$U14)))=Milestones!$AB$135),UPPER(TEXT(EDATE($D14,Milestones!$AA$135),"dd mmm yy"))&amp;" "&amp;Milestones!$AB$135&amp;" "&amp;Milestones!$AC$135&amp;";  ","")&amp;IF(AND(EDATE($D14,Milestones!$AA$136)&lt;=AsOfDate,IF($R14=0,$X14,IF(AND($T14&lt;&gt;"",EDATE($D14,Milestones!$AA$136)&gt;=$T14),$W14,IF(AND($S14&lt;&gt;"",EDATE($D14,Milestones!$AA$136)&gt;=$S14),$V14,$U14)))=Milestones!$AB$136),UPPER(TEXT(EDATE($D14,Milestones!$AA$136),"dd mmm yy"))&amp;" "&amp;Milestones!$AB$136&amp;" "&amp;Milestones!$AC$136&amp;";  ","")&amp;IF(AND(EDATE($D14,Milestones!$AA$137)&lt;=AsOfDate,IF($R14=0,$X14,IF(AND($T14&lt;&gt;"",EDATE($D14,Milestones!$AA$137)&gt;=$T14),$W14,IF(AND($S14&lt;&gt;"",EDATE($D14,Milestones!$AA$137)&gt;=$S14),$V14,$U14)))=Milestones!$AB$137),UPPER(TEXT(EDATE($D14,Milestones!$AA$137),"dd mmm yy"))&amp;" "&amp;Milestones!$AB$137&amp;" "&amp;Milestones!$AC$137&amp;";  ","")&amp;IF(AND(EDATE($D14,Milestones!$AA$138)&lt;=AsOfDate,IF($R14=0,$X14,IF(AND($T14&lt;&gt;"",EDATE($D14,Milestones!$AA$138)&gt;=$T14),$W14,IF(AND($S14&lt;&gt;"",EDATE($D14,Milestones!$AA$138)&gt;=$S14),$V14,$U14)))=Milestones!$AB$138),UPPER(TEXT(EDATE($D14,Milestones!$AA$138),"dd mmm yy"))&amp;" "&amp;Milestones!$AB$138&amp;" "&amp;Milestones!$AC$138&amp;";  ","")&amp;IF(AND(EDATE($D14,Milestones!$AA$139)&lt;=AsOfDate,IF($R14=0,$X14,IF(AND($T14&lt;&gt;"",EDATE($D14,Milestones!$AA$139)&gt;=$T14),$W14,IF(AND($S14&lt;&gt;"",EDATE($D14,Milestones!$AA$139)&gt;=$S14),$V14,$U14)))=Milestones!$AB$139),UPPER(TEXT(EDATE($D14,Milestones!$AA$139),"dd mmm yy"))&amp;" "&amp;Milestones!$AB$139&amp;" "&amp;Milestones!$AC$139&amp;";  ",""))</f>
        <v/>
      </c>
      <c r="O14" s="0" t="str">
        <f aca="false">IF(OR($A14="",$D14=""),"",IF(AND(EDATE($D14,Milestones!$AA$140)&lt;=AsOfDate,IF($R14=0,$X14,IF(AND($T14&lt;&gt;"",EDATE($D14,Milestones!$AA$140)&gt;=$T14),$W14,IF(AND($S14&lt;&gt;"",EDATE($D14,Milestones!$AA$140)&gt;=$S14),$V14,$U14)))=Milestones!$AB$140),UPPER(TEXT(EDATE($D14,Milestones!$AA$140),"dd mmm yy"))&amp;" "&amp;Milestones!$AB$140&amp;" "&amp;Milestones!$AC$140&amp;";  ","")&amp;IF(AND(EDATE($D14,Milestones!$AA$141)&lt;=AsOfDate,IF($R14=0,$X14,IF(AND($T14&lt;&gt;"",EDATE($D14,Milestones!$AA$141)&gt;=$T14),$W14,IF(AND($S14&lt;&gt;"",EDATE($D14,Milestones!$AA$141)&gt;=$S14),$V14,$U14)))=Milestones!$AB$141),UPPER(TEXT(EDATE($D14,Milestones!$AA$141),"dd mmm yy"))&amp;" "&amp;Milestones!$AB$141&amp;" "&amp;Milestones!$AC$141&amp;";  ","")&amp;IF(AND(EDATE($D14,Milestones!$AA$142)&lt;=AsOfDate,IF($R14=0,$X14,IF(AND($T14&lt;&gt;"",EDATE($D14,Milestones!$AA$142)&gt;=$T14),$W14,IF(AND($S14&lt;&gt;"",EDATE($D14,Milestones!$AA$142)&gt;=$S14),$V14,$U14)))=Milestones!$AB$142),UPPER(TEXT(EDATE($D14,Milestones!$AA$142),"dd mmm yy"))&amp;" "&amp;Milestones!$AB$142&amp;" "&amp;Milestones!$AC$142&amp;";  ","")&amp;IF(AND(EDATE($D14,Milestones!$AA$143)&lt;=AsOfDate,IF($R14=0,$X14,IF(AND($T14&lt;&gt;"",EDATE($D14,Milestones!$AA$143)&gt;=$T14),$W14,IF(AND($S14&lt;&gt;"",EDATE($D14,Milestones!$AA$143)&gt;=$S14),$V14,$U14)))=Milestones!$AB$143),UPPER(TEXT(EDATE($D14,Milestones!$AA$143),"dd mmm yy"))&amp;" "&amp;Milestones!$AB$143&amp;" "&amp;Milestones!$AC$143&amp;";  ","")&amp;IF(AND(EDATE($D14,Milestones!$AA$144)&lt;=AsOfDate,IF($R14=0,$X14,IF(AND($T14&lt;&gt;"",EDATE($D14,Milestones!$AA$144)&gt;=$T14),$W14,IF(AND($S14&lt;&gt;"",EDATE($D14,Milestones!$AA$144)&gt;=$S14),$V14,$U14)))=Milestones!$AB$144),UPPER(TEXT(EDATE($D14,Milestones!$AA$144),"dd mmm yy"))&amp;" "&amp;Milestones!$AB$144&amp;" "&amp;Milestones!$AC$144&amp;";  ","")&amp;IF(AND(EDATE($D14,Milestones!$AA$145)&lt;=AsOfDate,IF($R14=0,$X14,IF(AND($T14&lt;&gt;"",EDATE($D14,Milestones!$AA$145)&gt;=$T14),$W14,IF(AND($S14&lt;&gt;"",EDATE($D14,Milestones!$AA$145)&gt;=$S14),$V14,$U14)))=Milestones!$AB$145),UPPER(TEXT(EDATE($D14,Milestones!$AA$145),"dd mmm yy"))&amp;" "&amp;Milestones!$AB$145&amp;" "&amp;Milestones!$AC$145&amp;";  ","")&amp;IF(AND(EDATE($D14,Milestones!$AA$146)&lt;=AsOfDate,IF($R14=0,$X14,IF(AND($T14&lt;&gt;"",EDATE($D14,Milestones!$AA$146)&gt;=$T14),$W14,IF(AND($S14&lt;&gt;"",EDATE($D14,Milestones!$AA$146)&gt;=$S14),$V14,$U14)))=Milestones!$AB$146),UPPER(TEXT(EDATE($D14,Milestones!$AA$146),"dd mmm yy"))&amp;" "&amp;Milestones!$AB$146&amp;" "&amp;Milestones!$AC$146&amp;";  ","")&amp;IF(AND(EDATE($D14,Milestones!$AA$147)&lt;=AsOfDate,IF($R14=0,$X14,IF(AND($T14&lt;&gt;"",EDATE($D14,Milestones!$AA$147)&gt;=$T14),$W14,IF(AND($S14&lt;&gt;"",EDATE($D14,Milestones!$AA$147)&gt;=$S14),$V14,$U14)))=Milestones!$AB$147),UPPER(TEXT(EDATE($D14,Milestones!$AA$147),"dd mmm yy"))&amp;" "&amp;Milestones!$AB$147&amp;" "&amp;Milestones!$AC$147&amp;";  ","")&amp;IF(AND(EDATE($D14,Milestones!$AA$148)&lt;=AsOfDate,IF($R14=0,$X14,IF(AND($T14&lt;&gt;"",EDATE($D14,Milestones!$AA$148)&gt;=$T14),$W14,IF(AND($S14&lt;&gt;"",EDATE($D14,Milestones!$AA$148)&gt;=$S14),$V14,$U14)))=Milestones!$AB$148),UPPER(TEXT(EDATE($D14,Milestones!$AA$148),"dd mmm yy"))&amp;" "&amp;Milestones!$AB$148&amp;" "&amp;Milestones!$AC$148&amp;";  ","")&amp;IF(AND(EDATE($D14,Milestones!$AA$149)&lt;=AsOfDate,IF($R14=0,$X14,IF(AND($T14&lt;&gt;"",EDATE($D14,Milestones!$AA$149)&gt;=$T14),$W14,IF(AND($S14&lt;&gt;"",EDATE($D14,Milestones!$AA$149)&gt;=$S14),$V14,$U14)))=Milestones!$AB$149),UPPER(TEXT(EDATE($D14,Milestones!$AA$149),"dd mmm yy"))&amp;" "&amp;Milestones!$AB$149&amp;" "&amp;Milestones!$AC$149&amp;";  ","")&amp;IF(AND(EDATE($D14,Milestones!$AA$150)&lt;=AsOfDate,IF($R14=0,$X14,IF(AND($T14&lt;&gt;"",EDATE($D14,Milestones!$AA$150)&gt;=$T14),$W14,IF(AND($S14&lt;&gt;"",EDATE($D14,Milestones!$AA$150)&gt;=$S14),$V14,$U14)))=Milestones!$AB$150),UPPER(TEXT(EDATE($D14,Milestones!$AA$150),"dd mmm yy"))&amp;" "&amp;Milestones!$AB$150&amp;" "&amp;Milestones!$AC$150&amp;";  ","")&amp;IF(AND(EDATE($D14,Milestones!$AA$151)&lt;=AsOfDate,IF($R14=0,$X14,IF(AND($T14&lt;&gt;"",EDATE($D14,Milestones!$AA$151)&gt;=$T14),$W14,IF(AND($S14&lt;&gt;"",EDATE($D14,Milestones!$AA$151)&gt;=$S14),$V14,$U14)))=Milestones!$AB$151),UPPER(TEXT(EDATE($D14,Milestones!$AA$151),"dd mmm yy"))&amp;" "&amp;Milestones!$AB$151&amp;" "&amp;Milestones!$AC$151&amp;";  ","")&amp;IF(AND(EDATE($D14,Milestones!$AA$152)&lt;=AsOfDate,IF($R14=0,$X14,IF(AND($T14&lt;&gt;"",EDATE($D14,Milestones!$AA$152)&gt;=$T14),$W14,IF(AND($S14&lt;&gt;"",EDATE($D14,Milestones!$AA$152)&gt;=$S14),$V14,$U14)))=Milestones!$AB$152),UPPER(TEXT(EDATE($D14,Milestones!$AA$152),"dd mmm yy"))&amp;" "&amp;Milestones!$AB$152&amp;" "&amp;Milestones!$AC$152&amp;";  ","")&amp;IF(AND(EDATE($D14,Milestones!$AA$153)&lt;=AsOfDate,IF($R14=0,$X14,IF(AND($T14&lt;&gt;"",EDATE($D14,Milestones!$AA$153)&gt;=$T14),$W14,IF(AND($S14&lt;&gt;"",EDATE($D14,Milestones!$AA$153)&gt;=$S14),$V14,$U14)))=Milestones!$AB$153),UPPER(TEXT(EDATE($D14,Milestones!$AA$153),"dd mmm yy"))&amp;" "&amp;Milestones!$AB$153&amp;" "&amp;Milestones!$AC$153&amp;";  ","")&amp;IF(AND(EDATE($D14,Milestones!$AA$154)&lt;=AsOfDate,IF($R14=0,$X14,IF(AND($T14&lt;&gt;"",EDATE($D14,Milestones!$AA$154)&gt;=$T14),$W14,IF(AND($S14&lt;&gt;"",EDATE($D14,Milestones!$AA$154)&gt;=$S14),$V14,$U14)))=Milestones!$AB$154),UPPER(TEXT(EDATE($D14,Milestones!$AA$154),"dd mmm yy"))&amp;" "&amp;Milestones!$AB$154&amp;" "&amp;Milestones!$AC$154&amp;";  ","")&amp;IF(AND(EDATE($D14,Milestones!$AA$155)&lt;=AsOfDate,IF($R14=0,$X14,IF(AND($T14&lt;&gt;"",EDATE($D14,Milestones!$AA$155)&gt;=$T14),$W14,IF(AND($S14&lt;&gt;"",EDATE($D14,Milestones!$AA$155)&gt;=$S14),$V14,$U14)))=Milestones!$AB$155),UPPER(TEXT(EDATE($D14,Milestones!$AA$155),"dd mmm yy"))&amp;" "&amp;Milestones!$AB$155&amp;" "&amp;Milestones!$AC$155&amp;";  ","")&amp;IF(AND(EDATE($D14,Milestones!$AA$156)&lt;=AsOfDate,IF($R14=0,$X14,IF(AND($T14&lt;&gt;"",EDATE($D14,Milestones!$AA$156)&gt;=$T14),$W14,IF(AND($S14&lt;&gt;"",EDATE($D14,Milestones!$AA$156)&gt;=$S14),$V14,$U14)))=Milestones!$AB$156),UPPER(TEXT(EDATE($D14,Milestones!$AA$156),"dd mmm yy"))&amp;" "&amp;Milestones!$AB$156&amp;" "&amp;Milestones!$AC$156&amp;";  ","")&amp;IF(AND(EDATE($D14,Milestones!$AA$157)&lt;=AsOfDate,IF($R14=0,$X14,IF(AND($T14&lt;&gt;"",EDATE($D14,Milestones!$AA$157)&gt;=$T14),$W14,IF(AND($S14&lt;&gt;"",EDATE($D14,Milestones!$AA$157)&gt;=$S14),$V14,$U14)))=Milestones!$AB$157),UPPER(TEXT(EDATE($D14,Milestones!$AA$157),"dd mmm yy"))&amp;" "&amp;Milestones!$AB$157&amp;" "&amp;Milestones!$AC$157&amp;";  ","")&amp;IF(AND(EDATE($D14,Milestones!$AA$158)&lt;=AsOfDate,IF($R14=0,$X14,IF(AND($T14&lt;&gt;"",EDATE($D14,Milestones!$AA$158)&gt;=$T14),$W14,IF(AND($S14&lt;&gt;"",EDATE($D14,Milestones!$AA$158)&gt;=$S14),$V14,$U14)))=Milestones!$AB$158),UPPER(TEXT(EDATE($D14,Milestones!$AA$158),"dd mmm yy"))&amp;" "&amp;Milestones!$AB$158&amp;" "&amp;Milestones!$AC$158&amp;";  ","")&amp;IF(AND(EDATE($D14,Milestones!$AA$159)&lt;=AsOfDate,IF($R14=0,$X14,IF(AND($T14&lt;&gt;"",EDATE($D14,Milestones!$AA$159)&gt;=$T14),$W14,IF(AND($S14&lt;&gt;"",EDATE($D14,Milestones!$AA$159)&gt;=$S14),$V14,$U14)))=Milestones!$AB$159),UPPER(TEXT(EDATE($D14,Milestones!$AA$159),"dd mmm yy"))&amp;" "&amp;Milestones!$AB$159&amp;" "&amp;Milestones!$AC$159&amp;";  ",""))</f>
        <v/>
      </c>
      <c r="P14" s="0" t="str">
        <f aca="false">IF(OR($A14="",$D14=""),"",IF(AND(EDATE($D14,Milestones!$AA$160)&lt;=AsOfDate,IF($R14=0,$X14,IF(AND($T14&lt;&gt;"",EDATE($D14,Milestones!$AA$160)&gt;=$T14),$W14,IF(AND($S14&lt;&gt;"",EDATE($D14,Milestones!$AA$160)&gt;=$S14),$V14,$U14)))=Milestones!$AB$160),UPPER(TEXT(EDATE($D14,Milestones!$AA$160),"dd mmm yy"))&amp;" "&amp;Milestones!$AB$160&amp;" "&amp;Milestones!$AC$160&amp;";  ","")&amp;IF(AND(EDATE($D14,Milestones!$AA$161)&lt;=AsOfDate,IF($R14=0,$X14,IF(AND($T14&lt;&gt;"",EDATE($D14,Milestones!$AA$161)&gt;=$T14),$W14,IF(AND($S14&lt;&gt;"",EDATE($D14,Milestones!$AA$161)&gt;=$S14),$V14,$U14)))=Milestones!$AB$161),UPPER(TEXT(EDATE($D14,Milestones!$AA$161),"dd mmm yy"))&amp;" "&amp;Milestones!$AB$161&amp;" "&amp;Milestones!$AC$161&amp;";  ","")&amp;IF(AND(EDATE($D14,Milestones!$AA$162)&lt;=AsOfDate,IF($R14=0,$X14,IF(AND($T14&lt;&gt;"",EDATE($D14,Milestones!$AA$162)&gt;=$T14),$W14,IF(AND($S14&lt;&gt;"",EDATE($D14,Milestones!$AA$162)&gt;=$S14),$V14,$U14)))=Milestones!$AB$162),UPPER(TEXT(EDATE($D14,Milestones!$AA$162),"dd mmm yy"))&amp;" "&amp;Milestones!$AB$162&amp;" "&amp;Milestones!$AC$162&amp;";  ","")&amp;IF(AND(EDATE($D14,Milestones!$AA$163)&lt;=AsOfDate,IF($R14=0,$X14,IF(AND($T14&lt;&gt;"",EDATE($D14,Milestones!$AA$163)&gt;=$T14),$W14,IF(AND($S14&lt;&gt;"",EDATE($D14,Milestones!$AA$163)&gt;=$S14),$V14,$U14)))=Milestones!$AB$163),UPPER(TEXT(EDATE($D14,Milestones!$AA$163),"dd mmm yy"))&amp;" "&amp;Milestones!$AB$163&amp;" "&amp;Milestones!$AC$163&amp;";  ","")&amp;IF(AND(EDATE($D14,Milestones!$AA$164)&lt;=AsOfDate,IF($R14=0,$X14,IF(AND($T14&lt;&gt;"",EDATE($D14,Milestones!$AA$164)&gt;=$T14),$W14,IF(AND($S14&lt;&gt;"",EDATE($D14,Milestones!$AA$164)&gt;=$S14),$V14,$U14)))=Milestones!$AB$164),UPPER(TEXT(EDATE($D14,Milestones!$AA$164),"dd mmm yy"))&amp;" "&amp;Milestones!$AB$164&amp;" "&amp;Milestones!$AC$164&amp;";  ","")&amp;IF(AND(EDATE($D14,Milestones!$AA$165)&lt;=AsOfDate,IF($R14=0,$X14,IF(AND($T14&lt;&gt;"",EDATE($D14,Milestones!$AA$165)&gt;=$T14),$W14,IF(AND($S14&lt;&gt;"",EDATE($D14,Milestones!$AA$165)&gt;=$S14),$V14,$U14)))=Milestones!$AB$165),UPPER(TEXT(EDATE($D14,Milestones!$AA$165),"dd mmm yy"))&amp;" "&amp;Milestones!$AB$165&amp;" "&amp;Milestones!$AC$165&amp;";  ","")&amp;IF(AND(EDATE($D14,Milestones!$AA$166)&lt;=AsOfDate,IF($R14=0,$X14,IF(AND($T14&lt;&gt;"",EDATE($D14,Milestones!$AA$166)&gt;=$T14),$W14,IF(AND($S14&lt;&gt;"",EDATE($D14,Milestones!$AA$166)&gt;=$S14),$V14,$U14)))=Milestones!$AB$166),UPPER(TEXT(EDATE($D14,Milestones!$AA$166),"dd mmm yy"))&amp;" "&amp;Milestones!$AB$166&amp;" "&amp;Milestones!$AC$166&amp;";  ","")&amp;IF(AND(EDATE($D14,Milestones!$AA$167)&lt;=AsOfDate,IF($R14=0,$X14,IF(AND($T14&lt;&gt;"",EDATE($D14,Milestones!$AA$167)&gt;=$T14),$W14,IF(AND($S14&lt;&gt;"",EDATE($D14,Milestones!$AA$167)&gt;=$S14),$V14,$U14)))=Milestones!$AB$167),UPPER(TEXT(EDATE($D14,Milestones!$AA$167),"dd mmm yy"))&amp;" "&amp;Milestones!$AB$167&amp;" "&amp;Milestones!$AC$167&amp;";  ","")&amp;IF(AND(EDATE($D14,Milestones!$AA$168)&lt;=AsOfDate,IF($R14=0,$X14,IF(AND($T14&lt;&gt;"",EDATE($D14,Milestones!$AA$168)&gt;=$T14),$W14,IF(AND($S14&lt;&gt;"",EDATE($D14,Milestones!$AA$168)&gt;=$S14),$V14,$U14)))=Milestones!$AB$168),UPPER(TEXT(EDATE($D14,Milestones!$AA$168),"dd mmm yy"))&amp;" "&amp;Milestones!$AB$168&amp;" "&amp;Milestones!$AC$168&amp;";  ","")&amp;IF(AND(EDATE($D14,Milestones!$AA$169)&lt;=AsOfDate,IF($R14=0,$X14,IF(AND($T14&lt;&gt;"",EDATE($D14,Milestones!$AA$169)&gt;=$T14),$W14,IF(AND($S14&lt;&gt;"",EDATE($D14,Milestones!$AA$169)&gt;=$S14),$V14,$U14)))=Milestones!$AB$169),UPPER(TEXT(EDATE($D14,Milestones!$AA$169),"dd mmm yy"))&amp;" "&amp;Milestones!$AB$169&amp;" "&amp;Milestones!$AC$169&amp;";  ","")&amp;IF(AND(EDATE($D14,Milestones!$AA$170)&lt;=AsOfDate,IF($R14=0,$X14,IF(AND($T14&lt;&gt;"",EDATE($D14,Milestones!$AA$170)&gt;=$T14),$W14,IF(AND($S14&lt;&gt;"",EDATE($D14,Milestones!$AA$170)&gt;=$S14),$V14,$U14)))=Milestones!$AB$170),UPPER(TEXT(EDATE($D14,Milestones!$AA$170),"dd mmm yy"))&amp;" "&amp;Milestones!$AB$170&amp;" "&amp;Milestones!$AC$170&amp;";  ","")&amp;IF(AND(EDATE($D14,Milestones!$AA$171)&lt;=AsOfDate,IF($R14=0,$X14,IF(AND($T14&lt;&gt;"",EDATE($D14,Milestones!$AA$171)&gt;=$T14),$W14,IF(AND($S14&lt;&gt;"",EDATE($D14,Milestones!$AA$171)&gt;=$S14),$V14,$U14)))=Milestones!$AB$171),UPPER(TEXT(EDATE($D14,Milestones!$AA$171),"dd mmm yy"))&amp;" "&amp;Milestones!$AB$171&amp;" "&amp;Milestones!$AC$171&amp;";  ","")&amp;IF(AND(EDATE($D14,Milestones!$AA$172)&lt;=AsOfDate,IF($R14=0,$X14,IF(AND($T14&lt;&gt;"",EDATE($D14,Milestones!$AA$172)&gt;=$T14),$W14,IF(AND($S14&lt;&gt;"",EDATE($D14,Milestones!$AA$172)&gt;=$S14),$V14,$U14)))=Milestones!$AB$172),UPPER(TEXT(EDATE($D14,Milestones!$AA$172),"dd mmm yy"))&amp;" "&amp;Milestones!$AB$172&amp;" "&amp;Milestones!$AC$172&amp;";  ","")&amp;IF(AND(EDATE($D14,Milestones!$AA$173)&lt;=AsOfDate,IF($R14=0,$X14,IF(AND($T14&lt;&gt;"",EDATE($D14,Milestones!$AA$173)&gt;=$T14),$W14,IF(AND($S14&lt;&gt;"",EDATE($D14,Milestones!$AA$173)&gt;=$S14),$V14,$U14)))=Milestones!$AB$173),UPPER(TEXT(EDATE($D14,Milestones!$AA$173),"dd mmm yy"))&amp;" "&amp;Milestones!$AB$173&amp;" "&amp;Milestones!$AC$173&amp;";  ","")&amp;IF(AND(EDATE($D14,Milestones!$AA$174)&lt;=AsOfDate,IF($R14=0,$X14,IF(AND($T14&lt;&gt;"",EDATE($D14,Milestones!$AA$174)&gt;=$T14),$W14,IF(AND($S14&lt;&gt;"",EDATE($D14,Milestones!$AA$174)&gt;=$S14),$V14,$U14)))=Milestones!$AB$174),UPPER(TEXT(EDATE($D14,Milestones!$AA$174),"dd mmm yy"))&amp;" "&amp;Milestones!$AB$174&amp;" "&amp;Milestones!$AC$174&amp;";  ","")&amp;IF(AND(EDATE($D14,Milestones!$AA$175)&lt;=AsOfDate,IF($R14=0,$X14,IF(AND($T14&lt;&gt;"",EDATE($D14,Milestones!$AA$175)&gt;=$T14),$W14,IF(AND($S14&lt;&gt;"",EDATE($D14,Milestones!$AA$175)&gt;=$S14),$V14,$U14)))=Milestones!$AB$175),UPPER(TEXT(EDATE($D14,Milestones!$AA$175),"dd mmm yy"))&amp;" "&amp;Milestones!$AB$175&amp;" "&amp;Milestones!$AC$175&amp;";  ","")&amp;IF(AND(EDATE($D14,Milestones!$AA$176)&lt;=AsOfDate,IF($R14=0,$X14,IF(AND($T14&lt;&gt;"",EDATE($D14,Milestones!$AA$176)&gt;=$T14),$W14,IF(AND($S14&lt;&gt;"",EDATE($D14,Milestones!$AA$176)&gt;=$S14),$V14,$U14)))=Milestones!$AB$176),UPPER(TEXT(EDATE($D14,Milestones!$AA$176),"dd mmm yy"))&amp;" "&amp;Milestones!$AB$176&amp;" "&amp;Milestones!$AC$176&amp;";  ","")&amp;IF(AND(EDATE($D14,Milestones!$AA$177)&lt;=AsOfDate,IF($R14=0,$X14,IF(AND($T14&lt;&gt;"",EDATE($D14,Milestones!$AA$177)&gt;=$T14),$W14,IF(AND($S14&lt;&gt;"",EDATE($D14,Milestones!$AA$177)&gt;=$S14),$V14,$U14)))=Milestones!$AB$177),UPPER(TEXT(EDATE($D14,Milestones!$AA$177),"dd mmm yy"))&amp;" "&amp;Milestones!$AB$177&amp;" "&amp;Milestones!$AC$177&amp;";  ","")&amp;IF(AND(EDATE($D14,Milestones!$AA$178)&lt;=AsOfDate,IF($R14=0,$X14,IF(AND($T14&lt;&gt;"",EDATE($D14,Milestones!$AA$178)&gt;=$T14),$W14,IF(AND($S14&lt;&gt;"",EDATE($D14,Milestones!$AA$178)&gt;=$S14),$V14,$U14)))=Milestones!$AB$178),UPPER(TEXT(EDATE($D14,Milestones!$AA$178),"dd mmm yy"))&amp;" "&amp;Milestones!$AB$178&amp;" "&amp;Milestones!$AC$178&amp;";  ","")&amp;IF(AND(EDATE($D14,Milestones!$AA$179)&lt;=AsOfDate,IF($R14=0,$X14,IF(AND($T14&lt;&gt;"",EDATE($D14,Milestones!$AA$179)&gt;=$T14),$W14,IF(AND($S14&lt;&gt;"",EDATE($D14,Milestones!$AA$179)&gt;=$S14),$V14,$U14)))=Milestones!$AB$179),UPPER(TEXT(EDATE($D14,Milestones!$AA$179),"dd mmm yy"))&amp;" "&amp;Milestones!$AB$179&amp;" "&amp;Milestones!$AC$179&amp;";  ",""))</f>
        <v/>
      </c>
      <c r="Q14" s="0" t="str">
        <f aca="false">IF(OR($A14="",$D14=""),"",IF(AND(EDATE($D14,Milestones!$AA$180)&lt;=AsOfDate,IF($R14=0,$X14,IF(AND($T14&lt;&gt;"",EDATE($D14,Milestones!$AA$180)&gt;=$T14),$W14,IF(AND($S14&lt;&gt;"",EDATE($D14,Milestones!$AA$180)&gt;=$S14),$V14,$U14)))=Milestones!$AB$180),UPPER(TEXT(EDATE($D14,Milestones!$AA$180),"dd mmm yy"))&amp;" "&amp;Milestones!$AB$180&amp;" "&amp;Milestones!$AC$180&amp;";  ","")&amp;IF(AND(EDATE($D14,Milestones!$AA$181)&lt;=AsOfDate,IF($R14=0,$X14,IF(AND($T14&lt;&gt;"",EDATE($D14,Milestones!$AA$181)&gt;=$T14),$W14,IF(AND($S14&lt;&gt;"",EDATE($D14,Milestones!$AA$181)&gt;=$S14),$V14,$U14)))=Milestones!$AB$181),UPPER(TEXT(EDATE($D14,Milestones!$AA$181),"dd mmm yy"))&amp;" "&amp;Milestones!$AB$181&amp;" "&amp;Milestones!$AC$181&amp;";  ","")&amp;IF(AND(EDATE($D14,Milestones!$AA$182)&lt;=AsOfDate,IF($R14=0,$X14,IF(AND($T14&lt;&gt;"",EDATE($D14,Milestones!$AA$182)&gt;=$T14),$W14,IF(AND($S14&lt;&gt;"",EDATE($D14,Milestones!$AA$182)&gt;=$S14),$V14,$U14)))=Milestones!$AB$182),UPPER(TEXT(EDATE($D14,Milestones!$AA$182),"dd mmm yy"))&amp;" "&amp;Milestones!$AB$182&amp;" "&amp;Milestones!$AC$182&amp;";  ","")&amp;IF(AND(EDATE($D14,Milestones!$AA$183)&lt;=AsOfDate,IF($R14=0,$X14,IF(AND($T14&lt;&gt;"",EDATE($D14,Milestones!$AA$183)&gt;=$T14),$W14,IF(AND($S14&lt;&gt;"",EDATE($D14,Milestones!$AA$183)&gt;=$S14),$V14,$U14)))=Milestones!$AB$183),UPPER(TEXT(EDATE($D14,Milestones!$AA$183),"dd mmm yy"))&amp;" "&amp;Milestones!$AB$183&amp;" "&amp;Milestones!$AC$183&amp;";  ","")&amp;IF(AND(EDATE($D14,Milestones!$AA$184)&lt;=AsOfDate,IF($R14=0,$X14,IF(AND($T14&lt;&gt;"",EDATE($D14,Milestones!$AA$184)&gt;=$T14),$W14,IF(AND($S14&lt;&gt;"",EDATE($D14,Milestones!$AA$184)&gt;=$S14),$V14,$U14)))=Milestones!$AB$184),UPPER(TEXT(EDATE($D14,Milestones!$AA$184),"dd mmm yy"))&amp;" "&amp;Milestones!$AB$184&amp;" "&amp;Milestones!$AC$184&amp;";  ","")&amp;IF(AND(EDATE($D14,Milestones!$AA$185)&lt;=AsOfDate,IF($R14=0,$X14,IF(AND($T14&lt;&gt;"",EDATE($D14,Milestones!$AA$185)&gt;=$T14),$W14,IF(AND($S14&lt;&gt;"",EDATE($D14,Milestones!$AA$185)&gt;=$S14),$V14,$U14)))=Milestones!$AB$185),UPPER(TEXT(EDATE($D14,Milestones!$AA$185),"dd mmm yy"))&amp;" "&amp;Milestones!$AB$185&amp;" "&amp;Milestones!$AC$185&amp;";  ","")&amp;IF(AND(EDATE($D14,Milestones!$AA$186)&lt;=AsOfDate,IF($R14=0,$X14,IF(AND($T14&lt;&gt;"",EDATE($D14,Milestones!$AA$186)&gt;=$T14),$W14,IF(AND($S14&lt;&gt;"",EDATE($D14,Milestones!$AA$186)&gt;=$S14),$V14,$U14)))=Milestones!$AB$186),UPPER(TEXT(EDATE($D14,Milestones!$AA$186),"dd mmm yy"))&amp;" "&amp;Milestones!$AB$186&amp;" "&amp;Milestones!$AC$186&amp;";  ","")&amp;IF(AND(EDATE($D14,Milestones!$AA$187)&lt;=AsOfDate,IF($R14=0,$X14,IF(AND($T14&lt;&gt;"",EDATE($D14,Milestones!$AA$187)&gt;=$T14),$W14,IF(AND($S14&lt;&gt;"",EDATE($D14,Milestones!$AA$187)&gt;=$S14),$V14,$U14)))=Milestones!$AB$187),UPPER(TEXT(EDATE($D14,Milestones!$AA$187),"dd mmm yy"))&amp;" "&amp;Milestones!$AB$187&amp;" "&amp;Milestones!$AC$187&amp;";  ","")&amp;IF(AND(EDATE($D14,Milestones!$AA$188)&lt;=AsOfDate,IF($R14=0,$X14,IF(AND($T14&lt;&gt;"",EDATE($D14,Milestones!$AA$188)&gt;=$T14),$W14,IF(AND($S14&lt;&gt;"",EDATE($D14,Milestones!$AA$188)&gt;=$S14),$V14,$U14)))=Milestones!$AB$188),UPPER(TEXT(EDATE($D14,Milestones!$AA$188),"dd mmm yy"))&amp;" "&amp;Milestones!$AB$188&amp;" "&amp;Milestones!$AC$188&amp;";  ","")&amp;IF(AND(EDATE($D14,Milestones!$AA$189)&lt;=AsOfDate,IF($R14=0,$X14,IF(AND($T14&lt;&gt;"",EDATE($D14,Milestones!$AA$189)&gt;=$T14),$W14,IF(AND($S14&lt;&gt;"",EDATE($D14,Milestones!$AA$189)&gt;=$S14),$V14,$U14)))=Milestones!$AB$189),UPPER(TEXT(EDATE($D14,Milestones!$AA$189),"dd mmm yy"))&amp;" "&amp;Milestones!$AB$189&amp;" "&amp;Milestones!$AC$189&amp;";  ","")&amp;IF(AND(EDATE($D14,Milestones!$AA$190)&lt;=AsOfDate,IF($R14=0,$X14,IF(AND($T14&lt;&gt;"",EDATE($D14,Milestones!$AA$190)&gt;=$T14),$W14,IF(AND($S14&lt;&gt;"",EDATE($D14,Milestones!$AA$190)&gt;=$S14),$V14,$U14)))=Milestones!$AB$190),UPPER(TEXT(EDATE($D14,Milestones!$AA$190),"dd mmm yy"))&amp;" "&amp;Milestones!$AB$190&amp;" "&amp;Milestones!$AC$190&amp;";  ","")&amp;IF(AND(EDATE($D14,Milestones!$AA$191)&lt;=AsOfDate,IF($R14=0,$X14,IF(AND($T14&lt;&gt;"",EDATE($D14,Milestones!$AA$191)&gt;=$T14),$W14,IF(AND($S14&lt;&gt;"",EDATE($D14,Milestones!$AA$191)&gt;=$S14),$V14,$U14)))=Milestones!$AB$191),UPPER(TEXT(EDATE($D14,Milestones!$AA$191),"dd mmm yy"))&amp;" "&amp;Milestones!$AB$191&amp;" "&amp;Milestones!$AC$191&amp;";  ","")&amp;IF(AND(EDATE($D14,Milestones!$AA$192)&lt;=AsOfDate,IF($R14=0,$X14,IF(AND($T14&lt;&gt;"",EDATE($D14,Milestones!$AA$192)&gt;=$T14),$W14,IF(AND($S14&lt;&gt;"",EDATE($D14,Milestones!$AA$192)&gt;=$S14),$V14,$U14)))=Milestones!$AB$192),UPPER(TEXT(EDATE($D14,Milestones!$AA$192),"dd mmm yy"))&amp;" "&amp;Milestones!$AB$192&amp;" "&amp;Milestones!$AC$192&amp;";  ","")&amp;IF(AND(EDATE($D14,Milestones!$AA$193)&lt;=AsOfDate,IF($R14=0,$X14,IF(AND($T14&lt;&gt;"",EDATE($D14,Milestones!$AA$193)&gt;=$T14),$W14,IF(AND($S14&lt;&gt;"",EDATE($D14,Milestones!$AA$193)&gt;=$S14),$V14,$U14)))=Milestones!$AB$193),UPPER(TEXT(EDATE($D14,Milestones!$AA$193),"dd mmm yy"))&amp;" "&amp;Milestones!$AB$193&amp;" "&amp;Milestones!$AC$193&amp;";  ","")&amp;IF(AND(EDATE($D14,Milestones!$AA$194)&lt;=AsOfDate,IF($R14=0,$X14,IF(AND($T14&lt;&gt;"",EDATE($D14,Milestones!$AA$194)&gt;=$T14),$W14,IF(AND($S14&lt;&gt;"",EDATE($D14,Milestones!$AA$194)&gt;=$S14),$V14,$U14)))=Milestones!$AB$194),UPPER(TEXT(EDATE($D14,Milestones!$AA$194),"dd mmm yy"))&amp;" "&amp;Milestones!$AB$194&amp;" "&amp;Milestones!$AC$194&amp;";  ","")&amp;IF(AND(EDATE($D14,Milestones!$AA$195)&lt;=AsOfDate,IF($R14=0,$X14,IF(AND($T14&lt;&gt;"",EDATE($D14,Milestones!$AA$195)&gt;=$T14),$W14,IF(AND($S14&lt;&gt;"",EDATE($D14,Milestones!$AA$195)&gt;=$S14),$V14,$U14)))=Milestones!$AB$195),UPPER(TEXT(EDATE($D14,Milestones!$AA$195),"dd mmm yy"))&amp;" "&amp;Milestones!$AB$195&amp;" "&amp;Milestones!$AC$195&amp;";  ","")&amp;IF(AND(EDATE($D14,Milestones!$AA$196)&lt;=AsOfDate,IF($R14=0,$X14,IF(AND($T14&lt;&gt;"",EDATE($D14,Milestones!$AA$196)&gt;=$T14),$W14,IF(AND($S14&lt;&gt;"",EDATE($D14,Milestones!$AA$196)&gt;=$S14),$V14,$U14)))=Milestones!$AB$196),UPPER(TEXT(EDATE($D14,Milestones!$AA$196),"dd mmm yy"))&amp;" "&amp;Milestones!$AB$196&amp;" "&amp;Milestones!$AC$196&amp;";  ","")&amp;IF(AND(EDATE($D14,Milestones!$AA$197)&lt;=AsOfDate,IF($R14=0,$X14,IF(AND($T14&lt;&gt;"",EDATE($D14,Milestones!$AA$197)&gt;=$T14),$W14,IF(AND($S14&lt;&gt;"",EDATE($D14,Milestones!$AA$197)&gt;=$S14),$V14,$U14)))=Milestones!$AB$197),UPPER(TEXT(EDATE($D14,Milestones!$AA$197),"dd mmm yy"))&amp;" "&amp;Milestones!$AB$197&amp;" "&amp;Milestones!$AC$197&amp;";  ","")&amp;IF(AND(EDATE($D14,Milestones!$AA$198)&lt;=AsOfDate,IF($R14=0,$X14,IF(AND($T14&lt;&gt;"",EDATE($D14,Milestones!$AA$198)&gt;=$T14),$W14,IF(AND($S14&lt;&gt;"",EDATE($D14,Milestones!$AA$198)&gt;=$S14),$V14,$U14)))=Milestones!$AB$198),UPPER(TEXT(EDATE($D14,Milestones!$AA$198),"dd mmm yy"))&amp;" "&amp;Milestones!$AB$198&amp;" "&amp;Milestones!$AC$198&amp;";  ","")&amp;IF(AND(EDATE($D14,Milestones!$AA$199)&lt;=AsOfDate,IF($R14=0,$X14,IF(AND($T14&lt;&gt;"",EDATE($D14,Milestones!$AA$199)&gt;=$T14),$W14,IF(AND($S14&lt;&gt;"",EDATE($D14,Milestones!$AA$199)&gt;=$S14),$V14,$U14)))=Milestones!$AB$199),UPPER(TEXT(EDATE($D14,Milestones!$AA$199),"dd mmm yy"))&amp;" "&amp;Milestones!$AB$199&amp;" "&amp;Milestones!$AC$199&amp;";  ",""))</f>
        <v/>
      </c>
      <c r="R14" s="33" t="n">
        <f aca="false">IF(Staff!$A14="","",Staff!$AI14)</f>
        <v>2</v>
      </c>
      <c r="S14" s="23" t="n">
        <f aca="false">IF(Staff!$A14="","",Staff!$AK14)</f>
        <v>44823</v>
      </c>
      <c r="T14" s="0" t="str">
        <f aca="false">IF(Staff!$A14="","",Staff!$AL14)</f>
        <v/>
      </c>
      <c r="U14" s="0" t="str">
        <f aca="false">IF(Staff!$A14="","",Staff!$AP14)</f>
        <v>None</v>
      </c>
      <c r="V14" s="0" t="str">
        <f aca="false">IF(Staff!$A14="","",Staff!$AQ14)</f>
        <v>FT</v>
      </c>
      <c r="W14" s="0" t="str">
        <f aca="false">IF(Staff!$A14="","",Staff!$AR14)</f>
        <v/>
      </c>
      <c r="X14" s="0" t="str">
        <f aca="false">IF(Staff!$A14="","",Staff!$AS14)</f>
        <v>FT</v>
      </c>
    </row>
    <row r="15" customFormat="false" ht="15" hidden="false" customHeight="false" outlineLevel="0" collapsed="false">
      <c r="A15" s="19" t="str">
        <f aca="false">IF(Staff!$A15="","",Staff!$A15)</f>
        <v>Caspar</v>
      </c>
      <c r="B15" s="19" t="str">
        <f aca="false">IF(Staff!$A15="","",Staff!$B15)</f>
        <v>Nivison-Smith</v>
      </c>
      <c r="C15" s="19" t="str">
        <f aca="false">IF(Staff!$A15="","",Staff!$C15)</f>
        <v>Casual</v>
      </c>
      <c r="D15" s="17" t="n">
        <f aca="false">IF(Staff!$A15="","",Staff!$AH15)</f>
        <v>45202</v>
      </c>
      <c r="E15" s="20" t="n">
        <f aca="false">IF(Staff!$A15="","",Staff!$O15)</f>
        <v>0</v>
      </c>
      <c r="F15" s="19" t="n">
        <f aca="false">IF(E15="","",E15*HoursPerDay)</f>
        <v>0</v>
      </c>
      <c r="G15" s="20" t="n">
        <f aca="false">IF(Staff!$A15="","",Staff!$AE15)</f>
        <v>0</v>
      </c>
      <c r="H15" s="32" t="str">
        <f aca="false">IF($A15="","",I15&amp;J15&amp;K15&amp;L15&amp;M15&amp;N15&amp;O15&amp;P15&amp;Q15)</f>
        <v/>
      </c>
      <c r="I15" s="0" t="str">
        <f aca="false">IF(OR($A15="",$D15=""),"",IF(AND(EDATE($D15,Milestones!$AA$20)&lt;=AsOfDate,IF($R15=0,$X15,IF(AND($T15&lt;&gt;"",EDATE($D15,Milestones!$AA$20)&gt;=$T15),$W15,IF(AND($S15&lt;&gt;"",EDATE($D15,Milestones!$AA$20)&gt;=$S15),$V15,$U15)))=Milestones!$AB$20),UPPER(TEXT(EDATE($D15,Milestones!$AA$20),"dd mmm yy"))&amp;" "&amp;Milestones!$AB$20&amp;" "&amp;Milestones!$AC$20&amp;";  ","")&amp;IF(AND(EDATE($D15,Milestones!$AA$21)&lt;=AsOfDate,IF($R15=0,$X15,IF(AND($T15&lt;&gt;"",EDATE($D15,Milestones!$AA$21)&gt;=$T15),$W15,IF(AND($S15&lt;&gt;"",EDATE($D15,Milestones!$AA$21)&gt;=$S15),$V15,$U15)))=Milestones!$AB$21),UPPER(TEXT(EDATE($D15,Milestones!$AA$21),"dd mmm yy"))&amp;" "&amp;Milestones!$AB$21&amp;" "&amp;Milestones!$AC$21&amp;";  ","")&amp;IF(AND(EDATE($D15,Milestones!$AA$22)&lt;=AsOfDate,IF($R15=0,$X15,IF(AND($T15&lt;&gt;"",EDATE($D15,Milestones!$AA$22)&gt;=$T15),$W15,IF(AND($S15&lt;&gt;"",EDATE($D15,Milestones!$AA$22)&gt;=$S15),$V15,$U15)))=Milestones!$AB$22),UPPER(TEXT(EDATE($D15,Milestones!$AA$22),"dd mmm yy"))&amp;" "&amp;Milestones!$AB$22&amp;" "&amp;Milestones!$AC$22&amp;";  ","")&amp;IF(AND(EDATE($D15,Milestones!$AA$23)&lt;=AsOfDate,IF($R15=0,$X15,IF(AND($T15&lt;&gt;"",EDATE($D15,Milestones!$AA$23)&gt;=$T15),$W15,IF(AND($S15&lt;&gt;"",EDATE($D15,Milestones!$AA$23)&gt;=$S15),$V15,$U15)))=Milestones!$AB$23),UPPER(TEXT(EDATE($D15,Milestones!$AA$23),"dd mmm yy"))&amp;" "&amp;Milestones!$AB$23&amp;" "&amp;Milestones!$AC$23&amp;";  ","")&amp;IF(AND(EDATE($D15,Milestones!$AA$24)&lt;=AsOfDate,IF($R15=0,$X15,IF(AND($T15&lt;&gt;"",EDATE($D15,Milestones!$AA$24)&gt;=$T15),$W15,IF(AND($S15&lt;&gt;"",EDATE($D15,Milestones!$AA$24)&gt;=$S15),$V15,$U15)))=Milestones!$AB$24),UPPER(TEXT(EDATE($D15,Milestones!$AA$24),"dd mmm yy"))&amp;" "&amp;Milestones!$AB$24&amp;" "&amp;Milestones!$AC$24&amp;";  ","")&amp;IF(AND(EDATE($D15,Milestones!$AA$25)&lt;=AsOfDate,IF($R15=0,$X15,IF(AND($T15&lt;&gt;"",EDATE($D15,Milestones!$AA$25)&gt;=$T15),$W15,IF(AND($S15&lt;&gt;"",EDATE($D15,Milestones!$AA$25)&gt;=$S15),$V15,$U15)))=Milestones!$AB$25),UPPER(TEXT(EDATE($D15,Milestones!$AA$25),"dd mmm yy"))&amp;" "&amp;Milestones!$AB$25&amp;" "&amp;Milestones!$AC$25&amp;";  ","")&amp;IF(AND(EDATE($D15,Milestones!$AA$26)&lt;=AsOfDate,IF($R15=0,$X15,IF(AND($T15&lt;&gt;"",EDATE($D15,Milestones!$AA$26)&gt;=$T15),$W15,IF(AND($S15&lt;&gt;"",EDATE($D15,Milestones!$AA$26)&gt;=$S15),$V15,$U15)))=Milestones!$AB$26),UPPER(TEXT(EDATE($D15,Milestones!$AA$26),"dd mmm yy"))&amp;" "&amp;Milestones!$AB$26&amp;" "&amp;Milestones!$AC$26&amp;";  ","")&amp;IF(AND(EDATE($D15,Milestones!$AA$27)&lt;=AsOfDate,IF($R15=0,$X15,IF(AND($T15&lt;&gt;"",EDATE($D15,Milestones!$AA$27)&gt;=$T15),$W15,IF(AND($S15&lt;&gt;"",EDATE($D15,Milestones!$AA$27)&gt;=$S15),$V15,$U15)))=Milestones!$AB$27),UPPER(TEXT(EDATE($D15,Milestones!$AA$27),"dd mmm yy"))&amp;" "&amp;Milestones!$AB$27&amp;" "&amp;Milestones!$AC$27&amp;";  ","")&amp;IF(AND(EDATE($D15,Milestones!$AA$28)&lt;=AsOfDate,IF($R15=0,$X15,IF(AND($T15&lt;&gt;"",EDATE($D15,Milestones!$AA$28)&gt;=$T15),$W15,IF(AND($S15&lt;&gt;"",EDATE($D15,Milestones!$AA$28)&gt;=$S15),$V15,$U15)))=Milestones!$AB$28),UPPER(TEXT(EDATE($D15,Milestones!$AA$28),"dd mmm yy"))&amp;" "&amp;Milestones!$AB$28&amp;" "&amp;Milestones!$AC$28&amp;";  ","")&amp;IF(AND(EDATE($D15,Milestones!$AA$29)&lt;=AsOfDate,IF($R15=0,$X15,IF(AND($T15&lt;&gt;"",EDATE($D15,Milestones!$AA$29)&gt;=$T15),$W15,IF(AND($S15&lt;&gt;"",EDATE($D15,Milestones!$AA$29)&gt;=$S15),$V15,$U15)))=Milestones!$AB$29),UPPER(TEXT(EDATE($D15,Milestones!$AA$29),"dd mmm yy"))&amp;" "&amp;Milestones!$AB$29&amp;" "&amp;Milestones!$AC$29&amp;";  ","")&amp;IF(AND(EDATE($D15,Milestones!$AA$30)&lt;=AsOfDate,IF($R15=0,$X15,IF(AND($T15&lt;&gt;"",EDATE($D15,Milestones!$AA$30)&gt;=$T15),$W15,IF(AND($S15&lt;&gt;"",EDATE($D15,Milestones!$AA$30)&gt;=$S15),$V15,$U15)))=Milestones!$AB$30),UPPER(TEXT(EDATE($D15,Milestones!$AA$30),"dd mmm yy"))&amp;" "&amp;Milestones!$AB$30&amp;" "&amp;Milestones!$AC$30&amp;";  ","")&amp;IF(AND(EDATE($D15,Milestones!$AA$31)&lt;=AsOfDate,IF($R15=0,$X15,IF(AND($T15&lt;&gt;"",EDATE($D15,Milestones!$AA$31)&gt;=$T15),$W15,IF(AND($S15&lt;&gt;"",EDATE($D15,Milestones!$AA$31)&gt;=$S15),$V15,$U15)))=Milestones!$AB$31),UPPER(TEXT(EDATE($D15,Milestones!$AA$31),"dd mmm yy"))&amp;" "&amp;Milestones!$AB$31&amp;" "&amp;Milestones!$AC$31&amp;";  ","")&amp;IF(AND(EDATE($D15,Milestones!$AA$32)&lt;=AsOfDate,IF($R15=0,$X15,IF(AND($T15&lt;&gt;"",EDATE($D15,Milestones!$AA$32)&gt;=$T15),$W15,IF(AND($S15&lt;&gt;"",EDATE($D15,Milestones!$AA$32)&gt;=$S15),$V15,$U15)))=Milestones!$AB$32),UPPER(TEXT(EDATE($D15,Milestones!$AA$32),"dd mmm yy"))&amp;" "&amp;Milestones!$AB$32&amp;" "&amp;Milestones!$AC$32&amp;";  ","")&amp;IF(AND(EDATE($D15,Milestones!$AA$33)&lt;=AsOfDate,IF($R15=0,$X15,IF(AND($T15&lt;&gt;"",EDATE($D15,Milestones!$AA$33)&gt;=$T15),$W15,IF(AND($S15&lt;&gt;"",EDATE($D15,Milestones!$AA$33)&gt;=$S15),$V15,$U15)))=Milestones!$AB$33),UPPER(TEXT(EDATE($D15,Milestones!$AA$33),"dd mmm yy"))&amp;" "&amp;Milestones!$AB$33&amp;" "&amp;Milestones!$AC$33&amp;";  ","")&amp;IF(AND(EDATE($D15,Milestones!$AA$34)&lt;=AsOfDate,IF($R15=0,$X15,IF(AND($T15&lt;&gt;"",EDATE($D15,Milestones!$AA$34)&gt;=$T15),$W15,IF(AND($S15&lt;&gt;"",EDATE($D15,Milestones!$AA$34)&gt;=$S15),$V15,$U15)))=Milestones!$AB$34),UPPER(TEXT(EDATE($D15,Milestones!$AA$34),"dd mmm yy"))&amp;" "&amp;Milestones!$AB$34&amp;" "&amp;Milestones!$AC$34&amp;";  ","")&amp;IF(AND(EDATE($D15,Milestones!$AA$35)&lt;=AsOfDate,IF($R15=0,$X15,IF(AND($T15&lt;&gt;"",EDATE($D15,Milestones!$AA$35)&gt;=$T15),$W15,IF(AND($S15&lt;&gt;"",EDATE($D15,Milestones!$AA$35)&gt;=$S15),$V15,$U15)))=Milestones!$AB$35),UPPER(TEXT(EDATE($D15,Milestones!$AA$35),"dd mmm yy"))&amp;" "&amp;Milestones!$AB$35&amp;" "&amp;Milestones!$AC$35&amp;";  ","")&amp;IF(AND(EDATE($D15,Milestones!$AA$36)&lt;=AsOfDate,IF($R15=0,$X15,IF(AND($T15&lt;&gt;"",EDATE($D15,Milestones!$AA$36)&gt;=$T15),$W15,IF(AND($S15&lt;&gt;"",EDATE($D15,Milestones!$AA$36)&gt;=$S15),$V15,$U15)))=Milestones!$AB$36),UPPER(TEXT(EDATE($D15,Milestones!$AA$36),"dd mmm yy"))&amp;" "&amp;Milestones!$AB$36&amp;" "&amp;Milestones!$AC$36&amp;";  ","")&amp;IF(AND(EDATE($D15,Milestones!$AA$37)&lt;=AsOfDate,IF($R15=0,$X15,IF(AND($T15&lt;&gt;"",EDATE($D15,Milestones!$AA$37)&gt;=$T15),$W15,IF(AND($S15&lt;&gt;"",EDATE($D15,Milestones!$AA$37)&gt;=$S15),$V15,$U15)))=Milestones!$AB$37),UPPER(TEXT(EDATE($D15,Milestones!$AA$37),"dd mmm yy"))&amp;" "&amp;Milestones!$AB$37&amp;" "&amp;Milestones!$AC$37&amp;";  ","")&amp;IF(AND(EDATE($D15,Milestones!$AA$38)&lt;=AsOfDate,IF($R15=0,$X15,IF(AND($T15&lt;&gt;"",EDATE($D15,Milestones!$AA$38)&gt;=$T15),$W15,IF(AND($S15&lt;&gt;"",EDATE($D15,Milestones!$AA$38)&gt;=$S15),$V15,$U15)))=Milestones!$AB$38),UPPER(TEXT(EDATE($D15,Milestones!$AA$38),"dd mmm yy"))&amp;" "&amp;Milestones!$AB$38&amp;" "&amp;Milestones!$AC$38&amp;";  ","")&amp;IF(AND(EDATE($D15,Milestones!$AA$39)&lt;=AsOfDate,IF($R15=0,$X15,IF(AND($T15&lt;&gt;"",EDATE($D15,Milestones!$AA$39)&gt;=$T15),$W15,IF(AND($S15&lt;&gt;"",EDATE($D15,Milestones!$AA$39)&gt;=$S15),$V15,$U15)))=Milestones!$AB$39),UPPER(TEXT(EDATE($D15,Milestones!$AA$39),"dd mmm yy"))&amp;" "&amp;Milestones!$AB$39&amp;" "&amp;Milestones!$AC$39&amp;";  ",""))</f>
        <v/>
      </c>
      <c r="J15" s="0" t="str">
        <f aca="false">IF(OR($A15="",$D15=""),"",IF(AND(EDATE($D15,Milestones!$AA$40)&lt;=AsOfDate,IF($R15=0,$X15,IF(AND($T15&lt;&gt;"",EDATE($D15,Milestones!$AA$40)&gt;=$T15),$W15,IF(AND($S15&lt;&gt;"",EDATE($D15,Milestones!$AA$40)&gt;=$S15),$V15,$U15)))=Milestones!$AB$40),UPPER(TEXT(EDATE($D15,Milestones!$AA$40),"dd mmm yy"))&amp;" "&amp;Milestones!$AB$40&amp;" "&amp;Milestones!$AC$40&amp;";  ","")&amp;IF(AND(EDATE($D15,Milestones!$AA$41)&lt;=AsOfDate,IF($R15=0,$X15,IF(AND($T15&lt;&gt;"",EDATE($D15,Milestones!$AA$41)&gt;=$T15),$W15,IF(AND($S15&lt;&gt;"",EDATE($D15,Milestones!$AA$41)&gt;=$S15),$V15,$U15)))=Milestones!$AB$41),UPPER(TEXT(EDATE($D15,Milestones!$AA$41),"dd mmm yy"))&amp;" "&amp;Milestones!$AB$41&amp;" "&amp;Milestones!$AC$41&amp;";  ","")&amp;IF(AND(EDATE($D15,Milestones!$AA$42)&lt;=AsOfDate,IF($R15=0,$X15,IF(AND($T15&lt;&gt;"",EDATE($D15,Milestones!$AA$42)&gt;=$T15),$W15,IF(AND($S15&lt;&gt;"",EDATE($D15,Milestones!$AA$42)&gt;=$S15),$V15,$U15)))=Milestones!$AB$42),UPPER(TEXT(EDATE($D15,Milestones!$AA$42),"dd mmm yy"))&amp;" "&amp;Milestones!$AB$42&amp;" "&amp;Milestones!$AC$42&amp;";  ","")&amp;IF(AND(EDATE($D15,Milestones!$AA$43)&lt;=AsOfDate,IF($R15=0,$X15,IF(AND($T15&lt;&gt;"",EDATE($D15,Milestones!$AA$43)&gt;=$T15),$W15,IF(AND($S15&lt;&gt;"",EDATE($D15,Milestones!$AA$43)&gt;=$S15),$V15,$U15)))=Milestones!$AB$43),UPPER(TEXT(EDATE($D15,Milestones!$AA$43),"dd mmm yy"))&amp;" "&amp;Milestones!$AB$43&amp;" "&amp;Milestones!$AC$43&amp;";  ","")&amp;IF(AND(EDATE($D15,Milestones!$AA$44)&lt;=AsOfDate,IF($R15=0,$X15,IF(AND($T15&lt;&gt;"",EDATE($D15,Milestones!$AA$44)&gt;=$T15),$W15,IF(AND($S15&lt;&gt;"",EDATE($D15,Milestones!$AA$44)&gt;=$S15),$V15,$U15)))=Milestones!$AB$44),UPPER(TEXT(EDATE($D15,Milestones!$AA$44),"dd mmm yy"))&amp;" "&amp;Milestones!$AB$44&amp;" "&amp;Milestones!$AC$44&amp;";  ","")&amp;IF(AND(EDATE($D15,Milestones!$AA$45)&lt;=AsOfDate,IF($R15=0,$X15,IF(AND($T15&lt;&gt;"",EDATE($D15,Milestones!$AA$45)&gt;=$T15),$W15,IF(AND($S15&lt;&gt;"",EDATE($D15,Milestones!$AA$45)&gt;=$S15),$V15,$U15)))=Milestones!$AB$45),UPPER(TEXT(EDATE($D15,Milestones!$AA$45),"dd mmm yy"))&amp;" "&amp;Milestones!$AB$45&amp;" "&amp;Milestones!$AC$45&amp;";  ","")&amp;IF(AND(EDATE($D15,Milestones!$AA$46)&lt;=AsOfDate,IF($R15=0,$X15,IF(AND($T15&lt;&gt;"",EDATE($D15,Milestones!$AA$46)&gt;=$T15),$W15,IF(AND($S15&lt;&gt;"",EDATE($D15,Milestones!$AA$46)&gt;=$S15),$V15,$U15)))=Milestones!$AB$46),UPPER(TEXT(EDATE($D15,Milestones!$AA$46),"dd mmm yy"))&amp;" "&amp;Milestones!$AB$46&amp;" "&amp;Milestones!$AC$46&amp;";  ","")&amp;IF(AND(EDATE($D15,Milestones!$AA$47)&lt;=AsOfDate,IF($R15=0,$X15,IF(AND($T15&lt;&gt;"",EDATE($D15,Milestones!$AA$47)&gt;=$T15),$W15,IF(AND($S15&lt;&gt;"",EDATE($D15,Milestones!$AA$47)&gt;=$S15),$V15,$U15)))=Milestones!$AB$47),UPPER(TEXT(EDATE($D15,Milestones!$AA$47),"dd mmm yy"))&amp;" "&amp;Milestones!$AB$47&amp;" "&amp;Milestones!$AC$47&amp;";  ","")&amp;IF(AND(EDATE($D15,Milestones!$AA$48)&lt;=AsOfDate,IF($R15=0,$X15,IF(AND($T15&lt;&gt;"",EDATE($D15,Milestones!$AA$48)&gt;=$T15),$W15,IF(AND($S15&lt;&gt;"",EDATE($D15,Milestones!$AA$48)&gt;=$S15),$V15,$U15)))=Milestones!$AB$48),UPPER(TEXT(EDATE($D15,Milestones!$AA$48),"dd mmm yy"))&amp;" "&amp;Milestones!$AB$48&amp;" "&amp;Milestones!$AC$48&amp;";  ","")&amp;IF(AND(EDATE($D15,Milestones!$AA$49)&lt;=AsOfDate,IF($R15=0,$X15,IF(AND($T15&lt;&gt;"",EDATE($D15,Milestones!$AA$49)&gt;=$T15),$W15,IF(AND($S15&lt;&gt;"",EDATE($D15,Milestones!$AA$49)&gt;=$S15),$V15,$U15)))=Milestones!$AB$49),UPPER(TEXT(EDATE($D15,Milestones!$AA$49),"dd mmm yy"))&amp;" "&amp;Milestones!$AB$49&amp;" "&amp;Milestones!$AC$49&amp;";  ","")&amp;IF(AND(EDATE($D15,Milestones!$AA$50)&lt;=AsOfDate,IF($R15=0,$X15,IF(AND($T15&lt;&gt;"",EDATE($D15,Milestones!$AA$50)&gt;=$T15),$W15,IF(AND($S15&lt;&gt;"",EDATE($D15,Milestones!$AA$50)&gt;=$S15),$V15,$U15)))=Milestones!$AB$50),UPPER(TEXT(EDATE($D15,Milestones!$AA$50),"dd mmm yy"))&amp;" "&amp;Milestones!$AB$50&amp;" "&amp;Milestones!$AC$50&amp;";  ","")&amp;IF(AND(EDATE($D15,Milestones!$AA$51)&lt;=AsOfDate,IF($R15=0,$X15,IF(AND($T15&lt;&gt;"",EDATE($D15,Milestones!$AA$51)&gt;=$T15),$W15,IF(AND($S15&lt;&gt;"",EDATE($D15,Milestones!$AA$51)&gt;=$S15),$V15,$U15)))=Milestones!$AB$51),UPPER(TEXT(EDATE($D15,Milestones!$AA$51),"dd mmm yy"))&amp;" "&amp;Milestones!$AB$51&amp;" "&amp;Milestones!$AC$51&amp;";  ","")&amp;IF(AND(EDATE($D15,Milestones!$AA$52)&lt;=AsOfDate,IF($R15=0,$X15,IF(AND($T15&lt;&gt;"",EDATE($D15,Milestones!$AA$52)&gt;=$T15),$W15,IF(AND($S15&lt;&gt;"",EDATE($D15,Milestones!$AA$52)&gt;=$S15),$V15,$U15)))=Milestones!$AB$52),UPPER(TEXT(EDATE($D15,Milestones!$AA$52),"dd mmm yy"))&amp;" "&amp;Milestones!$AB$52&amp;" "&amp;Milestones!$AC$52&amp;";  ","")&amp;IF(AND(EDATE($D15,Milestones!$AA$53)&lt;=AsOfDate,IF($R15=0,$X15,IF(AND($T15&lt;&gt;"",EDATE($D15,Milestones!$AA$53)&gt;=$T15),$W15,IF(AND($S15&lt;&gt;"",EDATE($D15,Milestones!$AA$53)&gt;=$S15),$V15,$U15)))=Milestones!$AB$53),UPPER(TEXT(EDATE($D15,Milestones!$AA$53),"dd mmm yy"))&amp;" "&amp;Milestones!$AB$53&amp;" "&amp;Milestones!$AC$53&amp;";  ","")&amp;IF(AND(EDATE($D15,Milestones!$AA$54)&lt;=AsOfDate,IF($R15=0,$X15,IF(AND($T15&lt;&gt;"",EDATE($D15,Milestones!$AA$54)&gt;=$T15),$W15,IF(AND($S15&lt;&gt;"",EDATE($D15,Milestones!$AA$54)&gt;=$S15),$V15,$U15)))=Milestones!$AB$54),UPPER(TEXT(EDATE($D15,Milestones!$AA$54),"dd mmm yy"))&amp;" "&amp;Milestones!$AB$54&amp;" "&amp;Milestones!$AC$54&amp;";  ","")&amp;IF(AND(EDATE($D15,Milestones!$AA$55)&lt;=AsOfDate,IF($R15=0,$X15,IF(AND($T15&lt;&gt;"",EDATE($D15,Milestones!$AA$55)&gt;=$T15),$W15,IF(AND($S15&lt;&gt;"",EDATE($D15,Milestones!$AA$55)&gt;=$S15),$V15,$U15)))=Milestones!$AB$55),UPPER(TEXT(EDATE($D15,Milestones!$AA$55),"dd mmm yy"))&amp;" "&amp;Milestones!$AB$55&amp;" "&amp;Milestones!$AC$55&amp;";  ","")&amp;IF(AND(EDATE($D15,Milestones!$AA$56)&lt;=AsOfDate,IF($R15=0,$X15,IF(AND($T15&lt;&gt;"",EDATE($D15,Milestones!$AA$56)&gt;=$T15),$W15,IF(AND($S15&lt;&gt;"",EDATE($D15,Milestones!$AA$56)&gt;=$S15),$V15,$U15)))=Milestones!$AB$56),UPPER(TEXT(EDATE($D15,Milestones!$AA$56),"dd mmm yy"))&amp;" "&amp;Milestones!$AB$56&amp;" "&amp;Milestones!$AC$56&amp;";  ","")&amp;IF(AND(EDATE($D15,Milestones!$AA$57)&lt;=AsOfDate,IF($R15=0,$X15,IF(AND($T15&lt;&gt;"",EDATE($D15,Milestones!$AA$57)&gt;=$T15),$W15,IF(AND($S15&lt;&gt;"",EDATE($D15,Milestones!$AA$57)&gt;=$S15),$V15,$U15)))=Milestones!$AB$57),UPPER(TEXT(EDATE($D15,Milestones!$AA$57),"dd mmm yy"))&amp;" "&amp;Milestones!$AB$57&amp;" "&amp;Milestones!$AC$57&amp;";  ","")&amp;IF(AND(EDATE($D15,Milestones!$AA$58)&lt;=AsOfDate,IF($R15=0,$X15,IF(AND($T15&lt;&gt;"",EDATE($D15,Milestones!$AA$58)&gt;=$T15),$W15,IF(AND($S15&lt;&gt;"",EDATE($D15,Milestones!$AA$58)&gt;=$S15),$V15,$U15)))=Milestones!$AB$58),UPPER(TEXT(EDATE($D15,Milestones!$AA$58),"dd mmm yy"))&amp;" "&amp;Milestones!$AB$58&amp;" "&amp;Milestones!$AC$58&amp;";  ","")&amp;IF(AND(EDATE($D15,Milestones!$AA$59)&lt;=AsOfDate,IF($R15=0,$X15,IF(AND($T15&lt;&gt;"",EDATE($D15,Milestones!$AA$59)&gt;=$T15),$W15,IF(AND($S15&lt;&gt;"",EDATE($D15,Milestones!$AA$59)&gt;=$S15),$V15,$U15)))=Milestones!$AB$59),UPPER(TEXT(EDATE($D15,Milestones!$AA$59),"dd mmm yy"))&amp;" "&amp;Milestones!$AB$59&amp;" "&amp;Milestones!$AC$59&amp;";  ",""))</f>
        <v/>
      </c>
      <c r="K15" s="0" t="str">
        <f aca="false">IF(OR($A15="",$D15=""),"",IF(AND(EDATE($D15,Milestones!$AA$60)&lt;=AsOfDate,IF($R15=0,$X15,IF(AND($T15&lt;&gt;"",EDATE($D15,Milestones!$AA$60)&gt;=$T15),$W15,IF(AND($S15&lt;&gt;"",EDATE($D15,Milestones!$AA$60)&gt;=$S15),$V15,$U15)))=Milestones!$AB$60),UPPER(TEXT(EDATE($D15,Milestones!$AA$60),"dd mmm yy"))&amp;" "&amp;Milestones!$AB$60&amp;" "&amp;Milestones!$AC$60&amp;";  ","")&amp;IF(AND(EDATE($D15,Milestones!$AA$61)&lt;=AsOfDate,IF($R15=0,$X15,IF(AND($T15&lt;&gt;"",EDATE($D15,Milestones!$AA$61)&gt;=$T15),$W15,IF(AND($S15&lt;&gt;"",EDATE($D15,Milestones!$AA$61)&gt;=$S15),$V15,$U15)))=Milestones!$AB$61),UPPER(TEXT(EDATE($D15,Milestones!$AA$61),"dd mmm yy"))&amp;" "&amp;Milestones!$AB$61&amp;" "&amp;Milestones!$AC$61&amp;";  ","")&amp;IF(AND(EDATE($D15,Milestones!$AA$62)&lt;=AsOfDate,IF($R15=0,$X15,IF(AND($T15&lt;&gt;"",EDATE($D15,Milestones!$AA$62)&gt;=$T15),$W15,IF(AND($S15&lt;&gt;"",EDATE($D15,Milestones!$AA$62)&gt;=$S15),$V15,$U15)))=Milestones!$AB$62),UPPER(TEXT(EDATE($D15,Milestones!$AA$62),"dd mmm yy"))&amp;" "&amp;Milestones!$AB$62&amp;" "&amp;Milestones!$AC$62&amp;";  ","")&amp;IF(AND(EDATE($D15,Milestones!$AA$63)&lt;=AsOfDate,IF($R15=0,$X15,IF(AND($T15&lt;&gt;"",EDATE($D15,Milestones!$AA$63)&gt;=$T15),$W15,IF(AND($S15&lt;&gt;"",EDATE($D15,Milestones!$AA$63)&gt;=$S15),$V15,$U15)))=Milestones!$AB$63),UPPER(TEXT(EDATE($D15,Milestones!$AA$63),"dd mmm yy"))&amp;" "&amp;Milestones!$AB$63&amp;" "&amp;Milestones!$AC$63&amp;";  ","")&amp;IF(AND(EDATE($D15,Milestones!$AA$64)&lt;=AsOfDate,IF($R15=0,$X15,IF(AND($T15&lt;&gt;"",EDATE($D15,Milestones!$AA$64)&gt;=$T15),$W15,IF(AND($S15&lt;&gt;"",EDATE($D15,Milestones!$AA$64)&gt;=$S15),$V15,$U15)))=Milestones!$AB$64),UPPER(TEXT(EDATE($D15,Milestones!$AA$64),"dd mmm yy"))&amp;" "&amp;Milestones!$AB$64&amp;" "&amp;Milestones!$AC$64&amp;";  ","")&amp;IF(AND(EDATE($D15,Milestones!$AA$65)&lt;=AsOfDate,IF($R15=0,$X15,IF(AND($T15&lt;&gt;"",EDATE($D15,Milestones!$AA$65)&gt;=$T15),$W15,IF(AND($S15&lt;&gt;"",EDATE($D15,Milestones!$AA$65)&gt;=$S15),$V15,$U15)))=Milestones!$AB$65),UPPER(TEXT(EDATE($D15,Milestones!$AA$65),"dd mmm yy"))&amp;" "&amp;Milestones!$AB$65&amp;" "&amp;Milestones!$AC$65&amp;";  ","")&amp;IF(AND(EDATE($D15,Milestones!$AA$66)&lt;=AsOfDate,IF($R15=0,$X15,IF(AND($T15&lt;&gt;"",EDATE($D15,Milestones!$AA$66)&gt;=$T15),$W15,IF(AND($S15&lt;&gt;"",EDATE($D15,Milestones!$AA$66)&gt;=$S15),$V15,$U15)))=Milestones!$AB$66),UPPER(TEXT(EDATE($D15,Milestones!$AA$66),"dd mmm yy"))&amp;" "&amp;Milestones!$AB$66&amp;" "&amp;Milestones!$AC$66&amp;";  ","")&amp;IF(AND(EDATE($D15,Milestones!$AA$67)&lt;=AsOfDate,IF($R15=0,$X15,IF(AND($T15&lt;&gt;"",EDATE($D15,Milestones!$AA$67)&gt;=$T15),$W15,IF(AND($S15&lt;&gt;"",EDATE($D15,Milestones!$AA$67)&gt;=$S15),$V15,$U15)))=Milestones!$AB$67),UPPER(TEXT(EDATE($D15,Milestones!$AA$67),"dd mmm yy"))&amp;" "&amp;Milestones!$AB$67&amp;" "&amp;Milestones!$AC$67&amp;";  ","")&amp;IF(AND(EDATE($D15,Milestones!$AA$68)&lt;=AsOfDate,IF($R15=0,$X15,IF(AND($T15&lt;&gt;"",EDATE($D15,Milestones!$AA$68)&gt;=$T15),$W15,IF(AND($S15&lt;&gt;"",EDATE($D15,Milestones!$AA$68)&gt;=$S15),$V15,$U15)))=Milestones!$AB$68),UPPER(TEXT(EDATE($D15,Milestones!$AA$68),"dd mmm yy"))&amp;" "&amp;Milestones!$AB$68&amp;" "&amp;Milestones!$AC$68&amp;";  ","")&amp;IF(AND(EDATE($D15,Milestones!$AA$69)&lt;=AsOfDate,IF($R15=0,$X15,IF(AND($T15&lt;&gt;"",EDATE($D15,Milestones!$AA$69)&gt;=$T15),$W15,IF(AND($S15&lt;&gt;"",EDATE($D15,Milestones!$AA$69)&gt;=$S15),$V15,$U15)))=Milestones!$AB$69),UPPER(TEXT(EDATE($D15,Milestones!$AA$69),"dd mmm yy"))&amp;" "&amp;Milestones!$AB$69&amp;" "&amp;Milestones!$AC$69&amp;";  ","")&amp;IF(AND(EDATE($D15,Milestones!$AA$70)&lt;=AsOfDate,IF($R15=0,$X15,IF(AND($T15&lt;&gt;"",EDATE($D15,Milestones!$AA$70)&gt;=$T15),$W15,IF(AND($S15&lt;&gt;"",EDATE($D15,Milestones!$AA$70)&gt;=$S15),$V15,$U15)))=Milestones!$AB$70),UPPER(TEXT(EDATE($D15,Milestones!$AA$70),"dd mmm yy"))&amp;" "&amp;Milestones!$AB$70&amp;" "&amp;Milestones!$AC$70&amp;";  ","")&amp;IF(AND(EDATE($D15,Milestones!$AA$71)&lt;=AsOfDate,IF($R15=0,$X15,IF(AND($T15&lt;&gt;"",EDATE($D15,Milestones!$AA$71)&gt;=$T15),$W15,IF(AND($S15&lt;&gt;"",EDATE($D15,Milestones!$AA$71)&gt;=$S15),$V15,$U15)))=Milestones!$AB$71),UPPER(TEXT(EDATE($D15,Milestones!$AA$71),"dd mmm yy"))&amp;" "&amp;Milestones!$AB$71&amp;" "&amp;Milestones!$AC$71&amp;";  ","")&amp;IF(AND(EDATE($D15,Milestones!$AA$72)&lt;=AsOfDate,IF($R15=0,$X15,IF(AND($T15&lt;&gt;"",EDATE($D15,Milestones!$AA$72)&gt;=$T15),$W15,IF(AND($S15&lt;&gt;"",EDATE($D15,Milestones!$AA$72)&gt;=$S15),$V15,$U15)))=Milestones!$AB$72),UPPER(TEXT(EDATE($D15,Milestones!$AA$72),"dd mmm yy"))&amp;" "&amp;Milestones!$AB$72&amp;" "&amp;Milestones!$AC$72&amp;";  ","")&amp;IF(AND(EDATE($D15,Milestones!$AA$73)&lt;=AsOfDate,IF($R15=0,$X15,IF(AND($T15&lt;&gt;"",EDATE($D15,Milestones!$AA$73)&gt;=$T15),$W15,IF(AND($S15&lt;&gt;"",EDATE($D15,Milestones!$AA$73)&gt;=$S15),$V15,$U15)))=Milestones!$AB$73),UPPER(TEXT(EDATE($D15,Milestones!$AA$73),"dd mmm yy"))&amp;" "&amp;Milestones!$AB$73&amp;" "&amp;Milestones!$AC$73&amp;";  ","")&amp;IF(AND(EDATE($D15,Milestones!$AA$74)&lt;=AsOfDate,IF($R15=0,$X15,IF(AND($T15&lt;&gt;"",EDATE($D15,Milestones!$AA$74)&gt;=$T15),$W15,IF(AND($S15&lt;&gt;"",EDATE($D15,Milestones!$AA$74)&gt;=$S15),$V15,$U15)))=Milestones!$AB$74),UPPER(TEXT(EDATE($D15,Milestones!$AA$74),"dd mmm yy"))&amp;" "&amp;Milestones!$AB$74&amp;" "&amp;Milestones!$AC$74&amp;";  ","")&amp;IF(AND(EDATE($D15,Milestones!$AA$75)&lt;=AsOfDate,IF($R15=0,$X15,IF(AND($T15&lt;&gt;"",EDATE($D15,Milestones!$AA$75)&gt;=$T15),$W15,IF(AND($S15&lt;&gt;"",EDATE($D15,Milestones!$AA$75)&gt;=$S15),$V15,$U15)))=Milestones!$AB$75),UPPER(TEXT(EDATE($D15,Milestones!$AA$75),"dd mmm yy"))&amp;" "&amp;Milestones!$AB$75&amp;" "&amp;Milestones!$AC$75&amp;";  ","")&amp;IF(AND(EDATE($D15,Milestones!$AA$76)&lt;=AsOfDate,IF($R15=0,$X15,IF(AND($T15&lt;&gt;"",EDATE($D15,Milestones!$AA$76)&gt;=$T15),$W15,IF(AND($S15&lt;&gt;"",EDATE($D15,Milestones!$AA$76)&gt;=$S15),$V15,$U15)))=Milestones!$AB$76),UPPER(TEXT(EDATE($D15,Milestones!$AA$76),"dd mmm yy"))&amp;" "&amp;Milestones!$AB$76&amp;" "&amp;Milestones!$AC$76&amp;";  ","")&amp;IF(AND(EDATE($D15,Milestones!$AA$77)&lt;=AsOfDate,IF($R15=0,$X15,IF(AND($T15&lt;&gt;"",EDATE($D15,Milestones!$AA$77)&gt;=$T15),$W15,IF(AND($S15&lt;&gt;"",EDATE($D15,Milestones!$AA$77)&gt;=$S15),$V15,$U15)))=Milestones!$AB$77),UPPER(TEXT(EDATE($D15,Milestones!$AA$77),"dd mmm yy"))&amp;" "&amp;Milestones!$AB$77&amp;" "&amp;Milestones!$AC$77&amp;";  ","")&amp;IF(AND(EDATE($D15,Milestones!$AA$78)&lt;=AsOfDate,IF($R15=0,$X15,IF(AND($T15&lt;&gt;"",EDATE($D15,Milestones!$AA$78)&gt;=$T15),$W15,IF(AND($S15&lt;&gt;"",EDATE($D15,Milestones!$AA$78)&gt;=$S15),$V15,$U15)))=Milestones!$AB$78),UPPER(TEXT(EDATE($D15,Milestones!$AA$78),"dd mmm yy"))&amp;" "&amp;Milestones!$AB$78&amp;" "&amp;Milestones!$AC$78&amp;";  ","")&amp;IF(AND(EDATE($D15,Milestones!$AA$79)&lt;=AsOfDate,IF($R15=0,$X15,IF(AND($T15&lt;&gt;"",EDATE($D15,Milestones!$AA$79)&gt;=$T15),$W15,IF(AND($S15&lt;&gt;"",EDATE($D15,Milestones!$AA$79)&gt;=$S15),$V15,$U15)))=Milestones!$AB$79),UPPER(TEXT(EDATE($D15,Milestones!$AA$79),"dd mmm yy"))&amp;" "&amp;Milestones!$AB$79&amp;" "&amp;Milestones!$AC$79&amp;";  ",""))</f>
        <v/>
      </c>
      <c r="L15" s="0" t="str">
        <f aca="false">IF(OR($A15="",$D15=""),"",IF(AND(EDATE($D15,Milestones!$AA$80)&lt;=AsOfDate,IF($R15=0,$X15,IF(AND($T15&lt;&gt;"",EDATE($D15,Milestones!$AA$80)&gt;=$T15),$W15,IF(AND($S15&lt;&gt;"",EDATE($D15,Milestones!$AA$80)&gt;=$S15),$V15,$U15)))=Milestones!$AB$80),UPPER(TEXT(EDATE($D15,Milestones!$AA$80),"dd mmm yy"))&amp;" "&amp;Milestones!$AB$80&amp;" "&amp;Milestones!$AC$80&amp;";  ","")&amp;IF(AND(EDATE($D15,Milestones!$AA$81)&lt;=AsOfDate,IF($R15=0,$X15,IF(AND($T15&lt;&gt;"",EDATE($D15,Milestones!$AA$81)&gt;=$T15),$W15,IF(AND($S15&lt;&gt;"",EDATE($D15,Milestones!$AA$81)&gt;=$S15),$V15,$U15)))=Milestones!$AB$81),UPPER(TEXT(EDATE($D15,Milestones!$AA$81),"dd mmm yy"))&amp;" "&amp;Milestones!$AB$81&amp;" "&amp;Milestones!$AC$81&amp;";  ","")&amp;IF(AND(EDATE($D15,Milestones!$AA$82)&lt;=AsOfDate,IF($R15=0,$X15,IF(AND($T15&lt;&gt;"",EDATE($D15,Milestones!$AA$82)&gt;=$T15),$W15,IF(AND($S15&lt;&gt;"",EDATE($D15,Milestones!$AA$82)&gt;=$S15),$V15,$U15)))=Milestones!$AB$82),UPPER(TEXT(EDATE($D15,Milestones!$AA$82),"dd mmm yy"))&amp;" "&amp;Milestones!$AB$82&amp;" "&amp;Milestones!$AC$82&amp;";  ","")&amp;IF(AND(EDATE($D15,Milestones!$AA$83)&lt;=AsOfDate,IF($R15=0,$X15,IF(AND($T15&lt;&gt;"",EDATE($D15,Milestones!$AA$83)&gt;=$T15),$W15,IF(AND($S15&lt;&gt;"",EDATE($D15,Milestones!$AA$83)&gt;=$S15),$V15,$U15)))=Milestones!$AB$83),UPPER(TEXT(EDATE($D15,Milestones!$AA$83),"dd mmm yy"))&amp;" "&amp;Milestones!$AB$83&amp;" "&amp;Milestones!$AC$83&amp;";  ","")&amp;IF(AND(EDATE($D15,Milestones!$AA$84)&lt;=AsOfDate,IF($R15=0,$X15,IF(AND($T15&lt;&gt;"",EDATE($D15,Milestones!$AA$84)&gt;=$T15),$W15,IF(AND($S15&lt;&gt;"",EDATE($D15,Milestones!$AA$84)&gt;=$S15),$V15,$U15)))=Milestones!$AB$84),UPPER(TEXT(EDATE($D15,Milestones!$AA$84),"dd mmm yy"))&amp;" "&amp;Milestones!$AB$84&amp;" "&amp;Milestones!$AC$84&amp;";  ","")&amp;IF(AND(EDATE($D15,Milestones!$AA$85)&lt;=AsOfDate,IF($R15=0,$X15,IF(AND($T15&lt;&gt;"",EDATE($D15,Milestones!$AA$85)&gt;=$T15),$W15,IF(AND($S15&lt;&gt;"",EDATE($D15,Milestones!$AA$85)&gt;=$S15),$V15,$U15)))=Milestones!$AB$85),UPPER(TEXT(EDATE($D15,Milestones!$AA$85),"dd mmm yy"))&amp;" "&amp;Milestones!$AB$85&amp;" "&amp;Milestones!$AC$85&amp;";  ","")&amp;IF(AND(EDATE($D15,Milestones!$AA$86)&lt;=AsOfDate,IF($R15=0,$X15,IF(AND($T15&lt;&gt;"",EDATE($D15,Milestones!$AA$86)&gt;=$T15),$W15,IF(AND($S15&lt;&gt;"",EDATE($D15,Milestones!$AA$86)&gt;=$S15),$V15,$U15)))=Milestones!$AB$86),UPPER(TEXT(EDATE($D15,Milestones!$AA$86),"dd mmm yy"))&amp;" "&amp;Milestones!$AB$86&amp;" "&amp;Milestones!$AC$86&amp;";  ","")&amp;IF(AND(EDATE($D15,Milestones!$AA$87)&lt;=AsOfDate,IF($R15=0,$X15,IF(AND($T15&lt;&gt;"",EDATE($D15,Milestones!$AA$87)&gt;=$T15),$W15,IF(AND($S15&lt;&gt;"",EDATE($D15,Milestones!$AA$87)&gt;=$S15),$V15,$U15)))=Milestones!$AB$87),UPPER(TEXT(EDATE($D15,Milestones!$AA$87),"dd mmm yy"))&amp;" "&amp;Milestones!$AB$87&amp;" "&amp;Milestones!$AC$87&amp;";  ","")&amp;IF(AND(EDATE($D15,Milestones!$AA$88)&lt;=AsOfDate,IF($R15=0,$X15,IF(AND($T15&lt;&gt;"",EDATE($D15,Milestones!$AA$88)&gt;=$T15),$W15,IF(AND($S15&lt;&gt;"",EDATE($D15,Milestones!$AA$88)&gt;=$S15),$V15,$U15)))=Milestones!$AB$88),UPPER(TEXT(EDATE($D15,Milestones!$AA$88),"dd mmm yy"))&amp;" "&amp;Milestones!$AB$88&amp;" "&amp;Milestones!$AC$88&amp;";  ","")&amp;IF(AND(EDATE($D15,Milestones!$AA$89)&lt;=AsOfDate,IF($R15=0,$X15,IF(AND($T15&lt;&gt;"",EDATE($D15,Milestones!$AA$89)&gt;=$T15),$W15,IF(AND($S15&lt;&gt;"",EDATE($D15,Milestones!$AA$89)&gt;=$S15),$V15,$U15)))=Milestones!$AB$89),UPPER(TEXT(EDATE($D15,Milestones!$AA$89),"dd mmm yy"))&amp;" "&amp;Milestones!$AB$89&amp;" "&amp;Milestones!$AC$89&amp;";  ","")&amp;IF(AND(EDATE($D15,Milestones!$AA$90)&lt;=AsOfDate,IF($R15=0,$X15,IF(AND($T15&lt;&gt;"",EDATE($D15,Milestones!$AA$90)&gt;=$T15),$W15,IF(AND($S15&lt;&gt;"",EDATE($D15,Milestones!$AA$90)&gt;=$S15),$V15,$U15)))=Milestones!$AB$90),UPPER(TEXT(EDATE($D15,Milestones!$AA$90),"dd mmm yy"))&amp;" "&amp;Milestones!$AB$90&amp;" "&amp;Milestones!$AC$90&amp;";  ","")&amp;IF(AND(EDATE($D15,Milestones!$AA$91)&lt;=AsOfDate,IF($R15=0,$X15,IF(AND($T15&lt;&gt;"",EDATE($D15,Milestones!$AA$91)&gt;=$T15),$W15,IF(AND($S15&lt;&gt;"",EDATE($D15,Milestones!$AA$91)&gt;=$S15),$V15,$U15)))=Milestones!$AB$91),UPPER(TEXT(EDATE($D15,Milestones!$AA$91),"dd mmm yy"))&amp;" "&amp;Milestones!$AB$91&amp;" "&amp;Milestones!$AC$91&amp;";  ","")&amp;IF(AND(EDATE($D15,Milestones!$AA$92)&lt;=AsOfDate,IF($R15=0,$X15,IF(AND($T15&lt;&gt;"",EDATE($D15,Milestones!$AA$92)&gt;=$T15),$W15,IF(AND($S15&lt;&gt;"",EDATE($D15,Milestones!$AA$92)&gt;=$S15),$V15,$U15)))=Milestones!$AB$92),UPPER(TEXT(EDATE($D15,Milestones!$AA$92),"dd mmm yy"))&amp;" "&amp;Milestones!$AB$92&amp;" "&amp;Milestones!$AC$92&amp;";  ","")&amp;IF(AND(EDATE($D15,Milestones!$AA$93)&lt;=AsOfDate,IF($R15=0,$X15,IF(AND($T15&lt;&gt;"",EDATE($D15,Milestones!$AA$93)&gt;=$T15),$W15,IF(AND($S15&lt;&gt;"",EDATE($D15,Milestones!$AA$93)&gt;=$S15),$V15,$U15)))=Milestones!$AB$93),UPPER(TEXT(EDATE($D15,Milestones!$AA$93),"dd mmm yy"))&amp;" "&amp;Milestones!$AB$93&amp;" "&amp;Milestones!$AC$93&amp;";  ","")&amp;IF(AND(EDATE($D15,Milestones!$AA$94)&lt;=AsOfDate,IF($R15=0,$X15,IF(AND($T15&lt;&gt;"",EDATE($D15,Milestones!$AA$94)&gt;=$T15),$W15,IF(AND($S15&lt;&gt;"",EDATE($D15,Milestones!$AA$94)&gt;=$S15),$V15,$U15)))=Milestones!$AB$94),UPPER(TEXT(EDATE($D15,Milestones!$AA$94),"dd mmm yy"))&amp;" "&amp;Milestones!$AB$94&amp;" "&amp;Milestones!$AC$94&amp;";  ","")&amp;IF(AND(EDATE($D15,Milestones!$AA$95)&lt;=AsOfDate,IF($R15=0,$X15,IF(AND($T15&lt;&gt;"",EDATE($D15,Milestones!$AA$95)&gt;=$T15),$W15,IF(AND($S15&lt;&gt;"",EDATE($D15,Milestones!$AA$95)&gt;=$S15),$V15,$U15)))=Milestones!$AB$95),UPPER(TEXT(EDATE($D15,Milestones!$AA$95),"dd mmm yy"))&amp;" "&amp;Milestones!$AB$95&amp;" "&amp;Milestones!$AC$95&amp;";  ","")&amp;IF(AND(EDATE($D15,Milestones!$AA$96)&lt;=AsOfDate,IF($R15=0,$X15,IF(AND($T15&lt;&gt;"",EDATE($D15,Milestones!$AA$96)&gt;=$T15),$W15,IF(AND($S15&lt;&gt;"",EDATE($D15,Milestones!$AA$96)&gt;=$S15),$V15,$U15)))=Milestones!$AB$96),UPPER(TEXT(EDATE($D15,Milestones!$AA$96),"dd mmm yy"))&amp;" "&amp;Milestones!$AB$96&amp;" "&amp;Milestones!$AC$96&amp;";  ","")&amp;IF(AND(EDATE($D15,Milestones!$AA$97)&lt;=AsOfDate,IF($R15=0,$X15,IF(AND($T15&lt;&gt;"",EDATE($D15,Milestones!$AA$97)&gt;=$T15),$W15,IF(AND($S15&lt;&gt;"",EDATE($D15,Milestones!$AA$97)&gt;=$S15),$V15,$U15)))=Milestones!$AB$97),UPPER(TEXT(EDATE($D15,Milestones!$AA$97),"dd mmm yy"))&amp;" "&amp;Milestones!$AB$97&amp;" "&amp;Milestones!$AC$97&amp;";  ","")&amp;IF(AND(EDATE($D15,Milestones!$AA$98)&lt;=AsOfDate,IF($R15=0,$X15,IF(AND($T15&lt;&gt;"",EDATE($D15,Milestones!$AA$98)&gt;=$T15),$W15,IF(AND($S15&lt;&gt;"",EDATE($D15,Milestones!$AA$98)&gt;=$S15),$V15,$U15)))=Milestones!$AB$98),UPPER(TEXT(EDATE($D15,Milestones!$AA$98),"dd mmm yy"))&amp;" "&amp;Milestones!$AB$98&amp;" "&amp;Milestones!$AC$98&amp;";  ","")&amp;IF(AND(EDATE($D15,Milestones!$AA$99)&lt;=AsOfDate,IF($R15=0,$X15,IF(AND($T15&lt;&gt;"",EDATE($D15,Milestones!$AA$99)&gt;=$T15),$W15,IF(AND($S15&lt;&gt;"",EDATE($D15,Milestones!$AA$99)&gt;=$S15),$V15,$U15)))=Milestones!$AB$99),UPPER(TEXT(EDATE($D15,Milestones!$AA$99),"dd mmm yy"))&amp;" "&amp;Milestones!$AB$99&amp;" "&amp;Milestones!$AC$99&amp;";  ",""))</f>
        <v/>
      </c>
      <c r="M15" s="0" t="str">
        <f aca="false">IF(OR($A15="",$D15=""),"",IF(AND(EDATE($D15,Milestones!$AA$100)&lt;=AsOfDate,IF($R15=0,$X15,IF(AND($T15&lt;&gt;"",EDATE($D15,Milestones!$AA$100)&gt;=$T15),$W15,IF(AND($S15&lt;&gt;"",EDATE($D15,Milestones!$AA$100)&gt;=$S15),$V15,$U15)))=Milestones!$AB$100),UPPER(TEXT(EDATE($D15,Milestones!$AA$100),"dd mmm yy"))&amp;" "&amp;Milestones!$AB$100&amp;" "&amp;Milestones!$AC$100&amp;";  ","")&amp;IF(AND(EDATE($D15,Milestones!$AA$101)&lt;=AsOfDate,IF($R15=0,$X15,IF(AND($T15&lt;&gt;"",EDATE($D15,Milestones!$AA$101)&gt;=$T15),$W15,IF(AND($S15&lt;&gt;"",EDATE($D15,Milestones!$AA$101)&gt;=$S15),$V15,$U15)))=Milestones!$AB$101),UPPER(TEXT(EDATE($D15,Milestones!$AA$101),"dd mmm yy"))&amp;" "&amp;Milestones!$AB$101&amp;" "&amp;Milestones!$AC$101&amp;";  ","")&amp;IF(AND(EDATE($D15,Milestones!$AA$102)&lt;=AsOfDate,IF($R15=0,$X15,IF(AND($T15&lt;&gt;"",EDATE($D15,Milestones!$AA$102)&gt;=$T15),$W15,IF(AND($S15&lt;&gt;"",EDATE($D15,Milestones!$AA$102)&gt;=$S15),$V15,$U15)))=Milestones!$AB$102),UPPER(TEXT(EDATE($D15,Milestones!$AA$102),"dd mmm yy"))&amp;" "&amp;Milestones!$AB$102&amp;" "&amp;Milestones!$AC$102&amp;";  ","")&amp;IF(AND(EDATE($D15,Milestones!$AA$103)&lt;=AsOfDate,IF($R15=0,$X15,IF(AND($T15&lt;&gt;"",EDATE($D15,Milestones!$AA$103)&gt;=$T15),$W15,IF(AND($S15&lt;&gt;"",EDATE($D15,Milestones!$AA$103)&gt;=$S15),$V15,$U15)))=Milestones!$AB$103),UPPER(TEXT(EDATE($D15,Milestones!$AA$103),"dd mmm yy"))&amp;" "&amp;Milestones!$AB$103&amp;" "&amp;Milestones!$AC$103&amp;";  ","")&amp;IF(AND(EDATE($D15,Milestones!$AA$104)&lt;=AsOfDate,IF($R15=0,$X15,IF(AND($T15&lt;&gt;"",EDATE($D15,Milestones!$AA$104)&gt;=$T15),$W15,IF(AND($S15&lt;&gt;"",EDATE($D15,Milestones!$AA$104)&gt;=$S15),$V15,$U15)))=Milestones!$AB$104),UPPER(TEXT(EDATE($D15,Milestones!$AA$104),"dd mmm yy"))&amp;" "&amp;Milestones!$AB$104&amp;" "&amp;Milestones!$AC$104&amp;";  ","")&amp;IF(AND(EDATE($D15,Milestones!$AA$105)&lt;=AsOfDate,IF($R15=0,$X15,IF(AND($T15&lt;&gt;"",EDATE($D15,Milestones!$AA$105)&gt;=$T15),$W15,IF(AND($S15&lt;&gt;"",EDATE($D15,Milestones!$AA$105)&gt;=$S15),$V15,$U15)))=Milestones!$AB$105),UPPER(TEXT(EDATE($D15,Milestones!$AA$105),"dd mmm yy"))&amp;" "&amp;Milestones!$AB$105&amp;" "&amp;Milestones!$AC$105&amp;";  ","")&amp;IF(AND(EDATE($D15,Milestones!$AA$106)&lt;=AsOfDate,IF($R15=0,$X15,IF(AND($T15&lt;&gt;"",EDATE($D15,Milestones!$AA$106)&gt;=$T15),$W15,IF(AND($S15&lt;&gt;"",EDATE($D15,Milestones!$AA$106)&gt;=$S15),$V15,$U15)))=Milestones!$AB$106),UPPER(TEXT(EDATE($D15,Milestones!$AA$106),"dd mmm yy"))&amp;" "&amp;Milestones!$AB$106&amp;" "&amp;Milestones!$AC$106&amp;";  ","")&amp;IF(AND(EDATE($D15,Milestones!$AA$107)&lt;=AsOfDate,IF($R15=0,$X15,IF(AND($T15&lt;&gt;"",EDATE($D15,Milestones!$AA$107)&gt;=$T15),$W15,IF(AND($S15&lt;&gt;"",EDATE($D15,Milestones!$AA$107)&gt;=$S15),$V15,$U15)))=Milestones!$AB$107),UPPER(TEXT(EDATE($D15,Milestones!$AA$107),"dd mmm yy"))&amp;" "&amp;Milestones!$AB$107&amp;" "&amp;Milestones!$AC$107&amp;";  ","")&amp;IF(AND(EDATE($D15,Milestones!$AA$108)&lt;=AsOfDate,IF($R15=0,$X15,IF(AND($T15&lt;&gt;"",EDATE($D15,Milestones!$AA$108)&gt;=$T15),$W15,IF(AND($S15&lt;&gt;"",EDATE($D15,Milestones!$AA$108)&gt;=$S15),$V15,$U15)))=Milestones!$AB$108),UPPER(TEXT(EDATE($D15,Milestones!$AA$108),"dd mmm yy"))&amp;" "&amp;Milestones!$AB$108&amp;" "&amp;Milestones!$AC$108&amp;";  ","")&amp;IF(AND(EDATE($D15,Milestones!$AA$109)&lt;=AsOfDate,IF($R15=0,$X15,IF(AND($T15&lt;&gt;"",EDATE($D15,Milestones!$AA$109)&gt;=$T15),$W15,IF(AND($S15&lt;&gt;"",EDATE($D15,Milestones!$AA$109)&gt;=$S15),$V15,$U15)))=Milestones!$AB$109),UPPER(TEXT(EDATE($D15,Milestones!$AA$109),"dd mmm yy"))&amp;" "&amp;Milestones!$AB$109&amp;" "&amp;Milestones!$AC$109&amp;";  ","")&amp;IF(AND(EDATE($D15,Milestones!$AA$110)&lt;=AsOfDate,IF($R15=0,$X15,IF(AND($T15&lt;&gt;"",EDATE($D15,Milestones!$AA$110)&gt;=$T15),$W15,IF(AND($S15&lt;&gt;"",EDATE($D15,Milestones!$AA$110)&gt;=$S15),$V15,$U15)))=Milestones!$AB$110),UPPER(TEXT(EDATE($D15,Milestones!$AA$110),"dd mmm yy"))&amp;" "&amp;Milestones!$AB$110&amp;" "&amp;Milestones!$AC$110&amp;";  ","")&amp;IF(AND(EDATE($D15,Milestones!$AA$111)&lt;=AsOfDate,IF($R15=0,$X15,IF(AND($T15&lt;&gt;"",EDATE($D15,Milestones!$AA$111)&gt;=$T15),$W15,IF(AND($S15&lt;&gt;"",EDATE($D15,Milestones!$AA$111)&gt;=$S15),$V15,$U15)))=Milestones!$AB$111),UPPER(TEXT(EDATE($D15,Milestones!$AA$111),"dd mmm yy"))&amp;" "&amp;Milestones!$AB$111&amp;" "&amp;Milestones!$AC$111&amp;";  ","")&amp;IF(AND(EDATE($D15,Milestones!$AA$112)&lt;=AsOfDate,IF($R15=0,$X15,IF(AND($T15&lt;&gt;"",EDATE($D15,Milestones!$AA$112)&gt;=$T15),$W15,IF(AND($S15&lt;&gt;"",EDATE($D15,Milestones!$AA$112)&gt;=$S15),$V15,$U15)))=Milestones!$AB$112),UPPER(TEXT(EDATE($D15,Milestones!$AA$112),"dd mmm yy"))&amp;" "&amp;Milestones!$AB$112&amp;" "&amp;Milestones!$AC$112&amp;";  ","")&amp;IF(AND(EDATE($D15,Milestones!$AA$113)&lt;=AsOfDate,IF($R15=0,$X15,IF(AND($T15&lt;&gt;"",EDATE($D15,Milestones!$AA$113)&gt;=$T15),$W15,IF(AND($S15&lt;&gt;"",EDATE($D15,Milestones!$AA$113)&gt;=$S15),$V15,$U15)))=Milestones!$AB$113),UPPER(TEXT(EDATE($D15,Milestones!$AA$113),"dd mmm yy"))&amp;" "&amp;Milestones!$AB$113&amp;" "&amp;Milestones!$AC$113&amp;";  ","")&amp;IF(AND(EDATE($D15,Milestones!$AA$114)&lt;=AsOfDate,IF($R15=0,$X15,IF(AND($T15&lt;&gt;"",EDATE($D15,Milestones!$AA$114)&gt;=$T15),$W15,IF(AND($S15&lt;&gt;"",EDATE($D15,Milestones!$AA$114)&gt;=$S15),$V15,$U15)))=Milestones!$AB$114),UPPER(TEXT(EDATE($D15,Milestones!$AA$114),"dd mmm yy"))&amp;" "&amp;Milestones!$AB$114&amp;" "&amp;Milestones!$AC$114&amp;";  ","")&amp;IF(AND(EDATE($D15,Milestones!$AA$115)&lt;=AsOfDate,IF($R15=0,$X15,IF(AND($T15&lt;&gt;"",EDATE($D15,Milestones!$AA$115)&gt;=$T15),$W15,IF(AND($S15&lt;&gt;"",EDATE($D15,Milestones!$AA$115)&gt;=$S15),$V15,$U15)))=Milestones!$AB$115),UPPER(TEXT(EDATE($D15,Milestones!$AA$115),"dd mmm yy"))&amp;" "&amp;Milestones!$AB$115&amp;" "&amp;Milestones!$AC$115&amp;";  ","")&amp;IF(AND(EDATE($D15,Milestones!$AA$116)&lt;=AsOfDate,IF($R15=0,$X15,IF(AND($T15&lt;&gt;"",EDATE($D15,Milestones!$AA$116)&gt;=$T15),$W15,IF(AND($S15&lt;&gt;"",EDATE($D15,Milestones!$AA$116)&gt;=$S15),$V15,$U15)))=Milestones!$AB$116),UPPER(TEXT(EDATE($D15,Milestones!$AA$116),"dd mmm yy"))&amp;" "&amp;Milestones!$AB$116&amp;" "&amp;Milestones!$AC$116&amp;";  ","")&amp;IF(AND(EDATE($D15,Milestones!$AA$117)&lt;=AsOfDate,IF($R15=0,$X15,IF(AND($T15&lt;&gt;"",EDATE($D15,Milestones!$AA$117)&gt;=$T15),$W15,IF(AND($S15&lt;&gt;"",EDATE($D15,Milestones!$AA$117)&gt;=$S15),$V15,$U15)))=Milestones!$AB$117),UPPER(TEXT(EDATE($D15,Milestones!$AA$117),"dd mmm yy"))&amp;" "&amp;Milestones!$AB$117&amp;" "&amp;Milestones!$AC$117&amp;";  ","")&amp;IF(AND(EDATE($D15,Milestones!$AA$118)&lt;=AsOfDate,IF($R15=0,$X15,IF(AND($T15&lt;&gt;"",EDATE($D15,Milestones!$AA$118)&gt;=$T15),$W15,IF(AND($S15&lt;&gt;"",EDATE($D15,Milestones!$AA$118)&gt;=$S15),$V15,$U15)))=Milestones!$AB$118),UPPER(TEXT(EDATE($D15,Milestones!$AA$118),"dd mmm yy"))&amp;" "&amp;Milestones!$AB$118&amp;" "&amp;Milestones!$AC$118&amp;";  ","")&amp;IF(AND(EDATE($D15,Milestones!$AA$119)&lt;=AsOfDate,IF($R15=0,$X15,IF(AND($T15&lt;&gt;"",EDATE($D15,Milestones!$AA$119)&gt;=$T15),$W15,IF(AND($S15&lt;&gt;"",EDATE($D15,Milestones!$AA$119)&gt;=$S15),$V15,$U15)))=Milestones!$AB$119),UPPER(TEXT(EDATE($D15,Milestones!$AA$119),"dd mmm yy"))&amp;" "&amp;Milestones!$AB$119&amp;" "&amp;Milestones!$AC$119&amp;";  ",""))</f>
        <v/>
      </c>
      <c r="N15" s="0" t="str">
        <f aca="false">IF(OR($A15="",$D15=""),"",IF(AND(EDATE($D15,Milestones!$AA$120)&lt;=AsOfDate,IF($R15=0,$X15,IF(AND($T15&lt;&gt;"",EDATE($D15,Milestones!$AA$120)&gt;=$T15),$W15,IF(AND($S15&lt;&gt;"",EDATE($D15,Milestones!$AA$120)&gt;=$S15),$V15,$U15)))=Milestones!$AB$120),UPPER(TEXT(EDATE($D15,Milestones!$AA$120),"dd mmm yy"))&amp;" "&amp;Milestones!$AB$120&amp;" "&amp;Milestones!$AC$120&amp;";  ","")&amp;IF(AND(EDATE($D15,Milestones!$AA$121)&lt;=AsOfDate,IF($R15=0,$X15,IF(AND($T15&lt;&gt;"",EDATE($D15,Milestones!$AA$121)&gt;=$T15),$W15,IF(AND($S15&lt;&gt;"",EDATE($D15,Milestones!$AA$121)&gt;=$S15),$V15,$U15)))=Milestones!$AB$121),UPPER(TEXT(EDATE($D15,Milestones!$AA$121),"dd mmm yy"))&amp;" "&amp;Milestones!$AB$121&amp;" "&amp;Milestones!$AC$121&amp;";  ","")&amp;IF(AND(EDATE($D15,Milestones!$AA$122)&lt;=AsOfDate,IF($R15=0,$X15,IF(AND($T15&lt;&gt;"",EDATE($D15,Milestones!$AA$122)&gt;=$T15),$W15,IF(AND($S15&lt;&gt;"",EDATE($D15,Milestones!$AA$122)&gt;=$S15),$V15,$U15)))=Milestones!$AB$122),UPPER(TEXT(EDATE($D15,Milestones!$AA$122),"dd mmm yy"))&amp;" "&amp;Milestones!$AB$122&amp;" "&amp;Milestones!$AC$122&amp;";  ","")&amp;IF(AND(EDATE($D15,Milestones!$AA$123)&lt;=AsOfDate,IF($R15=0,$X15,IF(AND($T15&lt;&gt;"",EDATE($D15,Milestones!$AA$123)&gt;=$T15),$W15,IF(AND($S15&lt;&gt;"",EDATE($D15,Milestones!$AA$123)&gt;=$S15),$V15,$U15)))=Milestones!$AB$123),UPPER(TEXT(EDATE($D15,Milestones!$AA$123),"dd mmm yy"))&amp;" "&amp;Milestones!$AB$123&amp;" "&amp;Milestones!$AC$123&amp;";  ","")&amp;IF(AND(EDATE($D15,Milestones!$AA$124)&lt;=AsOfDate,IF($R15=0,$X15,IF(AND($T15&lt;&gt;"",EDATE($D15,Milestones!$AA$124)&gt;=$T15),$W15,IF(AND($S15&lt;&gt;"",EDATE($D15,Milestones!$AA$124)&gt;=$S15),$V15,$U15)))=Milestones!$AB$124),UPPER(TEXT(EDATE($D15,Milestones!$AA$124),"dd mmm yy"))&amp;" "&amp;Milestones!$AB$124&amp;" "&amp;Milestones!$AC$124&amp;";  ","")&amp;IF(AND(EDATE($D15,Milestones!$AA$125)&lt;=AsOfDate,IF($R15=0,$X15,IF(AND($T15&lt;&gt;"",EDATE($D15,Milestones!$AA$125)&gt;=$T15),$W15,IF(AND($S15&lt;&gt;"",EDATE($D15,Milestones!$AA$125)&gt;=$S15),$V15,$U15)))=Milestones!$AB$125),UPPER(TEXT(EDATE($D15,Milestones!$AA$125),"dd mmm yy"))&amp;" "&amp;Milestones!$AB$125&amp;" "&amp;Milestones!$AC$125&amp;";  ","")&amp;IF(AND(EDATE($D15,Milestones!$AA$126)&lt;=AsOfDate,IF($R15=0,$X15,IF(AND($T15&lt;&gt;"",EDATE($D15,Milestones!$AA$126)&gt;=$T15),$W15,IF(AND($S15&lt;&gt;"",EDATE($D15,Milestones!$AA$126)&gt;=$S15),$V15,$U15)))=Milestones!$AB$126),UPPER(TEXT(EDATE($D15,Milestones!$AA$126),"dd mmm yy"))&amp;" "&amp;Milestones!$AB$126&amp;" "&amp;Milestones!$AC$126&amp;";  ","")&amp;IF(AND(EDATE($D15,Milestones!$AA$127)&lt;=AsOfDate,IF($R15=0,$X15,IF(AND($T15&lt;&gt;"",EDATE($D15,Milestones!$AA$127)&gt;=$T15),$W15,IF(AND($S15&lt;&gt;"",EDATE($D15,Milestones!$AA$127)&gt;=$S15),$V15,$U15)))=Milestones!$AB$127),UPPER(TEXT(EDATE($D15,Milestones!$AA$127),"dd mmm yy"))&amp;" "&amp;Milestones!$AB$127&amp;" "&amp;Milestones!$AC$127&amp;";  ","")&amp;IF(AND(EDATE($D15,Milestones!$AA$128)&lt;=AsOfDate,IF($R15=0,$X15,IF(AND($T15&lt;&gt;"",EDATE($D15,Milestones!$AA$128)&gt;=$T15),$W15,IF(AND($S15&lt;&gt;"",EDATE($D15,Milestones!$AA$128)&gt;=$S15),$V15,$U15)))=Milestones!$AB$128),UPPER(TEXT(EDATE($D15,Milestones!$AA$128),"dd mmm yy"))&amp;" "&amp;Milestones!$AB$128&amp;" "&amp;Milestones!$AC$128&amp;";  ","")&amp;IF(AND(EDATE($D15,Milestones!$AA$129)&lt;=AsOfDate,IF($R15=0,$X15,IF(AND($T15&lt;&gt;"",EDATE($D15,Milestones!$AA$129)&gt;=$T15),$W15,IF(AND($S15&lt;&gt;"",EDATE($D15,Milestones!$AA$129)&gt;=$S15),$V15,$U15)))=Milestones!$AB$129),UPPER(TEXT(EDATE($D15,Milestones!$AA$129),"dd mmm yy"))&amp;" "&amp;Milestones!$AB$129&amp;" "&amp;Milestones!$AC$129&amp;";  ","")&amp;IF(AND(EDATE($D15,Milestones!$AA$130)&lt;=AsOfDate,IF($R15=0,$X15,IF(AND($T15&lt;&gt;"",EDATE($D15,Milestones!$AA$130)&gt;=$T15),$W15,IF(AND($S15&lt;&gt;"",EDATE($D15,Milestones!$AA$130)&gt;=$S15),$V15,$U15)))=Milestones!$AB$130),UPPER(TEXT(EDATE($D15,Milestones!$AA$130),"dd mmm yy"))&amp;" "&amp;Milestones!$AB$130&amp;" "&amp;Milestones!$AC$130&amp;";  ","")&amp;IF(AND(EDATE($D15,Milestones!$AA$131)&lt;=AsOfDate,IF($R15=0,$X15,IF(AND($T15&lt;&gt;"",EDATE($D15,Milestones!$AA$131)&gt;=$T15),$W15,IF(AND($S15&lt;&gt;"",EDATE($D15,Milestones!$AA$131)&gt;=$S15),$V15,$U15)))=Milestones!$AB$131),UPPER(TEXT(EDATE($D15,Milestones!$AA$131),"dd mmm yy"))&amp;" "&amp;Milestones!$AB$131&amp;" "&amp;Milestones!$AC$131&amp;";  ","")&amp;IF(AND(EDATE($D15,Milestones!$AA$132)&lt;=AsOfDate,IF($R15=0,$X15,IF(AND($T15&lt;&gt;"",EDATE($D15,Milestones!$AA$132)&gt;=$T15),$W15,IF(AND($S15&lt;&gt;"",EDATE($D15,Milestones!$AA$132)&gt;=$S15),$V15,$U15)))=Milestones!$AB$132),UPPER(TEXT(EDATE($D15,Milestones!$AA$132),"dd mmm yy"))&amp;" "&amp;Milestones!$AB$132&amp;" "&amp;Milestones!$AC$132&amp;";  ","")&amp;IF(AND(EDATE($D15,Milestones!$AA$133)&lt;=AsOfDate,IF($R15=0,$X15,IF(AND($T15&lt;&gt;"",EDATE($D15,Milestones!$AA$133)&gt;=$T15),$W15,IF(AND($S15&lt;&gt;"",EDATE($D15,Milestones!$AA$133)&gt;=$S15),$V15,$U15)))=Milestones!$AB$133),UPPER(TEXT(EDATE($D15,Milestones!$AA$133),"dd mmm yy"))&amp;" "&amp;Milestones!$AB$133&amp;" "&amp;Milestones!$AC$133&amp;";  ","")&amp;IF(AND(EDATE($D15,Milestones!$AA$134)&lt;=AsOfDate,IF($R15=0,$X15,IF(AND($T15&lt;&gt;"",EDATE($D15,Milestones!$AA$134)&gt;=$T15),$W15,IF(AND($S15&lt;&gt;"",EDATE($D15,Milestones!$AA$134)&gt;=$S15),$V15,$U15)))=Milestones!$AB$134),UPPER(TEXT(EDATE($D15,Milestones!$AA$134),"dd mmm yy"))&amp;" "&amp;Milestones!$AB$134&amp;" "&amp;Milestones!$AC$134&amp;";  ","")&amp;IF(AND(EDATE($D15,Milestones!$AA$135)&lt;=AsOfDate,IF($R15=0,$X15,IF(AND($T15&lt;&gt;"",EDATE($D15,Milestones!$AA$135)&gt;=$T15),$W15,IF(AND($S15&lt;&gt;"",EDATE($D15,Milestones!$AA$135)&gt;=$S15),$V15,$U15)))=Milestones!$AB$135),UPPER(TEXT(EDATE($D15,Milestones!$AA$135),"dd mmm yy"))&amp;" "&amp;Milestones!$AB$135&amp;" "&amp;Milestones!$AC$135&amp;";  ","")&amp;IF(AND(EDATE($D15,Milestones!$AA$136)&lt;=AsOfDate,IF($R15=0,$X15,IF(AND($T15&lt;&gt;"",EDATE($D15,Milestones!$AA$136)&gt;=$T15),$W15,IF(AND($S15&lt;&gt;"",EDATE($D15,Milestones!$AA$136)&gt;=$S15),$V15,$U15)))=Milestones!$AB$136),UPPER(TEXT(EDATE($D15,Milestones!$AA$136),"dd mmm yy"))&amp;" "&amp;Milestones!$AB$136&amp;" "&amp;Milestones!$AC$136&amp;";  ","")&amp;IF(AND(EDATE($D15,Milestones!$AA$137)&lt;=AsOfDate,IF($R15=0,$X15,IF(AND($T15&lt;&gt;"",EDATE($D15,Milestones!$AA$137)&gt;=$T15),$W15,IF(AND($S15&lt;&gt;"",EDATE($D15,Milestones!$AA$137)&gt;=$S15),$V15,$U15)))=Milestones!$AB$137),UPPER(TEXT(EDATE($D15,Milestones!$AA$137),"dd mmm yy"))&amp;" "&amp;Milestones!$AB$137&amp;" "&amp;Milestones!$AC$137&amp;";  ","")&amp;IF(AND(EDATE($D15,Milestones!$AA$138)&lt;=AsOfDate,IF($R15=0,$X15,IF(AND($T15&lt;&gt;"",EDATE($D15,Milestones!$AA$138)&gt;=$T15),$W15,IF(AND($S15&lt;&gt;"",EDATE($D15,Milestones!$AA$138)&gt;=$S15),$V15,$U15)))=Milestones!$AB$138),UPPER(TEXT(EDATE($D15,Milestones!$AA$138),"dd mmm yy"))&amp;" "&amp;Milestones!$AB$138&amp;" "&amp;Milestones!$AC$138&amp;";  ","")&amp;IF(AND(EDATE($D15,Milestones!$AA$139)&lt;=AsOfDate,IF($R15=0,$X15,IF(AND($T15&lt;&gt;"",EDATE($D15,Milestones!$AA$139)&gt;=$T15),$W15,IF(AND($S15&lt;&gt;"",EDATE($D15,Milestones!$AA$139)&gt;=$S15),$V15,$U15)))=Milestones!$AB$139),UPPER(TEXT(EDATE($D15,Milestones!$AA$139),"dd mmm yy"))&amp;" "&amp;Milestones!$AB$139&amp;" "&amp;Milestones!$AC$139&amp;";  ",""))</f>
        <v/>
      </c>
      <c r="O15" s="0" t="str">
        <f aca="false">IF(OR($A15="",$D15=""),"",IF(AND(EDATE($D15,Milestones!$AA$140)&lt;=AsOfDate,IF($R15=0,$X15,IF(AND($T15&lt;&gt;"",EDATE($D15,Milestones!$AA$140)&gt;=$T15),$W15,IF(AND($S15&lt;&gt;"",EDATE($D15,Milestones!$AA$140)&gt;=$S15),$V15,$U15)))=Milestones!$AB$140),UPPER(TEXT(EDATE($D15,Milestones!$AA$140),"dd mmm yy"))&amp;" "&amp;Milestones!$AB$140&amp;" "&amp;Milestones!$AC$140&amp;";  ","")&amp;IF(AND(EDATE($D15,Milestones!$AA$141)&lt;=AsOfDate,IF($R15=0,$X15,IF(AND($T15&lt;&gt;"",EDATE($D15,Milestones!$AA$141)&gt;=$T15),$W15,IF(AND($S15&lt;&gt;"",EDATE($D15,Milestones!$AA$141)&gt;=$S15),$V15,$U15)))=Milestones!$AB$141),UPPER(TEXT(EDATE($D15,Milestones!$AA$141),"dd mmm yy"))&amp;" "&amp;Milestones!$AB$141&amp;" "&amp;Milestones!$AC$141&amp;";  ","")&amp;IF(AND(EDATE($D15,Milestones!$AA$142)&lt;=AsOfDate,IF($R15=0,$X15,IF(AND($T15&lt;&gt;"",EDATE($D15,Milestones!$AA$142)&gt;=$T15),$W15,IF(AND($S15&lt;&gt;"",EDATE($D15,Milestones!$AA$142)&gt;=$S15),$V15,$U15)))=Milestones!$AB$142),UPPER(TEXT(EDATE($D15,Milestones!$AA$142),"dd mmm yy"))&amp;" "&amp;Milestones!$AB$142&amp;" "&amp;Milestones!$AC$142&amp;";  ","")&amp;IF(AND(EDATE($D15,Milestones!$AA$143)&lt;=AsOfDate,IF($R15=0,$X15,IF(AND($T15&lt;&gt;"",EDATE($D15,Milestones!$AA$143)&gt;=$T15),$W15,IF(AND($S15&lt;&gt;"",EDATE($D15,Milestones!$AA$143)&gt;=$S15),$V15,$U15)))=Milestones!$AB$143),UPPER(TEXT(EDATE($D15,Milestones!$AA$143),"dd mmm yy"))&amp;" "&amp;Milestones!$AB$143&amp;" "&amp;Milestones!$AC$143&amp;";  ","")&amp;IF(AND(EDATE($D15,Milestones!$AA$144)&lt;=AsOfDate,IF($R15=0,$X15,IF(AND($T15&lt;&gt;"",EDATE($D15,Milestones!$AA$144)&gt;=$T15),$W15,IF(AND($S15&lt;&gt;"",EDATE($D15,Milestones!$AA$144)&gt;=$S15),$V15,$U15)))=Milestones!$AB$144),UPPER(TEXT(EDATE($D15,Milestones!$AA$144),"dd mmm yy"))&amp;" "&amp;Milestones!$AB$144&amp;" "&amp;Milestones!$AC$144&amp;";  ","")&amp;IF(AND(EDATE($D15,Milestones!$AA$145)&lt;=AsOfDate,IF($R15=0,$X15,IF(AND($T15&lt;&gt;"",EDATE($D15,Milestones!$AA$145)&gt;=$T15),$W15,IF(AND($S15&lt;&gt;"",EDATE($D15,Milestones!$AA$145)&gt;=$S15),$V15,$U15)))=Milestones!$AB$145),UPPER(TEXT(EDATE($D15,Milestones!$AA$145),"dd mmm yy"))&amp;" "&amp;Milestones!$AB$145&amp;" "&amp;Milestones!$AC$145&amp;";  ","")&amp;IF(AND(EDATE($D15,Milestones!$AA$146)&lt;=AsOfDate,IF($R15=0,$X15,IF(AND($T15&lt;&gt;"",EDATE($D15,Milestones!$AA$146)&gt;=$T15),$W15,IF(AND($S15&lt;&gt;"",EDATE($D15,Milestones!$AA$146)&gt;=$S15),$V15,$U15)))=Milestones!$AB$146),UPPER(TEXT(EDATE($D15,Milestones!$AA$146),"dd mmm yy"))&amp;" "&amp;Milestones!$AB$146&amp;" "&amp;Milestones!$AC$146&amp;";  ","")&amp;IF(AND(EDATE($D15,Milestones!$AA$147)&lt;=AsOfDate,IF($R15=0,$X15,IF(AND($T15&lt;&gt;"",EDATE($D15,Milestones!$AA$147)&gt;=$T15),$W15,IF(AND($S15&lt;&gt;"",EDATE($D15,Milestones!$AA$147)&gt;=$S15),$V15,$U15)))=Milestones!$AB$147),UPPER(TEXT(EDATE($D15,Milestones!$AA$147),"dd mmm yy"))&amp;" "&amp;Milestones!$AB$147&amp;" "&amp;Milestones!$AC$147&amp;";  ","")&amp;IF(AND(EDATE($D15,Milestones!$AA$148)&lt;=AsOfDate,IF($R15=0,$X15,IF(AND($T15&lt;&gt;"",EDATE($D15,Milestones!$AA$148)&gt;=$T15),$W15,IF(AND($S15&lt;&gt;"",EDATE($D15,Milestones!$AA$148)&gt;=$S15),$V15,$U15)))=Milestones!$AB$148),UPPER(TEXT(EDATE($D15,Milestones!$AA$148),"dd mmm yy"))&amp;" "&amp;Milestones!$AB$148&amp;" "&amp;Milestones!$AC$148&amp;";  ","")&amp;IF(AND(EDATE($D15,Milestones!$AA$149)&lt;=AsOfDate,IF($R15=0,$X15,IF(AND($T15&lt;&gt;"",EDATE($D15,Milestones!$AA$149)&gt;=$T15),$W15,IF(AND($S15&lt;&gt;"",EDATE($D15,Milestones!$AA$149)&gt;=$S15),$V15,$U15)))=Milestones!$AB$149),UPPER(TEXT(EDATE($D15,Milestones!$AA$149),"dd mmm yy"))&amp;" "&amp;Milestones!$AB$149&amp;" "&amp;Milestones!$AC$149&amp;";  ","")&amp;IF(AND(EDATE($D15,Milestones!$AA$150)&lt;=AsOfDate,IF($R15=0,$X15,IF(AND($T15&lt;&gt;"",EDATE($D15,Milestones!$AA$150)&gt;=$T15),$W15,IF(AND($S15&lt;&gt;"",EDATE($D15,Milestones!$AA$150)&gt;=$S15),$V15,$U15)))=Milestones!$AB$150),UPPER(TEXT(EDATE($D15,Milestones!$AA$150),"dd mmm yy"))&amp;" "&amp;Milestones!$AB$150&amp;" "&amp;Milestones!$AC$150&amp;";  ","")&amp;IF(AND(EDATE($D15,Milestones!$AA$151)&lt;=AsOfDate,IF($R15=0,$X15,IF(AND($T15&lt;&gt;"",EDATE($D15,Milestones!$AA$151)&gt;=$T15),$W15,IF(AND($S15&lt;&gt;"",EDATE($D15,Milestones!$AA$151)&gt;=$S15),$V15,$U15)))=Milestones!$AB$151),UPPER(TEXT(EDATE($D15,Milestones!$AA$151),"dd mmm yy"))&amp;" "&amp;Milestones!$AB$151&amp;" "&amp;Milestones!$AC$151&amp;";  ","")&amp;IF(AND(EDATE($D15,Milestones!$AA$152)&lt;=AsOfDate,IF($R15=0,$X15,IF(AND($T15&lt;&gt;"",EDATE($D15,Milestones!$AA$152)&gt;=$T15),$W15,IF(AND($S15&lt;&gt;"",EDATE($D15,Milestones!$AA$152)&gt;=$S15),$V15,$U15)))=Milestones!$AB$152),UPPER(TEXT(EDATE($D15,Milestones!$AA$152),"dd mmm yy"))&amp;" "&amp;Milestones!$AB$152&amp;" "&amp;Milestones!$AC$152&amp;";  ","")&amp;IF(AND(EDATE($D15,Milestones!$AA$153)&lt;=AsOfDate,IF($R15=0,$X15,IF(AND($T15&lt;&gt;"",EDATE($D15,Milestones!$AA$153)&gt;=$T15),$W15,IF(AND($S15&lt;&gt;"",EDATE($D15,Milestones!$AA$153)&gt;=$S15),$V15,$U15)))=Milestones!$AB$153),UPPER(TEXT(EDATE($D15,Milestones!$AA$153),"dd mmm yy"))&amp;" "&amp;Milestones!$AB$153&amp;" "&amp;Milestones!$AC$153&amp;";  ","")&amp;IF(AND(EDATE($D15,Milestones!$AA$154)&lt;=AsOfDate,IF($R15=0,$X15,IF(AND($T15&lt;&gt;"",EDATE($D15,Milestones!$AA$154)&gt;=$T15),$W15,IF(AND($S15&lt;&gt;"",EDATE($D15,Milestones!$AA$154)&gt;=$S15),$V15,$U15)))=Milestones!$AB$154),UPPER(TEXT(EDATE($D15,Milestones!$AA$154),"dd mmm yy"))&amp;" "&amp;Milestones!$AB$154&amp;" "&amp;Milestones!$AC$154&amp;";  ","")&amp;IF(AND(EDATE($D15,Milestones!$AA$155)&lt;=AsOfDate,IF($R15=0,$X15,IF(AND($T15&lt;&gt;"",EDATE($D15,Milestones!$AA$155)&gt;=$T15),$W15,IF(AND($S15&lt;&gt;"",EDATE($D15,Milestones!$AA$155)&gt;=$S15),$V15,$U15)))=Milestones!$AB$155),UPPER(TEXT(EDATE($D15,Milestones!$AA$155),"dd mmm yy"))&amp;" "&amp;Milestones!$AB$155&amp;" "&amp;Milestones!$AC$155&amp;";  ","")&amp;IF(AND(EDATE($D15,Milestones!$AA$156)&lt;=AsOfDate,IF($R15=0,$X15,IF(AND($T15&lt;&gt;"",EDATE($D15,Milestones!$AA$156)&gt;=$T15),$W15,IF(AND($S15&lt;&gt;"",EDATE($D15,Milestones!$AA$156)&gt;=$S15),$V15,$U15)))=Milestones!$AB$156),UPPER(TEXT(EDATE($D15,Milestones!$AA$156),"dd mmm yy"))&amp;" "&amp;Milestones!$AB$156&amp;" "&amp;Milestones!$AC$156&amp;";  ","")&amp;IF(AND(EDATE($D15,Milestones!$AA$157)&lt;=AsOfDate,IF($R15=0,$X15,IF(AND($T15&lt;&gt;"",EDATE($D15,Milestones!$AA$157)&gt;=$T15),$W15,IF(AND($S15&lt;&gt;"",EDATE($D15,Milestones!$AA$157)&gt;=$S15),$V15,$U15)))=Milestones!$AB$157),UPPER(TEXT(EDATE($D15,Milestones!$AA$157),"dd mmm yy"))&amp;" "&amp;Milestones!$AB$157&amp;" "&amp;Milestones!$AC$157&amp;";  ","")&amp;IF(AND(EDATE($D15,Milestones!$AA$158)&lt;=AsOfDate,IF($R15=0,$X15,IF(AND($T15&lt;&gt;"",EDATE($D15,Milestones!$AA$158)&gt;=$T15),$W15,IF(AND($S15&lt;&gt;"",EDATE($D15,Milestones!$AA$158)&gt;=$S15),$V15,$U15)))=Milestones!$AB$158),UPPER(TEXT(EDATE($D15,Milestones!$AA$158),"dd mmm yy"))&amp;" "&amp;Milestones!$AB$158&amp;" "&amp;Milestones!$AC$158&amp;";  ","")&amp;IF(AND(EDATE($D15,Milestones!$AA$159)&lt;=AsOfDate,IF($R15=0,$X15,IF(AND($T15&lt;&gt;"",EDATE($D15,Milestones!$AA$159)&gt;=$T15),$W15,IF(AND($S15&lt;&gt;"",EDATE($D15,Milestones!$AA$159)&gt;=$S15),$V15,$U15)))=Milestones!$AB$159),UPPER(TEXT(EDATE($D15,Milestones!$AA$159),"dd mmm yy"))&amp;" "&amp;Milestones!$AB$159&amp;" "&amp;Milestones!$AC$159&amp;";  ",""))</f>
        <v/>
      </c>
      <c r="P15" s="0" t="str">
        <f aca="false">IF(OR($A15="",$D15=""),"",IF(AND(EDATE($D15,Milestones!$AA$160)&lt;=AsOfDate,IF($R15=0,$X15,IF(AND($T15&lt;&gt;"",EDATE($D15,Milestones!$AA$160)&gt;=$T15),$W15,IF(AND($S15&lt;&gt;"",EDATE($D15,Milestones!$AA$160)&gt;=$S15),$V15,$U15)))=Milestones!$AB$160),UPPER(TEXT(EDATE($D15,Milestones!$AA$160),"dd mmm yy"))&amp;" "&amp;Milestones!$AB$160&amp;" "&amp;Milestones!$AC$160&amp;";  ","")&amp;IF(AND(EDATE($D15,Milestones!$AA$161)&lt;=AsOfDate,IF($R15=0,$X15,IF(AND($T15&lt;&gt;"",EDATE($D15,Milestones!$AA$161)&gt;=$T15),$W15,IF(AND($S15&lt;&gt;"",EDATE($D15,Milestones!$AA$161)&gt;=$S15),$V15,$U15)))=Milestones!$AB$161),UPPER(TEXT(EDATE($D15,Milestones!$AA$161),"dd mmm yy"))&amp;" "&amp;Milestones!$AB$161&amp;" "&amp;Milestones!$AC$161&amp;";  ","")&amp;IF(AND(EDATE($D15,Milestones!$AA$162)&lt;=AsOfDate,IF($R15=0,$X15,IF(AND($T15&lt;&gt;"",EDATE($D15,Milestones!$AA$162)&gt;=$T15),$W15,IF(AND($S15&lt;&gt;"",EDATE($D15,Milestones!$AA$162)&gt;=$S15),$V15,$U15)))=Milestones!$AB$162),UPPER(TEXT(EDATE($D15,Milestones!$AA$162),"dd mmm yy"))&amp;" "&amp;Milestones!$AB$162&amp;" "&amp;Milestones!$AC$162&amp;";  ","")&amp;IF(AND(EDATE($D15,Milestones!$AA$163)&lt;=AsOfDate,IF($R15=0,$X15,IF(AND($T15&lt;&gt;"",EDATE($D15,Milestones!$AA$163)&gt;=$T15),$W15,IF(AND($S15&lt;&gt;"",EDATE($D15,Milestones!$AA$163)&gt;=$S15),$V15,$U15)))=Milestones!$AB$163),UPPER(TEXT(EDATE($D15,Milestones!$AA$163),"dd mmm yy"))&amp;" "&amp;Milestones!$AB$163&amp;" "&amp;Milestones!$AC$163&amp;";  ","")&amp;IF(AND(EDATE($D15,Milestones!$AA$164)&lt;=AsOfDate,IF($R15=0,$X15,IF(AND($T15&lt;&gt;"",EDATE($D15,Milestones!$AA$164)&gt;=$T15),$W15,IF(AND($S15&lt;&gt;"",EDATE($D15,Milestones!$AA$164)&gt;=$S15),$V15,$U15)))=Milestones!$AB$164),UPPER(TEXT(EDATE($D15,Milestones!$AA$164),"dd mmm yy"))&amp;" "&amp;Milestones!$AB$164&amp;" "&amp;Milestones!$AC$164&amp;";  ","")&amp;IF(AND(EDATE($D15,Milestones!$AA$165)&lt;=AsOfDate,IF($R15=0,$X15,IF(AND($T15&lt;&gt;"",EDATE($D15,Milestones!$AA$165)&gt;=$T15),$W15,IF(AND($S15&lt;&gt;"",EDATE($D15,Milestones!$AA$165)&gt;=$S15),$V15,$U15)))=Milestones!$AB$165),UPPER(TEXT(EDATE($D15,Milestones!$AA$165),"dd mmm yy"))&amp;" "&amp;Milestones!$AB$165&amp;" "&amp;Milestones!$AC$165&amp;";  ","")&amp;IF(AND(EDATE($D15,Milestones!$AA$166)&lt;=AsOfDate,IF($R15=0,$X15,IF(AND($T15&lt;&gt;"",EDATE($D15,Milestones!$AA$166)&gt;=$T15),$W15,IF(AND($S15&lt;&gt;"",EDATE($D15,Milestones!$AA$166)&gt;=$S15),$V15,$U15)))=Milestones!$AB$166),UPPER(TEXT(EDATE($D15,Milestones!$AA$166),"dd mmm yy"))&amp;" "&amp;Milestones!$AB$166&amp;" "&amp;Milestones!$AC$166&amp;";  ","")&amp;IF(AND(EDATE($D15,Milestones!$AA$167)&lt;=AsOfDate,IF($R15=0,$X15,IF(AND($T15&lt;&gt;"",EDATE($D15,Milestones!$AA$167)&gt;=$T15),$W15,IF(AND($S15&lt;&gt;"",EDATE($D15,Milestones!$AA$167)&gt;=$S15),$V15,$U15)))=Milestones!$AB$167),UPPER(TEXT(EDATE($D15,Milestones!$AA$167),"dd mmm yy"))&amp;" "&amp;Milestones!$AB$167&amp;" "&amp;Milestones!$AC$167&amp;";  ","")&amp;IF(AND(EDATE($D15,Milestones!$AA$168)&lt;=AsOfDate,IF($R15=0,$X15,IF(AND($T15&lt;&gt;"",EDATE($D15,Milestones!$AA$168)&gt;=$T15),$W15,IF(AND($S15&lt;&gt;"",EDATE($D15,Milestones!$AA$168)&gt;=$S15),$V15,$U15)))=Milestones!$AB$168),UPPER(TEXT(EDATE($D15,Milestones!$AA$168),"dd mmm yy"))&amp;" "&amp;Milestones!$AB$168&amp;" "&amp;Milestones!$AC$168&amp;";  ","")&amp;IF(AND(EDATE($D15,Milestones!$AA$169)&lt;=AsOfDate,IF($R15=0,$X15,IF(AND($T15&lt;&gt;"",EDATE($D15,Milestones!$AA$169)&gt;=$T15),$W15,IF(AND($S15&lt;&gt;"",EDATE($D15,Milestones!$AA$169)&gt;=$S15),$V15,$U15)))=Milestones!$AB$169),UPPER(TEXT(EDATE($D15,Milestones!$AA$169),"dd mmm yy"))&amp;" "&amp;Milestones!$AB$169&amp;" "&amp;Milestones!$AC$169&amp;";  ","")&amp;IF(AND(EDATE($D15,Milestones!$AA$170)&lt;=AsOfDate,IF($R15=0,$X15,IF(AND($T15&lt;&gt;"",EDATE($D15,Milestones!$AA$170)&gt;=$T15),$W15,IF(AND($S15&lt;&gt;"",EDATE($D15,Milestones!$AA$170)&gt;=$S15),$V15,$U15)))=Milestones!$AB$170),UPPER(TEXT(EDATE($D15,Milestones!$AA$170),"dd mmm yy"))&amp;" "&amp;Milestones!$AB$170&amp;" "&amp;Milestones!$AC$170&amp;";  ","")&amp;IF(AND(EDATE($D15,Milestones!$AA$171)&lt;=AsOfDate,IF($R15=0,$X15,IF(AND($T15&lt;&gt;"",EDATE($D15,Milestones!$AA$171)&gt;=$T15),$W15,IF(AND($S15&lt;&gt;"",EDATE($D15,Milestones!$AA$171)&gt;=$S15),$V15,$U15)))=Milestones!$AB$171),UPPER(TEXT(EDATE($D15,Milestones!$AA$171),"dd mmm yy"))&amp;" "&amp;Milestones!$AB$171&amp;" "&amp;Milestones!$AC$171&amp;";  ","")&amp;IF(AND(EDATE($D15,Milestones!$AA$172)&lt;=AsOfDate,IF($R15=0,$X15,IF(AND($T15&lt;&gt;"",EDATE($D15,Milestones!$AA$172)&gt;=$T15),$W15,IF(AND($S15&lt;&gt;"",EDATE($D15,Milestones!$AA$172)&gt;=$S15),$V15,$U15)))=Milestones!$AB$172),UPPER(TEXT(EDATE($D15,Milestones!$AA$172),"dd mmm yy"))&amp;" "&amp;Milestones!$AB$172&amp;" "&amp;Milestones!$AC$172&amp;";  ","")&amp;IF(AND(EDATE($D15,Milestones!$AA$173)&lt;=AsOfDate,IF($R15=0,$X15,IF(AND($T15&lt;&gt;"",EDATE($D15,Milestones!$AA$173)&gt;=$T15),$W15,IF(AND($S15&lt;&gt;"",EDATE($D15,Milestones!$AA$173)&gt;=$S15),$V15,$U15)))=Milestones!$AB$173),UPPER(TEXT(EDATE($D15,Milestones!$AA$173),"dd mmm yy"))&amp;" "&amp;Milestones!$AB$173&amp;" "&amp;Milestones!$AC$173&amp;";  ","")&amp;IF(AND(EDATE($D15,Milestones!$AA$174)&lt;=AsOfDate,IF($R15=0,$X15,IF(AND($T15&lt;&gt;"",EDATE($D15,Milestones!$AA$174)&gt;=$T15),$W15,IF(AND($S15&lt;&gt;"",EDATE($D15,Milestones!$AA$174)&gt;=$S15),$V15,$U15)))=Milestones!$AB$174),UPPER(TEXT(EDATE($D15,Milestones!$AA$174),"dd mmm yy"))&amp;" "&amp;Milestones!$AB$174&amp;" "&amp;Milestones!$AC$174&amp;";  ","")&amp;IF(AND(EDATE($D15,Milestones!$AA$175)&lt;=AsOfDate,IF($R15=0,$X15,IF(AND($T15&lt;&gt;"",EDATE($D15,Milestones!$AA$175)&gt;=$T15),$W15,IF(AND($S15&lt;&gt;"",EDATE($D15,Milestones!$AA$175)&gt;=$S15),$V15,$U15)))=Milestones!$AB$175),UPPER(TEXT(EDATE($D15,Milestones!$AA$175),"dd mmm yy"))&amp;" "&amp;Milestones!$AB$175&amp;" "&amp;Milestones!$AC$175&amp;";  ","")&amp;IF(AND(EDATE($D15,Milestones!$AA$176)&lt;=AsOfDate,IF($R15=0,$X15,IF(AND($T15&lt;&gt;"",EDATE($D15,Milestones!$AA$176)&gt;=$T15),$W15,IF(AND($S15&lt;&gt;"",EDATE($D15,Milestones!$AA$176)&gt;=$S15),$V15,$U15)))=Milestones!$AB$176),UPPER(TEXT(EDATE($D15,Milestones!$AA$176),"dd mmm yy"))&amp;" "&amp;Milestones!$AB$176&amp;" "&amp;Milestones!$AC$176&amp;";  ","")&amp;IF(AND(EDATE($D15,Milestones!$AA$177)&lt;=AsOfDate,IF($R15=0,$X15,IF(AND($T15&lt;&gt;"",EDATE($D15,Milestones!$AA$177)&gt;=$T15),$W15,IF(AND($S15&lt;&gt;"",EDATE($D15,Milestones!$AA$177)&gt;=$S15),$V15,$U15)))=Milestones!$AB$177),UPPER(TEXT(EDATE($D15,Milestones!$AA$177),"dd mmm yy"))&amp;" "&amp;Milestones!$AB$177&amp;" "&amp;Milestones!$AC$177&amp;";  ","")&amp;IF(AND(EDATE($D15,Milestones!$AA$178)&lt;=AsOfDate,IF($R15=0,$X15,IF(AND($T15&lt;&gt;"",EDATE($D15,Milestones!$AA$178)&gt;=$T15),$W15,IF(AND($S15&lt;&gt;"",EDATE($D15,Milestones!$AA$178)&gt;=$S15),$V15,$U15)))=Milestones!$AB$178),UPPER(TEXT(EDATE($D15,Milestones!$AA$178),"dd mmm yy"))&amp;" "&amp;Milestones!$AB$178&amp;" "&amp;Milestones!$AC$178&amp;";  ","")&amp;IF(AND(EDATE($D15,Milestones!$AA$179)&lt;=AsOfDate,IF($R15=0,$X15,IF(AND($T15&lt;&gt;"",EDATE($D15,Milestones!$AA$179)&gt;=$T15),$W15,IF(AND($S15&lt;&gt;"",EDATE($D15,Milestones!$AA$179)&gt;=$S15),$V15,$U15)))=Milestones!$AB$179),UPPER(TEXT(EDATE($D15,Milestones!$AA$179),"dd mmm yy"))&amp;" "&amp;Milestones!$AB$179&amp;" "&amp;Milestones!$AC$179&amp;";  ",""))</f>
        <v/>
      </c>
      <c r="Q15" s="0" t="str">
        <f aca="false">IF(OR($A15="",$D15=""),"",IF(AND(EDATE($D15,Milestones!$AA$180)&lt;=AsOfDate,IF($R15=0,$X15,IF(AND($T15&lt;&gt;"",EDATE($D15,Milestones!$AA$180)&gt;=$T15),$W15,IF(AND($S15&lt;&gt;"",EDATE($D15,Milestones!$AA$180)&gt;=$S15),$V15,$U15)))=Milestones!$AB$180),UPPER(TEXT(EDATE($D15,Milestones!$AA$180),"dd mmm yy"))&amp;" "&amp;Milestones!$AB$180&amp;" "&amp;Milestones!$AC$180&amp;";  ","")&amp;IF(AND(EDATE($D15,Milestones!$AA$181)&lt;=AsOfDate,IF($R15=0,$X15,IF(AND($T15&lt;&gt;"",EDATE($D15,Milestones!$AA$181)&gt;=$T15),$W15,IF(AND($S15&lt;&gt;"",EDATE($D15,Milestones!$AA$181)&gt;=$S15),$V15,$U15)))=Milestones!$AB$181),UPPER(TEXT(EDATE($D15,Milestones!$AA$181),"dd mmm yy"))&amp;" "&amp;Milestones!$AB$181&amp;" "&amp;Milestones!$AC$181&amp;";  ","")&amp;IF(AND(EDATE($D15,Milestones!$AA$182)&lt;=AsOfDate,IF($R15=0,$X15,IF(AND($T15&lt;&gt;"",EDATE($D15,Milestones!$AA$182)&gt;=$T15),$W15,IF(AND($S15&lt;&gt;"",EDATE($D15,Milestones!$AA$182)&gt;=$S15),$V15,$U15)))=Milestones!$AB$182),UPPER(TEXT(EDATE($D15,Milestones!$AA$182),"dd mmm yy"))&amp;" "&amp;Milestones!$AB$182&amp;" "&amp;Milestones!$AC$182&amp;";  ","")&amp;IF(AND(EDATE($D15,Milestones!$AA$183)&lt;=AsOfDate,IF($R15=0,$X15,IF(AND($T15&lt;&gt;"",EDATE($D15,Milestones!$AA$183)&gt;=$T15),$W15,IF(AND($S15&lt;&gt;"",EDATE($D15,Milestones!$AA$183)&gt;=$S15),$V15,$U15)))=Milestones!$AB$183),UPPER(TEXT(EDATE($D15,Milestones!$AA$183),"dd mmm yy"))&amp;" "&amp;Milestones!$AB$183&amp;" "&amp;Milestones!$AC$183&amp;";  ","")&amp;IF(AND(EDATE($D15,Milestones!$AA$184)&lt;=AsOfDate,IF($R15=0,$X15,IF(AND($T15&lt;&gt;"",EDATE($D15,Milestones!$AA$184)&gt;=$T15),$W15,IF(AND($S15&lt;&gt;"",EDATE($D15,Milestones!$AA$184)&gt;=$S15),$V15,$U15)))=Milestones!$AB$184),UPPER(TEXT(EDATE($D15,Milestones!$AA$184),"dd mmm yy"))&amp;" "&amp;Milestones!$AB$184&amp;" "&amp;Milestones!$AC$184&amp;";  ","")&amp;IF(AND(EDATE($D15,Milestones!$AA$185)&lt;=AsOfDate,IF($R15=0,$X15,IF(AND($T15&lt;&gt;"",EDATE($D15,Milestones!$AA$185)&gt;=$T15),$W15,IF(AND($S15&lt;&gt;"",EDATE($D15,Milestones!$AA$185)&gt;=$S15),$V15,$U15)))=Milestones!$AB$185),UPPER(TEXT(EDATE($D15,Milestones!$AA$185),"dd mmm yy"))&amp;" "&amp;Milestones!$AB$185&amp;" "&amp;Milestones!$AC$185&amp;";  ","")&amp;IF(AND(EDATE($D15,Milestones!$AA$186)&lt;=AsOfDate,IF($R15=0,$X15,IF(AND($T15&lt;&gt;"",EDATE($D15,Milestones!$AA$186)&gt;=$T15),$W15,IF(AND($S15&lt;&gt;"",EDATE($D15,Milestones!$AA$186)&gt;=$S15),$V15,$U15)))=Milestones!$AB$186),UPPER(TEXT(EDATE($D15,Milestones!$AA$186),"dd mmm yy"))&amp;" "&amp;Milestones!$AB$186&amp;" "&amp;Milestones!$AC$186&amp;";  ","")&amp;IF(AND(EDATE($D15,Milestones!$AA$187)&lt;=AsOfDate,IF($R15=0,$X15,IF(AND($T15&lt;&gt;"",EDATE($D15,Milestones!$AA$187)&gt;=$T15),$W15,IF(AND($S15&lt;&gt;"",EDATE($D15,Milestones!$AA$187)&gt;=$S15),$V15,$U15)))=Milestones!$AB$187),UPPER(TEXT(EDATE($D15,Milestones!$AA$187),"dd mmm yy"))&amp;" "&amp;Milestones!$AB$187&amp;" "&amp;Milestones!$AC$187&amp;";  ","")&amp;IF(AND(EDATE($D15,Milestones!$AA$188)&lt;=AsOfDate,IF($R15=0,$X15,IF(AND($T15&lt;&gt;"",EDATE($D15,Milestones!$AA$188)&gt;=$T15),$W15,IF(AND($S15&lt;&gt;"",EDATE($D15,Milestones!$AA$188)&gt;=$S15),$V15,$U15)))=Milestones!$AB$188),UPPER(TEXT(EDATE($D15,Milestones!$AA$188),"dd mmm yy"))&amp;" "&amp;Milestones!$AB$188&amp;" "&amp;Milestones!$AC$188&amp;";  ","")&amp;IF(AND(EDATE($D15,Milestones!$AA$189)&lt;=AsOfDate,IF($R15=0,$X15,IF(AND($T15&lt;&gt;"",EDATE($D15,Milestones!$AA$189)&gt;=$T15),$W15,IF(AND($S15&lt;&gt;"",EDATE($D15,Milestones!$AA$189)&gt;=$S15),$V15,$U15)))=Milestones!$AB$189),UPPER(TEXT(EDATE($D15,Milestones!$AA$189),"dd mmm yy"))&amp;" "&amp;Milestones!$AB$189&amp;" "&amp;Milestones!$AC$189&amp;";  ","")&amp;IF(AND(EDATE($D15,Milestones!$AA$190)&lt;=AsOfDate,IF($R15=0,$X15,IF(AND($T15&lt;&gt;"",EDATE($D15,Milestones!$AA$190)&gt;=$T15),$W15,IF(AND($S15&lt;&gt;"",EDATE($D15,Milestones!$AA$190)&gt;=$S15),$V15,$U15)))=Milestones!$AB$190),UPPER(TEXT(EDATE($D15,Milestones!$AA$190),"dd mmm yy"))&amp;" "&amp;Milestones!$AB$190&amp;" "&amp;Milestones!$AC$190&amp;";  ","")&amp;IF(AND(EDATE($D15,Milestones!$AA$191)&lt;=AsOfDate,IF($R15=0,$X15,IF(AND($T15&lt;&gt;"",EDATE($D15,Milestones!$AA$191)&gt;=$T15),$W15,IF(AND($S15&lt;&gt;"",EDATE($D15,Milestones!$AA$191)&gt;=$S15),$V15,$U15)))=Milestones!$AB$191),UPPER(TEXT(EDATE($D15,Milestones!$AA$191),"dd mmm yy"))&amp;" "&amp;Milestones!$AB$191&amp;" "&amp;Milestones!$AC$191&amp;";  ","")&amp;IF(AND(EDATE($D15,Milestones!$AA$192)&lt;=AsOfDate,IF($R15=0,$X15,IF(AND($T15&lt;&gt;"",EDATE($D15,Milestones!$AA$192)&gt;=$T15),$W15,IF(AND($S15&lt;&gt;"",EDATE($D15,Milestones!$AA$192)&gt;=$S15),$V15,$U15)))=Milestones!$AB$192),UPPER(TEXT(EDATE($D15,Milestones!$AA$192),"dd mmm yy"))&amp;" "&amp;Milestones!$AB$192&amp;" "&amp;Milestones!$AC$192&amp;";  ","")&amp;IF(AND(EDATE($D15,Milestones!$AA$193)&lt;=AsOfDate,IF($R15=0,$X15,IF(AND($T15&lt;&gt;"",EDATE($D15,Milestones!$AA$193)&gt;=$T15),$W15,IF(AND($S15&lt;&gt;"",EDATE($D15,Milestones!$AA$193)&gt;=$S15),$V15,$U15)))=Milestones!$AB$193),UPPER(TEXT(EDATE($D15,Milestones!$AA$193),"dd mmm yy"))&amp;" "&amp;Milestones!$AB$193&amp;" "&amp;Milestones!$AC$193&amp;";  ","")&amp;IF(AND(EDATE($D15,Milestones!$AA$194)&lt;=AsOfDate,IF($R15=0,$X15,IF(AND($T15&lt;&gt;"",EDATE($D15,Milestones!$AA$194)&gt;=$T15),$W15,IF(AND($S15&lt;&gt;"",EDATE($D15,Milestones!$AA$194)&gt;=$S15),$V15,$U15)))=Milestones!$AB$194),UPPER(TEXT(EDATE($D15,Milestones!$AA$194),"dd mmm yy"))&amp;" "&amp;Milestones!$AB$194&amp;" "&amp;Milestones!$AC$194&amp;";  ","")&amp;IF(AND(EDATE($D15,Milestones!$AA$195)&lt;=AsOfDate,IF($R15=0,$X15,IF(AND($T15&lt;&gt;"",EDATE($D15,Milestones!$AA$195)&gt;=$T15),$W15,IF(AND($S15&lt;&gt;"",EDATE($D15,Milestones!$AA$195)&gt;=$S15),$V15,$U15)))=Milestones!$AB$195),UPPER(TEXT(EDATE($D15,Milestones!$AA$195),"dd mmm yy"))&amp;" "&amp;Milestones!$AB$195&amp;" "&amp;Milestones!$AC$195&amp;";  ","")&amp;IF(AND(EDATE($D15,Milestones!$AA$196)&lt;=AsOfDate,IF($R15=0,$X15,IF(AND($T15&lt;&gt;"",EDATE($D15,Milestones!$AA$196)&gt;=$T15),$W15,IF(AND($S15&lt;&gt;"",EDATE($D15,Milestones!$AA$196)&gt;=$S15),$V15,$U15)))=Milestones!$AB$196),UPPER(TEXT(EDATE($D15,Milestones!$AA$196),"dd mmm yy"))&amp;" "&amp;Milestones!$AB$196&amp;" "&amp;Milestones!$AC$196&amp;";  ","")&amp;IF(AND(EDATE($D15,Milestones!$AA$197)&lt;=AsOfDate,IF($R15=0,$X15,IF(AND($T15&lt;&gt;"",EDATE($D15,Milestones!$AA$197)&gt;=$T15),$W15,IF(AND($S15&lt;&gt;"",EDATE($D15,Milestones!$AA$197)&gt;=$S15),$V15,$U15)))=Milestones!$AB$197),UPPER(TEXT(EDATE($D15,Milestones!$AA$197),"dd mmm yy"))&amp;" "&amp;Milestones!$AB$197&amp;" "&amp;Milestones!$AC$197&amp;";  ","")&amp;IF(AND(EDATE($D15,Milestones!$AA$198)&lt;=AsOfDate,IF($R15=0,$X15,IF(AND($T15&lt;&gt;"",EDATE($D15,Milestones!$AA$198)&gt;=$T15),$W15,IF(AND($S15&lt;&gt;"",EDATE($D15,Milestones!$AA$198)&gt;=$S15),$V15,$U15)))=Milestones!$AB$198),UPPER(TEXT(EDATE($D15,Milestones!$AA$198),"dd mmm yy"))&amp;" "&amp;Milestones!$AB$198&amp;" "&amp;Milestones!$AC$198&amp;";  ","")&amp;IF(AND(EDATE($D15,Milestones!$AA$199)&lt;=AsOfDate,IF($R15=0,$X15,IF(AND($T15&lt;&gt;"",EDATE($D15,Milestones!$AA$199)&gt;=$T15),$W15,IF(AND($S15&lt;&gt;"",EDATE($D15,Milestones!$AA$199)&gt;=$S15),$V15,$U15)))=Milestones!$AB$199),UPPER(TEXT(EDATE($D15,Milestones!$AA$199),"dd mmm yy"))&amp;" "&amp;Milestones!$AB$199&amp;" "&amp;Milestones!$AC$199&amp;";  ",""))</f>
        <v/>
      </c>
      <c r="R15" s="33" t="n">
        <f aca="false">IF(Staff!$A15="","",Staff!$AI15)</f>
        <v>0</v>
      </c>
      <c r="S15" s="0" t="str">
        <f aca="false">IF(Staff!$A15="","",Staff!$AK15)</f>
        <v/>
      </c>
      <c r="T15" s="0" t="str">
        <f aca="false">IF(Staff!$A15="","",Staff!$AL15)</f>
        <v/>
      </c>
      <c r="U15" s="0" t="str">
        <f aca="false">IF(Staff!$A15="","",Staff!$AP15)</f>
        <v>None</v>
      </c>
      <c r="V15" s="0" t="str">
        <f aca="false">IF(Staff!$A15="","",Staff!$AQ15)</f>
        <v/>
      </c>
      <c r="W15" s="0" t="str">
        <f aca="false">IF(Staff!$A15="","",Staff!$AR15)</f>
        <v/>
      </c>
      <c r="X15" s="0" t="str">
        <f aca="false">IF(Staff!$A15="","",Staff!$AS15)</f>
        <v>None</v>
      </c>
    </row>
    <row r="16" customFormat="false" ht="15" hidden="false" customHeight="false" outlineLevel="0" collapsed="false">
      <c r="A16" s="19" t="str">
        <f aca="false">IF(Staff!$A16="","",Staff!$A16)</f>
        <v>Charlotte</v>
      </c>
      <c r="B16" s="19" t="str">
        <f aca="false">IF(Staff!$A16="","",Staff!$B16)</f>
        <v>Owens</v>
      </c>
      <c r="C16" s="19" t="str">
        <f aca="false">IF(Staff!$A16="","",Staff!$C16)</f>
        <v>Casual</v>
      </c>
      <c r="D16" s="17" t="n">
        <f aca="false">IF(Staff!$A16="","",Staff!$AH16)</f>
        <v>46230</v>
      </c>
      <c r="E16" s="20" t="n">
        <f aca="false">IF(Staff!$A16="","",Staff!$O16)</f>
        <v>0</v>
      </c>
      <c r="F16" s="19" t="n">
        <f aca="false">IF(E16="","",E16*HoursPerDay)</f>
        <v>0</v>
      </c>
      <c r="G16" s="20" t="n">
        <f aca="false">IF(Staff!$A16="","",Staff!$AE16)</f>
        <v>0</v>
      </c>
      <c r="H16" s="32" t="str">
        <f aca="false">IF($A16="","",I16&amp;J16&amp;K16&amp;L16&amp;M16&amp;N16&amp;O16&amp;P16&amp;Q16)</f>
        <v/>
      </c>
      <c r="I16" s="0" t="str">
        <f aca="false">IF(OR($A16="",$D16=""),"",IF(AND(EDATE($D16,Milestones!$AA$20)&lt;=AsOfDate,IF($R16=0,$X16,IF(AND($T16&lt;&gt;"",EDATE($D16,Milestones!$AA$20)&gt;=$T16),$W16,IF(AND($S16&lt;&gt;"",EDATE($D16,Milestones!$AA$20)&gt;=$S16),$V16,$U16)))=Milestones!$AB$20),UPPER(TEXT(EDATE($D16,Milestones!$AA$20),"dd mmm yy"))&amp;" "&amp;Milestones!$AB$20&amp;" "&amp;Milestones!$AC$20&amp;";  ","")&amp;IF(AND(EDATE($D16,Milestones!$AA$21)&lt;=AsOfDate,IF($R16=0,$X16,IF(AND($T16&lt;&gt;"",EDATE($D16,Milestones!$AA$21)&gt;=$T16),$W16,IF(AND($S16&lt;&gt;"",EDATE($D16,Milestones!$AA$21)&gt;=$S16),$V16,$U16)))=Milestones!$AB$21),UPPER(TEXT(EDATE($D16,Milestones!$AA$21),"dd mmm yy"))&amp;" "&amp;Milestones!$AB$21&amp;" "&amp;Milestones!$AC$21&amp;";  ","")&amp;IF(AND(EDATE($D16,Milestones!$AA$22)&lt;=AsOfDate,IF($R16=0,$X16,IF(AND($T16&lt;&gt;"",EDATE($D16,Milestones!$AA$22)&gt;=$T16),$W16,IF(AND($S16&lt;&gt;"",EDATE($D16,Milestones!$AA$22)&gt;=$S16),$V16,$U16)))=Milestones!$AB$22),UPPER(TEXT(EDATE($D16,Milestones!$AA$22),"dd mmm yy"))&amp;" "&amp;Milestones!$AB$22&amp;" "&amp;Milestones!$AC$22&amp;";  ","")&amp;IF(AND(EDATE($D16,Milestones!$AA$23)&lt;=AsOfDate,IF($R16=0,$X16,IF(AND($T16&lt;&gt;"",EDATE($D16,Milestones!$AA$23)&gt;=$T16),$W16,IF(AND($S16&lt;&gt;"",EDATE($D16,Milestones!$AA$23)&gt;=$S16),$V16,$U16)))=Milestones!$AB$23),UPPER(TEXT(EDATE($D16,Milestones!$AA$23),"dd mmm yy"))&amp;" "&amp;Milestones!$AB$23&amp;" "&amp;Milestones!$AC$23&amp;";  ","")&amp;IF(AND(EDATE($D16,Milestones!$AA$24)&lt;=AsOfDate,IF($R16=0,$X16,IF(AND($T16&lt;&gt;"",EDATE($D16,Milestones!$AA$24)&gt;=$T16),$W16,IF(AND($S16&lt;&gt;"",EDATE($D16,Milestones!$AA$24)&gt;=$S16),$V16,$U16)))=Milestones!$AB$24),UPPER(TEXT(EDATE($D16,Milestones!$AA$24),"dd mmm yy"))&amp;" "&amp;Milestones!$AB$24&amp;" "&amp;Milestones!$AC$24&amp;";  ","")&amp;IF(AND(EDATE($D16,Milestones!$AA$25)&lt;=AsOfDate,IF($R16=0,$X16,IF(AND($T16&lt;&gt;"",EDATE($D16,Milestones!$AA$25)&gt;=$T16),$W16,IF(AND($S16&lt;&gt;"",EDATE($D16,Milestones!$AA$25)&gt;=$S16),$V16,$U16)))=Milestones!$AB$25),UPPER(TEXT(EDATE($D16,Milestones!$AA$25),"dd mmm yy"))&amp;" "&amp;Milestones!$AB$25&amp;" "&amp;Milestones!$AC$25&amp;";  ","")&amp;IF(AND(EDATE($D16,Milestones!$AA$26)&lt;=AsOfDate,IF($R16=0,$X16,IF(AND($T16&lt;&gt;"",EDATE($D16,Milestones!$AA$26)&gt;=$T16),$W16,IF(AND($S16&lt;&gt;"",EDATE($D16,Milestones!$AA$26)&gt;=$S16),$V16,$U16)))=Milestones!$AB$26),UPPER(TEXT(EDATE($D16,Milestones!$AA$26),"dd mmm yy"))&amp;" "&amp;Milestones!$AB$26&amp;" "&amp;Milestones!$AC$26&amp;";  ","")&amp;IF(AND(EDATE($D16,Milestones!$AA$27)&lt;=AsOfDate,IF($R16=0,$X16,IF(AND($T16&lt;&gt;"",EDATE($D16,Milestones!$AA$27)&gt;=$T16),$W16,IF(AND($S16&lt;&gt;"",EDATE($D16,Milestones!$AA$27)&gt;=$S16),$V16,$U16)))=Milestones!$AB$27),UPPER(TEXT(EDATE($D16,Milestones!$AA$27),"dd mmm yy"))&amp;" "&amp;Milestones!$AB$27&amp;" "&amp;Milestones!$AC$27&amp;";  ","")&amp;IF(AND(EDATE($D16,Milestones!$AA$28)&lt;=AsOfDate,IF($R16=0,$X16,IF(AND($T16&lt;&gt;"",EDATE($D16,Milestones!$AA$28)&gt;=$T16),$W16,IF(AND($S16&lt;&gt;"",EDATE($D16,Milestones!$AA$28)&gt;=$S16),$V16,$U16)))=Milestones!$AB$28),UPPER(TEXT(EDATE($D16,Milestones!$AA$28),"dd mmm yy"))&amp;" "&amp;Milestones!$AB$28&amp;" "&amp;Milestones!$AC$28&amp;";  ","")&amp;IF(AND(EDATE($D16,Milestones!$AA$29)&lt;=AsOfDate,IF($R16=0,$X16,IF(AND($T16&lt;&gt;"",EDATE($D16,Milestones!$AA$29)&gt;=$T16),$W16,IF(AND($S16&lt;&gt;"",EDATE($D16,Milestones!$AA$29)&gt;=$S16),$V16,$U16)))=Milestones!$AB$29),UPPER(TEXT(EDATE($D16,Milestones!$AA$29),"dd mmm yy"))&amp;" "&amp;Milestones!$AB$29&amp;" "&amp;Milestones!$AC$29&amp;";  ","")&amp;IF(AND(EDATE($D16,Milestones!$AA$30)&lt;=AsOfDate,IF($R16=0,$X16,IF(AND($T16&lt;&gt;"",EDATE($D16,Milestones!$AA$30)&gt;=$T16),$W16,IF(AND($S16&lt;&gt;"",EDATE($D16,Milestones!$AA$30)&gt;=$S16),$V16,$U16)))=Milestones!$AB$30),UPPER(TEXT(EDATE($D16,Milestones!$AA$30),"dd mmm yy"))&amp;" "&amp;Milestones!$AB$30&amp;" "&amp;Milestones!$AC$30&amp;";  ","")&amp;IF(AND(EDATE($D16,Milestones!$AA$31)&lt;=AsOfDate,IF($R16=0,$X16,IF(AND($T16&lt;&gt;"",EDATE($D16,Milestones!$AA$31)&gt;=$T16),$W16,IF(AND($S16&lt;&gt;"",EDATE($D16,Milestones!$AA$31)&gt;=$S16),$V16,$U16)))=Milestones!$AB$31),UPPER(TEXT(EDATE($D16,Milestones!$AA$31),"dd mmm yy"))&amp;" "&amp;Milestones!$AB$31&amp;" "&amp;Milestones!$AC$31&amp;";  ","")&amp;IF(AND(EDATE($D16,Milestones!$AA$32)&lt;=AsOfDate,IF($R16=0,$X16,IF(AND($T16&lt;&gt;"",EDATE($D16,Milestones!$AA$32)&gt;=$T16),$W16,IF(AND($S16&lt;&gt;"",EDATE($D16,Milestones!$AA$32)&gt;=$S16),$V16,$U16)))=Milestones!$AB$32),UPPER(TEXT(EDATE($D16,Milestones!$AA$32),"dd mmm yy"))&amp;" "&amp;Milestones!$AB$32&amp;" "&amp;Milestones!$AC$32&amp;";  ","")&amp;IF(AND(EDATE($D16,Milestones!$AA$33)&lt;=AsOfDate,IF($R16=0,$X16,IF(AND($T16&lt;&gt;"",EDATE($D16,Milestones!$AA$33)&gt;=$T16),$W16,IF(AND($S16&lt;&gt;"",EDATE($D16,Milestones!$AA$33)&gt;=$S16),$V16,$U16)))=Milestones!$AB$33),UPPER(TEXT(EDATE($D16,Milestones!$AA$33),"dd mmm yy"))&amp;" "&amp;Milestones!$AB$33&amp;" "&amp;Milestones!$AC$33&amp;";  ","")&amp;IF(AND(EDATE($D16,Milestones!$AA$34)&lt;=AsOfDate,IF($R16=0,$X16,IF(AND($T16&lt;&gt;"",EDATE($D16,Milestones!$AA$34)&gt;=$T16),$W16,IF(AND($S16&lt;&gt;"",EDATE($D16,Milestones!$AA$34)&gt;=$S16),$V16,$U16)))=Milestones!$AB$34),UPPER(TEXT(EDATE($D16,Milestones!$AA$34),"dd mmm yy"))&amp;" "&amp;Milestones!$AB$34&amp;" "&amp;Milestones!$AC$34&amp;";  ","")&amp;IF(AND(EDATE($D16,Milestones!$AA$35)&lt;=AsOfDate,IF($R16=0,$X16,IF(AND($T16&lt;&gt;"",EDATE($D16,Milestones!$AA$35)&gt;=$T16),$W16,IF(AND($S16&lt;&gt;"",EDATE($D16,Milestones!$AA$35)&gt;=$S16),$V16,$U16)))=Milestones!$AB$35),UPPER(TEXT(EDATE($D16,Milestones!$AA$35),"dd mmm yy"))&amp;" "&amp;Milestones!$AB$35&amp;" "&amp;Milestones!$AC$35&amp;";  ","")&amp;IF(AND(EDATE($D16,Milestones!$AA$36)&lt;=AsOfDate,IF($R16=0,$X16,IF(AND($T16&lt;&gt;"",EDATE($D16,Milestones!$AA$36)&gt;=$T16),$W16,IF(AND($S16&lt;&gt;"",EDATE($D16,Milestones!$AA$36)&gt;=$S16),$V16,$U16)))=Milestones!$AB$36),UPPER(TEXT(EDATE($D16,Milestones!$AA$36),"dd mmm yy"))&amp;" "&amp;Milestones!$AB$36&amp;" "&amp;Milestones!$AC$36&amp;";  ","")&amp;IF(AND(EDATE($D16,Milestones!$AA$37)&lt;=AsOfDate,IF($R16=0,$X16,IF(AND($T16&lt;&gt;"",EDATE($D16,Milestones!$AA$37)&gt;=$T16),$W16,IF(AND($S16&lt;&gt;"",EDATE($D16,Milestones!$AA$37)&gt;=$S16),$V16,$U16)))=Milestones!$AB$37),UPPER(TEXT(EDATE($D16,Milestones!$AA$37),"dd mmm yy"))&amp;" "&amp;Milestones!$AB$37&amp;" "&amp;Milestones!$AC$37&amp;";  ","")&amp;IF(AND(EDATE($D16,Milestones!$AA$38)&lt;=AsOfDate,IF($R16=0,$X16,IF(AND($T16&lt;&gt;"",EDATE($D16,Milestones!$AA$38)&gt;=$T16),$W16,IF(AND($S16&lt;&gt;"",EDATE($D16,Milestones!$AA$38)&gt;=$S16),$V16,$U16)))=Milestones!$AB$38),UPPER(TEXT(EDATE($D16,Milestones!$AA$38),"dd mmm yy"))&amp;" "&amp;Milestones!$AB$38&amp;" "&amp;Milestones!$AC$38&amp;";  ","")&amp;IF(AND(EDATE($D16,Milestones!$AA$39)&lt;=AsOfDate,IF($R16=0,$X16,IF(AND($T16&lt;&gt;"",EDATE($D16,Milestones!$AA$39)&gt;=$T16),$W16,IF(AND($S16&lt;&gt;"",EDATE($D16,Milestones!$AA$39)&gt;=$S16),$V16,$U16)))=Milestones!$AB$39),UPPER(TEXT(EDATE($D16,Milestones!$AA$39),"dd mmm yy"))&amp;" "&amp;Milestones!$AB$39&amp;" "&amp;Milestones!$AC$39&amp;";  ",""))</f>
        <v/>
      </c>
      <c r="J16" s="0" t="str">
        <f aca="false">IF(OR($A16="",$D16=""),"",IF(AND(EDATE($D16,Milestones!$AA$40)&lt;=AsOfDate,IF($R16=0,$X16,IF(AND($T16&lt;&gt;"",EDATE($D16,Milestones!$AA$40)&gt;=$T16),$W16,IF(AND($S16&lt;&gt;"",EDATE($D16,Milestones!$AA$40)&gt;=$S16),$V16,$U16)))=Milestones!$AB$40),UPPER(TEXT(EDATE($D16,Milestones!$AA$40),"dd mmm yy"))&amp;" "&amp;Milestones!$AB$40&amp;" "&amp;Milestones!$AC$40&amp;";  ","")&amp;IF(AND(EDATE($D16,Milestones!$AA$41)&lt;=AsOfDate,IF($R16=0,$X16,IF(AND($T16&lt;&gt;"",EDATE($D16,Milestones!$AA$41)&gt;=$T16),$W16,IF(AND($S16&lt;&gt;"",EDATE($D16,Milestones!$AA$41)&gt;=$S16),$V16,$U16)))=Milestones!$AB$41),UPPER(TEXT(EDATE($D16,Milestones!$AA$41),"dd mmm yy"))&amp;" "&amp;Milestones!$AB$41&amp;" "&amp;Milestones!$AC$41&amp;";  ","")&amp;IF(AND(EDATE($D16,Milestones!$AA$42)&lt;=AsOfDate,IF($R16=0,$X16,IF(AND($T16&lt;&gt;"",EDATE($D16,Milestones!$AA$42)&gt;=$T16),$W16,IF(AND($S16&lt;&gt;"",EDATE($D16,Milestones!$AA$42)&gt;=$S16),$V16,$U16)))=Milestones!$AB$42),UPPER(TEXT(EDATE($D16,Milestones!$AA$42),"dd mmm yy"))&amp;" "&amp;Milestones!$AB$42&amp;" "&amp;Milestones!$AC$42&amp;";  ","")&amp;IF(AND(EDATE($D16,Milestones!$AA$43)&lt;=AsOfDate,IF($R16=0,$X16,IF(AND($T16&lt;&gt;"",EDATE($D16,Milestones!$AA$43)&gt;=$T16),$W16,IF(AND($S16&lt;&gt;"",EDATE($D16,Milestones!$AA$43)&gt;=$S16),$V16,$U16)))=Milestones!$AB$43),UPPER(TEXT(EDATE($D16,Milestones!$AA$43),"dd mmm yy"))&amp;" "&amp;Milestones!$AB$43&amp;" "&amp;Milestones!$AC$43&amp;";  ","")&amp;IF(AND(EDATE($D16,Milestones!$AA$44)&lt;=AsOfDate,IF($R16=0,$X16,IF(AND($T16&lt;&gt;"",EDATE($D16,Milestones!$AA$44)&gt;=$T16),$W16,IF(AND($S16&lt;&gt;"",EDATE($D16,Milestones!$AA$44)&gt;=$S16),$V16,$U16)))=Milestones!$AB$44),UPPER(TEXT(EDATE($D16,Milestones!$AA$44),"dd mmm yy"))&amp;" "&amp;Milestones!$AB$44&amp;" "&amp;Milestones!$AC$44&amp;";  ","")&amp;IF(AND(EDATE($D16,Milestones!$AA$45)&lt;=AsOfDate,IF($R16=0,$X16,IF(AND($T16&lt;&gt;"",EDATE($D16,Milestones!$AA$45)&gt;=$T16),$W16,IF(AND($S16&lt;&gt;"",EDATE($D16,Milestones!$AA$45)&gt;=$S16),$V16,$U16)))=Milestones!$AB$45),UPPER(TEXT(EDATE($D16,Milestones!$AA$45),"dd mmm yy"))&amp;" "&amp;Milestones!$AB$45&amp;" "&amp;Milestones!$AC$45&amp;";  ","")&amp;IF(AND(EDATE($D16,Milestones!$AA$46)&lt;=AsOfDate,IF($R16=0,$X16,IF(AND($T16&lt;&gt;"",EDATE($D16,Milestones!$AA$46)&gt;=$T16),$W16,IF(AND($S16&lt;&gt;"",EDATE($D16,Milestones!$AA$46)&gt;=$S16),$V16,$U16)))=Milestones!$AB$46),UPPER(TEXT(EDATE($D16,Milestones!$AA$46),"dd mmm yy"))&amp;" "&amp;Milestones!$AB$46&amp;" "&amp;Milestones!$AC$46&amp;";  ","")&amp;IF(AND(EDATE($D16,Milestones!$AA$47)&lt;=AsOfDate,IF($R16=0,$X16,IF(AND($T16&lt;&gt;"",EDATE($D16,Milestones!$AA$47)&gt;=$T16),$W16,IF(AND($S16&lt;&gt;"",EDATE($D16,Milestones!$AA$47)&gt;=$S16),$V16,$U16)))=Milestones!$AB$47),UPPER(TEXT(EDATE($D16,Milestones!$AA$47),"dd mmm yy"))&amp;" "&amp;Milestones!$AB$47&amp;" "&amp;Milestones!$AC$47&amp;";  ","")&amp;IF(AND(EDATE($D16,Milestones!$AA$48)&lt;=AsOfDate,IF($R16=0,$X16,IF(AND($T16&lt;&gt;"",EDATE($D16,Milestones!$AA$48)&gt;=$T16),$W16,IF(AND($S16&lt;&gt;"",EDATE($D16,Milestones!$AA$48)&gt;=$S16),$V16,$U16)))=Milestones!$AB$48),UPPER(TEXT(EDATE($D16,Milestones!$AA$48),"dd mmm yy"))&amp;" "&amp;Milestones!$AB$48&amp;" "&amp;Milestones!$AC$48&amp;";  ","")&amp;IF(AND(EDATE($D16,Milestones!$AA$49)&lt;=AsOfDate,IF($R16=0,$X16,IF(AND($T16&lt;&gt;"",EDATE($D16,Milestones!$AA$49)&gt;=$T16),$W16,IF(AND($S16&lt;&gt;"",EDATE($D16,Milestones!$AA$49)&gt;=$S16),$V16,$U16)))=Milestones!$AB$49),UPPER(TEXT(EDATE($D16,Milestones!$AA$49),"dd mmm yy"))&amp;" "&amp;Milestones!$AB$49&amp;" "&amp;Milestones!$AC$49&amp;";  ","")&amp;IF(AND(EDATE($D16,Milestones!$AA$50)&lt;=AsOfDate,IF($R16=0,$X16,IF(AND($T16&lt;&gt;"",EDATE($D16,Milestones!$AA$50)&gt;=$T16),$W16,IF(AND($S16&lt;&gt;"",EDATE($D16,Milestones!$AA$50)&gt;=$S16),$V16,$U16)))=Milestones!$AB$50),UPPER(TEXT(EDATE($D16,Milestones!$AA$50),"dd mmm yy"))&amp;" "&amp;Milestones!$AB$50&amp;" "&amp;Milestones!$AC$50&amp;";  ","")&amp;IF(AND(EDATE($D16,Milestones!$AA$51)&lt;=AsOfDate,IF($R16=0,$X16,IF(AND($T16&lt;&gt;"",EDATE($D16,Milestones!$AA$51)&gt;=$T16),$W16,IF(AND($S16&lt;&gt;"",EDATE($D16,Milestones!$AA$51)&gt;=$S16),$V16,$U16)))=Milestones!$AB$51),UPPER(TEXT(EDATE($D16,Milestones!$AA$51),"dd mmm yy"))&amp;" "&amp;Milestones!$AB$51&amp;" "&amp;Milestones!$AC$51&amp;";  ","")&amp;IF(AND(EDATE($D16,Milestones!$AA$52)&lt;=AsOfDate,IF($R16=0,$X16,IF(AND($T16&lt;&gt;"",EDATE($D16,Milestones!$AA$52)&gt;=$T16),$W16,IF(AND($S16&lt;&gt;"",EDATE($D16,Milestones!$AA$52)&gt;=$S16),$V16,$U16)))=Milestones!$AB$52),UPPER(TEXT(EDATE($D16,Milestones!$AA$52),"dd mmm yy"))&amp;" "&amp;Milestones!$AB$52&amp;" "&amp;Milestones!$AC$52&amp;";  ","")&amp;IF(AND(EDATE($D16,Milestones!$AA$53)&lt;=AsOfDate,IF($R16=0,$X16,IF(AND($T16&lt;&gt;"",EDATE($D16,Milestones!$AA$53)&gt;=$T16),$W16,IF(AND($S16&lt;&gt;"",EDATE($D16,Milestones!$AA$53)&gt;=$S16),$V16,$U16)))=Milestones!$AB$53),UPPER(TEXT(EDATE($D16,Milestones!$AA$53),"dd mmm yy"))&amp;" "&amp;Milestones!$AB$53&amp;" "&amp;Milestones!$AC$53&amp;";  ","")&amp;IF(AND(EDATE($D16,Milestones!$AA$54)&lt;=AsOfDate,IF($R16=0,$X16,IF(AND($T16&lt;&gt;"",EDATE($D16,Milestones!$AA$54)&gt;=$T16),$W16,IF(AND($S16&lt;&gt;"",EDATE($D16,Milestones!$AA$54)&gt;=$S16),$V16,$U16)))=Milestones!$AB$54),UPPER(TEXT(EDATE($D16,Milestones!$AA$54),"dd mmm yy"))&amp;" "&amp;Milestones!$AB$54&amp;" "&amp;Milestones!$AC$54&amp;";  ","")&amp;IF(AND(EDATE($D16,Milestones!$AA$55)&lt;=AsOfDate,IF($R16=0,$X16,IF(AND($T16&lt;&gt;"",EDATE($D16,Milestones!$AA$55)&gt;=$T16),$W16,IF(AND($S16&lt;&gt;"",EDATE($D16,Milestones!$AA$55)&gt;=$S16),$V16,$U16)))=Milestones!$AB$55),UPPER(TEXT(EDATE($D16,Milestones!$AA$55),"dd mmm yy"))&amp;" "&amp;Milestones!$AB$55&amp;" "&amp;Milestones!$AC$55&amp;";  ","")&amp;IF(AND(EDATE($D16,Milestones!$AA$56)&lt;=AsOfDate,IF($R16=0,$X16,IF(AND($T16&lt;&gt;"",EDATE($D16,Milestones!$AA$56)&gt;=$T16),$W16,IF(AND($S16&lt;&gt;"",EDATE($D16,Milestones!$AA$56)&gt;=$S16),$V16,$U16)))=Milestones!$AB$56),UPPER(TEXT(EDATE($D16,Milestones!$AA$56),"dd mmm yy"))&amp;" "&amp;Milestones!$AB$56&amp;" "&amp;Milestones!$AC$56&amp;";  ","")&amp;IF(AND(EDATE($D16,Milestones!$AA$57)&lt;=AsOfDate,IF($R16=0,$X16,IF(AND($T16&lt;&gt;"",EDATE($D16,Milestones!$AA$57)&gt;=$T16),$W16,IF(AND($S16&lt;&gt;"",EDATE($D16,Milestones!$AA$57)&gt;=$S16),$V16,$U16)))=Milestones!$AB$57),UPPER(TEXT(EDATE($D16,Milestones!$AA$57),"dd mmm yy"))&amp;" "&amp;Milestones!$AB$57&amp;" "&amp;Milestones!$AC$57&amp;";  ","")&amp;IF(AND(EDATE($D16,Milestones!$AA$58)&lt;=AsOfDate,IF($R16=0,$X16,IF(AND($T16&lt;&gt;"",EDATE($D16,Milestones!$AA$58)&gt;=$T16),$W16,IF(AND($S16&lt;&gt;"",EDATE($D16,Milestones!$AA$58)&gt;=$S16),$V16,$U16)))=Milestones!$AB$58),UPPER(TEXT(EDATE($D16,Milestones!$AA$58),"dd mmm yy"))&amp;" "&amp;Milestones!$AB$58&amp;" "&amp;Milestones!$AC$58&amp;";  ","")&amp;IF(AND(EDATE($D16,Milestones!$AA$59)&lt;=AsOfDate,IF($R16=0,$X16,IF(AND($T16&lt;&gt;"",EDATE($D16,Milestones!$AA$59)&gt;=$T16),$W16,IF(AND($S16&lt;&gt;"",EDATE($D16,Milestones!$AA$59)&gt;=$S16),$V16,$U16)))=Milestones!$AB$59),UPPER(TEXT(EDATE($D16,Milestones!$AA$59),"dd mmm yy"))&amp;" "&amp;Milestones!$AB$59&amp;" "&amp;Milestones!$AC$59&amp;";  ",""))</f>
        <v/>
      </c>
      <c r="K16" s="0" t="str">
        <f aca="false">IF(OR($A16="",$D16=""),"",IF(AND(EDATE($D16,Milestones!$AA$60)&lt;=AsOfDate,IF($R16=0,$X16,IF(AND($T16&lt;&gt;"",EDATE($D16,Milestones!$AA$60)&gt;=$T16),$W16,IF(AND($S16&lt;&gt;"",EDATE($D16,Milestones!$AA$60)&gt;=$S16),$V16,$U16)))=Milestones!$AB$60),UPPER(TEXT(EDATE($D16,Milestones!$AA$60),"dd mmm yy"))&amp;" "&amp;Milestones!$AB$60&amp;" "&amp;Milestones!$AC$60&amp;";  ","")&amp;IF(AND(EDATE($D16,Milestones!$AA$61)&lt;=AsOfDate,IF($R16=0,$X16,IF(AND($T16&lt;&gt;"",EDATE($D16,Milestones!$AA$61)&gt;=$T16),$W16,IF(AND($S16&lt;&gt;"",EDATE($D16,Milestones!$AA$61)&gt;=$S16),$V16,$U16)))=Milestones!$AB$61),UPPER(TEXT(EDATE($D16,Milestones!$AA$61),"dd mmm yy"))&amp;" "&amp;Milestones!$AB$61&amp;" "&amp;Milestones!$AC$61&amp;";  ","")&amp;IF(AND(EDATE($D16,Milestones!$AA$62)&lt;=AsOfDate,IF($R16=0,$X16,IF(AND($T16&lt;&gt;"",EDATE($D16,Milestones!$AA$62)&gt;=$T16),$W16,IF(AND($S16&lt;&gt;"",EDATE($D16,Milestones!$AA$62)&gt;=$S16),$V16,$U16)))=Milestones!$AB$62),UPPER(TEXT(EDATE($D16,Milestones!$AA$62),"dd mmm yy"))&amp;" "&amp;Milestones!$AB$62&amp;" "&amp;Milestones!$AC$62&amp;";  ","")&amp;IF(AND(EDATE($D16,Milestones!$AA$63)&lt;=AsOfDate,IF($R16=0,$X16,IF(AND($T16&lt;&gt;"",EDATE($D16,Milestones!$AA$63)&gt;=$T16),$W16,IF(AND($S16&lt;&gt;"",EDATE($D16,Milestones!$AA$63)&gt;=$S16),$V16,$U16)))=Milestones!$AB$63),UPPER(TEXT(EDATE($D16,Milestones!$AA$63),"dd mmm yy"))&amp;" "&amp;Milestones!$AB$63&amp;" "&amp;Milestones!$AC$63&amp;";  ","")&amp;IF(AND(EDATE($D16,Milestones!$AA$64)&lt;=AsOfDate,IF($R16=0,$X16,IF(AND($T16&lt;&gt;"",EDATE($D16,Milestones!$AA$64)&gt;=$T16),$W16,IF(AND($S16&lt;&gt;"",EDATE($D16,Milestones!$AA$64)&gt;=$S16),$V16,$U16)))=Milestones!$AB$64),UPPER(TEXT(EDATE($D16,Milestones!$AA$64),"dd mmm yy"))&amp;" "&amp;Milestones!$AB$64&amp;" "&amp;Milestones!$AC$64&amp;";  ","")&amp;IF(AND(EDATE($D16,Milestones!$AA$65)&lt;=AsOfDate,IF($R16=0,$X16,IF(AND($T16&lt;&gt;"",EDATE($D16,Milestones!$AA$65)&gt;=$T16),$W16,IF(AND($S16&lt;&gt;"",EDATE($D16,Milestones!$AA$65)&gt;=$S16),$V16,$U16)))=Milestones!$AB$65),UPPER(TEXT(EDATE($D16,Milestones!$AA$65),"dd mmm yy"))&amp;" "&amp;Milestones!$AB$65&amp;" "&amp;Milestones!$AC$65&amp;";  ","")&amp;IF(AND(EDATE($D16,Milestones!$AA$66)&lt;=AsOfDate,IF($R16=0,$X16,IF(AND($T16&lt;&gt;"",EDATE($D16,Milestones!$AA$66)&gt;=$T16),$W16,IF(AND($S16&lt;&gt;"",EDATE($D16,Milestones!$AA$66)&gt;=$S16),$V16,$U16)))=Milestones!$AB$66),UPPER(TEXT(EDATE($D16,Milestones!$AA$66),"dd mmm yy"))&amp;" "&amp;Milestones!$AB$66&amp;" "&amp;Milestones!$AC$66&amp;";  ","")&amp;IF(AND(EDATE($D16,Milestones!$AA$67)&lt;=AsOfDate,IF($R16=0,$X16,IF(AND($T16&lt;&gt;"",EDATE($D16,Milestones!$AA$67)&gt;=$T16),$W16,IF(AND($S16&lt;&gt;"",EDATE($D16,Milestones!$AA$67)&gt;=$S16),$V16,$U16)))=Milestones!$AB$67),UPPER(TEXT(EDATE($D16,Milestones!$AA$67),"dd mmm yy"))&amp;" "&amp;Milestones!$AB$67&amp;" "&amp;Milestones!$AC$67&amp;";  ","")&amp;IF(AND(EDATE($D16,Milestones!$AA$68)&lt;=AsOfDate,IF($R16=0,$X16,IF(AND($T16&lt;&gt;"",EDATE($D16,Milestones!$AA$68)&gt;=$T16),$W16,IF(AND($S16&lt;&gt;"",EDATE($D16,Milestones!$AA$68)&gt;=$S16),$V16,$U16)))=Milestones!$AB$68),UPPER(TEXT(EDATE($D16,Milestones!$AA$68),"dd mmm yy"))&amp;" "&amp;Milestones!$AB$68&amp;" "&amp;Milestones!$AC$68&amp;";  ","")&amp;IF(AND(EDATE($D16,Milestones!$AA$69)&lt;=AsOfDate,IF($R16=0,$X16,IF(AND($T16&lt;&gt;"",EDATE($D16,Milestones!$AA$69)&gt;=$T16),$W16,IF(AND($S16&lt;&gt;"",EDATE($D16,Milestones!$AA$69)&gt;=$S16),$V16,$U16)))=Milestones!$AB$69),UPPER(TEXT(EDATE($D16,Milestones!$AA$69),"dd mmm yy"))&amp;" "&amp;Milestones!$AB$69&amp;" "&amp;Milestones!$AC$69&amp;";  ","")&amp;IF(AND(EDATE($D16,Milestones!$AA$70)&lt;=AsOfDate,IF($R16=0,$X16,IF(AND($T16&lt;&gt;"",EDATE($D16,Milestones!$AA$70)&gt;=$T16),$W16,IF(AND($S16&lt;&gt;"",EDATE($D16,Milestones!$AA$70)&gt;=$S16),$V16,$U16)))=Milestones!$AB$70),UPPER(TEXT(EDATE($D16,Milestones!$AA$70),"dd mmm yy"))&amp;" "&amp;Milestones!$AB$70&amp;" "&amp;Milestones!$AC$70&amp;";  ","")&amp;IF(AND(EDATE($D16,Milestones!$AA$71)&lt;=AsOfDate,IF($R16=0,$X16,IF(AND($T16&lt;&gt;"",EDATE($D16,Milestones!$AA$71)&gt;=$T16),$W16,IF(AND($S16&lt;&gt;"",EDATE($D16,Milestones!$AA$71)&gt;=$S16),$V16,$U16)))=Milestones!$AB$71),UPPER(TEXT(EDATE($D16,Milestones!$AA$71),"dd mmm yy"))&amp;" "&amp;Milestones!$AB$71&amp;" "&amp;Milestones!$AC$71&amp;";  ","")&amp;IF(AND(EDATE($D16,Milestones!$AA$72)&lt;=AsOfDate,IF($R16=0,$X16,IF(AND($T16&lt;&gt;"",EDATE($D16,Milestones!$AA$72)&gt;=$T16),$W16,IF(AND($S16&lt;&gt;"",EDATE($D16,Milestones!$AA$72)&gt;=$S16),$V16,$U16)))=Milestones!$AB$72),UPPER(TEXT(EDATE($D16,Milestones!$AA$72),"dd mmm yy"))&amp;" "&amp;Milestones!$AB$72&amp;" "&amp;Milestones!$AC$72&amp;";  ","")&amp;IF(AND(EDATE($D16,Milestones!$AA$73)&lt;=AsOfDate,IF($R16=0,$X16,IF(AND($T16&lt;&gt;"",EDATE($D16,Milestones!$AA$73)&gt;=$T16),$W16,IF(AND($S16&lt;&gt;"",EDATE($D16,Milestones!$AA$73)&gt;=$S16),$V16,$U16)))=Milestones!$AB$73),UPPER(TEXT(EDATE($D16,Milestones!$AA$73),"dd mmm yy"))&amp;" "&amp;Milestones!$AB$73&amp;" "&amp;Milestones!$AC$73&amp;";  ","")&amp;IF(AND(EDATE($D16,Milestones!$AA$74)&lt;=AsOfDate,IF($R16=0,$X16,IF(AND($T16&lt;&gt;"",EDATE($D16,Milestones!$AA$74)&gt;=$T16),$W16,IF(AND($S16&lt;&gt;"",EDATE($D16,Milestones!$AA$74)&gt;=$S16),$V16,$U16)))=Milestones!$AB$74),UPPER(TEXT(EDATE($D16,Milestones!$AA$74),"dd mmm yy"))&amp;" "&amp;Milestones!$AB$74&amp;" "&amp;Milestones!$AC$74&amp;";  ","")&amp;IF(AND(EDATE($D16,Milestones!$AA$75)&lt;=AsOfDate,IF($R16=0,$X16,IF(AND($T16&lt;&gt;"",EDATE($D16,Milestones!$AA$75)&gt;=$T16),$W16,IF(AND($S16&lt;&gt;"",EDATE($D16,Milestones!$AA$75)&gt;=$S16),$V16,$U16)))=Milestones!$AB$75),UPPER(TEXT(EDATE($D16,Milestones!$AA$75),"dd mmm yy"))&amp;" "&amp;Milestones!$AB$75&amp;" "&amp;Milestones!$AC$75&amp;";  ","")&amp;IF(AND(EDATE($D16,Milestones!$AA$76)&lt;=AsOfDate,IF($R16=0,$X16,IF(AND($T16&lt;&gt;"",EDATE($D16,Milestones!$AA$76)&gt;=$T16),$W16,IF(AND($S16&lt;&gt;"",EDATE($D16,Milestones!$AA$76)&gt;=$S16),$V16,$U16)))=Milestones!$AB$76),UPPER(TEXT(EDATE($D16,Milestones!$AA$76),"dd mmm yy"))&amp;" "&amp;Milestones!$AB$76&amp;" "&amp;Milestones!$AC$76&amp;";  ","")&amp;IF(AND(EDATE($D16,Milestones!$AA$77)&lt;=AsOfDate,IF($R16=0,$X16,IF(AND($T16&lt;&gt;"",EDATE($D16,Milestones!$AA$77)&gt;=$T16),$W16,IF(AND($S16&lt;&gt;"",EDATE($D16,Milestones!$AA$77)&gt;=$S16),$V16,$U16)))=Milestones!$AB$77),UPPER(TEXT(EDATE($D16,Milestones!$AA$77),"dd mmm yy"))&amp;" "&amp;Milestones!$AB$77&amp;" "&amp;Milestones!$AC$77&amp;";  ","")&amp;IF(AND(EDATE($D16,Milestones!$AA$78)&lt;=AsOfDate,IF($R16=0,$X16,IF(AND($T16&lt;&gt;"",EDATE($D16,Milestones!$AA$78)&gt;=$T16),$W16,IF(AND($S16&lt;&gt;"",EDATE($D16,Milestones!$AA$78)&gt;=$S16),$V16,$U16)))=Milestones!$AB$78),UPPER(TEXT(EDATE($D16,Milestones!$AA$78),"dd mmm yy"))&amp;" "&amp;Milestones!$AB$78&amp;" "&amp;Milestones!$AC$78&amp;";  ","")&amp;IF(AND(EDATE($D16,Milestones!$AA$79)&lt;=AsOfDate,IF($R16=0,$X16,IF(AND($T16&lt;&gt;"",EDATE($D16,Milestones!$AA$79)&gt;=$T16),$W16,IF(AND($S16&lt;&gt;"",EDATE($D16,Milestones!$AA$79)&gt;=$S16),$V16,$U16)))=Milestones!$AB$79),UPPER(TEXT(EDATE($D16,Milestones!$AA$79),"dd mmm yy"))&amp;" "&amp;Milestones!$AB$79&amp;" "&amp;Milestones!$AC$79&amp;";  ",""))</f>
        <v/>
      </c>
      <c r="L16" s="0" t="str">
        <f aca="false">IF(OR($A16="",$D16=""),"",IF(AND(EDATE($D16,Milestones!$AA$80)&lt;=AsOfDate,IF($R16=0,$X16,IF(AND($T16&lt;&gt;"",EDATE($D16,Milestones!$AA$80)&gt;=$T16),$W16,IF(AND($S16&lt;&gt;"",EDATE($D16,Milestones!$AA$80)&gt;=$S16),$V16,$U16)))=Milestones!$AB$80),UPPER(TEXT(EDATE($D16,Milestones!$AA$80),"dd mmm yy"))&amp;" "&amp;Milestones!$AB$80&amp;" "&amp;Milestones!$AC$80&amp;";  ","")&amp;IF(AND(EDATE($D16,Milestones!$AA$81)&lt;=AsOfDate,IF($R16=0,$X16,IF(AND($T16&lt;&gt;"",EDATE($D16,Milestones!$AA$81)&gt;=$T16),$W16,IF(AND($S16&lt;&gt;"",EDATE($D16,Milestones!$AA$81)&gt;=$S16),$V16,$U16)))=Milestones!$AB$81),UPPER(TEXT(EDATE($D16,Milestones!$AA$81),"dd mmm yy"))&amp;" "&amp;Milestones!$AB$81&amp;" "&amp;Milestones!$AC$81&amp;";  ","")&amp;IF(AND(EDATE($D16,Milestones!$AA$82)&lt;=AsOfDate,IF($R16=0,$X16,IF(AND($T16&lt;&gt;"",EDATE($D16,Milestones!$AA$82)&gt;=$T16),$W16,IF(AND($S16&lt;&gt;"",EDATE($D16,Milestones!$AA$82)&gt;=$S16),$V16,$U16)))=Milestones!$AB$82),UPPER(TEXT(EDATE($D16,Milestones!$AA$82),"dd mmm yy"))&amp;" "&amp;Milestones!$AB$82&amp;" "&amp;Milestones!$AC$82&amp;";  ","")&amp;IF(AND(EDATE($D16,Milestones!$AA$83)&lt;=AsOfDate,IF($R16=0,$X16,IF(AND($T16&lt;&gt;"",EDATE($D16,Milestones!$AA$83)&gt;=$T16),$W16,IF(AND($S16&lt;&gt;"",EDATE($D16,Milestones!$AA$83)&gt;=$S16),$V16,$U16)))=Milestones!$AB$83),UPPER(TEXT(EDATE($D16,Milestones!$AA$83),"dd mmm yy"))&amp;" "&amp;Milestones!$AB$83&amp;" "&amp;Milestones!$AC$83&amp;";  ","")&amp;IF(AND(EDATE($D16,Milestones!$AA$84)&lt;=AsOfDate,IF($R16=0,$X16,IF(AND($T16&lt;&gt;"",EDATE($D16,Milestones!$AA$84)&gt;=$T16),$W16,IF(AND($S16&lt;&gt;"",EDATE($D16,Milestones!$AA$84)&gt;=$S16),$V16,$U16)))=Milestones!$AB$84),UPPER(TEXT(EDATE($D16,Milestones!$AA$84),"dd mmm yy"))&amp;" "&amp;Milestones!$AB$84&amp;" "&amp;Milestones!$AC$84&amp;";  ","")&amp;IF(AND(EDATE($D16,Milestones!$AA$85)&lt;=AsOfDate,IF($R16=0,$X16,IF(AND($T16&lt;&gt;"",EDATE($D16,Milestones!$AA$85)&gt;=$T16),$W16,IF(AND($S16&lt;&gt;"",EDATE($D16,Milestones!$AA$85)&gt;=$S16),$V16,$U16)))=Milestones!$AB$85),UPPER(TEXT(EDATE($D16,Milestones!$AA$85),"dd mmm yy"))&amp;" "&amp;Milestones!$AB$85&amp;" "&amp;Milestones!$AC$85&amp;";  ","")&amp;IF(AND(EDATE($D16,Milestones!$AA$86)&lt;=AsOfDate,IF($R16=0,$X16,IF(AND($T16&lt;&gt;"",EDATE($D16,Milestones!$AA$86)&gt;=$T16),$W16,IF(AND($S16&lt;&gt;"",EDATE($D16,Milestones!$AA$86)&gt;=$S16),$V16,$U16)))=Milestones!$AB$86),UPPER(TEXT(EDATE($D16,Milestones!$AA$86),"dd mmm yy"))&amp;" "&amp;Milestones!$AB$86&amp;" "&amp;Milestones!$AC$86&amp;";  ","")&amp;IF(AND(EDATE($D16,Milestones!$AA$87)&lt;=AsOfDate,IF($R16=0,$X16,IF(AND($T16&lt;&gt;"",EDATE($D16,Milestones!$AA$87)&gt;=$T16),$W16,IF(AND($S16&lt;&gt;"",EDATE($D16,Milestones!$AA$87)&gt;=$S16),$V16,$U16)))=Milestones!$AB$87),UPPER(TEXT(EDATE($D16,Milestones!$AA$87),"dd mmm yy"))&amp;" "&amp;Milestones!$AB$87&amp;" "&amp;Milestones!$AC$87&amp;";  ","")&amp;IF(AND(EDATE($D16,Milestones!$AA$88)&lt;=AsOfDate,IF($R16=0,$X16,IF(AND($T16&lt;&gt;"",EDATE($D16,Milestones!$AA$88)&gt;=$T16),$W16,IF(AND($S16&lt;&gt;"",EDATE($D16,Milestones!$AA$88)&gt;=$S16),$V16,$U16)))=Milestones!$AB$88),UPPER(TEXT(EDATE($D16,Milestones!$AA$88),"dd mmm yy"))&amp;" "&amp;Milestones!$AB$88&amp;" "&amp;Milestones!$AC$88&amp;";  ","")&amp;IF(AND(EDATE($D16,Milestones!$AA$89)&lt;=AsOfDate,IF($R16=0,$X16,IF(AND($T16&lt;&gt;"",EDATE($D16,Milestones!$AA$89)&gt;=$T16),$W16,IF(AND($S16&lt;&gt;"",EDATE($D16,Milestones!$AA$89)&gt;=$S16),$V16,$U16)))=Milestones!$AB$89),UPPER(TEXT(EDATE($D16,Milestones!$AA$89),"dd mmm yy"))&amp;" "&amp;Milestones!$AB$89&amp;" "&amp;Milestones!$AC$89&amp;";  ","")&amp;IF(AND(EDATE($D16,Milestones!$AA$90)&lt;=AsOfDate,IF($R16=0,$X16,IF(AND($T16&lt;&gt;"",EDATE($D16,Milestones!$AA$90)&gt;=$T16),$W16,IF(AND($S16&lt;&gt;"",EDATE($D16,Milestones!$AA$90)&gt;=$S16),$V16,$U16)))=Milestones!$AB$90),UPPER(TEXT(EDATE($D16,Milestones!$AA$90),"dd mmm yy"))&amp;" "&amp;Milestones!$AB$90&amp;" "&amp;Milestones!$AC$90&amp;";  ","")&amp;IF(AND(EDATE($D16,Milestones!$AA$91)&lt;=AsOfDate,IF($R16=0,$X16,IF(AND($T16&lt;&gt;"",EDATE($D16,Milestones!$AA$91)&gt;=$T16),$W16,IF(AND($S16&lt;&gt;"",EDATE($D16,Milestones!$AA$91)&gt;=$S16),$V16,$U16)))=Milestones!$AB$91),UPPER(TEXT(EDATE($D16,Milestones!$AA$91),"dd mmm yy"))&amp;" "&amp;Milestones!$AB$91&amp;" "&amp;Milestones!$AC$91&amp;";  ","")&amp;IF(AND(EDATE($D16,Milestones!$AA$92)&lt;=AsOfDate,IF($R16=0,$X16,IF(AND($T16&lt;&gt;"",EDATE($D16,Milestones!$AA$92)&gt;=$T16),$W16,IF(AND($S16&lt;&gt;"",EDATE($D16,Milestones!$AA$92)&gt;=$S16),$V16,$U16)))=Milestones!$AB$92),UPPER(TEXT(EDATE($D16,Milestones!$AA$92),"dd mmm yy"))&amp;" "&amp;Milestones!$AB$92&amp;" "&amp;Milestones!$AC$92&amp;";  ","")&amp;IF(AND(EDATE($D16,Milestones!$AA$93)&lt;=AsOfDate,IF($R16=0,$X16,IF(AND($T16&lt;&gt;"",EDATE($D16,Milestones!$AA$93)&gt;=$T16),$W16,IF(AND($S16&lt;&gt;"",EDATE($D16,Milestones!$AA$93)&gt;=$S16),$V16,$U16)))=Milestones!$AB$93),UPPER(TEXT(EDATE($D16,Milestones!$AA$93),"dd mmm yy"))&amp;" "&amp;Milestones!$AB$93&amp;" "&amp;Milestones!$AC$93&amp;";  ","")&amp;IF(AND(EDATE($D16,Milestones!$AA$94)&lt;=AsOfDate,IF($R16=0,$X16,IF(AND($T16&lt;&gt;"",EDATE($D16,Milestones!$AA$94)&gt;=$T16),$W16,IF(AND($S16&lt;&gt;"",EDATE($D16,Milestones!$AA$94)&gt;=$S16),$V16,$U16)))=Milestones!$AB$94),UPPER(TEXT(EDATE($D16,Milestones!$AA$94),"dd mmm yy"))&amp;" "&amp;Milestones!$AB$94&amp;" "&amp;Milestones!$AC$94&amp;";  ","")&amp;IF(AND(EDATE($D16,Milestones!$AA$95)&lt;=AsOfDate,IF($R16=0,$X16,IF(AND($T16&lt;&gt;"",EDATE($D16,Milestones!$AA$95)&gt;=$T16),$W16,IF(AND($S16&lt;&gt;"",EDATE($D16,Milestones!$AA$95)&gt;=$S16),$V16,$U16)))=Milestones!$AB$95),UPPER(TEXT(EDATE($D16,Milestones!$AA$95),"dd mmm yy"))&amp;" "&amp;Milestones!$AB$95&amp;" "&amp;Milestones!$AC$95&amp;";  ","")&amp;IF(AND(EDATE($D16,Milestones!$AA$96)&lt;=AsOfDate,IF($R16=0,$X16,IF(AND($T16&lt;&gt;"",EDATE($D16,Milestones!$AA$96)&gt;=$T16),$W16,IF(AND($S16&lt;&gt;"",EDATE($D16,Milestones!$AA$96)&gt;=$S16),$V16,$U16)))=Milestones!$AB$96),UPPER(TEXT(EDATE($D16,Milestones!$AA$96),"dd mmm yy"))&amp;" "&amp;Milestones!$AB$96&amp;" "&amp;Milestones!$AC$96&amp;";  ","")&amp;IF(AND(EDATE($D16,Milestones!$AA$97)&lt;=AsOfDate,IF($R16=0,$X16,IF(AND($T16&lt;&gt;"",EDATE($D16,Milestones!$AA$97)&gt;=$T16),$W16,IF(AND($S16&lt;&gt;"",EDATE($D16,Milestones!$AA$97)&gt;=$S16),$V16,$U16)))=Milestones!$AB$97),UPPER(TEXT(EDATE($D16,Milestones!$AA$97),"dd mmm yy"))&amp;" "&amp;Milestones!$AB$97&amp;" "&amp;Milestones!$AC$97&amp;";  ","")&amp;IF(AND(EDATE($D16,Milestones!$AA$98)&lt;=AsOfDate,IF($R16=0,$X16,IF(AND($T16&lt;&gt;"",EDATE($D16,Milestones!$AA$98)&gt;=$T16),$W16,IF(AND($S16&lt;&gt;"",EDATE($D16,Milestones!$AA$98)&gt;=$S16),$V16,$U16)))=Milestones!$AB$98),UPPER(TEXT(EDATE($D16,Milestones!$AA$98),"dd mmm yy"))&amp;" "&amp;Milestones!$AB$98&amp;" "&amp;Milestones!$AC$98&amp;";  ","")&amp;IF(AND(EDATE($D16,Milestones!$AA$99)&lt;=AsOfDate,IF($R16=0,$X16,IF(AND($T16&lt;&gt;"",EDATE($D16,Milestones!$AA$99)&gt;=$T16),$W16,IF(AND($S16&lt;&gt;"",EDATE($D16,Milestones!$AA$99)&gt;=$S16),$V16,$U16)))=Milestones!$AB$99),UPPER(TEXT(EDATE($D16,Milestones!$AA$99),"dd mmm yy"))&amp;" "&amp;Milestones!$AB$99&amp;" "&amp;Milestones!$AC$99&amp;";  ",""))</f>
        <v/>
      </c>
      <c r="M16" s="0" t="str">
        <f aca="false">IF(OR($A16="",$D16=""),"",IF(AND(EDATE($D16,Milestones!$AA$100)&lt;=AsOfDate,IF($R16=0,$X16,IF(AND($T16&lt;&gt;"",EDATE($D16,Milestones!$AA$100)&gt;=$T16),$W16,IF(AND($S16&lt;&gt;"",EDATE($D16,Milestones!$AA$100)&gt;=$S16),$V16,$U16)))=Milestones!$AB$100),UPPER(TEXT(EDATE($D16,Milestones!$AA$100),"dd mmm yy"))&amp;" "&amp;Milestones!$AB$100&amp;" "&amp;Milestones!$AC$100&amp;";  ","")&amp;IF(AND(EDATE($D16,Milestones!$AA$101)&lt;=AsOfDate,IF($R16=0,$X16,IF(AND($T16&lt;&gt;"",EDATE($D16,Milestones!$AA$101)&gt;=$T16),$W16,IF(AND($S16&lt;&gt;"",EDATE($D16,Milestones!$AA$101)&gt;=$S16),$V16,$U16)))=Milestones!$AB$101),UPPER(TEXT(EDATE($D16,Milestones!$AA$101),"dd mmm yy"))&amp;" "&amp;Milestones!$AB$101&amp;" "&amp;Milestones!$AC$101&amp;";  ","")&amp;IF(AND(EDATE($D16,Milestones!$AA$102)&lt;=AsOfDate,IF($R16=0,$X16,IF(AND($T16&lt;&gt;"",EDATE($D16,Milestones!$AA$102)&gt;=$T16),$W16,IF(AND($S16&lt;&gt;"",EDATE($D16,Milestones!$AA$102)&gt;=$S16),$V16,$U16)))=Milestones!$AB$102),UPPER(TEXT(EDATE($D16,Milestones!$AA$102),"dd mmm yy"))&amp;" "&amp;Milestones!$AB$102&amp;" "&amp;Milestones!$AC$102&amp;";  ","")&amp;IF(AND(EDATE($D16,Milestones!$AA$103)&lt;=AsOfDate,IF($R16=0,$X16,IF(AND($T16&lt;&gt;"",EDATE($D16,Milestones!$AA$103)&gt;=$T16),$W16,IF(AND($S16&lt;&gt;"",EDATE($D16,Milestones!$AA$103)&gt;=$S16),$V16,$U16)))=Milestones!$AB$103),UPPER(TEXT(EDATE($D16,Milestones!$AA$103),"dd mmm yy"))&amp;" "&amp;Milestones!$AB$103&amp;" "&amp;Milestones!$AC$103&amp;";  ","")&amp;IF(AND(EDATE($D16,Milestones!$AA$104)&lt;=AsOfDate,IF($R16=0,$X16,IF(AND($T16&lt;&gt;"",EDATE($D16,Milestones!$AA$104)&gt;=$T16),$W16,IF(AND($S16&lt;&gt;"",EDATE($D16,Milestones!$AA$104)&gt;=$S16),$V16,$U16)))=Milestones!$AB$104),UPPER(TEXT(EDATE($D16,Milestones!$AA$104),"dd mmm yy"))&amp;" "&amp;Milestones!$AB$104&amp;" "&amp;Milestones!$AC$104&amp;";  ","")&amp;IF(AND(EDATE($D16,Milestones!$AA$105)&lt;=AsOfDate,IF($R16=0,$X16,IF(AND($T16&lt;&gt;"",EDATE($D16,Milestones!$AA$105)&gt;=$T16),$W16,IF(AND($S16&lt;&gt;"",EDATE($D16,Milestones!$AA$105)&gt;=$S16),$V16,$U16)))=Milestones!$AB$105),UPPER(TEXT(EDATE($D16,Milestones!$AA$105),"dd mmm yy"))&amp;" "&amp;Milestones!$AB$105&amp;" "&amp;Milestones!$AC$105&amp;";  ","")&amp;IF(AND(EDATE($D16,Milestones!$AA$106)&lt;=AsOfDate,IF($R16=0,$X16,IF(AND($T16&lt;&gt;"",EDATE($D16,Milestones!$AA$106)&gt;=$T16),$W16,IF(AND($S16&lt;&gt;"",EDATE($D16,Milestones!$AA$106)&gt;=$S16),$V16,$U16)))=Milestones!$AB$106),UPPER(TEXT(EDATE($D16,Milestones!$AA$106),"dd mmm yy"))&amp;" "&amp;Milestones!$AB$106&amp;" "&amp;Milestones!$AC$106&amp;";  ","")&amp;IF(AND(EDATE($D16,Milestones!$AA$107)&lt;=AsOfDate,IF($R16=0,$X16,IF(AND($T16&lt;&gt;"",EDATE($D16,Milestones!$AA$107)&gt;=$T16),$W16,IF(AND($S16&lt;&gt;"",EDATE($D16,Milestones!$AA$107)&gt;=$S16),$V16,$U16)))=Milestones!$AB$107),UPPER(TEXT(EDATE($D16,Milestones!$AA$107),"dd mmm yy"))&amp;" "&amp;Milestones!$AB$107&amp;" "&amp;Milestones!$AC$107&amp;";  ","")&amp;IF(AND(EDATE($D16,Milestones!$AA$108)&lt;=AsOfDate,IF($R16=0,$X16,IF(AND($T16&lt;&gt;"",EDATE($D16,Milestones!$AA$108)&gt;=$T16),$W16,IF(AND($S16&lt;&gt;"",EDATE($D16,Milestones!$AA$108)&gt;=$S16),$V16,$U16)))=Milestones!$AB$108),UPPER(TEXT(EDATE($D16,Milestones!$AA$108),"dd mmm yy"))&amp;" "&amp;Milestones!$AB$108&amp;" "&amp;Milestones!$AC$108&amp;";  ","")&amp;IF(AND(EDATE($D16,Milestones!$AA$109)&lt;=AsOfDate,IF($R16=0,$X16,IF(AND($T16&lt;&gt;"",EDATE($D16,Milestones!$AA$109)&gt;=$T16),$W16,IF(AND($S16&lt;&gt;"",EDATE($D16,Milestones!$AA$109)&gt;=$S16),$V16,$U16)))=Milestones!$AB$109),UPPER(TEXT(EDATE($D16,Milestones!$AA$109),"dd mmm yy"))&amp;" "&amp;Milestones!$AB$109&amp;" "&amp;Milestones!$AC$109&amp;";  ","")&amp;IF(AND(EDATE($D16,Milestones!$AA$110)&lt;=AsOfDate,IF($R16=0,$X16,IF(AND($T16&lt;&gt;"",EDATE($D16,Milestones!$AA$110)&gt;=$T16),$W16,IF(AND($S16&lt;&gt;"",EDATE($D16,Milestones!$AA$110)&gt;=$S16),$V16,$U16)))=Milestones!$AB$110),UPPER(TEXT(EDATE($D16,Milestones!$AA$110),"dd mmm yy"))&amp;" "&amp;Milestones!$AB$110&amp;" "&amp;Milestones!$AC$110&amp;";  ","")&amp;IF(AND(EDATE($D16,Milestones!$AA$111)&lt;=AsOfDate,IF($R16=0,$X16,IF(AND($T16&lt;&gt;"",EDATE($D16,Milestones!$AA$111)&gt;=$T16),$W16,IF(AND($S16&lt;&gt;"",EDATE($D16,Milestones!$AA$111)&gt;=$S16),$V16,$U16)))=Milestones!$AB$111),UPPER(TEXT(EDATE($D16,Milestones!$AA$111),"dd mmm yy"))&amp;" "&amp;Milestones!$AB$111&amp;" "&amp;Milestones!$AC$111&amp;";  ","")&amp;IF(AND(EDATE($D16,Milestones!$AA$112)&lt;=AsOfDate,IF($R16=0,$X16,IF(AND($T16&lt;&gt;"",EDATE($D16,Milestones!$AA$112)&gt;=$T16),$W16,IF(AND($S16&lt;&gt;"",EDATE($D16,Milestones!$AA$112)&gt;=$S16),$V16,$U16)))=Milestones!$AB$112),UPPER(TEXT(EDATE($D16,Milestones!$AA$112),"dd mmm yy"))&amp;" "&amp;Milestones!$AB$112&amp;" "&amp;Milestones!$AC$112&amp;";  ","")&amp;IF(AND(EDATE($D16,Milestones!$AA$113)&lt;=AsOfDate,IF($R16=0,$X16,IF(AND($T16&lt;&gt;"",EDATE($D16,Milestones!$AA$113)&gt;=$T16),$W16,IF(AND($S16&lt;&gt;"",EDATE($D16,Milestones!$AA$113)&gt;=$S16),$V16,$U16)))=Milestones!$AB$113),UPPER(TEXT(EDATE($D16,Milestones!$AA$113),"dd mmm yy"))&amp;" "&amp;Milestones!$AB$113&amp;" "&amp;Milestones!$AC$113&amp;";  ","")&amp;IF(AND(EDATE($D16,Milestones!$AA$114)&lt;=AsOfDate,IF($R16=0,$X16,IF(AND($T16&lt;&gt;"",EDATE($D16,Milestones!$AA$114)&gt;=$T16),$W16,IF(AND($S16&lt;&gt;"",EDATE($D16,Milestones!$AA$114)&gt;=$S16),$V16,$U16)))=Milestones!$AB$114),UPPER(TEXT(EDATE($D16,Milestones!$AA$114),"dd mmm yy"))&amp;" "&amp;Milestones!$AB$114&amp;" "&amp;Milestones!$AC$114&amp;";  ","")&amp;IF(AND(EDATE($D16,Milestones!$AA$115)&lt;=AsOfDate,IF($R16=0,$X16,IF(AND($T16&lt;&gt;"",EDATE($D16,Milestones!$AA$115)&gt;=$T16),$W16,IF(AND($S16&lt;&gt;"",EDATE($D16,Milestones!$AA$115)&gt;=$S16),$V16,$U16)))=Milestones!$AB$115),UPPER(TEXT(EDATE($D16,Milestones!$AA$115),"dd mmm yy"))&amp;" "&amp;Milestones!$AB$115&amp;" "&amp;Milestones!$AC$115&amp;";  ","")&amp;IF(AND(EDATE($D16,Milestones!$AA$116)&lt;=AsOfDate,IF($R16=0,$X16,IF(AND($T16&lt;&gt;"",EDATE($D16,Milestones!$AA$116)&gt;=$T16),$W16,IF(AND($S16&lt;&gt;"",EDATE($D16,Milestones!$AA$116)&gt;=$S16),$V16,$U16)))=Milestones!$AB$116),UPPER(TEXT(EDATE($D16,Milestones!$AA$116),"dd mmm yy"))&amp;" "&amp;Milestones!$AB$116&amp;" "&amp;Milestones!$AC$116&amp;";  ","")&amp;IF(AND(EDATE($D16,Milestones!$AA$117)&lt;=AsOfDate,IF($R16=0,$X16,IF(AND($T16&lt;&gt;"",EDATE($D16,Milestones!$AA$117)&gt;=$T16),$W16,IF(AND($S16&lt;&gt;"",EDATE($D16,Milestones!$AA$117)&gt;=$S16),$V16,$U16)))=Milestones!$AB$117),UPPER(TEXT(EDATE($D16,Milestones!$AA$117),"dd mmm yy"))&amp;" "&amp;Milestones!$AB$117&amp;" "&amp;Milestones!$AC$117&amp;";  ","")&amp;IF(AND(EDATE($D16,Milestones!$AA$118)&lt;=AsOfDate,IF($R16=0,$X16,IF(AND($T16&lt;&gt;"",EDATE($D16,Milestones!$AA$118)&gt;=$T16),$W16,IF(AND($S16&lt;&gt;"",EDATE($D16,Milestones!$AA$118)&gt;=$S16),$V16,$U16)))=Milestones!$AB$118),UPPER(TEXT(EDATE($D16,Milestones!$AA$118),"dd mmm yy"))&amp;" "&amp;Milestones!$AB$118&amp;" "&amp;Milestones!$AC$118&amp;";  ","")&amp;IF(AND(EDATE($D16,Milestones!$AA$119)&lt;=AsOfDate,IF($R16=0,$X16,IF(AND($T16&lt;&gt;"",EDATE($D16,Milestones!$AA$119)&gt;=$T16),$W16,IF(AND($S16&lt;&gt;"",EDATE($D16,Milestones!$AA$119)&gt;=$S16),$V16,$U16)))=Milestones!$AB$119),UPPER(TEXT(EDATE($D16,Milestones!$AA$119),"dd mmm yy"))&amp;" "&amp;Milestones!$AB$119&amp;" "&amp;Milestones!$AC$119&amp;";  ",""))</f>
        <v/>
      </c>
      <c r="N16" s="0" t="str">
        <f aca="false">IF(OR($A16="",$D16=""),"",IF(AND(EDATE($D16,Milestones!$AA$120)&lt;=AsOfDate,IF($R16=0,$X16,IF(AND($T16&lt;&gt;"",EDATE($D16,Milestones!$AA$120)&gt;=$T16),$W16,IF(AND($S16&lt;&gt;"",EDATE($D16,Milestones!$AA$120)&gt;=$S16),$V16,$U16)))=Milestones!$AB$120),UPPER(TEXT(EDATE($D16,Milestones!$AA$120),"dd mmm yy"))&amp;" "&amp;Milestones!$AB$120&amp;" "&amp;Milestones!$AC$120&amp;";  ","")&amp;IF(AND(EDATE($D16,Milestones!$AA$121)&lt;=AsOfDate,IF($R16=0,$X16,IF(AND($T16&lt;&gt;"",EDATE($D16,Milestones!$AA$121)&gt;=$T16),$W16,IF(AND($S16&lt;&gt;"",EDATE($D16,Milestones!$AA$121)&gt;=$S16),$V16,$U16)))=Milestones!$AB$121),UPPER(TEXT(EDATE($D16,Milestones!$AA$121),"dd mmm yy"))&amp;" "&amp;Milestones!$AB$121&amp;" "&amp;Milestones!$AC$121&amp;";  ","")&amp;IF(AND(EDATE($D16,Milestones!$AA$122)&lt;=AsOfDate,IF($R16=0,$X16,IF(AND($T16&lt;&gt;"",EDATE($D16,Milestones!$AA$122)&gt;=$T16),$W16,IF(AND($S16&lt;&gt;"",EDATE($D16,Milestones!$AA$122)&gt;=$S16),$V16,$U16)))=Milestones!$AB$122),UPPER(TEXT(EDATE($D16,Milestones!$AA$122),"dd mmm yy"))&amp;" "&amp;Milestones!$AB$122&amp;" "&amp;Milestones!$AC$122&amp;";  ","")&amp;IF(AND(EDATE($D16,Milestones!$AA$123)&lt;=AsOfDate,IF($R16=0,$X16,IF(AND($T16&lt;&gt;"",EDATE($D16,Milestones!$AA$123)&gt;=$T16),$W16,IF(AND($S16&lt;&gt;"",EDATE($D16,Milestones!$AA$123)&gt;=$S16),$V16,$U16)))=Milestones!$AB$123),UPPER(TEXT(EDATE($D16,Milestones!$AA$123),"dd mmm yy"))&amp;" "&amp;Milestones!$AB$123&amp;" "&amp;Milestones!$AC$123&amp;";  ","")&amp;IF(AND(EDATE($D16,Milestones!$AA$124)&lt;=AsOfDate,IF($R16=0,$X16,IF(AND($T16&lt;&gt;"",EDATE($D16,Milestones!$AA$124)&gt;=$T16),$W16,IF(AND($S16&lt;&gt;"",EDATE($D16,Milestones!$AA$124)&gt;=$S16),$V16,$U16)))=Milestones!$AB$124),UPPER(TEXT(EDATE($D16,Milestones!$AA$124),"dd mmm yy"))&amp;" "&amp;Milestones!$AB$124&amp;" "&amp;Milestones!$AC$124&amp;";  ","")&amp;IF(AND(EDATE($D16,Milestones!$AA$125)&lt;=AsOfDate,IF($R16=0,$X16,IF(AND($T16&lt;&gt;"",EDATE($D16,Milestones!$AA$125)&gt;=$T16),$W16,IF(AND($S16&lt;&gt;"",EDATE($D16,Milestones!$AA$125)&gt;=$S16),$V16,$U16)))=Milestones!$AB$125),UPPER(TEXT(EDATE($D16,Milestones!$AA$125),"dd mmm yy"))&amp;" "&amp;Milestones!$AB$125&amp;" "&amp;Milestones!$AC$125&amp;";  ","")&amp;IF(AND(EDATE($D16,Milestones!$AA$126)&lt;=AsOfDate,IF($R16=0,$X16,IF(AND($T16&lt;&gt;"",EDATE($D16,Milestones!$AA$126)&gt;=$T16),$W16,IF(AND($S16&lt;&gt;"",EDATE($D16,Milestones!$AA$126)&gt;=$S16),$V16,$U16)))=Milestones!$AB$126),UPPER(TEXT(EDATE($D16,Milestones!$AA$126),"dd mmm yy"))&amp;" "&amp;Milestones!$AB$126&amp;" "&amp;Milestones!$AC$126&amp;";  ","")&amp;IF(AND(EDATE($D16,Milestones!$AA$127)&lt;=AsOfDate,IF($R16=0,$X16,IF(AND($T16&lt;&gt;"",EDATE($D16,Milestones!$AA$127)&gt;=$T16),$W16,IF(AND($S16&lt;&gt;"",EDATE($D16,Milestones!$AA$127)&gt;=$S16),$V16,$U16)))=Milestones!$AB$127),UPPER(TEXT(EDATE($D16,Milestones!$AA$127),"dd mmm yy"))&amp;" "&amp;Milestones!$AB$127&amp;" "&amp;Milestones!$AC$127&amp;";  ","")&amp;IF(AND(EDATE($D16,Milestones!$AA$128)&lt;=AsOfDate,IF($R16=0,$X16,IF(AND($T16&lt;&gt;"",EDATE($D16,Milestones!$AA$128)&gt;=$T16),$W16,IF(AND($S16&lt;&gt;"",EDATE($D16,Milestones!$AA$128)&gt;=$S16),$V16,$U16)))=Milestones!$AB$128),UPPER(TEXT(EDATE($D16,Milestones!$AA$128),"dd mmm yy"))&amp;" "&amp;Milestones!$AB$128&amp;" "&amp;Milestones!$AC$128&amp;";  ","")&amp;IF(AND(EDATE($D16,Milestones!$AA$129)&lt;=AsOfDate,IF($R16=0,$X16,IF(AND($T16&lt;&gt;"",EDATE($D16,Milestones!$AA$129)&gt;=$T16),$W16,IF(AND($S16&lt;&gt;"",EDATE($D16,Milestones!$AA$129)&gt;=$S16),$V16,$U16)))=Milestones!$AB$129),UPPER(TEXT(EDATE($D16,Milestones!$AA$129),"dd mmm yy"))&amp;" "&amp;Milestones!$AB$129&amp;" "&amp;Milestones!$AC$129&amp;";  ","")&amp;IF(AND(EDATE($D16,Milestones!$AA$130)&lt;=AsOfDate,IF($R16=0,$X16,IF(AND($T16&lt;&gt;"",EDATE($D16,Milestones!$AA$130)&gt;=$T16),$W16,IF(AND($S16&lt;&gt;"",EDATE($D16,Milestones!$AA$130)&gt;=$S16),$V16,$U16)))=Milestones!$AB$130),UPPER(TEXT(EDATE($D16,Milestones!$AA$130),"dd mmm yy"))&amp;" "&amp;Milestones!$AB$130&amp;" "&amp;Milestones!$AC$130&amp;";  ","")&amp;IF(AND(EDATE($D16,Milestones!$AA$131)&lt;=AsOfDate,IF($R16=0,$X16,IF(AND($T16&lt;&gt;"",EDATE($D16,Milestones!$AA$131)&gt;=$T16),$W16,IF(AND($S16&lt;&gt;"",EDATE($D16,Milestones!$AA$131)&gt;=$S16),$V16,$U16)))=Milestones!$AB$131),UPPER(TEXT(EDATE($D16,Milestones!$AA$131),"dd mmm yy"))&amp;" "&amp;Milestones!$AB$131&amp;" "&amp;Milestones!$AC$131&amp;";  ","")&amp;IF(AND(EDATE($D16,Milestones!$AA$132)&lt;=AsOfDate,IF($R16=0,$X16,IF(AND($T16&lt;&gt;"",EDATE($D16,Milestones!$AA$132)&gt;=$T16),$W16,IF(AND($S16&lt;&gt;"",EDATE($D16,Milestones!$AA$132)&gt;=$S16),$V16,$U16)))=Milestones!$AB$132),UPPER(TEXT(EDATE($D16,Milestones!$AA$132),"dd mmm yy"))&amp;" "&amp;Milestones!$AB$132&amp;" "&amp;Milestones!$AC$132&amp;";  ","")&amp;IF(AND(EDATE($D16,Milestones!$AA$133)&lt;=AsOfDate,IF($R16=0,$X16,IF(AND($T16&lt;&gt;"",EDATE($D16,Milestones!$AA$133)&gt;=$T16),$W16,IF(AND($S16&lt;&gt;"",EDATE($D16,Milestones!$AA$133)&gt;=$S16),$V16,$U16)))=Milestones!$AB$133),UPPER(TEXT(EDATE($D16,Milestones!$AA$133),"dd mmm yy"))&amp;" "&amp;Milestones!$AB$133&amp;" "&amp;Milestones!$AC$133&amp;";  ","")&amp;IF(AND(EDATE($D16,Milestones!$AA$134)&lt;=AsOfDate,IF($R16=0,$X16,IF(AND($T16&lt;&gt;"",EDATE($D16,Milestones!$AA$134)&gt;=$T16),$W16,IF(AND($S16&lt;&gt;"",EDATE($D16,Milestones!$AA$134)&gt;=$S16),$V16,$U16)))=Milestones!$AB$134),UPPER(TEXT(EDATE($D16,Milestones!$AA$134),"dd mmm yy"))&amp;" "&amp;Milestones!$AB$134&amp;" "&amp;Milestones!$AC$134&amp;";  ","")&amp;IF(AND(EDATE($D16,Milestones!$AA$135)&lt;=AsOfDate,IF($R16=0,$X16,IF(AND($T16&lt;&gt;"",EDATE($D16,Milestones!$AA$135)&gt;=$T16),$W16,IF(AND($S16&lt;&gt;"",EDATE($D16,Milestones!$AA$135)&gt;=$S16),$V16,$U16)))=Milestones!$AB$135),UPPER(TEXT(EDATE($D16,Milestones!$AA$135),"dd mmm yy"))&amp;" "&amp;Milestones!$AB$135&amp;" "&amp;Milestones!$AC$135&amp;";  ","")&amp;IF(AND(EDATE($D16,Milestones!$AA$136)&lt;=AsOfDate,IF($R16=0,$X16,IF(AND($T16&lt;&gt;"",EDATE($D16,Milestones!$AA$136)&gt;=$T16),$W16,IF(AND($S16&lt;&gt;"",EDATE($D16,Milestones!$AA$136)&gt;=$S16),$V16,$U16)))=Milestones!$AB$136),UPPER(TEXT(EDATE($D16,Milestones!$AA$136),"dd mmm yy"))&amp;" "&amp;Milestones!$AB$136&amp;" "&amp;Milestones!$AC$136&amp;";  ","")&amp;IF(AND(EDATE($D16,Milestones!$AA$137)&lt;=AsOfDate,IF($R16=0,$X16,IF(AND($T16&lt;&gt;"",EDATE($D16,Milestones!$AA$137)&gt;=$T16),$W16,IF(AND($S16&lt;&gt;"",EDATE($D16,Milestones!$AA$137)&gt;=$S16),$V16,$U16)))=Milestones!$AB$137),UPPER(TEXT(EDATE($D16,Milestones!$AA$137),"dd mmm yy"))&amp;" "&amp;Milestones!$AB$137&amp;" "&amp;Milestones!$AC$137&amp;";  ","")&amp;IF(AND(EDATE($D16,Milestones!$AA$138)&lt;=AsOfDate,IF($R16=0,$X16,IF(AND($T16&lt;&gt;"",EDATE($D16,Milestones!$AA$138)&gt;=$T16),$W16,IF(AND($S16&lt;&gt;"",EDATE($D16,Milestones!$AA$138)&gt;=$S16),$V16,$U16)))=Milestones!$AB$138),UPPER(TEXT(EDATE($D16,Milestones!$AA$138),"dd mmm yy"))&amp;" "&amp;Milestones!$AB$138&amp;" "&amp;Milestones!$AC$138&amp;";  ","")&amp;IF(AND(EDATE($D16,Milestones!$AA$139)&lt;=AsOfDate,IF($R16=0,$X16,IF(AND($T16&lt;&gt;"",EDATE($D16,Milestones!$AA$139)&gt;=$T16),$W16,IF(AND($S16&lt;&gt;"",EDATE($D16,Milestones!$AA$139)&gt;=$S16),$V16,$U16)))=Milestones!$AB$139),UPPER(TEXT(EDATE($D16,Milestones!$AA$139),"dd mmm yy"))&amp;" "&amp;Milestones!$AB$139&amp;" "&amp;Milestones!$AC$139&amp;";  ",""))</f>
        <v/>
      </c>
      <c r="O16" s="0" t="str">
        <f aca="false">IF(OR($A16="",$D16=""),"",IF(AND(EDATE($D16,Milestones!$AA$140)&lt;=AsOfDate,IF($R16=0,$X16,IF(AND($T16&lt;&gt;"",EDATE($D16,Milestones!$AA$140)&gt;=$T16),$W16,IF(AND($S16&lt;&gt;"",EDATE($D16,Milestones!$AA$140)&gt;=$S16),$V16,$U16)))=Milestones!$AB$140),UPPER(TEXT(EDATE($D16,Milestones!$AA$140),"dd mmm yy"))&amp;" "&amp;Milestones!$AB$140&amp;" "&amp;Milestones!$AC$140&amp;";  ","")&amp;IF(AND(EDATE($D16,Milestones!$AA$141)&lt;=AsOfDate,IF($R16=0,$X16,IF(AND($T16&lt;&gt;"",EDATE($D16,Milestones!$AA$141)&gt;=$T16),$W16,IF(AND($S16&lt;&gt;"",EDATE($D16,Milestones!$AA$141)&gt;=$S16),$V16,$U16)))=Milestones!$AB$141),UPPER(TEXT(EDATE($D16,Milestones!$AA$141),"dd mmm yy"))&amp;" "&amp;Milestones!$AB$141&amp;" "&amp;Milestones!$AC$141&amp;";  ","")&amp;IF(AND(EDATE($D16,Milestones!$AA$142)&lt;=AsOfDate,IF($R16=0,$X16,IF(AND($T16&lt;&gt;"",EDATE($D16,Milestones!$AA$142)&gt;=$T16),$W16,IF(AND($S16&lt;&gt;"",EDATE($D16,Milestones!$AA$142)&gt;=$S16),$V16,$U16)))=Milestones!$AB$142),UPPER(TEXT(EDATE($D16,Milestones!$AA$142),"dd mmm yy"))&amp;" "&amp;Milestones!$AB$142&amp;" "&amp;Milestones!$AC$142&amp;";  ","")&amp;IF(AND(EDATE($D16,Milestones!$AA$143)&lt;=AsOfDate,IF($R16=0,$X16,IF(AND($T16&lt;&gt;"",EDATE($D16,Milestones!$AA$143)&gt;=$T16),$W16,IF(AND($S16&lt;&gt;"",EDATE($D16,Milestones!$AA$143)&gt;=$S16),$V16,$U16)))=Milestones!$AB$143),UPPER(TEXT(EDATE($D16,Milestones!$AA$143),"dd mmm yy"))&amp;" "&amp;Milestones!$AB$143&amp;" "&amp;Milestones!$AC$143&amp;";  ","")&amp;IF(AND(EDATE($D16,Milestones!$AA$144)&lt;=AsOfDate,IF($R16=0,$X16,IF(AND($T16&lt;&gt;"",EDATE($D16,Milestones!$AA$144)&gt;=$T16),$W16,IF(AND($S16&lt;&gt;"",EDATE($D16,Milestones!$AA$144)&gt;=$S16),$V16,$U16)))=Milestones!$AB$144),UPPER(TEXT(EDATE($D16,Milestones!$AA$144),"dd mmm yy"))&amp;" "&amp;Milestones!$AB$144&amp;" "&amp;Milestones!$AC$144&amp;";  ","")&amp;IF(AND(EDATE($D16,Milestones!$AA$145)&lt;=AsOfDate,IF($R16=0,$X16,IF(AND($T16&lt;&gt;"",EDATE($D16,Milestones!$AA$145)&gt;=$T16),$W16,IF(AND($S16&lt;&gt;"",EDATE($D16,Milestones!$AA$145)&gt;=$S16),$V16,$U16)))=Milestones!$AB$145),UPPER(TEXT(EDATE($D16,Milestones!$AA$145),"dd mmm yy"))&amp;" "&amp;Milestones!$AB$145&amp;" "&amp;Milestones!$AC$145&amp;";  ","")&amp;IF(AND(EDATE($D16,Milestones!$AA$146)&lt;=AsOfDate,IF($R16=0,$X16,IF(AND($T16&lt;&gt;"",EDATE($D16,Milestones!$AA$146)&gt;=$T16),$W16,IF(AND($S16&lt;&gt;"",EDATE($D16,Milestones!$AA$146)&gt;=$S16),$V16,$U16)))=Milestones!$AB$146),UPPER(TEXT(EDATE($D16,Milestones!$AA$146),"dd mmm yy"))&amp;" "&amp;Milestones!$AB$146&amp;" "&amp;Milestones!$AC$146&amp;";  ","")&amp;IF(AND(EDATE($D16,Milestones!$AA$147)&lt;=AsOfDate,IF($R16=0,$X16,IF(AND($T16&lt;&gt;"",EDATE($D16,Milestones!$AA$147)&gt;=$T16),$W16,IF(AND($S16&lt;&gt;"",EDATE($D16,Milestones!$AA$147)&gt;=$S16),$V16,$U16)))=Milestones!$AB$147),UPPER(TEXT(EDATE($D16,Milestones!$AA$147),"dd mmm yy"))&amp;" "&amp;Milestones!$AB$147&amp;" "&amp;Milestones!$AC$147&amp;";  ","")&amp;IF(AND(EDATE($D16,Milestones!$AA$148)&lt;=AsOfDate,IF($R16=0,$X16,IF(AND($T16&lt;&gt;"",EDATE($D16,Milestones!$AA$148)&gt;=$T16),$W16,IF(AND($S16&lt;&gt;"",EDATE($D16,Milestones!$AA$148)&gt;=$S16),$V16,$U16)))=Milestones!$AB$148),UPPER(TEXT(EDATE($D16,Milestones!$AA$148),"dd mmm yy"))&amp;" "&amp;Milestones!$AB$148&amp;" "&amp;Milestones!$AC$148&amp;";  ","")&amp;IF(AND(EDATE($D16,Milestones!$AA$149)&lt;=AsOfDate,IF($R16=0,$X16,IF(AND($T16&lt;&gt;"",EDATE($D16,Milestones!$AA$149)&gt;=$T16),$W16,IF(AND($S16&lt;&gt;"",EDATE($D16,Milestones!$AA$149)&gt;=$S16),$V16,$U16)))=Milestones!$AB$149),UPPER(TEXT(EDATE($D16,Milestones!$AA$149),"dd mmm yy"))&amp;" "&amp;Milestones!$AB$149&amp;" "&amp;Milestones!$AC$149&amp;";  ","")&amp;IF(AND(EDATE($D16,Milestones!$AA$150)&lt;=AsOfDate,IF($R16=0,$X16,IF(AND($T16&lt;&gt;"",EDATE($D16,Milestones!$AA$150)&gt;=$T16),$W16,IF(AND($S16&lt;&gt;"",EDATE($D16,Milestones!$AA$150)&gt;=$S16),$V16,$U16)))=Milestones!$AB$150),UPPER(TEXT(EDATE($D16,Milestones!$AA$150),"dd mmm yy"))&amp;" "&amp;Milestones!$AB$150&amp;" "&amp;Milestones!$AC$150&amp;";  ","")&amp;IF(AND(EDATE($D16,Milestones!$AA$151)&lt;=AsOfDate,IF($R16=0,$X16,IF(AND($T16&lt;&gt;"",EDATE($D16,Milestones!$AA$151)&gt;=$T16),$W16,IF(AND($S16&lt;&gt;"",EDATE($D16,Milestones!$AA$151)&gt;=$S16),$V16,$U16)))=Milestones!$AB$151),UPPER(TEXT(EDATE($D16,Milestones!$AA$151),"dd mmm yy"))&amp;" "&amp;Milestones!$AB$151&amp;" "&amp;Milestones!$AC$151&amp;";  ","")&amp;IF(AND(EDATE($D16,Milestones!$AA$152)&lt;=AsOfDate,IF($R16=0,$X16,IF(AND($T16&lt;&gt;"",EDATE($D16,Milestones!$AA$152)&gt;=$T16),$W16,IF(AND($S16&lt;&gt;"",EDATE($D16,Milestones!$AA$152)&gt;=$S16),$V16,$U16)))=Milestones!$AB$152),UPPER(TEXT(EDATE($D16,Milestones!$AA$152),"dd mmm yy"))&amp;" "&amp;Milestones!$AB$152&amp;" "&amp;Milestones!$AC$152&amp;";  ","")&amp;IF(AND(EDATE($D16,Milestones!$AA$153)&lt;=AsOfDate,IF($R16=0,$X16,IF(AND($T16&lt;&gt;"",EDATE($D16,Milestones!$AA$153)&gt;=$T16),$W16,IF(AND($S16&lt;&gt;"",EDATE($D16,Milestones!$AA$153)&gt;=$S16),$V16,$U16)))=Milestones!$AB$153),UPPER(TEXT(EDATE($D16,Milestones!$AA$153),"dd mmm yy"))&amp;" "&amp;Milestones!$AB$153&amp;" "&amp;Milestones!$AC$153&amp;";  ","")&amp;IF(AND(EDATE($D16,Milestones!$AA$154)&lt;=AsOfDate,IF($R16=0,$X16,IF(AND($T16&lt;&gt;"",EDATE($D16,Milestones!$AA$154)&gt;=$T16),$W16,IF(AND($S16&lt;&gt;"",EDATE($D16,Milestones!$AA$154)&gt;=$S16),$V16,$U16)))=Milestones!$AB$154),UPPER(TEXT(EDATE($D16,Milestones!$AA$154),"dd mmm yy"))&amp;" "&amp;Milestones!$AB$154&amp;" "&amp;Milestones!$AC$154&amp;";  ","")&amp;IF(AND(EDATE($D16,Milestones!$AA$155)&lt;=AsOfDate,IF($R16=0,$X16,IF(AND($T16&lt;&gt;"",EDATE($D16,Milestones!$AA$155)&gt;=$T16),$W16,IF(AND($S16&lt;&gt;"",EDATE($D16,Milestones!$AA$155)&gt;=$S16),$V16,$U16)))=Milestones!$AB$155),UPPER(TEXT(EDATE($D16,Milestones!$AA$155),"dd mmm yy"))&amp;" "&amp;Milestones!$AB$155&amp;" "&amp;Milestones!$AC$155&amp;";  ","")&amp;IF(AND(EDATE($D16,Milestones!$AA$156)&lt;=AsOfDate,IF($R16=0,$X16,IF(AND($T16&lt;&gt;"",EDATE($D16,Milestones!$AA$156)&gt;=$T16),$W16,IF(AND($S16&lt;&gt;"",EDATE($D16,Milestones!$AA$156)&gt;=$S16),$V16,$U16)))=Milestones!$AB$156),UPPER(TEXT(EDATE($D16,Milestones!$AA$156),"dd mmm yy"))&amp;" "&amp;Milestones!$AB$156&amp;" "&amp;Milestones!$AC$156&amp;";  ","")&amp;IF(AND(EDATE($D16,Milestones!$AA$157)&lt;=AsOfDate,IF($R16=0,$X16,IF(AND($T16&lt;&gt;"",EDATE($D16,Milestones!$AA$157)&gt;=$T16),$W16,IF(AND($S16&lt;&gt;"",EDATE($D16,Milestones!$AA$157)&gt;=$S16),$V16,$U16)))=Milestones!$AB$157),UPPER(TEXT(EDATE($D16,Milestones!$AA$157),"dd mmm yy"))&amp;" "&amp;Milestones!$AB$157&amp;" "&amp;Milestones!$AC$157&amp;";  ","")&amp;IF(AND(EDATE($D16,Milestones!$AA$158)&lt;=AsOfDate,IF($R16=0,$X16,IF(AND($T16&lt;&gt;"",EDATE($D16,Milestones!$AA$158)&gt;=$T16),$W16,IF(AND($S16&lt;&gt;"",EDATE($D16,Milestones!$AA$158)&gt;=$S16),$V16,$U16)))=Milestones!$AB$158),UPPER(TEXT(EDATE($D16,Milestones!$AA$158),"dd mmm yy"))&amp;" "&amp;Milestones!$AB$158&amp;" "&amp;Milestones!$AC$158&amp;";  ","")&amp;IF(AND(EDATE($D16,Milestones!$AA$159)&lt;=AsOfDate,IF($R16=0,$X16,IF(AND($T16&lt;&gt;"",EDATE($D16,Milestones!$AA$159)&gt;=$T16),$W16,IF(AND($S16&lt;&gt;"",EDATE($D16,Milestones!$AA$159)&gt;=$S16),$V16,$U16)))=Milestones!$AB$159),UPPER(TEXT(EDATE($D16,Milestones!$AA$159),"dd mmm yy"))&amp;" "&amp;Milestones!$AB$159&amp;" "&amp;Milestones!$AC$159&amp;";  ",""))</f>
        <v/>
      </c>
      <c r="P16" s="0" t="str">
        <f aca="false">IF(OR($A16="",$D16=""),"",IF(AND(EDATE($D16,Milestones!$AA$160)&lt;=AsOfDate,IF($R16=0,$X16,IF(AND($T16&lt;&gt;"",EDATE($D16,Milestones!$AA$160)&gt;=$T16),$W16,IF(AND($S16&lt;&gt;"",EDATE($D16,Milestones!$AA$160)&gt;=$S16),$V16,$U16)))=Milestones!$AB$160),UPPER(TEXT(EDATE($D16,Milestones!$AA$160),"dd mmm yy"))&amp;" "&amp;Milestones!$AB$160&amp;" "&amp;Milestones!$AC$160&amp;";  ","")&amp;IF(AND(EDATE($D16,Milestones!$AA$161)&lt;=AsOfDate,IF($R16=0,$X16,IF(AND($T16&lt;&gt;"",EDATE($D16,Milestones!$AA$161)&gt;=$T16),$W16,IF(AND($S16&lt;&gt;"",EDATE($D16,Milestones!$AA$161)&gt;=$S16),$V16,$U16)))=Milestones!$AB$161),UPPER(TEXT(EDATE($D16,Milestones!$AA$161),"dd mmm yy"))&amp;" "&amp;Milestones!$AB$161&amp;" "&amp;Milestones!$AC$161&amp;";  ","")&amp;IF(AND(EDATE($D16,Milestones!$AA$162)&lt;=AsOfDate,IF($R16=0,$X16,IF(AND($T16&lt;&gt;"",EDATE($D16,Milestones!$AA$162)&gt;=$T16),$W16,IF(AND($S16&lt;&gt;"",EDATE($D16,Milestones!$AA$162)&gt;=$S16),$V16,$U16)))=Milestones!$AB$162),UPPER(TEXT(EDATE($D16,Milestones!$AA$162),"dd mmm yy"))&amp;" "&amp;Milestones!$AB$162&amp;" "&amp;Milestones!$AC$162&amp;";  ","")&amp;IF(AND(EDATE($D16,Milestones!$AA$163)&lt;=AsOfDate,IF($R16=0,$X16,IF(AND($T16&lt;&gt;"",EDATE($D16,Milestones!$AA$163)&gt;=$T16),$W16,IF(AND($S16&lt;&gt;"",EDATE($D16,Milestones!$AA$163)&gt;=$S16),$V16,$U16)))=Milestones!$AB$163),UPPER(TEXT(EDATE($D16,Milestones!$AA$163),"dd mmm yy"))&amp;" "&amp;Milestones!$AB$163&amp;" "&amp;Milestones!$AC$163&amp;";  ","")&amp;IF(AND(EDATE($D16,Milestones!$AA$164)&lt;=AsOfDate,IF($R16=0,$X16,IF(AND($T16&lt;&gt;"",EDATE($D16,Milestones!$AA$164)&gt;=$T16),$W16,IF(AND($S16&lt;&gt;"",EDATE($D16,Milestones!$AA$164)&gt;=$S16),$V16,$U16)))=Milestones!$AB$164),UPPER(TEXT(EDATE($D16,Milestones!$AA$164),"dd mmm yy"))&amp;" "&amp;Milestones!$AB$164&amp;" "&amp;Milestones!$AC$164&amp;";  ","")&amp;IF(AND(EDATE($D16,Milestones!$AA$165)&lt;=AsOfDate,IF($R16=0,$X16,IF(AND($T16&lt;&gt;"",EDATE($D16,Milestones!$AA$165)&gt;=$T16),$W16,IF(AND($S16&lt;&gt;"",EDATE($D16,Milestones!$AA$165)&gt;=$S16),$V16,$U16)))=Milestones!$AB$165),UPPER(TEXT(EDATE($D16,Milestones!$AA$165),"dd mmm yy"))&amp;" "&amp;Milestones!$AB$165&amp;" "&amp;Milestones!$AC$165&amp;";  ","")&amp;IF(AND(EDATE($D16,Milestones!$AA$166)&lt;=AsOfDate,IF($R16=0,$X16,IF(AND($T16&lt;&gt;"",EDATE($D16,Milestones!$AA$166)&gt;=$T16),$W16,IF(AND($S16&lt;&gt;"",EDATE($D16,Milestones!$AA$166)&gt;=$S16),$V16,$U16)))=Milestones!$AB$166),UPPER(TEXT(EDATE($D16,Milestones!$AA$166),"dd mmm yy"))&amp;" "&amp;Milestones!$AB$166&amp;" "&amp;Milestones!$AC$166&amp;";  ","")&amp;IF(AND(EDATE($D16,Milestones!$AA$167)&lt;=AsOfDate,IF($R16=0,$X16,IF(AND($T16&lt;&gt;"",EDATE($D16,Milestones!$AA$167)&gt;=$T16),$W16,IF(AND($S16&lt;&gt;"",EDATE($D16,Milestones!$AA$167)&gt;=$S16),$V16,$U16)))=Milestones!$AB$167),UPPER(TEXT(EDATE($D16,Milestones!$AA$167),"dd mmm yy"))&amp;" "&amp;Milestones!$AB$167&amp;" "&amp;Milestones!$AC$167&amp;";  ","")&amp;IF(AND(EDATE($D16,Milestones!$AA$168)&lt;=AsOfDate,IF($R16=0,$X16,IF(AND($T16&lt;&gt;"",EDATE($D16,Milestones!$AA$168)&gt;=$T16),$W16,IF(AND($S16&lt;&gt;"",EDATE($D16,Milestones!$AA$168)&gt;=$S16),$V16,$U16)))=Milestones!$AB$168),UPPER(TEXT(EDATE($D16,Milestones!$AA$168),"dd mmm yy"))&amp;" "&amp;Milestones!$AB$168&amp;" "&amp;Milestones!$AC$168&amp;";  ","")&amp;IF(AND(EDATE($D16,Milestones!$AA$169)&lt;=AsOfDate,IF($R16=0,$X16,IF(AND($T16&lt;&gt;"",EDATE($D16,Milestones!$AA$169)&gt;=$T16),$W16,IF(AND($S16&lt;&gt;"",EDATE($D16,Milestones!$AA$169)&gt;=$S16),$V16,$U16)))=Milestones!$AB$169),UPPER(TEXT(EDATE($D16,Milestones!$AA$169),"dd mmm yy"))&amp;" "&amp;Milestones!$AB$169&amp;" "&amp;Milestones!$AC$169&amp;";  ","")&amp;IF(AND(EDATE($D16,Milestones!$AA$170)&lt;=AsOfDate,IF($R16=0,$X16,IF(AND($T16&lt;&gt;"",EDATE($D16,Milestones!$AA$170)&gt;=$T16),$W16,IF(AND($S16&lt;&gt;"",EDATE($D16,Milestones!$AA$170)&gt;=$S16),$V16,$U16)))=Milestones!$AB$170),UPPER(TEXT(EDATE($D16,Milestones!$AA$170),"dd mmm yy"))&amp;" "&amp;Milestones!$AB$170&amp;" "&amp;Milestones!$AC$170&amp;";  ","")&amp;IF(AND(EDATE($D16,Milestones!$AA$171)&lt;=AsOfDate,IF($R16=0,$X16,IF(AND($T16&lt;&gt;"",EDATE($D16,Milestones!$AA$171)&gt;=$T16),$W16,IF(AND($S16&lt;&gt;"",EDATE($D16,Milestones!$AA$171)&gt;=$S16),$V16,$U16)))=Milestones!$AB$171),UPPER(TEXT(EDATE($D16,Milestones!$AA$171),"dd mmm yy"))&amp;" "&amp;Milestones!$AB$171&amp;" "&amp;Milestones!$AC$171&amp;";  ","")&amp;IF(AND(EDATE($D16,Milestones!$AA$172)&lt;=AsOfDate,IF($R16=0,$X16,IF(AND($T16&lt;&gt;"",EDATE($D16,Milestones!$AA$172)&gt;=$T16),$W16,IF(AND($S16&lt;&gt;"",EDATE($D16,Milestones!$AA$172)&gt;=$S16),$V16,$U16)))=Milestones!$AB$172),UPPER(TEXT(EDATE($D16,Milestones!$AA$172),"dd mmm yy"))&amp;" "&amp;Milestones!$AB$172&amp;" "&amp;Milestones!$AC$172&amp;";  ","")&amp;IF(AND(EDATE($D16,Milestones!$AA$173)&lt;=AsOfDate,IF($R16=0,$X16,IF(AND($T16&lt;&gt;"",EDATE($D16,Milestones!$AA$173)&gt;=$T16),$W16,IF(AND($S16&lt;&gt;"",EDATE($D16,Milestones!$AA$173)&gt;=$S16),$V16,$U16)))=Milestones!$AB$173),UPPER(TEXT(EDATE($D16,Milestones!$AA$173),"dd mmm yy"))&amp;" "&amp;Milestones!$AB$173&amp;" "&amp;Milestones!$AC$173&amp;";  ","")&amp;IF(AND(EDATE($D16,Milestones!$AA$174)&lt;=AsOfDate,IF($R16=0,$X16,IF(AND($T16&lt;&gt;"",EDATE($D16,Milestones!$AA$174)&gt;=$T16),$W16,IF(AND($S16&lt;&gt;"",EDATE($D16,Milestones!$AA$174)&gt;=$S16),$V16,$U16)))=Milestones!$AB$174),UPPER(TEXT(EDATE($D16,Milestones!$AA$174),"dd mmm yy"))&amp;" "&amp;Milestones!$AB$174&amp;" "&amp;Milestones!$AC$174&amp;";  ","")&amp;IF(AND(EDATE($D16,Milestones!$AA$175)&lt;=AsOfDate,IF($R16=0,$X16,IF(AND($T16&lt;&gt;"",EDATE($D16,Milestones!$AA$175)&gt;=$T16),$W16,IF(AND($S16&lt;&gt;"",EDATE($D16,Milestones!$AA$175)&gt;=$S16),$V16,$U16)))=Milestones!$AB$175),UPPER(TEXT(EDATE($D16,Milestones!$AA$175),"dd mmm yy"))&amp;" "&amp;Milestones!$AB$175&amp;" "&amp;Milestones!$AC$175&amp;";  ","")&amp;IF(AND(EDATE($D16,Milestones!$AA$176)&lt;=AsOfDate,IF($R16=0,$X16,IF(AND($T16&lt;&gt;"",EDATE($D16,Milestones!$AA$176)&gt;=$T16),$W16,IF(AND($S16&lt;&gt;"",EDATE($D16,Milestones!$AA$176)&gt;=$S16),$V16,$U16)))=Milestones!$AB$176),UPPER(TEXT(EDATE($D16,Milestones!$AA$176),"dd mmm yy"))&amp;" "&amp;Milestones!$AB$176&amp;" "&amp;Milestones!$AC$176&amp;";  ","")&amp;IF(AND(EDATE($D16,Milestones!$AA$177)&lt;=AsOfDate,IF($R16=0,$X16,IF(AND($T16&lt;&gt;"",EDATE($D16,Milestones!$AA$177)&gt;=$T16),$W16,IF(AND($S16&lt;&gt;"",EDATE($D16,Milestones!$AA$177)&gt;=$S16),$V16,$U16)))=Milestones!$AB$177),UPPER(TEXT(EDATE($D16,Milestones!$AA$177),"dd mmm yy"))&amp;" "&amp;Milestones!$AB$177&amp;" "&amp;Milestones!$AC$177&amp;";  ","")&amp;IF(AND(EDATE($D16,Milestones!$AA$178)&lt;=AsOfDate,IF($R16=0,$X16,IF(AND($T16&lt;&gt;"",EDATE($D16,Milestones!$AA$178)&gt;=$T16),$W16,IF(AND($S16&lt;&gt;"",EDATE($D16,Milestones!$AA$178)&gt;=$S16),$V16,$U16)))=Milestones!$AB$178),UPPER(TEXT(EDATE($D16,Milestones!$AA$178),"dd mmm yy"))&amp;" "&amp;Milestones!$AB$178&amp;" "&amp;Milestones!$AC$178&amp;";  ","")&amp;IF(AND(EDATE($D16,Milestones!$AA$179)&lt;=AsOfDate,IF($R16=0,$X16,IF(AND($T16&lt;&gt;"",EDATE($D16,Milestones!$AA$179)&gt;=$T16),$W16,IF(AND($S16&lt;&gt;"",EDATE($D16,Milestones!$AA$179)&gt;=$S16),$V16,$U16)))=Milestones!$AB$179),UPPER(TEXT(EDATE($D16,Milestones!$AA$179),"dd mmm yy"))&amp;" "&amp;Milestones!$AB$179&amp;" "&amp;Milestones!$AC$179&amp;";  ",""))</f>
        <v/>
      </c>
      <c r="Q16" s="0" t="str">
        <f aca="false">IF(OR($A16="",$D16=""),"",IF(AND(EDATE($D16,Milestones!$AA$180)&lt;=AsOfDate,IF($R16=0,$X16,IF(AND($T16&lt;&gt;"",EDATE($D16,Milestones!$AA$180)&gt;=$T16),$W16,IF(AND($S16&lt;&gt;"",EDATE($D16,Milestones!$AA$180)&gt;=$S16),$V16,$U16)))=Milestones!$AB$180),UPPER(TEXT(EDATE($D16,Milestones!$AA$180),"dd mmm yy"))&amp;" "&amp;Milestones!$AB$180&amp;" "&amp;Milestones!$AC$180&amp;";  ","")&amp;IF(AND(EDATE($D16,Milestones!$AA$181)&lt;=AsOfDate,IF($R16=0,$X16,IF(AND($T16&lt;&gt;"",EDATE($D16,Milestones!$AA$181)&gt;=$T16),$W16,IF(AND($S16&lt;&gt;"",EDATE($D16,Milestones!$AA$181)&gt;=$S16),$V16,$U16)))=Milestones!$AB$181),UPPER(TEXT(EDATE($D16,Milestones!$AA$181),"dd mmm yy"))&amp;" "&amp;Milestones!$AB$181&amp;" "&amp;Milestones!$AC$181&amp;";  ","")&amp;IF(AND(EDATE($D16,Milestones!$AA$182)&lt;=AsOfDate,IF($R16=0,$X16,IF(AND($T16&lt;&gt;"",EDATE($D16,Milestones!$AA$182)&gt;=$T16),$W16,IF(AND($S16&lt;&gt;"",EDATE($D16,Milestones!$AA$182)&gt;=$S16),$V16,$U16)))=Milestones!$AB$182),UPPER(TEXT(EDATE($D16,Milestones!$AA$182),"dd mmm yy"))&amp;" "&amp;Milestones!$AB$182&amp;" "&amp;Milestones!$AC$182&amp;";  ","")&amp;IF(AND(EDATE($D16,Milestones!$AA$183)&lt;=AsOfDate,IF($R16=0,$X16,IF(AND($T16&lt;&gt;"",EDATE($D16,Milestones!$AA$183)&gt;=$T16),$W16,IF(AND($S16&lt;&gt;"",EDATE($D16,Milestones!$AA$183)&gt;=$S16),$V16,$U16)))=Milestones!$AB$183),UPPER(TEXT(EDATE($D16,Milestones!$AA$183),"dd mmm yy"))&amp;" "&amp;Milestones!$AB$183&amp;" "&amp;Milestones!$AC$183&amp;";  ","")&amp;IF(AND(EDATE($D16,Milestones!$AA$184)&lt;=AsOfDate,IF($R16=0,$X16,IF(AND($T16&lt;&gt;"",EDATE($D16,Milestones!$AA$184)&gt;=$T16),$W16,IF(AND($S16&lt;&gt;"",EDATE($D16,Milestones!$AA$184)&gt;=$S16),$V16,$U16)))=Milestones!$AB$184),UPPER(TEXT(EDATE($D16,Milestones!$AA$184),"dd mmm yy"))&amp;" "&amp;Milestones!$AB$184&amp;" "&amp;Milestones!$AC$184&amp;";  ","")&amp;IF(AND(EDATE($D16,Milestones!$AA$185)&lt;=AsOfDate,IF($R16=0,$X16,IF(AND($T16&lt;&gt;"",EDATE($D16,Milestones!$AA$185)&gt;=$T16),$W16,IF(AND($S16&lt;&gt;"",EDATE($D16,Milestones!$AA$185)&gt;=$S16),$V16,$U16)))=Milestones!$AB$185),UPPER(TEXT(EDATE($D16,Milestones!$AA$185),"dd mmm yy"))&amp;" "&amp;Milestones!$AB$185&amp;" "&amp;Milestones!$AC$185&amp;";  ","")&amp;IF(AND(EDATE($D16,Milestones!$AA$186)&lt;=AsOfDate,IF($R16=0,$X16,IF(AND($T16&lt;&gt;"",EDATE($D16,Milestones!$AA$186)&gt;=$T16),$W16,IF(AND($S16&lt;&gt;"",EDATE($D16,Milestones!$AA$186)&gt;=$S16),$V16,$U16)))=Milestones!$AB$186),UPPER(TEXT(EDATE($D16,Milestones!$AA$186),"dd mmm yy"))&amp;" "&amp;Milestones!$AB$186&amp;" "&amp;Milestones!$AC$186&amp;";  ","")&amp;IF(AND(EDATE($D16,Milestones!$AA$187)&lt;=AsOfDate,IF($R16=0,$X16,IF(AND($T16&lt;&gt;"",EDATE($D16,Milestones!$AA$187)&gt;=$T16),$W16,IF(AND($S16&lt;&gt;"",EDATE($D16,Milestones!$AA$187)&gt;=$S16),$V16,$U16)))=Milestones!$AB$187),UPPER(TEXT(EDATE($D16,Milestones!$AA$187),"dd mmm yy"))&amp;" "&amp;Milestones!$AB$187&amp;" "&amp;Milestones!$AC$187&amp;";  ","")&amp;IF(AND(EDATE($D16,Milestones!$AA$188)&lt;=AsOfDate,IF($R16=0,$X16,IF(AND($T16&lt;&gt;"",EDATE($D16,Milestones!$AA$188)&gt;=$T16),$W16,IF(AND($S16&lt;&gt;"",EDATE($D16,Milestones!$AA$188)&gt;=$S16),$V16,$U16)))=Milestones!$AB$188),UPPER(TEXT(EDATE($D16,Milestones!$AA$188),"dd mmm yy"))&amp;" "&amp;Milestones!$AB$188&amp;" "&amp;Milestones!$AC$188&amp;";  ","")&amp;IF(AND(EDATE($D16,Milestones!$AA$189)&lt;=AsOfDate,IF($R16=0,$X16,IF(AND($T16&lt;&gt;"",EDATE($D16,Milestones!$AA$189)&gt;=$T16),$W16,IF(AND($S16&lt;&gt;"",EDATE($D16,Milestones!$AA$189)&gt;=$S16),$V16,$U16)))=Milestones!$AB$189),UPPER(TEXT(EDATE($D16,Milestones!$AA$189),"dd mmm yy"))&amp;" "&amp;Milestones!$AB$189&amp;" "&amp;Milestones!$AC$189&amp;";  ","")&amp;IF(AND(EDATE($D16,Milestones!$AA$190)&lt;=AsOfDate,IF($R16=0,$X16,IF(AND($T16&lt;&gt;"",EDATE($D16,Milestones!$AA$190)&gt;=$T16),$W16,IF(AND($S16&lt;&gt;"",EDATE($D16,Milestones!$AA$190)&gt;=$S16),$V16,$U16)))=Milestones!$AB$190),UPPER(TEXT(EDATE($D16,Milestones!$AA$190),"dd mmm yy"))&amp;" "&amp;Milestones!$AB$190&amp;" "&amp;Milestones!$AC$190&amp;";  ","")&amp;IF(AND(EDATE($D16,Milestones!$AA$191)&lt;=AsOfDate,IF($R16=0,$X16,IF(AND($T16&lt;&gt;"",EDATE($D16,Milestones!$AA$191)&gt;=$T16),$W16,IF(AND($S16&lt;&gt;"",EDATE($D16,Milestones!$AA$191)&gt;=$S16),$V16,$U16)))=Milestones!$AB$191),UPPER(TEXT(EDATE($D16,Milestones!$AA$191),"dd mmm yy"))&amp;" "&amp;Milestones!$AB$191&amp;" "&amp;Milestones!$AC$191&amp;";  ","")&amp;IF(AND(EDATE($D16,Milestones!$AA$192)&lt;=AsOfDate,IF($R16=0,$X16,IF(AND($T16&lt;&gt;"",EDATE($D16,Milestones!$AA$192)&gt;=$T16),$W16,IF(AND($S16&lt;&gt;"",EDATE($D16,Milestones!$AA$192)&gt;=$S16),$V16,$U16)))=Milestones!$AB$192),UPPER(TEXT(EDATE($D16,Milestones!$AA$192),"dd mmm yy"))&amp;" "&amp;Milestones!$AB$192&amp;" "&amp;Milestones!$AC$192&amp;";  ","")&amp;IF(AND(EDATE($D16,Milestones!$AA$193)&lt;=AsOfDate,IF($R16=0,$X16,IF(AND($T16&lt;&gt;"",EDATE($D16,Milestones!$AA$193)&gt;=$T16),$W16,IF(AND($S16&lt;&gt;"",EDATE($D16,Milestones!$AA$193)&gt;=$S16),$V16,$U16)))=Milestones!$AB$193),UPPER(TEXT(EDATE($D16,Milestones!$AA$193),"dd mmm yy"))&amp;" "&amp;Milestones!$AB$193&amp;" "&amp;Milestones!$AC$193&amp;";  ","")&amp;IF(AND(EDATE($D16,Milestones!$AA$194)&lt;=AsOfDate,IF($R16=0,$X16,IF(AND($T16&lt;&gt;"",EDATE($D16,Milestones!$AA$194)&gt;=$T16),$W16,IF(AND($S16&lt;&gt;"",EDATE($D16,Milestones!$AA$194)&gt;=$S16),$V16,$U16)))=Milestones!$AB$194),UPPER(TEXT(EDATE($D16,Milestones!$AA$194),"dd mmm yy"))&amp;" "&amp;Milestones!$AB$194&amp;" "&amp;Milestones!$AC$194&amp;";  ","")&amp;IF(AND(EDATE($D16,Milestones!$AA$195)&lt;=AsOfDate,IF($R16=0,$X16,IF(AND($T16&lt;&gt;"",EDATE($D16,Milestones!$AA$195)&gt;=$T16),$W16,IF(AND($S16&lt;&gt;"",EDATE($D16,Milestones!$AA$195)&gt;=$S16),$V16,$U16)))=Milestones!$AB$195),UPPER(TEXT(EDATE($D16,Milestones!$AA$195),"dd mmm yy"))&amp;" "&amp;Milestones!$AB$195&amp;" "&amp;Milestones!$AC$195&amp;";  ","")&amp;IF(AND(EDATE($D16,Milestones!$AA$196)&lt;=AsOfDate,IF($R16=0,$X16,IF(AND($T16&lt;&gt;"",EDATE($D16,Milestones!$AA$196)&gt;=$T16),$W16,IF(AND($S16&lt;&gt;"",EDATE($D16,Milestones!$AA$196)&gt;=$S16),$V16,$U16)))=Milestones!$AB$196),UPPER(TEXT(EDATE($D16,Milestones!$AA$196),"dd mmm yy"))&amp;" "&amp;Milestones!$AB$196&amp;" "&amp;Milestones!$AC$196&amp;";  ","")&amp;IF(AND(EDATE($D16,Milestones!$AA$197)&lt;=AsOfDate,IF($R16=0,$X16,IF(AND($T16&lt;&gt;"",EDATE($D16,Milestones!$AA$197)&gt;=$T16),$W16,IF(AND($S16&lt;&gt;"",EDATE($D16,Milestones!$AA$197)&gt;=$S16),$V16,$U16)))=Milestones!$AB$197),UPPER(TEXT(EDATE($D16,Milestones!$AA$197),"dd mmm yy"))&amp;" "&amp;Milestones!$AB$197&amp;" "&amp;Milestones!$AC$197&amp;";  ","")&amp;IF(AND(EDATE($D16,Milestones!$AA$198)&lt;=AsOfDate,IF($R16=0,$X16,IF(AND($T16&lt;&gt;"",EDATE($D16,Milestones!$AA$198)&gt;=$T16),$W16,IF(AND($S16&lt;&gt;"",EDATE($D16,Milestones!$AA$198)&gt;=$S16),$V16,$U16)))=Milestones!$AB$198),UPPER(TEXT(EDATE($D16,Milestones!$AA$198),"dd mmm yy"))&amp;" "&amp;Milestones!$AB$198&amp;" "&amp;Milestones!$AC$198&amp;";  ","")&amp;IF(AND(EDATE($D16,Milestones!$AA$199)&lt;=AsOfDate,IF($R16=0,$X16,IF(AND($T16&lt;&gt;"",EDATE($D16,Milestones!$AA$199)&gt;=$T16),$W16,IF(AND($S16&lt;&gt;"",EDATE($D16,Milestones!$AA$199)&gt;=$S16),$V16,$U16)))=Milestones!$AB$199),UPPER(TEXT(EDATE($D16,Milestones!$AA$199),"dd mmm yy"))&amp;" "&amp;Milestones!$AB$199&amp;" "&amp;Milestones!$AC$199&amp;";  ",""))</f>
        <v/>
      </c>
      <c r="R16" s="33" t="n">
        <f aca="false">IF(Staff!$A16="","",Staff!$AI16)</f>
        <v>0</v>
      </c>
      <c r="S16" s="0" t="str">
        <f aca="false">IF(Staff!$A16="","",Staff!$AK16)</f>
        <v/>
      </c>
      <c r="T16" s="0" t="str">
        <f aca="false">IF(Staff!$A16="","",Staff!$AL16)</f>
        <v/>
      </c>
      <c r="U16" s="0" t="str">
        <f aca="false">IF(Staff!$A16="","",Staff!$AP16)</f>
        <v>None</v>
      </c>
      <c r="V16" s="0" t="str">
        <f aca="false">IF(Staff!$A16="","",Staff!$AQ16)</f>
        <v/>
      </c>
      <c r="W16" s="0" t="str">
        <f aca="false">IF(Staff!$A16="","",Staff!$AR16)</f>
        <v/>
      </c>
      <c r="X16" s="0" t="str">
        <f aca="false">IF(Staff!$A16="","",Staff!$AS16)</f>
        <v>None</v>
      </c>
    </row>
    <row r="17" customFormat="false" ht="15" hidden="false" customHeight="false" outlineLevel="0" collapsed="false">
      <c r="A17" s="19" t="str">
        <f aca="false">IF(Staff!$A17="","",Staff!$A17)</f>
        <v>Chloe</v>
      </c>
      <c r="B17" s="19" t="str">
        <f aca="false">IF(Staff!$A17="","",Staff!$B17)</f>
        <v>Landayan</v>
      </c>
      <c r="C17" s="19" t="str">
        <f aca="false">IF(Staff!$A17="","",Staff!$C17)</f>
        <v>Full-Time</v>
      </c>
      <c r="D17" s="17" t="n">
        <f aca="false">IF(Staff!$A17="","",Staff!$AH17)</f>
        <v>45586</v>
      </c>
      <c r="E17" s="20" t="n">
        <f aca="false">IF(Staff!$A17="","",Staff!$O17)</f>
        <v>0</v>
      </c>
      <c r="F17" s="19" t="n">
        <f aca="false">IF(E17="","",E17*HoursPerDay)</f>
        <v>0</v>
      </c>
      <c r="G17" s="20" t="n">
        <f aca="false">IF(Staff!$A17="","",Staff!$AE17)</f>
        <v>0</v>
      </c>
      <c r="H17" s="32" t="str">
        <f aca="false">IF($A17="","",I17&amp;J17&amp;K17&amp;L17&amp;M17&amp;N17&amp;O17&amp;P17&amp;Q17)</f>
        <v/>
      </c>
      <c r="I17" s="0" t="str">
        <f aca="false">IF(OR($A17="",$D17=""),"",IF(AND(EDATE($D17,Milestones!$AA$20)&lt;=AsOfDate,IF($R17=0,$X17,IF(AND($T17&lt;&gt;"",EDATE($D17,Milestones!$AA$20)&gt;=$T17),$W17,IF(AND($S17&lt;&gt;"",EDATE($D17,Milestones!$AA$20)&gt;=$S17),$V17,$U17)))=Milestones!$AB$20),UPPER(TEXT(EDATE($D17,Milestones!$AA$20),"dd mmm yy"))&amp;" "&amp;Milestones!$AB$20&amp;" "&amp;Milestones!$AC$20&amp;";  ","")&amp;IF(AND(EDATE($D17,Milestones!$AA$21)&lt;=AsOfDate,IF($R17=0,$X17,IF(AND($T17&lt;&gt;"",EDATE($D17,Milestones!$AA$21)&gt;=$T17),$W17,IF(AND($S17&lt;&gt;"",EDATE($D17,Milestones!$AA$21)&gt;=$S17),$V17,$U17)))=Milestones!$AB$21),UPPER(TEXT(EDATE($D17,Milestones!$AA$21),"dd mmm yy"))&amp;" "&amp;Milestones!$AB$21&amp;" "&amp;Milestones!$AC$21&amp;";  ","")&amp;IF(AND(EDATE($D17,Milestones!$AA$22)&lt;=AsOfDate,IF($R17=0,$X17,IF(AND($T17&lt;&gt;"",EDATE($D17,Milestones!$AA$22)&gt;=$T17),$W17,IF(AND($S17&lt;&gt;"",EDATE($D17,Milestones!$AA$22)&gt;=$S17),$V17,$U17)))=Milestones!$AB$22),UPPER(TEXT(EDATE($D17,Milestones!$AA$22),"dd mmm yy"))&amp;" "&amp;Milestones!$AB$22&amp;" "&amp;Milestones!$AC$22&amp;";  ","")&amp;IF(AND(EDATE($D17,Milestones!$AA$23)&lt;=AsOfDate,IF($R17=0,$X17,IF(AND($T17&lt;&gt;"",EDATE($D17,Milestones!$AA$23)&gt;=$T17),$W17,IF(AND($S17&lt;&gt;"",EDATE($D17,Milestones!$AA$23)&gt;=$S17),$V17,$U17)))=Milestones!$AB$23),UPPER(TEXT(EDATE($D17,Milestones!$AA$23),"dd mmm yy"))&amp;" "&amp;Milestones!$AB$23&amp;" "&amp;Milestones!$AC$23&amp;";  ","")&amp;IF(AND(EDATE($D17,Milestones!$AA$24)&lt;=AsOfDate,IF($R17=0,$X17,IF(AND($T17&lt;&gt;"",EDATE($D17,Milestones!$AA$24)&gt;=$T17),$W17,IF(AND($S17&lt;&gt;"",EDATE($D17,Milestones!$AA$24)&gt;=$S17),$V17,$U17)))=Milestones!$AB$24),UPPER(TEXT(EDATE($D17,Milestones!$AA$24),"dd mmm yy"))&amp;" "&amp;Milestones!$AB$24&amp;" "&amp;Milestones!$AC$24&amp;";  ","")&amp;IF(AND(EDATE($D17,Milestones!$AA$25)&lt;=AsOfDate,IF($R17=0,$X17,IF(AND($T17&lt;&gt;"",EDATE($D17,Milestones!$AA$25)&gt;=$T17),$W17,IF(AND($S17&lt;&gt;"",EDATE($D17,Milestones!$AA$25)&gt;=$S17),$V17,$U17)))=Milestones!$AB$25),UPPER(TEXT(EDATE($D17,Milestones!$AA$25),"dd mmm yy"))&amp;" "&amp;Milestones!$AB$25&amp;" "&amp;Milestones!$AC$25&amp;";  ","")&amp;IF(AND(EDATE($D17,Milestones!$AA$26)&lt;=AsOfDate,IF($R17=0,$X17,IF(AND($T17&lt;&gt;"",EDATE($D17,Milestones!$AA$26)&gt;=$T17),$W17,IF(AND($S17&lt;&gt;"",EDATE($D17,Milestones!$AA$26)&gt;=$S17),$V17,$U17)))=Milestones!$AB$26),UPPER(TEXT(EDATE($D17,Milestones!$AA$26),"dd mmm yy"))&amp;" "&amp;Milestones!$AB$26&amp;" "&amp;Milestones!$AC$26&amp;";  ","")&amp;IF(AND(EDATE($D17,Milestones!$AA$27)&lt;=AsOfDate,IF($R17=0,$X17,IF(AND($T17&lt;&gt;"",EDATE($D17,Milestones!$AA$27)&gt;=$T17),$W17,IF(AND($S17&lt;&gt;"",EDATE($D17,Milestones!$AA$27)&gt;=$S17),$V17,$U17)))=Milestones!$AB$27),UPPER(TEXT(EDATE($D17,Milestones!$AA$27),"dd mmm yy"))&amp;" "&amp;Milestones!$AB$27&amp;" "&amp;Milestones!$AC$27&amp;";  ","")&amp;IF(AND(EDATE($D17,Milestones!$AA$28)&lt;=AsOfDate,IF($R17=0,$X17,IF(AND($T17&lt;&gt;"",EDATE($D17,Milestones!$AA$28)&gt;=$T17),$W17,IF(AND($S17&lt;&gt;"",EDATE($D17,Milestones!$AA$28)&gt;=$S17),$V17,$U17)))=Milestones!$AB$28),UPPER(TEXT(EDATE($D17,Milestones!$AA$28),"dd mmm yy"))&amp;" "&amp;Milestones!$AB$28&amp;" "&amp;Milestones!$AC$28&amp;";  ","")&amp;IF(AND(EDATE($D17,Milestones!$AA$29)&lt;=AsOfDate,IF($R17=0,$X17,IF(AND($T17&lt;&gt;"",EDATE($D17,Milestones!$AA$29)&gt;=$T17),$W17,IF(AND($S17&lt;&gt;"",EDATE($D17,Milestones!$AA$29)&gt;=$S17),$V17,$U17)))=Milestones!$AB$29),UPPER(TEXT(EDATE($D17,Milestones!$AA$29),"dd mmm yy"))&amp;" "&amp;Milestones!$AB$29&amp;" "&amp;Milestones!$AC$29&amp;";  ","")&amp;IF(AND(EDATE($D17,Milestones!$AA$30)&lt;=AsOfDate,IF($R17=0,$X17,IF(AND($T17&lt;&gt;"",EDATE($D17,Milestones!$AA$30)&gt;=$T17),$W17,IF(AND($S17&lt;&gt;"",EDATE($D17,Milestones!$AA$30)&gt;=$S17),$V17,$U17)))=Milestones!$AB$30),UPPER(TEXT(EDATE($D17,Milestones!$AA$30),"dd mmm yy"))&amp;" "&amp;Milestones!$AB$30&amp;" "&amp;Milestones!$AC$30&amp;";  ","")&amp;IF(AND(EDATE($D17,Milestones!$AA$31)&lt;=AsOfDate,IF($R17=0,$X17,IF(AND($T17&lt;&gt;"",EDATE($D17,Milestones!$AA$31)&gt;=$T17),$W17,IF(AND($S17&lt;&gt;"",EDATE($D17,Milestones!$AA$31)&gt;=$S17),$V17,$U17)))=Milestones!$AB$31),UPPER(TEXT(EDATE($D17,Milestones!$AA$31),"dd mmm yy"))&amp;" "&amp;Milestones!$AB$31&amp;" "&amp;Milestones!$AC$31&amp;";  ","")&amp;IF(AND(EDATE($D17,Milestones!$AA$32)&lt;=AsOfDate,IF($R17=0,$X17,IF(AND($T17&lt;&gt;"",EDATE($D17,Milestones!$AA$32)&gt;=$T17),$W17,IF(AND($S17&lt;&gt;"",EDATE($D17,Milestones!$AA$32)&gt;=$S17),$V17,$U17)))=Milestones!$AB$32),UPPER(TEXT(EDATE($D17,Milestones!$AA$32),"dd mmm yy"))&amp;" "&amp;Milestones!$AB$32&amp;" "&amp;Milestones!$AC$32&amp;";  ","")&amp;IF(AND(EDATE($D17,Milestones!$AA$33)&lt;=AsOfDate,IF($R17=0,$X17,IF(AND($T17&lt;&gt;"",EDATE($D17,Milestones!$AA$33)&gt;=$T17),$W17,IF(AND($S17&lt;&gt;"",EDATE($D17,Milestones!$AA$33)&gt;=$S17),$V17,$U17)))=Milestones!$AB$33),UPPER(TEXT(EDATE($D17,Milestones!$AA$33),"dd mmm yy"))&amp;" "&amp;Milestones!$AB$33&amp;" "&amp;Milestones!$AC$33&amp;";  ","")&amp;IF(AND(EDATE($D17,Milestones!$AA$34)&lt;=AsOfDate,IF($R17=0,$X17,IF(AND($T17&lt;&gt;"",EDATE($D17,Milestones!$AA$34)&gt;=$T17),$W17,IF(AND($S17&lt;&gt;"",EDATE($D17,Milestones!$AA$34)&gt;=$S17),$V17,$U17)))=Milestones!$AB$34),UPPER(TEXT(EDATE($D17,Milestones!$AA$34),"dd mmm yy"))&amp;" "&amp;Milestones!$AB$34&amp;" "&amp;Milestones!$AC$34&amp;";  ","")&amp;IF(AND(EDATE($D17,Milestones!$AA$35)&lt;=AsOfDate,IF($R17=0,$X17,IF(AND($T17&lt;&gt;"",EDATE($D17,Milestones!$AA$35)&gt;=$T17),$W17,IF(AND($S17&lt;&gt;"",EDATE($D17,Milestones!$AA$35)&gt;=$S17),$V17,$U17)))=Milestones!$AB$35),UPPER(TEXT(EDATE($D17,Milestones!$AA$35),"dd mmm yy"))&amp;" "&amp;Milestones!$AB$35&amp;" "&amp;Milestones!$AC$35&amp;";  ","")&amp;IF(AND(EDATE($D17,Milestones!$AA$36)&lt;=AsOfDate,IF($R17=0,$X17,IF(AND($T17&lt;&gt;"",EDATE($D17,Milestones!$AA$36)&gt;=$T17),$W17,IF(AND($S17&lt;&gt;"",EDATE($D17,Milestones!$AA$36)&gt;=$S17),$V17,$U17)))=Milestones!$AB$36),UPPER(TEXT(EDATE($D17,Milestones!$AA$36),"dd mmm yy"))&amp;" "&amp;Milestones!$AB$36&amp;" "&amp;Milestones!$AC$36&amp;";  ","")&amp;IF(AND(EDATE($D17,Milestones!$AA$37)&lt;=AsOfDate,IF($R17=0,$X17,IF(AND($T17&lt;&gt;"",EDATE($D17,Milestones!$AA$37)&gt;=$T17),$W17,IF(AND($S17&lt;&gt;"",EDATE($D17,Milestones!$AA$37)&gt;=$S17),$V17,$U17)))=Milestones!$AB$37),UPPER(TEXT(EDATE($D17,Milestones!$AA$37),"dd mmm yy"))&amp;" "&amp;Milestones!$AB$37&amp;" "&amp;Milestones!$AC$37&amp;";  ","")&amp;IF(AND(EDATE($D17,Milestones!$AA$38)&lt;=AsOfDate,IF($R17=0,$X17,IF(AND($T17&lt;&gt;"",EDATE($D17,Milestones!$AA$38)&gt;=$T17),$W17,IF(AND($S17&lt;&gt;"",EDATE($D17,Milestones!$AA$38)&gt;=$S17),$V17,$U17)))=Milestones!$AB$38),UPPER(TEXT(EDATE($D17,Milestones!$AA$38),"dd mmm yy"))&amp;" "&amp;Milestones!$AB$38&amp;" "&amp;Milestones!$AC$38&amp;";  ","")&amp;IF(AND(EDATE($D17,Milestones!$AA$39)&lt;=AsOfDate,IF($R17=0,$X17,IF(AND($T17&lt;&gt;"",EDATE($D17,Milestones!$AA$39)&gt;=$T17),$W17,IF(AND($S17&lt;&gt;"",EDATE($D17,Milestones!$AA$39)&gt;=$S17),$V17,$U17)))=Milestones!$AB$39),UPPER(TEXT(EDATE($D17,Milestones!$AA$39),"dd mmm yy"))&amp;" "&amp;Milestones!$AB$39&amp;" "&amp;Milestones!$AC$39&amp;";  ",""))</f>
        <v/>
      </c>
      <c r="J17" s="0" t="str">
        <f aca="false">IF(OR($A17="",$D17=""),"",IF(AND(EDATE($D17,Milestones!$AA$40)&lt;=AsOfDate,IF($R17=0,$X17,IF(AND($T17&lt;&gt;"",EDATE($D17,Milestones!$AA$40)&gt;=$T17),$W17,IF(AND($S17&lt;&gt;"",EDATE($D17,Milestones!$AA$40)&gt;=$S17),$V17,$U17)))=Milestones!$AB$40),UPPER(TEXT(EDATE($D17,Milestones!$AA$40),"dd mmm yy"))&amp;" "&amp;Milestones!$AB$40&amp;" "&amp;Milestones!$AC$40&amp;";  ","")&amp;IF(AND(EDATE($D17,Milestones!$AA$41)&lt;=AsOfDate,IF($R17=0,$X17,IF(AND($T17&lt;&gt;"",EDATE($D17,Milestones!$AA$41)&gt;=$T17),$W17,IF(AND($S17&lt;&gt;"",EDATE($D17,Milestones!$AA$41)&gt;=$S17),$V17,$U17)))=Milestones!$AB$41),UPPER(TEXT(EDATE($D17,Milestones!$AA$41),"dd mmm yy"))&amp;" "&amp;Milestones!$AB$41&amp;" "&amp;Milestones!$AC$41&amp;";  ","")&amp;IF(AND(EDATE($D17,Milestones!$AA$42)&lt;=AsOfDate,IF($R17=0,$X17,IF(AND($T17&lt;&gt;"",EDATE($D17,Milestones!$AA$42)&gt;=$T17),$W17,IF(AND($S17&lt;&gt;"",EDATE($D17,Milestones!$AA$42)&gt;=$S17),$V17,$U17)))=Milestones!$AB$42),UPPER(TEXT(EDATE($D17,Milestones!$AA$42),"dd mmm yy"))&amp;" "&amp;Milestones!$AB$42&amp;" "&amp;Milestones!$AC$42&amp;";  ","")&amp;IF(AND(EDATE($D17,Milestones!$AA$43)&lt;=AsOfDate,IF($R17=0,$X17,IF(AND($T17&lt;&gt;"",EDATE($D17,Milestones!$AA$43)&gt;=$T17),$W17,IF(AND($S17&lt;&gt;"",EDATE($D17,Milestones!$AA$43)&gt;=$S17),$V17,$U17)))=Milestones!$AB$43),UPPER(TEXT(EDATE($D17,Milestones!$AA$43),"dd mmm yy"))&amp;" "&amp;Milestones!$AB$43&amp;" "&amp;Milestones!$AC$43&amp;";  ","")&amp;IF(AND(EDATE($D17,Milestones!$AA$44)&lt;=AsOfDate,IF($R17=0,$X17,IF(AND($T17&lt;&gt;"",EDATE($D17,Milestones!$AA$44)&gt;=$T17),$W17,IF(AND($S17&lt;&gt;"",EDATE($D17,Milestones!$AA$44)&gt;=$S17),$V17,$U17)))=Milestones!$AB$44),UPPER(TEXT(EDATE($D17,Milestones!$AA$44),"dd mmm yy"))&amp;" "&amp;Milestones!$AB$44&amp;" "&amp;Milestones!$AC$44&amp;";  ","")&amp;IF(AND(EDATE($D17,Milestones!$AA$45)&lt;=AsOfDate,IF($R17=0,$X17,IF(AND($T17&lt;&gt;"",EDATE($D17,Milestones!$AA$45)&gt;=$T17),$W17,IF(AND($S17&lt;&gt;"",EDATE($D17,Milestones!$AA$45)&gt;=$S17),$V17,$U17)))=Milestones!$AB$45),UPPER(TEXT(EDATE($D17,Milestones!$AA$45),"dd mmm yy"))&amp;" "&amp;Milestones!$AB$45&amp;" "&amp;Milestones!$AC$45&amp;";  ","")&amp;IF(AND(EDATE($D17,Milestones!$AA$46)&lt;=AsOfDate,IF($R17=0,$X17,IF(AND($T17&lt;&gt;"",EDATE($D17,Milestones!$AA$46)&gt;=$T17),$W17,IF(AND($S17&lt;&gt;"",EDATE($D17,Milestones!$AA$46)&gt;=$S17),$V17,$U17)))=Milestones!$AB$46),UPPER(TEXT(EDATE($D17,Milestones!$AA$46),"dd mmm yy"))&amp;" "&amp;Milestones!$AB$46&amp;" "&amp;Milestones!$AC$46&amp;";  ","")&amp;IF(AND(EDATE($D17,Milestones!$AA$47)&lt;=AsOfDate,IF($R17=0,$X17,IF(AND($T17&lt;&gt;"",EDATE($D17,Milestones!$AA$47)&gt;=$T17),$W17,IF(AND($S17&lt;&gt;"",EDATE($D17,Milestones!$AA$47)&gt;=$S17),$V17,$U17)))=Milestones!$AB$47),UPPER(TEXT(EDATE($D17,Milestones!$AA$47),"dd mmm yy"))&amp;" "&amp;Milestones!$AB$47&amp;" "&amp;Milestones!$AC$47&amp;";  ","")&amp;IF(AND(EDATE($D17,Milestones!$AA$48)&lt;=AsOfDate,IF($R17=0,$X17,IF(AND($T17&lt;&gt;"",EDATE($D17,Milestones!$AA$48)&gt;=$T17),$W17,IF(AND($S17&lt;&gt;"",EDATE($D17,Milestones!$AA$48)&gt;=$S17),$V17,$U17)))=Milestones!$AB$48),UPPER(TEXT(EDATE($D17,Milestones!$AA$48),"dd mmm yy"))&amp;" "&amp;Milestones!$AB$48&amp;" "&amp;Milestones!$AC$48&amp;";  ","")&amp;IF(AND(EDATE($D17,Milestones!$AA$49)&lt;=AsOfDate,IF($R17=0,$X17,IF(AND($T17&lt;&gt;"",EDATE($D17,Milestones!$AA$49)&gt;=$T17),$W17,IF(AND($S17&lt;&gt;"",EDATE($D17,Milestones!$AA$49)&gt;=$S17),$V17,$U17)))=Milestones!$AB$49),UPPER(TEXT(EDATE($D17,Milestones!$AA$49),"dd mmm yy"))&amp;" "&amp;Milestones!$AB$49&amp;" "&amp;Milestones!$AC$49&amp;";  ","")&amp;IF(AND(EDATE($D17,Milestones!$AA$50)&lt;=AsOfDate,IF($R17=0,$X17,IF(AND($T17&lt;&gt;"",EDATE($D17,Milestones!$AA$50)&gt;=$T17),$W17,IF(AND($S17&lt;&gt;"",EDATE($D17,Milestones!$AA$50)&gt;=$S17),$V17,$U17)))=Milestones!$AB$50),UPPER(TEXT(EDATE($D17,Milestones!$AA$50),"dd mmm yy"))&amp;" "&amp;Milestones!$AB$50&amp;" "&amp;Milestones!$AC$50&amp;";  ","")&amp;IF(AND(EDATE($D17,Milestones!$AA$51)&lt;=AsOfDate,IF($R17=0,$X17,IF(AND($T17&lt;&gt;"",EDATE($D17,Milestones!$AA$51)&gt;=$T17),$W17,IF(AND($S17&lt;&gt;"",EDATE($D17,Milestones!$AA$51)&gt;=$S17),$V17,$U17)))=Milestones!$AB$51),UPPER(TEXT(EDATE($D17,Milestones!$AA$51),"dd mmm yy"))&amp;" "&amp;Milestones!$AB$51&amp;" "&amp;Milestones!$AC$51&amp;";  ","")&amp;IF(AND(EDATE($D17,Milestones!$AA$52)&lt;=AsOfDate,IF($R17=0,$X17,IF(AND($T17&lt;&gt;"",EDATE($D17,Milestones!$AA$52)&gt;=$T17),$W17,IF(AND($S17&lt;&gt;"",EDATE($D17,Milestones!$AA$52)&gt;=$S17),$V17,$U17)))=Milestones!$AB$52),UPPER(TEXT(EDATE($D17,Milestones!$AA$52),"dd mmm yy"))&amp;" "&amp;Milestones!$AB$52&amp;" "&amp;Milestones!$AC$52&amp;";  ","")&amp;IF(AND(EDATE($D17,Milestones!$AA$53)&lt;=AsOfDate,IF($R17=0,$X17,IF(AND($T17&lt;&gt;"",EDATE($D17,Milestones!$AA$53)&gt;=$T17),$W17,IF(AND($S17&lt;&gt;"",EDATE($D17,Milestones!$AA$53)&gt;=$S17),$V17,$U17)))=Milestones!$AB$53),UPPER(TEXT(EDATE($D17,Milestones!$AA$53),"dd mmm yy"))&amp;" "&amp;Milestones!$AB$53&amp;" "&amp;Milestones!$AC$53&amp;";  ","")&amp;IF(AND(EDATE($D17,Milestones!$AA$54)&lt;=AsOfDate,IF($R17=0,$X17,IF(AND($T17&lt;&gt;"",EDATE($D17,Milestones!$AA$54)&gt;=$T17),$W17,IF(AND($S17&lt;&gt;"",EDATE($D17,Milestones!$AA$54)&gt;=$S17),$V17,$U17)))=Milestones!$AB$54),UPPER(TEXT(EDATE($D17,Milestones!$AA$54),"dd mmm yy"))&amp;" "&amp;Milestones!$AB$54&amp;" "&amp;Milestones!$AC$54&amp;";  ","")&amp;IF(AND(EDATE($D17,Milestones!$AA$55)&lt;=AsOfDate,IF($R17=0,$X17,IF(AND($T17&lt;&gt;"",EDATE($D17,Milestones!$AA$55)&gt;=$T17),$W17,IF(AND($S17&lt;&gt;"",EDATE($D17,Milestones!$AA$55)&gt;=$S17),$V17,$U17)))=Milestones!$AB$55),UPPER(TEXT(EDATE($D17,Milestones!$AA$55),"dd mmm yy"))&amp;" "&amp;Milestones!$AB$55&amp;" "&amp;Milestones!$AC$55&amp;";  ","")&amp;IF(AND(EDATE($D17,Milestones!$AA$56)&lt;=AsOfDate,IF($R17=0,$X17,IF(AND($T17&lt;&gt;"",EDATE($D17,Milestones!$AA$56)&gt;=$T17),$W17,IF(AND($S17&lt;&gt;"",EDATE($D17,Milestones!$AA$56)&gt;=$S17),$V17,$U17)))=Milestones!$AB$56),UPPER(TEXT(EDATE($D17,Milestones!$AA$56),"dd mmm yy"))&amp;" "&amp;Milestones!$AB$56&amp;" "&amp;Milestones!$AC$56&amp;";  ","")&amp;IF(AND(EDATE($D17,Milestones!$AA$57)&lt;=AsOfDate,IF($R17=0,$X17,IF(AND($T17&lt;&gt;"",EDATE($D17,Milestones!$AA$57)&gt;=$T17),$W17,IF(AND($S17&lt;&gt;"",EDATE($D17,Milestones!$AA$57)&gt;=$S17),$V17,$U17)))=Milestones!$AB$57),UPPER(TEXT(EDATE($D17,Milestones!$AA$57),"dd mmm yy"))&amp;" "&amp;Milestones!$AB$57&amp;" "&amp;Milestones!$AC$57&amp;";  ","")&amp;IF(AND(EDATE($D17,Milestones!$AA$58)&lt;=AsOfDate,IF($R17=0,$X17,IF(AND($T17&lt;&gt;"",EDATE($D17,Milestones!$AA$58)&gt;=$T17),$W17,IF(AND($S17&lt;&gt;"",EDATE($D17,Milestones!$AA$58)&gt;=$S17),$V17,$U17)))=Milestones!$AB$58),UPPER(TEXT(EDATE($D17,Milestones!$AA$58),"dd mmm yy"))&amp;" "&amp;Milestones!$AB$58&amp;" "&amp;Milestones!$AC$58&amp;";  ","")&amp;IF(AND(EDATE($D17,Milestones!$AA$59)&lt;=AsOfDate,IF($R17=0,$X17,IF(AND($T17&lt;&gt;"",EDATE($D17,Milestones!$AA$59)&gt;=$T17),$W17,IF(AND($S17&lt;&gt;"",EDATE($D17,Milestones!$AA$59)&gt;=$S17),$V17,$U17)))=Milestones!$AB$59),UPPER(TEXT(EDATE($D17,Milestones!$AA$59),"dd mmm yy"))&amp;" "&amp;Milestones!$AB$59&amp;" "&amp;Milestones!$AC$59&amp;";  ",""))</f>
        <v/>
      </c>
      <c r="K17" s="0" t="str">
        <f aca="false">IF(OR($A17="",$D17=""),"",IF(AND(EDATE($D17,Milestones!$AA$60)&lt;=AsOfDate,IF($R17=0,$X17,IF(AND($T17&lt;&gt;"",EDATE($D17,Milestones!$AA$60)&gt;=$T17),$W17,IF(AND($S17&lt;&gt;"",EDATE($D17,Milestones!$AA$60)&gt;=$S17),$V17,$U17)))=Milestones!$AB$60),UPPER(TEXT(EDATE($D17,Milestones!$AA$60),"dd mmm yy"))&amp;" "&amp;Milestones!$AB$60&amp;" "&amp;Milestones!$AC$60&amp;";  ","")&amp;IF(AND(EDATE($D17,Milestones!$AA$61)&lt;=AsOfDate,IF($R17=0,$X17,IF(AND($T17&lt;&gt;"",EDATE($D17,Milestones!$AA$61)&gt;=$T17),$W17,IF(AND($S17&lt;&gt;"",EDATE($D17,Milestones!$AA$61)&gt;=$S17),$V17,$U17)))=Milestones!$AB$61),UPPER(TEXT(EDATE($D17,Milestones!$AA$61),"dd mmm yy"))&amp;" "&amp;Milestones!$AB$61&amp;" "&amp;Milestones!$AC$61&amp;";  ","")&amp;IF(AND(EDATE($D17,Milestones!$AA$62)&lt;=AsOfDate,IF($R17=0,$X17,IF(AND($T17&lt;&gt;"",EDATE($D17,Milestones!$AA$62)&gt;=$T17),$W17,IF(AND($S17&lt;&gt;"",EDATE($D17,Milestones!$AA$62)&gt;=$S17),$V17,$U17)))=Milestones!$AB$62),UPPER(TEXT(EDATE($D17,Milestones!$AA$62),"dd mmm yy"))&amp;" "&amp;Milestones!$AB$62&amp;" "&amp;Milestones!$AC$62&amp;";  ","")&amp;IF(AND(EDATE($D17,Milestones!$AA$63)&lt;=AsOfDate,IF($R17=0,$X17,IF(AND($T17&lt;&gt;"",EDATE($D17,Milestones!$AA$63)&gt;=$T17),$W17,IF(AND($S17&lt;&gt;"",EDATE($D17,Milestones!$AA$63)&gt;=$S17),$V17,$U17)))=Milestones!$AB$63),UPPER(TEXT(EDATE($D17,Milestones!$AA$63),"dd mmm yy"))&amp;" "&amp;Milestones!$AB$63&amp;" "&amp;Milestones!$AC$63&amp;";  ","")&amp;IF(AND(EDATE($D17,Milestones!$AA$64)&lt;=AsOfDate,IF($R17=0,$X17,IF(AND($T17&lt;&gt;"",EDATE($D17,Milestones!$AA$64)&gt;=$T17),$W17,IF(AND($S17&lt;&gt;"",EDATE($D17,Milestones!$AA$64)&gt;=$S17),$V17,$U17)))=Milestones!$AB$64),UPPER(TEXT(EDATE($D17,Milestones!$AA$64),"dd mmm yy"))&amp;" "&amp;Milestones!$AB$64&amp;" "&amp;Milestones!$AC$64&amp;";  ","")&amp;IF(AND(EDATE($D17,Milestones!$AA$65)&lt;=AsOfDate,IF($R17=0,$X17,IF(AND($T17&lt;&gt;"",EDATE($D17,Milestones!$AA$65)&gt;=$T17),$W17,IF(AND($S17&lt;&gt;"",EDATE($D17,Milestones!$AA$65)&gt;=$S17),$V17,$U17)))=Milestones!$AB$65),UPPER(TEXT(EDATE($D17,Milestones!$AA$65),"dd mmm yy"))&amp;" "&amp;Milestones!$AB$65&amp;" "&amp;Milestones!$AC$65&amp;";  ","")&amp;IF(AND(EDATE($D17,Milestones!$AA$66)&lt;=AsOfDate,IF($R17=0,$X17,IF(AND($T17&lt;&gt;"",EDATE($D17,Milestones!$AA$66)&gt;=$T17),$W17,IF(AND($S17&lt;&gt;"",EDATE($D17,Milestones!$AA$66)&gt;=$S17),$V17,$U17)))=Milestones!$AB$66),UPPER(TEXT(EDATE($D17,Milestones!$AA$66),"dd mmm yy"))&amp;" "&amp;Milestones!$AB$66&amp;" "&amp;Milestones!$AC$66&amp;";  ","")&amp;IF(AND(EDATE($D17,Milestones!$AA$67)&lt;=AsOfDate,IF($R17=0,$X17,IF(AND($T17&lt;&gt;"",EDATE($D17,Milestones!$AA$67)&gt;=$T17),$W17,IF(AND($S17&lt;&gt;"",EDATE($D17,Milestones!$AA$67)&gt;=$S17),$V17,$U17)))=Milestones!$AB$67),UPPER(TEXT(EDATE($D17,Milestones!$AA$67),"dd mmm yy"))&amp;" "&amp;Milestones!$AB$67&amp;" "&amp;Milestones!$AC$67&amp;";  ","")&amp;IF(AND(EDATE($D17,Milestones!$AA$68)&lt;=AsOfDate,IF($R17=0,$X17,IF(AND($T17&lt;&gt;"",EDATE($D17,Milestones!$AA$68)&gt;=$T17),$W17,IF(AND($S17&lt;&gt;"",EDATE($D17,Milestones!$AA$68)&gt;=$S17),$V17,$U17)))=Milestones!$AB$68),UPPER(TEXT(EDATE($D17,Milestones!$AA$68),"dd mmm yy"))&amp;" "&amp;Milestones!$AB$68&amp;" "&amp;Milestones!$AC$68&amp;";  ","")&amp;IF(AND(EDATE($D17,Milestones!$AA$69)&lt;=AsOfDate,IF($R17=0,$X17,IF(AND($T17&lt;&gt;"",EDATE($D17,Milestones!$AA$69)&gt;=$T17),$W17,IF(AND($S17&lt;&gt;"",EDATE($D17,Milestones!$AA$69)&gt;=$S17),$V17,$U17)))=Milestones!$AB$69),UPPER(TEXT(EDATE($D17,Milestones!$AA$69),"dd mmm yy"))&amp;" "&amp;Milestones!$AB$69&amp;" "&amp;Milestones!$AC$69&amp;";  ","")&amp;IF(AND(EDATE($D17,Milestones!$AA$70)&lt;=AsOfDate,IF($R17=0,$X17,IF(AND($T17&lt;&gt;"",EDATE($D17,Milestones!$AA$70)&gt;=$T17),$W17,IF(AND($S17&lt;&gt;"",EDATE($D17,Milestones!$AA$70)&gt;=$S17),$V17,$U17)))=Milestones!$AB$70),UPPER(TEXT(EDATE($D17,Milestones!$AA$70),"dd mmm yy"))&amp;" "&amp;Milestones!$AB$70&amp;" "&amp;Milestones!$AC$70&amp;";  ","")&amp;IF(AND(EDATE($D17,Milestones!$AA$71)&lt;=AsOfDate,IF($R17=0,$X17,IF(AND($T17&lt;&gt;"",EDATE($D17,Milestones!$AA$71)&gt;=$T17),$W17,IF(AND($S17&lt;&gt;"",EDATE($D17,Milestones!$AA$71)&gt;=$S17),$V17,$U17)))=Milestones!$AB$71),UPPER(TEXT(EDATE($D17,Milestones!$AA$71),"dd mmm yy"))&amp;" "&amp;Milestones!$AB$71&amp;" "&amp;Milestones!$AC$71&amp;";  ","")&amp;IF(AND(EDATE($D17,Milestones!$AA$72)&lt;=AsOfDate,IF($R17=0,$X17,IF(AND($T17&lt;&gt;"",EDATE($D17,Milestones!$AA$72)&gt;=$T17),$W17,IF(AND($S17&lt;&gt;"",EDATE($D17,Milestones!$AA$72)&gt;=$S17),$V17,$U17)))=Milestones!$AB$72),UPPER(TEXT(EDATE($D17,Milestones!$AA$72),"dd mmm yy"))&amp;" "&amp;Milestones!$AB$72&amp;" "&amp;Milestones!$AC$72&amp;";  ","")&amp;IF(AND(EDATE($D17,Milestones!$AA$73)&lt;=AsOfDate,IF($R17=0,$X17,IF(AND($T17&lt;&gt;"",EDATE($D17,Milestones!$AA$73)&gt;=$T17),$W17,IF(AND($S17&lt;&gt;"",EDATE($D17,Milestones!$AA$73)&gt;=$S17),$V17,$U17)))=Milestones!$AB$73),UPPER(TEXT(EDATE($D17,Milestones!$AA$73),"dd mmm yy"))&amp;" "&amp;Milestones!$AB$73&amp;" "&amp;Milestones!$AC$73&amp;";  ","")&amp;IF(AND(EDATE($D17,Milestones!$AA$74)&lt;=AsOfDate,IF($R17=0,$X17,IF(AND($T17&lt;&gt;"",EDATE($D17,Milestones!$AA$74)&gt;=$T17),$W17,IF(AND($S17&lt;&gt;"",EDATE($D17,Milestones!$AA$74)&gt;=$S17),$V17,$U17)))=Milestones!$AB$74),UPPER(TEXT(EDATE($D17,Milestones!$AA$74),"dd mmm yy"))&amp;" "&amp;Milestones!$AB$74&amp;" "&amp;Milestones!$AC$74&amp;";  ","")&amp;IF(AND(EDATE($D17,Milestones!$AA$75)&lt;=AsOfDate,IF($R17=0,$X17,IF(AND($T17&lt;&gt;"",EDATE($D17,Milestones!$AA$75)&gt;=$T17),$W17,IF(AND($S17&lt;&gt;"",EDATE($D17,Milestones!$AA$75)&gt;=$S17),$V17,$U17)))=Milestones!$AB$75),UPPER(TEXT(EDATE($D17,Milestones!$AA$75),"dd mmm yy"))&amp;" "&amp;Milestones!$AB$75&amp;" "&amp;Milestones!$AC$75&amp;";  ","")&amp;IF(AND(EDATE($D17,Milestones!$AA$76)&lt;=AsOfDate,IF($R17=0,$X17,IF(AND($T17&lt;&gt;"",EDATE($D17,Milestones!$AA$76)&gt;=$T17),$W17,IF(AND($S17&lt;&gt;"",EDATE($D17,Milestones!$AA$76)&gt;=$S17),$V17,$U17)))=Milestones!$AB$76),UPPER(TEXT(EDATE($D17,Milestones!$AA$76),"dd mmm yy"))&amp;" "&amp;Milestones!$AB$76&amp;" "&amp;Milestones!$AC$76&amp;";  ","")&amp;IF(AND(EDATE($D17,Milestones!$AA$77)&lt;=AsOfDate,IF($R17=0,$X17,IF(AND($T17&lt;&gt;"",EDATE($D17,Milestones!$AA$77)&gt;=$T17),$W17,IF(AND($S17&lt;&gt;"",EDATE($D17,Milestones!$AA$77)&gt;=$S17),$V17,$U17)))=Milestones!$AB$77),UPPER(TEXT(EDATE($D17,Milestones!$AA$77),"dd mmm yy"))&amp;" "&amp;Milestones!$AB$77&amp;" "&amp;Milestones!$AC$77&amp;";  ","")&amp;IF(AND(EDATE($D17,Milestones!$AA$78)&lt;=AsOfDate,IF($R17=0,$X17,IF(AND($T17&lt;&gt;"",EDATE($D17,Milestones!$AA$78)&gt;=$T17),$W17,IF(AND($S17&lt;&gt;"",EDATE($D17,Milestones!$AA$78)&gt;=$S17),$V17,$U17)))=Milestones!$AB$78),UPPER(TEXT(EDATE($D17,Milestones!$AA$78),"dd mmm yy"))&amp;" "&amp;Milestones!$AB$78&amp;" "&amp;Milestones!$AC$78&amp;";  ","")&amp;IF(AND(EDATE($D17,Milestones!$AA$79)&lt;=AsOfDate,IF($R17=0,$X17,IF(AND($T17&lt;&gt;"",EDATE($D17,Milestones!$AA$79)&gt;=$T17),$W17,IF(AND($S17&lt;&gt;"",EDATE($D17,Milestones!$AA$79)&gt;=$S17),$V17,$U17)))=Milestones!$AB$79),UPPER(TEXT(EDATE($D17,Milestones!$AA$79),"dd mmm yy"))&amp;" "&amp;Milestones!$AB$79&amp;" "&amp;Milestones!$AC$79&amp;";  ",""))</f>
        <v/>
      </c>
      <c r="L17" s="0" t="str">
        <f aca="false">IF(OR($A17="",$D17=""),"",IF(AND(EDATE($D17,Milestones!$AA$80)&lt;=AsOfDate,IF($R17=0,$X17,IF(AND($T17&lt;&gt;"",EDATE($D17,Milestones!$AA$80)&gt;=$T17),$W17,IF(AND($S17&lt;&gt;"",EDATE($D17,Milestones!$AA$80)&gt;=$S17),$V17,$U17)))=Milestones!$AB$80),UPPER(TEXT(EDATE($D17,Milestones!$AA$80),"dd mmm yy"))&amp;" "&amp;Milestones!$AB$80&amp;" "&amp;Milestones!$AC$80&amp;";  ","")&amp;IF(AND(EDATE($D17,Milestones!$AA$81)&lt;=AsOfDate,IF($R17=0,$X17,IF(AND($T17&lt;&gt;"",EDATE($D17,Milestones!$AA$81)&gt;=$T17),$W17,IF(AND($S17&lt;&gt;"",EDATE($D17,Milestones!$AA$81)&gt;=$S17),$V17,$U17)))=Milestones!$AB$81),UPPER(TEXT(EDATE($D17,Milestones!$AA$81),"dd mmm yy"))&amp;" "&amp;Milestones!$AB$81&amp;" "&amp;Milestones!$AC$81&amp;";  ","")&amp;IF(AND(EDATE($D17,Milestones!$AA$82)&lt;=AsOfDate,IF($R17=0,$X17,IF(AND($T17&lt;&gt;"",EDATE($D17,Milestones!$AA$82)&gt;=$T17),$W17,IF(AND($S17&lt;&gt;"",EDATE($D17,Milestones!$AA$82)&gt;=$S17),$V17,$U17)))=Milestones!$AB$82),UPPER(TEXT(EDATE($D17,Milestones!$AA$82),"dd mmm yy"))&amp;" "&amp;Milestones!$AB$82&amp;" "&amp;Milestones!$AC$82&amp;";  ","")&amp;IF(AND(EDATE($D17,Milestones!$AA$83)&lt;=AsOfDate,IF($R17=0,$X17,IF(AND($T17&lt;&gt;"",EDATE($D17,Milestones!$AA$83)&gt;=$T17),$W17,IF(AND($S17&lt;&gt;"",EDATE($D17,Milestones!$AA$83)&gt;=$S17),$V17,$U17)))=Milestones!$AB$83),UPPER(TEXT(EDATE($D17,Milestones!$AA$83),"dd mmm yy"))&amp;" "&amp;Milestones!$AB$83&amp;" "&amp;Milestones!$AC$83&amp;";  ","")&amp;IF(AND(EDATE($D17,Milestones!$AA$84)&lt;=AsOfDate,IF($R17=0,$X17,IF(AND($T17&lt;&gt;"",EDATE($D17,Milestones!$AA$84)&gt;=$T17),$W17,IF(AND($S17&lt;&gt;"",EDATE($D17,Milestones!$AA$84)&gt;=$S17),$V17,$U17)))=Milestones!$AB$84),UPPER(TEXT(EDATE($D17,Milestones!$AA$84),"dd mmm yy"))&amp;" "&amp;Milestones!$AB$84&amp;" "&amp;Milestones!$AC$84&amp;";  ","")&amp;IF(AND(EDATE($D17,Milestones!$AA$85)&lt;=AsOfDate,IF($R17=0,$X17,IF(AND($T17&lt;&gt;"",EDATE($D17,Milestones!$AA$85)&gt;=$T17),$W17,IF(AND($S17&lt;&gt;"",EDATE($D17,Milestones!$AA$85)&gt;=$S17),$V17,$U17)))=Milestones!$AB$85),UPPER(TEXT(EDATE($D17,Milestones!$AA$85),"dd mmm yy"))&amp;" "&amp;Milestones!$AB$85&amp;" "&amp;Milestones!$AC$85&amp;";  ","")&amp;IF(AND(EDATE($D17,Milestones!$AA$86)&lt;=AsOfDate,IF($R17=0,$X17,IF(AND($T17&lt;&gt;"",EDATE($D17,Milestones!$AA$86)&gt;=$T17),$W17,IF(AND($S17&lt;&gt;"",EDATE($D17,Milestones!$AA$86)&gt;=$S17),$V17,$U17)))=Milestones!$AB$86),UPPER(TEXT(EDATE($D17,Milestones!$AA$86),"dd mmm yy"))&amp;" "&amp;Milestones!$AB$86&amp;" "&amp;Milestones!$AC$86&amp;";  ","")&amp;IF(AND(EDATE($D17,Milestones!$AA$87)&lt;=AsOfDate,IF($R17=0,$X17,IF(AND($T17&lt;&gt;"",EDATE($D17,Milestones!$AA$87)&gt;=$T17),$W17,IF(AND($S17&lt;&gt;"",EDATE($D17,Milestones!$AA$87)&gt;=$S17),$V17,$U17)))=Milestones!$AB$87),UPPER(TEXT(EDATE($D17,Milestones!$AA$87),"dd mmm yy"))&amp;" "&amp;Milestones!$AB$87&amp;" "&amp;Milestones!$AC$87&amp;";  ","")&amp;IF(AND(EDATE($D17,Milestones!$AA$88)&lt;=AsOfDate,IF($R17=0,$X17,IF(AND($T17&lt;&gt;"",EDATE($D17,Milestones!$AA$88)&gt;=$T17),$W17,IF(AND($S17&lt;&gt;"",EDATE($D17,Milestones!$AA$88)&gt;=$S17),$V17,$U17)))=Milestones!$AB$88),UPPER(TEXT(EDATE($D17,Milestones!$AA$88),"dd mmm yy"))&amp;" "&amp;Milestones!$AB$88&amp;" "&amp;Milestones!$AC$88&amp;";  ","")&amp;IF(AND(EDATE($D17,Milestones!$AA$89)&lt;=AsOfDate,IF($R17=0,$X17,IF(AND($T17&lt;&gt;"",EDATE($D17,Milestones!$AA$89)&gt;=$T17),$W17,IF(AND($S17&lt;&gt;"",EDATE($D17,Milestones!$AA$89)&gt;=$S17),$V17,$U17)))=Milestones!$AB$89),UPPER(TEXT(EDATE($D17,Milestones!$AA$89),"dd mmm yy"))&amp;" "&amp;Milestones!$AB$89&amp;" "&amp;Milestones!$AC$89&amp;";  ","")&amp;IF(AND(EDATE($D17,Milestones!$AA$90)&lt;=AsOfDate,IF($R17=0,$X17,IF(AND($T17&lt;&gt;"",EDATE($D17,Milestones!$AA$90)&gt;=$T17),$W17,IF(AND($S17&lt;&gt;"",EDATE($D17,Milestones!$AA$90)&gt;=$S17),$V17,$U17)))=Milestones!$AB$90),UPPER(TEXT(EDATE($D17,Milestones!$AA$90),"dd mmm yy"))&amp;" "&amp;Milestones!$AB$90&amp;" "&amp;Milestones!$AC$90&amp;";  ","")&amp;IF(AND(EDATE($D17,Milestones!$AA$91)&lt;=AsOfDate,IF($R17=0,$X17,IF(AND($T17&lt;&gt;"",EDATE($D17,Milestones!$AA$91)&gt;=$T17),$W17,IF(AND($S17&lt;&gt;"",EDATE($D17,Milestones!$AA$91)&gt;=$S17),$V17,$U17)))=Milestones!$AB$91),UPPER(TEXT(EDATE($D17,Milestones!$AA$91),"dd mmm yy"))&amp;" "&amp;Milestones!$AB$91&amp;" "&amp;Milestones!$AC$91&amp;";  ","")&amp;IF(AND(EDATE($D17,Milestones!$AA$92)&lt;=AsOfDate,IF($R17=0,$X17,IF(AND($T17&lt;&gt;"",EDATE($D17,Milestones!$AA$92)&gt;=$T17),$W17,IF(AND($S17&lt;&gt;"",EDATE($D17,Milestones!$AA$92)&gt;=$S17),$V17,$U17)))=Milestones!$AB$92),UPPER(TEXT(EDATE($D17,Milestones!$AA$92),"dd mmm yy"))&amp;" "&amp;Milestones!$AB$92&amp;" "&amp;Milestones!$AC$92&amp;";  ","")&amp;IF(AND(EDATE($D17,Milestones!$AA$93)&lt;=AsOfDate,IF($R17=0,$X17,IF(AND($T17&lt;&gt;"",EDATE($D17,Milestones!$AA$93)&gt;=$T17),$W17,IF(AND($S17&lt;&gt;"",EDATE($D17,Milestones!$AA$93)&gt;=$S17),$V17,$U17)))=Milestones!$AB$93),UPPER(TEXT(EDATE($D17,Milestones!$AA$93),"dd mmm yy"))&amp;" "&amp;Milestones!$AB$93&amp;" "&amp;Milestones!$AC$93&amp;";  ","")&amp;IF(AND(EDATE($D17,Milestones!$AA$94)&lt;=AsOfDate,IF($R17=0,$X17,IF(AND($T17&lt;&gt;"",EDATE($D17,Milestones!$AA$94)&gt;=$T17),$W17,IF(AND($S17&lt;&gt;"",EDATE($D17,Milestones!$AA$94)&gt;=$S17),$V17,$U17)))=Milestones!$AB$94),UPPER(TEXT(EDATE($D17,Milestones!$AA$94),"dd mmm yy"))&amp;" "&amp;Milestones!$AB$94&amp;" "&amp;Milestones!$AC$94&amp;";  ","")&amp;IF(AND(EDATE($D17,Milestones!$AA$95)&lt;=AsOfDate,IF($R17=0,$X17,IF(AND($T17&lt;&gt;"",EDATE($D17,Milestones!$AA$95)&gt;=$T17),$W17,IF(AND($S17&lt;&gt;"",EDATE($D17,Milestones!$AA$95)&gt;=$S17),$V17,$U17)))=Milestones!$AB$95),UPPER(TEXT(EDATE($D17,Milestones!$AA$95),"dd mmm yy"))&amp;" "&amp;Milestones!$AB$95&amp;" "&amp;Milestones!$AC$95&amp;";  ","")&amp;IF(AND(EDATE($D17,Milestones!$AA$96)&lt;=AsOfDate,IF($R17=0,$X17,IF(AND($T17&lt;&gt;"",EDATE($D17,Milestones!$AA$96)&gt;=$T17),$W17,IF(AND($S17&lt;&gt;"",EDATE($D17,Milestones!$AA$96)&gt;=$S17),$V17,$U17)))=Milestones!$AB$96),UPPER(TEXT(EDATE($D17,Milestones!$AA$96),"dd mmm yy"))&amp;" "&amp;Milestones!$AB$96&amp;" "&amp;Milestones!$AC$96&amp;";  ","")&amp;IF(AND(EDATE($D17,Milestones!$AA$97)&lt;=AsOfDate,IF($R17=0,$X17,IF(AND($T17&lt;&gt;"",EDATE($D17,Milestones!$AA$97)&gt;=$T17),$W17,IF(AND($S17&lt;&gt;"",EDATE($D17,Milestones!$AA$97)&gt;=$S17),$V17,$U17)))=Milestones!$AB$97),UPPER(TEXT(EDATE($D17,Milestones!$AA$97),"dd mmm yy"))&amp;" "&amp;Milestones!$AB$97&amp;" "&amp;Milestones!$AC$97&amp;";  ","")&amp;IF(AND(EDATE($D17,Milestones!$AA$98)&lt;=AsOfDate,IF($R17=0,$X17,IF(AND($T17&lt;&gt;"",EDATE($D17,Milestones!$AA$98)&gt;=$T17),$W17,IF(AND($S17&lt;&gt;"",EDATE($D17,Milestones!$AA$98)&gt;=$S17),$V17,$U17)))=Milestones!$AB$98),UPPER(TEXT(EDATE($D17,Milestones!$AA$98),"dd mmm yy"))&amp;" "&amp;Milestones!$AB$98&amp;" "&amp;Milestones!$AC$98&amp;";  ","")&amp;IF(AND(EDATE($D17,Milestones!$AA$99)&lt;=AsOfDate,IF($R17=0,$X17,IF(AND($T17&lt;&gt;"",EDATE($D17,Milestones!$AA$99)&gt;=$T17),$W17,IF(AND($S17&lt;&gt;"",EDATE($D17,Milestones!$AA$99)&gt;=$S17),$V17,$U17)))=Milestones!$AB$99),UPPER(TEXT(EDATE($D17,Milestones!$AA$99),"dd mmm yy"))&amp;" "&amp;Milestones!$AB$99&amp;" "&amp;Milestones!$AC$99&amp;";  ",""))</f>
        <v/>
      </c>
      <c r="M17" s="0" t="str">
        <f aca="false">IF(OR($A17="",$D17=""),"",IF(AND(EDATE($D17,Milestones!$AA$100)&lt;=AsOfDate,IF($R17=0,$X17,IF(AND($T17&lt;&gt;"",EDATE($D17,Milestones!$AA$100)&gt;=$T17),$W17,IF(AND($S17&lt;&gt;"",EDATE($D17,Milestones!$AA$100)&gt;=$S17),$V17,$U17)))=Milestones!$AB$100),UPPER(TEXT(EDATE($D17,Milestones!$AA$100),"dd mmm yy"))&amp;" "&amp;Milestones!$AB$100&amp;" "&amp;Milestones!$AC$100&amp;";  ","")&amp;IF(AND(EDATE($D17,Milestones!$AA$101)&lt;=AsOfDate,IF($R17=0,$X17,IF(AND($T17&lt;&gt;"",EDATE($D17,Milestones!$AA$101)&gt;=$T17),$W17,IF(AND($S17&lt;&gt;"",EDATE($D17,Milestones!$AA$101)&gt;=$S17),$V17,$U17)))=Milestones!$AB$101),UPPER(TEXT(EDATE($D17,Milestones!$AA$101),"dd mmm yy"))&amp;" "&amp;Milestones!$AB$101&amp;" "&amp;Milestones!$AC$101&amp;";  ","")&amp;IF(AND(EDATE($D17,Milestones!$AA$102)&lt;=AsOfDate,IF($R17=0,$X17,IF(AND($T17&lt;&gt;"",EDATE($D17,Milestones!$AA$102)&gt;=$T17),$W17,IF(AND($S17&lt;&gt;"",EDATE($D17,Milestones!$AA$102)&gt;=$S17),$V17,$U17)))=Milestones!$AB$102),UPPER(TEXT(EDATE($D17,Milestones!$AA$102),"dd mmm yy"))&amp;" "&amp;Milestones!$AB$102&amp;" "&amp;Milestones!$AC$102&amp;";  ","")&amp;IF(AND(EDATE($D17,Milestones!$AA$103)&lt;=AsOfDate,IF($R17=0,$X17,IF(AND($T17&lt;&gt;"",EDATE($D17,Milestones!$AA$103)&gt;=$T17),$W17,IF(AND($S17&lt;&gt;"",EDATE($D17,Milestones!$AA$103)&gt;=$S17),$V17,$U17)))=Milestones!$AB$103),UPPER(TEXT(EDATE($D17,Milestones!$AA$103),"dd mmm yy"))&amp;" "&amp;Milestones!$AB$103&amp;" "&amp;Milestones!$AC$103&amp;";  ","")&amp;IF(AND(EDATE($D17,Milestones!$AA$104)&lt;=AsOfDate,IF($R17=0,$X17,IF(AND($T17&lt;&gt;"",EDATE($D17,Milestones!$AA$104)&gt;=$T17),$W17,IF(AND($S17&lt;&gt;"",EDATE($D17,Milestones!$AA$104)&gt;=$S17),$V17,$U17)))=Milestones!$AB$104),UPPER(TEXT(EDATE($D17,Milestones!$AA$104),"dd mmm yy"))&amp;" "&amp;Milestones!$AB$104&amp;" "&amp;Milestones!$AC$104&amp;";  ","")&amp;IF(AND(EDATE($D17,Milestones!$AA$105)&lt;=AsOfDate,IF($R17=0,$X17,IF(AND($T17&lt;&gt;"",EDATE($D17,Milestones!$AA$105)&gt;=$T17),$W17,IF(AND($S17&lt;&gt;"",EDATE($D17,Milestones!$AA$105)&gt;=$S17),$V17,$U17)))=Milestones!$AB$105),UPPER(TEXT(EDATE($D17,Milestones!$AA$105),"dd mmm yy"))&amp;" "&amp;Milestones!$AB$105&amp;" "&amp;Milestones!$AC$105&amp;";  ","")&amp;IF(AND(EDATE($D17,Milestones!$AA$106)&lt;=AsOfDate,IF($R17=0,$X17,IF(AND($T17&lt;&gt;"",EDATE($D17,Milestones!$AA$106)&gt;=$T17),$W17,IF(AND($S17&lt;&gt;"",EDATE($D17,Milestones!$AA$106)&gt;=$S17),$V17,$U17)))=Milestones!$AB$106),UPPER(TEXT(EDATE($D17,Milestones!$AA$106),"dd mmm yy"))&amp;" "&amp;Milestones!$AB$106&amp;" "&amp;Milestones!$AC$106&amp;";  ","")&amp;IF(AND(EDATE($D17,Milestones!$AA$107)&lt;=AsOfDate,IF($R17=0,$X17,IF(AND($T17&lt;&gt;"",EDATE($D17,Milestones!$AA$107)&gt;=$T17),$W17,IF(AND($S17&lt;&gt;"",EDATE($D17,Milestones!$AA$107)&gt;=$S17),$V17,$U17)))=Milestones!$AB$107),UPPER(TEXT(EDATE($D17,Milestones!$AA$107),"dd mmm yy"))&amp;" "&amp;Milestones!$AB$107&amp;" "&amp;Milestones!$AC$107&amp;";  ","")&amp;IF(AND(EDATE($D17,Milestones!$AA$108)&lt;=AsOfDate,IF($R17=0,$X17,IF(AND($T17&lt;&gt;"",EDATE($D17,Milestones!$AA$108)&gt;=$T17),$W17,IF(AND($S17&lt;&gt;"",EDATE($D17,Milestones!$AA$108)&gt;=$S17),$V17,$U17)))=Milestones!$AB$108),UPPER(TEXT(EDATE($D17,Milestones!$AA$108),"dd mmm yy"))&amp;" "&amp;Milestones!$AB$108&amp;" "&amp;Milestones!$AC$108&amp;";  ","")&amp;IF(AND(EDATE($D17,Milestones!$AA$109)&lt;=AsOfDate,IF($R17=0,$X17,IF(AND($T17&lt;&gt;"",EDATE($D17,Milestones!$AA$109)&gt;=$T17),$W17,IF(AND($S17&lt;&gt;"",EDATE($D17,Milestones!$AA$109)&gt;=$S17),$V17,$U17)))=Milestones!$AB$109),UPPER(TEXT(EDATE($D17,Milestones!$AA$109),"dd mmm yy"))&amp;" "&amp;Milestones!$AB$109&amp;" "&amp;Milestones!$AC$109&amp;";  ","")&amp;IF(AND(EDATE($D17,Milestones!$AA$110)&lt;=AsOfDate,IF($R17=0,$X17,IF(AND($T17&lt;&gt;"",EDATE($D17,Milestones!$AA$110)&gt;=$T17),$W17,IF(AND($S17&lt;&gt;"",EDATE($D17,Milestones!$AA$110)&gt;=$S17),$V17,$U17)))=Milestones!$AB$110),UPPER(TEXT(EDATE($D17,Milestones!$AA$110),"dd mmm yy"))&amp;" "&amp;Milestones!$AB$110&amp;" "&amp;Milestones!$AC$110&amp;";  ","")&amp;IF(AND(EDATE($D17,Milestones!$AA$111)&lt;=AsOfDate,IF($R17=0,$X17,IF(AND($T17&lt;&gt;"",EDATE($D17,Milestones!$AA$111)&gt;=$T17),$W17,IF(AND($S17&lt;&gt;"",EDATE($D17,Milestones!$AA$111)&gt;=$S17),$V17,$U17)))=Milestones!$AB$111),UPPER(TEXT(EDATE($D17,Milestones!$AA$111),"dd mmm yy"))&amp;" "&amp;Milestones!$AB$111&amp;" "&amp;Milestones!$AC$111&amp;";  ","")&amp;IF(AND(EDATE($D17,Milestones!$AA$112)&lt;=AsOfDate,IF($R17=0,$X17,IF(AND($T17&lt;&gt;"",EDATE($D17,Milestones!$AA$112)&gt;=$T17),$W17,IF(AND($S17&lt;&gt;"",EDATE($D17,Milestones!$AA$112)&gt;=$S17),$V17,$U17)))=Milestones!$AB$112),UPPER(TEXT(EDATE($D17,Milestones!$AA$112),"dd mmm yy"))&amp;" "&amp;Milestones!$AB$112&amp;" "&amp;Milestones!$AC$112&amp;";  ","")&amp;IF(AND(EDATE($D17,Milestones!$AA$113)&lt;=AsOfDate,IF($R17=0,$X17,IF(AND($T17&lt;&gt;"",EDATE($D17,Milestones!$AA$113)&gt;=$T17),$W17,IF(AND($S17&lt;&gt;"",EDATE($D17,Milestones!$AA$113)&gt;=$S17),$V17,$U17)))=Milestones!$AB$113),UPPER(TEXT(EDATE($D17,Milestones!$AA$113),"dd mmm yy"))&amp;" "&amp;Milestones!$AB$113&amp;" "&amp;Milestones!$AC$113&amp;";  ","")&amp;IF(AND(EDATE($D17,Milestones!$AA$114)&lt;=AsOfDate,IF($R17=0,$X17,IF(AND($T17&lt;&gt;"",EDATE($D17,Milestones!$AA$114)&gt;=$T17),$W17,IF(AND($S17&lt;&gt;"",EDATE($D17,Milestones!$AA$114)&gt;=$S17),$V17,$U17)))=Milestones!$AB$114),UPPER(TEXT(EDATE($D17,Milestones!$AA$114),"dd mmm yy"))&amp;" "&amp;Milestones!$AB$114&amp;" "&amp;Milestones!$AC$114&amp;";  ","")&amp;IF(AND(EDATE($D17,Milestones!$AA$115)&lt;=AsOfDate,IF($R17=0,$X17,IF(AND($T17&lt;&gt;"",EDATE($D17,Milestones!$AA$115)&gt;=$T17),$W17,IF(AND($S17&lt;&gt;"",EDATE($D17,Milestones!$AA$115)&gt;=$S17),$V17,$U17)))=Milestones!$AB$115),UPPER(TEXT(EDATE($D17,Milestones!$AA$115),"dd mmm yy"))&amp;" "&amp;Milestones!$AB$115&amp;" "&amp;Milestones!$AC$115&amp;";  ","")&amp;IF(AND(EDATE($D17,Milestones!$AA$116)&lt;=AsOfDate,IF($R17=0,$X17,IF(AND($T17&lt;&gt;"",EDATE($D17,Milestones!$AA$116)&gt;=$T17),$W17,IF(AND($S17&lt;&gt;"",EDATE($D17,Milestones!$AA$116)&gt;=$S17),$V17,$U17)))=Milestones!$AB$116),UPPER(TEXT(EDATE($D17,Milestones!$AA$116),"dd mmm yy"))&amp;" "&amp;Milestones!$AB$116&amp;" "&amp;Milestones!$AC$116&amp;";  ","")&amp;IF(AND(EDATE($D17,Milestones!$AA$117)&lt;=AsOfDate,IF($R17=0,$X17,IF(AND($T17&lt;&gt;"",EDATE($D17,Milestones!$AA$117)&gt;=$T17),$W17,IF(AND($S17&lt;&gt;"",EDATE($D17,Milestones!$AA$117)&gt;=$S17),$V17,$U17)))=Milestones!$AB$117),UPPER(TEXT(EDATE($D17,Milestones!$AA$117),"dd mmm yy"))&amp;" "&amp;Milestones!$AB$117&amp;" "&amp;Milestones!$AC$117&amp;";  ","")&amp;IF(AND(EDATE($D17,Milestones!$AA$118)&lt;=AsOfDate,IF($R17=0,$X17,IF(AND($T17&lt;&gt;"",EDATE($D17,Milestones!$AA$118)&gt;=$T17),$W17,IF(AND($S17&lt;&gt;"",EDATE($D17,Milestones!$AA$118)&gt;=$S17),$V17,$U17)))=Milestones!$AB$118),UPPER(TEXT(EDATE($D17,Milestones!$AA$118),"dd mmm yy"))&amp;" "&amp;Milestones!$AB$118&amp;" "&amp;Milestones!$AC$118&amp;";  ","")&amp;IF(AND(EDATE($D17,Milestones!$AA$119)&lt;=AsOfDate,IF($R17=0,$X17,IF(AND($T17&lt;&gt;"",EDATE($D17,Milestones!$AA$119)&gt;=$T17),$W17,IF(AND($S17&lt;&gt;"",EDATE($D17,Milestones!$AA$119)&gt;=$S17),$V17,$U17)))=Milestones!$AB$119),UPPER(TEXT(EDATE($D17,Milestones!$AA$119),"dd mmm yy"))&amp;" "&amp;Milestones!$AB$119&amp;" "&amp;Milestones!$AC$119&amp;";  ",""))</f>
        <v/>
      </c>
      <c r="N17" s="0" t="str">
        <f aca="false">IF(OR($A17="",$D17=""),"",IF(AND(EDATE($D17,Milestones!$AA$120)&lt;=AsOfDate,IF($R17=0,$X17,IF(AND($T17&lt;&gt;"",EDATE($D17,Milestones!$AA$120)&gt;=$T17),$W17,IF(AND($S17&lt;&gt;"",EDATE($D17,Milestones!$AA$120)&gt;=$S17),$V17,$U17)))=Milestones!$AB$120),UPPER(TEXT(EDATE($D17,Milestones!$AA$120),"dd mmm yy"))&amp;" "&amp;Milestones!$AB$120&amp;" "&amp;Milestones!$AC$120&amp;";  ","")&amp;IF(AND(EDATE($D17,Milestones!$AA$121)&lt;=AsOfDate,IF($R17=0,$X17,IF(AND($T17&lt;&gt;"",EDATE($D17,Milestones!$AA$121)&gt;=$T17),$W17,IF(AND($S17&lt;&gt;"",EDATE($D17,Milestones!$AA$121)&gt;=$S17),$V17,$U17)))=Milestones!$AB$121),UPPER(TEXT(EDATE($D17,Milestones!$AA$121),"dd mmm yy"))&amp;" "&amp;Milestones!$AB$121&amp;" "&amp;Milestones!$AC$121&amp;";  ","")&amp;IF(AND(EDATE($D17,Milestones!$AA$122)&lt;=AsOfDate,IF($R17=0,$X17,IF(AND($T17&lt;&gt;"",EDATE($D17,Milestones!$AA$122)&gt;=$T17),$W17,IF(AND($S17&lt;&gt;"",EDATE($D17,Milestones!$AA$122)&gt;=$S17),$V17,$U17)))=Milestones!$AB$122),UPPER(TEXT(EDATE($D17,Milestones!$AA$122),"dd mmm yy"))&amp;" "&amp;Milestones!$AB$122&amp;" "&amp;Milestones!$AC$122&amp;";  ","")&amp;IF(AND(EDATE($D17,Milestones!$AA$123)&lt;=AsOfDate,IF($R17=0,$X17,IF(AND($T17&lt;&gt;"",EDATE($D17,Milestones!$AA$123)&gt;=$T17),$W17,IF(AND($S17&lt;&gt;"",EDATE($D17,Milestones!$AA$123)&gt;=$S17),$V17,$U17)))=Milestones!$AB$123),UPPER(TEXT(EDATE($D17,Milestones!$AA$123),"dd mmm yy"))&amp;" "&amp;Milestones!$AB$123&amp;" "&amp;Milestones!$AC$123&amp;";  ","")&amp;IF(AND(EDATE($D17,Milestones!$AA$124)&lt;=AsOfDate,IF($R17=0,$X17,IF(AND($T17&lt;&gt;"",EDATE($D17,Milestones!$AA$124)&gt;=$T17),$W17,IF(AND($S17&lt;&gt;"",EDATE($D17,Milestones!$AA$124)&gt;=$S17),$V17,$U17)))=Milestones!$AB$124),UPPER(TEXT(EDATE($D17,Milestones!$AA$124),"dd mmm yy"))&amp;" "&amp;Milestones!$AB$124&amp;" "&amp;Milestones!$AC$124&amp;";  ","")&amp;IF(AND(EDATE($D17,Milestones!$AA$125)&lt;=AsOfDate,IF($R17=0,$X17,IF(AND($T17&lt;&gt;"",EDATE($D17,Milestones!$AA$125)&gt;=$T17),$W17,IF(AND($S17&lt;&gt;"",EDATE($D17,Milestones!$AA$125)&gt;=$S17),$V17,$U17)))=Milestones!$AB$125),UPPER(TEXT(EDATE($D17,Milestones!$AA$125),"dd mmm yy"))&amp;" "&amp;Milestones!$AB$125&amp;" "&amp;Milestones!$AC$125&amp;";  ","")&amp;IF(AND(EDATE($D17,Milestones!$AA$126)&lt;=AsOfDate,IF($R17=0,$X17,IF(AND($T17&lt;&gt;"",EDATE($D17,Milestones!$AA$126)&gt;=$T17),$W17,IF(AND($S17&lt;&gt;"",EDATE($D17,Milestones!$AA$126)&gt;=$S17),$V17,$U17)))=Milestones!$AB$126),UPPER(TEXT(EDATE($D17,Milestones!$AA$126),"dd mmm yy"))&amp;" "&amp;Milestones!$AB$126&amp;" "&amp;Milestones!$AC$126&amp;";  ","")&amp;IF(AND(EDATE($D17,Milestones!$AA$127)&lt;=AsOfDate,IF($R17=0,$X17,IF(AND($T17&lt;&gt;"",EDATE($D17,Milestones!$AA$127)&gt;=$T17),$W17,IF(AND($S17&lt;&gt;"",EDATE($D17,Milestones!$AA$127)&gt;=$S17),$V17,$U17)))=Milestones!$AB$127),UPPER(TEXT(EDATE($D17,Milestones!$AA$127),"dd mmm yy"))&amp;" "&amp;Milestones!$AB$127&amp;" "&amp;Milestones!$AC$127&amp;";  ","")&amp;IF(AND(EDATE($D17,Milestones!$AA$128)&lt;=AsOfDate,IF($R17=0,$X17,IF(AND($T17&lt;&gt;"",EDATE($D17,Milestones!$AA$128)&gt;=$T17),$W17,IF(AND($S17&lt;&gt;"",EDATE($D17,Milestones!$AA$128)&gt;=$S17),$V17,$U17)))=Milestones!$AB$128),UPPER(TEXT(EDATE($D17,Milestones!$AA$128),"dd mmm yy"))&amp;" "&amp;Milestones!$AB$128&amp;" "&amp;Milestones!$AC$128&amp;";  ","")&amp;IF(AND(EDATE($D17,Milestones!$AA$129)&lt;=AsOfDate,IF($R17=0,$X17,IF(AND($T17&lt;&gt;"",EDATE($D17,Milestones!$AA$129)&gt;=$T17),$W17,IF(AND($S17&lt;&gt;"",EDATE($D17,Milestones!$AA$129)&gt;=$S17),$V17,$U17)))=Milestones!$AB$129),UPPER(TEXT(EDATE($D17,Milestones!$AA$129),"dd mmm yy"))&amp;" "&amp;Milestones!$AB$129&amp;" "&amp;Milestones!$AC$129&amp;";  ","")&amp;IF(AND(EDATE($D17,Milestones!$AA$130)&lt;=AsOfDate,IF($R17=0,$X17,IF(AND($T17&lt;&gt;"",EDATE($D17,Milestones!$AA$130)&gt;=$T17),$W17,IF(AND($S17&lt;&gt;"",EDATE($D17,Milestones!$AA$130)&gt;=$S17),$V17,$U17)))=Milestones!$AB$130),UPPER(TEXT(EDATE($D17,Milestones!$AA$130),"dd mmm yy"))&amp;" "&amp;Milestones!$AB$130&amp;" "&amp;Milestones!$AC$130&amp;";  ","")&amp;IF(AND(EDATE($D17,Milestones!$AA$131)&lt;=AsOfDate,IF($R17=0,$X17,IF(AND($T17&lt;&gt;"",EDATE($D17,Milestones!$AA$131)&gt;=$T17),$W17,IF(AND($S17&lt;&gt;"",EDATE($D17,Milestones!$AA$131)&gt;=$S17),$V17,$U17)))=Milestones!$AB$131),UPPER(TEXT(EDATE($D17,Milestones!$AA$131),"dd mmm yy"))&amp;" "&amp;Milestones!$AB$131&amp;" "&amp;Milestones!$AC$131&amp;";  ","")&amp;IF(AND(EDATE($D17,Milestones!$AA$132)&lt;=AsOfDate,IF($R17=0,$X17,IF(AND($T17&lt;&gt;"",EDATE($D17,Milestones!$AA$132)&gt;=$T17),$W17,IF(AND($S17&lt;&gt;"",EDATE($D17,Milestones!$AA$132)&gt;=$S17),$V17,$U17)))=Milestones!$AB$132),UPPER(TEXT(EDATE($D17,Milestones!$AA$132),"dd mmm yy"))&amp;" "&amp;Milestones!$AB$132&amp;" "&amp;Milestones!$AC$132&amp;";  ","")&amp;IF(AND(EDATE($D17,Milestones!$AA$133)&lt;=AsOfDate,IF($R17=0,$X17,IF(AND($T17&lt;&gt;"",EDATE($D17,Milestones!$AA$133)&gt;=$T17),$W17,IF(AND($S17&lt;&gt;"",EDATE($D17,Milestones!$AA$133)&gt;=$S17),$V17,$U17)))=Milestones!$AB$133),UPPER(TEXT(EDATE($D17,Milestones!$AA$133),"dd mmm yy"))&amp;" "&amp;Milestones!$AB$133&amp;" "&amp;Milestones!$AC$133&amp;";  ","")&amp;IF(AND(EDATE($D17,Milestones!$AA$134)&lt;=AsOfDate,IF($R17=0,$X17,IF(AND($T17&lt;&gt;"",EDATE($D17,Milestones!$AA$134)&gt;=$T17),$W17,IF(AND($S17&lt;&gt;"",EDATE($D17,Milestones!$AA$134)&gt;=$S17),$V17,$U17)))=Milestones!$AB$134),UPPER(TEXT(EDATE($D17,Milestones!$AA$134),"dd mmm yy"))&amp;" "&amp;Milestones!$AB$134&amp;" "&amp;Milestones!$AC$134&amp;";  ","")&amp;IF(AND(EDATE($D17,Milestones!$AA$135)&lt;=AsOfDate,IF($R17=0,$X17,IF(AND($T17&lt;&gt;"",EDATE($D17,Milestones!$AA$135)&gt;=$T17),$W17,IF(AND($S17&lt;&gt;"",EDATE($D17,Milestones!$AA$135)&gt;=$S17),$V17,$U17)))=Milestones!$AB$135),UPPER(TEXT(EDATE($D17,Milestones!$AA$135),"dd mmm yy"))&amp;" "&amp;Milestones!$AB$135&amp;" "&amp;Milestones!$AC$135&amp;";  ","")&amp;IF(AND(EDATE($D17,Milestones!$AA$136)&lt;=AsOfDate,IF($R17=0,$X17,IF(AND($T17&lt;&gt;"",EDATE($D17,Milestones!$AA$136)&gt;=$T17),$W17,IF(AND($S17&lt;&gt;"",EDATE($D17,Milestones!$AA$136)&gt;=$S17),$V17,$U17)))=Milestones!$AB$136),UPPER(TEXT(EDATE($D17,Milestones!$AA$136),"dd mmm yy"))&amp;" "&amp;Milestones!$AB$136&amp;" "&amp;Milestones!$AC$136&amp;";  ","")&amp;IF(AND(EDATE($D17,Milestones!$AA$137)&lt;=AsOfDate,IF($R17=0,$X17,IF(AND($T17&lt;&gt;"",EDATE($D17,Milestones!$AA$137)&gt;=$T17),$W17,IF(AND($S17&lt;&gt;"",EDATE($D17,Milestones!$AA$137)&gt;=$S17),$V17,$U17)))=Milestones!$AB$137),UPPER(TEXT(EDATE($D17,Milestones!$AA$137),"dd mmm yy"))&amp;" "&amp;Milestones!$AB$137&amp;" "&amp;Milestones!$AC$137&amp;";  ","")&amp;IF(AND(EDATE($D17,Milestones!$AA$138)&lt;=AsOfDate,IF($R17=0,$X17,IF(AND($T17&lt;&gt;"",EDATE($D17,Milestones!$AA$138)&gt;=$T17),$W17,IF(AND($S17&lt;&gt;"",EDATE($D17,Milestones!$AA$138)&gt;=$S17),$V17,$U17)))=Milestones!$AB$138),UPPER(TEXT(EDATE($D17,Milestones!$AA$138),"dd mmm yy"))&amp;" "&amp;Milestones!$AB$138&amp;" "&amp;Milestones!$AC$138&amp;";  ","")&amp;IF(AND(EDATE($D17,Milestones!$AA$139)&lt;=AsOfDate,IF($R17=0,$X17,IF(AND($T17&lt;&gt;"",EDATE($D17,Milestones!$AA$139)&gt;=$T17),$W17,IF(AND($S17&lt;&gt;"",EDATE($D17,Milestones!$AA$139)&gt;=$S17),$V17,$U17)))=Milestones!$AB$139),UPPER(TEXT(EDATE($D17,Milestones!$AA$139),"dd mmm yy"))&amp;" "&amp;Milestones!$AB$139&amp;" "&amp;Milestones!$AC$139&amp;";  ",""))</f>
        <v/>
      </c>
      <c r="O17" s="0" t="str">
        <f aca="false">IF(OR($A17="",$D17=""),"",IF(AND(EDATE($D17,Milestones!$AA$140)&lt;=AsOfDate,IF($R17=0,$X17,IF(AND($T17&lt;&gt;"",EDATE($D17,Milestones!$AA$140)&gt;=$T17),$W17,IF(AND($S17&lt;&gt;"",EDATE($D17,Milestones!$AA$140)&gt;=$S17),$V17,$U17)))=Milestones!$AB$140),UPPER(TEXT(EDATE($D17,Milestones!$AA$140),"dd mmm yy"))&amp;" "&amp;Milestones!$AB$140&amp;" "&amp;Milestones!$AC$140&amp;";  ","")&amp;IF(AND(EDATE($D17,Milestones!$AA$141)&lt;=AsOfDate,IF($R17=0,$X17,IF(AND($T17&lt;&gt;"",EDATE($D17,Milestones!$AA$141)&gt;=$T17),$W17,IF(AND($S17&lt;&gt;"",EDATE($D17,Milestones!$AA$141)&gt;=$S17),$V17,$U17)))=Milestones!$AB$141),UPPER(TEXT(EDATE($D17,Milestones!$AA$141),"dd mmm yy"))&amp;" "&amp;Milestones!$AB$141&amp;" "&amp;Milestones!$AC$141&amp;";  ","")&amp;IF(AND(EDATE($D17,Milestones!$AA$142)&lt;=AsOfDate,IF($R17=0,$X17,IF(AND($T17&lt;&gt;"",EDATE($D17,Milestones!$AA$142)&gt;=$T17),$W17,IF(AND($S17&lt;&gt;"",EDATE($D17,Milestones!$AA$142)&gt;=$S17),$V17,$U17)))=Milestones!$AB$142),UPPER(TEXT(EDATE($D17,Milestones!$AA$142),"dd mmm yy"))&amp;" "&amp;Milestones!$AB$142&amp;" "&amp;Milestones!$AC$142&amp;";  ","")&amp;IF(AND(EDATE($D17,Milestones!$AA$143)&lt;=AsOfDate,IF($R17=0,$X17,IF(AND($T17&lt;&gt;"",EDATE($D17,Milestones!$AA$143)&gt;=$T17),$W17,IF(AND($S17&lt;&gt;"",EDATE($D17,Milestones!$AA$143)&gt;=$S17),$V17,$U17)))=Milestones!$AB$143),UPPER(TEXT(EDATE($D17,Milestones!$AA$143),"dd mmm yy"))&amp;" "&amp;Milestones!$AB$143&amp;" "&amp;Milestones!$AC$143&amp;";  ","")&amp;IF(AND(EDATE($D17,Milestones!$AA$144)&lt;=AsOfDate,IF($R17=0,$X17,IF(AND($T17&lt;&gt;"",EDATE($D17,Milestones!$AA$144)&gt;=$T17),$W17,IF(AND($S17&lt;&gt;"",EDATE($D17,Milestones!$AA$144)&gt;=$S17),$V17,$U17)))=Milestones!$AB$144),UPPER(TEXT(EDATE($D17,Milestones!$AA$144),"dd mmm yy"))&amp;" "&amp;Milestones!$AB$144&amp;" "&amp;Milestones!$AC$144&amp;";  ","")&amp;IF(AND(EDATE($D17,Milestones!$AA$145)&lt;=AsOfDate,IF($R17=0,$X17,IF(AND($T17&lt;&gt;"",EDATE($D17,Milestones!$AA$145)&gt;=$T17),$W17,IF(AND($S17&lt;&gt;"",EDATE($D17,Milestones!$AA$145)&gt;=$S17),$V17,$U17)))=Milestones!$AB$145),UPPER(TEXT(EDATE($D17,Milestones!$AA$145),"dd mmm yy"))&amp;" "&amp;Milestones!$AB$145&amp;" "&amp;Milestones!$AC$145&amp;";  ","")&amp;IF(AND(EDATE($D17,Milestones!$AA$146)&lt;=AsOfDate,IF($R17=0,$X17,IF(AND($T17&lt;&gt;"",EDATE($D17,Milestones!$AA$146)&gt;=$T17),$W17,IF(AND($S17&lt;&gt;"",EDATE($D17,Milestones!$AA$146)&gt;=$S17),$V17,$U17)))=Milestones!$AB$146),UPPER(TEXT(EDATE($D17,Milestones!$AA$146),"dd mmm yy"))&amp;" "&amp;Milestones!$AB$146&amp;" "&amp;Milestones!$AC$146&amp;";  ","")&amp;IF(AND(EDATE($D17,Milestones!$AA$147)&lt;=AsOfDate,IF($R17=0,$X17,IF(AND($T17&lt;&gt;"",EDATE($D17,Milestones!$AA$147)&gt;=$T17),$W17,IF(AND($S17&lt;&gt;"",EDATE($D17,Milestones!$AA$147)&gt;=$S17),$V17,$U17)))=Milestones!$AB$147),UPPER(TEXT(EDATE($D17,Milestones!$AA$147),"dd mmm yy"))&amp;" "&amp;Milestones!$AB$147&amp;" "&amp;Milestones!$AC$147&amp;";  ","")&amp;IF(AND(EDATE($D17,Milestones!$AA$148)&lt;=AsOfDate,IF($R17=0,$X17,IF(AND($T17&lt;&gt;"",EDATE($D17,Milestones!$AA$148)&gt;=$T17),$W17,IF(AND($S17&lt;&gt;"",EDATE($D17,Milestones!$AA$148)&gt;=$S17),$V17,$U17)))=Milestones!$AB$148),UPPER(TEXT(EDATE($D17,Milestones!$AA$148),"dd mmm yy"))&amp;" "&amp;Milestones!$AB$148&amp;" "&amp;Milestones!$AC$148&amp;";  ","")&amp;IF(AND(EDATE($D17,Milestones!$AA$149)&lt;=AsOfDate,IF($R17=0,$X17,IF(AND($T17&lt;&gt;"",EDATE($D17,Milestones!$AA$149)&gt;=$T17),$W17,IF(AND($S17&lt;&gt;"",EDATE($D17,Milestones!$AA$149)&gt;=$S17),$V17,$U17)))=Milestones!$AB$149),UPPER(TEXT(EDATE($D17,Milestones!$AA$149),"dd mmm yy"))&amp;" "&amp;Milestones!$AB$149&amp;" "&amp;Milestones!$AC$149&amp;";  ","")&amp;IF(AND(EDATE($D17,Milestones!$AA$150)&lt;=AsOfDate,IF($R17=0,$X17,IF(AND($T17&lt;&gt;"",EDATE($D17,Milestones!$AA$150)&gt;=$T17),$W17,IF(AND($S17&lt;&gt;"",EDATE($D17,Milestones!$AA$150)&gt;=$S17),$V17,$U17)))=Milestones!$AB$150),UPPER(TEXT(EDATE($D17,Milestones!$AA$150),"dd mmm yy"))&amp;" "&amp;Milestones!$AB$150&amp;" "&amp;Milestones!$AC$150&amp;";  ","")&amp;IF(AND(EDATE($D17,Milestones!$AA$151)&lt;=AsOfDate,IF($R17=0,$X17,IF(AND($T17&lt;&gt;"",EDATE($D17,Milestones!$AA$151)&gt;=$T17),$W17,IF(AND($S17&lt;&gt;"",EDATE($D17,Milestones!$AA$151)&gt;=$S17),$V17,$U17)))=Milestones!$AB$151),UPPER(TEXT(EDATE($D17,Milestones!$AA$151),"dd mmm yy"))&amp;" "&amp;Milestones!$AB$151&amp;" "&amp;Milestones!$AC$151&amp;";  ","")&amp;IF(AND(EDATE($D17,Milestones!$AA$152)&lt;=AsOfDate,IF($R17=0,$X17,IF(AND($T17&lt;&gt;"",EDATE($D17,Milestones!$AA$152)&gt;=$T17),$W17,IF(AND($S17&lt;&gt;"",EDATE($D17,Milestones!$AA$152)&gt;=$S17),$V17,$U17)))=Milestones!$AB$152),UPPER(TEXT(EDATE($D17,Milestones!$AA$152),"dd mmm yy"))&amp;" "&amp;Milestones!$AB$152&amp;" "&amp;Milestones!$AC$152&amp;";  ","")&amp;IF(AND(EDATE($D17,Milestones!$AA$153)&lt;=AsOfDate,IF($R17=0,$X17,IF(AND($T17&lt;&gt;"",EDATE($D17,Milestones!$AA$153)&gt;=$T17),$W17,IF(AND($S17&lt;&gt;"",EDATE($D17,Milestones!$AA$153)&gt;=$S17),$V17,$U17)))=Milestones!$AB$153),UPPER(TEXT(EDATE($D17,Milestones!$AA$153),"dd mmm yy"))&amp;" "&amp;Milestones!$AB$153&amp;" "&amp;Milestones!$AC$153&amp;";  ","")&amp;IF(AND(EDATE($D17,Milestones!$AA$154)&lt;=AsOfDate,IF($R17=0,$X17,IF(AND($T17&lt;&gt;"",EDATE($D17,Milestones!$AA$154)&gt;=$T17),$W17,IF(AND($S17&lt;&gt;"",EDATE($D17,Milestones!$AA$154)&gt;=$S17),$V17,$U17)))=Milestones!$AB$154),UPPER(TEXT(EDATE($D17,Milestones!$AA$154),"dd mmm yy"))&amp;" "&amp;Milestones!$AB$154&amp;" "&amp;Milestones!$AC$154&amp;";  ","")&amp;IF(AND(EDATE($D17,Milestones!$AA$155)&lt;=AsOfDate,IF($R17=0,$X17,IF(AND($T17&lt;&gt;"",EDATE($D17,Milestones!$AA$155)&gt;=$T17),$W17,IF(AND($S17&lt;&gt;"",EDATE($D17,Milestones!$AA$155)&gt;=$S17),$V17,$U17)))=Milestones!$AB$155),UPPER(TEXT(EDATE($D17,Milestones!$AA$155),"dd mmm yy"))&amp;" "&amp;Milestones!$AB$155&amp;" "&amp;Milestones!$AC$155&amp;";  ","")&amp;IF(AND(EDATE($D17,Milestones!$AA$156)&lt;=AsOfDate,IF($R17=0,$X17,IF(AND($T17&lt;&gt;"",EDATE($D17,Milestones!$AA$156)&gt;=$T17),$W17,IF(AND($S17&lt;&gt;"",EDATE($D17,Milestones!$AA$156)&gt;=$S17),$V17,$U17)))=Milestones!$AB$156),UPPER(TEXT(EDATE($D17,Milestones!$AA$156),"dd mmm yy"))&amp;" "&amp;Milestones!$AB$156&amp;" "&amp;Milestones!$AC$156&amp;";  ","")&amp;IF(AND(EDATE($D17,Milestones!$AA$157)&lt;=AsOfDate,IF($R17=0,$X17,IF(AND($T17&lt;&gt;"",EDATE($D17,Milestones!$AA$157)&gt;=$T17),$W17,IF(AND($S17&lt;&gt;"",EDATE($D17,Milestones!$AA$157)&gt;=$S17),$V17,$U17)))=Milestones!$AB$157),UPPER(TEXT(EDATE($D17,Milestones!$AA$157),"dd mmm yy"))&amp;" "&amp;Milestones!$AB$157&amp;" "&amp;Milestones!$AC$157&amp;";  ","")&amp;IF(AND(EDATE($D17,Milestones!$AA$158)&lt;=AsOfDate,IF($R17=0,$X17,IF(AND($T17&lt;&gt;"",EDATE($D17,Milestones!$AA$158)&gt;=$T17),$W17,IF(AND($S17&lt;&gt;"",EDATE($D17,Milestones!$AA$158)&gt;=$S17),$V17,$U17)))=Milestones!$AB$158),UPPER(TEXT(EDATE($D17,Milestones!$AA$158),"dd mmm yy"))&amp;" "&amp;Milestones!$AB$158&amp;" "&amp;Milestones!$AC$158&amp;";  ","")&amp;IF(AND(EDATE($D17,Milestones!$AA$159)&lt;=AsOfDate,IF($R17=0,$X17,IF(AND($T17&lt;&gt;"",EDATE($D17,Milestones!$AA$159)&gt;=$T17),$W17,IF(AND($S17&lt;&gt;"",EDATE($D17,Milestones!$AA$159)&gt;=$S17),$V17,$U17)))=Milestones!$AB$159),UPPER(TEXT(EDATE($D17,Milestones!$AA$159),"dd mmm yy"))&amp;" "&amp;Milestones!$AB$159&amp;" "&amp;Milestones!$AC$159&amp;";  ",""))</f>
        <v/>
      </c>
      <c r="P17" s="0" t="str">
        <f aca="false">IF(OR($A17="",$D17=""),"",IF(AND(EDATE($D17,Milestones!$AA$160)&lt;=AsOfDate,IF($R17=0,$X17,IF(AND($T17&lt;&gt;"",EDATE($D17,Milestones!$AA$160)&gt;=$T17),$W17,IF(AND($S17&lt;&gt;"",EDATE($D17,Milestones!$AA$160)&gt;=$S17),$V17,$U17)))=Milestones!$AB$160),UPPER(TEXT(EDATE($D17,Milestones!$AA$160),"dd mmm yy"))&amp;" "&amp;Milestones!$AB$160&amp;" "&amp;Milestones!$AC$160&amp;";  ","")&amp;IF(AND(EDATE($D17,Milestones!$AA$161)&lt;=AsOfDate,IF($R17=0,$X17,IF(AND($T17&lt;&gt;"",EDATE($D17,Milestones!$AA$161)&gt;=$T17),$W17,IF(AND($S17&lt;&gt;"",EDATE($D17,Milestones!$AA$161)&gt;=$S17),$V17,$U17)))=Milestones!$AB$161),UPPER(TEXT(EDATE($D17,Milestones!$AA$161),"dd mmm yy"))&amp;" "&amp;Milestones!$AB$161&amp;" "&amp;Milestones!$AC$161&amp;";  ","")&amp;IF(AND(EDATE($D17,Milestones!$AA$162)&lt;=AsOfDate,IF($R17=0,$X17,IF(AND($T17&lt;&gt;"",EDATE($D17,Milestones!$AA$162)&gt;=$T17),$W17,IF(AND($S17&lt;&gt;"",EDATE($D17,Milestones!$AA$162)&gt;=$S17),$V17,$U17)))=Milestones!$AB$162),UPPER(TEXT(EDATE($D17,Milestones!$AA$162),"dd mmm yy"))&amp;" "&amp;Milestones!$AB$162&amp;" "&amp;Milestones!$AC$162&amp;";  ","")&amp;IF(AND(EDATE($D17,Milestones!$AA$163)&lt;=AsOfDate,IF($R17=0,$X17,IF(AND($T17&lt;&gt;"",EDATE($D17,Milestones!$AA$163)&gt;=$T17),$W17,IF(AND($S17&lt;&gt;"",EDATE($D17,Milestones!$AA$163)&gt;=$S17),$V17,$U17)))=Milestones!$AB$163),UPPER(TEXT(EDATE($D17,Milestones!$AA$163),"dd mmm yy"))&amp;" "&amp;Milestones!$AB$163&amp;" "&amp;Milestones!$AC$163&amp;";  ","")&amp;IF(AND(EDATE($D17,Milestones!$AA$164)&lt;=AsOfDate,IF($R17=0,$X17,IF(AND($T17&lt;&gt;"",EDATE($D17,Milestones!$AA$164)&gt;=$T17),$W17,IF(AND($S17&lt;&gt;"",EDATE($D17,Milestones!$AA$164)&gt;=$S17),$V17,$U17)))=Milestones!$AB$164),UPPER(TEXT(EDATE($D17,Milestones!$AA$164),"dd mmm yy"))&amp;" "&amp;Milestones!$AB$164&amp;" "&amp;Milestones!$AC$164&amp;";  ","")&amp;IF(AND(EDATE($D17,Milestones!$AA$165)&lt;=AsOfDate,IF($R17=0,$X17,IF(AND($T17&lt;&gt;"",EDATE($D17,Milestones!$AA$165)&gt;=$T17),$W17,IF(AND($S17&lt;&gt;"",EDATE($D17,Milestones!$AA$165)&gt;=$S17),$V17,$U17)))=Milestones!$AB$165),UPPER(TEXT(EDATE($D17,Milestones!$AA$165),"dd mmm yy"))&amp;" "&amp;Milestones!$AB$165&amp;" "&amp;Milestones!$AC$165&amp;";  ","")&amp;IF(AND(EDATE($D17,Milestones!$AA$166)&lt;=AsOfDate,IF($R17=0,$X17,IF(AND($T17&lt;&gt;"",EDATE($D17,Milestones!$AA$166)&gt;=$T17),$W17,IF(AND($S17&lt;&gt;"",EDATE($D17,Milestones!$AA$166)&gt;=$S17),$V17,$U17)))=Milestones!$AB$166),UPPER(TEXT(EDATE($D17,Milestones!$AA$166),"dd mmm yy"))&amp;" "&amp;Milestones!$AB$166&amp;" "&amp;Milestones!$AC$166&amp;";  ","")&amp;IF(AND(EDATE($D17,Milestones!$AA$167)&lt;=AsOfDate,IF($R17=0,$X17,IF(AND($T17&lt;&gt;"",EDATE($D17,Milestones!$AA$167)&gt;=$T17),$W17,IF(AND($S17&lt;&gt;"",EDATE($D17,Milestones!$AA$167)&gt;=$S17),$V17,$U17)))=Milestones!$AB$167),UPPER(TEXT(EDATE($D17,Milestones!$AA$167),"dd mmm yy"))&amp;" "&amp;Milestones!$AB$167&amp;" "&amp;Milestones!$AC$167&amp;";  ","")&amp;IF(AND(EDATE($D17,Milestones!$AA$168)&lt;=AsOfDate,IF($R17=0,$X17,IF(AND($T17&lt;&gt;"",EDATE($D17,Milestones!$AA$168)&gt;=$T17),$W17,IF(AND($S17&lt;&gt;"",EDATE($D17,Milestones!$AA$168)&gt;=$S17),$V17,$U17)))=Milestones!$AB$168),UPPER(TEXT(EDATE($D17,Milestones!$AA$168),"dd mmm yy"))&amp;" "&amp;Milestones!$AB$168&amp;" "&amp;Milestones!$AC$168&amp;";  ","")&amp;IF(AND(EDATE($D17,Milestones!$AA$169)&lt;=AsOfDate,IF($R17=0,$X17,IF(AND($T17&lt;&gt;"",EDATE($D17,Milestones!$AA$169)&gt;=$T17),$W17,IF(AND($S17&lt;&gt;"",EDATE($D17,Milestones!$AA$169)&gt;=$S17),$V17,$U17)))=Milestones!$AB$169),UPPER(TEXT(EDATE($D17,Milestones!$AA$169),"dd mmm yy"))&amp;" "&amp;Milestones!$AB$169&amp;" "&amp;Milestones!$AC$169&amp;";  ","")&amp;IF(AND(EDATE($D17,Milestones!$AA$170)&lt;=AsOfDate,IF($R17=0,$X17,IF(AND($T17&lt;&gt;"",EDATE($D17,Milestones!$AA$170)&gt;=$T17),$W17,IF(AND($S17&lt;&gt;"",EDATE($D17,Milestones!$AA$170)&gt;=$S17),$V17,$U17)))=Milestones!$AB$170),UPPER(TEXT(EDATE($D17,Milestones!$AA$170),"dd mmm yy"))&amp;" "&amp;Milestones!$AB$170&amp;" "&amp;Milestones!$AC$170&amp;";  ","")&amp;IF(AND(EDATE($D17,Milestones!$AA$171)&lt;=AsOfDate,IF($R17=0,$X17,IF(AND($T17&lt;&gt;"",EDATE($D17,Milestones!$AA$171)&gt;=$T17),$W17,IF(AND($S17&lt;&gt;"",EDATE($D17,Milestones!$AA$171)&gt;=$S17),$V17,$U17)))=Milestones!$AB$171),UPPER(TEXT(EDATE($D17,Milestones!$AA$171),"dd mmm yy"))&amp;" "&amp;Milestones!$AB$171&amp;" "&amp;Milestones!$AC$171&amp;";  ","")&amp;IF(AND(EDATE($D17,Milestones!$AA$172)&lt;=AsOfDate,IF($R17=0,$X17,IF(AND($T17&lt;&gt;"",EDATE($D17,Milestones!$AA$172)&gt;=$T17),$W17,IF(AND($S17&lt;&gt;"",EDATE($D17,Milestones!$AA$172)&gt;=$S17),$V17,$U17)))=Milestones!$AB$172),UPPER(TEXT(EDATE($D17,Milestones!$AA$172),"dd mmm yy"))&amp;" "&amp;Milestones!$AB$172&amp;" "&amp;Milestones!$AC$172&amp;";  ","")&amp;IF(AND(EDATE($D17,Milestones!$AA$173)&lt;=AsOfDate,IF($R17=0,$X17,IF(AND($T17&lt;&gt;"",EDATE($D17,Milestones!$AA$173)&gt;=$T17),$W17,IF(AND($S17&lt;&gt;"",EDATE($D17,Milestones!$AA$173)&gt;=$S17),$V17,$U17)))=Milestones!$AB$173),UPPER(TEXT(EDATE($D17,Milestones!$AA$173),"dd mmm yy"))&amp;" "&amp;Milestones!$AB$173&amp;" "&amp;Milestones!$AC$173&amp;";  ","")&amp;IF(AND(EDATE($D17,Milestones!$AA$174)&lt;=AsOfDate,IF($R17=0,$X17,IF(AND($T17&lt;&gt;"",EDATE($D17,Milestones!$AA$174)&gt;=$T17),$W17,IF(AND($S17&lt;&gt;"",EDATE($D17,Milestones!$AA$174)&gt;=$S17),$V17,$U17)))=Milestones!$AB$174),UPPER(TEXT(EDATE($D17,Milestones!$AA$174),"dd mmm yy"))&amp;" "&amp;Milestones!$AB$174&amp;" "&amp;Milestones!$AC$174&amp;";  ","")&amp;IF(AND(EDATE($D17,Milestones!$AA$175)&lt;=AsOfDate,IF($R17=0,$X17,IF(AND($T17&lt;&gt;"",EDATE($D17,Milestones!$AA$175)&gt;=$T17),$W17,IF(AND($S17&lt;&gt;"",EDATE($D17,Milestones!$AA$175)&gt;=$S17),$V17,$U17)))=Milestones!$AB$175),UPPER(TEXT(EDATE($D17,Milestones!$AA$175),"dd mmm yy"))&amp;" "&amp;Milestones!$AB$175&amp;" "&amp;Milestones!$AC$175&amp;";  ","")&amp;IF(AND(EDATE($D17,Milestones!$AA$176)&lt;=AsOfDate,IF($R17=0,$X17,IF(AND($T17&lt;&gt;"",EDATE($D17,Milestones!$AA$176)&gt;=$T17),$W17,IF(AND($S17&lt;&gt;"",EDATE($D17,Milestones!$AA$176)&gt;=$S17),$V17,$U17)))=Milestones!$AB$176),UPPER(TEXT(EDATE($D17,Milestones!$AA$176),"dd mmm yy"))&amp;" "&amp;Milestones!$AB$176&amp;" "&amp;Milestones!$AC$176&amp;";  ","")&amp;IF(AND(EDATE($D17,Milestones!$AA$177)&lt;=AsOfDate,IF($R17=0,$X17,IF(AND($T17&lt;&gt;"",EDATE($D17,Milestones!$AA$177)&gt;=$T17),$W17,IF(AND($S17&lt;&gt;"",EDATE($D17,Milestones!$AA$177)&gt;=$S17),$V17,$U17)))=Milestones!$AB$177),UPPER(TEXT(EDATE($D17,Milestones!$AA$177),"dd mmm yy"))&amp;" "&amp;Milestones!$AB$177&amp;" "&amp;Milestones!$AC$177&amp;";  ","")&amp;IF(AND(EDATE($D17,Milestones!$AA$178)&lt;=AsOfDate,IF($R17=0,$X17,IF(AND($T17&lt;&gt;"",EDATE($D17,Milestones!$AA$178)&gt;=$T17),$W17,IF(AND($S17&lt;&gt;"",EDATE($D17,Milestones!$AA$178)&gt;=$S17),$V17,$U17)))=Milestones!$AB$178),UPPER(TEXT(EDATE($D17,Milestones!$AA$178),"dd mmm yy"))&amp;" "&amp;Milestones!$AB$178&amp;" "&amp;Milestones!$AC$178&amp;";  ","")&amp;IF(AND(EDATE($D17,Milestones!$AA$179)&lt;=AsOfDate,IF($R17=0,$X17,IF(AND($T17&lt;&gt;"",EDATE($D17,Milestones!$AA$179)&gt;=$T17),$W17,IF(AND($S17&lt;&gt;"",EDATE($D17,Milestones!$AA$179)&gt;=$S17),$V17,$U17)))=Milestones!$AB$179),UPPER(TEXT(EDATE($D17,Milestones!$AA$179),"dd mmm yy"))&amp;" "&amp;Milestones!$AB$179&amp;" "&amp;Milestones!$AC$179&amp;";  ",""))</f>
        <v/>
      </c>
      <c r="Q17" s="0" t="str">
        <f aca="false">IF(OR($A17="",$D17=""),"",IF(AND(EDATE($D17,Milestones!$AA$180)&lt;=AsOfDate,IF($R17=0,$X17,IF(AND($T17&lt;&gt;"",EDATE($D17,Milestones!$AA$180)&gt;=$T17),$W17,IF(AND($S17&lt;&gt;"",EDATE($D17,Milestones!$AA$180)&gt;=$S17),$V17,$U17)))=Milestones!$AB$180),UPPER(TEXT(EDATE($D17,Milestones!$AA$180),"dd mmm yy"))&amp;" "&amp;Milestones!$AB$180&amp;" "&amp;Milestones!$AC$180&amp;";  ","")&amp;IF(AND(EDATE($D17,Milestones!$AA$181)&lt;=AsOfDate,IF($R17=0,$X17,IF(AND($T17&lt;&gt;"",EDATE($D17,Milestones!$AA$181)&gt;=$T17),$W17,IF(AND($S17&lt;&gt;"",EDATE($D17,Milestones!$AA$181)&gt;=$S17),$V17,$U17)))=Milestones!$AB$181),UPPER(TEXT(EDATE($D17,Milestones!$AA$181),"dd mmm yy"))&amp;" "&amp;Milestones!$AB$181&amp;" "&amp;Milestones!$AC$181&amp;";  ","")&amp;IF(AND(EDATE($D17,Milestones!$AA$182)&lt;=AsOfDate,IF($R17=0,$X17,IF(AND($T17&lt;&gt;"",EDATE($D17,Milestones!$AA$182)&gt;=$T17),$W17,IF(AND($S17&lt;&gt;"",EDATE($D17,Milestones!$AA$182)&gt;=$S17),$V17,$U17)))=Milestones!$AB$182),UPPER(TEXT(EDATE($D17,Milestones!$AA$182),"dd mmm yy"))&amp;" "&amp;Milestones!$AB$182&amp;" "&amp;Milestones!$AC$182&amp;";  ","")&amp;IF(AND(EDATE($D17,Milestones!$AA$183)&lt;=AsOfDate,IF($R17=0,$X17,IF(AND($T17&lt;&gt;"",EDATE($D17,Milestones!$AA$183)&gt;=$T17),$W17,IF(AND($S17&lt;&gt;"",EDATE($D17,Milestones!$AA$183)&gt;=$S17),$V17,$U17)))=Milestones!$AB$183),UPPER(TEXT(EDATE($D17,Milestones!$AA$183),"dd mmm yy"))&amp;" "&amp;Milestones!$AB$183&amp;" "&amp;Milestones!$AC$183&amp;";  ","")&amp;IF(AND(EDATE($D17,Milestones!$AA$184)&lt;=AsOfDate,IF($R17=0,$X17,IF(AND($T17&lt;&gt;"",EDATE($D17,Milestones!$AA$184)&gt;=$T17),$W17,IF(AND($S17&lt;&gt;"",EDATE($D17,Milestones!$AA$184)&gt;=$S17),$V17,$U17)))=Milestones!$AB$184),UPPER(TEXT(EDATE($D17,Milestones!$AA$184),"dd mmm yy"))&amp;" "&amp;Milestones!$AB$184&amp;" "&amp;Milestones!$AC$184&amp;";  ","")&amp;IF(AND(EDATE($D17,Milestones!$AA$185)&lt;=AsOfDate,IF($R17=0,$X17,IF(AND($T17&lt;&gt;"",EDATE($D17,Milestones!$AA$185)&gt;=$T17),$W17,IF(AND($S17&lt;&gt;"",EDATE($D17,Milestones!$AA$185)&gt;=$S17),$V17,$U17)))=Milestones!$AB$185),UPPER(TEXT(EDATE($D17,Milestones!$AA$185),"dd mmm yy"))&amp;" "&amp;Milestones!$AB$185&amp;" "&amp;Milestones!$AC$185&amp;";  ","")&amp;IF(AND(EDATE($D17,Milestones!$AA$186)&lt;=AsOfDate,IF($R17=0,$X17,IF(AND($T17&lt;&gt;"",EDATE($D17,Milestones!$AA$186)&gt;=$T17),$W17,IF(AND($S17&lt;&gt;"",EDATE($D17,Milestones!$AA$186)&gt;=$S17),$V17,$U17)))=Milestones!$AB$186),UPPER(TEXT(EDATE($D17,Milestones!$AA$186),"dd mmm yy"))&amp;" "&amp;Milestones!$AB$186&amp;" "&amp;Milestones!$AC$186&amp;";  ","")&amp;IF(AND(EDATE($D17,Milestones!$AA$187)&lt;=AsOfDate,IF($R17=0,$X17,IF(AND($T17&lt;&gt;"",EDATE($D17,Milestones!$AA$187)&gt;=$T17),$W17,IF(AND($S17&lt;&gt;"",EDATE($D17,Milestones!$AA$187)&gt;=$S17),$V17,$U17)))=Milestones!$AB$187),UPPER(TEXT(EDATE($D17,Milestones!$AA$187),"dd mmm yy"))&amp;" "&amp;Milestones!$AB$187&amp;" "&amp;Milestones!$AC$187&amp;";  ","")&amp;IF(AND(EDATE($D17,Milestones!$AA$188)&lt;=AsOfDate,IF($R17=0,$X17,IF(AND($T17&lt;&gt;"",EDATE($D17,Milestones!$AA$188)&gt;=$T17),$W17,IF(AND($S17&lt;&gt;"",EDATE($D17,Milestones!$AA$188)&gt;=$S17),$V17,$U17)))=Milestones!$AB$188),UPPER(TEXT(EDATE($D17,Milestones!$AA$188),"dd mmm yy"))&amp;" "&amp;Milestones!$AB$188&amp;" "&amp;Milestones!$AC$188&amp;";  ","")&amp;IF(AND(EDATE($D17,Milestones!$AA$189)&lt;=AsOfDate,IF($R17=0,$X17,IF(AND($T17&lt;&gt;"",EDATE($D17,Milestones!$AA$189)&gt;=$T17),$W17,IF(AND($S17&lt;&gt;"",EDATE($D17,Milestones!$AA$189)&gt;=$S17),$V17,$U17)))=Milestones!$AB$189),UPPER(TEXT(EDATE($D17,Milestones!$AA$189),"dd mmm yy"))&amp;" "&amp;Milestones!$AB$189&amp;" "&amp;Milestones!$AC$189&amp;";  ","")&amp;IF(AND(EDATE($D17,Milestones!$AA$190)&lt;=AsOfDate,IF($R17=0,$X17,IF(AND($T17&lt;&gt;"",EDATE($D17,Milestones!$AA$190)&gt;=$T17),$W17,IF(AND($S17&lt;&gt;"",EDATE($D17,Milestones!$AA$190)&gt;=$S17),$V17,$U17)))=Milestones!$AB$190),UPPER(TEXT(EDATE($D17,Milestones!$AA$190),"dd mmm yy"))&amp;" "&amp;Milestones!$AB$190&amp;" "&amp;Milestones!$AC$190&amp;";  ","")&amp;IF(AND(EDATE($D17,Milestones!$AA$191)&lt;=AsOfDate,IF($R17=0,$X17,IF(AND($T17&lt;&gt;"",EDATE($D17,Milestones!$AA$191)&gt;=$T17),$W17,IF(AND($S17&lt;&gt;"",EDATE($D17,Milestones!$AA$191)&gt;=$S17),$V17,$U17)))=Milestones!$AB$191),UPPER(TEXT(EDATE($D17,Milestones!$AA$191),"dd mmm yy"))&amp;" "&amp;Milestones!$AB$191&amp;" "&amp;Milestones!$AC$191&amp;";  ","")&amp;IF(AND(EDATE($D17,Milestones!$AA$192)&lt;=AsOfDate,IF($R17=0,$X17,IF(AND($T17&lt;&gt;"",EDATE($D17,Milestones!$AA$192)&gt;=$T17),$W17,IF(AND($S17&lt;&gt;"",EDATE($D17,Milestones!$AA$192)&gt;=$S17),$V17,$U17)))=Milestones!$AB$192),UPPER(TEXT(EDATE($D17,Milestones!$AA$192),"dd mmm yy"))&amp;" "&amp;Milestones!$AB$192&amp;" "&amp;Milestones!$AC$192&amp;";  ","")&amp;IF(AND(EDATE($D17,Milestones!$AA$193)&lt;=AsOfDate,IF($R17=0,$X17,IF(AND($T17&lt;&gt;"",EDATE($D17,Milestones!$AA$193)&gt;=$T17),$W17,IF(AND($S17&lt;&gt;"",EDATE($D17,Milestones!$AA$193)&gt;=$S17),$V17,$U17)))=Milestones!$AB$193),UPPER(TEXT(EDATE($D17,Milestones!$AA$193),"dd mmm yy"))&amp;" "&amp;Milestones!$AB$193&amp;" "&amp;Milestones!$AC$193&amp;";  ","")&amp;IF(AND(EDATE($D17,Milestones!$AA$194)&lt;=AsOfDate,IF($R17=0,$X17,IF(AND($T17&lt;&gt;"",EDATE($D17,Milestones!$AA$194)&gt;=$T17),$W17,IF(AND($S17&lt;&gt;"",EDATE($D17,Milestones!$AA$194)&gt;=$S17),$V17,$U17)))=Milestones!$AB$194),UPPER(TEXT(EDATE($D17,Milestones!$AA$194),"dd mmm yy"))&amp;" "&amp;Milestones!$AB$194&amp;" "&amp;Milestones!$AC$194&amp;";  ","")&amp;IF(AND(EDATE($D17,Milestones!$AA$195)&lt;=AsOfDate,IF($R17=0,$X17,IF(AND($T17&lt;&gt;"",EDATE($D17,Milestones!$AA$195)&gt;=$T17),$W17,IF(AND($S17&lt;&gt;"",EDATE($D17,Milestones!$AA$195)&gt;=$S17),$V17,$U17)))=Milestones!$AB$195),UPPER(TEXT(EDATE($D17,Milestones!$AA$195),"dd mmm yy"))&amp;" "&amp;Milestones!$AB$195&amp;" "&amp;Milestones!$AC$195&amp;";  ","")&amp;IF(AND(EDATE($D17,Milestones!$AA$196)&lt;=AsOfDate,IF($R17=0,$X17,IF(AND($T17&lt;&gt;"",EDATE($D17,Milestones!$AA$196)&gt;=$T17),$W17,IF(AND($S17&lt;&gt;"",EDATE($D17,Milestones!$AA$196)&gt;=$S17),$V17,$U17)))=Milestones!$AB$196),UPPER(TEXT(EDATE($D17,Milestones!$AA$196),"dd mmm yy"))&amp;" "&amp;Milestones!$AB$196&amp;" "&amp;Milestones!$AC$196&amp;";  ","")&amp;IF(AND(EDATE($D17,Milestones!$AA$197)&lt;=AsOfDate,IF($R17=0,$X17,IF(AND($T17&lt;&gt;"",EDATE($D17,Milestones!$AA$197)&gt;=$T17),$W17,IF(AND($S17&lt;&gt;"",EDATE($D17,Milestones!$AA$197)&gt;=$S17),$V17,$U17)))=Milestones!$AB$197),UPPER(TEXT(EDATE($D17,Milestones!$AA$197),"dd mmm yy"))&amp;" "&amp;Milestones!$AB$197&amp;" "&amp;Milestones!$AC$197&amp;";  ","")&amp;IF(AND(EDATE($D17,Milestones!$AA$198)&lt;=AsOfDate,IF($R17=0,$X17,IF(AND($T17&lt;&gt;"",EDATE($D17,Milestones!$AA$198)&gt;=$T17),$W17,IF(AND($S17&lt;&gt;"",EDATE($D17,Milestones!$AA$198)&gt;=$S17),$V17,$U17)))=Milestones!$AB$198),UPPER(TEXT(EDATE($D17,Milestones!$AA$198),"dd mmm yy"))&amp;" "&amp;Milestones!$AB$198&amp;" "&amp;Milestones!$AC$198&amp;";  ","")&amp;IF(AND(EDATE($D17,Milestones!$AA$199)&lt;=AsOfDate,IF($R17=0,$X17,IF(AND($T17&lt;&gt;"",EDATE($D17,Milestones!$AA$199)&gt;=$T17),$W17,IF(AND($S17&lt;&gt;"",EDATE($D17,Milestones!$AA$199)&gt;=$S17),$V17,$U17)))=Milestones!$AB$199),UPPER(TEXT(EDATE($D17,Milestones!$AA$199),"dd mmm yy"))&amp;" "&amp;Milestones!$AB$199&amp;" "&amp;Milestones!$AC$199&amp;";  ",""))</f>
        <v/>
      </c>
      <c r="R17" s="33" t="n">
        <f aca="false">IF(Staff!$A17="","",Staff!$AI17)</f>
        <v>2</v>
      </c>
      <c r="S17" s="23" t="n">
        <f aca="false">IF(Staff!$A17="","",Staff!$AK17)</f>
        <v>46119</v>
      </c>
      <c r="T17" s="0" t="str">
        <f aca="false">IF(Staff!$A17="","",Staff!$AL17)</f>
        <v/>
      </c>
      <c r="U17" s="0" t="str">
        <f aca="false">IF(Staff!$A17="","",Staff!$AP17)</f>
        <v>PT</v>
      </c>
      <c r="V17" s="0" t="str">
        <f aca="false">IF(Staff!$A17="","",Staff!$AQ17)</f>
        <v>FT</v>
      </c>
      <c r="W17" s="0" t="str">
        <f aca="false">IF(Staff!$A17="","",Staff!$AR17)</f>
        <v/>
      </c>
      <c r="X17" s="0" t="str">
        <f aca="false">IF(Staff!$A17="","",Staff!$AS17)</f>
        <v>FT</v>
      </c>
    </row>
    <row r="18" customFormat="false" ht="15" hidden="false" customHeight="false" outlineLevel="0" collapsed="false">
      <c r="A18" s="19" t="str">
        <f aca="false">IF(Staff!$A18="","",Staff!$A18)</f>
        <v>Damien</v>
      </c>
      <c r="B18" s="19" t="str">
        <f aca="false">IF(Staff!$A18="","",Staff!$B18)</f>
        <v>Suchy</v>
      </c>
      <c r="C18" s="19" t="str">
        <f aca="false">IF(Staff!$A18="","",Staff!$C18)</f>
        <v>Casual</v>
      </c>
      <c r="D18" s="17" t="n">
        <f aca="false">IF(Staff!$A18="","",Staff!$AH18)</f>
        <v>45250</v>
      </c>
      <c r="E18" s="20" t="n">
        <f aca="false">IF(Staff!$A18="","",Staff!$O18)</f>
        <v>0</v>
      </c>
      <c r="F18" s="19" t="n">
        <f aca="false">IF(E18="","",E18*HoursPerDay)</f>
        <v>0</v>
      </c>
      <c r="G18" s="20" t="n">
        <f aca="false">IF(Staff!$A18="","",Staff!$AE18)</f>
        <v>0</v>
      </c>
      <c r="H18" s="32" t="str">
        <f aca="false">IF($A18="","",I18&amp;J18&amp;K18&amp;L18&amp;M18&amp;N18&amp;O18&amp;P18&amp;Q18)</f>
        <v/>
      </c>
      <c r="I18" s="0" t="str">
        <f aca="false">IF(OR($A18="",$D18=""),"",IF(AND(EDATE($D18,Milestones!$AA$20)&lt;=AsOfDate,IF($R18=0,$X18,IF(AND($T18&lt;&gt;"",EDATE($D18,Milestones!$AA$20)&gt;=$T18),$W18,IF(AND($S18&lt;&gt;"",EDATE($D18,Milestones!$AA$20)&gt;=$S18),$V18,$U18)))=Milestones!$AB$20),UPPER(TEXT(EDATE($D18,Milestones!$AA$20),"dd mmm yy"))&amp;" "&amp;Milestones!$AB$20&amp;" "&amp;Milestones!$AC$20&amp;";  ","")&amp;IF(AND(EDATE($D18,Milestones!$AA$21)&lt;=AsOfDate,IF($R18=0,$X18,IF(AND($T18&lt;&gt;"",EDATE($D18,Milestones!$AA$21)&gt;=$T18),$W18,IF(AND($S18&lt;&gt;"",EDATE($D18,Milestones!$AA$21)&gt;=$S18),$V18,$U18)))=Milestones!$AB$21),UPPER(TEXT(EDATE($D18,Milestones!$AA$21),"dd mmm yy"))&amp;" "&amp;Milestones!$AB$21&amp;" "&amp;Milestones!$AC$21&amp;";  ","")&amp;IF(AND(EDATE($D18,Milestones!$AA$22)&lt;=AsOfDate,IF($R18=0,$X18,IF(AND($T18&lt;&gt;"",EDATE($D18,Milestones!$AA$22)&gt;=$T18),$W18,IF(AND($S18&lt;&gt;"",EDATE($D18,Milestones!$AA$22)&gt;=$S18),$V18,$U18)))=Milestones!$AB$22),UPPER(TEXT(EDATE($D18,Milestones!$AA$22),"dd mmm yy"))&amp;" "&amp;Milestones!$AB$22&amp;" "&amp;Milestones!$AC$22&amp;";  ","")&amp;IF(AND(EDATE($D18,Milestones!$AA$23)&lt;=AsOfDate,IF($R18=0,$X18,IF(AND($T18&lt;&gt;"",EDATE($D18,Milestones!$AA$23)&gt;=$T18),$W18,IF(AND($S18&lt;&gt;"",EDATE($D18,Milestones!$AA$23)&gt;=$S18),$V18,$U18)))=Milestones!$AB$23),UPPER(TEXT(EDATE($D18,Milestones!$AA$23),"dd mmm yy"))&amp;" "&amp;Milestones!$AB$23&amp;" "&amp;Milestones!$AC$23&amp;";  ","")&amp;IF(AND(EDATE($D18,Milestones!$AA$24)&lt;=AsOfDate,IF($R18=0,$X18,IF(AND($T18&lt;&gt;"",EDATE($D18,Milestones!$AA$24)&gt;=$T18),$W18,IF(AND($S18&lt;&gt;"",EDATE($D18,Milestones!$AA$24)&gt;=$S18),$V18,$U18)))=Milestones!$AB$24),UPPER(TEXT(EDATE($D18,Milestones!$AA$24),"dd mmm yy"))&amp;" "&amp;Milestones!$AB$24&amp;" "&amp;Milestones!$AC$24&amp;";  ","")&amp;IF(AND(EDATE($D18,Milestones!$AA$25)&lt;=AsOfDate,IF($R18=0,$X18,IF(AND($T18&lt;&gt;"",EDATE($D18,Milestones!$AA$25)&gt;=$T18),$W18,IF(AND($S18&lt;&gt;"",EDATE($D18,Milestones!$AA$25)&gt;=$S18),$V18,$U18)))=Milestones!$AB$25),UPPER(TEXT(EDATE($D18,Milestones!$AA$25),"dd mmm yy"))&amp;" "&amp;Milestones!$AB$25&amp;" "&amp;Milestones!$AC$25&amp;";  ","")&amp;IF(AND(EDATE($D18,Milestones!$AA$26)&lt;=AsOfDate,IF($R18=0,$X18,IF(AND($T18&lt;&gt;"",EDATE($D18,Milestones!$AA$26)&gt;=$T18),$W18,IF(AND($S18&lt;&gt;"",EDATE($D18,Milestones!$AA$26)&gt;=$S18),$V18,$U18)))=Milestones!$AB$26),UPPER(TEXT(EDATE($D18,Milestones!$AA$26),"dd mmm yy"))&amp;" "&amp;Milestones!$AB$26&amp;" "&amp;Milestones!$AC$26&amp;";  ","")&amp;IF(AND(EDATE($D18,Milestones!$AA$27)&lt;=AsOfDate,IF($R18=0,$X18,IF(AND($T18&lt;&gt;"",EDATE($D18,Milestones!$AA$27)&gt;=$T18),$W18,IF(AND($S18&lt;&gt;"",EDATE($D18,Milestones!$AA$27)&gt;=$S18),$V18,$U18)))=Milestones!$AB$27),UPPER(TEXT(EDATE($D18,Milestones!$AA$27),"dd mmm yy"))&amp;" "&amp;Milestones!$AB$27&amp;" "&amp;Milestones!$AC$27&amp;";  ","")&amp;IF(AND(EDATE($D18,Milestones!$AA$28)&lt;=AsOfDate,IF($R18=0,$X18,IF(AND($T18&lt;&gt;"",EDATE($D18,Milestones!$AA$28)&gt;=$T18),$W18,IF(AND($S18&lt;&gt;"",EDATE($D18,Milestones!$AA$28)&gt;=$S18),$V18,$U18)))=Milestones!$AB$28),UPPER(TEXT(EDATE($D18,Milestones!$AA$28),"dd mmm yy"))&amp;" "&amp;Milestones!$AB$28&amp;" "&amp;Milestones!$AC$28&amp;";  ","")&amp;IF(AND(EDATE($D18,Milestones!$AA$29)&lt;=AsOfDate,IF($R18=0,$X18,IF(AND($T18&lt;&gt;"",EDATE($D18,Milestones!$AA$29)&gt;=$T18),$W18,IF(AND($S18&lt;&gt;"",EDATE($D18,Milestones!$AA$29)&gt;=$S18),$V18,$U18)))=Milestones!$AB$29),UPPER(TEXT(EDATE($D18,Milestones!$AA$29),"dd mmm yy"))&amp;" "&amp;Milestones!$AB$29&amp;" "&amp;Milestones!$AC$29&amp;";  ","")&amp;IF(AND(EDATE($D18,Milestones!$AA$30)&lt;=AsOfDate,IF($R18=0,$X18,IF(AND($T18&lt;&gt;"",EDATE($D18,Milestones!$AA$30)&gt;=$T18),$W18,IF(AND($S18&lt;&gt;"",EDATE($D18,Milestones!$AA$30)&gt;=$S18),$V18,$U18)))=Milestones!$AB$30),UPPER(TEXT(EDATE($D18,Milestones!$AA$30),"dd mmm yy"))&amp;" "&amp;Milestones!$AB$30&amp;" "&amp;Milestones!$AC$30&amp;";  ","")&amp;IF(AND(EDATE($D18,Milestones!$AA$31)&lt;=AsOfDate,IF($R18=0,$X18,IF(AND($T18&lt;&gt;"",EDATE($D18,Milestones!$AA$31)&gt;=$T18),$W18,IF(AND($S18&lt;&gt;"",EDATE($D18,Milestones!$AA$31)&gt;=$S18),$V18,$U18)))=Milestones!$AB$31),UPPER(TEXT(EDATE($D18,Milestones!$AA$31),"dd mmm yy"))&amp;" "&amp;Milestones!$AB$31&amp;" "&amp;Milestones!$AC$31&amp;";  ","")&amp;IF(AND(EDATE($D18,Milestones!$AA$32)&lt;=AsOfDate,IF($R18=0,$X18,IF(AND($T18&lt;&gt;"",EDATE($D18,Milestones!$AA$32)&gt;=$T18),$W18,IF(AND($S18&lt;&gt;"",EDATE($D18,Milestones!$AA$32)&gt;=$S18),$V18,$U18)))=Milestones!$AB$32),UPPER(TEXT(EDATE($D18,Milestones!$AA$32),"dd mmm yy"))&amp;" "&amp;Milestones!$AB$32&amp;" "&amp;Milestones!$AC$32&amp;";  ","")&amp;IF(AND(EDATE($D18,Milestones!$AA$33)&lt;=AsOfDate,IF($R18=0,$X18,IF(AND($T18&lt;&gt;"",EDATE($D18,Milestones!$AA$33)&gt;=$T18),$W18,IF(AND($S18&lt;&gt;"",EDATE($D18,Milestones!$AA$33)&gt;=$S18),$V18,$U18)))=Milestones!$AB$33),UPPER(TEXT(EDATE($D18,Milestones!$AA$33),"dd mmm yy"))&amp;" "&amp;Milestones!$AB$33&amp;" "&amp;Milestones!$AC$33&amp;";  ","")&amp;IF(AND(EDATE($D18,Milestones!$AA$34)&lt;=AsOfDate,IF($R18=0,$X18,IF(AND($T18&lt;&gt;"",EDATE($D18,Milestones!$AA$34)&gt;=$T18),$W18,IF(AND($S18&lt;&gt;"",EDATE($D18,Milestones!$AA$34)&gt;=$S18),$V18,$U18)))=Milestones!$AB$34),UPPER(TEXT(EDATE($D18,Milestones!$AA$34),"dd mmm yy"))&amp;" "&amp;Milestones!$AB$34&amp;" "&amp;Milestones!$AC$34&amp;";  ","")&amp;IF(AND(EDATE($D18,Milestones!$AA$35)&lt;=AsOfDate,IF($R18=0,$X18,IF(AND($T18&lt;&gt;"",EDATE($D18,Milestones!$AA$35)&gt;=$T18),$W18,IF(AND($S18&lt;&gt;"",EDATE($D18,Milestones!$AA$35)&gt;=$S18),$V18,$U18)))=Milestones!$AB$35),UPPER(TEXT(EDATE($D18,Milestones!$AA$35),"dd mmm yy"))&amp;" "&amp;Milestones!$AB$35&amp;" "&amp;Milestones!$AC$35&amp;";  ","")&amp;IF(AND(EDATE($D18,Milestones!$AA$36)&lt;=AsOfDate,IF($R18=0,$X18,IF(AND($T18&lt;&gt;"",EDATE($D18,Milestones!$AA$36)&gt;=$T18),$W18,IF(AND($S18&lt;&gt;"",EDATE($D18,Milestones!$AA$36)&gt;=$S18),$V18,$U18)))=Milestones!$AB$36),UPPER(TEXT(EDATE($D18,Milestones!$AA$36),"dd mmm yy"))&amp;" "&amp;Milestones!$AB$36&amp;" "&amp;Milestones!$AC$36&amp;";  ","")&amp;IF(AND(EDATE($D18,Milestones!$AA$37)&lt;=AsOfDate,IF($R18=0,$X18,IF(AND($T18&lt;&gt;"",EDATE($D18,Milestones!$AA$37)&gt;=$T18),$W18,IF(AND($S18&lt;&gt;"",EDATE($D18,Milestones!$AA$37)&gt;=$S18),$V18,$U18)))=Milestones!$AB$37),UPPER(TEXT(EDATE($D18,Milestones!$AA$37),"dd mmm yy"))&amp;" "&amp;Milestones!$AB$37&amp;" "&amp;Milestones!$AC$37&amp;";  ","")&amp;IF(AND(EDATE($D18,Milestones!$AA$38)&lt;=AsOfDate,IF($R18=0,$X18,IF(AND($T18&lt;&gt;"",EDATE($D18,Milestones!$AA$38)&gt;=$T18),$W18,IF(AND($S18&lt;&gt;"",EDATE($D18,Milestones!$AA$38)&gt;=$S18),$V18,$U18)))=Milestones!$AB$38),UPPER(TEXT(EDATE($D18,Milestones!$AA$38),"dd mmm yy"))&amp;" "&amp;Milestones!$AB$38&amp;" "&amp;Milestones!$AC$38&amp;";  ","")&amp;IF(AND(EDATE($D18,Milestones!$AA$39)&lt;=AsOfDate,IF($R18=0,$X18,IF(AND($T18&lt;&gt;"",EDATE($D18,Milestones!$AA$39)&gt;=$T18),$W18,IF(AND($S18&lt;&gt;"",EDATE($D18,Milestones!$AA$39)&gt;=$S18),$V18,$U18)))=Milestones!$AB$39),UPPER(TEXT(EDATE($D18,Milestones!$AA$39),"dd mmm yy"))&amp;" "&amp;Milestones!$AB$39&amp;" "&amp;Milestones!$AC$39&amp;";  ",""))</f>
        <v/>
      </c>
      <c r="J18" s="0" t="str">
        <f aca="false">IF(OR($A18="",$D18=""),"",IF(AND(EDATE($D18,Milestones!$AA$40)&lt;=AsOfDate,IF($R18=0,$X18,IF(AND($T18&lt;&gt;"",EDATE($D18,Milestones!$AA$40)&gt;=$T18),$W18,IF(AND($S18&lt;&gt;"",EDATE($D18,Milestones!$AA$40)&gt;=$S18),$V18,$U18)))=Milestones!$AB$40),UPPER(TEXT(EDATE($D18,Milestones!$AA$40),"dd mmm yy"))&amp;" "&amp;Milestones!$AB$40&amp;" "&amp;Milestones!$AC$40&amp;";  ","")&amp;IF(AND(EDATE($D18,Milestones!$AA$41)&lt;=AsOfDate,IF($R18=0,$X18,IF(AND($T18&lt;&gt;"",EDATE($D18,Milestones!$AA$41)&gt;=$T18),$W18,IF(AND($S18&lt;&gt;"",EDATE($D18,Milestones!$AA$41)&gt;=$S18),$V18,$U18)))=Milestones!$AB$41),UPPER(TEXT(EDATE($D18,Milestones!$AA$41),"dd mmm yy"))&amp;" "&amp;Milestones!$AB$41&amp;" "&amp;Milestones!$AC$41&amp;";  ","")&amp;IF(AND(EDATE($D18,Milestones!$AA$42)&lt;=AsOfDate,IF($R18=0,$X18,IF(AND($T18&lt;&gt;"",EDATE($D18,Milestones!$AA$42)&gt;=$T18),$W18,IF(AND($S18&lt;&gt;"",EDATE($D18,Milestones!$AA$42)&gt;=$S18),$V18,$U18)))=Milestones!$AB$42),UPPER(TEXT(EDATE($D18,Milestones!$AA$42),"dd mmm yy"))&amp;" "&amp;Milestones!$AB$42&amp;" "&amp;Milestones!$AC$42&amp;";  ","")&amp;IF(AND(EDATE($D18,Milestones!$AA$43)&lt;=AsOfDate,IF($R18=0,$X18,IF(AND($T18&lt;&gt;"",EDATE($D18,Milestones!$AA$43)&gt;=$T18),$W18,IF(AND($S18&lt;&gt;"",EDATE($D18,Milestones!$AA$43)&gt;=$S18),$V18,$U18)))=Milestones!$AB$43),UPPER(TEXT(EDATE($D18,Milestones!$AA$43),"dd mmm yy"))&amp;" "&amp;Milestones!$AB$43&amp;" "&amp;Milestones!$AC$43&amp;";  ","")&amp;IF(AND(EDATE($D18,Milestones!$AA$44)&lt;=AsOfDate,IF($R18=0,$X18,IF(AND($T18&lt;&gt;"",EDATE($D18,Milestones!$AA$44)&gt;=$T18),$W18,IF(AND($S18&lt;&gt;"",EDATE($D18,Milestones!$AA$44)&gt;=$S18),$V18,$U18)))=Milestones!$AB$44),UPPER(TEXT(EDATE($D18,Milestones!$AA$44),"dd mmm yy"))&amp;" "&amp;Milestones!$AB$44&amp;" "&amp;Milestones!$AC$44&amp;";  ","")&amp;IF(AND(EDATE($D18,Milestones!$AA$45)&lt;=AsOfDate,IF($R18=0,$X18,IF(AND($T18&lt;&gt;"",EDATE($D18,Milestones!$AA$45)&gt;=$T18),$W18,IF(AND($S18&lt;&gt;"",EDATE($D18,Milestones!$AA$45)&gt;=$S18),$V18,$U18)))=Milestones!$AB$45),UPPER(TEXT(EDATE($D18,Milestones!$AA$45),"dd mmm yy"))&amp;" "&amp;Milestones!$AB$45&amp;" "&amp;Milestones!$AC$45&amp;";  ","")&amp;IF(AND(EDATE($D18,Milestones!$AA$46)&lt;=AsOfDate,IF($R18=0,$X18,IF(AND($T18&lt;&gt;"",EDATE($D18,Milestones!$AA$46)&gt;=$T18),$W18,IF(AND($S18&lt;&gt;"",EDATE($D18,Milestones!$AA$46)&gt;=$S18),$V18,$U18)))=Milestones!$AB$46),UPPER(TEXT(EDATE($D18,Milestones!$AA$46),"dd mmm yy"))&amp;" "&amp;Milestones!$AB$46&amp;" "&amp;Milestones!$AC$46&amp;";  ","")&amp;IF(AND(EDATE($D18,Milestones!$AA$47)&lt;=AsOfDate,IF($R18=0,$X18,IF(AND($T18&lt;&gt;"",EDATE($D18,Milestones!$AA$47)&gt;=$T18),$W18,IF(AND($S18&lt;&gt;"",EDATE($D18,Milestones!$AA$47)&gt;=$S18),$V18,$U18)))=Milestones!$AB$47),UPPER(TEXT(EDATE($D18,Milestones!$AA$47),"dd mmm yy"))&amp;" "&amp;Milestones!$AB$47&amp;" "&amp;Milestones!$AC$47&amp;";  ","")&amp;IF(AND(EDATE($D18,Milestones!$AA$48)&lt;=AsOfDate,IF($R18=0,$X18,IF(AND($T18&lt;&gt;"",EDATE($D18,Milestones!$AA$48)&gt;=$T18),$W18,IF(AND($S18&lt;&gt;"",EDATE($D18,Milestones!$AA$48)&gt;=$S18),$V18,$U18)))=Milestones!$AB$48),UPPER(TEXT(EDATE($D18,Milestones!$AA$48),"dd mmm yy"))&amp;" "&amp;Milestones!$AB$48&amp;" "&amp;Milestones!$AC$48&amp;";  ","")&amp;IF(AND(EDATE($D18,Milestones!$AA$49)&lt;=AsOfDate,IF($R18=0,$X18,IF(AND($T18&lt;&gt;"",EDATE($D18,Milestones!$AA$49)&gt;=$T18),$W18,IF(AND($S18&lt;&gt;"",EDATE($D18,Milestones!$AA$49)&gt;=$S18),$V18,$U18)))=Milestones!$AB$49),UPPER(TEXT(EDATE($D18,Milestones!$AA$49),"dd mmm yy"))&amp;" "&amp;Milestones!$AB$49&amp;" "&amp;Milestones!$AC$49&amp;";  ","")&amp;IF(AND(EDATE($D18,Milestones!$AA$50)&lt;=AsOfDate,IF($R18=0,$X18,IF(AND($T18&lt;&gt;"",EDATE($D18,Milestones!$AA$50)&gt;=$T18),$W18,IF(AND($S18&lt;&gt;"",EDATE($D18,Milestones!$AA$50)&gt;=$S18),$V18,$U18)))=Milestones!$AB$50),UPPER(TEXT(EDATE($D18,Milestones!$AA$50),"dd mmm yy"))&amp;" "&amp;Milestones!$AB$50&amp;" "&amp;Milestones!$AC$50&amp;";  ","")&amp;IF(AND(EDATE($D18,Milestones!$AA$51)&lt;=AsOfDate,IF($R18=0,$X18,IF(AND($T18&lt;&gt;"",EDATE($D18,Milestones!$AA$51)&gt;=$T18),$W18,IF(AND($S18&lt;&gt;"",EDATE($D18,Milestones!$AA$51)&gt;=$S18),$V18,$U18)))=Milestones!$AB$51),UPPER(TEXT(EDATE($D18,Milestones!$AA$51),"dd mmm yy"))&amp;" "&amp;Milestones!$AB$51&amp;" "&amp;Milestones!$AC$51&amp;";  ","")&amp;IF(AND(EDATE($D18,Milestones!$AA$52)&lt;=AsOfDate,IF($R18=0,$X18,IF(AND($T18&lt;&gt;"",EDATE($D18,Milestones!$AA$52)&gt;=$T18),$W18,IF(AND($S18&lt;&gt;"",EDATE($D18,Milestones!$AA$52)&gt;=$S18),$V18,$U18)))=Milestones!$AB$52),UPPER(TEXT(EDATE($D18,Milestones!$AA$52),"dd mmm yy"))&amp;" "&amp;Milestones!$AB$52&amp;" "&amp;Milestones!$AC$52&amp;";  ","")&amp;IF(AND(EDATE($D18,Milestones!$AA$53)&lt;=AsOfDate,IF($R18=0,$X18,IF(AND($T18&lt;&gt;"",EDATE($D18,Milestones!$AA$53)&gt;=$T18),$W18,IF(AND($S18&lt;&gt;"",EDATE($D18,Milestones!$AA$53)&gt;=$S18),$V18,$U18)))=Milestones!$AB$53),UPPER(TEXT(EDATE($D18,Milestones!$AA$53),"dd mmm yy"))&amp;" "&amp;Milestones!$AB$53&amp;" "&amp;Milestones!$AC$53&amp;";  ","")&amp;IF(AND(EDATE($D18,Milestones!$AA$54)&lt;=AsOfDate,IF($R18=0,$X18,IF(AND($T18&lt;&gt;"",EDATE($D18,Milestones!$AA$54)&gt;=$T18),$W18,IF(AND($S18&lt;&gt;"",EDATE($D18,Milestones!$AA$54)&gt;=$S18),$V18,$U18)))=Milestones!$AB$54),UPPER(TEXT(EDATE($D18,Milestones!$AA$54),"dd mmm yy"))&amp;" "&amp;Milestones!$AB$54&amp;" "&amp;Milestones!$AC$54&amp;";  ","")&amp;IF(AND(EDATE($D18,Milestones!$AA$55)&lt;=AsOfDate,IF($R18=0,$X18,IF(AND($T18&lt;&gt;"",EDATE($D18,Milestones!$AA$55)&gt;=$T18),$W18,IF(AND($S18&lt;&gt;"",EDATE($D18,Milestones!$AA$55)&gt;=$S18),$V18,$U18)))=Milestones!$AB$55),UPPER(TEXT(EDATE($D18,Milestones!$AA$55),"dd mmm yy"))&amp;" "&amp;Milestones!$AB$55&amp;" "&amp;Milestones!$AC$55&amp;";  ","")&amp;IF(AND(EDATE($D18,Milestones!$AA$56)&lt;=AsOfDate,IF($R18=0,$X18,IF(AND($T18&lt;&gt;"",EDATE($D18,Milestones!$AA$56)&gt;=$T18),$W18,IF(AND($S18&lt;&gt;"",EDATE($D18,Milestones!$AA$56)&gt;=$S18),$V18,$U18)))=Milestones!$AB$56),UPPER(TEXT(EDATE($D18,Milestones!$AA$56),"dd mmm yy"))&amp;" "&amp;Milestones!$AB$56&amp;" "&amp;Milestones!$AC$56&amp;";  ","")&amp;IF(AND(EDATE($D18,Milestones!$AA$57)&lt;=AsOfDate,IF($R18=0,$X18,IF(AND($T18&lt;&gt;"",EDATE($D18,Milestones!$AA$57)&gt;=$T18),$W18,IF(AND($S18&lt;&gt;"",EDATE($D18,Milestones!$AA$57)&gt;=$S18),$V18,$U18)))=Milestones!$AB$57),UPPER(TEXT(EDATE($D18,Milestones!$AA$57),"dd mmm yy"))&amp;" "&amp;Milestones!$AB$57&amp;" "&amp;Milestones!$AC$57&amp;";  ","")&amp;IF(AND(EDATE($D18,Milestones!$AA$58)&lt;=AsOfDate,IF($R18=0,$X18,IF(AND($T18&lt;&gt;"",EDATE($D18,Milestones!$AA$58)&gt;=$T18),$W18,IF(AND($S18&lt;&gt;"",EDATE($D18,Milestones!$AA$58)&gt;=$S18),$V18,$U18)))=Milestones!$AB$58),UPPER(TEXT(EDATE($D18,Milestones!$AA$58),"dd mmm yy"))&amp;" "&amp;Milestones!$AB$58&amp;" "&amp;Milestones!$AC$58&amp;";  ","")&amp;IF(AND(EDATE($D18,Milestones!$AA$59)&lt;=AsOfDate,IF($R18=0,$X18,IF(AND($T18&lt;&gt;"",EDATE($D18,Milestones!$AA$59)&gt;=$T18),$W18,IF(AND($S18&lt;&gt;"",EDATE($D18,Milestones!$AA$59)&gt;=$S18),$V18,$U18)))=Milestones!$AB$59),UPPER(TEXT(EDATE($D18,Milestones!$AA$59),"dd mmm yy"))&amp;" "&amp;Milestones!$AB$59&amp;" "&amp;Milestones!$AC$59&amp;";  ",""))</f>
        <v/>
      </c>
      <c r="K18" s="0" t="str">
        <f aca="false">IF(OR($A18="",$D18=""),"",IF(AND(EDATE($D18,Milestones!$AA$60)&lt;=AsOfDate,IF($R18=0,$X18,IF(AND($T18&lt;&gt;"",EDATE($D18,Milestones!$AA$60)&gt;=$T18),$W18,IF(AND($S18&lt;&gt;"",EDATE($D18,Milestones!$AA$60)&gt;=$S18),$V18,$U18)))=Milestones!$AB$60),UPPER(TEXT(EDATE($D18,Milestones!$AA$60),"dd mmm yy"))&amp;" "&amp;Milestones!$AB$60&amp;" "&amp;Milestones!$AC$60&amp;";  ","")&amp;IF(AND(EDATE($D18,Milestones!$AA$61)&lt;=AsOfDate,IF($R18=0,$X18,IF(AND($T18&lt;&gt;"",EDATE($D18,Milestones!$AA$61)&gt;=$T18),$W18,IF(AND($S18&lt;&gt;"",EDATE($D18,Milestones!$AA$61)&gt;=$S18),$V18,$U18)))=Milestones!$AB$61),UPPER(TEXT(EDATE($D18,Milestones!$AA$61),"dd mmm yy"))&amp;" "&amp;Milestones!$AB$61&amp;" "&amp;Milestones!$AC$61&amp;";  ","")&amp;IF(AND(EDATE($D18,Milestones!$AA$62)&lt;=AsOfDate,IF($R18=0,$X18,IF(AND($T18&lt;&gt;"",EDATE($D18,Milestones!$AA$62)&gt;=$T18),$W18,IF(AND($S18&lt;&gt;"",EDATE($D18,Milestones!$AA$62)&gt;=$S18),$V18,$U18)))=Milestones!$AB$62),UPPER(TEXT(EDATE($D18,Milestones!$AA$62),"dd mmm yy"))&amp;" "&amp;Milestones!$AB$62&amp;" "&amp;Milestones!$AC$62&amp;";  ","")&amp;IF(AND(EDATE($D18,Milestones!$AA$63)&lt;=AsOfDate,IF($R18=0,$X18,IF(AND($T18&lt;&gt;"",EDATE($D18,Milestones!$AA$63)&gt;=$T18),$W18,IF(AND($S18&lt;&gt;"",EDATE($D18,Milestones!$AA$63)&gt;=$S18),$V18,$U18)))=Milestones!$AB$63),UPPER(TEXT(EDATE($D18,Milestones!$AA$63),"dd mmm yy"))&amp;" "&amp;Milestones!$AB$63&amp;" "&amp;Milestones!$AC$63&amp;";  ","")&amp;IF(AND(EDATE($D18,Milestones!$AA$64)&lt;=AsOfDate,IF($R18=0,$X18,IF(AND($T18&lt;&gt;"",EDATE($D18,Milestones!$AA$64)&gt;=$T18),$W18,IF(AND($S18&lt;&gt;"",EDATE($D18,Milestones!$AA$64)&gt;=$S18),$V18,$U18)))=Milestones!$AB$64),UPPER(TEXT(EDATE($D18,Milestones!$AA$64),"dd mmm yy"))&amp;" "&amp;Milestones!$AB$64&amp;" "&amp;Milestones!$AC$64&amp;";  ","")&amp;IF(AND(EDATE($D18,Milestones!$AA$65)&lt;=AsOfDate,IF($R18=0,$X18,IF(AND($T18&lt;&gt;"",EDATE($D18,Milestones!$AA$65)&gt;=$T18),$W18,IF(AND($S18&lt;&gt;"",EDATE($D18,Milestones!$AA$65)&gt;=$S18),$V18,$U18)))=Milestones!$AB$65),UPPER(TEXT(EDATE($D18,Milestones!$AA$65),"dd mmm yy"))&amp;" "&amp;Milestones!$AB$65&amp;" "&amp;Milestones!$AC$65&amp;";  ","")&amp;IF(AND(EDATE($D18,Milestones!$AA$66)&lt;=AsOfDate,IF($R18=0,$X18,IF(AND($T18&lt;&gt;"",EDATE($D18,Milestones!$AA$66)&gt;=$T18),$W18,IF(AND($S18&lt;&gt;"",EDATE($D18,Milestones!$AA$66)&gt;=$S18),$V18,$U18)))=Milestones!$AB$66),UPPER(TEXT(EDATE($D18,Milestones!$AA$66),"dd mmm yy"))&amp;" "&amp;Milestones!$AB$66&amp;" "&amp;Milestones!$AC$66&amp;";  ","")&amp;IF(AND(EDATE($D18,Milestones!$AA$67)&lt;=AsOfDate,IF($R18=0,$X18,IF(AND($T18&lt;&gt;"",EDATE($D18,Milestones!$AA$67)&gt;=$T18),$W18,IF(AND($S18&lt;&gt;"",EDATE($D18,Milestones!$AA$67)&gt;=$S18),$V18,$U18)))=Milestones!$AB$67),UPPER(TEXT(EDATE($D18,Milestones!$AA$67),"dd mmm yy"))&amp;" "&amp;Milestones!$AB$67&amp;" "&amp;Milestones!$AC$67&amp;";  ","")&amp;IF(AND(EDATE($D18,Milestones!$AA$68)&lt;=AsOfDate,IF($R18=0,$X18,IF(AND($T18&lt;&gt;"",EDATE($D18,Milestones!$AA$68)&gt;=$T18),$W18,IF(AND($S18&lt;&gt;"",EDATE($D18,Milestones!$AA$68)&gt;=$S18),$V18,$U18)))=Milestones!$AB$68),UPPER(TEXT(EDATE($D18,Milestones!$AA$68),"dd mmm yy"))&amp;" "&amp;Milestones!$AB$68&amp;" "&amp;Milestones!$AC$68&amp;";  ","")&amp;IF(AND(EDATE($D18,Milestones!$AA$69)&lt;=AsOfDate,IF($R18=0,$X18,IF(AND($T18&lt;&gt;"",EDATE($D18,Milestones!$AA$69)&gt;=$T18),$W18,IF(AND($S18&lt;&gt;"",EDATE($D18,Milestones!$AA$69)&gt;=$S18),$V18,$U18)))=Milestones!$AB$69),UPPER(TEXT(EDATE($D18,Milestones!$AA$69),"dd mmm yy"))&amp;" "&amp;Milestones!$AB$69&amp;" "&amp;Milestones!$AC$69&amp;";  ","")&amp;IF(AND(EDATE($D18,Milestones!$AA$70)&lt;=AsOfDate,IF($R18=0,$X18,IF(AND($T18&lt;&gt;"",EDATE($D18,Milestones!$AA$70)&gt;=$T18),$W18,IF(AND($S18&lt;&gt;"",EDATE($D18,Milestones!$AA$70)&gt;=$S18),$V18,$U18)))=Milestones!$AB$70),UPPER(TEXT(EDATE($D18,Milestones!$AA$70),"dd mmm yy"))&amp;" "&amp;Milestones!$AB$70&amp;" "&amp;Milestones!$AC$70&amp;";  ","")&amp;IF(AND(EDATE($D18,Milestones!$AA$71)&lt;=AsOfDate,IF($R18=0,$X18,IF(AND($T18&lt;&gt;"",EDATE($D18,Milestones!$AA$71)&gt;=$T18),$W18,IF(AND($S18&lt;&gt;"",EDATE($D18,Milestones!$AA$71)&gt;=$S18),$V18,$U18)))=Milestones!$AB$71),UPPER(TEXT(EDATE($D18,Milestones!$AA$71),"dd mmm yy"))&amp;" "&amp;Milestones!$AB$71&amp;" "&amp;Milestones!$AC$71&amp;";  ","")&amp;IF(AND(EDATE($D18,Milestones!$AA$72)&lt;=AsOfDate,IF($R18=0,$X18,IF(AND($T18&lt;&gt;"",EDATE($D18,Milestones!$AA$72)&gt;=$T18),$W18,IF(AND($S18&lt;&gt;"",EDATE($D18,Milestones!$AA$72)&gt;=$S18),$V18,$U18)))=Milestones!$AB$72),UPPER(TEXT(EDATE($D18,Milestones!$AA$72),"dd mmm yy"))&amp;" "&amp;Milestones!$AB$72&amp;" "&amp;Milestones!$AC$72&amp;";  ","")&amp;IF(AND(EDATE($D18,Milestones!$AA$73)&lt;=AsOfDate,IF($R18=0,$X18,IF(AND($T18&lt;&gt;"",EDATE($D18,Milestones!$AA$73)&gt;=$T18),$W18,IF(AND($S18&lt;&gt;"",EDATE($D18,Milestones!$AA$73)&gt;=$S18),$V18,$U18)))=Milestones!$AB$73),UPPER(TEXT(EDATE($D18,Milestones!$AA$73),"dd mmm yy"))&amp;" "&amp;Milestones!$AB$73&amp;" "&amp;Milestones!$AC$73&amp;";  ","")&amp;IF(AND(EDATE($D18,Milestones!$AA$74)&lt;=AsOfDate,IF($R18=0,$X18,IF(AND($T18&lt;&gt;"",EDATE($D18,Milestones!$AA$74)&gt;=$T18),$W18,IF(AND($S18&lt;&gt;"",EDATE($D18,Milestones!$AA$74)&gt;=$S18),$V18,$U18)))=Milestones!$AB$74),UPPER(TEXT(EDATE($D18,Milestones!$AA$74),"dd mmm yy"))&amp;" "&amp;Milestones!$AB$74&amp;" "&amp;Milestones!$AC$74&amp;";  ","")&amp;IF(AND(EDATE($D18,Milestones!$AA$75)&lt;=AsOfDate,IF($R18=0,$X18,IF(AND($T18&lt;&gt;"",EDATE($D18,Milestones!$AA$75)&gt;=$T18),$W18,IF(AND($S18&lt;&gt;"",EDATE($D18,Milestones!$AA$75)&gt;=$S18),$V18,$U18)))=Milestones!$AB$75),UPPER(TEXT(EDATE($D18,Milestones!$AA$75),"dd mmm yy"))&amp;" "&amp;Milestones!$AB$75&amp;" "&amp;Milestones!$AC$75&amp;";  ","")&amp;IF(AND(EDATE($D18,Milestones!$AA$76)&lt;=AsOfDate,IF($R18=0,$X18,IF(AND($T18&lt;&gt;"",EDATE($D18,Milestones!$AA$76)&gt;=$T18),$W18,IF(AND($S18&lt;&gt;"",EDATE($D18,Milestones!$AA$76)&gt;=$S18),$V18,$U18)))=Milestones!$AB$76),UPPER(TEXT(EDATE($D18,Milestones!$AA$76),"dd mmm yy"))&amp;" "&amp;Milestones!$AB$76&amp;" "&amp;Milestones!$AC$76&amp;";  ","")&amp;IF(AND(EDATE($D18,Milestones!$AA$77)&lt;=AsOfDate,IF($R18=0,$X18,IF(AND($T18&lt;&gt;"",EDATE($D18,Milestones!$AA$77)&gt;=$T18),$W18,IF(AND($S18&lt;&gt;"",EDATE($D18,Milestones!$AA$77)&gt;=$S18),$V18,$U18)))=Milestones!$AB$77),UPPER(TEXT(EDATE($D18,Milestones!$AA$77),"dd mmm yy"))&amp;" "&amp;Milestones!$AB$77&amp;" "&amp;Milestones!$AC$77&amp;";  ","")&amp;IF(AND(EDATE($D18,Milestones!$AA$78)&lt;=AsOfDate,IF($R18=0,$X18,IF(AND($T18&lt;&gt;"",EDATE($D18,Milestones!$AA$78)&gt;=$T18),$W18,IF(AND($S18&lt;&gt;"",EDATE($D18,Milestones!$AA$78)&gt;=$S18),$V18,$U18)))=Milestones!$AB$78),UPPER(TEXT(EDATE($D18,Milestones!$AA$78),"dd mmm yy"))&amp;" "&amp;Milestones!$AB$78&amp;" "&amp;Milestones!$AC$78&amp;";  ","")&amp;IF(AND(EDATE($D18,Milestones!$AA$79)&lt;=AsOfDate,IF($R18=0,$X18,IF(AND($T18&lt;&gt;"",EDATE($D18,Milestones!$AA$79)&gt;=$T18),$W18,IF(AND($S18&lt;&gt;"",EDATE($D18,Milestones!$AA$79)&gt;=$S18),$V18,$U18)))=Milestones!$AB$79),UPPER(TEXT(EDATE($D18,Milestones!$AA$79),"dd mmm yy"))&amp;" "&amp;Milestones!$AB$79&amp;" "&amp;Milestones!$AC$79&amp;";  ",""))</f>
        <v/>
      </c>
      <c r="L18" s="0" t="str">
        <f aca="false">IF(OR($A18="",$D18=""),"",IF(AND(EDATE($D18,Milestones!$AA$80)&lt;=AsOfDate,IF($R18=0,$X18,IF(AND($T18&lt;&gt;"",EDATE($D18,Milestones!$AA$80)&gt;=$T18),$W18,IF(AND($S18&lt;&gt;"",EDATE($D18,Milestones!$AA$80)&gt;=$S18),$V18,$U18)))=Milestones!$AB$80),UPPER(TEXT(EDATE($D18,Milestones!$AA$80),"dd mmm yy"))&amp;" "&amp;Milestones!$AB$80&amp;" "&amp;Milestones!$AC$80&amp;";  ","")&amp;IF(AND(EDATE($D18,Milestones!$AA$81)&lt;=AsOfDate,IF($R18=0,$X18,IF(AND($T18&lt;&gt;"",EDATE($D18,Milestones!$AA$81)&gt;=$T18),$W18,IF(AND($S18&lt;&gt;"",EDATE($D18,Milestones!$AA$81)&gt;=$S18),$V18,$U18)))=Milestones!$AB$81),UPPER(TEXT(EDATE($D18,Milestones!$AA$81),"dd mmm yy"))&amp;" "&amp;Milestones!$AB$81&amp;" "&amp;Milestones!$AC$81&amp;";  ","")&amp;IF(AND(EDATE($D18,Milestones!$AA$82)&lt;=AsOfDate,IF($R18=0,$X18,IF(AND($T18&lt;&gt;"",EDATE($D18,Milestones!$AA$82)&gt;=$T18),$W18,IF(AND($S18&lt;&gt;"",EDATE($D18,Milestones!$AA$82)&gt;=$S18),$V18,$U18)))=Milestones!$AB$82),UPPER(TEXT(EDATE($D18,Milestones!$AA$82),"dd mmm yy"))&amp;" "&amp;Milestones!$AB$82&amp;" "&amp;Milestones!$AC$82&amp;";  ","")&amp;IF(AND(EDATE($D18,Milestones!$AA$83)&lt;=AsOfDate,IF($R18=0,$X18,IF(AND($T18&lt;&gt;"",EDATE($D18,Milestones!$AA$83)&gt;=$T18),$W18,IF(AND($S18&lt;&gt;"",EDATE($D18,Milestones!$AA$83)&gt;=$S18),$V18,$U18)))=Milestones!$AB$83),UPPER(TEXT(EDATE($D18,Milestones!$AA$83),"dd mmm yy"))&amp;" "&amp;Milestones!$AB$83&amp;" "&amp;Milestones!$AC$83&amp;";  ","")&amp;IF(AND(EDATE($D18,Milestones!$AA$84)&lt;=AsOfDate,IF($R18=0,$X18,IF(AND($T18&lt;&gt;"",EDATE($D18,Milestones!$AA$84)&gt;=$T18),$W18,IF(AND($S18&lt;&gt;"",EDATE($D18,Milestones!$AA$84)&gt;=$S18),$V18,$U18)))=Milestones!$AB$84),UPPER(TEXT(EDATE($D18,Milestones!$AA$84),"dd mmm yy"))&amp;" "&amp;Milestones!$AB$84&amp;" "&amp;Milestones!$AC$84&amp;";  ","")&amp;IF(AND(EDATE($D18,Milestones!$AA$85)&lt;=AsOfDate,IF($R18=0,$X18,IF(AND($T18&lt;&gt;"",EDATE($D18,Milestones!$AA$85)&gt;=$T18),$W18,IF(AND($S18&lt;&gt;"",EDATE($D18,Milestones!$AA$85)&gt;=$S18),$V18,$U18)))=Milestones!$AB$85),UPPER(TEXT(EDATE($D18,Milestones!$AA$85),"dd mmm yy"))&amp;" "&amp;Milestones!$AB$85&amp;" "&amp;Milestones!$AC$85&amp;";  ","")&amp;IF(AND(EDATE($D18,Milestones!$AA$86)&lt;=AsOfDate,IF($R18=0,$X18,IF(AND($T18&lt;&gt;"",EDATE($D18,Milestones!$AA$86)&gt;=$T18),$W18,IF(AND($S18&lt;&gt;"",EDATE($D18,Milestones!$AA$86)&gt;=$S18),$V18,$U18)))=Milestones!$AB$86),UPPER(TEXT(EDATE($D18,Milestones!$AA$86),"dd mmm yy"))&amp;" "&amp;Milestones!$AB$86&amp;" "&amp;Milestones!$AC$86&amp;";  ","")&amp;IF(AND(EDATE($D18,Milestones!$AA$87)&lt;=AsOfDate,IF($R18=0,$X18,IF(AND($T18&lt;&gt;"",EDATE($D18,Milestones!$AA$87)&gt;=$T18),$W18,IF(AND($S18&lt;&gt;"",EDATE($D18,Milestones!$AA$87)&gt;=$S18),$V18,$U18)))=Milestones!$AB$87),UPPER(TEXT(EDATE($D18,Milestones!$AA$87),"dd mmm yy"))&amp;" "&amp;Milestones!$AB$87&amp;" "&amp;Milestones!$AC$87&amp;";  ","")&amp;IF(AND(EDATE($D18,Milestones!$AA$88)&lt;=AsOfDate,IF($R18=0,$X18,IF(AND($T18&lt;&gt;"",EDATE($D18,Milestones!$AA$88)&gt;=$T18),$W18,IF(AND($S18&lt;&gt;"",EDATE($D18,Milestones!$AA$88)&gt;=$S18),$V18,$U18)))=Milestones!$AB$88),UPPER(TEXT(EDATE($D18,Milestones!$AA$88),"dd mmm yy"))&amp;" "&amp;Milestones!$AB$88&amp;" "&amp;Milestones!$AC$88&amp;";  ","")&amp;IF(AND(EDATE($D18,Milestones!$AA$89)&lt;=AsOfDate,IF($R18=0,$X18,IF(AND($T18&lt;&gt;"",EDATE($D18,Milestones!$AA$89)&gt;=$T18),$W18,IF(AND($S18&lt;&gt;"",EDATE($D18,Milestones!$AA$89)&gt;=$S18),$V18,$U18)))=Milestones!$AB$89),UPPER(TEXT(EDATE($D18,Milestones!$AA$89),"dd mmm yy"))&amp;" "&amp;Milestones!$AB$89&amp;" "&amp;Milestones!$AC$89&amp;";  ","")&amp;IF(AND(EDATE($D18,Milestones!$AA$90)&lt;=AsOfDate,IF($R18=0,$X18,IF(AND($T18&lt;&gt;"",EDATE($D18,Milestones!$AA$90)&gt;=$T18),$W18,IF(AND($S18&lt;&gt;"",EDATE($D18,Milestones!$AA$90)&gt;=$S18),$V18,$U18)))=Milestones!$AB$90),UPPER(TEXT(EDATE($D18,Milestones!$AA$90),"dd mmm yy"))&amp;" "&amp;Milestones!$AB$90&amp;" "&amp;Milestones!$AC$90&amp;";  ","")&amp;IF(AND(EDATE($D18,Milestones!$AA$91)&lt;=AsOfDate,IF($R18=0,$X18,IF(AND($T18&lt;&gt;"",EDATE($D18,Milestones!$AA$91)&gt;=$T18),$W18,IF(AND($S18&lt;&gt;"",EDATE($D18,Milestones!$AA$91)&gt;=$S18),$V18,$U18)))=Milestones!$AB$91),UPPER(TEXT(EDATE($D18,Milestones!$AA$91),"dd mmm yy"))&amp;" "&amp;Milestones!$AB$91&amp;" "&amp;Milestones!$AC$91&amp;";  ","")&amp;IF(AND(EDATE($D18,Milestones!$AA$92)&lt;=AsOfDate,IF($R18=0,$X18,IF(AND($T18&lt;&gt;"",EDATE($D18,Milestones!$AA$92)&gt;=$T18),$W18,IF(AND($S18&lt;&gt;"",EDATE($D18,Milestones!$AA$92)&gt;=$S18),$V18,$U18)))=Milestones!$AB$92),UPPER(TEXT(EDATE($D18,Milestones!$AA$92),"dd mmm yy"))&amp;" "&amp;Milestones!$AB$92&amp;" "&amp;Milestones!$AC$92&amp;";  ","")&amp;IF(AND(EDATE($D18,Milestones!$AA$93)&lt;=AsOfDate,IF($R18=0,$X18,IF(AND($T18&lt;&gt;"",EDATE($D18,Milestones!$AA$93)&gt;=$T18),$W18,IF(AND($S18&lt;&gt;"",EDATE($D18,Milestones!$AA$93)&gt;=$S18),$V18,$U18)))=Milestones!$AB$93),UPPER(TEXT(EDATE($D18,Milestones!$AA$93),"dd mmm yy"))&amp;" "&amp;Milestones!$AB$93&amp;" "&amp;Milestones!$AC$93&amp;";  ","")&amp;IF(AND(EDATE($D18,Milestones!$AA$94)&lt;=AsOfDate,IF($R18=0,$X18,IF(AND($T18&lt;&gt;"",EDATE($D18,Milestones!$AA$94)&gt;=$T18),$W18,IF(AND($S18&lt;&gt;"",EDATE($D18,Milestones!$AA$94)&gt;=$S18),$V18,$U18)))=Milestones!$AB$94),UPPER(TEXT(EDATE($D18,Milestones!$AA$94),"dd mmm yy"))&amp;" "&amp;Milestones!$AB$94&amp;" "&amp;Milestones!$AC$94&amp;";  ","")&amp;IF(AND(EDATE($D18,Milestones!$AA$95)&lt;=AsOfDate,IF($R18=0,$X18,IF(AND($T18&lt;&gt;"",EDATE($D18,Milestones!$AA$95)&gt;=$T18),$W18,IF(AND($S18&lt;&gt;"",EDATE($D18,Milestones!$AA$95)&gt;=$S18),$V18,$U18)))=Milestones!$AB$95),UPPER(TEXT(EDATE($D18,Milestones!$AA$95),"dd mmm yy"))&amp;" "&amp;Milestones!$AB$95&amp;" "&amp;Milestones!$AC$95&amp;";  ","")&amp;IF(AND(EDATE($D18,Milestones!$AA$96)&lt;=AsOfDate,IF($R18=0,$X18,IF(AND($T18&lt;&gt;"",EDATE($D18,Milestones!$AA$96)&gt;=$T18),$W18,IF(AND($S18&lt;&gt;"",EDATE($D18,Milestones!$AA$96)&gt;=$S18),$V18,$U18)))=Milestones!$AB$96),UPPER(TEXT(EDATE($D18,Milestones!$AA$96),"dd mmm yy"))&amp;" "&amp;Milestones!$AB$96&amp;" "&amp;Milestones!$AC$96&amp;";  ","")&amp;IF(AND(EDATE($D18,Milestones!$AA$97)&lt;=AsOfDate,IF($R18=0,$X18,IF(AND($T18&lt;&gt;"",EDATE($D18,Milestones!$AA$97)&gt;=$T18),$W18,IF(AND($S18&lt;&gt;"",EDATE($D18,Milestones!$AA$97)&gt;=$S18),$V18,$U18)))=Milestones!$AB$97),UPPER(TEXT(EDATE($D18,Milestones!$AA$97),"dd mmm yy"))&amp;" "&amp;Milestones!$AB$97&amp;" "&amp;Milestones!$AC$97&amp;";  ","")&amp;IF(AND(EDATE($D18,Milestones!$AA$98)&lt;=AsOfDate,IF($R18=0,$X18,IF(AND($T18&lt;&gt;"",EDATE($D18,Milestones!$AA$98)&gt;=$T18),$W18,IF(AND($S18&lt;&gt;"",EDATE($D18,Milestones!$AA$98)&gt;=$S18),$V18,$U18)))=Milestones!$AB$98),UPPER(TEXT(EDATE($D18,Milestones!$AA$98),"dd mmm yy"))&amp;" "&amp;Milestones!$AB$98&amp;" "&amp;Milestones!$AC$98&amp;";  ","")&amp;IF(AND(EDATE($D18,Milestones!$AA$99)&lt;=AsOfDate,IF($R18=0,$X18,IF(AND($T18&lt;&gt;"",EDATE($D18,Milestones!$AA$99)&gt;=$T18),$W18,IF(AND($S18&lt;&gt;"",EDATE($D18,Milestones!$AA$99)&gt;=$S18),$V18,$U18)))=Milestones!$AB$99),UPPER(TEXT(EDATE($D18,Milestones!$AA$99),"dd mmm yy"))&amp;" "&amp;Milestones!$AB$99&amp;" "&amp;Milestones!$AC$99&amp;";  ",""))</f>
        <v/>
      </c>
      <c r="M18" s="0" t="str">
        <f aca="false">IF(OR($A18="",$D18=""),"",IF(AND(EDATE($D18,Milestones!$AA$100)&lt;=AsOfDate,IF($R18=0,$X18,IF(AND($T18&lt;&gt;"",EDATE($D18,Milestones!$AA$100)&gt;=$T18),$W18,IF(AND($S18&lt;&gt;"",EDATE($D18,Milestones!$AA$100)&gt;=$S18),$V18,$U18)))=Milestones!$AB$100),UPPER(TEXT(EDATE($D18,Milestones!$AA$100),"dd mmm yy"))&amp;" "&amp;Milestones!$AB$100&amp;" "&amp;Milestones!$AC$100&amp;";  ","")&amp;IF(AND(EDATE($D18,Milestones!$AA$101)&lt;=AsOfDate,IF($R18=0,$X18,IF(AND($T18&lt;&gt;"",EDATE($D18,Milestones!$AA$101)&gt;=$T18),$W18,IF(AND($S18&lt;&gt;"",EDATE($D18,Milestones!$AA$101)&gt;=$S18),$V18,$U18)))=Milestones!$AB$101),UPPER(TEXT(EDATE($D18,Milestones!$AA$101),"dd mmm yy"))&amp;" "&amp;Milestones!$AB$101&amp;" "&amp;Milestones!$AC$101&amp;";  ","")&amp;IF(AND(EDATE($D18,Milestones!$AA$102)&lt;=AsOfDate,IF($R18=0,$X18,IF(AND($T18&lt;&gt;"",EDATE($D18,Milestones!$AA$102)&gt;=$T18),$W18,IF(AND($S18&lt;&gt;"",EDATE($D18,Milestones!$AA$102)&gt;=$S18),$V18,$U18)))=Milestones!$AB$102),UPPER(TEXT(EDATE($D18,Milestones!$AA$102),"dd mmm yy"))&amp;" "&amp;Milestones!$AB$102&amp;" "&amp;Milestones!$AC$102&amp;";  ","")&amp;IF(AND(EDATE($D18,Milestones!$AA$103)&lt;=AsOfDate,IF($R18=0,$X18,IF(AND($T18&lt;&gt;"",EDATE($D18,Milestones!$AA$103)&gt;=$T18),$W18,IF(AND($S18&lt;&gt;"",EDATE($D18,Milestones!$AA$103)&gt;=$S18),$V18,$U18)))=Milestones!$AB$103),UPPER(TEXT(EDATE($D18,Milestones!$AA$103),"dd mmm yy"))&amp;" "&amp;Milestones!$AB$103&amp;" "&amp;Milestones!$AC$103&amp;";  ","")&amp;IF(AND(EDATE($D18,Milestones!$AA$104)&lt;=AsOfDate,IF($R18=0,$X18,IF(AND($T18&lt;&gt;"",EDATE($D18,Milestones!$AA$104)&gt;=$T18),$W18,IF(AND($S18&lt;&gt;"",EDATE($D18,Milestones!$AA$104)&gt;=$S18),$V18,$U18)))=Milestones!$AB$104),UPPER(TEXT(EDATE($D18,Milestones!$AA$104),"dd mmm yy"))&amp;" "&amp;Milestones!$AB$104&amp;" "&amp;Milestones!$AC$104&amp;";  ","")&amp;IF(AND(EDATE($D18,Milestones!$AA$105)&lt;=AsOfDate,IF($R18=0,$X18,IF(AND($T18&lt;&gt;"",EDATE($D18,Milestones!$AA$105)&gt;=$T18),$W18,IF(AND($S18&lt;&gt;"",EDATE($D18,Milestones!$AA$105)&gt;=$S18),$V18,$U18)))=Milestones!$AB$105),UPPER(TEXT(EDATE($D18,Milestones!$AA$105),"dd mmm yy"))&amp;" "&amp;Milestones!$AB$105&amp;" "&amp;Milestones!$AC$105&amp;";  ","")&amp;IF(AND(EDATE($D18,Milestones!$AA$106)&lt;=AsOfDate,IF($R18=0,$X18,IF(AND($T18&lt;&gt;"",EDATE($D18,Milestones!$AA$106)&gt;=$T18),$W18,IF(AND($S18&lt;&gt;"",EDATE($D18,Milestones!$AA$106)&gt;=$S18),$V18,$U18)))=Milestones!$AB$106),UPPER(TEXT(EDATE($D18,Milestones!$AA$106),"dd mmm yy"))&amp;" "&amp;Milestones!$AB$106&amp;" "&amp;Milestones!$AC$106&amp;";  ","")&amp;IF(AND(EDATE($D18,Milestones!$AA$107)&lt;=AsOfDate,IF($R18=0,$X18,IF(AND($T18&lt;&gt;"",EDATE($D18,Milestones!$AA$107)&gt;=$T18),$W18,IF(AND($S18&lt;&gt;"",EDATE($D18,Milestones!$AA$107)&gt;=$S18),$V18,$U18)))=Milestones!$AB$107),UPPER(TEXT(EDATE($D18,Milestones!$AA$107),"dd mmm yy"))&amp;" "&amp;Milestones!$AB$107&amp;" "&amp;Milestones!$AC$107&amp;";  ","")&amp;IF(AND(EDATE($D18,Milestones!$AA$108)&lt;=AsOfDate,IF($R18=0,$X18,IF(AND($T18&lt;&gt;"",EDATE($D18,Milestones!$AA$108)&gt;=$T18),$W18,IF(AND($S18&lt;&gt;"",EDATE($D18,Milestones!$AA$108)&gt;=$S18),$V18,$U18)))=Milestones!$AB$108),UPPER(TEXT(EDATE($D18,Milestones!$AA$108),"dd mmm yy"))&amp;" "&amp;Milestones!$AB$108&amp;" "&amp;Milestones!$AC$108&amp;";  ","")&amp;IF(AND(EDATE($D18,Milestones!$AA$109)&lt;=AsOfDate,IF($R18=0,$X18,IF(AND($T18&lt;&gt;"",EDATE($D18,Milestones!$AA$109)&gt;=$T18),$W18,IF(AND($S18&lt;&gt;"",EDATE($D18,Milestones!$AA$109)&gt;=$S18),$V18,$U18)))=Milestones!$AB$109),UPPER(TEXT(EDATE($D18,Milestones!$AA$109),"dd mmm yy"))&amp;" "&amp;Milestones!$AB$109&amp;" "&amp;Milestones!$AC$109&amp;";  ","")&amp;IF(AND(EDATE($D18,Milestones!$AA$110)&lt;=AsOfDate,IF($R18=0,$X18,IF(AND($T18&lt;&gt;"",EDATE($D18,Milestones!$AA$110)&gt;=$T18),$W18,IF(AND($S18&lt;&gt;"",EDATE($D18,Milestones!$AA$110)&gt;=$S18),$V18,$U18)))=Milestones!$AB$110),UPPER(TEXT(EDATE($D18,Milestones!$AA$110),"dd mmm yy"))&amp;" "&amp;Milestones!$AB$110&amp;" "&amp;Milestones!$AC$110&amp;";  ","")&amp;IF(AND(EDATE($D18,Milestones!$AA$111)&lt;=AsOfDate,IF($R18=0,$X18,IF(AND($T18&lt;&gt;"",EDATE($D18,Milestones!$AA$111)&gt;=$T18),$W18,IF(AND($S18&lt;&gt;"",EDATE($D18,Milestones!$AA$111)&gt;=$S18),$V18,$U18)))=Milestones!$AB$111),UPPER(TEXT(EDATE($D18,Milestones!$AA$111),"dd mmm yy"))&amp;" "&amp;Milestones!$AB$111&amp;" "&amp;Milestones!$AC$111&amp;";  ","")&amp;IF(AND(EDATE($D18,Milestones!$AA$112)&lt;=AsOfDate,IF($R18=0,$X18,IF(AND($T18&lt;&gt;"",EDATE($D18,Milestones!$AA$112)&gt;=$T18),$W18,IF(AND($S18&lt;&gt;"",EDATE($D18,Milestones!$AA$112)&gt;=$S18),$V18,$U18)))=Milestones!$AB$112),UPPER(TEXT(EDATE($D18,Milestones!$AA$112),"dd mmm yy"))&amp;" "&amp;Milestones!$AB$112&amp;" "&amp;Milestones!$AC$112&amp;";  ","")&amp;IF(AND(EDATE($D18,Milestones!$AA$113)&lt;=AsOfDate,IF($R18=0,$X18,IF(AND($T18&lt;&gt;"",EDATE($D18,Milestones!$AA$113)&gt;=$T18),$W18,IF(AND($S18&lt;&gt;"",EDATE($D18,Milestones!$AA$113)&gt;=$S18),$V18,$U18)))=Milestones!$AB$113),UPPER(TEXT(EDATE($D18,Milestones!$AA$113),"dd mmm yy"))&amp;" "&amp;Milestones!$AB$113&amp;" "&amp;Milestones!$AC$113&amp;";  ","")&amp;IF(AND(EDATE($D18,Milestones!$AA$114)&lt;=AsOfDate,IF($R18=0,$X18,IF(AND($T18&lt;&gt;"",EDATE($D18,Milestones!$AA$114)&gt;=$T18),$W18,IF(AND($S18&lt;&gt;"",EDATE($D18,Milestones!$AA$114)&gt;=$S18),$V18,$U18)))=Milestones!$AB$114),UPPER(TEXT(EDATE($D18,Milestones!$AA$114),"dd mmm yy"))&amp;" "&amp;Milestones!$AB$114&amp;" "&amp;Milestones!$AC$114&amp;";  ","")&amp;IF(AND(EDATE($D18,Milestones!$AA$115)&lt;=AsOfDate,IF($R18=0,$X18,IF(AND($T18&lt;&gt;"",EDATE($D18,Milestones!$AA$115)&gt;=$T18),$W18,IF(AND($S18&lt;&gt;"",EDATE($D18,Milestones!$AA$115)&gt;=$S18),$V18,$U18)))=Milestones!$AB$115),UPPER(TEXT(EDATE($D18,Milestones!$AA$115),"dd mmm yy"))&amp;" "&amp;Milestones!$AB$115&amp;" "&amp;Milestones!$AC$115&amp;";  ","")&amp;IF(AND(EDATE($D18,Milestones!$AA$116)&lt;=AsOfDate,IF($R18=0,$X18,IF(AND($T18&lt;&gt;"",EDATE($D18,Milestones!$AA$116)&gt;=$T18),$W18,IF(AND($S18&lt;&gt;"",EDATE($D18,Milestones!$AA$116)&gt;=$S18),$V18,$U18)))=Milestones!$AB$116),UPPER(TEXT(EDATE($D18,Milestones!$AA$116),"dd mmm yy"))&amp;" "&amp;Milestones!$AB$116&amp;" "&amp;Milestones!$AC$116&amp;";  ","")&amp;IF(AND(EDATE($D18,Milestones!$AA$117)&lt;=AsOfDate,IF($R18=0,$X18,IF(AND($T18&lt;&gt;"",EDATE($D18,Milestones!$AA$117)&gt;=$T18),$W18,IF(AND($S18&lt;&gt;"",EDATE($D18,Milestones!$AA$117)&gt;=$S18),$V18,$U18)))=Milestones!$AB$117),UPPER(TEXT(EDATE($D18,Milestones!$AA$117),"dd mmm yy"))&amp;" "&amp;Milestones!$AB$117&amp;" "&amp;Milestones!$AC$117&amp;";  ","")&amp;IF(AND(EDATE($D18,Milestones!$AA$118)&lt;=AsOfDate,IF($R18=0,$X18,IF(AND($T18&lt;&gt;"",EDATE($D18,Milestones!$AA$118)&gt;=$T18),$W18,IF(AND($S18&lt;&gt;"",EDATE($D18,Milestones!$AA$118)&gt;=$S18),$V18,$U18)))=Milestones!$AB$118),UPPER(TEXT(EDATE($D18,Milestones!$AA$118),"dd mmm yy"))&amp;" "&amp;Milestones!$AB$118&amp;" "&amp;Milestones!$AC$118&amp;";  ","")&amp;IF(AND(EDATE($D18,Milestones!$AA$119)&lt;=AsOfDate,IF($R18=0,$X18,IF(AND($T18&lt;&gt;"",EDATE($D18,Milestones!$AA$119)&gt;=$T18),$W18,IF(AND($S18&lt;&gt;"",EDATE($D18,Milestones!$AA$119)&gt;=$S18),$V18,$U18)))=Milestones!$AB$119),UPPER(TEXT(EDATE($D18,Milestones!$AA$119),"dd mmm yy"))&amp;" "&amp;Milestones!$AB$119&amp;" "&amp;Milestones!$AC$119&amp;";  ",""))</f>
        <v/>
      </c>
      <c r="N18" s="0" t="str">
        <f aca="false">IF(OR($A18="",$D18=""),"",IF(AND(EDATE($D18,Milestones!$AA$120)&lt;=AsOfDate,IF($R18=0,$X18,IF(AND($T18&lt;&gt;"",EDATE($D18,Milestones!$AA$120)&gt;=$T18),$W18,IF(AND($S18&lt;&gt;"",EDATE($D18,Milestones!$AA$120)&gt;=$S18),$V18,$U18)))=Milestones!$AB$120),UPPER(TEXT(EDATE($D18,Milestones!$AA$120),"dd mmm yy"))&amp;" "&amp;Milestones!$AB$120&amp;" "&amp;Milestones!$AC$120&amp;";  ","")&amp;IF(AND(EDATE($D18,Milestones!$AA$121)&lt;=AsOfDate,IF($R18=0,$X18,IF(AND($T18&lt;&gt;"",EDATE($D18,Milestones!$AA$121)&gt;=$T18),$W18,IF(AND($S18&lt;&gt;"",EDATE($D18,Milestones!$AA$121)&gt;=$S18),$V18,$U18)))=Milestones!$AB$121),UPPER(TEXT(EDATE($D18,Milestones!$AA$121),"dd mmm yy"))&amp;" "&amp;Milestones!$AB$121&amp;" "&amp;Milestones!$AC$121&amp;";  ","")&amp;IF(AND(EDATE($D18,Milestones!$AA$122)&lt;=AsOfDate,IF($R18=0,$X18,IF(AND($T18&lt;&gt;"",EDATE($D18,Milestones!$AA$122)&gt;=$T18),$W18,IF(AND($S18&lt;&gt;"",EDATE($D18,Milestones!$AA$122)&gt;=$S18),$V18,$U18)))=Milestones!$AB$122),UPPER(TEXT(EDATE($D18,Milestones!$AA$122),"dd mmm yy"))&amp;" "&amp;Milestones!$AB$122&amp;" "&amp;Milestones!$AC$122&amp;";  ","")&amp;IF(AND(EDATE($D18,Milestones!$AA$123)&lt;=AsOfDate,IF($R18=0,$X18,IF(AND($T18&lt;&gt;"",EDATE($D18,Milestones!$AA$123)&gt;=$T18),$W18,IF(AND($S18&lt;&gt;"",EDATE($D18,Milestones!$AA$123)&gt;=$S18),$V18,$U18)))=Milestones!$AB$123),UPPER(TEXT(EDATE($D18,Milestones!$AA$123),"dd mmm yy"))&amp;" "&amp;Milestones!$AB$123&amp;" "&amp;Milestones!$AC$123&amp;";  ","")&amp;IF(AND(EDATE($D18,Milestones!$AA$124)&lt;=AsOfDate,IF($R18=0,$X18,IF(AND($T18&lt;&gt;"",EDATE($D18,Milestones!$AA$124)&gt;=$T18),$W18,IF(AND($S18&lt;&gt;"",EDATE($D18,Milestones!$AA$124)&gt;=$S18),$V18,$U18)))=Milestones!$AB$124),UPPER(TEXT(EDATE($D18,Milestones!$AA$124),"dd mmm yy"))&amp;" "&amp;Milestones!$AB$124&amp;" "&amp;Milestones!$AC$124&amp;";  ","")&amp;IF(AND(EDATE($D18,Milestones!$AA$125)&lt;=AsOfDate,IF($R18=0,$X18,IF(AND($T18&lt;&gt;"",EDATE($D18,Milestones!$AA$125)&gt;=$T18),$W18,IF(AND($S18&lt;&gt;"",EDATE($D18,Milestones!$AA$125)&gt;=$S18),$V18,$U18)))=Milestones!$AB$125),UPPER(TEXT(EDATE($D18,Milestones!$AA$125),"dd mmm yy"))&amp;" "&amp;Milestones!$AB$125&amp;" "&amp;Milestones!$AC$125&amp;";  ","")&amp;IF(AND(EDATE($D18,Milestones!$AA$126)&lt;=AsOfDate,IF($R18=0,$X18,IF(AND($T18&lt;&gt;"",EDATE($D18,Milestones!$AA$126)&gt;=$T18),$W18,IF(AND($S18&lt;&gt;"",EDATE($D18,Milestones!$AA$126)&gt;=$S18),$V18,$U18)))=Milestones!$AB$126),UPPER(TEXT(EDATE($D18,Milestones!$AA$126),"dd mmm yy"))&amp;" "&amp;Milestones!$AB$126&amp;" "&amp;Milestones!$AC$126&amp;";  ","")&amp;IF(AND(EDATE($D18,Milestones!$AA$127)&lt;=AsOfDate,IF($R18=0,$X18,IF(AND($T18&lt;&gt;"",EDATE($D18,Milestones!$AA$127)&gt;=$T18),$W18,IF(AND($S18&lt;&gt;"",EDATE($D18,Milestones!$AA$127)&gt;=$S18),$V18,$U18)))=Milestones!$AB$127),UPPER(TEXT(EDATE($D18,Milestones!$AA$127),"dd mmm yy"))&amp;" "&amp;Milestones!$AB$127&amp;" "&amp;Milestones!$AC$127&amp;";  ","")&amp;IF(AND(EDATE($D18,Milestones!$AA$128)&lt;=AsOfDate,IF($R18=0,$X18,IF(AND($T18&lt;&gt;"",EDATE($D18,Milestones!$AA$128)&gt;=$T18),$W18,IF(AND($S18&lt;&gt;"",EDATE($D18,Milestones!$AA$128)&gt;=$S18),$V18,$U18)))=Milestones!$AB$128),UPPER(TEXT(EDATE($D18,Milestones!$AA$128),"dd mmm yy"))&amp;" "&amp;Milestones!$AB$128&amp;" "&amp;Milestones!$AC$128&amp;";  ","")&amp;IF(AND(EDATE($D18,Milestones!$AA$129)&lt;=AsOfDate,IF($R18=0,$X18,IF(AND($T18&lt;&gt;"",EDATE($D18,Milestones!$AA$129)&gt;=$T18),$W18,IF(AND($S18&lt;&gt;"",EDATE($D18,Milestones!$AA$129)&gt;=$S18),$V18,$U18)))=Milestones!$AB$129),UPPER(TEXT(EDATE($D18,Milestones!$AA$129),"dd mmm yy"))&amp;" "&amp;Milestones!$AB$129&amp;" "&amp;Milestones!$AC$129&amp;";  ","")&amp;IF(AND(EDATE($D18,Milestones!$AA$130)&lt;=AsOfDate,IF($R18=0,$X18,IF(AND($T18&lt;&gt;"",EDATE($D18,Milestones!$AA$130)&gt;=$T18),$W18,IF(AND($S18&lt;&gt;"",EDATE($D18,Milestones!$AA$130)&gt;=$S18),$V18,$U18)))=Milestones!$AB$130),UPPER(TEXT(EDATE($D18,Milestones!$AA$130),"dd mmm yy"))&amp;" "&amp;Milestones!$AB$130&amp;" "&amp;Milestones!$AC$130&amp;";  ","")&amp;IF(AND(EDATE($D18,Milestones!$AA$131)&lt;=AsOfDate,IF($R18=0,$X18,IF(AND($T18&lt;&gt;"",EDATE($D18,Milestones!$AA$131)&gt;=$T18),$W18,IF(AND($S18&lt;&gt;"",EDATE($D18,Milestones!$AA$131)&gt;=$S18),$V18,$U18)))=Milestones!$AB$131),UPPER(TEXT(EDATE($D18,Milestones!$AA$131),"dd mmm yy"))&amp;" "&amp;Milestones!$AB$131&amp;" "&amp;Milestones!$AC$131&amp;";  ","")&amp;IF(AND(EDATE($D18,Milestones!$AA$132)&lt;=AsOfDate,IF($R18=0,$X18,IF(AND($T18&lt;&gt;"",EDATE($D18,Milestones!$AA$132)&gt;=$T18),$W18,IF(AND($S18&lt;&gt;"",EDATE($D18,Milestones!$AA$132)&gt;=$S18),$V18,$U18)))=Milestones!$AB$132),UPPER(TEXT(EDATE($D18,Milestones!$AA$132),"dd mmm yy"))&amp;" "&amp;Milestones!$AB$132&amp;" "&amp;Milestones!$AC$132&amp;";  ","")&amp;IF(AND(EDATE($D18,Milestones!$AA$133)&lt;=AsOfDate,IF($R18=0,$X18,IF(AND($T18&lt;&gt;"",EDATE($D18,Milestones!$AA$133)&gt;=$T18),$W18,IF(AND($S18&lt;&gt;"",EDATE($D18,Milestones!$AA$133)&gt;=$S18),$V18,$U18)))=Milestones!$AB$133),UPPER(TEXT(EDATE($D18,Milestones!$AA$133),"dd mmm yy"))&amp;" "&amp;Milestones!$AB$133&amp;" "&amp;Milestones!$AC$133&amp;";  ","")&amp;IF(AND(EDATE($D18,Milestones!$AA$134)&lt;=AsOfDate,IF($R18=0,$X18,IF(AND($T18&lt;&gt;"",EDATE($D18,Milestones!$AA$134)&gt;=$T18),$W18,IF(AND($S18&lt;&gt;"",EDATE($D18,Milestones!$AA$134)&gt;=$S18),$V18,$U18)))=Milestones!$AB$134),UPPER(TEXT(EDATE($D18,Milestones!$AA$134),"dd mmm yy"))&amp;" "&amp;Milestones!$AB$134&amp;" "&amp;Milestones!$AC$134&amp;";  ","")&amp;IF(AND(EDATE($D18,Milestones!$AA$135)&lt;=AsOfDate,IF($R18=0,$X18,IF(AND($T18&lt;&gt;"",EDATE($D18,Milestones!$AA$135)&gt;=$T18),$W18,IF(AND($S18&lt;&gt;"",EDATE($D18,Milestones!$AA$135)&gt;=$S18),$V18,$U18)))=Milestones!$AB$135),UPPER(TEXT(EDATE($D18,Milestones!$AA$135),"dd mmm yy"))&amp;" "&amp;Milestones!$AB$135&amp;" "&amp;Milestones!$AC$135&amp;";  ","")&amp;IF(AND(EDATE($D18,Milestones!$AA$136)&lt;=AsOfDate,IF($R18=0,$X18,IF(AND($T18&lt;&gt;"",EDATE($D18,Milestones!$AA$136)&gt;=$T18),$W18,IF(AND($S18&lt;&gt;"",EDATE($D18,Milestones!$AA$136)&gt;=$S18),$V18,$U18)))=Milestones!$AB$136),UPPER(TEXT(EDATE($D18,Milestones!$AA$136),"dd mmm yy"))&amp;" "&amp;Milestones!$AB$136&amp;" "&amp;Milestones!$AC$136&amp;";  ","")&amp;IF(AND(EDATE($D18,Milestones!$AA$137)&lt;=AsOfDate,IF($R18=0,$X18,IF(AND($T18&lt;&gt;"",EDATE($D18,Milestones!$AA$137)&gt;=$T18),$W18,IF(AND($S18&lt;&gt;"",EDATE($D18,Milestones!$AA$137)&gt;=$S18),$V18,$U18)))=Milestones!$AB$137),UPPER(TEXT(EDATE($D18,Milestones!$AA$137),"dd mmm yy"))&amp;" "&amp;Milestones!$AB$137&amp;" "&amp;Milestones!$AC$137&amp;";  ","")&amp;IF(AND(EDATE($D18,Milestones!$AA$138)&lt;=AsOfDate,IF($R18=0,$X18,IF(AND($T18&lt;&gt;"",EDATE($D18,Milestones!$AA$138)&gt;=$T18),$W18,IF(AND($S18&lt;&gt;"",EDATE($D18,Milestones!$AA$138)&gt;=$S18),$V18,$U18)))=Milestones!$AB$138),UPPER(TEXT(EDATE($D18,Milestones!$AA$138),"dd mmm yy"))&amp;" "&amp;Milestones!$AB$138&amp;" "&amp;Milestones!$AC$138&amp;";  ","")&amp;IF(AND(EDATE($D18,Milestones!$AA$139)&lt;=AsOfDate,IF($R18=0,$X18,IF(AND($T18&lt;&gt;"",EDATE($D18,Milestones!$AA$139)&gt;=$T18),$W18,IF(AND($S18&lt;&gt;"",EDATE($D18,Milestones!$AA$139)&gt;=$S18),$V18,$U18)))=Milestones!$AB$139),UPPER(TEXT(EDATE($D18,Milestones!$AA$139),"dd mmm yy"))&amp;" "&amp;Milestones!$AB$139&amp;" "&amp;Milestones!$AC$139&amp;";  ",""))</f>
        <v/>
      </c>
      <c r="O18" s="0" t="str">
        <f aca="false">IF(OR($A18="",$D18=""),"",IF(AND(EDATE($D18,Milestones!$AA$140)&lt;=AsOfDate,IF($R18=0,$X18,IF(AND($T18&lt;&gt;"",EDATE($D18,Milestones!$AA$140)&gt;=$T18),$W18,IF(AND($S18&lt;&gt;"",EDATE($D18,Milestones!$AA$140)&gt;=$S18),$V18,$U18)))=Milestones!$AB$140),UPPER(TEXT(EDATE($D18,Milestones!$AA$140),"dd mmm yy"))&amp;" "&amp;Milestones!$AB$140&amp;" "&amp;Milestones!$AC$140&amp;";  ","")&amp;IF(AND(EDATE($D18,Milestones!$AA$141)&lt;=AsOfDate,IF($R18=0,$X18,IF(AND($T18&lt;&gt;"",EDATE($D18,Milestones!$AA$141)&gt;=$T18),$W18,IF(AND($S18&lt;&gt;"",EDATE($D18,Milestones!$AA$141)&gt;=$S18),$V18,$U18)))=Milestones!$AB$141),UPPER(TEXT(EDATE($D18,Milestones!$AA$141),"dd mmm yy"))&amp;" "&amp;Milestones!$AB$141&amp;" "&amp;Milestones!$AC$141&amp;";  ","")&amp;IF(AND(EDATE($D18,Milestones!$AA$142)&lt;=AsOfDate,IF($R18=0,$X18,IF(AND($T18&lt;&gt;"",EDATE($D18,Milestones!$AA$142)&gt;=$T18),$W18,IF(AND($S18&lt;&gt;"",EDATE($D18,Milestones!$AA$142)&gt;=$S18),$V18,$U18)))=Milestones!$AB$142),UPPER(TEXT(EDATE($D18,Milestones!$AA$142),"dd mmm yy"))&amp;" "&amp;Milestones!$AB$142&amp;" "&amp;Milestones!$AC$142&amp;";  ","")&amp;IF(AND(EDATE($D18,Milestones!$AA$143)&lt;=AsOfDate,IF($R18=0,$X18,IF(AND($T18&lt;&gt;"",EDATE($D18,Milestones!$AA$143)&gt;=$T18),$W18,IF(AND($S18&lt;&gt;"",EDATE($D18,Milestones!$AA$143)&gt;=$S18),$V18,$U18)))=Milestones!$AB$143),UPPER(TEXT(EDATE($D18,Milestones!$AA$143),"dd mmm yy"))&amp;" "&amp;Milestones!$AB$143&amp;" "&amp;Milestones!$AC$143&amp;";  ","")&amp;IF(AND(EDATE($D18,Milestones!$AA$144)&lt;=AsOfDate,IF($R18=0,$X18,IF(AND($T18&lt;&gt;"",EDATE($D18,Milestones!$AA$144)&gt;=$T18),$W18,IF(AND($S18&lt;&gt;"",EDATE($D18,Milestones!$AA$144)&gt;=$S18),$V18,$U18)))=Milestones!$AB$144),UPPER(TEXT(EDATE($D18,Milestones!$AA$144),"dd mmm yy"))&amp;" "&amp;Milestones!$AB$144&amp;" "&amp;Milestones!$AC$144&amp;";  ","")&amp;IF(AND(EDATE($D18,Milestones!$AA$145)&lt;=AsOfDate,IF($R18=0,$X18,IF(AND($T18&lt;&gt;"",EDATE($D18,Milestones!$AA$145)&gt;=$T18),$W18,IF(AND($S18&lt;&gt;"",EDATE($D18,Milestones!$AA$145)&gt;=$S18),$V18,$U18)))=Milestones!$AB$145),UPPER(TEXT(EDATE($D18,Milestones!$AA$145),"dd mmm yy"))&amp;" "&amp;Milestones!$AB$145&amp;" "&amp;Milestones!$AC$145&amp;";  ","")&amp;IF(AND(EDATE($D18,Milestones!$AA$146)&lt;=AsOfDate,IF($R18=0,$X18,IF(AND($T18&lt;&gt;"",EDATE($D18,Milestones!$AA$146)&gt;=$T18),$W18,IF(AND($S18&lt;&gt;"",EDATE($D18,Milestones!$AA$146)&gt;=$S18),$V18,$U18)))=Milestones!$AB$146),UPPER(TEXT(EDATE($D18,Milestones!$AA$146),"dd mmm yy"))&amp;" "&amp;Milestones!$AB$146&amp;" "&amp;Milestones!$AC$146&amp;";  ","")&amp;IF(AND(EDATE($D18,Milestones!$AA$147)&lt;=AsOfDate,IF($R18=0,$X18,IF(AND($T18&lt;&gt;"",EDATE($D18,Milestones!$AA$147)&gt;=$T18),$W18,IF(AND($S18&lt;&gt;"",EDATE($D18,Milestones!$AA$147)&gt;=$S18),$V18,$U18)))=Milestones!$AB$147),UPPER(TEXT(EDATE($D18,Milestones!$AA$147),"dd mmm yy"))&amp;" "&amp;Milestones!$AB$147&amp;" "&amp;Milestones!$AC$147&amp;";  ","")&amp;IF(AND(EDATE($D18,Milestones!$AA$148)&lt;=AsOfDate,IF($R18=0,$X18,IF(AND($T18&lt;&gt;"",EDATE($D18,Milestones!$AA$148)&gt;=$T18),$W18,IF(AND($S18&lt;&gt;"",EDATE($D18,Milestones!$AA$148)&gt;=$S18),$V18,$U18)))=Milestones!$AB$148),UPPER(TEXT(EDATE($D18,Milestones!$AA$148),"dd mmm yy"))&amp;" "&amp;Milestones!$AB$148&amp;" "&amp;Milestones!$AC$148&amp;";  ","")&amp;IF(AND(EDATE($D18,Milestones!$AA$149)&lt;=AsOfDate,IF($R18=0,$X18,IF(AND($T18&lt;&gt;"",EDATE($D18,Milestones!$AA$149)&gt;=$T18),$W18,IF(AND($S18&lt;&gt;"",EDATE($D18,Milestones!$AA$149)&gt;=$S18),$V18,$U18)))=Milestones!$AB$149),UPPER(TEXT(EDATE($D18,Milestones!$AA$149),"dd mmm yy"))&amp;" "&amp;Milestones!$AB$149&amp;" "&amp;Milestones!$AC$149&amp;";  ","")&amp;IF(AND(EDATE($D18,Milestones!$AA$150)&lt;=AsOfDate,IF($R18=0,$X18,IF(AND($T18&lt;&gt;"",EDATE($D18,Milestones!$AA$150)&gt;=$T18),$W18,IF(AND($S18&lt;&gt;"",EDATE($D18,Milestones!$AA$150)&gt;=$S18),$V18,$U18)))=Milestones!$AB$150),UPPER(TEXT(EDATE($D18,Milestones!$AA$150),"dd mmm yy"))&amp;" "&amp;Milestones!$AB$150&amp;" "&amp;Milestones!$AC$150&amp;";  ","")&amp;IF(AND(EDATE($D18,Milestones!$AA$151)&lt;=AsOfDate,IF($R18=0,$X18,IF(AND($T18&lt;&gt;"",EDATE($D18,Milestones!$AA$151)&gt;=$T18),$W18,IF(AND($S18&lt;&gt;"",EDATE($D18,Milestones!$AA$151)&gt;=$S18),$V18,$U18)))=Milestones!$AB$151),UPPER(TEXT(EDATE($D18,Milestones!$AA$151),"dd mmm yy"))&amp;" "&amp;Milestones!$AB$151&amp;" "&amp;Milestones!$AC$151&amp;";  ","")&amp;IF(AND(EDATE($D18,Milestones!$AA$152)&lt;=AsOfDate,IF($R18=0,$X18,IF(AND($T18&lt;&gt;"",EDATE($D18,Milestones!$AA$152)&gt;=$T18),$W18,IF(AND($S18&lt;&gt;"",EDATE($D18,Milestones!$AA$152)&gt;=$S18),$V18,$U18)))=Milestones!$AB$152),UPPER(TEXT(EDATE($D18,Milestones!$AA$152),"dd mmm yy"))&amp;" "&amp;Milestones!$AB$152&amp;" "&amp;Milestones!$AC$152&amp;";  ","")&amp;IF(AND(EDATE($D18,Milestones!$AA$153)&lt;=AsOfDate,IF($R18=0,$X18,IF(AND($T18&lt;&gt;"",EDATE($D18,Milestones!$AA$153)&gt;=$T18),$W18,IF(AND($S18&lt;&gt;"",EDATE($D18,Milestones!$AA$153)&gt;=$S18),$V18,$U18)))=Milestones!$AB$153),UPPER(TEXT(EDATE($D18,Milestones!$AA$153),"dd mmm yy"))&amp;" "&amp;Milestones!$AB$153&amp;" "&amp;Milestones!$AC$153&amp;";  ","")&amp;IF(AND(EDATE($D18,Milestones!$AA$154)&lt;=AsOfDate,IF($R18=0,$X18,IF(AND($T18&lt;&gt;"",EDATE($D18,Milestones!$AA$154)&gt;=$T18),$W18,IF(AND($S18&lt;&gt;"",EDATE($D18,Milestones!$AA$154)&gt;=$S18),$V18,$U18)))=Milestones!$AB$154),UPPER(TEXT(EDATE($D18,Milestones!$AA$154),"dd mmm yy"))&amp;" "&amp;Milestones!$AB$154&amp;" "&amp;Milestones!$AC$154&amp;";  ","")&amp;IF(AND(EDATE($D18,Milestones!$AA$155)&lt;=AsOfDate,IF($R18=0,$X18,IF(AND($T18&lt;&gt;"",EDATE($D18,Milestones!$AA$155)&gt;=$T18),$W18,IF(AND($S18&lt;&gt;"",EDATE($D18,Milestones!$AA$155)&gt;=$S18),$V18,$U18)))=Milestones!$AB$155),UPPER(TEXT(EDATE($D18,Milestones!$AA$155),"dd mmm yy"))&amp;" "&amp;Milestones!$AB$155&amp;" "&amp;Milestones!$AC$155&amp;";  ","")&amp;IF(AND(EDATE($D18,Milestones!$AA$156)&lt;=AsOfDate,IF($R18=0,$X18,IF(AND($T18&lt;&gt;"",EDATE($D18,Milestones!$AA$156)&gt;=$T18),$W18,IF(AND($S18&lt;&gt;"",EDATE($D18,Milestones!$AA$156)&gt;=$S18),$V18,$U18)))=Milestones!$AB$156),UPPER(TEXT(EDATE($D18,Milestones!$AA$156),"dd mmm yy"))&amp;" "&amp;Milestones!$AB$156&amp;" "&amp;Milestones!$AC$156&amp;";  ","")&amp;IF(AND(EDATE($D18,Milestones!$AA$157)&lt;=AsOfDate,IF($R18=0,$X18,IF(AND($T18&lt;&gt;"",EDATE($D18,Milestones!$AA$157)&gt;=$T18),$W18,IF(AND($S18&lt;&gt;"",EDATE($D18,Milestones!$AA$157)&gt;=$S18),$V18,$U18)))=Milestones!$AB$157),UPPER(TEXT(EDATE($D18,Milestones!$AA$157),"dd mmm yy"))&amp;" "&amp;Milestones!$AB$157&amp;" "&amp;Milestones!$AC$157&amp;";  ","")&amp;IF(AND(EDATE($D18,Milestones!$AA$158)&lt;=AsOfDate,IF($R18=0,$X18,IF(AND($T18&lt;&gt;"",EDATE($D18,Milestones!$AA$158)&gt;=$T18),$W18,IF(AND($S18&lt;&gt;"",EDATE($D18,Milestones!$AA$158)&gt;=$S18),$V18,$U18)))=Milestones!$AB$158),UPPER(TEXT(EDATE($D18,Milestones!$AA$158),"dd mmm yy"))&amp;" "&amp;Milestones!$AB$158&amp;" "&amp;Milestones!$AC$158&amp;";  ","")&amp;IF(AND(EDATE($D18,Milestones!$AA$159)&lt;=AsOfDate,IF($R18=0,$X18,IF(AND($T18&lt;&gt;"",EDATE($D18,Milestones!$AA$159)&gt;=$T18),$W18,IF(AND($S18&lt;&gt;"",EDATE($D18,Milestones!$AA$159)&gt;=$S18),$V18,$U18)))=Milestones!$AB$159),UPPER(TEXT(EDATE($D18,Milestones!$AA$159),"dd mmm yy"))&amp;" "&amp;Milestones!$AB$159&amp;" "&amp;Milestones!$AC$159&amp;";  ",""))</f>
        <v/>
      </c>
      <c r="P18" s="0" t="str">
        <f aca="false">IF(OR($A18="",$D18=""),"",IF(AND(EDATE($D18,Milestones!$AA$160)&lt;=AsOfDate,IF($R18=0,$X18,IF(AND($T18&lt;&gt;"",EDATE($D18,Milestones!$AA$160)&gt;=$T18),$W18,IF(AND($S18&lt;&gt;"",EDATE($D18,Milestones!$AA$160)&gt;=$S18),$V18,$U18)))=Milestones!$AB$160),UPPER(TEXT(EDATE($D18,Milestones!$AA$160),"dd mmm yy"))&amp;" "&amp;Milestones!$AB$160&amp;" "&amp;Milestones!$AC$160&amp;";  ","")&amp;IF(AND(EDATE($D18,Milestones!$AA$161)&lt;=AsOfDate,IF($R18=0,$X18,IF(AND($T18&lt;&gt;"",EDATE($D18,Milestones!$AA$161)&gt;=$T18),$W18,IF(AND($S18&lt;&gt;"",EDATE($D18,Milestones!$AA$161)&gt;=$S18),$V18,$U18)))=Milestones!$AB$161),UPPER(TEXT(EDATE($D18,Milestones!$AA$161),"dd mmm yy"))&amp;" "&amp;Milestones!$AB$161&amp;" "&amp;Milestones!$AC$161&amp;";  ","")&amp;IF(AND(EDATE($D18,Milestones!$AA$162)&lt;=AsOfDate,IF($R18=0,$X18,IF(AND($T18&lt;&gt;"",EDATE($D18,Milestones!$AA$162)&gt;=$T18),$W18,IF(AND($S18&lt;&gt;"",EDATE($D18,Milestones!$AA$162)&gt;=$S18),$V18,$U18)))=Milestones!$AB$162),UPPER(TEXT(EDATE($D18,Milestones!$AA$162),"dd mmm yy"))&amp;" "&amp;Milestones!$AB$162&amp;" "&amp;Milestones!$AC$162&amp;";  ","")&amp;IF(AND(EDATE($D18,Milestones!$AA$163)&lt;=AsOfDate,IF($R18=0,$X18,IF(AND($T18&lt;&gt;"",EDATE($D18,Milestones!$AA$163)&gt;=$T18),$W18,IF(AND($S18&lt;&gt;"",EDATE($D18,Milestones!$AA$163)&gt;=$S18),$V18,$U18)))=Milestones!$AB$163),UPPER(TEXT(EDATE($D18,Milestones!$AA$163),"dd mmm yy"))&amp;" "&amp;Milestones!$AB$163&amp;" "&amp;Milestones!$AC$163&amp;";  ","")&amp;IF(AND(EDATE($D18,Milestones!$AA$164)&lt;=AsOfDate,IF($R18=0,$X18,IF(AND($T18&lt;&gt;"",EDATE($D18,Milestones!$AA$164)&gt;=$T18),$W18,IF(AND($S18&lt;&gt;"",EDATE($D18,Milestones!$AA$164)&gt;=$S18),$V18,$U18)))=Milestones!$AB$164),UPPER(TEXT(EDATE($D18,Milestones!$AA$164),"dd mmm yy"))&amp;" "&amp;Milestones!$AB$164&amp;" "&amp;Milestones!$AC$164&amp;";  ","")&amp;IF(AND(EDATE($D18,Milestones!$AA$165)&lt;=AsOfDate,IF($R18=0,$X18,IF(AND($T18&lt;&gt;"",EDATE($D18,Milestones!$AA$165)&gt;=$T18),$W18,IF(AND($S18&lt;&gt;"",EDATE($D18,Milestones!$AA$165)&gt;=$S18),$V18,$U18)))=Milestones!$AB$165),UPPER(TEXT(EDATE($D18,Milestones!$AA$165),"dd mmm yy"))&amp;" "&amp;Milestones!$AB$165&amp;" "&amp;Milestones!$AC$165&amp;";  ","")&amp;IF(AND(EDATE($D18,Milestones!$AA$166)&lt;=AsOfDate,IF($R18=0,$X18,IF(AND($T18&lt;&gt;"",EDATE($D18,Milestones!$AA$166)&gt;=$T18),$W18,IF(AND($S18&lt;&gt;"",EDATE($D18,Milestones!$AA$166)&gt;=$S18),$V18,$U18)))=Milestones!$AB$166),UPPER(TEXT(EDATE($D18,Milestones!$AA$166),"dd mmm yy"))&amp;" "&amp;Milestones!$AB$166&amp;" "&amp;Milestones!$AC$166&amp;";  ","")&amp;IF(AND(EDATE($D18,Milestones!$AA$167)&lt;=AsOfDate,IF($R18=0,$X18,IF(AND($T18&lt;&gt;"",EDATE($D18,Milestones!$AA$167)&gt;=$T18),$W18,IF(AND($S18&lt;&gt;"",EDATE($D18,Milestones!$AA$167)&gt;=$S18),$V18,$U18)))=Milestones!$AB$167),UPPER(TEXT(EDATE($D18,Milestones!$AA$167),"dd mmm yy"))&amp;" "&amp;Milestones!$AB$167&amp;" "&amp;Milestones!$AC$167&amp;";  ","")&amp;IF(AND(EDATE($D18,Milestones!$AA$168)&lt;=AsOfDate,IF($R18=0,$X18,IF(AND($T18&lt;&gt;"",EDATE($D18,Milestones!$AA$168)&gt;=$T18),$W18,IF(AND($S18&lt;&gt;"",EDATE($D18,Milestones!$AA$168)&gt;=$S18),$V18,$U18)))=Milestones!$AB$168),UPPER(TEXT(EDATE($D18,Milestones!$AA$168),"dd mmm yy"))&amp;" "&amp;Milestones!$AB$168&amp;" "&amp;Milestones!$AC$168&amp;";  ","")&amp;IF(AND(EDATE($D18,Milestones!$AA$169)&lt;=AsOfDate,IF($R18=0,$X18,IF(AND($T18&lt;&gt;"",EDATE($D18,Milestones!$AA$169)&gt;=$T18),$W18,IF(AND($S18&lt;&gt;"",EDATE($D18,Milestones!$AA$169)&gt;=$S18),$V18,$U18)))=Milestones!$AB$169),UPPER(TEXT(EDATE($D18,Milestones!$AA$169),"dd mmm yy"))&amp;" "&amp;Milestones!$AB$169&amp;" "&amp;Milestones!$AC$169&amp;";  ","")&amp;IF(AND(EDATE($D18,Milestones!$AA$170)&lt;=AsOfDate,IF($R18=0,$X18,IF(AND($T18&lt;&gt;"",EDATE($D18,Milestones!$AA$170)&gt;=$T18),$W18,IF(AND($S18&lt;&gt;"",EDATE($D18,Milestones!$AA$170)&gt;=$S18),$V18,$U18)))=Milestones!$AB$170),UPPER(TEXT(EDATE($D18,Milestones!$AA$170),"dd mmm yy"))&amp;" "&amp;Milestones!$AB$170&amp;" "&amp;Milestones!$AC$170&amp;";  ","")&amp;IF(AND(EDATE($D18,Milestones!$AA$171)&lt;=AsOfDate,IF($R18=0,$X18,IF(AND($T18&lt;&gt;"",EDATE($D18,Milestones!$AA$171)&gt;=$T18),$W18,IF(AND($S18&lt;&gt;"",EDATE($D18,Milestones!$AA$171)&gt;=$S18),$V18,$U18)))=Milestones!$AB$171),UPPER(TEXT(EDATE($D18,Milestones!$AA$171),"dd mmm yy"))&amp;" "&amp;Milestones!$AB$171&amp;" "&amp;Milestones!$AC$171&amp;";  ","")&amp;IF(AND(EDATE($D18,Milestones!$AA$172)&lt;=AsOfDate,IF($R18=0,$X18,IF(AND($T18&lt;&gt;"",EDATE($D18,Milestones!$AA$172)&gt;=$T18),$W18,IF(AND($S18&lt;&gt;"",EDATE($D18,Milestones!$AA$172)&gt;=$S18),$V18,$U18)))=Milestones!$AB$172),UPPER(TEXT(EDATE($D18,Milestones!$AA$172),"dd mmm yy"))&amp;" "&amp;Milestones!$AB$172&amp;" "&amp;Milestones!$AC$172&amp;";  ","")&amp;IF(AND(EDATE($D18,Milestones!$AA$173)&lt;=AsOfDate,IF($R18=0,$X18,IF(AND($T18&lt;&gt;"",EDATE($D18,Milestones!$AA$173)&gt;=$T18),$W18,IF(AND($S18&lt;&gt;"",EDATE($D18,Milestones!$AA$173)&gt;=$S18),$V18,$U18)))=Milestones!$AB$173),UPPER(TEXT(EDATE($D18,Milestones!$AA$173),"dd mmm yy"))&amp;" "&amp;Milestones!$AB$173&amp;" "&amp;Milestones!$AC$173&amp;";  ","")&amp;IF(AND(EDATE($D18,Milestones!$AA$174)&lt;=AsOfDate,IF($R18=0,$X18,IF(AND($T18&lt;&gt;"",EDATE($D18,Milestones!$AA$174)&gt;=$T18),$W18,IF(AND($S18&lt;&gt;"",EDATE($D18,Milestones!$AA$174)&gt;=$S18),$V18,$U18)))=Milestones!$AB$174),UPPER(TEXT(EDATE($D18,Milestones!$AA$174),"dd mmm yy"))&amp;" "&amp;Milestones!$AB$174&amp;" "&amp;Milestones!$AC$174&amp;";  ","")&amp;IF(AND(EDATE($D18,Milestones!$AA$175)&lt;=AsOfDate,IF($R18=0,$X18,IF(AND($T18&lt;&gt;"",EDATE($D18,Milestones!$AA$175)&gt;=$T18),$W18,IF(AND($S18&lt;&gt;"",EDATE($D18,Milestones!$AA$175)&gt;=$S18),$V18,$U18)))=Milestones!$AB$175),UPPER(TEXT(EDATE($D18,Milestones!$AA$175),"dd mmm yy"))&amp;" "&amp;Milestones!$AB$175&amp;" "&amp;Milestones!$AC$175&amp;";  ","")&amp;IF(AND(EDATE($D18,Milestones!$AA$176)&lt;=AsOfDate,IF($R18=0,$X18,IF(AND($T18&lt;&gt;"",EDATE($D18,Milestones!$AA$176)&gt;=$T18),$W18,IF(AND($S18&lt;&gt;"",EDATE($D18,Milestones!$AA$176)&gt;=$S18),$V18,$U18)))=Milestones!$AB$176),UPPER(TEXT(EDATE($D18,Milestones!$AA$176),"dd mmm yy"))&amp;" "&amp;Milestones!$AB$176&amp;" "&amp;Milestones!$AC$176&amp;";  ","")&amp;IF(AND(EDATE($D18,Milestones!$AA$177)&lt;=AsOfDate,IF($R18=0,$X18,IF(AND($T18&lt;&gt;"",EDATE($D18,Milestones!$AA$177)&gt;=$T18),$W18,IF(AND($S18&lt;&gt;"",EDATE($D18,Milestones!$AA$177)&gt;=$S18),$V18,$U18)))=Milestones!$AB$177),UPPER(TEXT(EDATE($D18,Milestones!$AA$177),"dd mmm yy"))&amp;" "&amp;Milestones!$AB$177&amp;" "&amp;Milestones!$AC$177&amp;";  ","")&amp;IF(AND(EDATE($D18,Milestones!$AA$178)&lt;=AsOfDate,IF($R18=0,$X18,IF(AND($T18&lt;&gt;"",EDATE($D18,Milestones!$AA$178)&gt;=$T18),$W18,IF(AND($S18&lt;&gt;"",EDATE($D18,Milestones!$AA$178)&gt;=$S18),$V18,$U18)))=Milestones!$AB$178),UPPER(TEXT(EDATE($D18,Milestones!$AA$178),"dd mmm yy"))&amp;" "&amp;Milestones!$AB$178&amp;" "&amp;Milestones!$AC$178&amp;";  ","")&amp;IF(AND(EDATE($D18,Milestones!$AA$179)&lt;=AsOfDate,IF($R18=0,$X18,IF(AND($T18&lt;&gt;"",EDATE($D18,Milestones!$AA$179)&gt;=$T18),$W18,IF(AND($S18&lt;&gt;"",EDATE($D18,Milestones!$AA$179)&gt;=$S18),$V18,$U18)))=Milestones!$AB$179),UPPER(TEXT(EDATE($D18,Milestones!$AA$179),"dd mmm yy"))&amp;" "&amp;Milestones!$AB$179&amp;" "&amp;Milestones!$AC$179&amp;";  ",""))</f>
        <v/>
      </c>
      <c r="Q18" s="0" t="str">
        <f aca="false">IF(OR($A18="",$D18=""),"",IF(AND(EDATE($D18,Milestones!$AA$180)&lt;=AsOfDate,IF($R18=0,$X18,IF(AND($T18&lt;&gt;"",EDATE($D18,Milestones!$AA$180)&gt;=$T18),$W18,IF(AND($S18&lt;&gt;"",EDATE($D18,Milestones!$AA$180)&gt;=$S18),$V18,$U18)))=Milestones!$AB$180),UPPER(TEXT(EDATE($D18,Milestones!$AA$180),"dd mmm yy"))&amp;" "&amp;Milestones!$AB$180&amp;" "&amp;Milestones!$AC$180&amp;";  ","")&amp;IF(AND(EDATE($D18,Milestones!$AA$181)&lt;=AsOfDate,IF($R18=0,$X18,IF(AND($T18&lt;&gt;"",EDATE($D18,Milestones!$AA$181)&gt;=$T18),$W18,IF(AND($S18&lt;&gt;"",EDATE($D18,Milestones!$AA$181)&gt;=$S18),$V18,$U18)))=Milestones!$AB$181),UPPER(TEXT(EDATE($D18,Milestones!$AA$181),"dd mmm yy"))&amp;" "&amp;Milestones!$AB$181&amp;" "&amp;Milestones!$AC$181&amp;";  ","")&amp;IF(AND(EDATE($D18,Milestones!$AA$182)&lt;=AsOfDate,IF($R18=0,$X18,IF(AND($T18&lt;&gt;"",EDATE($D18,Milestones!$AA$182)&gt;=$T18),$W18,IF(AND($S18&lt;&gt;"",EDATE($D18,Milestones!$AA$182)&gt;=$S18),$V18,$U18)))=Milestones!$AB$182),UPPER(TEXT(EDATE($D18,Milestones!$AA$182),"dd mmm yy"))&amp;" "&amp;Milestones!$AB$182&amp;" "&amp;Milestones!$AC$182&amp;";  ","")&amp;IF(AND(EDATE($D18,Milestones!$AA$183)&lt;=AsOfDate,IF($R18=0,$X18,IF(AND($T18&lt;&gt;"",EDATE($D18,Milestones!$AA$183)&gt;=$T18),$W18,IF(AND($S18&lt;&gt;"",EDATE($D18,Milestones!$AA$183)&gt;=$S18),$V18,$U18)))=Milestones!$AB$183),UPPER(TEXT(EDATE($D18,Milestones!$AA$183),"dd mmm yy"))&amp;" "&amp;Milestones!$AB$183&amp;" "&amp;Milestones!$AC$183&amp;";  ","")&amp;IF(AND(EDATE($D18,Milestones!$AA$184)&lt;=AsOfDate,IF($R18=0,$X18,IF(AND($T18&lt;&gt;"",EDATE($D18,Milestones!$AA$184)&gt;=$T18),$W18,IF(AND($S18&lt;&gt;"",EDATE($D18,Milestones!$AA$184)&gt;=$S18),$V18,$U18)))=Milestones!$AB$184),UPPER(TEXT(EDATE($D18,Milestones!$AA$184),"dd mmm yy"))&amp;" "&amp;Milestones!$AB$184&amp;" "&amp;Milestones!$AC$184&amp;";  ","")&amp;IF(AND(EDATE($D18,Milestones!$AA$185)&lt;=AsOfDate,IF($R18=0,$X18,IF(AND($T18&lt;&gt;"",EDATE($D18,Milestones!$AA$185)&gt;=$T18),$W18,IF(AND($S18&lt;&gt;"",EDATE($D18,Milestones!$AA$185)&gt;=$S18),$V18,$U18)))=Milestones!$AB$185),UPPER(TEXT(EDATE($D18,Milestones!$AA$185),"dd mmm yy"))&amp;" "&amp;Milestones!$AB$185&amp;" "&amp;Milestones!$AC$185&amp;";  ","")&amp;IF(AND(EDATE($D18,Milestones!$AA$186)&lt;=AsOfDate,IF($R18=0,$X18,IF(AND($T18&lt;&gt;"",EDATE($D18,Milestones!$AA$186)&gt;=$T18),$W18,IF(AND($S18&lt;&gt;"",EDATE($D18,Milestones!$AA$186)&gt;=$S18),$V18,$U18)))=Milestones!$AB$186),UPPER(TEXT(EDATE($D18,Milestones!$AA$186),"dd mmm yy"))&amp;" "&amp;Milestones!$AB$186&amp;" "&amp;Milestones!$AC$186&amp;";  ","")&amp;IF(AND(EDATE($D18,Milestones!$AA$187)&lt;=AsOfDate,IF($R18=0,$X18,IF(AND($T18&lt;&gt;"",EDATE($D18,Milestones!$AA$187)&gt;=$T18),$W18,IF(AND($S18&lt;&gt;"",EDATE($D18,Milestones!$AA$187)&gt;=$S18),$V18,$U18)))=Milestones!$AB$187),UPPER(TEXT(EDATE($D18,Milestones!$AA$187),"dd mmm yy"))&amp;" "&amp;Milestones!$AB$187&amp;" "&amp;Milestones!$AC$187&amp;";  ","")&amp;IF(AND(EDATE($D18,Milestones!$AA$188)&lt;=AsOfDate,IF($R18=0,$X18,IF(AND($T18&lt;&gt;"",EDATE($D18,Milestones!$AA$188)&gt;=$T18),$W18,IF(AND($S18&lt;&gt;"",EDATE($D18,Milestones!$AA$188)&gt;=$S18),$V18,$U18)))=Milestones!$AB$188),UPPER(TEXT(EDATE($D18,Milestones!$AA$188),"dd mmm yy"))&amp;" "&amp;Milestones!$AB$188&amp;" "&amp;Milestones!$AC$188&amp;";  ","")&amp;IF(AND(EDATE($D18,Milestones!$AA$189)&lt;=AsOfDate,IF($R18=0,$X18,IF(AND($T18&lt;&gt;"",EDATE($D18,Milestones!$AA$189)&gt;=$T18),$W18,IF(AND($S18&lt;&gt;"",EDATE($D18,Milestones!$AA$189)&gt;=$S18),$V18,$U18)))=Milestones!$AB$189),UPPER(TEXT(EDATE($D18,Milestones!$AA$189),"dd mmm yy"))&amp;" "&amp;Milestones!$AB$189&amp;" "&amp;Milestones!$AC$189&amp;";  ","")&amp;IF(AND(EDATE($D18,Milestones!$AA$190)&lt;=AsOfDate,IF($R18=0,$X18,IF(AND($T18&lt;&gt;"",EDATE($D18,Milestones!$AA$190)&gt;=$T18),$W18,IF(AND($S18&lt;&gt;"",EDATE($D18,Milestones!$AA$190)&gt;=$S18),$V18,$U18)))=Milestones!$AB$190),UPPER(TEXT(EDATE($D18,Milestones!$AA$190),"dd mmm yy"))&amp;" "&amp;Milestones!$AB$190&amp;" "&amp;Milestones!$AC$190&amp;";  ","")&amp;IF(AND(EDATE($D18,Milestones!$AA$191)&lt;=AsOfDate,IF($R18=0,$X18,IF(AND($T18&lt;&gt;"",EDATE($D18,Milestones!$AA$191)&gt;=$T18),$W18,IF(AND($S18&lt;&gt;"",EDATE($D18,Milestones!$AA$191)&gt;=$S18),$V18,$U18)))=Milestones!$AB$191),UPPER(TEXT(EDATE($D18,Milestones!$AA$191),"dd mmm yy"))&amp;" "&amp;Milestones!$AB$191&amp;" "&amp;Milestones!$AC$191&amp;";  ","")&amp;IF(AND(EDATE($D18,Milestones!$AA$192)&lt;=AsOfDate,IF($R18=0,$X18,IF(AND($T18&lt;&gt;"",EDATE($D18,Milestones!$AA$192)&gt;=$T18),$W18,IF(AND($S18&lt;&gt;"",EDATE($D18,Milestones!$AA$192)&gt;=$S18),$V18,$U18)))=Milestones!$AB$192),UPPER(TEXT(EDATE($D18,Milestones!$AA$192),"dd mmm yy"))&amp;" "&amp;Milestones!$AB$192&amp;" "&amp;Milestones!$AC$192&amp;";  ","")&amp;IF(AND(EDATE($D18,Milestones!$AA$193)&lt;=AsOfDate,IF($R18=0,$X18,IF(AND($T18&lt;&gt;"",EDATE($D18,Milestones!$AA$193)&gt;=$T18),$W18,IF(AND($S18&lt;&gt;"",EDATE($D18,Milestones!$AA$193)&gt;=$S18),$V18,$U18)))=Milestones!$AB$193),UPPER(TEXT(EDATE($D18,Milestones!$AA$193),"dd mmm yy"))&amp;" "&amp;Milestones!$AB$193&amp;" "&amp;Milestones!$AC$193&amp;";  ","")&amp;IF(AND(EDATE($D18,Milestones!$AA$194)&lt;=AsOfDate,IF($R18=0,$X18,IF(AND($T18&lt;&gt;"",EDATE($D18,Milestones!$AA$194)&gt;=$T18),$W18,IF(AND($S18&lt;&gt;"",EDATE($D18,Milestones!$AA$194)&gt;=$S18),$V18,$U18)))=Milestones!$AB$194),UPPER(TEXT(EDATE($D18,Milestones!$AA$194),"dd mmm yy"))&amp;" "&amp;Milestones!$AB$194&amp;" "&amp;Milestones!$AC$194&amp;";  ","")&amp;IF(AND(EDATE($D18,Milestones!$AA$195)&lt;=AsOfDate,IF($R18=0,$X18,IF(AND($T18&lt;&gt;"",EDATE($D18,Milestones!$AA$195)&gt;=$T18),$W18,IF(AND($S18&lt;&gt;"",EDATE($D18,Milestones!$AA$195)&gt;=$S18),$V18,$U18)))=Milestones!$AB$195),UPPER(TEXT(EDATE($D18,Milestones!$AA$195),"dd mmm yy"))&amp;" "&amp;Milestones!$AB$195&amp;" "&amp;Milestones!$AC$195&amp;";  ","")&amp;IF(AND(EDATE($D18,Milestones!$AA$196)&lt;=AsOfDate,IF($R18=0,$X18,IF(AND($T18&lt;&gt;"",EDATE($D18,Milestones!$AA$196)&gt;=$T18),$W18,IF(AND($S18&lt;&gt;"",EDATE($D18,Milestones!$AA$196)&gt;=$S18),$V18,$U18)))=Milestones!$AB$196),UPPER(TEXT(EDATE($D18,Milestones!$AA$196),"dd mmm yy"))&amp;" "&amp;Milestones!$AB$196&amp;" "&amp;Milestones!$AC$196&amp;";  ","")&amp;IF(AND(EDATE($D18,Milestones!$AA$197)&lt;=AsOfDate,IF($R18=0,$X18,IF(AND($T18&lt;&gt;"",EDATE($D18,Milestones!$AA$197)&gt;=$T18),$W18,IF(AND($S18&lt;&gt;"",EDATE($D18,Milestones!$AA$197)&gt;=$S18),$V18,$U18)))=Milestones!$AB$197),UPPER(TEXT(EDATE($D18,Milestones!$AA$197),"dd mmm yy"))&amp;" "&amp;Milestones!$AB$197&amp;" "&amp;Milestones!$AC$197&amp;";  ","")&amp;IF(AND(EDATE($D18,Milestones!$AA$198)&lt;=AsOfDate,IF($R18=0,$X18,IF(AND($T18&lt;&gt;"",EDATE($D18,Milestones!$AA$198)&gt;=$T18),$W18,IF(AND($S18&lt;&gt;"",EDATE($D18,Milestones!$AA$198)&gt;=$S18),$V18,$U18)))=Milestones!$AB$198),UPPER(TEXT(EDATE($D18,Milestones!$AA$198),"dd mmm yy"))&amp;" "&amp;Milestones!$AB$198&amp;" "&amp;Milestones!$AC$198&amp;";  ","")&amp;IF(AND(EDATE($D18,Milestones!$AA$199)&lt;=AsOfDate,IF($R18=0,$X18,IF(AND($T18&lt;&gt;"",EDATE($D18,Milestones!$AA$199)&gt;=$T18),$W18,IF(AND($S18&lt;&gt;"",EDATE($D18,Milestones!$AA$199)&gt;=$S18),$V18,$U18)))=Milestones!$AB$199),UPPER(TEXT(EDATE($D18,Milestones!$AA$199),"dd mmm yy"))&amp;" "&amp;Milestones!$AB$199&amp;" "&amp;Milestones!$AC$199&amp;";  ",""))</f>
        <v/>
      </c>
      <c r="R18" s="33" t="n">
        <f aca="false">IF(Staff!$A18="","",Staff!$AI18)</f>
        <v>0</v>
      </c>
      <c r="S18" s="0" t="str">
        <f aca="false">IF(Staff!$A18="","",Staff!$AK18)</f>
        <v/>
      </c>
      <c r="T18" s="0" t="str">
        <f aca="false">IF(Staff!$A18="","",Staff!$AL18)</f>
        <v/>
      </c>
      <c r="U18" s="0" t="str">
        <f aca="false">IF(Staff!$A18="","",Staff!$AP18)</f>
        <v>None</v>
      </c>
      <c r="V18" s="0" t="str">
        <f aca="false">IF(Staff!$A18="","",Staff!$AQ18)</f>
        <v/>
      </c>
      <c r="W18" s="0" t="str">
        <f aca="false">IF(Staff!$A18="","",Staff!$AR18)</f>
        <v/>
      </c>
      <c r="X18" s="0" t="str">
        <f aca="false">IF(Staff!$A18="","",Staff!$AS18)</f>
        <v>None</v>
      </c>
    </row>
    <row r="19" customFormat="false" ht="15" hidden="false" customHeight="false" outlineLevel="0" collapsed="false">
      <c r="A19" s="19" t="str">
        <f aca="false">IF(Staff!$A19="","",Staff!$A19)</f>
        <v>Danica</v>
      </c>
      <c r="B19" s="19" t="str">
        <f aca="false">IF(Staff!$A19="","",Staff!$B19)</f>
        <v>Nelson</v>
      </c>
      <c r="C19" s="19" t="str">
        <f aca="false">IF(Staff!$A19="","",Staff!$C19)</f>
        <v>Full-Time</v>
      </c>
      <c r="D19" s="17" t="n">
        <f aca="false">IF(Staff!$A19="","",Staff!$AH19)</f>
        <v>46253</v>
      </c>
      <c r="E19" s="20" t="n">
        <f aca="false">IF(Staff!$A19="","",Staff!$O19)</f>
        <v>0</v>
      </c>
      <c r="F19" s="19" t="n">
        <f aca="false">IF(E19="","",E19*HoursPerDay)</f>
        <v>0</v>
      </c>
      <c r="G19" s="20" t="n">
        <f aca="false">IF(Staff!$A19="","",Staff!$AE19)</f>
        <v>0</v>
      </c>
      <c r="H19" s="32" t="str">
        <f aca="false">IF($A19="","",I19&amp;J19&amp;K19&amp;L19&amp;M19&amp;N19&amp;O19&amp;P19&amp;Q19)</f>
        <v/>
      </c>
      <c r="I19" s="0" t="str">
        <f aca="false">IF(OR($A19="",$D19=""),"",IF(AND(EDATE($D19,Milestones!$AA$20)&lt;=AsOfDate,IF($R19=0,$X19,IF(AND($T19&lt;&gt;"",EDATE($D19,Milestones!$AA$20)&gt;=$T19),$W19,IF(AND($S19&lt;&gt;"",EDATE($D19,Milestones!$AA$20)&gt;=$S19),$V19,$U19)))=Milestones!$AB$20),UPPER(TEXT(EDATE($D19,Milestones!$AA$20),"dd mmm yy"))&amp;" "&amp;Milestones!$AB$20&amp;" "&amp;Milestones!$AC$20&amp;";  ","")&amp;IF(AND(EDATE($D19,Milestones!$AA$21)&lt;=AsOfDate,IF($R19=0,$X19,IF(AND($T19&lt;&gt;"",EDATE($D19,Milestones!$AA$21)&gt;=$T19),$W19,IF(AND($S19&lt;&gt;"",EDATE($D19,Milestones!$AA$21)&gt;=$S19),$V19,$U19)))=Milestones!$AB$21),UPPER(TEXT(EDATE($D19,Milestones!$AA$21),"dd mmm yy"))&amp;" "&amp;Milestones!$AB$21&amp;" "&amp;Milestones!$AC$21&amp;";  ","")&amp;IF(AND(EDATE($D19,Milestones!$AA$22)&lt;=AsOfDate,IF($R19=0,$X19,IF(AND($T19&lt;&gt;"",EDATE($D19,Milestones!$AA$22)&gt;=$T19),$W19,IF(AND($S19&lt;&gt;"",EDATE($D19,Milestones!$AA$22)&gt;=$S19),$V19,$U19)))=Milestones!$AB$22),UPPER(TEXT(EDATE($D19,Milestones!$AA$22),"dd mmm yy"))&amp;" "&amp;Milestones!$AB$22&amp;" "&amp;Milestones!$AC$22&amp;";  ","")&amp;IF(AND(EDATE($D19,Milestones!$AA$23)&lt;=AsOfDate,IF($R19=0,$X19,IF(AND($T19&lt;&gt;"",EDATE($D19,Milestones!$AA$23)&gt;=$T19),$W19,IF(AND($S19&lt;&gt;"",EDATE($D19,Milestones!$AA$23)&gt;=$S19),$V19,$U19)))=Milestones!$AB$23),UPPER(TEXT(EDATE($D19,Milestones!$AA$23),"dd mmm yy"))&amp;" "&amp;Milestones!$AB$23&amp;" "&amp;Milestones!$AC$23&amp;";  ","")&amp;IF(AND(EDATE($D19,Milestones!$AA$24)&lt;=AsOfDate,IF($R19=0,$X19,IF(AND($T19&lt;&gt;"",EDATE($D19,Milestones!$AA$24)&gt;=$T19),$W19,IF(AND($S19&lt;&gt;"",EDATE($D19,Milestones!$AA$24)&gt;=$S19),$V19,$U19)))=Milestones!$AB$24),UPPER(TEXT(EDATE($D19,Milestones!$AA$24),"dd mmm yy"))&amp;" "&amp;Milestones!$AB$24&amp;" "&amp;Milestones!$AC$24&amp;";  ","")&amp;IF(AND(EDATE($D19,Milestones!$AA$25)&lt;=AsOfDate,IF($R19=0,$X19,IF(AND($T19&lt;&gt;"",EDATE($D19,Milestones!$AA$25)&gt;=$T19),$W19,IF(AND($S19&lt;&gt;"",EDATE($D19,Milestones!$AA$25)&gt;=$S19),$V19,$U19)))=Milestones!$AB$25),UPPER(TEXT(EDATE($D19,Milestones!$AA$25),"dd mmm yy"))&amp;" "&amp;Milestones!$AB$25&amp;" "&amp;Milestones!$AC$25&amp;";  ","")&amp;IF(AND(EDATE($D19,Milestones!$AA$26)&lt;=AsOfDate,IF($R19=0,$X19,IF(AND($T19&lt;&gt;"",EDATE($D19,Milestones!$AA$26)&gt;=$T19),$W19,IF(AND($S19&lt;&gt;"",EDATE($D19,Milestones!$AA$26)&gt;=$S19),$V19,$U19)))=Milestones!$AB$26),UPPER(TEXT(EDATE($D19,Milestones!$AA$26),"dd mmm yy"))&amp;" "&amp;Milestones!$AB$26&amp;" "&amp;Milestones!$AC$26&amp;";  ","")&amp;IF(AND(EDATE($D19,Milestones!$AA$27)&lt;=AsOfDate,IF($R19=0,$X19,IF(AND($T19&lt;&gt;"",EDATE($D19,Milestones!$AA$27)&gt;=$T19),$W19,IF(AND($S19&lt;&gt;"",EDATE($D19,Milestones!$AA$27)&gt;=$S19),$V19,$U19)))=Milestones!$AB$27),UPPER(TEXT(EDATE($D19,Milestones!$AA$27),"dd mmm yy"))&amp;" "&amp;Milestones!$AB$27&amp;" "&amp;Milestones!$AC$27&amp;";  ","")&amp;IF(AND(EDATE($D19,Milestones!$AA$28)&lt;=AsOfDate,IF($R19=0,$X19,IF(AND($T19&lt;&gt;"",EDATE($D19,Milestones!$AA$28)&gt;=$T19),$W19,IF(AND($S19&lt;&gt;"",EDATE($D19,Milestones!$AA$28)&gt;=$S19),$V19,$U19)))=Milestones!$AB$28),UPPER(TEXT(EDATE($D19,Milestones!$AA$28),"dd mmm yy"))&amp;" "&amp;Milestones!$AB$28&amp;" "&amp;Milestones!$AC$28&amp;";  ","")&amp;IF(AND(EDATE($D19,Milestones!$AA$29)&lt;=AsOfDate,IF($R19=0,$X19,IF(AND($T19&lt;&gt;"",EDATE($D19,Milestones!$AA$29)&gt;=$T19),$W19,IF(AND($S19&lt;&gt;"",EDATE($D19,Milestones!$AA$29)&gt;=$S19),$V19,$U19)))=Milestones!$AB$29),UPPER(TEXT(EDATE($D19,Milestones!$AA$29),"dd mmm yy"))&amp;" "&amp;Milestones!$AB$29&amp;" "&amp;Milestones!$AC$29&amp;";  ","")&amp;IF(AND(EDATE($D19,Milestones!$AA$30)&lt;=AsOfDate,IF($R19=0,$X19,IF(AND($T19&lt;&gt;"",EDATE($D19,Milestones!$AA$30)&gt;=$T19),$W19,IF(AND($S19&lt;&gt;"",EDATE($D19,Milestones!$AA$30)&gt;=$S19),$V19,$U19)))=Milestones!$AB$30),UPPER(TEXT(EDATE($D19,Milestones!$AA$30),"dd mmm yy"))&amp;" "&amp;Milestones!$AB$30&amp;" "&amp;Milestones!$AC$30&amp;";  ","")&amp;IF(AND(EDATE($D19,Milestones!$AA$31)&lt;=AsOfDate,IF($R19=0,$X19,IF(AND($T19&lt;&gt;"",EDATE($D19,Milestones!$AA$31)&gt;=$T19),$W19,IF(AND($S19&lt;&gt;"",EDATE($D19,Milestones!$AA$31)&gt;=$S19),$V19,$U19)))=Milestones!$AB$31),UPPER(TEXT(EDATE($D19,Milestones!$AA$31),"dd mmm yy"))&amp;" "&amp;Milestones!$AB$31&amp;" "&amp;Milestones!$AC$31&amp;";  ","")&amp;IF(AND(EDATE($D19,Milestones!$AA$32)&lt;=AsOfDate,IF($R19=0,$X19,IF(AND($T19&lt;&gt;"",EDATE($D19,Milestones!$AA$32)&gt;=$T19),$W19,IF(AND($S19&lt;&gt;"",EDATE($D19,Milestones!$AA$32)&gt;=$S19),$V19,$U19)))=Milestones!$AB$32),UPPER(TEXT(EDATE($D19,Milestones!$AA$32),"dd mmm yy"))&amp;" "&amp;Milestones!$AB$32&amp;" "&amp;Milestones!$AC$32&amp;";  ","")&amp;IF(AND(EDATE($D19,Milestones!$AA$33)&lt;=AsOfDate,IF($R19=0,$X19,IF(AND($T19&lt;&gt;"",EDATE($D19,Milestones!$AA$33)&gt;=$T19),$W19,IF(AND($S19&lt;&gt;"",EDATE($D19,Milestones!$AA$33)&gt;=$S19),$V19,$U19)))=Milestones!$AB$33),UPPER(TEXT(EDATE($D19,Milestones!$AA$33),"dd mmm yy"))&amp;" "&amp;Milestones!$AB$33&amp;" "&amp;Milestones!$AC$33&amp;";  ","")&amp;IF(AND(EDATE($D19,Milestones!$AA$34)&lt;=AsOfDate,IF($R19=0,$X19,IF(AND($T19&lt;&gt;"",EDATE($D19,Milestones!$AA$34)&gt;=$T19),$W19,IF(AND($S19&lt;&gt;"",EDATE($D19,Milestones!$AA$34)&gt;=$S19),$V19,$U19)))=Milestones!$AB$34),UPPER(TEXT(EDATE($D19,Milestones!$AA$34),"dd mmm yy"))&amp;" "&amp;Milestones!$AB$34&amp;" "&amp;Milestones!$AC$34&amp;";  ","")&amp;IF(AND(EDATE($D19,Milestones!$AA$35)&lt;=AsOfDate,IF($R19=0,$X19,IF(AND($T19&lt;&gt;"",EDATE($D19,Milestones!$AA$35)&gt;=$T19),$W19,IF(AND($S19&lt;&gt;"",EDATE($D19,Milestones!$AA$35)&gt;=$S19),$V19,$U19)))=Milestones!$AB$35),UPPER(TEXT(EDATE($D19,Milestones!$AA$35),"dd mmm yy"))&amp;" "&amp;Milestones!$AB$35&amp;" "&amp;Milestones!$AC$35&amp;";  ","")&amp;IF(AND(EDATE($D19,Milestones!$AA$36)&lt;=AsOfDate,IF($R19=0,$X19,IF(AND($T19&lt;&gt;"",EDATE($D19,Milestones!$AA$36)&gt;=$T19),$W19,IF(AND($S19&lt;&gt;"",EDATE($D19,Milestones!$AA$36)&gt;=$S19),$V19,$U19)))=Milestones!$AB$36),UPPER(TEXT(EDATE($D19,Milestones!$AA$36),"dd mmm yy"))&amp;" "&amp;Milestones!$AB$36&amp;" "&amp;Milestones!$AC$36&amp;";  ","")&amp;IF(AND(EDATE($D19,Milestones!$AA$37)&lt;=AsOfDate,IF($R19=0,$X19,IF(AND($T19&lt;&gt;"",EDATE($D19,Milestones!$AA$37)&gt;=$T19),$W19,IF(AND($S19&lt;&gt;"",EDATE($D19,Milestones!$AA$37)&gt;=$S19),$V19,$U19)))=Milestones!$AB$37),UPPER(TEXT(EDATE($D19,Milestones!$AA$37),"dd mmm yy"))&amp;" "&amp;Milestones!$AB$37&amp;" "&amp;Milestones!$AC$37&amp;";  ","")&amp;IF(AND(EDATE($D19,Milestones!$AA$38)&lt;=AsOfDate,IF($R19=0,$X19,IF(AND($T19&lt;&gt;"",EDATE($D19,Milestones!$AA$38)&gt;=$T19),$W19,IF(AND($S19&lt;&gt;"",EDATE($D19,Milestones!$AA$38)&gt;=$S19),$V19,$U19)))=Milestones!$AB$38),UPPER(TEXT(EDATE($D19,Milestones!$AA$38),"dd mmm yy"))&amp;" "&amp;Milestones!$AB$38&amp;" "&amp;Milestones!$AC$38&amp;";  ","")&amp;IF(AND(EDATE($D19,Milestones!$AA$39)&lt;=AsOfDate,IF($R19=0,$X19,IF(AND($T19&lt;&gt;"",EDATE($D19,Milestones!$AA$39)&gt;=$T19),$W19,IF(AND($S19&lt;&gt;"",EDATE($D19,Milestones!$AA$39)&gt;=$S19),$V19,$U19)))=Milestones!$AB$39),UPPER(TEXT(EDATE($D19,Milestones!$AA$39),"dd mmm yy"))&amp;" "&amp;Milestones!$AB$39&amp;" "&amp;Milestones!$AC$39&amp;";  ",""))</f>
        <v/>
      </c>
      <c r="J19" s="0" t="str">
        <f aca="false">IF(OR($A19="",$D19=""),"",IF(AND(EDATE($D19,Milestones!$AA$40)&lt;=AsOfDate,IF($R19=0,$X19,IF(AND($T19&lt;&gt;"",EDATE($D19,Milestones!$AA$40)&gt;=$T19),$W19,IF(AND($S19&lt;&gt;"",EDATE($D19,Milestones!$AA$40)&gt;=$S19),$V19,$U19)))=Milestones!$AB$40),UPPER(TEXT(EDATE($D19,Milestones!$AA$40),"dd mmm yy"))&amp;" "&amp;Milestones!$AB$40&amp;" "&amp;Milestones!$AC$40&amp;";  ","")&amp;IF(AND(EDATE($D19,Milestones!$AA$41)&lt;=AsOfDate,IF($R19=0,$X19,IF(AND($T19&lt;&gt;"",EDATE($D19,Milestones!$AA$41)&gt;=$T19),$W19,IF(AND($S19&lt;&gt;"",EDATE($D19,Milestones!$AA$41)&gt;=$S19),$V19,$U19)))=Milestones!$AB$41),UPPER(TEXT(EDATE($D19,Milestones!$AA$41),"dd mmm yy"))&amp;" "&amp;Milestones!$AB$41&amp;" "&amp;Milestones!$AC$41&amp;";  ","")&amp;IF(AND(EDATE($D19,Milestones!$AA$42)&lt;=AsOfDate,IF($R19=0,$X19,IF(AND($T19&lt;&gt;"",EDATE($D19,Milestones!$AA$42)&gt;=$T19),$W19,IF(AND($S19&lt;&gt;"",EDATE($D19,Milestones!$AA$42)&gt;=$S19),$V19,$U19)))=Milestones!$AB$42),UPPER(TEXT(EDATE($D19,Milestones!$AA$42),"dd mmm yy"))&amp;" "&amp;Milestones!$AB$42&amp;" "&amp;Milestones!$AC$42&amp;";  ","")&amp;IF(AND(EDATE($D19,Milestones!$AA$43)&lt;=AsOfDate,IF($R19=0,$X19,IF(AND($T19&lt;&gt;"",EDATE($D19,Milestones!$AA$43)&gt;=$T19),$W19,IF(AND($S19&lt;&gt;"",EDATE($D19,Milestones!$AA$43)&gt;=$S19),$V19,$U19)))=Milestones!$AB$43),UPPER(TEXT(EDATE($D19,Milestones!$AA$43),"dd mmm yy"))&amp;" "&amp;Milestones!$AB$43&amp;" "&amp;Milestones!$AC$43&amp;";  ","")&amp;IF(AND(EDATE($D19,Milestones!$AA$44)&lt;=AsOfDate,IF($R19=0,$X19,IF(AND($T19&lt;&gt;"",EDATE($D19,Milestones!$AA$44)&gt;=$T19),$W19,IF(AND($S19&lt;&gt;"",EDATE($D19,Milestones!$AA$44)&gt;=$S19),$V19,$U19)))=Milestones!$AB$44),UPPER(TEXT(EDATE($D19,Milestones!$AA$44),"dd mmm yy"))&amp;" "&amp;Milestones!$AB$44&amp;" "&amp;Milestones!$AC$44&amp;";  ","")&amp;IF(AND(EDATE($D19,Milestones!$AA$45)&lt;=AsOfDate,IF($R19=0,$X19,IF(AND($T19&lt;&gt;"",EDATE($D19,Milestones!$AA$45)&gt;=$T19),$W19,IF(AND($S19&lt;&gt;"",EDATE($D19,Milestones!$AA$45)&gt;=$S19),$V19,$U19)))=Milestones!$AB$45),UPPER(TEXT(EDATE($D19,Milestones!$AA$45),"dd mmm yy"))&amp;" "&amp;Milestones!$AB$45&amp;" "&amp;Milestones!$AC$45&amp;";  ","")&amp;IF(AND(EDATE($D19,Milestones!$AA$46)&lt;=AsOfDate,IF($R19=0,$X19,IF(AND($T19&lt;&gt;"",EDATE($D19,Milestones!$AA$46)&gt;=$T19),$W19,IF(AND($S19&lt;&gt;"",EDATE($D19,Milestones!$AA$46)&gt;=$S19),$V19,$U19)))=Milestones!$AB$46),UPPER(TEXT(EDATE($D19,Milestones!$AA$46),"dd mmm yy"))&amp;" "&amp;Milestones!$AB$46&amp;" "&amp;Milestones!$AC$46&amp;";  ","")&amp;IF(AND(EDATE($D19,Milestones!$AA$47)&lt;=AsOfDate,IF($R19=0,$X19,IF(AND($T19&lt;&gt;"",EDATE($D19,Milestones!$AA$47)&gt;=$T19),$W19,IF(AND($S19&lt;&gt;"",EDATE($D19,Milestones!$AA$47)&gt;=$S19),$V19,$U19)))=Milestones!$AB$47),UPPER(TEXT(EDATE($D19,Milestones!$AA$47),"dd mmm yy"))&amp;" "&amp;Milestones!$AB$47&amp;" "&amp;Milestones!$AC$47&amp;";  ","")&amp;IF(AND(EDATE($D19,Milestones!$AA$48)&lt;=AsOfDate,IF($R19=0,$X19,IF(AND($T19&lt;&gt;"",EDATE($D19,Milestones!$AA$48)&gt;=$T19),$W19,IF(AND($S19&lt;&gt;"",EDATE($D19,Milestones!$AA$48)&gt;=$S19),$V19,$U19)))=Milestones!$AB$48),UPPER(TEXT(EDATE($D19,Milestones!$AA$48),"dd mmm yy"))&amp;" "&amp;Milestones!$AB$48&amp;" "&amp;Milestones!$AC$48&amp;";  ","")&amp;IF(AND(EDATE($D19,Milestones!$AA$49)&lt;=AsOfDate,IF($R19=0,$X19,IF(AND($T19&lt;&gt;"",EDATE($D19,Milestones!$AA$49)&gt;=$T19),$W19,IF(AND($S19&lt;&gt;"",EDATE($D19,Milestones!$AA$49)&gt;=$S19),$V19,$U19)))=Milestones!$AB$49),UPPER(TEXT(EDATE($D19,Milestones!$AA$49),"dd mmm yy"))&amp;" "&amp;Milestones!$AB$49&amp;" "&amp;Milestones!$AC$49&amp;";  ","")&amp;IF(AND(EDATE($D19,Milestones!$AA$50)&lt;=AsOfDate,IF($R19=0,$X19,IF(AND($T19&lt;&gt;"",EDATE($D19,Milestones!$AA$50)&gt;=$T19),$W19,IF(AND($S19&lt;&gt;"",EDATE($D19,Milestones!$AA$50)&gt;=$S19),$V19,$U19)))=Milestones!$AB$50),UPPER(TEXT(EDATE($D19,Milestones!$AA$50),"dd mmm yy"))&amp;" "&amp;Milestones!$AB$50&amp;" "&amp;Milestones!$AC$50&amp;";  ","")&amp;IF(AND(EDATE($D19,Milestones!$AA$51)&lt;=AsOfDate,IF($R19=0,$X19,IF(AND($T19&lt;&gt;"",EDATE($D19,Milestones!$AA$51)&gt;=$T19),$W19,IF(AND($S19&lt;&gt;"",EDATE($D19,Milestones!$AA$51)&gt;=$S19),$V19,$U19)))=Milestones!$AB$51),UPPER(TEXT(EDATE($D19,Milestones!$AA$51),"dd mmm yy"))&amp;" "&amp;Milestones!$AB$51&amp;" "&amp;Milestones!$AC$51&amp;";  ","")&amp;IF(AND(EDATE($D19,Milestones!$AA$52)&lt;=AsOfDate,IF($R19=0,$X19,IF(AND($T19&lt;&gt;"",EDATE($D19,Milestones!$AA$52)&gt;=$T19),$W19,IF(AND($S19&lt;&gt;"",EDATE($D19,Milestones!$AA$52)&gt;=$S19),$V19,$U19)))=Milestones!$AB$52),UPPER(TEXT(EDATE($D19,Milestones!$AA$52),"dd mmm yy"))&amp;" "&amp;Milestones!$AB$52&amp;" "&amp;Milestones!$AC$52&amp;";  ","")&amp;IF(AND(EDATE($D19,Milestones!$AA$53)&lt;=AsOfDate,IF($R19=0,$X19,IF(AND($T19&lt;&gt;"",EDATE($D19,Milestones!$AA$53)&gt;=$T19),$W19,IF(AND($S19&lt;&gt;"",EDATE($D19,Milestones!$AA$53)&gt;=$S19),$V19,$U19)))=Milestones!$AB$53),UPPER(TEXT(EDATE($D19,Milestones!$AA$53),"dd mmm yy"))&amp;" "&amp;Milestones!$AB$53&amp;" "&amp;Milestones!$AC$53&amp;";  ","")&amp;IF(AND(EDATE($D19,Milestones!$AA$54)&lt;=AsOfDate,IF($R19=0,$X19,IF(AND($T19&lt;&gt;"",EDATE($D19,Milestones!$AA$54)&gt;=$T19),$W19,IF(AND($S19&lt;&gt;"",EDATE($D19,Milestones!$AA$54)&gt;=$S19),$V19,$U19)))=Milestones!$AB$54),UPPER(TEXT(EDATE($D19,Milestones!$AA$54),"dd mmm yy"))&amp;" "&amp;Milestones!$AB$54&amp;" "&amp;Milestones!$AC$54&amp;";  ","")&amp;IF(AND(EDATE($D19,Milestones!$AA$55)&lt;=AsOfDate,IF($R19=0,$X19,IF(AND($T19&lt;&gt;"",EDATE($D19,Milestones!$AA$55)&gt;=$T19),$W19,IF(AND($S19&lt;&gt;"",EDATE($D19,Milestones!$AA$55)&gt;=$S19),$V19,$U19)))=Milestones!$AB$55),UPPER(TEXT(EDATE($D19,Milestones!$AA$55),"dd mmm yy"))&amp;" "&amp;Milestones!$AB$55&amp;" "&amp;Milestones!$AC$55&amp;";  ","")&amp;IF(AND(EDATE($D19,Milestones!$AA$56)&lt;=AsOfDate,IF($R19=0,$X19,IF(AND($T19&lt;&gt;"",EDATE($D19,Milestones!$AA$56)&gt;=$T19),$W19,IF(AND($S19&lt;&gt;"",EDATE($D19,Milestones!$AA$56)&gt;=$S19),$V19,$U19)))=Milestones!$AB$56),UPPER(TEXT(EDATE($D19,Milestones!$AA$56),"dd mmm yy"))&amp;" "&amp;Milestones!$AB$56&amp;" "&amp;Milestones!$AC$56&amp;";  ","")&amp;IF(AND(EDATE($D19,Milestones!$AA$57)&lt;=AsOfDate,IF($R19=0,$X19,IF(AND($T19&lt;&gt;"",EDATE($D19,Milestones!$AA$57)&gt;=$T19),$W19,IF(AND($S19&lt;&gt;"",EDATE($D19,Milestones!$AA$57)&gt;=$S19),$V19,$U19)))=Milestones!$AB$57),UPPER(TEXT(EDATE($D19,Milestones!$AA$57),"dd mmm yy"))&amp;" "&amp;Milestones!$AB$57&amp;" "&amp;Milestones!$AC$57&amp;";  ","")&amp;IF(AND(EDATE($D19,Milestones!$AA$58)&lt;=AsOfDate,IF($R19=0,$X19,IF(AND($T19&lt;&gt;"",EDATE($D19,Milestones!$AA$58)&gt;=$T19),$W19,IF(AND($S19&lt;&gt;"",EDATE($D19,Milestones!$AA$58)&gt;=$S19),$V19,$U19)))=Milestones!$AB$58),UPPER(TEXT(EDATE($D19,Milestones!$AA$58),"dd mmm yy"))&amp;" "&amp;Milestones!$AB$58&amp;" "&amp;Milestones!$AC$58&amp;";  ","")&amp;IF(AND(EDATE($D19,Milestones!$AA$59)&lt;=AsOfDate,IF($R19=0,$X19,IF(AND($T19&lt;&gt;"",EDATE($D19,Milestones!$AA$59)&gt;=$T19),$W19,IF(AND($S19&lt;&gt;"",EDATE($D19,Milestones!$AA$59)&gt;=$S19),$V19,$U19)))=Milestones!$AB$59),UPPER(TEXT(EDATE($D19,Milestones!$AA$59),"dd mmm yy"))&amp;" "&amp;Milestones!$AB$59&amp;" "&amp;Milestones!$AC$59&amp;";  ",""))</f>
        <v/>
      </c>
      <c r="K19" s="0" t="str">
        <f aca="false">IF(OR($A19="",$D19=""),"",IF(AND(EDATE($D19,Milestones!$AA$60)&lt;=AsOfDate,IF($R19=0,$X19,IF(AND($T19&lt;&gt;"",EDATE($D19,Milestones!$AA$60)&gt;=$T19),$W19,IF(AND($S19&lt;&gt;"",EDATE($D19,Milestones!$AA$60)&gt;=$S19),$V19,$U19)))=Milestones!$AB$60),UPPER(TEXT(EDATE($D19,Milestones!$AA$60),"dd mmm yy"))&amp;" "&amp;Milestones!$AB$60&amp;" "&amp;Milestones!$AC$60&amp;";  ","")&amp;IF(AND(EDATE($D19,Milestones!$AA$61)&lt;=AsOfDate,IF($R19=0,$X19,IF(AND($T19&lt;&gt;"",EDATE($D19,Milestones!$AA$61)&gt;=$T19),$W19,IF(AND($S19&lt;&gt;"",EDATE($D19,Milestones!$AA$61)&gt;=$S19),$V19,$U19)))=Milestones!$AB$61),UPPER(TEXT(EDATE($D19,Milestones!$AA$61),"dd mmm yy"))&amp;" "&amp;Milestones!$AB$61&amp;" "&amp;Milestones!$AC$61&amp;";  ","")&amp;IF(AND(EDATE($D19,Milestones!$AA$62)&lt;=AsOfDate,IF($R19=0,$X19,IF(AND($T19&lt;&gt;"",EDATE($D19,Milestones!$AA$62)&gt;=$T19),$W19,IF(AND($S19&lt;&gt;"",EDATE($D19,Milestones!$AA$62)&gt;=$S19),$V19,$U19)))=Milestones!$AB$62),UPPER(TEXT(EDATE($D19,Milestones!$AA$62),"dd mmm yy"))&amp;" "&amp;Milestones!$AB$62&amp;" "&amp;Milestones!$AC$62&amp;";  ","")&amp;IF(AND(EDATE($D19,Milestones!$AA$63)&lt;=AsOfDate,IF($R19=0,$X19,IF(AND($T19&lt;&gt;"",EDATE($D19,Milestones!$AA$63)&gt;=$T19),$W19,IF(AND($S19&lt;&gt;"",EDATE($D19,Milestones!$AA$63)&gt;=$S19),$V19,$U19)))=Milestones!$AB$63),UPPER(TEXT(EDATE($D19,Milestones!$AA$63),"dd mmm yy"))&amp;" "&amp;Milestones!$AB$63&amp;" "&amp;Milestones!$AC$63&amp;";  ","")&amp;IF(AND(EDATE($D19,Milestones!$AA$64)&lt;=AsOfDate,IF($R19=0,$X19,IF(AND($T19&lt;&gt;"",EDATE($D19,Milestones!$AA$64)&gt;=$T19),$W19,IF(AND($S19&lt;&gt;"",EDATE($D19,Milestones!$AA$64)&gt;=$S19),$V19,$U19)))=Milestones!$AB$64),UPPER(TEXT(EDATE($D19,Milestones!$AA$64),"dd mmm yy"))&amp;" "&amp;Milestones!$AB$64&amp;" "&amp;Milestones!$AC$64&amp;";  ","")&amp;IF(AND(EDATE($D19,Milestones!$AA$65)&lt;=AsOfDate,IF($R19=0,$X19,IF(AND($T19&lt;&gt;"",EDATE($D19,Milestones!$AA$65)&gt;=$T19),$W19,IF(AND($S19&lt;&gt;"",EDATE($D19,Milestones!$AA$65)&gt;=$S19),$V19,$U19)))=Milestones!$AB$65),UPPER(TEXT(EDATE($D19,Milestones!$AA$65),"dd mmm yy"))&amp;" "&amp;Milestones!$AB$65&amp;" "&amp;Milestones!$AC$65&amp;";  ","")&amp;IF(AND(EDATE($D19,Milestones!$AA$66)&lt;=AsOfDate,IF($R19=0,$X19,IF(AND($T19&lt;&gt;"",EDATE($D19,Milestones!$AA$66)&gt;=$T19),$W19,IF(AND($S19&lt;&gt;"",EDATE($D19,Milestones!$AA$66)&gt;=$S19),$V19,$U19)))=Milestones!$AB$66),UPPER(TEXT(EDATE($D19,Milestones!$AA$66),"dd mmm yy"))&amp;" "&amp;Milestones!$AB$66&amp;" "&amp;Milestones!$AC$66&amp;";  ","")&amp;IF(AND(EDATE($D19,Milestones!$AA$67)&lt;=AsOfDate,IF($R19=0,$X19,IF(AND($T19&lt;&gt;"",EDATE($D19,Milestones!$AA$67)&gt;=$T19),$W19,IF(AND($S19&lt;&gt;"",EDATE($D19,Milestones!$AA$67)&gt;=$S19),$V19,$U19)))=Milestones!$AB$67),UPPER(TEXT(EDATE($D19,Milestones!$AA$67),"dd mmm yy"))&amp;" "&amp;Milestones!$AB$67&amp;" "&amp;Milestones!$AC$67&amp;";  ","")&amp;IF(AND(EDATE($D19,Milestones!$AA$68)&lt;=AsOfDate,IF($R19=0,$X19,IF(AND($T19&lt;&gt;"",EDATE($D19,Milestones!$AA$68)&gt;=$T19),$W19,IF(AND($S19&lt;&gt;"",EDATE($D19,Milestones!$AA$68)&gt;=$S19),$V19,$U19)))=Milestones!$AB$68),UPPER(TEXT(EDATE($D19,Milestones!$AA$68),"dd mmm yy"))&amp;" "&amp;Milestones!$AB$68&amp;" "&amp;Milestones!$AC$68&amp;";  ","")&amp;IF(AND(EDATE($D19,Milestones!$AA$69)&lt;=AsOfDate,IF($R19=0,$X19,IF(AND($T19&lt;&gt;"",EDATE($D19,Milestones!$AA$69)&gt;=$T19),$W19,IF(AND($S19&lt;&gt;"",EDATE($D19,Milestones!$AA$69)&gt;=$S19),$V19,$U19)))=Milestones!$AB$69),UPPER(TEXT(EDATE($D19,Milestones!$AA$69),"dd mmm yy"))&amp;" "&amp;Milestones!$AB$69&amp;" "&amp;Milestones!$AC$69&amp;";  ","")&amp;IF(AND(EDATE($D19,Milestones!$AA$70)&lt;=AsOfDate,IF($R19=0,$X19,IF(AND($T19&lt;&gt;"",EDATE($D19,Milestones!$AA$70)&gt;=$T19),$W19,IF(AND($S19&lt;&gt;"",EDATE($D19,Milestones!$AA$70)&gt;=$S19),$V19,$U19)))=Milestones!$AB$70),UPPER(TEXT(EDATE($D19,Milestones!$AA$70),"dd mmm yy"))&amp;" "&amp;Milestones!$AB$70&amp;" "&amp;Milestones!$AC$70&amp;";  ","")&amp;IF(AND(EDATE($D19,Milestones!$AA$71)&lt;=AsOfDate,IF($R19=0,$X19,IF(AND($T19&lt;&gt;"",EDATE($D19,Milestones!$AA$71)&gt;=$T19),$W19,IF(AND($S19&lt;&gt;"",EDATE($D19,Milestones!$AA$71)&gt;=$S19),$V19,$U19)))=Milestones!$AB$71),UPPER(TEXT(EDATE($D19,Milestones!$AA$71),"dd mmm yy"))&amp;" "&amp;Milestones!$AB$71&amp;" "&amp;Milestones!$AC$71&amp;";  ","")&amp;IF(AND(EDATE($D19,Milestones!$AA$72)&lt;=AsOfDate,IF($R19=0,$X19,IF(AND($T19&lt;&gt;"",EDATE($D19,Milestones!$AA$72)&gt;=$T19),$W19,IF(AND($S19&lt;&gt;"",EDATE($D19,Milestones!$AA$72)&gt;=$S19),$V19,$U19)))=Milestones!$AB$72),UPPER(TEXT(EDATE($D19,Milestones!$AA$72),"dd mmm yy"))&amp;" "&amp;Milestones!$AB$72&amp;" "&amp;Milestones!$AC$72&amp;";  ","")&amp;IF(AND(EDATE($D19,Milestones!$AA$73)&lt;=AsOfDate,IF($R19=0,$X19,IF(AND($T19&lt;&gt;"",EDATE($D19,Milestones!$AA$73)&gt;=$T19),$W19,IF(AND($S19&lt;&gt;"",EDATE($D19,Milestones!$AA$73)&gt;=$S19),$V19,$U19)))=Milestones!$AB$73),UPPER(TEXT(EDATE($D19,Milestones!$AA$73),"dd mmm yy"))&amp;" "&amp;Milestones!$AB$73&amp;" "&amp;Milestones!$AC$73&amp;";  ","")&amp;IF(AND(EDATE($D19,Milestones!$AA$74)&lt;=AsOfDate,IF($R19=0,$X19,IF(AND($T19&lt;&gt;"",EDATE($D19,Milestones!$AA$74)&gt;=$T19),$W19,IF(AND($S19&lt;&gt;"",EDATE($D19,Milestones!$AA$74)&gt;=$S19),$V19,$U19)))=Milestones!$AB$74),UPPER(TEXT(EDATE($D19,Milestones!$AA$74),"dd mmm yy"))&amp;" "&amp;Milestones!$AB$74&amp;" "&amp;Milestones!$AC$74&amp;";  ","")&amp;IF(AND(EDATE($D19,Milestones!$AA$75)&lt;=AsOfDate,IF($R19=0,$X19,IF(AND($T19&lt;&gt;"",EDATE($D19,Milestones!$AA$75)&gt;=$T19),$W19,IF(AND($S19&lt;&gt;"",EDATE($D19,Milestones!$AA$75)&gt;=$S19),$V19,$U19)))=Milestones!$AB$75),UPPER(TEXT(EDATE($D19,Milestones!$AA$75),"dd mmm yy"))&amp;" "&amp;Milestones!$AB$75&amp;" "&amp;Milestones!$AC$75&amp;";  ","")&amp;IF(AND(EDATE($D19,Milestones!$AA$76)&lt;=AsOfDate,IF($R19=0,$X19,IF(AND($T19&lt;&gt;"",EDATE($D19,Milestones!$AA$76)&gt;=$T19),$W19,IF(AND($S19&lt;&gt;"",EDATE($D19,Milestones!$AA$76)&gt;=$S19),$V19,$U19)))=Milestones!$AB$76),UPPER(TEXT(EDATE($D19,Milestones!$AA$76),"dd mmm yy"))&amp;" "&amp;Milestones!$AB$76&amp;" "&amp;Milestones!$AC$76&amp;";  ","")&amp;IF(AND(EDATE($D19,Milestones!$AA$77)&lt;=AsOfDate,IF($R19=0,$X19,IF(AND($T19&lt;&gt;"",EDATE($D19,Milestones!$AA$77)&gt;=$T19),$W19,IF(AND($S19&lt;&gt;"",EDATE($D19,Milestones!$AA$77)&gt;=$S19),$V19,$U19)))=Milestones!$AB$77),UPPER(TEXT(EDATE($D19,Milestones!$AA$77),"dd mmm yy"))&amp;" "&amp;Milestones!$AB$77&amp;" "&amp;Milestones!$AC$77&amp;";  ","")&amp;IF(AND(EDATE($D19,Milestones!$AA$78)&lt;=AsOfDate,IF($R19=0,$X19,IF(AND($T19&lt;&gt;"",EDATE($D19,Milestones!$AA$78)&gt;=$T19),$W19,IF(AND($S19&lt;&gt;"",EDATE($D19,Milestones!$AA$78)&gt;=$S19),$V19,$U19)))=Milestones!$AB$78),UPPER(TEXT(EDATE($D19,Milestones!$AA$78),"dd mmm yy"))&amp;" "&amp;Milestones!$AB$78&amp;" "&amp;Milestones!$AC$78&amp;";  ","")&amp;IF(AND(EDATE($D19,Milestones!$AA$79)&lt;=AsOfDate,IF($R19=0,$X19,IF(AND($T19&lt;&gt;"",EDATE($D19,Milestones!$AA$79)&gt;=$T19),$W19,IF(AND($S19&lt;&gt;"",EDATE($D19,Milestones!$AA$79)&gt;=$S19),$V19,$U19)))=Milestones!$AB$79),UPPER(TEXT(EDATE($D19,Milestones!$AA$79),"dd mmm yy"))&amp;" "&amp;Milestones!$AB$79&amp;" "&amp;Milestones!$AC$79&amp;";  ",""))</f>
        <v/>
      </c>
      <c r="L19" s="0" t="str">
        <f aca="false">IF(OR($A19="",$D19=""),"",IF(AND(EDATE($D19,Milestones!$AA$80)&lt;=AsOfDate,IF($R19=0,$X19,IF(AND($T19&lt;&gt;"",EDATE($D19,Milestones!$AA$80)&gt;=$T19),$W19,IF(AND($S19&lt;&gt;"",EDATE($D19,Milestones!$AA$80)&gt;=$S19),$V19,$U19)))=Milestones!$AB$80),UPPER(TEXT(EDATE($D19,Milestones!$AA$80),"dd mmm yy"))&amp;" "&amp;Milestones!$AB$80&amp;" "&amp;Milestones!$AC$80&amp;";  ","")&amp;IF(AND(EDATE($D19,Milestones!$AA$81)&lt;=AsOfDate,IF($R19=0,$X19,IF(AND($T19&lt;&gt;"",EDATE($D19,Milestones!$AA$81)&gt;=$T19),$W19,IF(AND($S19&lt;&gt;"",EDATE($D19,Milestones!$AA$81)&gt;=$S19),$V19,$U19)))=Milestones!$AB$81),UPPER(TEXT(EDATE($D19,Milestones!$AA$81),"dd mmm yy"))&amp;" "&amp;Milestones!$AB$81&amp;" "&amp;Milestones!$AC$81&amp;";  ","")&amp;IF(AND(EDATE($D19,Milestones!$AA$82)&lt;=AsOfDate,IF($R19=0,$X19,IF(AND($T19&lt;&gt;"",EDATE($D19,Milestones!$AA$82)&gt;=$T19),$W19,IF(AND($S19&lt;&gt;"",EDATE($D19,Milestones!$AA$82)&gt;=$S19),$V19,$U19)))=Milestones!$AB$82),UPPER(TEXT(EDATE($D19,Milestones!$AA$82),"dd mmm yy"))&amp;" "&amp;Milestones!$AB$82&amp;" "&amp;Milestones!$AC$82&amp;";  ","")&amp;IF(AND(EDATE($D19,Milestones!$AA$83)&lt;=AsOfDate,IF($R19=0,$X19,IF(AND($T19&lt;&gt;"",EDATE($D19,Milestones!$AA$83)&gt;=$T19),$W19,IF(AND($S19&lt;&gt;"",EDATE($D19,Milestones!$AA$83)&gt;=$S19),$V19,$U19)))=Milestones!$AB$83),UPPER(TEXT(EDATE($D19,Milestones!$AA$83),"dd mmm yy"))&amp;" "&amp;Milestones!$AB$83&amp;" "&amp;Milestones!$AC$83&amp;";  ","")&amp;IF(AND(EDATE($D19,Milestones!$AA$84)&lt;=AsOfDate,IF($R19=0,$X19,IF(AND($T19&lt;&gt;"",EDATE($D19,Milestones!$AA$84)&gt;=$T19),$W19,IF(AND($S19&lt;&gt;"",EDATE($D19,Milestones!$AA$84)&gt;=$S19),$V19,$U19)))=Milestones!$AB$84),UPPER(TEXT(EDATE($D19,Milestones!$AA$84),"dd mmm yy"))&amp;" "&amp;Milestones!$AB$84&amp;" "&amp;Milestones!$AC$84&amp;";  ","")&amp;IF(AND(EDATE($D19,Milestones!$AA$85)&lt;=AsOfDate,IF($R19=0,$X19,IF(AND($T19&lt;&gt;"",EDATE($D19,Milestones!$AA$85)&gt;=$T19),$W19,IF(AND($S19&lt;&gt;"",EDATE($D19,Milestones!$AA$85)&gt;=$S19),$V19,$U19)))=Milestones!$AB$85),UPPER(TEXT(EDATE($D19,Milestones!$AA$85),"dd mmm yy"))&amp;" "&amp;Milestones!$AB$85&amp;" "&amp;Milestones!$AC$85&amp;";  ","")&amp;IF(AND(EDATE($D19,Milestones!$AA$86)&lt;=AsOfDate,IF($R19=0,$X19,IF(AND($T19&lt;&gt;"",EDATE($D19,Milestones!$AA$86)&gt;=$T19),$W19,IF(AND($S19&lt;&gt;"",EDATE($D19,Milestones!$AA$86)&gt;=$S19),$V19,$U19)))=Milestones!$AB$86),UPPER(TEXT(EDATE($D19,Milestones!$AA$86),"dd mmm yy"))&amp;" "&amp;Milestones!$AB$86&amp;" "&amp;Milestones!$AC$86&amp;";  ","")&amp;IF(AND(EDATE($D19,Milestones!$AA$87)&lt;=AsOfDate,IF($R19=0,$X19,IF(AND($T19&lt;&gt;"",EDATE($D19,Milestones!$AA$87)&gt;=$T19),$W19,IF(AND($S19&lt;&gt;"",EDATE($D19,Milestones!$AA$87)&gt;=$S19),$V19,$U19)))=Milestones!$AB$87),UPPER(TEXT(EDATE($D19,Milestones!$AA$87),"dd mmm yy"))&amp;" "&amp;Milestones!$AB$87&amp;" "&amp;Milestones!$AC$87&amp;";  ","")&amp;IF(AND(EDATE($D19,Milestones!$AA$88)&lt;=AsOfDate,IF($R19=0,$X19,IF(AND($T19&lt;&gt;"",EDATE($D19,Milestones!$AA$88)&gt;=$T19),$W19,IF(AND($S19&lt;&gt;"",EDATE($D19,Milestones!$AA$88)&gt;=$S19),$V19,$U19)))=Milestones!$AB$88),UPPER(TEXT(EDATE($D19,Milestones!$AA$88),"dd mmm yy"))&amp;" "&amp;Milestones!$AB$88&amp;" "&amp;Milestones!$AC$88&amp;";  ","")&amp;IF(AND(EDATE($D19,Milestones!$AA$89)&lt;=AsOfDate,IF($R19=0,$X19,IF(AND($T19&lt;&gt;"",EDATE($D19,Milestones!$AA$89)&gt;=$T19),$W19,IF(AND($S19&lt;&gt;"",EDATE($D19,Milestones!$AA$89)&gt;=$S19),$V19,$U19)))=Milestones!$AB$89),UPPER(TEXT(EDATE($D19,Milestones!$AA$89),"dd mmm yy"))&amp;" "&amp;Milestones!$AB$89&amp;" "&amp;Milestones!$AC$89&amp;";  ","")&amp;IF(AND(EDATE($D19,Milestones!$AA$90)&lt;=AsOfDate,IF($R19=0,$X19,IF(AND($T19&lt;&gt;"",EDATE($D19,Milestones!$AA$90)&gt;=$T19),$W19,IF(AND($S19&lt;&gt;"",EDATE($D19,Milestones!$AA$90)&gt;=$S19),$V19,$U19)))=Milestones!$AB$90),UPPER(TEXT(EDATE($D19,Milestones!$AA$90),"dd mmm yy"))&amp;" "&amp;Milestones!$AB$90&amp;" "&amp;Milestones!$AC$90&amp;";  ","")&amp;IF(AND(EDATE($D19,Milestones!$AA$91)&lt;=AsOfDate,IF($R19=0,$X19,IF(AND($T19&lt;&gt;"",EDATE($D19,Milestones!$AA$91)&gt;=$T19),$W19,IF(AND($S19&lt;&gt;"",EDATE($D19,Milestones!$AA$91)&gt;=$S19),$V19,$U19)))=Milestones!$AB$91),UPPER(TEXT(EDATE($D19,Milestones!$AA$91),"dd mmm yy"))&amp;" "&amp;Milestones!$AB$91&amp;" "&amp;Milestones!$AC$91&amp;";  ","")&amp;IF(AND(EDATE($D19,Milestones!$AA$92)&lt;=AsOfDate,IF($R19=0,$X19,IF(AND($T19&lt;&gt;"",EDATE($D19,Milestones!$AA$92)&gt;=$T19),$W19,IF(AND($S19&lt;&gt;"",EDATE($D19,Milestones!$AA$92)&gt;=$S19),$V19,$U19)))=Milestones!$AB$92),UPPER(TEXT(EDATE($D19,Milestones!$AA$92),"dd mmm yy"))&amp;" "&amp;Milestones!$AB$92&amp;" "&amp;Milestones!$AC$92&amp;";  ","")&amp;IF(AND(EDATE($D19,Milestones!$AA$93)&lt;=AsOfDate,IF($R19=0,$X19,IF(AND($T19&lt;&gt;"",EDATE($D19,Milestones!$AA$93)&gt;=$T19),$W19,IF(AND($S19&lt;&gt;"",EDATE($D19,Milestones!$AA$93)&gt;=$S19),$V19,$U19)))=Milestones!$AB$93),UPPER(TEXT(EDATE($D19,Milestones!$AA$93),"dd mmm yy"))&amp;" "&amp;Milestones!$AB$93&amp;" "&amp;Milestones!$AC$93&amp;";  ","")&amp;IF(AND(EDATE($D19,Milestones!$AA$94)&lt;=AsOfDate,IF($R19=0,$X19,IF(AND($T19&lt;&gt;"",EDATE($D19,Milestones!$AA$94)&gt;=$T19),$W19,IF(AND($S19&lt;&gt;"",EDATE($D19,Milestones!$AA$94)&gt;=$S19),$V19,$U19)))=Milestones!$AB$94),UPPER(TEXT(EDATE($D19,Milestones!$AA$94),"dd mmm yy"))&amp;" "&amp;Milestones!$AB$94&amp;" "&amp;Milestones!$AC$94&amp;";  ","")&amp;IF(AND(EDATE($D19,Milestones!$AA$95)&lt;=AsOfDate,IF($R19=0,$X19,IF(AND($T19&lt;&gt;"",EDATE($D19,Milestones!$AA$95)&gt;=$T19),$W19,IF(AND($S19&lt;&gt;"",EDATE($D19,Milestones!$AA$95)&gt;=$S19),$V19,$U19)))=Milestones!$AB$95),UPPER(TEXT(EDATE($D19,Milestones!$AA$95),"dd mmm yy"))&amp;" "&amp;Milestones!$AB$95&amp;" "&amp;Milestones!$AC$95&amp;";  ","")&amp;IF(AND(EDATE($D19,Milestones!$AA$96)&lt;=AsOfDate,IF($R19=0,$X19,IF(AND($T19&lt;&gt;"",EDATE($D19,Milestones!$AA$96)&gt;=$T19),$W19,IF(AND($S19&lt;&gt;"",EDATE($D19,Milestones!$AA$96)&gt;=$S19),$V19,$U19)))=Milestones!$AB$96),UPPER(TEXT(EDATE($D19,Milestones!$AA$96),"dd mmm yy"))&amp;" "&amp;Milestones!$AB$96&amp;" "&amp;Milestones!$AC$96&amp;";  ","")&amp;IF(AND(EDATE($D19,Milestones!$AA$97)&lt;=AsOfDate,IF($R19=0,$X19,IF(AND($T19&lt;&gt;"",EDATE($D19,Milestones!$AA$97)&gt;=$T19),$W19,IF(AND($S19&lt;&gt;"",EDATE($D19,Milestones!$AA$97)&gt;=$S19),$V19,$U19)))=Milestones!$AB$97),UPPER(TEXT(EDATE($D19,Milestones!$AA$97),"dd mmm yy"))&amp;" "&amp;Milestones!$AB$97&amp;" "&amp;Milestones!$AC$97&amp;";  ","")&amp;IF(AND(EDATE($D19,Milestones!$AA$98)&lt;=AsOfDate,IF($R19=0,$X19,IF(AND($T19&lt;&gt;"",EDATE($D19,Milestones!$AA$98)&gt;=$T19),$W19,IF(AND($S19&lt;&gt;"",EDATE($D19,Milestones!$AA$98)&gt;=$S19),$V19,$U19)))=Milestones!$AB$98),UPPER(TEXT(EDATE($D19,Milestones!$AA$98),"dd mmm yy"))&amp;" "&amp;Milestones!$AB$98&amp;" "&amp;Milestones!$AC$98&amp;";  ","")&amp;IF(AND(EDATE($D19,Milestones!$AA$99)&lt;=AsOfDate,IF($R19=0,$X19,IF(AND($T19&lt;&gt;"",EDATE($D19,Milestones!$AA$99)&gt;=$T19),$W19,IF(AND($S19&lt;&gt;"",EDATE($D19,Milestones!$AA$99)&gt;=$S19),$V19,$U19)))=Milestones!$AB$99),UPPER(TEXT(EDATE($D19,Milestones!$AA$99),"dd mmm yy"))&amp;" "&amp;Milestones!$AB$99&amp;" "&amp;Milestones!$AC$99&amp;";  ",""))</f>
        <v/>
      </c>
      <c r="M19" s="0" t="str">
        <f aca="false">IF(OR($A19="",$D19=""),"",IF(AND(EDATE($D19,Milestones!$AA$100)&lt;=AsOfDate,IF($R19=0,$X19,IF(AND($T19&lt;&gt;"",EDATE($D19,Milestones!$AA$100)&gt;=$T19),$W19,IF(AND($S19&lt;&gt;"",EDATE($D19,Milestones!$AA$100)&gt;=$S19),$V19,$U19)))=Milestones!$AB$100),UPPER(TEXT(EDATE($D19,Milestones!$AA$100),"dd mmm yy"))&amp;" "&amp;Milestones!$AB$100&amp;" "&amp;Milestones!$AC$100&amp;";  ","")&amp;IF(AND(EDATE($D19,Milestones!$AA$101)&lt;=AsOfDate,IF($R19=0,$X19,IF(AND($T19&lt;&gt;"",EDATE($D19,Milestones!$AA$101)&gt;=$T19),$W19,IF(AND($S19&lt;&gt;"",EDATE($D19,Milestones!$AA$101)&gt;=$S19),$V19,$U19)))=Milestones!$AB$101),UPPER(TEXT(EDATE($D19,Milestones!$AA$101),"dd mmm yy"))&amp;" "&amp;Milestones!$AB$101&amp;" "&amp;Milestones!$AC$101&amp;";  ","")&amp;IF(AND(EDATE($D19,Milestones!$AA$102)&lt;=AsOfDate,IF($R19=0,$X19,IF(AND($T19&lt;&gt;"",EDATE($D19,Milestones!$AA$102)&gt;=$T19),$W19,IF(AND($S19&lt;&gt;"",EDATE($D19,Milestones!$AA$102)&gt;=$S19),$V19,$U19)))=Milestones!$AB$102),UPPER(TEXT(EDATE($D19,Milestones!$AA$102),"dd mmm yy"))&amp;" "&amp;Milestones!$AB$102&amp;" "&amp;Milestones!$AC$102&amp;";  ","")&amp;IF(AND(EDATE($D19,Milestones!$AA$103)&lt;=AsOfDate,IF($R19=0,$X19,IF(AND($T19&lt;&gt;"",EDATE($D19,Milestones!$AA$103)&gt;=$T19),$W19,IF(AND($S19&lt;&gt;"",EDATE($D19,Milestones!$AA$103)&gt;=$S19),$V19,$U19)))=Milestones!$AB$103),UPPER(TEXT(EDATE($D19,Milestones!$AA$103),"dd mmm yy"))&amp;" "&amp;Milestones!$AB$103&amp;" "&amp;Milestones!$AC$103&amp;";  ","")&amp;IF(AND(EDATE($D19,Milestones!$AA$104)&lt;=AsOfDate,IF($R19=0,$X19,IF(AND($T19&lt;&gt;"",EDATE($D19,Milestones!$AA$104)&gt;=$T19),$W19,IF(AND($S19&lt;&gt;"",EDATE($D19,Milestones!$AA$104)&gt;=$S19),$V19,$U19)))=Milestones!$AB$104),UPPER(TEXT(EDATE($D19,Milestones!$AA$104),"dd mmm yy"))&amp;" "&amp;Milestones!$AB$104&amp;" "&amp;Milestones!$AC$104&amp;";  ","")&amp;IF(AND(EDATE($D19,Milestones!$AA$105)&lt;=AsOfDate,IF($R19=0,$X19,IF(AND($T19&lt;&gt;"",EDATE($D19,Milestones!$AA$105)&gt;=$T19),$W19,IF(AND($S19&lt;&gt;"",EDATE($D19,Milestones!$AA$105)&gt;=$S19),$V19,$U19)))=Milestones!$AB$105),UPPER(TEXT(EDATE($D19,Milestones!$AA$105),"dd mmm yy"))&amp;" "&amp;Milestones!$AB$105&amp;" "&amp;Milestones!$AC$105&amp;";  ","")&amp;IF(AND(EDATE($D19,Milestones!$AA$106)&lt;=AsOfDate,IF($R19=0,$X19,IF(AND($T19&lt;&gt;"",EDATE($D19,Milestones!$AA$106)&gt;=$T19),$W19,IF(AND($S19&lt;&gt;"",EDATE($D19,Milestones!$AA$106)&gt;=$S19),$V19,$U19)))=Milestones!$AB$106),UPPER(TEXT(EDATE($D19,Milestones!$AA$106),"dd mmm yy"))&amp;" "&amp;Milestones!$AB$106&amp;" "&amp;Milestones!$AC$106&amp;";  ","")&amp;IF(AND(EDATE($D19,Milestones!$AA$107)&lt;=AsOfDate,IF($R19=0,$X19,IF(AND($T19&lt;&gt;"",EDATE($D19,Milestones!$AA$107)&gt;=$T19),$W19,IF(AND($S19&lt;&gt;"",EDATE($D19,Milestones!$AA$107)&gt;=$S19),$V19,$U19)))=Milestones!$AB$107),UPPER(TEXT(EDATE($D19,Milestones!$AA$107),"dd mmm yy"))&amp;" "&amp;Milestones!$AB$107&amp;" "&amp;Milestones!$AC$107&amp;";  ","")&amp;IF(AND(EDATE($D19,Milestones!$AA$108)&lt;=AsOfDate,IF($R19=0,$X19,IF(AND($T19&lt;&gt;"",EDATE($D19,Milestones!$AA$108)&gt;=$T19),$W19,IF(AND($S19&lt;&gt;"",EDATE($D19,Milestones!$AA$108)&gt;=$S19),$V19,$U19)))=Milestones!$AB$108),UPPER(TEXT(EDATE($D19,Milestones!$AA$108),"dd mmm yy"))&amp;" "&amp;Milestones!$AB$108&amp;" "&amp;Milestones!$AC$108&amp;";  ","")&amp;IF(AND(EDATE($D19,Milestones!$AA$109)&lt;=AsOfDate,IF($R19=0,$X19,IF(AND($T19&lt;&gt;"",EDATE($D19,Milestones!$AA$109)&gt;=$T19),$W19,IF(AND($S19&lt;&gt;"",EDATE($D19,Milestones!$AA$109)&gt;=$S19),$V19,$U19)))=Milestones!$AB$109),UPPER(TEXT(EDATE($D19,Milestones!$AA$109),"dd mmm yy"))&amp;" "&amp;Milestones!$AB$109&amp;" "&amp;Milestones!$AC$109&amp;";  ","")&amp;IF(AND(EDATE($D19,Milestones!$AA$110)&lt;=AsOfDate,IF($R19=0,$X19,IF(AND($T19&lt;&gt;"",EDATE($D19,Milestones!$AA$110)&gt;=$T19),$W19,IF(AND($S19&lt;&gt;"",EDATE($D19,Milestones!$AA$110)&gt;=$S19),$V19,$U19)))=Milestones!$AB$110),UPPER(TEXT(EDATE($D19,Milestones!$AA$110),"dd mmm yy"))&amp;" "&amp;Milestones!$AB$110&amp;" "&amp;Milestones!$AC$110&amp;";  ","")&amp;IF(AND(EDATE($D19,Milestones!$AA$111)&lt;=AsOfDate,IF($R19=0,$X19,IF(AND($T19&lt;&gt;"",EDATE($D19,Milestones!$AA$111)&gt;=$T19),$W19,IF(AND($S19&lt;&gt;"",EDATE($D19,Milestones!$AA$111)&gt;=$S19),$V19,$U19)))=Milestones!$AB$111),UPPER(TEXT(EDATE($D19,Milestones!$AA$111),"dd mmm yy"))&amp;" "&amp;Milestones!$AB$111&amp;" "&amp;Milestones!$AC$111&amp;";  ","")&amp;IF(AND(EDATE($D19,Milestones!$AA$112)&lt;=AsOfDate,IF($R19=0,$X19,IF(AND($T19&lt;&gt;"",EDATE($D19,Milestones!$AA$112)&gt;=$T19),$W19,IF(AND($S19&lt;&gt;"",EDATE($D19,Milestones!$AA$112)&gt;=$S19),$V19,$U19)))=Milestones!$AB$112),UPPER(TEXT(EDATE($D19,Milestones!$AA$112),"dd mmm yy"))&amp;" "&amp;Milestones!$AB$112&amp;" "&amp;Milestones!$AC$112&amp;";  ","")&amp;IF(AND(EDATE($D19,Milestones!$AA$113)&lt;=AsOfDate,IF($R19=0,$X19,IF(AND($T19&lt;&gt;"",EDATE($D19,Milestones!$AA$113)&gt;=$T19),$W19,IF(AND($S19&lt;&gt;"",EDATE($D19,Milestones!$AA$113)&gt;=$S19),$V19,$U19)))=Milestones!$AB$113),UPPER(TEXT(EDATE($D19,Milestones!$AA$113),"dd mmm yy"))&amp;" "&amp;Milestones!$AB$113&amp;" "&amp;Milestones!$AC$113&amp;";  ","")&amp;IF(AND(EDATE($D19,Milestones!$AA$114)&lt;=AsOfDate,IF($R19=0,$X19,IF(AND($T19&lt;&gt;"",EDATE($D19,Milestones!$AA$114)&gt;=$T19),$W19,IF(AND($S19&lt;&gt;"",EDATE($D19,Milestones!$AA$114)&gt;=$S19),$V19,$U19)))=Milestones!$AB$114),UPPER(TEXT(EDATE($D19,Milestones!$AA$114),"dd mmm yy"))&amp;" "&amp;Milestones!$AB$114&amp;" "&amp;Milestones!$AC$114&amp;";  ","")&amp;IF(AND(EDATE($D19,Milestones!$AA$115)&lt;=AsOfDate,IF($R19=0,$X19,IF(AND($T19&lt;&gt;"",EDATE($D19,Milestones!$AA$115)&gt;=$T19),$W19,IF(AND($S19&lt;&gt;"",EDATE($D19,Milestones!$AA$115)&gt;=$S19),$V19,$U19)))=Milestones!$AB$115),UPPER(TEXT(EDATE($D19,Milestones!$AA$115),"dd mmm yy"))&amp;" "&amp;Milestones!$AB$115&amp;" "&amp;Milestones!$AC$115&amp;";  ","")&amp;IF(AND(EDATE($D19,Milestones!$AA$116)&lt;=AsOfDate,IF($R19=0,$X19,IF(AND($T19&lt;&gt;"",EDATE($D19,Milestones!$AA$116)&gt;=$T19),$W19,IF(AND($S19&lt;&gt;"",EDATE($D19,Milestones!$AA$116)&gt;=$S19),$V19,$U19)))=Milestones!$AB$116),UPPER(TEXT(EDATE($D19,Milestones!$AA$116),"dd mmm yy"))&amp;" "&amp;Milestones!$AB$116&amp;" "&amp;Milestones!$AC$116&amp;";  ","")&amp;IF(AND(EDATE($D19,Milestones!$AA$117)&lt;=AsOfDate,IF($R19=0,$X19,IF(AND($T19&lt;&gt;"",EDATE($D19,Milestones!$AA$117)&gt;=$T19),$W19,IF(AND($S19&lt;&gt;"",EDATE($D19,Milestones!$AA$117)&gt;=$S19),$V19,$U19)))=Milestones!$AB$117),UPPER(TEXT(EDATE($D19,Milestones!$AA$117),"dd mmm yy"))&amp;" "&amp;Milestones!$AB$117&amp;" "&amp;Milestones!$AC$117&amp;";  ","")&amp;IF(AND(EDATE($D19,Milestones!$AA$118)&lt;=AsOfDate,IF($R19=0,$X19,IF(AND($T19&lt;&gt;"",EDATE($D19,Milestones!$AA$118)&gt;=$T19),$W19,IF(AND($S19&lt;&gt;"",EDATE($D19,Milestones!$AA$118)&gt;=$S19),$V19,$U19)))=Milestones!$AB$118),UPPER(TEXT(EDATE($D19,Milestones!$AA$118),"dd mmm yy"))&amp;" "&amp;Milestones!$AB$118&amp;" "&amp;Milestones!$AC$118&amp;";  ","")&amp;IF(AND(EDATE($D19,Milestones!$AA$119)&lt;=AsOfDate,IF($R19=0,$X19,IF(AND($T19&lt;&gt;"",EDATE($D19,Milestones!$AA$119)&gt;=$T19),$W19,IF(AND($S19&lt;&gt;"",EDATE($D19,Milestones!$AA$119)&gt;=$S19),$V19,$U19)))=Milestones!$AB$119),UPPER(TEXT(EDATE($D19,Milestones!$AA$119),"dd mmm yy"))&amp;" "&amp;Milestones!$AB$119&amp;" "&amp;Milestones!$AC$119&amp;";  ",""))</f>
        <v/>
      </c>
      <c r="N19" s="0" t="str">
        <f aca="false">IF(OR($A19="",$D19=""),"",IF(AND(EDATE($D19,Milestones!$AA$120)&lt;=AsOfDate,IF($R19=0,$X19,IF(AND($T19&lt;&gt;"",EDATE($D19,Milestones!$AA$120)&gt;=$T19),$W19,IF(AND($S19&lt;&gt;"",EDATE($D19,Milestones!$AA$120)&gt;=$S19),$V19,$U19)))=Milestones!$AB$120),UPPER(TEXT(EDATE($D19,Milestones!$AA$120),"dd mmm yy"))&amp;" "&amp;Milestones!$AB$120&amp;" "&amp;Milestones!$AC$120&amp;";  ","")&amp;IF(AND(EDATE($D19,Milestones!$AA$121)&lt;=AsOfDate,IF($R19=0,$X19,IF(AND($T19&lt;&gt;"",EDATE($D19,Milestones!$AA$121)&gt;=$T19),$W19,IF(AND($S19&lt;&gt;"",EDATE($D19,Milestones!$AA$121)&gt;=$S19),$V19,$U19)))=Milestones!$AB$121),UPPER(TEXT(EDATE($D19,Milestones!$AA$121),"dd mmm yy"))&amp;" "&amp;Milestones!$AB$121&amp;" "&amp;Milestones!$AC$121&amp;";  ","")&amp;IF(AND(EDATE($D19,Milestones!$AA$122)&lt;=AsOfDate,IF($R19=0,$X19,IF(AND($T19&lt;&gt;"",EDATE($D19,Milestones!$AA$122)&gt;=$T19),$W19,IF(AND($S19&lt;&gt;"",EDATE($D19,Milestones!$AA$122)&gt;=$S19),$V19,$U19)))=Milestones!$AB$122),UPPER(TEXT(EDATE($D19,Milestones!$AA$122),"dd mmm yy"))&amp;" "&amp;Milestones!$AB$122&amp;" "&amp;Milestones!$AC$122&amp;";  ","")&amp;IF(AND(EDATE($D19,Milestones!$AA$123)&lt;=AsOfDate,IF($R19=0,$X19,IF(AND($T19&lt;&gt;"",EDATE($D19,Milestones!$AA$123)&gt;=$T19),$W19,IF(AND($S19&lt;&gt;"",EDATE($D19,Milestones!$AA$123)&gt;=$S19),$V19,$U19)))=Milestones!$AB$123),UPPER(TEXT(EDATE($D19,Milestones!$AA$123),"dd mmm yy"))&amp;" "&amp;Milestones!$AB$123&amp;" "&amp;Milestones!$AC$123&amp;";  ","")&amp;IF(AND(EDATE($D19,Milestones!$AA$124)&lt;=AsOfDate,IF($R19=0,$X19,IF(AND($T19&lt;&gt;"",EDATE($D19,Milestones!$AA$124)&gt;=$T19),$W19,IF(AND($S19&lt;&gt;"",EDATE($D19,Milestones!$AA$124)&gt;=$S19),$V19,$U19)))=Milestones!$AB$124),UPPER(TEXT(EDATE($D19,Milestones!$AA$124),"dd mmm yy"))&amp;" "&amp;Milestones!$AB$124&amp;" "&amp;Milestones!$AC$124&amp;";  ","")&amp;IF(AND(EDATE($D19,Milestones!$AA$125)&lt;=AsOfDate,IF($R19=0,$X19,IF(AND($T19&lt;&gt;"",EDATE($D19,Milestones!$AA$125)&gt;=$T19),$W19,IF(AND($S19&lt;&gt;"",EDATE($D19,Milestones!$AA$125)&gt;=$S19),$V19,$U19)))=Milestones!$AB$125),UPPER(TEXT(EDATE($D19,Milestones!$AA$125),"dd mmm yy"))&amp;" "&amp;Milestones!$AB$125&amp;" "&amp;Milestones!$AC$125&amp;";  ","")&amp;IF(AND(EDATE($D19,Milestones!$AA$126)&lt;=AsOfDate,IF($R19=0,$X19,IF(AND($T19&lt;&gt;"",EDATE($D19,Milestones!$AA$126)&gt;=$T19),$W19,IF(AND($S19&lt;&gt;"",EDATE($D19,Milestones!$AA$126)&gt;=$S19),$V19,$U19)))=Milestones!$AB$126),UPPER(TEXT(EDATE($D19,Milestones!$AA$126),"dd mmm yy"))&amp;" "&amp;Milestones!$AB$126&amp;" "&amp;Milestones!$AC$126&amp;";  ","")&amp;IF(AND(EDATE($D19,Milestones!$AA$127)&lt;=AsOfDate,IF($R19=0,$X19,IF(AND($T19&lt;&gt;"",EDATE($D19,Milestones!$AA$127)&gt;=$T19),$W19,IF(AND($S19&lt;&gt;"",EDATE($D19,Milestones!$AA$127)&gt;=$S19),$V19,$U19)))=Milestones!$AB$127),UPPER(TEXT(EDATE($D19,Milestones!$AA$127),"dd mmm yy"))&amp;" "&amp;Milestones!$AB$127&amp;" "&amp;Milestones!$AC$127&amp;";  ","")&amp;IF(AND(EDATE($D19,Milestones!$AA$128)&lt;=AsOfDate,IF($R19=0,$X19,IF(AND($T19&lt;&gt;"",EDATE($D19,Milestones!$AA$128)&gt;=$T19),$W19,IF(AND($S19&lt;&gt;"",EDATE($D19,Milestones!$AA$128)&gt;=$S19),$V19,$U19)))=Milestones!$AB$128),UPPER(TEXT(EDATE($D19,Milestones!$AA$128),"dd mmm yy"))&amp;" "&amp;Milestones!$AB$128&amp;" "&amp;Milestones!$AC$128&amp;";  ","")&amp;IF(AND(EDATE($D19,Milestones!$AA$129)&lt;=AsOfDate,IF($R19=0,$X19,IF(AND($T19&lt;&gt;"",EDATE($D19,Milestones!$AA$129)&gt;=$T19),$W19,IF(AND($S19&lt;&gt;"",EDATE($D19,Milestones!$AA$129)&gt;=$S19),$V19,$U19)))=Milestones!$AB$129),UPPER(TEXT(EDATE($D19,Milestones!$AA$129),"dd mmm yy"))&amp;" "&amp;Milestones!$AB$129&amp;" "&amp;Milestones!$AC$129&amp;";  ","")&amp;IF(AND(EDATE($D19,Milestones!$AA$130)&lt;=AsOfDate,IF($R19=0,$X19,IF(AND($T19&lt;&gt;"",EDATE($D19,Milestones!$AA$130)&gt;=$T19),$W19,IF(AND($S19&lt;&gt;"",EDATE($D19,Milestones!$AA$130)&gt;=$S19),$V19,$U19)))=Milestones!$AB$130),UPPER(TEXT(EDATE($D19,Milestones!$AA$130),"dd mmm yy"))&amp;" "&amp;Milestones!$AB$130&amp;" "&amp;Milestones!$AC$130&amp;";  ","")&amp;IF(AND(EDATE($D19,Milestones!$AA$131)&lt;=AsOfDate,IF($R19=0,$X19,IF(AND($T19&lt;&gt;"",EDATE($D19,Milestones!$AA$131)&gt;=$T19),$W19,IF(AND($S19&lt;&gt;"",EDATE($D19,Milestones!$AA$131)&gt;=$S19),$V19,$U19)))=Milestones!$AB$131),UPPER(TEXT(EDATE($D19,Milestones!$AA$131),"dd mmm yy"))&amp;" "&amp;Milestones!$AB$131&amp;" "&amp;Milestones!$AC$131&amp;";  ","")&amp;IF(AND(EDATE($D19,Milestones!$AA$132)&lt;=AsOfDate,IF($R19=0,$X19,IF(AND($T19&lt;&gt;"",EDATE($D19,Milestones!$AA$132)&gt;=$T19),$W19,IF(AND($S19&lt;&gt;"",EDATE($D19,Milestones!$AA$132)&gt;=$S19),$V19,$U19)))=Milestones!$AB$132),UPPER(TEXT(EDATE($D19,Milestones!$AA$132),"dd mmm yy"))&amp;" "&amp;Milestones!$AB$132&amp;" "&amp;Milestones!$AC$132&amp;";  ","")&amp;IF(AND(EDATE($D19,Milestones!$AA$133)&lt;=AsOfDate,IF($R19=0,$X19,IF(AND($T19&lt;&gt;"",EDATE($D19,Milestones!$AA$133)&gt;=$T19),$W19,IF(AND($S19&lt;&gt;"",EDATE($D19,Milestones!$AA$133)&gt;=$S19),$V19,$U19)))=Milestones!$AB$133),UPPER(TEXT(EDATE($D19,Milestones!$AA$133),"dd mmm yy"))&amp;" "&amp;Milestones!$AB$133&amp;" "&amp;Milestones!$AC$133&amp;";  ","")&amp;IF(AND(EDATE($D19,Milestones!$AA$134)&lt;=AsOfDate,IF($R19=0,$X19,IF(AND($T19&lt;&gt;"",EDATE($D19,Milestones!$AA$134)&gt;=$T19),$W19,IF(AND($S19&lt;&gt;"",EDATE($D19,Milestones!$AA$134)&gt;=$S19),$V19,$U19)))=Milestones!$AB$134),UPPER(TEXT(EDATE($D19,Milestones!$AA$134),"dd mmm yy"))&amp;" "&amp;Milestones!$AB$134&amp;" "&amp;Milestones!$AC$134&amp;";  ","")&amp;IF(AND(EDATE($D19,Milestones!$AA$135)&lt;=AsOfDate,IF($R19=0,$X19,IF(AND($T19&lt;&gt;"",EDATE($D19,Milestones!$AA$135)&gt;=$T19),$W19,IF(AND($S19&lt;&gt;"",EDATE($D19,Milestones!$AA$135)&gt;=$S19),$V19,$U19)))=Milestones!$AB$135),UPPER(TEXT(EDATE($D19,Milestones!$AA$135),"dd mmm yy"))&amp;" "&amp;Milestones!$AB$135&amp;" "&amp;Milestones!$AC$135&amp;";  ","")&amp;IF(AND(EDATE($D19,Milestones!$AA$136)&lt;=AsOfDate,IF($R19=0,$X19,IF(AND($T19&lt;&gt;"",EDATE($D19,Milestones!$AA$136)&gt;=$T19),$W19,IF(AND($S19&lt;&gt;"",EDATE($D19,Milestones!$AA$136)&gt;=$S19),$V19,$U19)))=Milestones!$AB$136),UPPER(TEXT(EDATE($D19,Milestones!$AA$136),"dd mmm yy"))&amp;" "&amp;Milestones!$AB$136&amp;" "&amp;Milestones!$AC$136&amp;";  ","")&amp;IF(AND(EDATE($D19,Milestones!$AA$137)&lt;=AsOfDate,IF($R19=0,$X19,IF(AND($T19&lt;&gt;"",EDATE($D19,Milestones!$AA$137)&gt;=$T19),$W19,IF(AND($S19&lt;&gt;"",EDATE($D19,Milestones!$AA$137)&gt;=$S19),$V19,$U19)))=Milestones!$AB$137),UPPER(TEXT(EDATE($D19,Milestones!$AA$137),"dd mmm yy"))&amp;" "&amp;Milestones!$AB$137&amp;" "&amp;Milestones!$AC$137&amp;";  ","")&amp;IF(AND(EDATE($D19,Milestones!$AA$138)&lt;=AsOfDate,IF($R19=0,$X19,IF(AND($T19&lt;&gt;"",EDATE($D19,Milestones!$AA$138)&gt;=$T19),$W19,IF(AND($S19&lt;&gt;"",EDATE($D19,Milestones!$AA$138)&gt;=$S19),$V19,$U19)))=Milestones!$AB$138),UPPER(TEXT(EDATE($D19,Milestones!$AA$138),"dd mmm yy"))&amp;" "&amp;Milestones!$AB$138&amp;" "&amp;Milestones!$AC$138&amp;";  ","")&amp;IF(AND(EDATE($D19,Milestones!$AA$139)&lt;=AsOfDate,IF($R19=0,$X19,IF(AND($T19&lt;&gt;"",EDATE($D19,Milestones!$AA$139)&gt;=$T19),$W19,IF(AND($S19&lt;&gt;"",EDATE($D19,Milestones!$AA$139)&gt;=$S19),$V19,$U19)))=Milestones!$AB$139),UPPER(TEXT(EDATE($D19,Milestones!$AA$139),"dd mmm yy"))&amp;" "&amp;Milestones!$AB$139&amp;" "&amp;Milestones!$AC$139&amp;";  ",""))</f>
        <v/>
      </c>
      <c r="O19" s="0" t="str">
        <f aca="false">IF(OR($A19="",$D19=""),"",IF(AND(EDATE($D19,Milestones!$AA$140)&lt;=AsOfDate,IF($R19=0,$X19,IF(AND($T19&lt;&gt;"",EDATE($D19,Milestones!$AA$140)&gt;=$T19),$W19,IF(AND($S19&lt;&gt;"",EDATE($D19,Milestones!$AA$140)&gt;=$S19),$V19,$U19)))=Milestones!$AB$140),UPPER(TEXT(EDATE($D19,Milestones!$AA$140),"dd mmm yy"))&amp;" "&amp;Milestones!$AB$140&amp;" "&amp;Milestones!$AC$140&amp;";  ","")&amp;IF(AND(EDATE($D19,Milestones!$AA$141)&lt;=AsOfDate,IF($R19=0,$X19,IF(AND($T19&lt;&gt;"",EDATE($D19,Milestones!$AA$141)&gt;=$T19),$W19,IF(AND($S19&lt;&gt;"",EDATE($D19,Milestones!$AA$141)&gt;=$S19),$V19,$U19)))=Milestones!$AB$141),UPPER(TEXT(EDATE($D19,Milestones!$AA$141),"dd mmm yy"))&amp;" "&amp;Milestones!$AB$141&amp;" "&amp;Milestones!$AC$141&amp;";  ","")&amp;IF(AND(EDATE($D19,Milestones!$AA$142)&lt;=AsOfDate,IF($R19=0,$X19,IF(AND($T19&lt;&gt;"",EDATE($D19,Milestones!$AA$142)&gt;=$T19),$W19,IF(AND($S19&lt;&gt;"",EDATE($D19,Milestones!$AA$142)&gt;=$S19),$V19,$U19)))=Milestones!$AB$142),UPPER(TEXT(EDATE($D19,Milestones!$AA$142),"dd mmm yy"))&amp;" "&amp;Milestones!$AB$142&amp;" "&amp;Milestones!$AC$142&amp;";  ","")&amp;IF(AND(EDATE($D19,Milestones!$AA$143)&lt;=AsOfDate,IF($R19=0,$X19,IF(AND($T19&lt;&gt;"",EDATE($D19,Milestones!$AA$143)&gt;=$T19),$W19,IF(AND($S19&lt;&gt;"",EDATE($D19,Milestones!$AA$143)&gt;=$S19),$V19,$U19)))=Milestones!$AB$143),UPPER(TEXT(EDATE($D19,Milestones!$AA$143),"dd mmm yy"))&amp;" "&amp;Milestones!$AB$143&amp;" "&amp;Milestones!$AC$143&amp;";  ","")&amp;IF(AND(EDATE($D19,Milestones!$AA$144)&lt;=AsOfDate,IF($R19=0,$X19,IF(AND($T19&lt;&gt;"",EDATE($D19,Milestones!$AA$144)&gt;=$T19),$W19,IF(AND($S19&lt;&gt;"",EDATE($D19,Milestones!$AA$144)&gt;=$S19),$V19,$U19)))=Milestones!$AB$144),UPPER(TEXT(EDATE($D19,Milestones!$AA$144),"dd mmm yy"))&amp;" "&amp;Milestones!$AB$144&amp;" "&amp;Milestones!$AC$144&amp;";  ","")&amp;IF(AND(EDATE($D19,Milestones!$AA$145)&lt;=AsOfDate,IF($R19=0,$X19,IF(AND($T19&lt;&gt;"",EDATE($D19,Milestones!$AA$145)&gt;=$T19),$W19,IF(AND($S19&lt;&gt;"",EDATE($D19,Milestones!$AA$145)&gt;=$S19),$V19,$U19)))=Milestones!$AB$145),UPPER(TEXT(EDATE($D19,Milestones!$AA$145),"dd mmm yy"))&amp;" "&amp;Milestones!$AB$145&amp;" "&amp;Milestones!$AC$145&amp;";  ","")&amp;IF(AND(EDATE($D19,Milestones!$AA$146)&lt;=AsOfDate,IF($R19=0,$X19,IF(AND($T19&lt;&gt;"",EDATE($D19,Milestones!$AA$146)&gt;=$T19),$W19,IF(AND($S19&lt;&gt;"",EDATE($D19,Milestones!$AA$146)&gt;=$S19),$V19,$U19)))=Milestones!$AB$146),UPPER(TEXT(EDATE($D19,Milestones!$AA$146),"dd mmm yy"))&amp;" "&amp;Milestones!$AB$146&amp;" "&amp;Milestones!$AC$146&amp;";  ","")&amp;IF(AND(EDATE($D19,Milestones!$AA$147)&lt;=AsOfDate,IF($R19=0,$X19,IF(AND($T19&lt;&gt;"",EDATE($D19,Milestones!$AA$147)&gt;=$T19),$W19,IF(AND($S19&lt;&gt;"",EDATE($D19,Milestones!$AA$147)&gt;=$S19),$V19,$U19)))=Milestones!$AB$147),UPPER(TEXT(EDATE($D19,Milestones!$AA$147),"dd mmm yy"))&amp;" "&amp;Milestones!$AB$147&amp;" "&amp;Milestones!$AC$147&amp;";  ","")&amp;IF(AND(EDATE($D19,Milestones!$AA$148)&lt;=AsOfDate,IF($R19=0,$X19,IF(AND($T19&lt;&gt;"",EDATE($D19,Milestones!$AA$148)&gt;=$T19),$W19,IF(AND($S19&lt;&gt;"",EDATE($D19,Milestones!$AA$148)&gt;=$S19),$V19,$U19)))=Milestones!$AB$148),UPPER(TEXT(EDATE($D19,Milestones!$AA$148),"dd mmm yy"))&amp;" "&amp;Milestones!$AB$148&amp;" "&amp;Milestones!$AC$148&amp;";  ","")&amp;IF(AND(EDATE($D19,Milestones!$AA$149)&lt;=AsOfDate,IF($R19=0,$X19,IF(AND($T19&lt;&gt;"",EDATE($D19,Milestones!$AA$149)&gt;=$T19),$W19,IF(AND($S19&lt;&gt;"",EDATE($D19,Milestones!$AA$149)&gt;=$S19),$V19,$U19)))=Milestones!$AB$149),UPPER(TEXT(EDATE($D19,Milestones!$AA$149),"dd mmm yy"))&amp;" "&amp;Milestones!$AB$149&amp;" "&amp;Milestones!$AC$149&amp;";  ","")&amp;IF(AND(EDATE($D19,Milestones!$AA$150)&lt;=AsOfDate,IF($R19=0,$X19,IF(AND($T19&lt;&gt;"",EDATE($D19,Milestones!$AA$150)&gt;=$T19),$W19,IF(AND($S19&lt;&gt;"",EDATE($D19,Milestones!$AA$150)&gt;=$S19),$V19,$U19)))=Milestones!$AB$150),UPPER(TEXT(EDATE($D19,Milestones!$AA$150),"dd mmm yy"))&amp;" "&amp;Milestones!$AB$150&amp;" "&amp;Milestones!$AC$150&amp;";  ","")&amp;IF(AND(EDATE($D19,Milestones!$AA$151)&lt;=AsOfDate,IF($R19=0,$X19,IF(AND($T19&lt;&gt;"",EDATE($D19,Milestones!$AA$151)&gt;=$T19),$W19,IF(AND($S19&lt;&gt;"",EDATE($D19,Milestones!$AA$151)&gt;=$S19),$V19,$U19)))=Milestones!$AB$151),UPPER(TEXT(EDATE($D19,Milestones!$AA$151),"dd mmm yy"))&amp;" "&amp;Milestones!$AB$151&amp;" "&amp;Milestones!$AC$151&amp;";  ","")&amp;IF(AND(EDATE($D19,Milestones!$AA$152)&lt;=AsOfDate,IF($R19=0,$X19,IF(AND($T19&lt;&gt;"",EDATE($D19,Milestones!$AA$152)&gt;=$T19),$W19,IF(AND($S19&lt;&gt;"",EDATE($D19,Milestones!$AA$152)&gt;=$S19),$V19,$U19)))=Milestones!$AB$152),UPPER(TEXT(EDATE($D19,Milestones!$AA$152),"dd mmm yy"))&amp;" "&amp;Milestones!$AB$152&amp;" "&amp;Milestones!$AC$152&amp;";  ","")&amp;IF(AND(EDATE($D19,Milestones!$AA$153)&lt;=AsOfDate,IF($R19=0,$X19,IF(AND($T19&lt;&gt;"",EDATE($D19,Milestones!$AA$153)&gt;=$T19),$W19,IF(AND($S19&lt;&gt;"",EDATE($D19,Milestones!$AA$153)&gt;=$S19),$V19,$U19)))=Milestones!$AB$153),UPPER(TEXT(EDATE($D19,Milestones!$AA$153),"dd mmm yy"))&amp;" "&amp;Milestones!$AB$153&amp;" "&amp;Milestones!$AC$153&amp;";  ","")&amp;IF(AND(EDATE($D19,Milestones!$AA$154)&lt;=AsOfDate,IF($R19=0,$X19,IF(AND($T19&lt;&gt;"",EDATE($D19,Milestones!$AA$154)&gt;=$T19),$W19,IF(AND($S19&lt;&gt;"",EDATE($D19,Milestones!$AA$154)&gt;=$S19),$V19,$U19)))=Milestones!$AB$154),UPPER(TEXT(EDATE($D19,Milestones!$AA$154),"dd mmm yy"))&amp;" "&amp;Milestones!$AB$154&amp;" "&amp;Milestones!$AC$154&amp;";  ","")&amp;IF(AND(EDATE($D19,Milestones!$AA$155)&lt;=AsOfDate,IF($R19=0,$X19,IF(AND($T19&lt;&gt;"",EDATE($D19,Milestones!$AA$155)&gt;=$T19),$W19,IF(AND($S19&lt;&gt;"",EDATE($D19,Milestones!$AA$155)&gt;=$S19),$V19,$U19)))=Milestones!$AB$155),UPPER(TEXT(EDATE($D19,Milestones!$AA$155),"dd mmm yy"))&amp;" "&amp;Milestones!$AB$155&amp;" "&amp;Milestones!$AC$155&amp;";  ","")&amp;IF(AND(EDATE($D19,Milestones!$AA$156)&lt;=AsOfDate,IF($R19=0,$X19,IF(AND($T19&lt;&gt;"",EDATE($D19,Milestones!$AA$156)&gt;=$T19),$W19,IF(AND($S19&lt;&gt;"",EDATE($D19,Milestones!$AA$156)&gt;=$S19),$V19,$U19)))=Milestones!$AB$156),UPPER(TEXT(EDATE($D19,Milestones!$AA$156),"dd mmm yy"))&amp;" "&amp;Milestones!$AB$156&amp;" "&amp;Milestones!$AC$156&amp;";  ","")&amp;IF(AND(EDATE($D19,Milestones!$AA$157)&lt;=AsOfDate,IF($R19=0,$X19,IF(AND($T19&lt;&gt;"",EDATE($D19,Milestones!$AA$157)&gt;=$T19),$W19,IF(AND($S19&lt;&gt;"",EDATE($D19,Milestones!$AA$157)&gt;=$S19),$V19,$U19)))=Milestones!$AB$157),UPPER(TEXT(EDATE($D19,Milestones!$AA$157),"dd mmm yy"))&amp;" "&amp;Milestones!$AB$157&amp;" "&amp;Milestones!$AC$157&amp;";  ","")&amp;IF(AND(EDATE($D19,Milestones!$AA$158)&lt;=AsOfDate,IF($R19=0,$X19,IF(AND($T19&lt;&gt;"",EDATE($D19,Milestones!$AA$158)&gt;=$T19),$W19,IF(AND($S19&lt;&gt;"",EDATE($D19,Milestones!$AA$158)&gt;=$S19),$V19,$U19)))=Milestones!$AB$158),UPPER(TEXT(EDATE($D19,Milestones!$AA$158),"dd mmm yy"))&amp;" "&amp;Milestones!$AB$158&amp;" "&amp;Milestones!$AC$158&amp;";  ","")&amp;IF(AND(EDATE($D19,Milestones!$AA$159)&lt;=AsOfDate,IF($R19=0,$X19,IF(AND($T19&lt;&gt;"",EDATE($D19,Milestones!$AA$159)&gt;=$T19),$W19,IF(AND($S19&lt;&gt;"",EDATE($D19,Milestones!$AA$159)&gt;=$S19),$V19,$U19)))=Milestones!$AB$159),UPPER(TEXT(EDATE($D19,Milestones!$AA$159),"dd mmm yy"))&amp;" "&amp;Milestones!$AB$159&amp;" "&amp;Milestones!$AC$159&amp;";  ",""))</f>
        <v/>
      </c>
      <c r="P19" s="0" t="str">
        <f aca="false">IF(OR($A19="",$D19=""),"",IF(AND(EDATE($D19,Milestones!$AA$160)&lt;=AsOfDate,IF($R19=0,$X19,IF(AND($T19&lt;&gt;"",EDATE($D19,Milestones!$AA$160)&gt;=$T19),$W19,IF(AND($S19&lt;&gt;"",EDATE($D19,Milestones!$AA$160)&gt;=$S19),$V19,$U19)))=Milestones!$AB$160),UPPER(TEXT(EDATE($D19,Milestones!$AA$160),"dd mmm yy"))&amp;" "&amp;Milestones!$AB$160&amp;" "&amp;Milestones!$AC$160&amp;";  ","")&amp;IF(AND(EDATE($D19,Milestones!$AA$161)&lt;=AsOfDate,IF($R19=0,$X19,IF(AND($T19&lt;&gt;"",EDATE($D19,Milestones!$AA$161)&gt;=$T19),$W19,IF(AND($S19&lt;&gt;"",EDATE($D19,Milestones!$AA$161)&gt;=$S19),$V19,$U19)))=Milestones!$AB$161),UPPER(TEXT(EDATE($D19,Milestones!$AA$161),"dd mmm yy"))&amp;" "&amp;Milestones!$AB$161&amp;" "&amp;Milestones!$AC$161&amp;";  ","")&amp;IF(AND(EDATE($D19,Milestones!$AA$162)&lt;=AsOfDate,IF($R19=0,$X19,IF(AND($T19&lt;&gt;"",EDATE($D19,Milestones!$AA$162)&gt;=$T19),$W19,IF(AND($S19&lt;&gt;"",EDATE($D19,Milestones!$AA$162)&gt;=$S19),$V19,$U19)))=Milestones!$AB$162),UPPER(TEXT(EDATE($D19,Milestones!$AA$162),"dd mmm yy"))&amp;" "&amp;Milestones!$AB$162&amp;" "&amp;Milestones!$AC$162&amp;";  ","")&amp;IF(AND(EDATE($D19,Milestones!$AA$163)&lt;=AsOfDate,IF($R19=0,$X19,IF(AND($T19&lt;&gt;"",EDATE($D19,Milestones!$AA$163)&gt;=$T19),$W19,IF(AND($S19&lt;&gt;"",EDATE($D19,Milestones!$AA$163)&gt;=$S19),$V19,$U19)))=Milestones!$AB$163),UPPER(TEXT(EDATE($D19,Milestones!$AA$163),"dd mmm yy"))&amp;" "&amp;Milestones!$AB$163&amp;" "&amp;Milestones!$AC$163&amp;";  ","")&amp;IF(AND(EDATE($D19,Milestones!$AA$164)&lt;=AsOfDate,IF($R19=0,$X19,IF(AND($T19&lt;&gt;"",EDATE($D19,Milestones!$AA$164)&gt;=$T19),$W19,IF(AND($S19&lt;&gt;"",EDATE($D19,Milestones!$AA$164)&gt;=$S19),$V19,$U19)))=Milestones!$AB$164),UPPER(TEXT(EDATE($D19,Milestones!$AA$164),"dd mmm yy"))&amp;" "&amp;Milestones!$AB$164&amp;" "&amp;Milestones!$AC$164&amp;";  ","")&amp;IF(AND(EDATE($D19,Milestones!$AA$165)&lt;=AsOfDate,IF($R19=0,$X19,IF(AND($T19&lt;&gt;"",EDATE($D19,Milestones!$AA$165)&gt;=$T19),$W19,IF(AND($S19&lt;&gt;"",EDATE($D19,Milestones!$AA$165)&gt;=$S19),$V19,$U19)))=Milestones!$AB$165),UPPER(TEXT(EDATE($D19,Milestones!$AA$165),"dd mmm yy"))&amp;" "&amp;Milestones!$AB$165&amp;" "&amp;Milestones!$AC$165&amp;";  ","")&amp;IF(AND(EDATE($D19,Milestones!$AA$166)&lt;=AsOfDate,IF($R19=0,$X19,IF(AND($T19&lt;&gt;"",EDATE($D19,Milestones!$AA$166)&gt;=$T19),$W19,IF(AND($S19&lt;&gt;"",EDATE($D19,Milestones!$AA$166)&gt;=$S19),$V19,$U19)))=Milestones!$AB$166),UPPER(TEXT(EDATE($D19,Milestones!$AA$166),"dd mmm yy"))&amp;" "&amp;Milestones!$AB$166&amp;" "&amp;Milestones!$AC$166&amp;";  ","")&amp;IF(AND(EDATE($D19,Milestones!$AA$167)&lt;=AsOfDate,IF($R19=0,$X19,IF(AND($T19&lt;&gt;"",EDATE($D19,Milestones!$AA$167)&gt;=$T19),$W19,IF(AND($S19&lt;&gt;"",EDATE($D19,Milestones!$AA$167)&gt;=$S19),$V19,$U19)))=Milestones!$AB$167),UPPER(TEXT(EDATE($D19,Milestones!$AA$167),"dd mmm yy"))&amp;" "&amp;Milestones!$AB$167&amp;" "&amp;Milestones!$AC$167&amp;";  ","")&amp;IF(AND(EDATE($D19,Milestones!$AA$168)&lt;=AsOfDate,IF($R19=0,$X19,IF(AND($T19&lt;&gt;"",EDATE($D19,Milestones!$AA$168)&gt;=$T19),$W19,IF(AND($S19&lt;&gt;"",EDATE($D19,Milestones!$AA$168)&gt;=$S19),$V19,$U19)))=Milestones!$AB$168),UPPER(TEXT(EDATE($D19,Milestones!$AA$168),"dd mmm yy"))&amp;" "&amp;Milestones!$AB$168&amp;" "&amp;Milestones!$AC$168&amp;";  ","")&amp;IF(AND(EDATE($D19,Milestones!$AA$169)&lt;=AsOfDate,IF($R19=0,$X19,IF(AND($T19&lt;&gt;"",EDATE($D19,Milestones!$AA$169)&gt;=$T19),$W19,IF(AND($S19&lt;&gt;"",EDATE($D19,Milestones!$AA$169)&gt;=$S19),$V19,$U19)))=Milestones!$AB$169),UPPER(TEXT(EDATE($D19,Milestones!$AA$169),"dd mmm yy"))&amp;" "&amp;Milestones!$AB$169&amp;" "&amp;Milestones!$AC$169&amp;";  ","")&amp;IF(AND(EDATE($D19,Milestones!$AA$170)&lt;=AsOfDate,IF($R19=0,$X19,IF(AND($T19&lt;&gt;"",EDATE($D19,Milestones!$AA$170)&gt;=$T19),$W19,IF(AND($S19&lt;&gt;"",EDATE($D19,Milestones!$AA$170)&gt;=$S19),$V19,$U19)))=Milestones!$AB$170),UPPER(TEXT(EDATE($D19,Milestones!$AA$170),"dd mmm yy"))&amp;" "&amp;Milestones!$AB$170&amp;" "&amp;Milestones!$AC$170&amp;";  ","")&amp;IF(AND(EDATE($D19,Milestones!$AA$171)&lt;=AsOfDate,IF($R19=0,$X19,IF(AND($T19&lt;&gt;"",EDATE($D19,Milestones!$AA$171)&gt;=$T19),$W19,IF(AND($S19&lt;&gt;"",EDATE($D19,Milestones!$AA$171)&gt;=$S19),$V19,$U19)))=Milestones!$AB$171),UPPER(TEXT(EDATE($D19,Milestones!$AA$171),"dd mmm yy"))&amp;" "&amp;Milestones!$AB$171&amp;" "&amp;Milestones!$AC$171&amp;";  ","")&amp;IF(AND(EDATE($D19,Milestones!$AA$172)&lt;=AsOfDate,IF($R19=0,$X19,IF(AND($T19&lt;&gt;"",EDATE($D19,Milestones!$AA$172)&gt;=$T19),$W19,IF(AND($S19&lt;&gt;"",EDATE($D19,Milestones!$AA$172)&gt;=$S19),$V19,$U19)))=Milestones!$AB$172),UPPER(TEXT(EDATE($D19,Milestones!$AA$172),"dd mmm yy"))&amp;" "&amp;Milestones!$AB$172&amp;" "&amp;Milestones!$AC$172&amp;";  ","")&amp;IF(AND(EDATE($D19,Milestones!$AA$173)&lt;=AsOfDate,IF($R19=0,$X19,IF(AND($T19&lt;&gt;"",EDATE($D19,Milestones!$AA$173)&gt;=$T19),$W19,IF(AND($S19&lt;&gt;"",EDATE($D19,Milestones!$AA$173)&gt;=$S19),$V19,$U19)))=Milestones!$AB$173),UPPER(TEXT(EDATE($D19,Milestones!$AA$173),"dd mmm yy"))&amp;" "&amp;Milestones!$AB$173&amp;" "&amp;Milestones!$AC$173&amp;";  ","")&amp;IF(AND(EDATE($D19,Milestones!$AA$174)&lt;=AsOfDate,IF($R19=0,$X19,IF(AND($T19&lt;&gt;"",EDATE($D19,Milestones!$AA$174)&gt;=$T19),$W19,IF(AND($S19&lt;&gt;"",EDATE($D19,Milestones!$AA$174)&gt;=$S19),$V19,$U19)))=Milestones!$AB$174),UPPER(TEXT(EDATE($D19,Milestones!$AA$174),"dd mmm yy"))&amp;" "&amp;Milestones!$AB$174&amp;" "&amp;Milestones!$AC$174&amp;";  ","")&amp;IF(AND(EDATE($D19,Milestones!$AA$175)&lt;=AsOfDate,IF($R19=0,$X19,IF(AND($T19&lt;&gt;"",EDATE($D19,Milestones!$AA$175)&gt;=$T19),$W19,IF(AND($S19&lt;&gt;"",EDATE($D19,Milestones!$AA$175)&gt;=$S19),$V19,$U19)))=Milestones!$AB$175),UPPER(TEXT(EDATE($D19,Milestones!$AA$175),"dd mmm yy"))&amp;" "&amp;Milestones!$AB$175&amp;" "&amp;Milestones!$AC$175&amp;";  ","")&amp;IF(AND(EDATE($D19,Milestones!$AA$176)&lt;=AsOfDate,IF($R19=0,$X19,IF(AND($T19&lt;&gt;"",EDATE($D19,Milestones!$AA$176)&gt;=$T19),$W19,IF(AND($S19&lt;&gt;"",EDATE($D19,Milestones!$AA$176)&gt;=$S19),$V19,$U19)))=Milestones!$AB$176),UPPER(TEXT(EDATE($D19,Milestones!$AA$176),"dd mmm yy"))&amp;" "&amp;Milestones!$AB$176&amp;" "&amp;Milestones!$AC$176&amp;";  ","")&amp;IF(AND(EDATE($D19,Milestones!$AA$177)&lt;=AsOfDate,IF($R19=0,$X19,IF(AND($T19&lt;&gt;"",EDATE($D19,Milestones!$AA$177)&gt;=$T19),$W19,IF(AND($S19&lt;&gt;"",EDATE($D19,Milestones!$AA$177)&gt;=$S19),$V19,$U19)))=Milestones!$AB$177),UPPER(TEXT(EDATE($D19,Milestones!$AA$177),"dd mmm yy"))&amp;" "&amp;Milestones!$AB$177&amp;" "&amp;Milestones!$AC$177&amp;";  ","")&amp;IF(AND(EDATE($D19,Milestones!$AA$178)&lt;=AsOfDate,IF($R19=0,$X19,IF(AND($T19&lt;&gt;"",EDATE($D19,Milestones!$AA$178)&gt;=$T19),$W19,IF(AND($S19&lt;&gt;"",EDATE($D19,Milestones!$AA$178)&gt;=$S19),$V19,$U19)))=Milestones!$AB$178),UPPER(TEXT(EDATE($D19,Milestones!$AA$178),"dd mmm yy"))&amp;" "&amp;Milestones!$AB$178&amp;" "&amp;Milestones!$AC$178&amp;";  ","")&amp;IF(AND(EDATE($D19,Milestones!$AA$179)&lt;=AsOfDate,IF($R19=0,$X19,IF(AND($T19&lt;&gt;"",EDATE($D19,Milestones!$AA$179)&gt;=$T19),$W19,IF(AND($S19&lt;&gt;"",EDATE($D19,Milestones!$AA$179)&gt;=$S19),$V19,$U19)))=Milestones!$AB$179),UPPER(TEXT(EDATE($D19,Milestones!$AA$179),"dd mmm yy"))&amp;" "&amp;Milestones!$AB$179&amp;" "&amp;Milestones!$AC$179&amp;";  ",""))</f>
        <v/>
      </c>
      <c r="Q19" s="0" t="str">
        <f aca="false">IF(OR($A19="",$D19=""),"",IF(AND(EDATE($D19,Milestones!$AA$180)&lt;=AsOfDate,IF($R19=0,$X19,IF(AND($T19&lt;&gt;"",EDATE($D19,Milestones!$AA$180)&gt;=$T19),$W19,IF(AND($S19&lt;&gt;"",EDATE($D19,Milestones!$AA$180)&gt;=$S19),$V19,$U19)))=Milestones!$AB$180),UPPER(TEXT(EDATE($D19,Milestones!$AA$180),"dd mmm yy"))&amp;" "&amp;Milestones!$AB$180&amp;" "&amp;Milestones!$AC$180&amp;";  ","")&amp;IF(AND(EDATE($D19,Milestones!$AA$181)&lt;=AsOfDate,IF($R19=0,$X19,IF(AND($T19&lt;&gt;"",EDATE($D19,Milestones!$AA$181)&gt;=$T19),$W19,IF(AND($S19&lt;&gt;"",EDATE($D19,Milestones!$AA$181)&gt;=$S19),$V19,$U19)))=Milestones!$AB$181),UPPER(TEXT(EDATE($D19,Milestones!$AA$181),"dd mmm yy"))&amp;" "&amp;Milestones!$AB$181&amp;" "&amp;Milestones!$AC$181&amp;";  ","")&amp;IF(AND(EDATE($D19,Milestones!$AA$182)&lt;=AsOfDate,IF($R19=0,$X19,IF(AND($T19&lt;&gt;"",EDATE($D19,Milestones!$AA$182)&gt;=$T19),$W19,IF(AND($S19&lt;&gt;"",EDATE($D19,Milestones!$AA$182)&gt;=$S19),$V19,$U19)))=Milestones!$AB$182),UPPER(TEXT(EDATE($D19,Milestones!$AA$182),"dd mmm yy"))&amp;" "&amp;Milestones!$AB$182&amp;" "&amp;Milestones!$AC$182&amp;";  ","")&amp;IF(AND(EDATE($D19,Milestones!$AA$183)&lt;=AsOfDate,IF($R19=0,$X19,IF(AND($T19&lt;&gt;"",EDATE($D19,Milestones!$AA$183)&gt;=$T19),$W19,IF(AND($S19&lt;&gt;"",EDATE($D19,Milestones!$AA$183)&gt;=$S19),$V19,$U19)))=Milestones!$AB$183),UPPER(TEXT(EDATE($D19,Milestones!$AA$183),"dd mmm yy"))&amp;" "&amp;Milestones!$AB$183&amp;" "&amp;Milestones!$AC$183&amp;";  ","")&amp;IF(AND(EDATE($D19,Milestones!$AA$184)&lt;=AsOfDate,IF($R19=0,$X19,IF(AND($T19&lt;&gt;"",EDATE($D19,Milestones!$AA$184)&gt;=$T19),$W19,IF(AND($S19&lt;&gt;"",EDATE($D19,Milestones!$AA$184)&gt;=$S19),$V19,$U19)))=Milestones!$AB$184),UPPER(TEXT(EDATE($D19,Milestones!$AA$184),"dd mmm yy"))&amp;" "&amp;Milestones!$AB$184&amp;" "&amp;Milestones!$AC$184&amp;";  ","")&amp;IF(AND(EDATE($D19,Milestones!$AA$185)&lt;=AsOfDate,IF($R19=0,$X19,IF(AND($T19&lt;&gt;"",EDATE($D19,Milestones!$AA$185)&gt;=$T19),$W19,IF(AND($S19&lt;&gt;"",EDATE($D19,Milestones!$AA$185)&gt;=$S19),$V19,$U19)))=Milestones!$AB$185),UPPER(TEXT(EDATE($D19,Milestones!$AA$185),"dd mmm yy"))&amp;" "&amp;Milestones!$AB$185&amp;" "&amp;Milestones!$AC$185&amp;";  ","")&amp;IF(AND(EDATE($D19,Milestones!$AA$186)&lt;=AsOfDate,IF($R19=0,$X19,IF(AND($T19&lt;&gt;"",EDATE($D19,Milestones!$AA$186)&gt;=$T19),$W19,IF(AND($S19&lt;&gt;"",EDATE($D19,Milestones!$AA$186)&gt;=$S19),$V19,$U19)))=Milestones!$AB$186),UPPER(TEXT(EDATE($D19,Milestones!$AA$186),"dd mmm yy"))&amp;" "&amp;Milestones!$AB$186&amp;" "&amp;Milestones!$AC$186&amp;";  ","")&amp;IF(AND(EDATE($D19,Milestones!$AA$187)&lt;=AsOfDate,IF($R19=0,$X19,IF(AND($T19&lt;&gt;"",EDATE($D19,Milestones!$AA$187)&gt;=$T19),$W19,IF(AND($S19&lt;&gt;"",EDATE($D19,Milestones!$AA$187)&gt;=$S19),$V19,$U19)))=Milestones!$AB$187),UPPER(TEXT(EDATE($D19,Milestones!$AA$187),"dd mmm yy"))&amp;" "&amp;Milestones!$AB$187&amp;" "&amp;Milestones!$AC$187&amp;";  ","")&amp;IF(AND(EDATE($D19,Milestones!$AA$188)&lt;=AsOfDate,IF($R19=0,$X19,IF(AND($T19&lt;&gt;"",EDATE($D19,Milestones!$AA$188)&gt;=$T19),$W19,IF(AND($S19&lt;&gt;"",EDATE($D19,Milestones!$AA$188)&gt;=$S19),$V19,$U19)))=Milestones!$AB$188),UPPER(TEXT(EDATE($D19,Milestones!$AA$188),"dd mmm yy"))&amp;" "&amp;Milestones!$AB$188&amp;" "&amp;Milestones!$AC$188&amp;";  ","")&amp;IF(AND(EDATE($D19,Milestones!$AA$189)&lt;=AsOfDate,IF($R19=0,$X19,IF(AND($T19&lt;&gt;"",EDATE($D19,Milestones!$AA$189)&gt;=$T19),$W19,IF(AND($S19&lt;&gt;"",EDATE($D19,Milestones!$AA$189)&gt;=$S19),$V19,$U19)))=Milestones!$AB$189),UPPER(TEXT(EDATE($D19,Milestones!$AA$189),"dd mmm yy"))&amp;" "&amp;Milestones!$AB$189&amp;" "&amp;Milestones!$AC$189&amp;";  ","")&amp;IF(AND(EDATE($D19,Milestones!$AA$190)&lt;=AsOfDate,IF($R19=0,$X19,IF(AND($T19&lt;&gt;"",EDATE($D19,Milestones!$AA$190)&gt;=$T19),$W19,IF(AND($S19&lt;&gt;"",EDATE($D19,Milestones!$AA$190)&gt;=$S19),$V19,$U19)))=Milestones!$AB$190),UPPER(TEXT(EDATE($D19,Milestones!$AA$190),"dd mmm yy"))&amp;" "&amp;Milestones!$AB$190&amp;" "&amp;Milestones!$AC$190&amp;";  ","")&amp;IF(AND(EDATE($D19,Milestones!$AA$191)&lt;=AsOfDate,IF($R19=0,$X19,IF(AND($T19&lt;&gt;"",EDATE($D19,Milestones!$AA$191)&gt;=$T19),$W19,IF(AND($S19&lt;&gt;"",EDATE($D19,Milestones!$AA$191)&gt;=$S19),$V19,$U19)))=Milestones!$AB$191),UPPER(TEXT(EDATE($D19,Milestones!$AA$191),"dd mmm yy"))&amp;" "&amp;Milestones!$AB$191&amp;" "&amp;Milestones!$AC$191&amp;";  ","")&amp;IF(AND(EDATE($D19,Milestones!$AA$192)&lt;=AsOfDate,IF($R19=0,$X19,IF(AND($T19&lt;&gt;"",EDATE($D19,Milestones!$AA$192)&gt;=$T19),$W19,IF(AND($S19&lt;&gt;"",EDATE($D19,Milestones!$AA$192)&gt;=$S19),$V19,$U19)))=Milestones!$AB$192),UPPER(TEXT(EDATE($D19,Milestones!$AA$192),"dd mmm yy"))&amp;" "&amp;Milestones!$AB$192&amp;" "&amp;Milestones!$AC$192&amp;";  ","")&amp;IF(AND(EDATE($D19,Milestones!$AA$193)&lt;=AsOfDate,IF($R19=0,$X19,IF(AND($T19&lt;&gt;"",EDATE($D19,Milestones!$AA$193)&gt;=$T19),$W19,IF(AND($S19&lt;&gt;"",EDATE($D19,Milestones!$AA$193)&gt;=$S19),$V19,$U19)))=Milestones!$AB$193),UPPER(TEXT(EDATE($D19,Milestones!$AA$193),"dd mmm yy"))&amp;" "&amp;Milestones!$AB$193&amp;" "&amp;Milestones!$AC$193&amp;";  ","")&amp;IF(AND(EDATE($D19,Milestones!$AA$194)&lt;=AsOfDate,IF($R19=0,$X19,IF(AND($T19&lt;&gt;"",EDATE($D19,Milestones!$AA$194)&gt;=$T19),$W19,IF(AND($S19&lt;&gt;"",EDATE($D19,Milestones!$AA$194)&gt;=$S19),$V19,$U19)))=Milestones!$AB$194),UPPER(TEXT(EDATE($D19,Milestones!$AA$194),"dd mmm yy"))&amp;" "&amp;Milestones!$AB$194&amp;" "&amp;Milestones!$AC$194&amp;";  ","")&amp;IF(AND(EDATE($D19,Milestones!$AA$195)&lt;=AsOfDate,IF($R19=0,$X19,IF(AND($T19&lt;&gt;"",EDATE($D19,Milestones!$AA$195)&gt;=$T19),$W19,IF(AND($S19&lt;&gt;"",EDATE($D19,Milestones!$AA$195)&gt;=$S19),$V19,$U19)))=Milestones!$AB$195),UPPER(TEXT(EDATE($D19,Milestones!$AA$195),"dd mmm yy"))&amp;" "&amp;Milestones!$AB$195&amp;" "&amp;Milestones!$AC$195&amp;";  ","")&amp;IF(AND(EDATE($D19,Milestones!$AA$196)&lt;=AsOfDate,IF($R19=0,$X19,IF(AND($T19&lt;&gt;"",EDATE($D19,Milestones!$AA$196)&gt;=$T19),$W19,IF(AND($S19&lt;&gt;"",EDATE($D19,Milestones!$AA$196)&gt;=$S19),$V19,$U19)))=Milestones!$AB$196),UPPER(TEXT(EDATE($D19,Milestones!$AA$196),"dd mmm yy"))&amp;" "&amp;Milestones!$AB$196&amp;" "&amp;Milestones!$AC$196&amp;";  ","")&amp;IF(AND(EDATE($D19,Milestones!$AA$197)&lt;=AsOfDate,IF($R19=0,$X19,IF(AND($T19&lt;&gt;"",EDATE($D19,Milestones!$AA$197)&gt;=$T19),$W19,IF(AND($S19&lt;&gt;"",EDATE($D19,Milestones!$AA$197)&gt;=$S19),$V19,$U19)))=Milestones!$AB$197),UPPER(TEXT(EDATE($D19,Milestones!$AA$197),"dd mmm yy"))&amp;" "&amp;Milestones!$AB$197&amp;" "&amp;Milestones!$AC$197&amp;";  ","")&amp;IF(AND(EDATE($D19,Milestones!$AA$198)&lt;=AsOfDate,IF($R19=0,$X19,IF(AND($T19&lt;&gt;"",EDATE($D19,Milestones!$AA$198)&gt;=$T19),$W19,IF(AND($S19&lt;&gt;"",EDATE($D19,Milestones!$AA$198)&gt;=$S19),$V19,$U19)))=Milestones!$AB$198),UPPER(TEXT(EDATE($D19,Milestones!$AA$198),"dd mmm yy"))&amp;" "&amp;Milestones!$AB$198&amp;" "&amp;Milestones!$AC$198&amp;";  ","")&amp;IF(AND(EDATE($D19,Milestones!$AA$199)&lt;=AsOfDate,IF($R19=0,$X19,IF(AND($T19&lt;&gt;"",EDATE($D19,Milestones!$AA$199)&gt;=$T19),$W19,IF(AND($S19&lt;&gt;"",EDATE($D19,Milestones!$AA$199)&gt;=$S19),$V19,$U19)))=Milestones!$AB$199),UPPER(TEXT(EDATE($D19,Milestones!$AA$199),"dd mmm yy"))&amp;" "&amp;Milestones!$AB$199&amp;" "&amp;Milestones!$AC$199&amp;";  ",""))</f>
        <v/>
      </c>
      <c r="R19" s="33" t="n">
        <f aca="false">IF(Staff!$A19="","",Staff!$AI19)</f>
        <v>1</v>
      </c>
      <c r="S19" s="0" t="str">
        <f aca="false">IF(Staff!$A19="","",Staff!$AK19)</f>
        <v/>
      </c>
      <c r="T19" s="0" t="str">
        <f aca="false">IF(Staff!$A19="","",Staff!$AL19)</f>
        <v/>
      </c>
      <c r="U19" s="0" t="str">
        <f aca="false">IF(Staff!$A19="","",Staff!$AP19)</f>
        <v>FT</v>
      </c>
      <c r="V19" s="0" t="str">
        <f aca="false">IF(Staff!$A19="","",Staff!$AQ19)</f>
        <v/>
      </c>
      <c r="W19" s="0" t="str">
        <f aca="false">IF(Staff!$A19="","",Staff!$AR19)</f>
        <v/>
      </c>
      <c r="X19" s="0" t="str">
        <f aca="false">IF(Staff!$A19="","",Staff!$AS19)</f>
        <v>FT</v>
      </c>
    </row>
    <row r="20" customFormat="false" ht="46.25" hidden="false" customHeight="false" outlineLevel="0" collapsed="false">
      <c r="A20" s="19" t="str">
        <f aca="false">IF(Staff!$A20="","",Staff!$A20)</f>
        <v>Daniel</v>
      </c>
      <c r="B20" s="19" t="str">
        <f aca="false">IF(Staff!$A20="","",Staff!$B20)</f>
        <v>SOBKOWSKI</v>
      </c>
      <c r="C20" s="19" t="str">
        <f aca="false">IF(Staff!$A20="","",Staff!$C20)</f>
        <v>Full-Time</v>
      </c>
      <c r="D20" s="17" t="n">
        <f aca="false">IF(Staff!$A20="","",Staff!$AH20)</f>
        <v>41484</v>
      </c>
      <c r="E20" s="20" t="n">
        <f aca="false">IF(Staff!$A20="","",Staff!$O20)</f>
        <v>48</v>
      </c>
      <c r="F20" s="19" t="n">
        <f aca="false">IF(E20="","",E20*HoursPerDay)</f>
        <v>384</v>
      </c>
      <c r="G20" s="20" t="n">
        <f aca="false">IF(Staff!$A20="","",Staff!$AE20)</f>
        <v>0</v>
      </c>
      <c r="H20" s="32" t="str">
        <f aca="false">IF($A20="","",I20&amp;J20&amp;K20&amp;L20&amp;M20&amp;N20&amp;O20&amp;P20&amp;Q20)</f>
        <v>29 JUL 16 FT 1;  29 NOV 16 FT 1;  29 MAR 17 FT 1;  29 JUL 17 FT 1;  29 NOV 17 FT 1;  29 MAR 18 FT 1;  29 JUL 18 FT 2;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IF($R20=0,$X20,IF(AND($T20&lt;&gt;"",EDATE($D20,Milestones!$AA$20)&gt;=$T20),$W20,IF(AND($S20&lt;&gt;"",EDATE($D20,Milestones!$AA$20)&gt;=$S20),$V20,$U20)))=Milestones!$AB$20),UPPER(TEXT(EDATE($D20,Milestones!$AA$20),"dd mmm yy"))&amp;" "&amp;Milestones!$AB$20&amp;" "&amp;Milestones!$AC$20&amp;";  ","")&amp;IF(AND(EDATE($D20,Milestones!$AA$21)&lt;=AsOfDate,IF($R20=0,$X20,IF(AND($T20&lt;&gt;"",EDATE($D20,Milestones!$AA$21)&gt;=$T20),$W20,IF(AND($S20&lt;&gt;"",EDATE($D20,Milestones!$AA$21)&gt;=$S20),$V20,$U20)))=Milestones!$AB$21),UPPER(TEXT(EDATE($D20,Milestones!$AA$21),"dd mmm yy"))&amp;" "&amp;Milestones!$AB$21&amp;" "&amp;Milestones!$AC$21&amp;";  ","")&amp;IF(AND(EDATE($D20,Milestones!$AA$22)&lt;=AsOfDate,IF($R20=0,$X20,IF(AND($T20&lt;&gt;"",EDATE($D20,Milestones!$AA$22)&gt;=$T20),$W20,IF(AND($S20&lt;&gt;"",EDATE($D20,Milestones!$AA$22)&gt;=$S20),$V20,$U20)))=Milestones!$AB$22),UPPER(TEXT(EDATE($D20,Milestones!$AA$22),"dd mmm yy"))&amp;" "&amp;Milestones!$AB$22&amp;" "&amp;Milestones!$AC$22&amp;";  ","")&amp;IF(AND(EDATE($D20,Milestones!$AA$23)&lt;=AsOfDate,IF($R20=0,$X20,IF(AND($T20&lt;&gt;"",EDATE($D20,Milestones!$AA$23)&gt;=$T20),$W20,IF(AND($S20&lt;&gt;"",EDATE($D20,Milestones!$AA$23)&gt;=$S20),$V20,$U20)))=Milestones!$AB$23),UPPER(TEXT(EDATE($D20,Milestones!$AA$23),"dd mmm yy"))&amp;" "&amp;Milestones!$AB$23&amp;" "&amp;Milestones!$AC$23&amp;";  ","")&amp;IF(AND(EDATE($D20,Milestones!$AA$24)&lt;=AsOfDate,IF($R20=0,$X20,IF(AND($T20&lt;&gt;"",EDATE($D20,Milestones!$AA$24)&gt;=$T20),$W20,IF(AND($S20&lt;&gt;"",EDATE($D20,Milestones!$AA$24)&gt;=$S20),$V20,$U20)))=Milestones!$AB$24),UPPER(TEXT(EDATE($D20,Milestones!$AA$24),"dd mmm yy"))&amp;" "&amp;Milestones!$AB$24&amp;" "&amp;Milestones!$AC$24&amp;";  ","")&amp;IF(AND(EDATE($D20,Milestones!$AA$25)&lt;=AsOfDate,IF($R20=0,$X20,IF(AND($T20&lt;&gt;"",EDATE($D20,Milestones!$AA$25)&gt;=$T20),$W20,IF(AND($S20&lt;&gt;"",EDATE($D20,Milestones!$AA$25)&gt;=$S20),$V20,$U20)))=Milestones!$AB$25),UPPER(TEXT(EDATE($D20,Milestones!$AA$25),"dd mmm yy"))&amp;" "&amp;Milestones!$AB$25&amp;" "&amp;Milestones!$AC$25&amp;";  ","")&amp;IF(AND(EDATE($D20,Milestones!$AA$26)&lt;=AsOfDate,IF($R20=0,$X20,IF(AND($T20&lt;&gt;"",EDATE($D20,Milestones!$AA$26)&gt;=$T20),$W20,IF(AND($S20&lt;&gt;"",EDATE($D20,Milestones!$AA$26)&gt;=$S20),$V20,$U20)))=Milestones!$AB$26),UPPER(TEXT(EDATE($D20,Milestones!$AA$26),"dd mmm yy"))&amp;" "&amp;Milestones!$AB$26&amp;" "&amp;Milestones!$AC$26&amp;";  ","")&amp;IF(AND(EDATE($D20,Milestones!$AA$27)&lt;=AsOfDate,IF($R20=0,$X20,IF(AND($T20&lt;&gt;"",EDATE($D20,Milestones!$AA$27)&gt;=$T20),$W20,IF(AND($S20&lt;&gt;"",EDATE($D20,Milestones!$AA$27)&gt;=$S20),$V20,$U20)))=Milestones!$AB$27),UPPER(TEXT(EDATE($D20,Milestones!$AA$27),"dd mmm yy"))&amp;" "&amp;Milestones!$AB$27&amp;" "&amp;Milestones!$AC$27&amp;";  ","")&amp;IF(AND(EDATE($D20,Milestones!$AA$28)&lt;=AsOfDate,IF($R20=0,$X20,IF(AND($T20&lt;&gt;"",EDATE($D20,Milestones!$AA$28)&gt;=$T20),$W20,IF(AND($S20&lt;&gt;"",EDATE($D20,Milestones!$AA$28)&gt;=$S20),$V20,$U20)))=Milestones!$AB$28),UPPER(TEXT(EDATE($D20,Milestones!$AA$28),"dd mmm yy"))&amp;" "&amp;Milestones!$AB$28&amp;" "&amp;Milestones!$AC$28&amp;";  ","")&amp;IF(AND(EDATE($D20,Milestones!$AA$29)&lt;=AsOfDate,IF($R20=0,$X20,IF(AND($T20&lt;&gt;"",EDATE($D20,Milestones!$AA$29)&gt;=$T20),$W20,IF(AND($S20&lt;&gt;"",EDATE($D20,Milestones!$AA$29)&gt;=$S20),$V20,$U20)))=Milestones!$AB$29),UPPER(TEXT(EDATE($D20,Milestones!$AA$29),"dd mmm yy"))&amp;" "&amp;Milestones!$AB$29&amp;" "&amp;Milestones!$AC$29&amp;";  ","")&amp;IF(AND(EDATE($D20,Milestones!$AA$30)&lt;=AsOfDate,IF($R20=0,$X20,IF(AND($T20&lt;&gt;"",EDATE($D20,Milestones!$AA$30)&gt;=$T20),$W20,IF(AND($S20&lt;&gt;"",EDATE($D20,Milestones!$AA$30)&gt;=$S20),$V20,$U20)))=Milestones!$AB$30),UPPER(TEXT(EDATE($D20,Milestones!$AA$30),"dd mmm yy"))&amp;" "&amp;Milestones!$AB$30&amp;" "&amp;Milestones!$AC$30&amp;";  ","")&amp;IF(AND(EDATE($D20,Milestones!$AA$31)&lt;=AsOfDate,IF($R20=0,$X20,IF(AND($T20&lt;&gt;"",EDATE($D20,Milestones!$AA$31)&gt;=$T20),$W20,IF(AND($S20&lt;&gt;"",EDATE($D20,Milestones!$AA$31)&gt;=$S20),$V20,$U20)))=Milestones!$AB$31),UPPER(TEXT(EDATE($D20,Milestones!$AA$31),"dd mmm yy"))&amp;" "&amp;Milestones!$AB$31&amp;" "&amp;Milestones!$AC$31&amp;";  ","")&amp;IF(AND(EDATE($D20,Milestones!$AA$32)&lt;=AsOfDate,IF($R20=0,$X20,IF(AND($T20&lt;&gt;"",EDATE($D20,Milestones!$AA$32)&gt;=$T20),$W20,IF(AND($S20&lt;&gt;"",EDATE($D20,Milestones!$AA$32)&gt;=$S20),$V20,$U20)))=Milestones!$AB$32),UPPER(TEXT(EDATE($D20,Milestones!$AA$32),"dd mmm yy"))&amp;" "&amp;Milestones!$AB$32&amp;" "&amp;Milestones!$AC$32&amp;";  ","")&amp;IF(AND(EDATE($D20,Milestones!$AA$33)&lt;=AsOfDate,IF($R20=0,$X20,IF(AND($T20&lt;&gt;"",EDATE($D20,Milestones!$AA$33)&gt;=$T20),$W20,IF(AND($S20&lt;&gt;"",EDATE($D20,Milestones!$AA$33)&gt;=$S20),$V20,$U20)))=Milestones!$AB$33),UPPER(TEXT(EDATE($D20,Milestones!$AA$33),"dd mmm yy"))&amp;" "&amp;Milestones!$AB$33&amp;" "&amp;Milestones!$AC$33&amp;";  ","")&amp;IF(AND(EDATE($D20,Milestones!$AA$34)&lt;=AsOfDate,IF($R20=0,$X20,IF(AND($T20&lt;&gt;"",EDATE($D20,Milestones!$AA$34)&gt;=$T20),$W20,IF(AND($S20&lt;&gt;"",EDATE($D20,Milestones!$AA$34)&gt;=$S20),$V20,$U20)))=Milestones!$AB$34),UPPER(TEXT(EDATE($D20,Milestones!$AA$34),"dd mmm yy"))&amp;" "&amp;Milestones!$AB$34&amp;" "&amp;Milestones!$AC$34&amp;";  ","")&amp;IF(AND(EDATE($D20,Milestones!$AA$35)&lt;=AsOfDate,IF($R20=0,$X20,IF(AND($T20&lt;&gt;"",EDATE($D20,Milestones!$AA$35)&gt;=$T20),$W20,IF(AND($S20&lt;&gt;"",EDATE($D20,Milestones!$AA$35)&gt;=$S20),$V20,$U20)))=Milestones!$AB$35),UPPER(TEXT(EDATE($D20,Milestones!$AA$35),"dd mmm yy"))&amp;" "&amp;Milestones!$AB$35&amp;" "&amp;Milestones!$AC$35&amp;";  ","")&amp;IF(AND(EDATE($D20,Milestones!$AA$36)&lt;=AsOfDate,IF($R20=0,$X20,IF(AND($T20&lt;&gt;"",EDATE($D20,Milestones!$AA$36)&gt;=$T20),$W20,IF(AND($S20&lt;&gt;"",EDATE($D20,Milestones!$AA$36)&gt;=$S20),$V20,$U20)))=Milestones!$AB$36),UPPER(TEXT(EDATE($D20,Milestones!$AA$36),"dd mmm yy"))&amp;" "&amp;Milestones!$AB$36&amp;" "&amp;Milestones!$AC$36&amp;";  ","")&amp;IF(AND(EDATE($D20,Milestones!$AA$37)&lt;=AsOfDate,IF($R20=0,$X20,IF(AND($T20&lt;&gt;"",EDATE($D20,Milestones!$AA$37)&gt;=$T20),$W20,IF(AND($S20&lt;&gt;"",EDATE($D20,Milestones!$AA$37)&gt;=$S20),$V20,$U20)))=Milestones!$AB$37),UPPER(TEXT(EDATE($D20,Milestones!$AA$37),"dd mmm yy"))&amp;" "&amp;Milestones!$AB$37&amp;" "&amp;Milestones!$AC$37&amp;";  ","")&amp;IF(AND(EDATE($D20,Milestones!$AA$38)&lt;=AsOfDate,IF($R20=0,$X20,IF(AND($T20&lt;&gt;"",EDATE($D20,Milestones!$AA$38)&gt;=$T20),$W20,IF(AND($S20&lt;&gt;"",EDATE($D20,Milestones!$AA$38)&gt;=$S20),$V20,$U20)))=Milestones!$AB$38),UPPER(TEXT(EDATE($D20,Milestones!$AA$38),"dd mmm yy"))&amp;" "&amp;Milestones!$AB$38&amp;" "&amp;Milestones!$AC$38&amp;";  ","")&amp;IF(AND(EDATE($D20,Milestones!$AA$39)&lt;=AsOfDate,IF($R20=0,$X20,IF(AND($T20&lt;&gt;"",EDATE($D20,Milestones!$AA$39)&gt;=$T20),$W20,IF(AND($S20&lt;&gt;"",EDATE($D20,Milestones!$AA$39)&gt;=$S20),$V20,$U20)))=Milestones!$AB$39),UPPER(TEXT(EDATE($D20,Milestones!$AA$39),"dd mmm yy"))&amp;" "&amp;Milestones!$AB$39&amp;" "&amp;Milestones!$AC$39&amp;";  ",""))</f>
        <v>29 JUL 16 FT 1;  29 NOV 16 FT 1;  29 MAR 17 FT 1;  29 JUL 17 FT 1;  29 NOV 17 FT 1;  29 MAR 18 FT 1;  29 JUL 18 FT 2;  29 OCT 18 FT 1;  29 JAN 19 FT 1;  29 APR 19 FT 1;  29 JUL 19 FT 2;  29 OCT 19 FT 1;  29 JAN 20 FT 1;  29 APR 20 FT 1;  </v>
      </c>
      <c r="J20" s="0" t="str">
        <f aca="false">IF(OR($A20="",$D20=""),"",IF(AND(EDATE($D20,Milestones!$AA$40)&lt;=AsOfDate,IF($R20=0,$X20,IF(AND($T20&lt;&gt;"",EDATE($D20,Milestones!$AA$40)&gt;=$T20),$W20,IF(AND($S20&lt;&gt;"",EDATE($D20,Milestones!$AA$40)&gt;=$S20),$V20,$U20)))=Milestones!$AB$40),UPPER(TEXT(EDATE($D20,Milestones!$AA$40),"dd mmm yy"))&amp;" "&amp;Milestones!$AB$40&amp;" "&amp;Milestones!$AC$40&amp;";  ","")&amp;IF(AND(EDATE($D20,Milestones!$AA$41)&lt;=AsOfDate,IF($R20=0,$X20,IF(AND($T20&lt;&gt;"",EDATE($D20,Milestones!$AA$41)&gt;=$T20),$W20,IF(AND($S20&lt;&gt;"",EDATE($D20,Milestones!$AA$41)&gt;=$S20),$V20,$U20)))=Milestones!$AB$41),UPPER(TEXT(EDATE($D20,Milestones!$AA$41),"dd mmm yy"))&amp;" "&amp;Milestones!$AB$41&amp;" "&amp;Milestones!$AC$41&amp;";  ","")&amp;IF(AND(EDATE($D20,Milestones!$AA$42)&lt;=AsOfDate,IF($R20=0,$X20,IF(AND($T20&lt;&gt;"",EDATE($D20,Milestones!$AA$42)&gt;=$T20),$W20,IF(AND($S20&lt;&gt;"",EDATE($D20,Milestones!$AA$42)&gt;=$S20),$V20,$U20)))=Milestones!$AB$42),UPPER(TEXT(EDATE($D20,Milestones!$AA$42),"dd mmm yy"))&amp;" "&amp;Milestones!$AB$42&amp;" "&amp;Milestones!$AC$42&amp;";  ","")&amp;IF(AND(EDATE($D20,Milestones!$AA$43)&lt;=AsOfDate,IF($R20=0,$X20,IF(AND($T20&lt;&gt;"",EDATE($D20,Milestones!$AA$43)&gt;=$T20),$W20,IF(AND($S20&lt;&gt;"",EDATE($D20,Milestones!$AA$43)&gt;=$S20),$V20,$U20)))=Milestones!$AB$43),UPPER(TEXT(EDATE($D20,Milestones!$AA$43),"dd mmm yy"))&amp;" "&amp;Milestones!$AB$43&amp;" "&amp;Milestones!$AC$43&amp;";  ","")&amp;IF(AND(EDATE($D20,Milestones!$AA$44)&lt;=AsOfDate,IF($R20=0,$X20,IF(AND($T20&lt;&gt;"",EDATE($D20,Milestones!$AA$44)&gt;=$T20),$W20,IF(AND($S20&lt;&gt;"",EDATE($D20,Milestones!$AA$44)&gt;=$S20),$V20,$U20)))=Milestones!$AB$44),UPPER(TEXT(EDATE($D20,Milestones!$AA$44),"dd mmm yy"))&amp;" "&amp;Milestones!$AB$44&amp;" "&amp;Milestones!$AC$44&amp;";  ","")&amp;IF(AND(EDATE($D20,Milestones!$AA$45)&lt;=AsOfDate,IF($R20=0,$X20,IF(AND($T20&lt;&gt;"",EDATE($D20,Milestones!$AA$45)&gt;=$T20),$W20,IF(AND($S20&lt;&gt;"",EDATE($D20,Milestones!$AA$45)&gt;=$S20),$V20,$U20)))=Milestones!$AB$45),UPPER(TEXT(EDATE($D20,Milestones!$AA$45),"dd mmm yy"))&amp;" "&amp;Milestones!$AB$45&amp;" "&amp;Milestones!$AC$45&amp;";  ","")&amp;IF(AND(EDATE($D20,Milestones!$AA$46)&lt;=AsOfDate,IF($R20=0,$X20,IF(AND($T20&lt;&gt;"",EDATE($D20,Milestones!$AA$46)&gt;=$T20),$W20,IF(AND($S20&lt;&gt;"",EDATE($D20,Milestones!$AA$46)&gt;=$S20),$V20,$U20)))=Milestones!$AB$46),UPPER(TEXT(EDATE($D20,Milestones!$AA$46),"dd mmm yy"))&amp;" "&amp;Milestones!$AB$46&amp;" "&amp;Milestones!$AC$46&amp;";  ","")&amp;IF(AND(EDATE($D20,Milestones!$AA$47)&lt;=AsOfDate,IF($R20=0,$X20,IF(AND($T20&lt;&gt;"",EDATE($D20,Milestones!$AA$47)&gt;=$T20),$W20,IF(AND($S20&lt;&gt;"",EDATE($D20,Milestones!$AA$47)&gt;=$S20),$V20,$U20)))=Milestones!$AB$47),UPPER(TEXT(EDATE($D20,Milestones!$AA$47),"dd mmm yy"))&amp;" "&amp;Milestones!$AB$47&amp;" "&amp;Milestones!$AC$47&amp;";  ","")&amp;IF(AND(EDATE($D20,Milestones!$AA$48)&lt;=AsOfDate,IF($R20=0,$X20,IF(AND($T20&lt;&gt;"",EDATE($D20,Milestones!$AA$48)&gt;=$T20),$W20,IF(AND($S20&lt;&gt;"",EDATE($D20,Milestones!$AA$48)&gt;=$S20),$V20,$U20)))=Milestones!$AB$48),UPPER(TEXT(EDATE($D20,Milestones!$AA$48),"dd mmm yy"))&amp;" "&amp;Milestones!$AB$48&amp;" "&amp;Milestones!$AC$48&amp;";  ","")&amp;IF(AND(EDATE($D20,Milestones!$AA$49)&lt;=AsOfDate,IF($R20=0,$X20,IF(AND($T20&lt;&gt;"",EDATE($D20,Milestones!$AA$49)&gt;=$T20),$W20,IF(AND($S20&lt;&gt;"",EDATE($D20,Milestones!$AA$49)&gt;=$S20),$V20,$U20)))=Milestones!$AB$49),UPPER(TEXT(EDATE($D20,Milestones!$AA$49),"dd mmm yy"))&amp;" "&amp;Milestones!$AB$49&amp;" "&amp;Milestones!$AC$49&amp;";  ","")&amp;IF(AND(EDATE($D20,Milestones!$AA$50)&lt;=AsOfDate,IF($R20=0,$X20,IF(AND($T20&lt;&gt;"",EDATE($D20,Milestones!$AA$50)&gt;=$T20),$W20,IF(AND($S20&lt;&gt;"",EDATE($D20,Milestones!$AA$50)&gt;=$S20),$V20,$U20)))=Milestones!$AB$50),UPPER(TEXT(EDATE($D20,Milestones!$AA$50),"dd mmm yy"))&amp;" "&amp;Milestones!$AB$50&amp;" "&amp;Milestones!$AC$50&amp;";  ","")&amp;IF(AND(EDATE($D20,Milestones!$AA$51)&lt;=AsOfDate,IF($R20=0,$X20,IF(AND($T20&lt;&gt;"",EDATE($D20,Milestones!$AA$51)&gt;=$T20),$W20,IF(AND($S20&lt;&gt;"",EDATE($D20,Milestones!$AA$51)&gt;=$S20),$V20,$U20)))=Milestones!$AB$51),UPPER(TEXT(EDATE($D20,Milestones!$AA$51),"dd mmm yy"))&amp;" "&amp;Milestones!$AB$51&amp;" "&amp;Milestones!$AC$51&amp;";  ","")&amp;IF(AND(EDATE($D20,Milestones!$AA$52)&lt;=AsOfDate,IF($R20=0,$X20,IF(AND($T20&lt;&gt;"",EDATE($D20,Milestones!$AA$52)&gt;=$T20),$W20,IF(AND($S20&lt;&gt;"",EDATE($D20,Milestones!$AA$52)&gt;=$S20),$V20,$U20)))=Milestones!$AB$52),UPPER(TEXT(EDATE($D20,Milestones!$AA$52),"dd mmm yy"))&amp;" "&amp;Milestones!$AB$52&amp;" "&amp;Milestones!$AC$52&amp;";  ","")&amp;IF(AND(EDATE($D20,Milestones!$AA$53)&lt;=AsOfDate,IF($R20=0,$X20,IF(AND($T20&lt;&gt;"",EDATE($D20,Milestones!$AA$53)&gt;=$T20),$W20,IF(AND($S20&lt;&gt;"",EDATE($D20,Milestones!$AA$53)&gt;=$S20),$V20,$U20)))=Milestones!$AB$53),UPPER(TEXT(EDATE($D20,Milestones!$AA$53),"dd mmm yy"))&amp;" "&amp;Milestones!$AB$53&amp;" "&amp;Milestones!$AC$53&amp;";  ","")&amp;IF(AND(EDATE($D20,Milestones!$AA$54)&lt;=AsOfDate,IF($R20=0,$X20,IF(AND($T20&lt;&gt;"",EDATE($D20,Milestones!$AA$54)&gt;=$T20),$W20,IF(AND($S20&lt;&gt;"",EDATE($D20,Milestones!$AA$54)&gt;=$S20),$V20,$U20)))=Milestones!$AB$54),UPPER(TEXT(EDATE($D20,Milestones!$AA$54),"dd mmm yy"))&amp;" "&amp;Milestones!$AB$54&amp;" "&amp;Milestones!$AC$54&amp;";  ","")&amp;IF(AND(EDATE($D20,Milestones!$AA$55)&lt;=AsOfDate,IF($R20=0,$X20,IF(AND($T20&lt;&gt;"",EDATE($D20,Milestones!$AA$55)&gt;=$T20),$W20,IF(AND($S20&lt;&gt;"",EDATE($D20,Milestones!$AA$55)&gt;=$S20),$V20,$U20)))=Milestones!$AB$55),UPPER(TEXT(EDATE($D20,Milestones!$AA$55),"dd mmm yy"))&amp;" "&amp;Milestones!$AB$55&amp;" "&amp;Milestones!$AC$55&amp;";  ","")&amp;IF(AND(EDATE($D20,Milestones!$AA$56)&lt;=AsOfDate,IF($R20=0,$X20,IF(AND($T20&lt;&gt;"",EDATE($D20,Milestones!$AA$56)&gt;=$T20),$W20,IF(AND($S20&lt;&gt;"",EDATE($D20,Milestones!$AA$56)&gt;=$S20),$V20,$U20)))=Milestones!$AB$56),UPPER(TEXT(EDATE($D20,Milestones!$AA$56),"dd mmm yy"))&amp;" "&amp;Milestones!$AB$56&amp;" "&amp;Milestones!$AC$56&amp;";  ","")&amp;IF(AND(EDATE($D20,Milestones!$AA$57)&lt;=AsOfDate,IF($R20=0,$X20,IF(AND($T20&lt;&gt;"",EDATE($D20,Milestones!$AA$57)&gt;=$T20),$W20,IF(AND($S20&lt;&gt;"",EDATE($D20,Milestones!$AA$57)&gt;=$S20),$V20,$U20)))=Milestones!$AB$57),UPPER(TEXT(EDATE($D20,Milestones!$AA$57),"dd mmm yy"))&amp;" "&amp;Milestones!$AB$57&amp;" "&amp;Milestones!$AC$57&amp;";  ","")&amp;IF(AND(EDATE($D20,Milestones!$AA$58)&lt;=AsOfDate,IF($R20=0,$X20,IF(AND($T20&lt;&gt;"",EDATE($D20,Milestones!$AA$58)&gt;=$T20),$W20,IF(AND($S20&lt;&gt;"",EDATE($D20,Milestones!$AA$58)&gt;=$S20),$V20,$U20)))=Milestones!$AB$58),UPPER(TEXT(EDATE($D20,Milestones!$AA$58),"dd mmm yy"))&amp;" "&amp;Milestones!$AB$58&amp;" "&amp;Milestones!$AC$58&amp;";  ","")&amp;IF(AND(EDATE($D20,Milestones!$AA$59)&lt;=AsOfDate,IF($R20=0,$X20,IF(AND($T20&lt;&gt;"",EDATE($D20,Milestones!$AA$59)&gt;=$T20),$W20,IF(AND($S20&lt;&gt;"",EDATE($D20,Milestones!$AA$59)&gt;=$S20),$V20,$U20)))=Milestones!$AB$59),UPPER(TEXT(EDATE($D20,Milestones!$AA$59),"dd mmm yy"))&amp;" "&amp;Milestones!$AB$59&amp;" "&amp;Milestones!$AC$59&amp;";  ",""))</f>
        <v>29 JUL 20 FT 2;  29 OCT 20 FT 1;  29 JAN 21 FT 1;  29 APR 21 FT 1;  29 JUL 21 FT 2;  29 OCT 21 FT 1;  29 JAN 22 FT 1;  29 APR 22 FT 1;  29 JUL 22 FT 2;  29 OCT 22 FT 1;  29 JAN 23 FT 1;  </v>
      </c>
      <c r="K20" s="0" t="str">
        <f aca="false">IF(OR($A20="",$D20=""),"",IF(AND(EDATE($D20,Milestones!$AA$60)&lt;=AsOfDate,IF($R20=0,$X20,IF(AND($T20&lt;&gt;"",EDATE($D20,Milestones!$AA$60)&gt;=$T20),$W20,IF(AND($S20&lt;&gt;"",EDATE($D20,Milestones!$AA$60)&gt;=$S20),$V20,$U20)))=Milestones!$AB$60),UPPER(TEXT(EDATE($D20,Milestones!$AA$60),"dd mmm yy"))&amp;" "&amp;Milestones!$AB$60&amp;" "&amp;Milestones!$AC$60&amp;";  ","")&amp;IF(AND(EDATE($D20,Milestones!$AA$61)&lt;=AsOfDate,IF($R20=0,$X20,IF(AND($T20&lt;&gt;"",EDATE($D20,Milestones!$AA$61)&gt;=$T20),$W20,IF(AND($S20&lt;&gt;"",EDATE($D20,Milestones!$AA$61)&gt;=$S20),$V20,$U20)))=Milestones!$AB$61),UPPER(TEXT(EDATE($D20,Milestones!$AA$61),"dd mmm yy"))&amp;" "&amp;Milestones!$AB$61&amp;" "&amp;Milestones!$AC$61&amp;";  ","")&amp;IF(AND(EDATE($D20,Milestones!$AA$62)&lt;=AsOfDate,IF($R20=0,$X20,IF(AND($T20&lt;&gt;"",EDATE($D20,Milestones!$AA$62)&gt;=$T20),$W20,IF(AND($S20&lt;&gt;"",EDATE($D20,Milestones!$AA$62)&gt;=$S20),$V20,$U20)))=Milestones!$AB$62),UPPER(TEXT(EDATE($D20,Milestones!$AA$62),"dd mmm yy"))&amp;" "&amp;Milestones!$AB$62&amp;" "&amp;Milestones!$AC$62&amp;";  ","")&amp;IF(AND(EDATE($D20,Milestones!$AA$63)&lt;=AsOfDate,IF($R20=0,$X20,IF(AND($T20&lt;&gt;"",EDATE($D20,Milestones!$AA$63)&gt;=$T20),$W20,IF(AND($S20&lt;&gt;"",EDATE($D20,Milestones!$AA$63)&gt;=$S20),$V20,$U20)))=Milestones!$AB$63),UPPER(TEXT(EDATE($D20,Milestones!$AA$63),"dd mmm yy"))&amp;" "&amp;Milestones!$AB$63&amp;" "&amp;Milestones!$AC$63&amp;";  ","")&amp;IF(AND(EDATE($D20,Milestones!$AA$64)&lt;=AsOfDate,IF($R20=0,$X20,IF(AND($T20&lt;&gt;"",EDATE($D20,Milestones!$AA$64)&gt;=$T20),$W20,IF(AND($S20&lt;&gt;"",EDATE($D20,Milestones!$AA$64)&gt;=$S20),$V20,$U20)))=Milestones!$AB$64),UPPER(TEXT(EDATE($D20,Milestones!$AA$64),"dd mmm yy"))&amp;" "&amp;Milestones!$AB$64&amp;" "&amp;Milestones!$AC$64&amp;";  ","")&amp;IF(AND(EDATE($D20,Milestones!$AA$65)&lt;=AsOfDate,IF($R20=0,$X20,IF(AND($T20&lt;&gt;"",EDATE($D20,Milestones!$AA$65)&gt;=$T20),$W20,IF(AND($S20&lt;&gt;"",EDATE($D20,Milestones!$AA$65)&gt;=$S20),$V20,$U20)))=Milestones!$AB$65),UPPER(TEXT(EDATE($D20,Milestones!$AA$65),"dd mmm yy"))&amp;" "&amp;Milestones!$AB$65&amp;" "&amp;Milestones!$AC$65&amp;";  ","")&amp;IF(AND(EDATE($D20,Milestones!$AA$66)&lt;=AsOfDate,IF($R20=0,$X20,IF(AND($T20&lt;&gt;"",EDATE($D20,Milestones!$AA$66)&gt;=$T20),$W20,IF(AND($S20&lt;&gt;"",EDATE($D20,Milestones!$AA$66)&gt;=$S20),$V20,$U20)))=Milestones!$AB$66),UPPER(TEXT(EDATE($D20,Milestones!$AA$66),"dd mmm yy"))&amp;" "&amp;Milestones!$AB$66&amp;" "&amp;Milestones!$AC$66&amp;";  ","")&amp;IF(AND(EDATE($D20,Milestones!$AA$67)&lt;=AsOfDate,IF($R20=0,$X20,IF(AND($T20&lt;&gt;"",EDATE($D20,Milestones!$AA$67)&gt;=$T20),$W20,IF(AND($S20&lt;&gt;"",EDATE($D20,Milestones!$AA$67)&gt;=$S20),$V20,$U20)))=Milestones!$AB$67),UPPER(TEXT(EDATE($D20,Milestones!$AA$67),"dd mmm yy"))&amp;" "&amp;Milestones!$AB$67&amp;" "&amp;Milestones!$AC$67&amp;";  ","")&amp;IF(AND(EDATE($D20,Milestones!$AA$68)&lt;=AsOfDate,IF($R20=0,$X20,IF(AND($T20&lt;&gt;"",EDATE($D20,Milestones!$AA$68)&gt;=$T20),$W20,IF(AND($S20&lt;&gt;"",EDATE($D20,Milestones!$AA$68)&gt;=$S20),$V20,$U20)))=Milestones!$AB$68),UPPER(TEXT(EDATE($D20,Milestones!$AA$68),"dd mmm yy"))&amp;" "&amp;Milestones!$AB$68&amp;" "&amp;Milestones!$AC$68&amp;";  ","")&amp;IF(AND(EDATE($D20,Milestones!$AA$69)&lt;=AsOfDate,IF($R20=0,$X20,IF(AND($T20&lt;&gt;"",EDATE($D20,Milestones!$AA$69)&gt;=$T20),$W20,IF(AND($S20&lt;&gt;"",EDATE($D20,Milestones!$AA$69)&gt;=$S20),$V20,$U20)))=Milestones!$AB$69),UPPER(TEXT(EDATE($D20,Milestones!$AA$69),"dd mmm yy"))&amp;" "&amp;Milestones!$AB$69&amp;" "&amp;Milestones!$AC$69&amp;";  ","")&amp;IF(AND(EDATE($D20,Milestones!$AA$70)&lt;=AsOfDate,IF($R20=0,$X20,IF(AND($T20&lt;&gt;"",EDATE($D20,Milestones!$AA$70)&gt;=$T20),$W20,IF(AND($S20&lt;&gt;"",EDATE($D20,Milestones!$AA$70)&gt;=$S20),$V20,$U20)))=Milestones!$AB$70),UPPER(TEXT(EDATE($D20,Milestones!$AA$70),"dd mmm yy"))&amp;" "&amp;Milestones!$AB$70&amp;" "&amp;Milestones!$AC$70&amp;";  ","")&amp;IF(AND(EDATE($D20,Milestones!$AA$71)&lt;=AsOfDate,IF($R20=0,$X20,IF(AND($T20&lt;&gt;"",EDATE($D20,Milestones!$AA$71)&gt;=$T20),$W20,IF(AND($S20&lt;&gt;"",EDATE($D20,Milestones!$AA$71)&gt;=$S20),$V20,$U20)))=Milestones!$AB$71),UPPER(TEXT(EDATE($D20,Milestones!$AA$71),"dd mmm yy"))&amp;" "&amp;Milestones!$AB$71&amp;" "&amp;Milestones!$AC$71&amp;";  ","")&amp;IF(AND(EDATE($D20,Milestones!$AA$72)&lt;=AsOfDate,IF($R20=0,$X20,IF(AND($T20&lt;&gt;"",EDATE($D20,Milestones!$AA$72)&gt;=$T20),$W20,IF(AND($S20&lt;&gt;"",EDATE($D20,Milestones!$AA$72)&gt;=$S20),$V20,$U20)))=Milestones!$AB$72),UPPER(TEXT(EDATE($D20,Milestones!$AA$72),"dd mmm yy"))&amp;" "&amp;Milestones!$AB$72&amp;" "&amp;Milestones!$AC$72&amp;";  ","")&amp;IF(AND(EDATE($D20,Milestones!$AA$73)&lt;=AsOfDate,IF($R20=0,$X20,IF(AND($T20&lt;&gt;"",EDATE($D20,Milestones!$AA$73)&gt;=$T20),$W20,IF(AND($S20&lt;&gt;"",EDATE($D20,Milestones!$AA$73)&gt;=$S20),$V20,$U20)))=Milestones!$AB$73),UPPER(TEXT(EDATE($D20,Milestones!$AA$73),"dd mmm yy"))&amp;" "&amp;Milestones!$AB$73&amp;" "&amp;Milestones!$AC$73&amp;";  ","")&amp;IF(AND(EDATE($D20,Milestones!$AA$74)&lt;=AsOfDate,IF($R20=0,$X20,IF(AND($T20&lt;&gt;"",EDATE($D20,Milestones!$AA$74)&gt;=$T20),$W20,IF(AND($S20&lt;&gt;"",EDATE($D20,Milestones!$AA$74)&gt;=$S20),$V20,$U20)))=Milestones!$AB$74),UPPER(TEXT(EDATE($D20,Milestones!$AA$74),"dd mmm yy"))&amp;" "&amp;Milestones!$AB$74&amp;" "&amp;Milestones!$AC$74&amp;";  ","")&amp;IF(AND(EDATE($D20,Milestones!$AA$75)&lt;=AsOfDate,IF($R20=0,$X20,IF(AND($T20&lt;&gt;"",EDATE($D20,Milestones!$AA$75)&gt;=$T20),$W20,IF(AND($S20&lt;&gt;"",EDATE($D20,Milestones!$AA$75)&gt;=$S20),$V20,$U20)))=Milestones!$AB$75),UPPER(TEXT(EDATE($D20,Milestones!$AA$75),"dd mmm yy"))&amp;" "&amp;Milestones!$AB$75&amp;" "&amp;Milestones!$AC$75&amp;";  ","")&amp;IF(AND(EDATE($D20,Milestones!$AA$76)&lt;=AsOfDate,IF($R20=0,$X20,IF(AND($T20&lt;&gt;"",EDATE($D20,Milestones!$AA$76)&gt;=$T20),$W20,IF(AND($S20&lt;&gt;"",EDATE($D20,Milestones!$AA$76)&gt;=$S20),$V20,$U20)))=Milestones!$AB$76),UPPER(TEXT(EDATE($D20,Milestones!$AA$76),"dd mmm yy"))&amp;" "&amp;Milestones!$AB$76&amp;" "&amp;Milestones!$AC$76&amp;";  ","")&amp;IF(AND(EDATE($D20,Milestones!$AA$77)&lt;=AsOfDate,IF($R20=0,$X20,IF(AND($T20&lt;&gt;"",EDATE($D20,Milestones!$AA$77)&gt;=$T20),$W20,IF(AND($S20&lt;&gt;"",EDATE($D20,Milestones!$AA$77)&gt;=$S20),$V20,$U20)))=Milestones!$AB$77),UPPER(TEXT(EDATE($D20,Milestones!$AA$77),"dd mmm yy"))&amp;" "&amp;Milestones!$AB$77&amp;" "&amp;Milestones!$AC$77&amp;";  ","")&amp;IF(AND(EDATE($D20,Milestones!$AA$78)&lt;=AsOfDate,IF($R20=0,$X20,IF(AND($T20&lt;&gt;"",EDATE($D20,Milestones!$AA$78)&gt;=$T20),$W20,IF(AND($S20&lt;&gt;"",EDATE($D20,Milestones!$AA$78)&gt;=$S20),$V20,$U20)))=Milestones!$AB$78),UPPER(TEXT(EDATE($D20,Milestones!$AA$78),"dd mmm yy"))&amp;" "&amp;Milestones!$AB$78&amp;" "&amp;Milestones!$AC$78&amp;";  ","")&amp;IF(AND(EDATE($D20,Milestones!$AA$79)&lt;=AsOfDate,IF($R20=0,$X20,IF(AND($T20&lt;&gt;"",EDATE($D20,Milestones!$AA$79)&gt;=$T20),$W20,IF(AND($S20&lt;&gt;"",EDATE($D20,Milestones!$AA$79)&gt;=$S20),$V20,$U20)))=Milestones!$AB$79),UPPER(TEXT(EDATE($D20,Milestones!$AA$79),"dd mmm yy"))&amp;" "&amp;Milestones!$AB$79&amp;" "&amp;Milestones!$AC$79&amp;";  ",""))</f>
        <v>29 APR 23 FT 1;  29 JUL 23 FT 2;  29 OCT 23 FT 1;  29 JAN 24 FT 1;  29 APR 24 FT 1;  29 JUL 24 FT 2;  29 OCT 24 FT 1;  29 JAN 25 FT 1;  29 APR 25 FT 1;  29 JUL 25 FT 2;  29 OCT 25 FT 1;  29 JAN 26 FT 1;  </v>
      </c>
      <c r="L20" s="0" t="str">
        <f aca="false">IF(OR($A20="",$D20=""),"",IF(AND(EDATE($D20,Milestones!$AA$80)&lt;=AsOfDate,IF($R20=0,$X20,IF(AND($T20&lt;&gt;"",EDATE($D20,Milestones!$AA$80)&gt;=$T20),$W20,IF(AND($S20&lt;&gt;"",EDATE($D20,Milestones!$AA$80)&gt;=$S20),$V20,$U20)))=Milestones!$AB$80),UPPER(TEXT(EDATE($D20,Milestones!$AA$80),"dd mmm yy"))&amp;" "&amp;Milestones!$AB$80&amp;" "&amp;Milestones!$AC$80&amp;";  ","")&amp;IF(AND(EDATE($D20,Milestones!$AA$81)&lt;=AsOfDate,IF($R20=0,$X20,IF(AND($T20&lt;&gt;"",EDATE($D20,Milestones!$AA$81)&gt;=$T20),$W20,IF(AND($S20&lt;&gt;"",EDATE($D20,Milestones!$AA$81)&gt;=$S20),$V20,$U20)))=Milestones!$AB$81),UPPER(TEXT(EDATE($D20,Milestones!$AA$81),"dd mmm yy"))&amp;" "&amp;Milestones!$AB$81&amp;" "&amp;Milestones!$AC$81&amp;";  ","")&amp;IF(AND(EDATE($D20,Milestones!$AA$82)&lt;=AsOfDate,IF($R20=0,$X20,IF(AND($T20&lt;&gt;"",EDATE($D20,Milestones!$AA$82)&gt;=$T20),$W20,IF(AND($S20&lt;&gt;"",EDATE($D20,Milestones!$AA$82)&gt;=$S20),$V20,$U20)))=Milestones!$AB$82),UPPER(TEXT(EDATE($D20,Milestones!$AA$82),"dd mmm yy"))&amp;" "&amp;Milestones!$AB$82&amp;" "&amp;Milestones!$AC$82&amp;";  ","")&amp;IF(AND(EDATE($D20,Milestones!$AA$83)&lt;=AsOfDate,IF($R20=0,$X20,IF(AND($T20&lt;&gt;"",EDATE($D20,Milestones!$AA$83)&gt;=$T20),$W20,IF(AND($S20&lt;&gt;"",EDATE($D20,Milestones!$AA$83)&gt;=$S20),$V20,$U20)))=Milestones!$AB$83),UPPER(TEXT(EDATE($D20,Milestones!$AA$83),"dd mmm yy"))&amp;" "&amp;Milestones!$AB$83&amp;" "&amp;Milestones!$AC$83&amp;";  ","")&amp;IF(AND(EDATE($D20,Milestones!$AA$84)&lt;=AsOfDate,IF($R20=0,$X20,IF(AND($T20&lt;&gt;"",EDATE($D20,Milestones!$AA$84)&gt;=$T20),$W20,IF(AND($S20&lt;&gt;"",EDATE($D20,Milestones!$AA$84)&gt;=$S20),$V20,$U20)))=Milestones!$AB$84),UPPER(TEXT(EDATE($D20,Milestones!$AA$84),"dd mmm yy"))&amp;" "&amp;Milestones!$AB$84&amp;" "&amp;Milestones!$AC$84&amp;";  ","")&amp;IF(AND(EDATE($D20,Milestones!$AA$85)&lt;=AsOfDate,IF($R20=0,$X20,IF(AND($T20&lt;&gt;"",EDATE($D20,Milestones!$AA$85)&gt;=$T20),$W20,IF(AND($S20&lt;&gt;"",EDATE($D20,Milestones!$AA$85)&gt;=$S20),$V20,$U20)))=Milestones!$AB$85),UPPER(TEXT(EDATE($D20,Milestones!$AA$85),"dd mmm yy"))&amp;" "&amp;Milestones!$AB$85&amp;" "&amp;Milestones!$AC$85&amp;";  ","")&amp;IF(AND(EDATE($D20,Milestones!$AA$86)&lt;=AsOfDate,IF($R20=0,$X20,IF(AND($T20&lt;&gt;"",EDATE($D20,Milestones!$AA$86)&gt;=$T20),$W20,IF(AND($S20&lt;&gt;"",EDATE($D20,Milestones!$AA$86)&gt;=$S20),$V20,$U20)))=Milestones!$AB$86),UPPER(TEXT(EDATE($D20,Milestones!$AA$86),"dd mmm yy"))&amp;" "&amp;Milestones!$AB$86&amp;" "&amp;Milestones!$AC$86&amp;";  ","")&amp;IF(AND(EDATE($D20,Milestones!$AA$87)&lt;=AsOfDate,IF($R20=0,$X20,IF(AND($T20&lt;&gt;"",EDATE($D20,Milestones!$AA$87)&gt;=$T20),$W20,IF(AND($S20&lt;&gt;"",EDATE($D20,Milestones!$AA$87)&gt;=$S20),$V20,$U20)))=Milestones!$AB$87),UPPER(TEXT(EDATE($D20,Milestones!$AA$87),"dd mmm yy"))&amp;" "&amp;Milestones!$AB$87&amp;" "&amp;Milestones!$AC$87&amp;";  ","")&amp;IF(AND(EDATE($D20,Milestones!$AA$88)&lt;=AsOfDate,IF($R20=0,$X20,IF(AND($T20&lt;&gt;"",EDATE($D20,Milestones!$AA$88)&gt;=$T20),$W20,IF(AND($S20&lt;&gt;"",EDATE($D20,Milestones!$AA$88)&gt;=$S20),$V20,$U20)))=Milestones!$AB$88),UPPER(TEXT(EDATE($D20,Milestones!$AA$88),"dd mmm yy"))&amp;" "&amp;Milestones!$AB$88&amp;" "&amp;Milestones!$AC$88&amp;";  ","")&amp;IF(AND(EDATE($D20,Milestones!$AA$89)&lt;=AsOfDate,IF($R20=0,$X20,IF(AND($T20&lt;&gt;"",EDATE($D20,Milestones!$AA$89)&gt;=$T20),$W20,IF(AND($S20&lt;&gt;"",EDATE($D20,Milestones!$AA$89)&gt;=$S20),$V20,$U20)))=Milestones!$AB$89),UPPER(TEXT(EDATE($D20,Milestones!$AA$89),"dd mmm yy"))&amp;" "&amp;Milestones!$AB$89&amp;" "&amp;Milestones!$AC$89&amp;";  ","")&amp;IF(AND(EDATE($D20,Milestones!$AA$90)&lt;=AsOfDate,IF($R20=0,$X20,IF(AND($T20&lt;&gt;"",EDATE($D20,Milestones!$AA$90)&gt;=$T20),$W20,IF(AND($S20&lt;&gt;"",EDATE($D20,Milestones!$AA$90)&gt;=$S20),$V20,$U20)))=Milestones!$AB$90),UPPER(TEXT(EDATE($D20,Milestones!$AA$90),"dd mmm yy"))&amp;" "&amp;Milestones!$AB$90&amp;" "&amp;Milestones!$AC$90&amp;";  ","")&amp;IF(AND(EDATE($D20,Milestones!$AA$91)&lt;=AsOfDate,IF($R20=0,$X20,IF(AND($T20&lt;&gt;"",EDATE($D20,Milestones!$AA$91)&gt;=$T20),$W20,IF(AND($S20&lt;&gt;"",EDATE($D20,Milestones!$AA$91)&gt;=$S20),$V20,$U20)))=Milestones!$AB$91),UPPER(TEXT(EDATE($D20,Milestones!$AA$91),"dd mmm yy"))&amp;" "&amp;Milestones!$AB$91&amp;" "&amp;Milestones!$AC$91&amp;";  ","")&amp;IF(AND(EDATE($D20,Milestones!$AA$92)&lt;=AsOfDate,IF($R20=0,$X20,IF(AND($T20&lt;&gt;"",EDATE($D20,Milestones!$AA$92)&gt;=$T20),$W20,IF(AND($S20&lt;&gt;"",EDATE($D20,Milestones!$AA$92)&gt;=$S20),$V20,$U20)))=Milestones!$AB$92),UPPER(TEXT(EDATE($D20,Milestones!$AA$92),"dd mmm yy"))&amp;" "&amp;Milestones!$AB$92&amp;" "&amp;Milestones!$AC$92&amp;";  ","")&amp;IF(AND(EDATE($D20,Milestones!$AA$93)&lt;=AsOfDate,IF($R20=0,$X20,IF(AND($T20&lt;&gt;"",EDATE($D20,Milestones!$AA$93)&gt;=$T20),$W20,IF(AND($S20&lt;&gt;"",EDATE($D20,Milestones!$AA$93)&gt;=$S20),$V20,$U20)))=Milestones!$AB$93),UPPER(TEXT(EDATE($D20,Milestones!$AA$93),"dd mmm yy"))&amp;" "&amp;Milestones!$AB$93&amp;" "&amp;Milestones!$AC$93&amp;";  ","")&amp;IF(AND(EDATE($D20,Milestones!$AA$94)&lt;=AsOfDate,IF($R20=0,$X20,IF(AND($T20&lt;&gt;"",EDATE($D20,Milestones!$AA$94)&gt;=$T20),$W20,IF(AND($S20&lt;&gt;"",EDATE($D20,Milestones!$AA$94)&gt;=$S20),$V20,$U20)))=Milestones!$AB$94),UPPER(TEXT(EDATE($D20,Milestones!$AA$94),"dd mmm yy"))&amp;" "&amp;Milestones!$AB$94&amp;" "&amp;Milestones!$AC$94&amp;";  ","")&amp;IF(AND(EDATE($D20,Milestones!$AA$95)&lt;=AsOfDate,IF($R20=0,$X20,IF(AND($T20&lt;&gt;"",EDATE($D20,Milestones!$AA$95)&gt;=$T20),$W20,IF(AND($S20&lt;&gt;"",EDATE($D20,Milestones!$AA$95)&gt;=$S20),$V20,$U20)))=Milestones!$AB$95),UPPER(TEXT(EDATE($D20,Milestones!$AA$95),"dd mmm yy"))&amp;" "&amp;Milestones!$AB$95&amp;" "&amp;Milestones!$AC$95&amp;";  ","")&amp;IF(AND(EDATE($D20,Milestones!$AA$96)&lt;=AsOfDate,IF($R20=0,$X20,IF(AND($T20&lt;&gt;"",EDATE($D20,Milestones!$AA$96)&gt;=$T20),$W20,IF(AND($S20&lt;&gt;"",EDATE($D20,Milestones!$AA$96)&gt;=$S20),$V20,$U20)))=Milestones!$AB$96),UPPER(TEXT(EDATE($D20,Milestones!$AA$96),"dd mmm yy"))&amp;" "&amp;Milestones!$AB$96&amp;" "&amp;Milestones!$AC$96&amp;";  ","")&amp;IF(AND(EDATE($D20,Milestones!$AA$97)&lt;=AsOfDate,IF($R20=0,$X20,IF(AND($T20&lt;&gt;"",EDATE($D20,Milestones!$AA$97)&gt;=$T20),$W20,IF(AND($S20&lt;&gt;"",EDATE($D20,Milestones!$AA$97)&gt;=$S20),$V20,$U20)))=Milestones!$AB$97),UPPER(TEXT(EDATE($D20,Milestones!$AA$97),"dd mmm yy"))&amp;" "&amp;Milestones!$AB$97&amp;" "&amp;Milestones!$AC$97&amp;";  ","")&amp;IF(AND(EDATE($D20,Milestones!$AA$98)&lt;=AsOfDate,IF($R20=0,$X20,IF(AND($T20&lt;&gt;"",EDATE($D20,Milestones!$AA$98)&gt;=$T20),$W20,IF(AND($S20&lt;&gt;"",EDATE($D20,Milestones!$AA$98)&gt;=$S20),$V20,$U20)))=Milestones!$AB$98),UPPER(TEXT(EDATE($D20,Milestones!$AA$98),"dd mmm yy"))&amp;" "&amp;Milestones!$AB$98&amp;" "&amp;Milestones!$AC$98&amp;";  ","")&amp;IF(AND(EDATE($D20,Milestones!$AA$99)&lt;=AsOfDate,IF($R20=0,$X20,IF(AND($T20&lt;&gt;"",EDATE($D20,Milestones!$AA$99)&gt;=$T20),$W20,IF(AND($S20&lt;&gt;"",EDATE($D20,Milestones!$AA$99)&gt;=$S20),$V20,$U20)))=Milestones!$AB$99),UPPER(TEXT(EDATE($D20,Milestones!$AA$99),"dd mmm yy"))&amp;" "&amp;Milestones!$AB$99&amp;" "&amp;Milestones!$AC$99&amp;";  ",""))</f>
        <v>29 APR 26 FT 1;  29 JUL 26 FT 2;  </v>
      </c>
      <c r="M20" s="0" t="str">
        <f aca="false">IF(OR($A20="",$D20=""),"",IF(AND(EDATE($D20,Milestones!$AA$100)&lt;=AsOfDate,IF($R20=0,$X20,IF(AND($T20&lt;&gt;"",EDATE($D20,Milestones!$AA$100)&gt;=$T20),$W20,IF(AND($S20&lt;&gt;"",EDATE($D20,Milestones!$AA$100)&gt;=$S20),$V20,$U20)))=Milestones!$AB$100),UPPER(TEXT(EDATE($D20,Milestones!$AA$100),"dd mmm yy"))&amp;" "&amp;Milestones!$AB$100&amp;" "&amp;Milestones!$AC$100&amp;";  ","")&amp;IF(AND(EDATE($D20,Milestones!$AA$101)&lt;=AsOfDate,IF($R20=0,$X20,IF(AND($T20&lt;&gt;"",EDATE($D20,Milestones!$AA$101)&gt;=$T20),$W20,IF(AND($S20&lt;&gt;"",EDATE($D20,Milestones!$AA$101)&gt;=$S20),$V20,$U20)))=Milestones!$AB$101),UPPER(TEXT(EDATE($D20,Milestones!$AA$101),"dd mmm yy"))&amp;" "&amp;Milestones!$AB$101&amp;" "&amp;Milestones!$AC$101&amp;";  ","")&amp;IF(AND(EDATE($D20,Milestones!$AA$102)&lt;=AsOfDate,IF($R20=0,$X20,IF(AND($T20&lt;&gt;"",EDATE($D20,Milestones!$AA$102)&gt;=$T20),$W20,IF(AND($S20&lt;&gt;"",EDATE($D20,Milestones!$AA$102)&gt;=$S20),$V20,$U20)))=Milestones!$AB$102),UPPER(TEXT(EDATE($D20,Milestones!$AA$102),"dd mmm yy"))&amp;" "&amp;Milestones!$AB$102&amp;" "&amp;Milestones!$AC$102&amp;";  ","")&amp;IF(AND(EDATE($D20,Milestones!$AA$103)&lt;=AsOfDate,IF($R20=0,$X20,IF(AND($T20&lt;&gt;"",EDATE($D20,Milestones!$AA$103)&gt;=$T20),$W20,IF(AND($S20&lt;&gt;"",EDATE($D20,Milestones!$AA$103)&gt;=$S20),$V20,$U20)))=Milestones!$AB$103),UPPER(TEXT(EDATE($D20,Milestones!$AA$103),"dd mmm yy"))&amp;" "&amp;Milestones!$AB$103&amp;" "&amp;Milestones!$AC$103&amp;";  ","")&amp;IF(AND(EDATE($D20,Milestones!$AA$104)&lt;=AsOfDate,IF($R20=0,$X20,IF(AND($T20&lt;&gt;"",EDATE($D20,Milestones!$AA$104)&gt;=$T20),$W20,IF(AND($S20&lt;&gt;"",EDATE($D20,Milestones!$AA$104)&gt;=$S20),$V20,$U20)))=Milestones!$AB$104),UPPER(TEXT(EDATE($D20,Milestones!$AA$104),"dd mmm yy"))&amp;" "&amp;Milestones!$AB$104&amp;" "&amp;Milestones!$AC$104&amp;";  ","")&amp;IF(AND(EDATE($D20,Milestones!$AA$105)&lt;=AsOfDate,IF($R20=0,$X20,IF(AND($T20&lt;&gt;"",EDATE($D20,Milestones!$AA$105)&gt;=$T20),$W20,IF(AND($S20&lt;&gt;"",EDATE($D20,Milestones!$AA$105)&gt;=$S20),$V20,$U20)))=Milestones!$AB$105),UPPER(TEXT(EDATE($D20,Milestones!$AA$105),"dd mmm yy"))&amp;" "&amp;Milestones!$AB$105&amp;" "&amp;Milestones!$AC$105&amp;";  ","")&amp;IF(AND(EDATE($D20,Milestones!$AA$106)&lt;=AsOfDate,IF($R20=0,$X20,IF(AND($T20&lt;&gt;"",EDATE($D20,Milestones!$AA$106)&gt;=$T20),$W20,IF(AND($S20&lt;&gt;"",EDATE($D20,Milestones!$AA$106)&gt;=$S20),$V20,$U20)))=Milestones!$AB$106),UPPER(TEXT(EDATE($D20,Milestones!$AA$106),"dd mmm yy"))&amp;" "&amp;Milestones!$AB$106&amp;" "&amp;Milestones!$AC$106&amp;";  ","")&amp;IF(AND(EDATE($D20,Milestones!$AA$107)&lt;=AsOfDate,IF($R20=0,$X20,IF(AND($T20&lt;&gt;"",EDATE($D20,Milestones!$AA$107)&gt;=$T20),$W20,IF(AND($S20&lt;&gt;"",EDATE($D20,Milestones!$AA$107)&gt;=$S20),$V20,$U20)))=Milestones!$AB$107),UPPER(TEXT(EDATE($D20,Milestones!$AA$107),"dd mmm yy"))&amp;" "&amp;Milestones!$AB$107&amp;" "&amp;Milestones!$AC$107&amp;";  ","")&amp;IF(AND(EDATE($D20,Milestones!$AA$108)&lt;=AsOfDate,IF($R20=0,$X20,IF(AND($T20&lt;&gt;"",EDATE($D20,Milestones!$AA$108)&gt;=$T20),$W20,IF(AND($S20&lt;&gt;"",EDATE($D20,Milestones!$AA$108)&gt;=$S20),$V20,$U20)))=Milestones!$AB$108),UPPER(TEXT(EDATE($D20,Milestones!$AA$108),"dd mmm yy"))&amp;" "&amp;Milestones!$AB$108&amp;" "&amp;Milestones!$AC$108&amp;";  ","")&amp;IF(AND(EDATE($D20,Milestones!$AA$109)&lt;=AsOfDate,IF($R20=0,$X20,IF(AND($T20&lt;&gt;"",EDATE($D20,Milestones!$AA$109)&gt;=$T20),$W20,IF(AND($S20&lt;&gt;"",EDATE($D20,Milestones!$AA$109)&gt;=$S20),$V20,$U20)))=Milestones!$AB$109),UPPER(TEXT(EDATE($D20,Milestones!$AA$109),"dd mmm yy"))&amp;" "&amp;Milestones!$AB$109&amp;" "&amp;Milestones!$AC$109&amp;";  ","")&amp;IF(AND(EDATE($D20,Milestones!$AA$110)&lt;=AsOfDate,IF($R20=0,$X20,IF(AND($T20&lt;&gt;"",EDATE($D20,Milestones!$AA$110)&gt;=$T20),$W20,IF(AND($S20&lt;&gt;"",EDATE($D20,Milestones!$AA$110)&gt;=$S20),$V20,$U20)))=Milestones!$AB$110),UPPER(TEXT(EDATE($D20,Milestones!$AA$110),"dd mmm yy"))&amp;" "&amp;Milestones!$AB$110&amp;" "&amp;Milestones!$AC$110&amp;";  ","")&amp;IF(AND(EDATE($D20,Milestones!$AA$111)&lt;=AsOfDate,IF($R20=0,$X20,IF(AND($T20&lt;&gt;"",EDATE($D20,Milestones!$AA$111)&gt;=$T20),$W20,IF(AND($S20&lt;&gt;"",EDATE($D20,Milestones!$AA$111)&gt;=$S20),$V20,$U20)))=Milestones!$AB$111),UPPER(TEXT(EDATE($D20,Milestones!$AA$111),"dd mmm yy"))&amp;" "&amp;Milestones!$AB$111&amp;" "&amp;Milestones!$AC$111&amp;";  ","")&amp;IF(AND(EDATE($D20,Milestones!$AA$112)&lt;=AsOfDate,IF($R20=0,$X20,IF(AND($T20&lt;&gt;"",EDATE($D20,Milestones!$AA$112)&gt;=$T20),$W20,IF(AND($S20&lt;&gt;"",EDATE($D20,Milestones!$AA$112)&gt;=$S20),$V20,$U20)))=Milestones!$AB$112),UPPER(TEXT(EDATE($D20,Milestones!$AA$112),"dd mmm yy"))&amp;" "&amp;Milestones!$AB$112&amp;" "&amp;Milestones!$AC$112&amp;";  ","")&amp;IF(AND(EDATE($D20,Milestones!$AA$113)&lt;=AsOfDate,IF($R20=0,$X20,IF(AND($T20&lt;&gt;"",EDATE($D20,Milestones!$AA$113)&gt;=$T20),$W20,IF(AND($S20&lt;&gt;"",EDATE($D20,Milestones!$AA$113)&gt;=$S20),$V20,$U20)))=Milestones!$AB$113),UPPER(TEXT(EDATE($D20,Milestones!$AA$113),"dd mmm yy"))&amp;" "&amp;Milestones!$AB$113&amp;" "&amp;Milestones!$AC$113&amp;";  ","")&amp;IF(AND(EDATE($D20,Milestones!$AA$114)&lt;=AsOfDate,IF($R20=0,$X20,IF(AND($T20&lt;&gt;"",EDATE($D20,Milestones!$AA$114)&gt;=$T20),$W20,IF(AND($S20&lt;&gt;"",EDATE($D20,Milestones!$AA$114)&gt;=$S20),$V20,$U20)))=Milestones!$AB$114),UPPER(TEXT(EDATE($D20,Milestones!$AA$114),"dd mmm yy"))&amp;" "&amp;Milestones!$AB$114&amp;" "&amp;Milestones!$AC$114&amp;";  ","")&amp;IF(AND(EDATE($D20,Milestones!$AA$115)&lt;=AsOfDate,IF($R20=0,$X20,IF(AND($T20&lt;&gt;"",EDATE($D20,Milestones!$AA$115)&gt;=$T20),$W20,IF(AND($S20&lt;&gt;"",EDATE($D20,Milestones!$AA$115)&gt;=$S20),$V20,$U20)))=Milestones!$AB$115),UPPER(TEXT(EDATE($D20,Milestones!$AA$115),"dd mmm yy"))&amp;" "&amp;Milestones!$AB$115&amp;" "&amp;Milestones!$AC$115&amp;";  ","")&amp;IF(AND(EDATE($D20,Milestones!$AA$116)&lt;=AsOfDate,IF($R20=0,$X20,IF(AND($T20&lt;&gt;"",EDATE($D20,Milestones!$AA$116)&gt;=$T20),$W20,IF(AND($S20&lt;&gt;"",EDATE($D20,Milestones!$AA$116)&gt;=$S20),$V20,$U20)))=Milestones!$AB$116),UPPER(TEXT(EDATE($D20,Milestones!$AA$116),"dd mmm yy"))&amp;" "&amp;Milestones!$AB$116&amp;" "&amp;Milestones!$AC$116&amp;";  ","")&amp;IF(AND(EDATE($D20,Milestones!$AA$117)&lt;=AsOfDate,IF($R20=0,$X20,IF(AND($T20&lt;&gt;"",EDATE($D20,Milestones!$AA$117)&gt;=$T20),$W20,IF(AND($S20&lt;&gt;"",EDATE($D20,Milestones!$AA$117)&gt;=$S20),$V20,$U20)))=Milestones!$AB$117),UPPER(TEXT(EDATE($D20,Milestones!$AA$117),"dd mmm yy"))&amp;" "&amp;Milestones!$AB$117&amp;" "&amp;Milestones!$AC$117&amp;";  ","")&amp;IF(AND(EDATE($D20,Milestones!$AA$118)&lt;=AsOfDate,IF($R20=0,$X20,IF(AND($T20&lt;&gt;"",EDATE($D20,Milestones!$AA$118)&gt;=$T20),$W20,IF(AND($S20&lt;&gt;"",EDATE($D20,Milestones!$AA$118)&gt;=$S20),$V20,$U20)))=Milestones!$AB$118),UPPER(TEXT(EDATE($D20,Milestones!$AA$118),"dd mmm yy"))&amp;" "&amp;Milestones!$AB$118&amp;" "&amp;Milestones!$AC$118&amp;";  ","")&amp;IF(AND(EDATE($D20,Milestones!$AA$119)&lt;=AsOfDate,IF($R20=0,$X20,IF(AND($T20&lt;&gt;"",EDATE($D20,Milestones!$AA$119)&gt;=$T20),$W20,IF(AND($S20&lt;&gt;"",EDATE($D20,Milestones!$AA$119)&gt;=$S20),$V20,$U20)))=Milestones!$AB$119),UPPER(TEXT(EDATE($D20,Milestones!$AA$119),"dd mmm yy"))&amp;" "&amp;Milestones!$AB$119&amp;" "&amp;Milestones!$AC$119&amp;";  ",""))</f>
        <v/>
      </c>
      <c r="N20" s="0" t="str">
        <f aca="false">IF(OR($A20="",$D20=""),"",IF(AND(EDATE($D20,Milestones!$AA$120)&lt;=AsOfDate,IF($R20=0,$X20,IF(AND($T20&lt;&gt;"",EDATE($D20,Milestones!$AA$120)&gt;=$T20),$W20,IF(AND($S20&lt;&gt;"",EDATE($D20,Milestones!$AA$120)&gt;=$S20),$V20,$U20)))=Milestones!$AB$120),UPPER(TEXT(EDATE($D20,Milestones!$AA$120),"dd mmm yy"))&amp;" "&amp;Milestones!$AB$120&amp;" "&amp;Milestones!$AC$120&amp;";  ","")&amp;IF(AND(EDATE($D20,Milestones!$AA$121)&lt;=AsOfDate,IF($R20=0,$X20,IF(AND($T20&lt;&gt;"",EDATE($D20,Milestones!$AA$121)&gt;=$T20),$W20,IF(AND($S20&lt;&gt;"",EDATE($D20,Milestones!$AA$121)&gt;=$S20),$V20,$U20)))=Milestones!$AB$121),UPPER(TEXT(EDATE($D20,Milestones!$AA$121),"dd mmm yy"))&amp;" "&amp;Milestones!$AB$121&amp;" "&amp;Milestones!$AC$121&amp;";  ","")&amp;IF(AND(EDATE($D20,Milestones!$AA$122)&lt;=AsOfDate,IF($R20=0,$X20,IF(AND($T20&lt;&gt;"",EDATE($D20,Milestones!$AA$122)&gt;=$T20),$W20,IF(AND($S20&lt;&gt;"",EDATE($D20,Milestones!$AA$122)&gt;=$S20),$V20,$U20)))=Milestones!$AB$122),UPPER(TEXT(EDATE($D20,Milestones!$AA$122),"dd mmm yy"))&amp;" "&amp;Milestones!$AB$122&amp;" "&amp;Milestones!$AC$122&amp;";  ","")&amp;IF(AND(EDATE($D20,Milestones!$AA$123)&lt;=AsOfDate,IF($R20=0,$X20,IF(AND($T20&lt;&gt;"",EDATE($D20,Milestones!$AA$123)&gt;=$T20),$W20,IF(AND($S20&lt;&gt;"",EDATE($D20,Milestones!$AA$123)&gt;=$S20),$V20,$U20)))=Milestones!$AB$123),UPPER(TEXT(EDATE($D20,Milestones!$AA$123),"dd mmm yy"))&amp;" "&amp;Milestones!$AB$123&amp;" "&amp;Milestones!$AC$123&amp;";  ","")&amp;IF(AND(EDATE($D20,Milestones!$AA$124)&lt;=AsOfDate,IF($R20=0,$X20,IF(AND($T20&lt;&gt;"",EDATE($D20,Milestones!$AA$124)&gt;=$T20),$W20,IF(AND($S20&lt;&gt;"",EDATE($D20,Milestones!$AA$124)&gt;=$S20),$V20,$U20)))=Milestones!$AB$124),UPPER(TEXT(EDATE($D20,Milestones!$AA$124),"dd mmm yy"))&amp;" "&amp;Milestones!$AB$124&amp;" "&amp;Milestones!$AC$124&amp;";  ","")&amp;IF(AND(EDATE($D20,Milestones!$AA$125)&lt;=AsOfDate,IF($R20=0,$X20,IF(AND($T20&lt;&gt;"",EDATE($D20,Milestones!$AA$125)&gt;=$T20),$W20,IF(AND($S20&lt;&gt;"",EDATE($D20,Milestones!$AA$125)&gt;=$S20),$V20,$U20)))=Milestones!$AB$125),UPPER(TEXT(EDATE($D20,Milestones!$AA$125),"dd mmm yy"))&amp;" "&amp;Milestones!$AB$125&amp;" "&amp;Milestones!$AC$125&amp;";  ","")&amp;IF(AND(EDATE($D20,Milestones!$AA$126)&lt;=AsOfDate,IF($R20=0,$X20,IF(AND($T20&lt;&gt;"",EDATE($D20,Milestones!$AA$126)&gt;=$T20),$W20,IF(AND($S20&lt;&gt;"",EDATE($D20,Milestones!$AA$126)&gt;=$S20),$V20,$U20)))=Milestones!$AB$126),UPPER(TEXT(EDATE($D20,Milestones!$AA$126),"dd mmm yy"))&amp;" "&amp;Milestones!$AB$126&amp;" "&amp;Milestones!$AC$126&amp;";  ","")&amp;IF(AND(EDATE($D20,Milestones!$AA$127)&lt;=AsOfDate,IF($R20=0,$X20,IF(AND($T20&lt;&gt;"",EDATE($D20,Milestones!$AA$127)&gt;=$T20),$W20,IF(AND($S20&lt;&gt;"",EDATE($D20,Milestones!$AA$127)&gt;=$S20),$V20,$U20)))=Milestones!$AB$127),UPPER(TEXT(EDATE($D20,Milestones!$AA$127),"dd mmm yy"))&amp;" "&amp;Milestones!$AB$127&amp;" "&amp;Milestones!$AC$127&amp;";  ","")&amp;IF(AND(EDATE($D20,Milestones!$AA$128)&lt;=AsOfDate,IF($R20=0,$X20,IF(AND($T20&lt;&gt;"",EDATE($D20,Milestones!$AA$128)&gt;=$T20),$W20,IF(AND($S20&lt;&gt;"",EDATE($D20,Milestones!$AA$128)&gt;=$S20),$V20,$U20)))=Milestones!$AB$128),UPPER(TEXT(EDATE($D20,Milestones!$AA$128),"dd mmm yy"))&amp;" "&amp;Milestones!$AB$128&amp;" "&amp;Milestones!$AC$128&amp;";  ","")&amp;IF(AND(EDATE($D20,Milestones!$AA$129)&lt;=AsOfDate,IF($R20=0,$X20,IF(AND($T20&lt;&gt;"",EDATE($D20,Milestones!$AA$129)&gt;=$T20),$W20,IF(AND($S20&lt;&gt;"",EDATE($D20,Milestones!$AA$129)&gt;=$S20),$V20,$U20)))=Milestones!$AB$129),UPPER(TEXT(EDATE($D20,Milestones!$AA$129),"dd mmm yy"))&amp;" "&amp;Milestones!$AB$129&amp;" "&amp;Milestones!$AC$129&amp;";  ","")&amp;IF(AND(EDATE($D20,Milestones!$AA$130)&lt;=AsOfDate,IF($R20=0,$X20,IF(AND($T20&lt;&gt;"",EDATE($D20,Milestones!$AA$130)&gt;=$T20),$W20,IF(AND($S20&lt;&gt;"",EDATE($D20,Milestones!$AA$130)&gt;=$S20),$V20,$U20)))=Milestones!$AB$130),UPPER(TEXT(EDATE($D20,Milestones!$AA$130),"dd mmm yy"))&amp;" "&amp;Milestones!$AB$130&amp;" "&amp;Milestones!$AC$130&amp;";  ","")&amp;IF(AND(EDATE($D20,Milestones!$AA$131)&lt;=AsOfDate,IF($R20=0,$X20,IF(AND($T20&lt;&gt;"",EDATE($D20,Milestones!$AA$131)&gt;=$T20),$W20,IF(AND($S20&lt;&gt;"",EDATE($D20,Milestones!$AA$131)&gt;=$S20),$V20,$U20)))=Milestones!$AB$131),UPPER(TEXT(EDATE($D20,Milestones!$AA$131),"dd mmm yy"))&amp;" "&amp;Milestones!$AB$131&amp;" "&amp;Milestones!$AC$131&amp;";  ","")&amp;IF(AND(EDATE($D20,Milestones!$AA$132)&lt;=AsOfDate,IF($R20=0,$X20,IF(AND($T20&lt;&gt;"",EDATE($D20,Milestones!$AA$132)&gt;=$T20),$W20,IF(AND($S20&lt;&gt;"",EDATE($D20,Milestones!$AA$132)&gt;=$S20),$V20,$U20)))=Milestones!$AB$132),UPPER(TEXT(EDATE($D20,Milestones!$AA$132),"dd mmm yy"))&amp;" "&amp;Milestones!$AB$132&amp;" "&amp;Milestones!$AC$132&amp;";  ","")&amp;IF(AND(EDATE($D20,Milestones!$AA$133)&lt;=AsOfDate,IF($R20=0,$X20,IF(AND($T20&lt;&gt;"",EDATE($D20,Milestones!$AA$133)&gt;=$T20),$W20,IF(AND($S20&lt;&gt;"",EDATE($D20,Milestones!$AA$133)&gt;=$S20),$V20,$U20)))=Milestones!$AB$133),UPPER(TEXT(EDATE($D20,Milestones!$AA$133),"dd mmm yy"))&amp;" "&amp;Milestones!$AB$133&amp;" "&amp;Milestones!$AC$133&amp;";  ","")&amp;IF(AND(EDATE($D20,Milestones!$AA$134)&lt;=AsOfDate,IF($R20=0,$X20,IF(AND($T20&lt;&gt;"",EDATE($D20,Milestones!$AA$134)&gt;=$T20),$W20,IF(AND($S20&lt;&gt;"",EDATE($D20,Milestones!$AA$134)&gt;=$S20),$V20,$U20)))=Milestones!$AB$134),UPPER(TEXT(EDATE($D20,Milestones!$AA$134),"dd mmm yy"))&amp;" "&amp;Milestones!$AB$134&amp;" "&amp;Milestones!$AC$134&amp;";  ","")&amp;IF(AND(EDATE($D20,Milestones!$AA$135)&lt;=AsOfDate,IF($R20=0,$X20,IF(AND($T20&lt;&gt;"",EDATE($D20,Milestones!$AA$135)&gt;=$T20),$W20,IF(AND($S20&lt;&gt;"",EDATE($D20,Milestones!$AA$135)&gt;=$S20),$V20,$U20)))=Milestones!$AB$135),UPPER(TEXT(EDATE($D20,Milestones!$AA$135),"dd mmm yy"))&amp;" "&amp;Milestones!$AB$135&amp;" "&amp;Milestones!$AC$135&amp;";  ","")&amp;IF(AND(EDATE($D20,Milestones!$AA$136)&lt;=AsOfDate,IF($R20=0,$X20,IF(AND($T20&lt;&gt;"",EDATE($D20,Milestones!$AA$136)&gt;=$T20),$W20,IF(AND($S20&lt;&gt;"",EDATE($D20,Milestones!$AA$136)&gt;=$S20),$V20,$U20)))=Milestones!$AB$136),UPPER(TEXT(EDATE($D20,Milestones!$AA$136),"dd mmm yy"))&amp;" "&amp;Milestones!$AB$136&amp;" "&amp;Milestones!$AC$136&amp;";  ","")&amp;IF(AND(EDATE($D20,Milestones!$AA$137)&lt;=AsOfDate,IF($R20=0,$X20,IF(AND($T20&lt;&gt;"",EDATE($D20,Milestones!$AA$137)&gt;=$T20),$W20,IF(AND($S20&lt;&gt;"",EDATE($D20,Milestones!$AA$137)&gt;=$S20),$V20,$U20)))=Milestones!$AB$137),UPPER(TEXT(EDATE($D20,Milestones!$AA$137),"dd mmm yy"))&amp;" "&amp;Milestones!$AB$137&amp;" "&amp;Milestones!$AC$137&amp;";  ","")&amp;IF(AND(EDATE($D20,Milestones!$AA$138)&lt;=AsOfDate,IF($R20=0,$X20,IF(AND($T20&lt;&gt;"",EDATE($D20,Milestones!$AA$138)&gt;=$T20),$W20,IF(AND($S20&lt;&gt;"",EDATE($D20,Milestones!$AA$138)&gt;=$S20),$V20,$U20)))=Milestones!$AB$138),UPPER(TEXT(EDATE($D20,Milestones!$AA$138),"dd mmm yy"))&amp;" "&amp;Milestones!$AB$138&amp;" "&amp;Milestones!$AC$138&amp;";  ","")&amp;IF(AND(EDATE($D20,Milestones!$AA$139)&lt;=AsOfDate,IF($R20=0,$X20,IF(AND($T20&lt;&gt;"",EDATE($D20,Milestones!$AA$139)&gt;=$T20),$W20,IF(AND($S20&lt;&gt;"",EDATE($D20,Milestones!$AA$139)&gt;=$S20),$V20,$U20)))=Milestones!$AB$139),UPPER(TEXT(EDATE($D20,Milestones!$AA$139),"dd mmm yy"))&amp;" "&amp;Milestones!$AB$139&amp;" "&amp;Milestones!$AC$139&amp;";  ",""))</f>
        <v/>
      </c>
      <c r="O20" s="0" t="str">
        <f aca="false">IF(OR($A20="",$D20=""),"",IF(AND(EDATE($D20,Milestones!$AA$140)&lt;=AsOfDate,IF($R20=0,$X20,IF(AND($T20&lt;&gt;"",EDATE($D20,Milestones!$AA$140)&gt;=$T20),$W20,IF(AND($S20&lt;&gt;"",EDATE($D20,Milestones!$AA$140)&gt;=$S20),$V20,$U20)))=Milestones!$AB$140),UPPER(TEXT(EDATE($D20,Milestones!$AA$140),"dd mmm yy"))&amp;" "&amp;Milestones!$AB$140&amp;" "&amp;Milestones!$AC$140&amp;";  ","")&amp;IF(AND(EDATE($D20,Milestones!$AA$141)&lt;=AsOfDate,IF($R20=0,$X20,IF(AND($T20&lt;&gt;"",EDATE($D20,Milestones!$AA$141)&gt;=$T20),$W20,IF(AND($S20&lt;&gt;"",EDATE($D20,Milestones!$AA$141)&gt;=$S20),$V20,$U20)))=Milestones!$AB$141),UPPER(TEXT(EDATE($D20,Milestones!$AA$141),"dd mmm yy"))&amp;" "&amp;Milestones!$AB$141&amp;" "&amp;Milestones!$AC$141&amp;";  ","")&amp;IF(AND(EDATE($D20,Milestones!$AA$142)&lt;=AsOfDate,IF($R20=0,$X20,IF(AND($T20&lt;&gt;"",EDATE($D20,Milestones!$AA$142)&gt;=$T20),$W20,IF(AND($S20&lt;&gt;"",EDATE($D20,Milestones!$AA$142)&gt;=$S20),$V20,$U20)))=Milestones!$AB$142),UPPER(TEXT(EDATE($D20,Milestones!$AA$142),"dd mmm yy"))&amp;" "&amp;Milestones!$AB$142&amp;" "&amp;Milestones!$AC$142&amp;";  ","")&amp;IF(AND(EDATE($D20,Milestones!$AA$143)&lt;=AsOfDate,IF($R20=0,$X20,IF(AND($T20&lt;&gt;"",EDATE($D20,Milestones!$AA$143)&gt;=$T20),$W20,IF(AND($S20&lt;&gt;"",EDATE($D20,Milestones!$AA$143)&gt;=$S20),$V20,$U20)))=Milestones!$AB$143),UPPER(TEXT(EDATE($D20,Milestones!$AA$143),"dd mmm yy"))&amp;" "&amp;Milestones!$AB$143&amp;" "&amp;Milestones!$AC$143&amp;";  ","")&amp;IF(AND(EDATE($D20,Milestones!$AA$144)&lt;=AsOfDate,IF($R20=0,$X20,IF(AND($T20&lt;&gt;"",EDATE($D20,Milestones!$AA$144)&gt;=$T20),$W20,IF(AND($S20&lt;&gt;"",EDATE($D20,Milestones!$AA$144)&gt;=$S20),$V20,$U20)))=Milestones!$AB$144),UPPER(TEXT(EDATE($D20,Milestones!$AA$144),"dd mmm yy"))&amp;" "&amp;Milestones!$AB$144&amp;" "&amp;Milestones!$AC$144&amp;";  ","")&amp;IF(AND(EDATE($D20,Milestones!$AA$145)&lt;=AsOfDate,IF($R20=0,$X20,IF(AND($T20&lt;&gt;"",EDATE($D20,Milestones!$AA$145)&gt;=$T20),$W20,IF(AND($S20&lt;&gt;"",EDATE($D20,Milestones!$AA$145)&gt;=$S20),$V20,$U20)))=Milestones!$AB$145),UPPER(TEXT(EDATE($D20,Milestones!$AA$145),"dd mmm yy"))&amp;" "&amp;Milestones!$AB$145&amp;" "&amp;Milestones!$AC$145&amp;";  ","")&amp;IF(AND(EDATE($D20,Milestones!$AA$146)&lt;=AsOfDate,IF($R20=0,$X20,IF(AND($T20&lt;&gt;"",EDATE($D20,Milestones!$AA$146)&gt;=$T20),$W20,IF(AND($S20&lt;&gt;"",EDATE($D20,Milestones!$AA$146)&gt;=$S20),$V20,$U20)))=Milestones!$AB$146),UPPER(TEXT(EDATE($D20,Milestones!$AA$146),"dd mmm yy"))&amp;" "&amp;Milestones!$AB$146&amp;" "&amp;Milestones!$AC$146&amp;";  ","")&amp;IF(AND(EDATE($D20,Milestones!$AA$147)&lt;=AsOfDate,IF($R20=0,$X20,IF(AND($T20&lt;&gt;"",EDATE($D20,Milestones!$AA$147)&gt;=$T20),$W20,IF(AND($S20&lt;&gt;"",EDATE($D20,Milestones!$AA$147)&gt;=$S20),$V20,$U20)))=Milestones!$AB$147),UPPER(TEXT(EDATE($D20,Milestones!$AA$147),"dd mmm yy"))&amp;" "&amp;Milestones!$AB$147&amp;" "&amp;Milestones!$AC$147&amp;";  ","")&amp;IF(AND(EDATE($D20,Milestones!$AA$148)&lt;=AsOfDate,IF($R20=0,$X20,IF(AND($T20&lt;&gt;"",EDATE($D20,Milestones!$AA$148)&gt;=$T20),$W20,IF(AND($S20&lt;&gt;"",EDATE($D20,Milestones!$AA$148)&gt;=$S20),$V20,$U20)))=Milestones!$AB$148),UPPER(TEXT(EDATE($D20,Milestones!$AA$148),"dd mmm yy"))&amp;" "&amp;Milestones!$AB$148&amp;" "&amp;Milestones!$AC$148&amp;";  ","")&amp;IF(AND(EDATE($D20,Milestones!$AA$149)&lt;=AsOfDate,IF($R20=0,$X20,IF(AND($T20&lt;&gt;"",EDATE($D20,Milestones!$AA$149)&gt;=$T20),$W20,IF(AND($S20&lt;&gt;"",EDATE($D20,Milestones!$AA$149)&gt;=$S20),$V20,$U20)))=Milestones!$AB$149),UPPER(TEXT(EDATE($D20,Milestones!$AA$149),"dd mmm yy"))&amp;" "&amp;Milestones!$AB$149&amp;" "&amp;Milestones!$AC$149&amp;";  ","")&amp;IF(AND(EDATE($D20,Milestones!$AA$150)&lt;=AsOfDate,IF($R20=0,$X20,IF(AND($T20&lt;&gt;"",EDATE($D20,Milestones!$AA$150)&gt;=$T20),$W20,IF(AND($S20&lt;&gt;"",EDATE($D20,Milestones!$AA$150)&gt;=$S20),$V20,$U20)))=Milestones!$AB$150),UPPER(TEXT(EDATE($D20,Milestones!$AA$150),"dd mmm yy"))&amp;" "&amp;Milestones!$AB$150&amp;" "&amp;Milestones!$AC$150&amp;";  ","")&amp;IF(AND(EDATE($D20,Milestones!$AA$151)&lt;=AsOfDate,IF($R20=0,$X20,IF(AND($T20&lt;&gt;"",EDATE($D20,Milestones!$AA$151)&gt;=$T20),$W20,IF(AND($S20&lt;&gt;"",EDATE($D20,Milestones!$AA$151)&gt;=$S20),$V20,$U20)))=Milestones!$AB$151),UPPER(TEXT(EDATE($D20,Milestones!$AA$151),"dd mmm yy"))&amp;" "&amp;Milestones!$AB$151&amp;" "&amp;Milestones!$AC$151&amp;";  ","")&amp;IF(AND(EDATE($D20,Milestones!$AA$152)&lt;=AsOfDate,IF($R20=0,$X20,IF(AND($T20&lt;&gt;"",EDATE($D20,Milestones!$AA$152)&gt;=$T20),$W20,IF(AND($S20&lt;&gt;"",EDATE($D20,Milestones!$AA$152)&gt;=$S20),$V20,$U20)))=Milestones!$AB$152),UPPER(TEXT(EDATE($D20,Milestones!$AA$152),"dd mmm yy"))&amp;" "&amp;Milestones!$AB$152&amp;" "&amp;Milestones!$AC$152&amp;";  ","")&amp;IF(AND(EDATE($D20,Milestones!$AA$153)&lt;=AsOfDate,IF($R20=0,$X20,IF(AND($T20&lt;&gt;"",EDATE($D20,Milestones!$AA$153)&gt;=$T20),$W20,IF(AND($S20&lt;&gt;"",EDATE($D20,Milestones!$AA$153)&gt;=$S20),$V20,$U20)))=Milestones!$AB$153),UPPER(TEXT(EDATE($D20,Milestones!$AA$153),"dd mmm yy"))&amp;" "&amp;Milestones!$AB$153&amp;" "&amp;Milestones!$AC$153&amp;";  ","")&amp;IF(AND(EDATE($D20,Milestones!$AA$154)&lt;=AsOfDate,IF($R20=0,$X20,IF(AND($T20&lt;&gt;"",EDATE($D20,Milestones!$AA$154)&gt;=$T20),$W20,IF(AND($S20&lt;&gt;"",EDATE($D20,Milestones!$AA$154)&gt;=$S20),$V20,$U20)))=Milestones!$AB$154),UPPER(TEXT(EDATE($D20,Milestones!$AA$154),"dd mmm yy"))&amp;" "&amp;Milestones!$AB$154&amp;" "&amp;Milestones!$AC$154&amp;";  ","")&amp;IF(AND(EDATE($D20,Milestones!$AA$155)&lt;=AsOfDate,IF($R20=0,$X20,IF(AND($T20&lt;&gt;"",EDATE($D20,Milestones!$AA$155)&gt;=$T20),$W20,IF(AND($S20&lt;&gt;"",EDATE($D20,Milestones!$AA$155)&gt;=$S20),$V20,$U20)))=Milestones!$AB$155),UPPER(TEXT(EDATE($D20,Milestones!$AA$155),"dd mmm yy"))&amp;" "&amp;Milestones!$AB$155&amp;" "&amp;Milestones!$AC$155&amp;";  ","")&amp;IF(AND(EDATE($D20,Milestones!$AA$156)&lt;=AsOfDate,IF($R20=0,$X20,IF(AND($T20&lt;&gt;"",EDATE($D20,Milestones!$AA$156)&gt;=$T20),$W20,IF(AND($S20&lt;&gt;"",EDATE($D20,Milestones!$AA$156)&gt;=$S20),$V20,$U20)))=Milestones!$AB$156),UPPER(TEXT(EDATE($D20,Milestones!$AA$156),"dd mmm yy"))&amp;" "&amp;Milestones!$AB$156&amp;" "&amp;Milestones!$AC$156&amp;";  ","")&amp;IF(AND(EDATE($D20,Milestones!$AA$157)&lt;=AsOfDate,IF($R20=0,$X20,IF(AND($T20&lt;&gt;"",EDATE($D20,Milestones!$AA$157)&gt;=$T20),$W20,IF(AND($S20&lt;&gt;"",EDATE($D20,Milestones!$AA$157)&gt;=$S20),$V20,$U20)))=Milestones!$AB$157),UPPER(TEXT(EDATE($D20,Milestones!$AA$157),"dd mmm yy"))&amp;" "&amp;Milestones!$AB$157&amp;" "&amp;Milestones!$AC$157&amp;";  ","")&amp;IF(AND(EDATE($D20,Milestones!$AA$158)&lt;=AsOfDate,IF($R20=0,$X20,IF(AND($T20&lt;&gt;"",EDATE($D20,Milestones!$AA$158)&gt;=$T20),$W20,IF(AND($S20&lt;&gt;"",EDATE($D20,Milestones!$AA$158)&gt;=$S20),$V20,$U20)))=Milestones!$AB$158),UPPER(TEXT(EDATE($D20,Milestones!$AA$158),"dd mmm yy"))&amp;" "&amp;Milestones!$AB$158&amp;" "&amp;Milestones!$AC$158&amp;";  ","")&amp;IF(AND(EDATE($D20,Milestones!$AA$159)&lt;=AsOfDate,IF($R20=0,$X20,IF(AND($T20&lt;&gt;"",EDATE($D20,Milestones!$AA$159)&gt;=$T20),$W20,IF(AND($S20&lt;&gt;"",EDATE($D20,Milestones!$AA$159)&gt;=$S20),$V20,$U20)))=Milestones!$AB$159),UPPER(TEXT(EDATE($D20,Milestones!$AA$159),"dd mmm yy"))&amp;" "&amp;Milestones!$AB$159&amp;" "&amp;Milestones!$AC$159&amp;";  ",""))</f>
        <v/>
      </c>
      <c r="P20" s="0" t="str">
        <f aca="false">IF(OR($A20="",$D20=""),"",IF(AND(EDATE($D20,Milestones!$AA$160)&lt;=AsOfDate,IF($R20=0,$X20,IF(AND($T20&lt;&gt;"",EDATE($D20,Milestones!$AA$160)&gt;=$T20),$W20,IF(AND($S20&lt;&gt;"",EDATE($D20,Milestones!$AA$160)&gt;=$S20),$V20,$U20)))=Milestones!$AB$160),UPPER(TEXT(EDATE($D20,Milestones!$AA$160),"dd mmm yy"))&amp;" "&amp;Milestones!$AB$160&amp;" "&amp;Milestones!$AC$160&amp;";  ","")&amp;IF(AND(EDATE($D20,Milestones!$AA$161)&lt;=AsOfDate,IF($R20=0,$X20,IF(AND($T20&lt;&gt;"",EDATE($D20,Milestones!$AA$161)&gt;=$T20),$W20,IF(AND($S20&lt;&gt;"",EDATE($D20,Milestones!$AA$161)&gt;=$S20),$V20,$U20)))=Milestones!$AB$161),UPPER(TEXT(EDATE($D20,Milestones!$AA$161),"dd mmm yy"))&amp;" "&amp;Milestones!$AB$161&amp;" "&amp;Milestones!$AC$161&amp;";  ","")&amp;IF(AND(EDATE($D20,Milestones!$AA$162)&lt;=AsOfDate,IF($R20=0,$X20,IF(AND($T20&lt;&gt;"",EDATE($D20,Milestones!$AA$162)&gt;=$T20),$W20,IF(AND($S20&lt;&gt;"",EDATE($D20,Milestones!$AA$162)&gt;=$S20),$V20,$U20)))=Milestones!$AB$162),UPPER(TEXT(EDATE($D20,Milestones!$AA$162),"dd mmm yy"))&amp;" "&amp;Milestones!$AB$162&amp;" "&amp;Milestones!$AC$162&amp;";  ","")&amp;IF(AND(EDATE($D20,Milestones!$AA$163)&lt;=AsOfDate,IF($R20=0,$X20,IF(AND($T20&lt;&gt;"",EDATE($D20,Milestones!$AA$163)&gt;=$T20),$W20,IF(AND($S20&lt;&gt;"",EDATE($D20,Milestones!$AA$163)&gt;=$S20),$V20,$U20)))=Milestones!$AB$163),UPPER(TEXT(EDATE($D20,Milestones!$AA$163),"dd mmm yy"))&amp;" "&amp;Milestones!$AB$163&amp;" "&amp;Milestones!$AC$163&amp;";  ","")&amp;IF(AND(EDATE($D20,Milestones!$AA$164)&lt;=AsOfDate,IF($R20=0,$X20,IF(AND($T20&lt;&gt;"",EDATE($D20,Milestones!$AA$164)&gt;=$T20),$W20,IF(AND($S20&lt;&gt;"",EDATE($D20,Milestones!$AA$164)&gt;=$S20),$V20,$U20)))=Milestones!$AB$164),UPPER(TEXT(EDATE($D20,Milestones!$AA$164),"dd mmm yy"))&amp;" "&amp;Milestones!$AB$164&amp;" "&amp;Milestones!$AC$164&amp;";  ","")&amp;IF(AND(EDATE($D20,Milestones!$AA$165)&lt;=AsOfDate,IF($R20=0,$X20,IF(AND($T20&lt;&gt;"",EDATE($D20,Milestones!$AA$165)&gt;=$T20),$W20,IF(AND($S20&lt;&gt;"",EDATE($D20,Milestones!$AA$165)&gt;=$S20),$V20,$U20)))=Milestones!$AB$165),UPPER(TEXT(EDATE($D20,Milestones!$AA$165),"dd mmm yy"))&amp;" "&amp;Milestones!$AB$165&amp;" "&amp;Milestones!$AC$165&amp;";  ","")&amp;IF(AND(EDATE($D20,Milestones!$AA$166)&lt;=AsOfDate,IF($R20=0,$X20,IF(AND($T20&lt;&gt;"",EDATE($D20,Milestones!$AA$166)&gt;=$T20),$W20,IF(AND($S20&lt;&gt;"",EDATE($D20,Milestones!$AA$166)&gt;=$S20),$V20,$U20)))=Milestones!$AB$166),UPPER(TEXT(EDATE($D20,Milestones!$AA$166),"dd mmm yy"))&amp;" "&amp;Milestones!$AB$166&amp;" "&amp;Milestones!$AC$166&amp;";  ","")&amp;IF(AND(EDATE($D20,Milestones!$AA$167)&lt;=AsOfDate,IF($R20=0,$X20,IF(AND($T20&lt;&gt;"",EDATE($D20,Milestones!$AA$167)&gt;=$T20),$W20,IF(AND($S20&lt;&gt;"",EDATE($D20,Milestones!$AA$167)&gt;=$S20),$V20,$U20)))=Milestones!$AB$167),UPPER(TEXT(EDATE($D20,Milestones!$AA$167),"dd mmm yy"))&amp;" "&amp;Milestones!$AB$167&amp;" "&amp;Milestones!$AC$167&amp;";  ","")&amp;IF(AND(EDATE($D20,Milestones!$AA$168)&lt;=AsOfDate,IF($R20=0,$X20,IF(AND($T20&lt;&gt;"",EDATE($D20,Milestones!$AA$168)&gt;=$T20),$W20,IF(AND($S20&lt;&gt;"",EDATE($D20,Milestones!$AA$168)&gt;=$S20),$V20,$U20)))=Milestones!$AB$168),UPPER(TEXT(EDATE($D20,Milestones!$AA$168),"dd mmm yy"))&amp;" "&amp;Milestones!$AB$168&amp;" "&amp;Milestones!$AC$168&amp;";  ","")&amp;IF(AND(EDATE($D20,Milestones!$AA$169)&lt;=AsOfDate,IF($R20=0,$X20,IF(AND($T20&lt;&gt;"",EDATE($D20,Milestones!$AA$169)&gt;=$T20),$W20,IF(AND($S20&lt;&gt;"",EDATE($D20,Milestones!$AA$169)&gt;=$S20),$V20,$U20)))=Milestones!$AB$169),UPPER(TEXT(EDATE($D20,Milestones!$AA$169),"dd mmm yy"))&amp;" "&amp;Milestones!$AB$169&amp;" "&amp;Milestones!$AC$169&amp;";  ","")&amp;IF(AND(EDATE($D20,Milestones!$AA$170)&lt;=AsOfDate,IF($R20=0,$X20,IF(AND($T20&lt;&gt;"",EDATE($D20,Milestones!$AA$170)&gt;=$T20),$W20,IF(AND($S20&lt;&gt;"",EDATE($D20,Milestones!$AA$170)&gt;=$S20),$V20,$U20)))=Milestones!$AB$170),UPPER(TEXT(EDATE($D20,Milestones!$AA$170),"dd mmm yy"))&amp;" "&amp;Milestones!$AB$170&amp;" "&amp;Milestones!$AC$170&amp;";  ","")&amp;IF(AND(EDATE($D20,Milestones!$AA$171)&lt;=AsOfDate,IF($R20=0,$X20,IF(AND($T20&lt;&gt;"",EDATE($D20,Milestones!$AA$171)&gt;=$T20),$W20,IF(AND($S20&lt;&gt;"",EDATE($D20,Milestones!$AA$171)&gt;=$S20),$V20,$U20)))=Milestones!$AB$171),UPPER(TEXT(EDATE($D20,Milestones!$AA$171),"dd mmm yy"))&amp;" "&amp;Milestones!$AB$171&amp;" "&amp;Milestones!$AC$171&amp;";  ","")&amp;IF(AND(EDATE($D20,Milestones!$AA$172)&lt;=AsOfDate,IF($R20=0,$X20,IF(AND($T20&lt;&gt;"",EDATE($D20,Milestones!$AA$172)&gt;=$T20),$W20,IF(AND($S20&lt;&gt;"",EDATE($D20,Milestones!$AA$172)&gt;=$S20),$V20,$U20)))=Milestones!$AB$172),UPPER(TEXT(EDATE($D20,Milestones!$AA$172),"dd mmm yy"))&amp;" "&amp;Milestones!$AB$172&amp;" "&amp;Milestones!$AC$172&amp;";  ","")&amp;IF(AND(EDATE($D20,Milestones!$AA$173)&lt;=AsOfDate,IF($R20=0,$X20,IF(AND($T20&lt;&gt;"",EDATE($D20,Milestones!$AA$173)&gt;=$T20),$W20,IF(AND($S20&lt;&gt;"",EDATE($D20,Milestones!$AA$173)&gt;=$S20),$V20,$U20)))=Milestones!$AB$173),UPPER(TEXT(EDATE($D20,Milestones!$AA$173),"dd mmm yy"))&amp;" "&amp;Milestones!$AB$173&amp;" "&amp;Milestones!$AC$173&amp;";  ","")&amp;IF(AND(EDATE($D20,Milestones!$AA$174)&lt;=AsOfDate,IF($R20=0,$X20,IF(AND($T20&lt;&gt;"",EDATE($D20,Milestones!$AA$174)&gt;=$T20),$W20,IF(AND($S20&lt;&gt;"",EDATE($D20,Milestones!$AA$174)&gt;=$S20),$V20,$U20)))=Milestones!$AB$174),UPPER(TEXT(EDATE($D20,Milestones!$AA$174),"dd mmm yy"))&amp;" "&amp;Milestones!$AB$174&amp;" "&amp;Milestones!$AC$174&amp;";  ","")&amp;IF(AND(EDATE($D20,Milestones!$AA$175)&lt;=AsOfDate,IF($R20=0,$X20,IF(AND($T20&lt;&gt;"",EDATE($D20,Milestones!$AA$175)&gt;=$T20),$W20,IF(AND($S20&lt;&gt;"",EDATE($D20,Milestones!$AA$175)&gt;=$S20),$V20,$U20)))=Milestones!$AB$175),UPPER(TEXT(EDATE($D20,Milestones!$AA$175),"dd mmm yy"))&amp;" "&amp;Milestones!$AB$175&amp;" "&amp;Milestones!$AC$175&amp;";  ","")&amp;IF(AND(EDATE($D20,Milestones!$AA$176)&lt;=AsOfDate,IF($R20=0,$X20,IF(AND($T20&lt;&gt;"",EDATE($D20,Milestones!$AA$176)&gt;=$T20),$W20,IF(AND($S20&lt;&gt;"",EDATE($D20,Milestones!$AA$176)&gt;=$S20),$V20,$U20)))=Milestones!$AB$176),UPPER(TEXT(EDATE($D20,Milestones!$AA$176),"dd mmm yy"))&amp;" "&amp;Milestones!$AB$176&amp;" "&amp;Milestones!$AC$176&amp;";  ","")&amp;IF(AND(EDATE($D20,Milestones!$AA$177)&lt;=AsOfDate,IF($R20=0,$X20,IF(AND($T20&lt;&gt;"",EDATE($D20,Milestones!$AA$177)&gt;=$T20),$W20,IF(AND($S20&lt;&gt;"",EDATE($D20,Milestones!$AA$177)&gt;=$S20),$V20,$U20)))=Milestones!$AB$177),UPPER(TEXT(EDATE($D20,Milestones!$AA$177),"dd mmm yy"))&amp;" "&amp;Milestones!$AB$177&amp;" "&amp;Milestones!$AC$177&amp;";  ","")&amp;IF(AND(EDATE($D20,Milestones!$AA$178)&lt;=AsOfDate,IF($R20=0,$X20,IF(AND($T20&lt;&gt;"",EDATE($D20,Milestones!$AA$178)&gt;=$T20),$W20,IF(AND($S20&lt;&gt;"",EDATE($D20,Milestones!$AA$178)&gt;=$S20),$V20,$U20)))=Milestones!$AB$178),UPPER(TEXT(EDATE($D20,Milestones!$AA$178),"dd mmm yy"))&amp;" "&amp;Milestones!$AB$178&amp;" "&amp;Milestones!$AC$178&amp;";  ","")&amp;IF(AND(EDATE($D20,Milestones!$AA$179)&lt;=AsOfDate,IF($R20=0,$X20,IF(AND($T20&lt;&gt;"",EDATE($D20,Milestones!$AA$179)&gt;=$T20),$W20,IF(AND($S20&lt;&gt;"",EDATE($D20,Milestones!$AA$179)&gt;=$S20),$V20,$U20)))=Milestones!$AB$179),UPPER(TEXT(EDATE($D20,Milestones!$AA$179),"dd mmm yy"))&amp;" "&amp;Milestones!$AB$179&amp;" "&amp;Milestones!$AC$179&amp;";  ",""))</f>
        <v/>
      </c>
      <c r="Q20" s="0" t="str">
        <f aca="false">IF(OR($A20="",$D20=""),"",IF(AND(EDATE($D20,Milestones!$AA$180)&lt;=AsOfDate,IF($R20=0,$X20,IF(AND($T20&lt;&gt;"",EDATE($D20,Milestones!$AA$180)&gt;=$T20),$W20,IF(AND($S20&lt;&gt;"",EDATE($D20,Milestones!$AA$180)&gt;=$S20),$V20,$U20)))=Milestones!$AB$180),UPPER(TEXT(EDATE($D20,Milestones!$AA$180),"dd mmm yy"))&amp;" "&amp;Milestones!$AB$180&amp;" "&amp;Milestones!$AC$180&amp;";  ","")&amp;IF(AND(EDATE($D20,Milestones!$AA$181)&lt;=AsOfDate,IF($R20=0,$X20,IF(AND($T20&lt;&gt;"",EDATE($D20,Milestones!$AA$181)&gt;=$T20),$W20,IF(AND($S20&lt;&gt;"",EDATE($D20,Milestones!$AA$181)&gt;=$S20),$V20,$U20)))=Milestones!$AB$181),UPPER(TEXT(EDATE($D20,Milestones!$AA$181),"dd mmm yy"))&amp;" "&amp;Milestones!$AB$181&amp;" "&amp;Milestones!$AC$181&amp;";  ","")&amp;IF(AND(EDATE($D20,Milestones!$AA$182)&lt;=AsOfDate,IF($R20=0,$X20,IF(AND($T20&lt;&gt;"",EDATE($D20,Milestones!$AA$182)&gt;=$T20),$W20,IF(AND($S20&lt;&gt;"",EDATE($D20,Milestones!$AA$182)&gt;=$S20),$V20,$U20)))=Milestones!$AB$182),UPPER(TEXT(EDATE($D20,Milestones!$AA$182),"dd mmm yy"))&amp;" "&amp;Milestones!$AB$182&amp;" "&amp;Milestones!$AC$182&amp;";  ","")&amp;IF(AND(EDATE($D20,Milestones!$AA$183)&lt;=AsOfDate,IF($R20=0,$X20,IF(AND($T20&lt;&gt;"",EDATE($D20,Milestones!$AA$183)&gt;=$T20),$W20,IF(AND($S20&lt;&gt;"",EDATE($D20,Milestones!$AA$183)&gt;=$S20),$V20,$U20)))=Milestones!$AB$183),UPPER(TEXT(EDATE($D20,Milestones!$AA$183),"dd mmm yy"))&amp;" "&amp;Milestones!$AB$183&amp;" "&amp;Milestones!$AC$183&amp;";  ","")&amp;IF(AND(EDATE($D20,Milestones!$AA$184)&lt;=AsOfDate,IF($R20=0,$X20,IF(AND($T20&lt;&gt;"",EDATE($D20,Milestones!$AA$184)&gt;=$T20),$W20,IF(AND($S20&lt;&gt;"",EDATE($D20,Milestones!$AA$184)&gt;=$S20),$V20,$U20)))=Milestones!$AB$184),UPPER(TEXT(EDATE($D20,Milestones!$AA$184),"dd mmm yy"))&amp;" "&amp;Milestones!$AB$184&amp;" "&amp;Milestones!$AC$184&amp;";  ","")&amp;IF(AND(EDATE($D20,Milestones!$AA$185)&lt;=AsOfDate,IF($R20=0,$X20,IF(AND($T20&lt;&gt;"",EDATE($D20,Milestones!$AA$185)&gt;=$T20),$W20,IF(AND($S20&lt;&gt;"",EDATE($D20,Milestones!$AA$185)&gt;=$S20),$V20,$U20)))=Milestones!$AB$185),UPPER(TEXT(EDATE($D20,Milestones!$AA$185),"dd mmm yy"))&amp;" "&amp;Milestones!$AB$185&amp;" "&amp;Milestones!$AC$185&amp;";  ","")&amp;IF(AND(EDATE($D20,Milestones!$AA$186)&lt;=AsOfDate,IF($R20=0,$X20,IF(AND($T20&lt;&gt;"",EDATE($D20,Milestones!$AA$186)&gt;=$T20),$W20,IF(AND($S20&lt;&gt;"",EDATE($D20,Milestones!$AA$186)&gt;=$S20),$V20,$U20)))=Milestones!$AB$186),UPPER(TEXT(EDATE($D20,Milestones!$AA$186),"dd mmm yy"))&amp;" "&amp;Milestones!$AB$186&amp;" "&amp;Milestones!$AC$186&amp;";  ","")&amp;IF(AND(EDATE($D20,Milestones!$AA$187)&lt;=AsOfDate,IF($R20=0,$X20,IF(AND($T20&lt;&gt;"",EDATE($D20,Milestones!$AA$187)&gt;=$T20),$W20,IF(AND($S20&lt;&gt;"",EDATE($D20,Milestones!$AA$187)&gt;=$S20),$V20,$U20)))=Milestones!$AB$187),UPPER(TEXT(EDATE($D20,Milestones!$AA$187),"dd mmm yy"))&amp;" "&amp;Milestones!$AB$187&amp;" "&amp;Milestones!$AC$187&amp;";  ","")&amp;IF(AND(EDATE($D20,Milestones!$AA$188)&lt;=AsOfDate,IF($R20=0,$X20,IF(AND($T20&lt;&gt;"",EDATE($D20,Milestones!$AA$188)&gt;=$T20),$W20,IF(AND($S20&lt;&gt;"",EDATE($D20,Milestones!$AA$188)&gt;=$S20),$V20,$U20)))=Milestones!$AB$188),UPPER(TEXT(EDATE($D20,Milestones!$AA$188),"dd mmm yy"))&amp;" "&amp;Milestones!$AB$188&amp;" "&amp;Milestones!$AC$188&amp;";  ","")&amp;IF(AND(EDATE($D20,Milestones!$AA$189)&lt;=AsOfDate,IF($R20=0,$X20,IF(AND($T20&lt;&gt;"",EDATE($D20,Milestones!$AA$189)&gt;=$T20),$W20,IF(AND($S20&lt;&gt;"",EDATE($D20,Milestones!$AA$189)&gt;=$S20),$V20,$U20)))=Milestones!$AB$189),UPPER(TEXT(EDATE($D20,Milestones!$AA$189),"dd mmm yy"))&amp;" "&amp;Milestones!$AB$189&amp;" "&amp;Milestones!$AC$189&amp;";  ","")&amp;IF(AND(EDATE($D20,Milestones!$AA$190)&lt;=AsOfDate,IF($R20=0,$X20,IF(AND($T20&lt;&gt;"",EDATE($D20,Milestones!$AA$190)&gt;=$T20),$W20,IF(AND($S20&lt;&gt;"",EDATE($D20,Milestones!$AA$190)&gt;=$S20),$V20,$U20)))=Milestones!$AB$190),UPPER(TEXT(EDATE($D20,Milestones!$AA$190),"dd mmm yy"))&amp;" "&amp;Milestones!$AB$190&amp;" "&amp;Milestones!$AC$190&amp;";  ","")&amp;IF(AND(EDATE($D20,Milestones!$AA$191)&lt;=AsOfDate,IF($R20=0,$X20,IF(AND($T20&lt;&gt;"",EDATE($D20,Milestones!$AA$191)&gt;=$T20),$W20,IF(AND($S20&lt;&gt;"",EDATE($D20,Milestones!$AA$191)&gt;=$S20),$V20,$U20)))=Milestones!$AB$191),UPPER(TEXT(EDATE($D20,Milestones!$AA$191),"dd mmm yy"))&amp;" "&amp;Milestones!$AB$191&amp;" "&amp;Milestones!$AC$191&amp;";  ","")&amp;IF(AND(EDATE($D20,Milestones!$AA$192)&lt;=AsOfDate,IF($R20=0,$X20,IF(AND($T20&lt;&gt;"",EDATE($D20,Milestones!$AA$192)&gt;=$T20),$W20,IF(AND($S20&lt;&gt;"",EDATE($D20,Milestones!$AA$192)&gt;=$S20),$V20,$U20)))=Milestones!$AB$192),UPPER(TEXT(EDATE($D20,Milestones!$AA$192),"dd mmm yy"))&amp;" "&amp;Milestones!$AB$192&amp;" "&amp;Milestones!$AC$192&amp;";  ","")&amp;IF(AND(EDATE($D20,Milestones!$AA$193)&lt;=AsOfDate,IF($R20=0,$X20,IF(AND($T20&lt;&gt;"",EDATE($D20,Milestones!$AA$193)&gt;=$T20),$W20,IF(AND($S20&lt;&gt;"",EDATE($D20,Milestones!$AA$193)&gt;=$S20),$V20,$U20)))=Milestones!$AB$193),UPPER(TEXT(EDATE($D20,Milestones!$AA$193),"dd mmm yy"))&amp;" "&amp;Milestones!$AB$193&amp;" "&amp;Milestones!$AC$193&amp;";  ","")&amp;IF(AND(EDATE($D20,Milestones!$AA$194)&lt;=AsOfDate,IF($R20=0,$X20,IF(AND($T20&lt;&gt;"",EDATE($D20,Milestones!$AA$194)&gt;=$T20),$W20,IF(AND($S20&lt;&gt;"",EDATE($D20,Milestones!$AA$194)&gt;=$S20),$V20,$U20)))=Milestones!$AB$194),UPPER(TEXT(EDATE($D20,Milestones!$AA$194),"dd mmm yy"))&amp;" "&amp;Milestones!$AB$194&amp;" "&amp;Milestones!$AC$194&amp;";  ","")&amp;IF(AND(EDATE($D20,Milestones!$AA$195)&lt;=AsOfDate,IF($R20=0,$X20,IF(AND($T20&lt;&gt;"",EDATE($D20,Milestones!$AA$195)&gt;=$T20),$W20,IF(AND($S20&lt;&gt;"",EDATE($D20,Milestones!$AA$195)&gt;=$S20),$V20,$U20)))=Milestones!$AB$195),UPPER(TEXT(EDATE($D20,Milestones!$AA$195),"dd mmm yy"))&amp;" "&amp;Milestones!$AB$195&amp;" "&amp;Milestones!$AC$195&amp;";  ","")&amp;IF(AND(EDATE($D20,Milestones!$AA$196)&lt;=AsOfDate,IF($R20=0,$X20,IF(AND($T20&lt;&gt;"",EDATE($D20,Milestones!$AA$196)&gt;=$T20),$W20,IF(AND($S20&lt;&gt;"",EDATE($D20,Milestones!$AA$196)&gt;=$S20),$V20,$U20)))=Milestones!$AB$196),UPPER(TEXT(EDATE($D20,Milestones!$AA$196),"dd mmm yy"))&amp;" "&amp;Milestones!$AB$196&amp;" "&amp;Milestones!$AC$196&amp;";  ","")&amp;IF(AND(EDATE($D20,Milestones!$AA$197)&lt;=AsOfDate,IF($R20=0,$X20,IF(AND($T20&lt;&gt;"",EDATE($D20,Milestones!$AA$197)&gt;=$T20),$W20,IF(AND($S20&lt;&gt;"",EDATE($D20,Milestones!$AA$197)&gt;=$S20),$V20,$U20)))=Milestones!$AB$197),UPPER(TEXT(EDATE($D20,Milestones!$AA$197),"dd mmm yy"))&amp;" "&amp;Milestones!$AB$197&amp;" "&amp;Milestones!$AC$197&amp;";  ","")&amp;IF(AND(EDATE($D20,Milestones!$AA$198)&lt;=AsOfDate,IF($R20=0,$X20,IF(AND($T20&lt;&gt;"",EDATE($D20,Milestones!$AA$198)&gt;=$T20),$W20,IF(AND($S20&lt;&gt;"",EDATE($D20,Milestones!$AA$198)&gt;=$S20),$V20,$U20)))=Milestones!$AB$198),UPPER(TEXT(EDATE($D20,Milestones!$AA$198),"dd mmm yy"))&amp;" "&amp;Milestones!$AB$198&amp;" "&amp;Milestones!$AC$198&amp;";  ","")&amp;IF(AND(EDATE($D20,Milestones!$AA$199)&lt;=AsOfDate,IF($R20=0,$X20,IF(AND($T20&lt;&gt;"",EDATE($D20,Milestones!$AA$199)&gt;=$T20),$W20,IF(AND($S20&lt;&gt;"",EDATE($D20,Milestones!$AA$199)&gt;=$S20),$V20,$U20)))=Milestones!$AB$199),UPPER(TEXT(EDATE($D20,Milestones!$AA$199),"dd mmm yy"))&amp;" "&amp;Milestones!$AB$199&amp;" "&amp;Milestones!$AC$199&amp;";  ",""))</f>
        <v/>
      </c>
      <c r="R20" s="33" t="n">
        <f aca="false">IF(Staff!$A20="","",Staff!$AI20)</f>
        <v>1</v>
      </c>
      <c r="S20" s="0" t="str">
        <f aca="false">IF(Staff!$A20="","",Staff!$AK20)</f>
        <v/>
      </c>
      <c r="T20" s="0" t="str">
        <f aca="false">IF(Staff!$A20="","",Staff!$AL20)</f>
        <v/>
      </c>
      <c r="U20" s="0" t="str">
        <f aca="false">IF(Staff!$A20="","",Staff!$AP20)</f>
        <v>FT</v>
      </c>
      <c r="V20" s="0" t="str">
        <f aca="false">IF(Staff!$A20="","",Staff!$AQ20)</f>
        <v/>
      </c>
      <c r="W20" s="0" t="str">
        <f aca="false">IF(Staff!$A20="","",Staff!$AR20)</f>
        <v/>
      </c>
      <c r="X20" s="0" t="str">
        <f aca="false">IF(Staff!$A20="","",Staff!$AS20)</f>
        <v>FT</v>
      </c>
    </row>
    <row r="21" customFormat="false" ht="15" hidden="false" customHeight="false" outlineLevel="0" collapsed="false">
      <c r="A21" s="19" t="str">
        <f aca="false">IF(Staff!$A21="","",Staff!$A21)</f>
        <v>Danielle</v>
      </c>
      <c r="B21" s="19" t="str">
        <f aca="false">IF(Staff!$A21="","",Staff!$B21)</f>
        <v>HURLEY</v>
      </c>
      <c r="C21" s="19" t="str">
        <f aca="false">IF(Staff!$A21="","",Staff!$C21)</f>
        <v>Full-Time</v>
      </c>
      <c r="D21" s="17" t="n">
        <f aca="false">IF(Staff!$A21="","",Staff!$AH21)</f>
        <v>44312</v>
      </c>
      <c r="E21" s="20" t="n">
        <f aca="false">IF(Staff!$A21="","",Staff!$O21)</f>
        <v>9</v>
      </c>
      <c r="F21" s="19" t="n">
        <f aca="false">IF(E21="","",E21*HoursPerDay)</f>
        <v>72</v>
      </c>
      <c r="G21" s="20" t="n">
        <f aca="false">IF(Staff!$A21="","",Staff!$AE21)</f>
        <v>0</v>
      </c>
      <c r="H21" s="32" t="str">
        <f aca="false">IF($A21="","",I21&amp;J21&amp;K21&amp;L21&amp;M21&amp;N21&amp;O21&amp;P21&amp;Q21)</f>
        <v>26 APR 24 FT 1;  26 AUG 24 FT 1;  26 DEC 24 FT 1;  26 APR 25 FT 1;  26 AUG 25 FT 1;  26 DEC 25 FT 1;  26 APR 26 FT 2;  26 JUL 26 FT 1;  </v>
      </c>
      <c r="I21" s="0" t="str">
        <f aca="false">IF(OR($A21="",$D21=""),"",IF(AND(EDATE($D21,Milestones!$AA$20)&lt;=AsOfDate,IF($R21=0,$X21,IF(AND($T21&lt;&gt;"",EDATE($D21,Milestones!$AA$20)&gt;=$T21),$W21,IF(AND($S21&lt;&gt;"",EDATE($D21,Milestones!$AA$20)&gt;=$S21),$V21,$U21)))=Milestones!$AB$20),UPPER(TEXT(EDATE($D21,Milestones!$AA$20),"dd mmm yy"))&amp;" "&amp;Milestones!$AB$20&amp;" "&amp;Milestones!$AC$20&amp;";  ","")&amp;IF(AND(EDATE($D21,Milestones!$AA$21)&lt;=AsOfDate,IF($R21=0,$X21,IF(AND($T21&lt;&gt;"",EDATE($D21,Milestones!$AA$21)&gt;=$T21),$W21,IF(AND($S21&lt;&gt;"",EDATE($D21,Milestones!$AA$21)&gt;=$S21),$V21,$U21)))=Milestones!$AB$21),UPPER(TEXT(EDATE($D21,Milestones!$AA$21),"dd mmm yy"))&amp;" "&amp;Milestones!$AB$21&amp;" "&amp;Milestones!$AC$21&amp;";  ","")&amp;IF(AND(EDATE($D21,Milestones!$AA$22)&lt;=AsOfDate,IF($R21=0,$X21,IF(AND($T21&lt;&gt;"",EDATE($D21,Milestones!$AA$22)&gt;=$T21),$W21,IF(AND($S21&lt;&gt;"",EDATE($D21,Milestones!$AA$22)&gt;=$S21),$V21,$U21)))=Milestones!$AB$22),UPPER(TEXT(EDATE($D21,Milestones!$AA$22),"dd mmm yy"))&amp;" "&amp;Milestones!$AB$22&amp;" "&amp;Milestones!$AC$22&amp;";  ","")&amp;IF(AND(EDATE($D21,Milestones!$AA$23)&lt;=AsOfDate,IF($R21=0,$X21,IF(AND($T21&lt;&gt;"",EDATE($D21,Milestones!$AA$23)&gt;=$T21),$W21,IF(AND($S21&lt;&gt;"",EDATE($D21,Milestones!$AA$23)&gt;=$S21),$V21,$U21)))=Milestones!$AB$23),UPPER(TEXT(EDATE($D21,Milestones!$AA$23),"dd mmm yy"))&amp;" "&amp;Milestones!$AB$23&amp;" "&amp;Milestones!$AC$23&amp;";  ","")&amp;IF(AND(EDATE($D21,Milestones!$AA$24)&lt;=AsOfDate,IF($R21=0,$X21,IF(AND($T21&lt;&gt;"",EDATE($D21,Milestones!$AA$24)&gt;=$T21),$W21,IF(AND($S21&lt;&gt;"",EDATE($D21,Milestones!$AA$24)&gt;=$S21),$V21,$U21)))=Milestones!$AB$24),UPPER(TEXT(EDATE($D21,Milestones!$AA$24),"dd mmm yy"))&amp;" "&amp;Milestones!$AB$24&amp;" "&amp;Milestones!$AC$24&amp;";  ","")&amp;IF(AND(EDATE($D21,Milestones!$AA$25)&lt;=AsOfDate,IF($R21=0,$X21,IF(AND($T21&lt;&gt;"",EDATE($D21,Milestones!$AA$25)&gt;=$T21),$W21,IF(AND($S21&lt;&gt;"",EDATE($D21,Milestones!$AA$25)&gt;=$S21),$V21,$U21)))=Milestones!$AB$25),UPPER(TEXT(EDATE($D21,Milestones!$AA$25),"dd mmm yy"))&amp;" "&amp;Milestones!$AB$25&amp;" "&amp;Milestones!$AC$25&amp;";  ","")&amp;IF(AND(EDATE($D21,Milestones!$AA$26)&lt;=AsOfDate,IF($R21=0,$X21,IF(AND($T21&lt;&gt;"",EDATE($D21,Milestones!$AA$26)&gt;=$T21),$W21,IF(AND($S21&lt;&gt;"",EDATE($D21,Milestones!$AA$26)&gt;=$S21),$V21,$U21)))=Milestones!$AB$26),UPPER(TEXT(EDATE($D21,Milestones!$AA$26),"dd mmm yy"))&amp;" "&amp;Milestones!$AB$26&amp;" "&amp;Milestones!$AC$26&amp;";  ","")&amp;IF(AND(EDATE($D21,Milestones!$AA$27)&lt;=AsOfDate,IF($R21=0,$X21,IF(AND($T21&lt;&gt;"",EDATE($D21,Milestones!$AA$27)&gt;=$T21),$W21,IF(AND($S21&lt;&gt;"",EDATE($D21,Milestones!$AA$27)&gt;=$S21),$V21,$U21)))=Milestones!$AB$27),UPPER(TEXT(EDATE($D21,Milestones!$AA$27),"dd mmm yy"))&amp;" "&amp;Milestones!$AB$27&amp;" "&amp;Milestones!$AC$27&amp;";  ","")&amp;IF(AND(EDATE($D21,Milestones!$AA$28)&lt;=AsOfDate,IF($R21=0,$X21,IF(AND($T21&lt;&gt;"",EDATE($D21,Milestones!$AA$28)&gt;=$T21),$W21,IF(AND($S21&lt;&gt;"",EDATE($D21,Milestones!$AA$28)&gt;=$S21),$V21,$U21)))=Milestones!$AB$28),UPPER(TEXT(EDATE($D21,Milestones!$AA$28),"dd mmm yy"))&amp;" "&amp;Milestones!$AB$28&amp;" "&amp;Milestones!$AC$28&amp;";  ","")&amp;IF(AND(EDATE($D21,Milestones!$AA$29)&lt;=AsOfDate,IF($R21=0,$X21,IF(AND($T21&lt;&gt;"",EDATE($D21,Milestones!$AA$29)&gt;=$T21),$W21,IF(AND($S21&lt;&gt;"",EDATE($D21,Milestones!$AA$29)&gt;=$S21),$V21,$U21)))=Milestones!$AB$29),UPPER(TEXT(EDATE($D21,Milestones!$AA$29),"dd mmm yy"))&amp;" "&amp;Milestones!$AB$29&amp;" "&amp;Milestones!$AC$29&amp;";  ","")&amp;IF(AND(EDATE($D21,Milestones!$AA$30)&lt;=AsOfDate,IF($R21=0,$X21,IF(AND($T21&lt;&gt;"",EDATE($D21,Milestones!$AA$30)&gt;=$T21),$W21,IF(AND($S21&lt;&gt;"",EDATE($D21,Milestones!$AA$30)&gt;=$S21),$V21,$U21)))=Milestones!$AB$30),UPPER(TEXT(EDATE($D21,Milestones!$AA$30),"dd mmm yy"))&amp;" "&amp;Milestones!$AB$30&amp;" "&amp;Milestones!$AC$30&amp;";  ","")&amp;IF(AND(EDATE($D21,Milestones!$AA$31)&lt;=AsOfDate,IF($R21=0,$X21,IF(AND($T21&lt;&gt;"",EDATE($D21,Milestones!$AA$31)&gt;=$T21),$W21,IF(AND($S21&lt;&gt;"",EDATE($D21,Milestones!$AA$31)&gt;=$S21),$V21,$U21)))=Milestones!$AB$31),UPPER(TEXT(EDATE($D21,Milestones!$AA$31),"dd mmm yy"))&amp;" "&amp;Milestones!$AB$31&amp;" "&amp;Milestones!$AC$31&amp;";  ","")&amp;IF(AND(EDATE($D21,Milestones!$AA$32)&lt;=AsOfDate,IF($R21=0,$X21,IF(AND($T21&lt;&gt;"",EDATE($D21,Milestones!$AA$32)&gt;=$T21),$W21,IF(AND($S21&lt;&gt;"",EDATE($D21,Milestones!$AA$32)&gt;=$S21),$V21,$U21)))=Milestones!$AB$32),UPPER(TEXT(EDATE($D21,Milestones!$AA$32),"dd mmm yy"))&amp;" "&amp;Milestones!$AB$32&amp;" "&amp;Milestones!$AC$32&amp;";  ","")&amp;IF(AND(EDATE($D21,Milestones!$AA$33)&lt;=AsOfDate,IF($R21=0,$X21,IF(AND($T21&lt;&gt;"",EDATE($D21,Milestones!$AA$33)&gt;=$T21),$W21,IF(AND($S21&lt;&gt;"",EDATE($D21,Milestones!$AA$33)&gt;=$S21),$V21,$U21)))=Milestones!$AB$33),UPPER(TEXT(EDATE($D21,Milestones!$AA$33),"dd mmm yy"))&amp;" "&amp;Milestones!$AB$33&amp;" "&amp;Milestones!$AC$33&amp;";  ","")&amp;IF(AND(EDATE($D21,Milestones!$AA$34)&lt;=AsOfDate,IF($R21=0,$X21,IF(AND($T21&lt;&gt;"",EDATE($D21,Milestones!$AA$34)&gt;=$T21),$W21,IF(AND($S21&lt;&gt;"",EDATE($D21,Milestones!$AA$34)&gt;=$S21),$V21,$U21)))=Milestones!$AB$34),UPPER(TEXT(EDATE($D21,Milestones!$AA$34),"dd mmm yy"))&amp;" "&amp;Milestones!$AB$34&amp;" "&amp;Milestones!$AC$34&amp;";  ","")&amp;IF(AND(EDATE($D21,Milestones!$AA$35)&lt;=AsOfDate,IF($R21=0,$X21,IF(AND($T21&lt;&gt;"",EDATE($D21,Milestones!$AA$35)&gt;=$T21),$W21,IF(AND($S21&lt;&gt;"",EDATE($D21,Milestones!$AA$35)&gt;=$S21),$V21,$U21)))=Milestones!$AB$35),UPPER(TEXT(EDATE($D21,Milestones!$AA$35),"dd mmm yy"))&amp;" "&amp;Milestones!$AB$35&amp;" "&amp;Milestones!$AC$35&amp;";  ","")&amp;IF(AND(EDATE($D21,Milestones!$AA$36)&lt;=AsOfDate,IF($R21=0,$X21,IF(AND($T21&lt;&gt;"",EDATE($D21,Milestones!$AA$36)&gt;=$T21),$W21,IF(AND($S21&lt;&gt;"",EDATE($D21,Milestones!$AA$36)&gt;=$S21),$V21,$U21)))=Milestones!$AB$36),UPPER(TEXT(EDATE($D21,Milestones!$AA$36),"dd mmm yy"))&amp;" "&amp;Milestones!$AB$36&amp;" "&amp;Milestones!$AC$36&amp;";  ","")&amp;IF(AND(EDATE($D21,Milestones!$AA$37)&lt;=AsOfDate,IF($R21=0,$X21,IF(AND($T21&lt;&gt;"",EDATE($D21,Milestones!$AA$37)&gt;=$T21),$W21,IF(AND($S21&lt;&gt;"",EDATE($D21,Milestones!$AA$37)&gt;=$S21),$V21,$U21)))=Milestones!$AB$37),UPPER(TEXT(EDATE($D21,Milestones!$AA$37),"dd mmm yy"))&amp;" "&amp;Milestones!$AB$37&amp;" "&amp;Milestones!$AC$37&amp;";  ","")&amp;IF(AND(EDATE($D21,Milestones!$AA$38)&lt;=AsOfDate,IF($R21=0,$X21,IF(AND($T21&lt;&gt;"",EDATE($D21,Milestones!$AA$38)&gt;=$T21),$W21,IF(AND($S21&lt;&gt;"",EDATE($D21,Milestones!$AA$38)&gt;=$S21),$V21,$U21)))=Milestones!$AB$38),UPPER(TEXT(EDATE($D21,Milestones!$AA$38),"dd mmm yy"))&amp;" "&amp;Milestones!$AB$38&amp;" "&amp;Milestones!$AC$38&amp;";  ","")&amp;IF(AND(EDATE($D21,Milestones!$AA$39)&lt;=AsOfDate,IF($R21=0,$X21,IF(AND($T21&lt;&gt;"",EDATE($D21,Milestones!$AA$39)&gt;=$T21),$W21,IF(AND($S21&lt;&gt;"",EDATE($D21,Milestones!$AA$39)&gt;=$S21),$V21,$U21)))=Milestones!$AB$39),UPPER(TEXT(EDATE($D21,Milestones!$AA$39),"dd mmm yy"))&amp;" "&amp;Milestones!$AB$39&amp;" "&amp;Milestones!$AC$39&amp;";  ",""))</f>
        <v>26 APR 24 FT 1;  26 AUG 24 FT 1;  26 DEC 24 FT 1;  26 APR 25 FT 1;  26 AUG 25 FT 1;  26 DEC 25 FT 1;  26 APR 26 FT 2;  26 JUL 26 FT 1;  </v>
      </c>
      <c r="J21" s="0" t="str">
        <f aca="false">IF(OR($A21="",$D21=""),"",IF(AND(EDATE($D21,Milestones!$AA$40)&lt;=AsOfDate,IF($R21=0,$X21,IF(AND($T21&lt;&gt;"",EDATE($D21,Milestones!$AA$40)&gt;=$T21),$W21,IF(AND($S21&lt;&gt;"",EDATE($D21,Milestones!$AA$40)&gt;=$S21),$V21,$U21)))=Milestones!$AB$40),UPPER(TEXT(EDATE($D21,Milestones!$AA$40),"dd mmm yy"))&amp;" "&amp;Milestones!$AB$40&amp;" "&amp;Milestones!$AC$40&amp;";  ","")&amp;IF(AND(EDATE($D21,Milestones!$AA$41)&lt;=AsOfDate,IF($R21=0,$X21,IF(AND($T21&lt;&gt;"",EDATE($D21,Milestones!$AA$41)&gt;=$T21),$W21,IF(AND($S21&lt;&gt;"",EDATE($D21,Milestones!$AA$41)&gt;=$S21),$V21,$U21)))=Milestones!$AB$41),UPPER(TEXT(EDATE($D21,Milestones!$AA$41),"dd mmm yy"))&amp;" "&amp;Milestones!$AB$41&amp;" "&amp;Milestones!$AC$41&amp;";  ","")&amp;IF(AND(EDATE($D21,Milestones!$AA$42)&lt;=AsOfDate,IF($R21=0,$X21,IF(AND($T21&lt;&gt;"",EDATE($D21,Milestones!$AA$42)&gt;=$T21),$W21,IF(AND($S21&lt;&gt;"",EDATE($D21,Milestones!$AA$42)&gt;=$S21),$V21,$U21)))=Milestones!$AB$42),UPPER(TEXT(EDATE($D21,Milestones!$AA$42),"dd mmm yy"))&amp;" "&amp;Milestones!$AB$42&amp;" "&amp;Milestones!$AC$42&amp;";  ","")&amp;IF(AND(EDATE($D21,Milestones!$AA$43)&lt;=AsOfDate,IF($R21=0,$X21,IF(AND($T21&lt;&gt;"",EDATE($D21,Milestones!$AA$43)&gt;=$T21),$W21,IF(AND($S21&lt;&gt;"",EDATE($D21,Milestones!$AA$43)&gt;=$S21),$V21,$U21)))=Milestones!$AB$43),UPPER(TEXT(EDATE($D21,Milestones!$AA$43),"dd mmm yy"))&amp;" "&amp;Milestones!$AB$43&amp;" "&amp;Milestones!$AC$43&amp;";  ","")&amp;IF(AND(EDATE($D21,Milestones!$AA$44)&lt;=AsOfDate,IF($R21=0,$X21,IF(AND($T21&lt;&gt;"",EDATE($D21,Milestones!$AA$44)&gt;=$T21),$W21,IF(AND($S21&lt;&gt;"",EDATE($D21,Milestones!$AA$44)&gt;=$S21),$V21,$U21)))=Milestones!$AB$44),UPPER(TEXT(EDATE($D21,Milestones!$AA$44),"dd mmm yy"))&amp;" "&amp;Milestones!$AB$44&amp;" "&amp;Milestones!$AC$44&amp;";  ","")&amp;IF(AND(EDATE($D21,Milestones!$AA$45)&lt;=AsOfDate,IF($R21=0,$X21,IF(AND($T21&lt;&gt;"",EDATE($D21,Milestones!$AA$45)&gt;=$T21),$W21,IF(AND($S21&lt;&gt;"",EDATE($D21,Milestones!$AA$45)&gt;=$S21),$V21,$U21)))=Milestones!$AB$45),UPPER(TEXT(EDATE($D21,Milestones!$AA$45),"dd mmm yy"))&amp;" "&amp;Milestones!$AB$45&amp;" "&amp;Milestones!$AC$45&amp;";  ","")&amp;IF(AND(EDATE($D21,Milestones!$AA$46)&lt;=AsOfDate,IF($R21=0,$X21,IF(AND($T21&lt;&gt;"",EDATE($D21,Milestones!$AA$46)&gt;=$T21),$W21,IF(AND($S21&lt;&gt;"",EDATE($D21,Milestones!$AA$46)&gt;=$S21),$V21,$U21)))=Milestones!$AB$46),UPPER(TEXT(EDATE($D21,Milestones!$AA$46),"dd mmm yy"))&amp;" "&amp;Milestones!$AB$46&amp;" "&amp;Milestones!$AC$46&amp;";  ","")&amp;IF(AND(EDATE($D21,Milestones!$AA$47)&lt;=AsOfDate,IF($R21=0,$X21,IF(AND($T21&lt;&gt;"",EDATE($D21,Milestones!$AA$47)&gt;=$T21),$W21,IF(AND($S21&lt;&gt;"",EDATE($D21,Milestones!$AA$47)&gt;=$S21),$V21,$U21)))=Milestones!$AB$47),UPPER(TEXT(EDATE($D21,Milestones!$AA$47),"dd mmm yy"))&amp;" "&amp;Milestones!$AB$47&amp;" "&amp;Milestones!$AC$47&amp;";  ","")&amp;IF(AND(EDATE($D21,Milestones!$AA$48)&lt;=AsOfDate,IF($R21=0,$X21,IF(AND($T21&lt;&gt;"",EDATE($D21,Milestones!$AA$48)&gt;=$T21),$W21,IF(AND($S21&lt;&gt;"",EDATE($D21,Milestones!$AA$48)&gt;=$S21),$V21,$U21)))=Milestones!$AB$48),UPPER(TEXT(EDATE($D21,Milestones!$AA$48),"dd mmm yy"))&amp;" "&amp;Milestones!$AB$48&amp;" "&amp;Milestones!$AC$48&amp;";  ","")&amp;IF(AND(EDATE($D21,Milestones!$AA$49)&lt;=AsOfDate,IF($R21=0,$X21,IF(AND($T21&lt;&gt;"",EDATE($D21,Milestones!$AA$49)&gt;=$T21),$W21,IF(AND($S21&lt;&gt;"",EDATE($D21,Milestones!$AA$49)&gt;=$S21),$V21,$U21)))=Milestones!$AB$49),UPPER(TEXT(EDATE($D21,Milestones!$AA$49),"dd mmm yy"))&amp;" "&amp;Milestones!$AB$49&amp;" "&amp;Milestones!$AC$49&amp;";  ","")&amp;IF(AND(EDATE($D21,Milestones!$AA$50)&lt;=AsOfDate,IF($R21=0,$X21,IF(AND($T21&lt;&gt;"",EDATE($D21,Milestones!$AA$50)&gt;=$T21),$W21,IF(AND($S21&lt;&gt;"",EDATE($D21,Milestones!$AA$50)&gt;=$S21),$V21,$U21)))=Milestones!$AB$50),UPPER(TEXT(EDATE($D21,Milestones!$AA$50),"dd mmm yy"))&amp;" "&amp;Milestones!$AB$50&amp;" "&amp;Milestones!$AC$50&amp;";  ","")&amp;IF(AND(EDATE($D21,Milestones!$AA$51)&lt;=AsOfDate,IF($R21=0,$X21,IF(AND($T21&lt;&gt;"",EDATE($D21,Milestones!$AA$51)&gt;=$T21),$W21,IF(AND($S21&lt;&gt;"",EDATE($D21,Milestones!$AA$51)&gt;=$S21),$V21,$U21)))=Milestones!$AB$51),UPPER(TEXT(EDATE($D21,Milestones!$AA$51),"dd mmm yy"))&amp;" "&amp;Milestones!$AB$51&amp;" "&amp;Milestones!$AC$51&amp;";  ","")&amp;IF(AND(EDATE($D21,Milestones!$AA$52)&lt;=AsOfDate,IF($R21=0,$X21,IF(AND($T21&lt;&gt;"",EDATE($D21,Milestones!$AA$52)&gt;=$T21),$W21,IF(AND($S21&lt;&gt;"",EDATE($D21,Milestones!$AA$52)&gt;=$S21),$V21,$U21)))=Milestones!$AB$52),UPPER(TEXT(EDATE($D21,Milestones!$AA$52),"dd mmm yy"))&amp;" "&amp;Milestones!$AB$52&amp;" "&amp;Milestones!$AC$52&amp;";  ","")&amp;IF(AND(EDATE($D21,Milestones!$AA$53)&lt;=AsOfDate,IF($R21=0,$X21,IF(AND($T21&lt;&gt;"",EDATE($D21,Milestones!$AA$53)&gt;=$T21),$W21,IF(AND($S21&lt;&gt;"",EDATE($D21,Milestones!$AA$53)&gt;=$S21),$V21,$U21)))=Milestones!$AB$53),UPPER(TEXT(EDATE($D21,Milestones!$AA$53),"dd mmm yy"))&amp;" "&amp;Milestones!$AB$53&amp;" "&amp;Milestones!$AC$53&amp;";  ","")&amp;IF(AND(EDATE($D21,Milestones!$AA$54)&lt;=AsOfDate,IF($R21=0,$X21,IF(AND($T21&lt;&gt;"",EDATE($D21,Milestones!$AA$54)&gt;=$T21),$W21,IF(AND($S21&lt;&gt;"",EDATE($D21,Milestones!$AA$54)&gt;=$S21),$V21,$U21)))=Milestones!$AB$54),UPPER(TEXT(EDATE($D21,Milestones!$AA$54),"dd mmm yy"))&amp;" "&amp;Milestones!$AB$54&amp;" "&amp;Milestones!$AC$54&amp;";  ","")&amp;IF(AND(EDATE($D21,Milestones!$AA$55)&lt;=AsOfDate,IF($R21=0,$X21,IF(AND($T21&lt;&gt;"",EDATE($D21,Milestones!$AA$55)&gt;=$T21),$W21,IF(AND($S21&lt;&gt;"",EDATE($D21,Milestones!$AA$55)&gt;=$S21),$V21,$U21)))=Milestones!$AB$55),UPPER(TEXT(EDATE($D21,Milestones!$AA$55),"dd mmm yy"))&amp;" "&amp;Milestones!$AB$55&amp;" "&amp;Milestones!$AC$55&amp;";  ","")&amp;IF(AND(EDATE($D21,Milestones!$AA$56)&lt;=AsOfDate,IF($R21=0,$X21,IF(AND($T21&lt;&gt;"",EDATE($D21,Milestones!$AA$56)&gt;=$T21),$W21,IF(AND($S21&lt;&gt;"",EDATE($D21,Milestones!$AA$56)&gt;=$S21),$V21,$U21)))=Milestones!$AB$56),UPPER(TEXT(EDATE($D21,Milestones!$AA$56),"dd mmm yy"))&amp;" "&amp;Milestones!$AB$56&amp;" "&amp;Milestones!$AC$56&amp;";  ","")&amp;IF(AND(EDATE($D21,Milestones!$AA$57)&lt;=AsOfDate,IF($R21=0,$X21,IF(AND($T21&lt;&gt;"",EDATE($D21,Milestones!$AA$57)&gt;=$T21),$W21,IF(AND($S21&lt;&gt;"",EDATE($D21,Milestones!$AA$57)&gt;=$S21),$V21,$U21)))=Milestones!$AB$57),UPPER(TEXT(EDATE($D21,Milestones!$AA$57),"dd mmm yy"))&amp;" "&amp;Milestones!$AB$57&amp;" "&amp;Milestones!$AC$57&amp;";  ","")&amp;IF(AND(EDATE($D21,Milestones!$AA$58)&lt;=AsOfDate,IF($R21=0,$X21,IF(AND($T21&lt;&gt;"",EDATE($D21,Milestones!$AA$58)&gt;=$T21),$W21,IF(AND($S21&lt;&gt;"",EDATE($D21,Milestones!$AA$58)&gt;=$S21),$V21,$U21)))=Milestones!$AB$58),UPPER(TEXT(EDATE($D21,Milestones!$AA$58),"dd mmm yy"))&amp;" "&amp;Milestones!$AB$58&amp;" "&amp;Milestones!$AC$58&amp;";  ","")&amp;IF(AND(EDATE($D21,Milestones!$AA$59)&lt;=AsOfDate,IF($R21=0,$X21,IF(AND($T21&lt;&gt;"",EDATE($D21,Milestones!$AA$59)&gt;=$T21),$W21,IF(AND($S21&lt;&gt;"",EDATE($D21,Milestones!$AA$59)&gt;=$S21),$V21,$U21)))=Milestones!$AB$59),UPPER(TEXT(EDATE($D21,Milestones!$AA$59),"dd mmm yy"))&amp;" "&amp;Milestones!$AB$59&amp;" "&amp;Milestones!$AC$59&amp;";  ",""))</f>
        <v/>
      </c>
      <c r="K21" s="0" t="str">
        <f aca="false">IF(OR($A21="",$D21=""),"",IF(AND(EDATE($D21,Milestones!$AA$60)&lt;=AsOfDate,IF($R21=0,$X21,IF(AND($T21&lt;&gt;"",EDATE($D21,Milestones!$AA$60)&gt;=$T21),$W21,IF(AND($S21&lt;&gt;"",EDATE($D21,Milestones!$AA$60)&gt;=$S21),$V21,$U21)))=Milestones!$AB$60),UPPER(TEXT(EDATE($D21,Milestones!$AA$60),"dd mmm yy"))&amp;" "&amp;Milestones!$AB$60&amp;" "&amp;Milestones!$AC$60&amp;";  ","")&amp;IF(AND(EDATE($D21,Milestones!$AA$61)&lt;=AsOfDate,IF($R21=0,$X21,IF(AND($T21&lt;&gt;"",EDATE($D21,Milestones!$AA$61)&gt;=$T21),$W21,IF(AND($S21&lt;&gt;"",EDATE($D21,Milestones!$AA$61)&gt;=$S21),$V21,$U21)))=Milestones!$AB$61),UPPER(TEXT(EDATE($D21,Milestones!$AA$61),"dd mmm yy"))&amp;" "&amp;Milestones!$AB$61&amp;" "&amp;Milestones!$AC$61&amp;";  ","")&amp;IF(AND(EDATE($D21,Milestones!$AA$62)&lt;=AsOfDate,IF($R21=0,$X21,IF(AND($T21&lt;&gt;"",EDATE($D21,Milestones!$AA$62)&gt;=$T21),$W21,IF(AND($S21&lt;&gt;"",EDATE($D21,Milestones!$AA$62)&gt;=$S21),$V21,$U21)))=Milestones!$AB$62),UPPER(TEXT(EDATE($D21,Milestones!$AA$62),"dd mmm yy"))&amp;" "&amp;Milestones!$AB$62&amp;" "&amp;Milestones!$AC$62&amp;";  ","")&amp;IF(AND(EDATE($D21,Milestones!$AA$63)&lt;=AsOfDate,IF($R21=0,$X21,IF(AND($T21&lt;&gt;"",EDATE($D21,Milestones!$AA$63)&gt;=$T21),$W21,IF(AND($S21&lt;&gt;"",EDATE($D21,Milestones!$AA$63)&gt;=$S21),$V21,$U21)))=Milestones!$AB$63),UPPER(TEXT(EDATE($D21,Milestones!$AA$63),"dd mmm yy"))&amp;" "&amp;Milestones!$AB$63&amp;" "&amp;Milestones!$AC$63&amp;";  ","")&amp;IF(AND(EDATE($D21,Milestones!$AA$64)&lt;=AsOfDate,IF($R21=0,$X21,IF(AND($T21&lt;&gt;"",EDATE($D21,Milestones!$AA$64)&gt;=$T21),$W21,IF(AND($S21&lt;&gt;"",EDATE($D21,Milestones!$AA$64)&gt;=$S21),$V21,$U21)))=Milestones!$AB$64),UPPER(TEXT(EDATE($D21,Milestones!$AA$64),"dd mmm yy"))&amp;" "&amp;Milestones!$AB$64&amp;" "&amp;Milestones!$AC$64&amp;";  ","")&amp;IF(AND(EDATE($D21,Milestones!$AA$65)&lt;=AsOfDate,IF($R21=0,$X21,IF(AND($T21&lt;&gt;"",EDATE($D21,Milestones!$AA$65)&gt;=$T21),$W21,IF(AND($S21&lt;&gt;"",EDATE($D21,Milestones!$AA$65)&gt;=$S21),$V21,$U21)))=Milestones!$AB$65),UPPER(TEXT(EDATE($D21,Milestones!$AA$65),"dd mmm yy"))&amp;" "&amp;Milestones!$AB$65&amp;" "&amp;Milestones!$AC$65&amp;";  ","")&amp;IF(AND(EDATE($D21,Milestones!$AA$66)&lt;=AsOfDate,IF($R21=0,$X21,IF(AND($T21&lt;&gt;"",EDATE($D21,Milestones!$AA$66)&gt;=$T21),$W21,IF(AND($S21&lt;&gt;"",EDATE($D21,Milestones!$AA$66)&gt;=$S21),$V21,$U21)))=Milestones!$AB$66),UPPER(TEXT(EDATE($D21,Milestones!$AA$66),"dd mmm yy"))&amp;" "&amp;Milestones!$AB$66&amp;" "&amp;Milestones!$AC$66&amp;";  ","")&amp;IF(AND(EDATE($D21,Milestones!$AA$67)&lt;=AsOfDate,IF($R21=0,$X21,IF(AND($T21&lt;&gt;"",EDATE($D21,Milestones!$AA$67)&gt;=$T21),$W21,IF(AND($S21&lt;&gt;"",EDATE($D21,Milestones!$AA$67)&gt;=$S21),$V21,$U21)))=Milestones!$AB$67),UPPER(TEXT(EDATE($D21,Milestones!$AA$67),"dd mmm yy"))&amp;" "&amp;Milestones!$AB$67&amp;" "&amp;Milestones!$AC$67&amp;";  ","")&amp;IF(AND(EDATE($D21,Milestones!$AA$68)&lt;=AsOfDate,IF($R21=0,$X21,IF(AND($T21&lt;&gt;"",EDATE($D21,Milestones!$AA$68)&gt;=$T21),$W21,IF(AND($S21&lt;&gt;"",EDATE($D21,Milestones!$AA$68)&gt;=$S21),$V21,$U21)))=Milestones!$AB$68),UPPER(TEXT(EDATE($D21,Milestones!$AA$68),"dd mmm yy"))&amp;" "&amp;Milestones!$AB$68&amp;" "&amp;Milestones!$AC$68&amp;";  ","")&amp;IF(AND(EDATE($D21,Milestones!$AA$69)&lt;=AsOfDate,IF($R21=0,$X21,IF(AND($T21&lt;&gt;"",EDATE($D21,Milestones!$AA$69)&gt;=$T21),$W21,IF(AND($S21&lt;&gt;"",EDATE($D21,Milestones!$AA$69)&gt;=$S21),$V21,$U21)))=Milestones!$AB$69),UPPER(TEXT(EDATE($D21,Milestones!$AA$69),"dd mmm yy"))&amp;" "&amp;Milestones!$AB$69&amp;" "&amp;Milestones!$AC$69&amp;";  ","")&amp;IF(AND(EDATE($D21,Milestones!$AA$70)&lt;=AsOfDate,IF($R21=0,$X21,IF(AND($T21&lt;&gt;"",EDATE($D21,Milestones!$AA$70)&gt;=$T21),$W21,IF(AND($S21&lt;&gt;"",EDATE($D21,Milestones!$AA$70)&gt;=$S21),$V21,$U21)))=Milestones!$AB$70),UPPER(TEXT(EDATE($D21,Milestones!$AA$70),"dd mmm yy"))&amp;" "&amp;Milestones!$AB$70&amp;" "&amp;Milestones!$AC$70&amp;";  ","")&amp;IF(AND(EDATE($D21,Milestones!$AA$71)&lt;=AsOfDate,IF($R21=0,$X21,IF(AND($T21&lt;&gt;"",EDATE($D21,Milestones!$AA$71)&gt;=$T21),$W21,IF(AND($S21&lt;&gt;"",EDATE($D21,Milestones!$AA$71)&gt;=$S21),$V21,$U21)))=Milestones!$AB$71),UPPER(TEXT(EDATE($D21,Milestones!$AA$71),"dd mmm yy"))&amp;" "&amp;Milestones!$AB$71&amp;" "&amp;Milestones!$AC$71&amp;";  ","")&amp;IF(AND(EDATE($D21,Milestones!$AA$72)&lt;=AsOfDate,IF($R21=0,$X21,IF(AND($T21&lt;&gt;"",EDATE($D21,Milestones!$AA$72)&gt;=$T21),$W21,IF(AND($S21&lt;&gt;"",EDATE($D21,Milestones!$AA$72)&gt;=$S21),$V21,$U21)))=Milestones!$AB$72),UPPER(TEXT(EDATE($D21,Milestones!$AA$72),"dd mmm yy"))&amp;" "&amp;Milestones!$AB$72&amp;" "&amp;Milestones!$AC$72&amp;";  ","")&amp;IF(AND(EDATE($D21,Milestones!$AA$73)&lt;=AsOfDate,IF($R21=0,$X21,IF(AND($T21&lt;&gt;"",EDATE($D21,Milestones!$AA$73)&gt;=$T21),$W21,IF(AND($S21&lt;&gt;"",EDATE($D21,Milestones!$AA$73)&gt;=$S21),$V21,$U21)))=Milestones!$AB$73),UPPER(TEXT(EDATE($D21,Milestones!$AA$73),"dd mmm yy"))&amp;" "&amp;Milestones!$AB$73&amp;" "&amp;Milestones!$AC$73&amp;";  ","")&amp;IF(AND(EDATE($D21,Milestones!$AA$74)&lt;=AsOfDate,IF($R21=0,$X21,IF(AND($T21&lt;&gt;"",EDATE($D21,Milestones!$AA$74)&gt;=$T21),$W21,IF(AND($S21&lt;&gt;"",EDATE($D21,Milestones!$AA$74)&gt;=$S21),$V21,$U21)))=Milestones!$AB$74),UPPER(TEXT(EDATE($D21,Milestones!$AA$74),"dd mmm yy"))&amp;" "&amp;Milestones!$AB$74&amp;" "&amp;Milestones!$AC$74&amp;";  ","")&amp;IF(AND(EDATE($D21,Milestones!$AA$75)&lt;=AsOfDate,IF($R21=0,$X21,IF(AND($T21&lt;&gt;"",EDATE($D21,Milestones!$AA$75)&gt;=$T21),$W21,IF(AND($S21&lt;&gt;"",EDATE($D21,Milestones!$AA$75)&gt;=$S21),$V21,$U21)))=Milestones!$AB$75),UPPER(TEXT(EDATE($D21,Milestones!$AA$75),"dd mmm yy"))&amp;" "&amp;Milestones!$AB$75&amp;" "&amp;Milestones!$AC$75&amp;";  ","")&amp;IF(AND(EDATE($D21,Milestones!$AA$76)&lt;=AsOfDate,IF($R21=0,$X21,IF(AND($T21&lt;&gt;"",EDATE($D21,Milestones!$AA$76)&gt;=$T21),$W21,IF(AND($S21&lt;&gt;"",EDATE($D21,Milestones!$AA$76)&gt;=$S21),$V21,$U21)))=Milestones!$AB$76),UPPER(TEXT(EDATE($D21,Milestones!$AA$76),"dd mmm yy"))&amp;" "&amp;Milestones!$AB$76&amp;" "&amp;Milestones!$AC$76&amp;";  ","")&amp;IF(AND(EDATE($D21,Milestones!$AA$77)&lt;=AsOfDate,IF($R21=0,$X21,IF(AND($T21&lt;&gt;"",EDATE($D21,Milestones!$AA$77)&gt;=$T21),$W21,IF(AND($S21&lt;&gt;"",EDATE($D21,Milestones!$AA$77)&gt;=$S21),$V21,$U21)))=Milestones!$AB$77),UPPER(TEXT(EDATE($D21,Milestones!$AA$77),"dd mmm yy"))&amp;" "&amp;Milestones!$AB$77&amp;" "&amp;Milestones!$AC$77&amp;";  ","")&amp;IF(AND(EDATE($D21,Milestones!$AA$78)&lt;=AsOfDate,IF($R21=0,$X21,IF(AND($T21&lt;&gt;"",EDATE($D21,Milestones!$AA$78)&gt;=$T21),$W21,IF(AND($S21&lt;&gt;"",EDATE($D21,Milestones!$AA$78)&gt;=$S21),$V21,$U21)))=Milestones!$AB$78),UPPER(TEXT(EDATE($D21,Milestones!$AA$78),"dd mmm yy"))&amp;" "&amp;Milestones!$AB$78&amp;" "&amp;Milestones!$AC$78&amp;";  ","")&amp;IF(AND(EDATE($D21,Milestones!$AA$79)&lt;=AsOfDate,IF($R21=0,$X21,IF(AND($T21&lt;&gt;"",EDATE($D21,Milestones!$AA$79)&gt;=$T21),$W21,IF(AND($S21&lt;&gt;"",EDATE($D21,Milestones!$AA$79)&gt;=$S21),$V21,$U21)))=Milestones!$AB$79),UPPER(TEXT(EDATE($D21,Milestones!$AA$79),"dd mmm yy"))&amp;" "&amp;Milestones!$AB$79&amp;" "&amp;Milestones!$AC$79&amp;";  ",""))</f>
        <v/>
      </c>
      <c r="L21" s="0" t="str">
        <f aca="false">IF(OR($A21="",$D21=""),"",IF(AND(EDATE($D21,Milestones!$AA$80)&lt;=AsOfDate,IF($R21=0,$X21,IF(AND($T21&lt;&gt;"",EDATE($D21,Milestones!$AA$80)&gt;=$T21),$W21,IF(AND($S21&lt;&gt;"",EDATE($D21,Milestones!$AA$80)&gt;=$S21),$V21,$U21)))=Milestones!$AB$80),UPPER(TEXT(EDATE($D21,Milestones!$AA$80),"dd mmm yy"))&amp;" "&amp;Milestones!$AB$80&amp;" "&amp;Milestones!$AC$80&amp;";  ","")&amp;IF(AND(EDATE($D21,Milestones!$AA$81)&lt;=AsOfDate,IF($R21=0,$X21,IF(AND($T21&lt;&gt;"",EDATE($D21,Milestones!$AA$81)&gt;=$T21),$W21,IF(AND($S21&lt;&gt;"",EDATE($D21,Milestones!$AA$81)&gt;=$S21),$V21,$U21)))=Milestones!$AB$81),UPPER(TEXT(EDATE($D21,Milestones!$AA$81),"dd mmm yy"))&amp;" "&amp;Milestones!$AB$81&amp;" "&amp;Milestones!$AC$81&amp;";  ","")&amp;IF(AND(EDATE($D21,Milestones!$AA$82)&lt;=AsOfDate,IF($R21=0,$X21,IF(AND($T21&lt;&gt;"",EDATE($D21,Milestones!$AA$82)&gt;=$T21),$W21,IF(AND($S21&lt;&gt;"",EDATE($D21,Milestones!$AA$82)&gt;=$S21),$V21,$U21)))=Milestones!$AB$82),UPPER(TEXT(EDATE($D21,Milestones!$AA$82),"dd mmm yy"))&amp;" "&amp;Milestones!$AB$82&amp;" "&amp;Milestones!$AC$82&amp;";  ","")&amp;IF(AND(EDATE($D21,Milestones!$AA$83)&lt;=AsOfDate,IF($R21=0,$X21,IF(AND($T21&lt;&gt;"",EDATE($D21,Milestones!$AA$83)&gt;=$T21),$W21,IF(AND($S21&lt;&gt;"",EDATE($D21,Milestones!$AA$83)&gt;=$S21),$V21,$U21)))=Milestones!$AB$83),UPPER(TEXT(EDATE($D21,Milestones!$AA$83),"dd mmm yy"))&amp;" "&amp;Milestones!$AB$83&amp;" "&amp;Milestones!$AC$83&amp;";  ","")&amp;IF(AND(EDATE($D21,Milestones!$AA$84)&lt;=AsOfDate,IF($R21=0,$X21,IF(AND($T21&lt;&gt;"",EDATE($D21,Milestones!$AA$84)&gt;=$T21),$W21,IF(AND($S21&lt;&gt;"",EDATE($D21,Milestones!$AA$84)&gt;=$S21),$V21,$U21)))=Milestones!$AB$84),UPPER(TEXT(EDATE($D21,Milestones!$AA$84),"dd mmm yy"))&amp;" "&amp;Milestones!$AB$84&amp;" "&amp;Milestones!$AC$84&amp;";  ","")&amp;IF(AND(EDATE($D21,Milestones!$AA$85)&lt;=AsOfDate,IF($R21=0,$X21,IF(AND($T21&lt;&gt;"",EDATE($D21,Milestones!$AA$85)&gt;=$T21),$W21,IF(AND($S21&lt;&gt;"",EDATE($D21,Milestones!$AA$85)&gt;=$S21),$V21,$U21)))=Milestones!$AB$85),UPPER(TEXT(EDATE($D21,Milestones!$AA$85),"dd mmm yy"))&amp;" "&amp;Milestones!$AB$85&amp;" "&amp;Milestones!$AC$85&amp;";  ","")&amp;IF(AND(EDATE($D21,Milestones!$AA$86)&lt;=AsOfDate,IF($R21=0,$X21,IF(AND($T21&lt;&gt;"",EDATE($D21,Milestones!$AA$86)&gt;=$T21),$W21,IF(AND($S21&lt;&gt;"",EDATE($D21,Milestones!$AA$86)&gt;=$S21),$V21,$U21)))=Milestones!$AB$86),UPPER(TEXT(EDATE($D21,Milestones!$AA$86),"dd mmm yy"))&amp;" "&amp;Milestones!$AB$86&amp;" "&amp;Milestones!$AC$86&amp;";  ","")&amp;IF(AND(EDATE($D21,Milestones!$AA$87)&lt;=AsOfDate,IF($R21=0,$X21,IF(AND($T21&lt;&gt;"",EDATE($D21,Milestones!$AA$87)&gt;=$T21),$W21,IF(AND($S21&lt;&gt;"",EDATE($D21,Milestones!$AA$87)&gt;=$S21),$V21,$U21)))=Milestones!$AB$87),UPPER(TEXT(EDATE($D21,Milestones!$AA$87),"dd mmm yy"))&amp;" "&amp;Milestones!$AB$87&amp;" "&amp;Milestones!$AC$87&amp;";  ","")&amp;IF(AND(EDATE($D21,Milestones!$AA$88)&lt;=AsOfDate,IF($R21=0,$X21,IF(AND($T21&lt;&gt;"",EDATE($D21,Milestones!$AA$88)&gt;=$T21),$W21,IF(AND($S21&lt;&gt;"",EDATE($D21,Milestones!$AA$88)&gt;=$S21),$V21,$U21)))=Milestones!$AB$88),UPPER(TEXT(EDATE($D21,Milestones!$AA$88),"dd mmm yy"))&amp;" "&amp;Milestones!$AB$88&amp;" "&amp;Milestones!$AC$88&amp;";  ","")&amp;IF(AND(EDATE($D21,Milestones!$AA$89)&lt;=AsOfDate,IF($R21=0,$X21,IF(AND($T21&lt;&gt;"",EDATE($D21,Milestones!$AA$89)&gt;=$T21),$W21,IF(AND($S21&lt;&gt;"",EDATE($D21,Milestones!$AA$89)&gt;=$S21),$V21,$U21)))=Milestones!$AB$89),UPPER(TEXT(EDATE($D21,Milestones!$AA$89),"dd mmm yy"))&amp;" "&amp;Milestones!$AB$89&amp;" "&amp;Milestones!$AC$89&amp;";  ","")&amp;IF(AND(EDATE($D21,Milestones!$AA$90)&lt;=AsOfDate,IF($R21=0,$X21,IF(AND($T21&lt;&gt;"",EDATE($D21,Milestones!$AA$90)&gt;=$T21),$W21,IF(AND($S21&lt;&gt;"",EDATE($D21,Milestones!$AA$90)&gt;=$S21),$V21,$U21)))=Milestones!$AB$90),UPPER(TEXT(EDATE($D21,Milestones!$AA$90),"dd mmm yy"))&amp;" "&amp;Milestones!$AB$90&amp;" "&amp;Milestones!$AC$90&amp;";  ","")&amp;IF(AND(EDATE($D21,Milestones!$AA$91)&lt;=AsOfDate,IF($R21=0,$X21,IF(AND($T21&lt;&gt;"",EDATE($D21,Milestones!$AA$91)&gt;=$T21),$W21,IF(AND($S21&lt;&gt;"",EDATE($D21,Milestones!$AA$91)&gt;=$S21),$V21,$U21)))=Milestones!$AB$91),UPPER(TEXT(EDATE($D21,Milestones!$AA$91),"dd mmm yy"))&amp;" "&amp;Milestones!$AB$91&amp;" "&amp;Milestones!$AC$91&amp;";  ","")&amp;IF(AND(EDATE($D21,Milestones!$AA$92)&lt;=AsOfDate,IF($R21=0,$X21,IF(AND($T21&lt;&gt;"",EDATE($D21,Milestones!$AA$92)&gt;=$T21),$W21,IF(AND($S21&lt;&gt;"",EDATE($D21,Milestones!$AA$92)&gt;=$S21),$V21,$U21)))=Milestones!$AB$92),UPPER(TEXT(EDATE($D21,Milestones!$AA$92),"dd mmm yy"))&amp;" "&amp;Milestones!$AB$92&amp;" "&amp;Milestones!$AC$92&amp;";  ","")&amp;IF(AND(EDATE($D21,Milestones!$AA$93)&lt;=AsOfDate,IF($R21=0,$X21,IF(AND($T21&lt;&gt;"",EDATE($D21,Milestones!$AA$93)&gt;=$T21),$W21,IF(AND($S21&lt;&gt;"",EDATE($D21,Milestones!$AA$93)&gt;=$S21),$V21,$U21)))=Milestones!$AB$93),UPPER(TEXT(EDATE($D21,Milestones!$AA$93),"dd mmm yy"))&amp;" "&amp;Milestones!$AB$93&amp;" "&amp;Milestones!$AC$93&amp;";  ","")&amp;IF(AND(EDATE($D21,Milestones!$AA$94)&lt;=AsOfDate,IF($R21=0,$X21,IF(AND($T21&lt;&gt;"",EDATE($D21,Milestones!$AA$94)&gt;=$T21),$W21,IF(AND($S21&lt;&gt;"",EDATE($D21,Milestones!$AA$94)&gt;=$S21),$V21,$U21)))=Milestones!$AB$94),UPPER(TEXT(EDATE($D21,Milestones!$AA$94),"dd mmm yy"))&amp;" "&amp;Milestones!$AB$94&amp;" "&amp;Milestones!$AC$94&amp;";  ","")&amp;IF(AND(EDATE($D21,Milestones!$AA$95)&lt;=AsOfDate,IF($R21=0,$X21,IF(AND($T21&lt;&gt;"",EDATE($D21,Milestones!$AA$95)&gt;=$T21),$W21,IF(AND($S21&lt;&gt;"",EDATE($D21,Milestones!$AA$95)&gt;=$S21),$V21,$U21)))=Milestones!$AB$95),UPPER(TEXT(EDATE($D21,Milestones!$AA$95),"dd mmm yy"))&amp;" "&amp;Milestones!$AB$95&amp;" "&amp;Milestones!$AC$95&amp;";  ","")&amp;IF(AND(EDATE($D21,Milestones!$AA$96)&lt;=AsOfDate,IF($R21=0,$X21,IF(AND($T21&lt;&gt;"",EDATE($D21,Milestones!$AA$96)&gt;=$T21),$W21,IF(AND($S21&lt;&gt;"",EDATE($D21,Milestones!$AA$96)&gt;=$S21),$V21,$U21)))=Milestones!$AB$96),UPPER(TEXT(EDATE($D21,Milestones!$AA$96),"dd mmm yy"))&amp;" "&amp;Milestones!$AB$96&amp;" "&amp;Milestones!$AC$96&amp;";  ","")&amp;IF(AND(EDATE($D21,Milestones!$AA$97)&lt;=AsOfDate,IF($R21=0,$X21,IF(AND($T21&lt;&gt;"",EDATE($D21,Milestones!$AA$97)&gt;=$T21),$W21,IF(AND($S21&lt;&gt;"",EDATE($D21,Milestones!$AA$97)&gt;=$S21),$V21,$U21)))=Milestones!$AB$97),UPPER(TEXT(EDATE($D21,Milestones!$AA$97),"dd mmm yy"))&amp;" "&amp;Milestones!$AB$97&amp;" "&amp;Milestones!$AC$97&amp;";  ","")&amp;IF(AND(EDATE($D21,Milestones!$AA$98)&lt;=AsOfDate,IF($R21=0,$X21,IF(AND($T21&lt;&gt;"",EDATE($D21,Milestones!$AA$98)&gt;=$T21),$W21,IF(AND($S21&lt;&gt;"",EDATE($D21,Milestones!$AA$98)&gt;=$S21),$V21,$U21)))=Milestones!$AB$98),UPPER(TEXT(EDATE($D21,Milestones!$AA$98),"dd mmm yy"))&amp;" "&amp;Milestones!$AB$98&amp;" "&amp;Milestones!$AC$98&amp;";  ","")&amp;IF(AND(EDATE($D21,Milestones!$AA$99)&lt;=AsOfDate,IF($R21=0,$X21,IF(AND($T21&lt;&gt;"",EDATE($D21,Milestones!$AA$99)&gt;=$T21),$W21,IF(AND($S21&lt;&gt;"",EDATE($D21,Milestones!$AA$99)&gt;=$S21),$V21,$U21)))=Milestones!$AB$99),UPPER(TEXT(EDATE($D21,Milestones!$AA$99),"dd mmm yy"))&amp;" "&amp;Milestones!$AB$99&amp;" "&amp;Milestones!$AC$99&amp;";  ",""))</f>
        <v/>
      </c>
      <c r="M21" s="0" t="str">
        <f aca="false">IF(OR($A21="",$D21=""),"",IF(AND(EDATE($D21,Milestones!$AA$100)&lt;=AsOfDate,IF($R21=0,$X21,IF(AND($T21&lt;&gt;"",EDATE($D21,Milestones!$AA$100)&gt;=$T21),$W21,IF(AND($S21&lt;&gt;"",EDATE($D21,Milestones!$AA$100)&gt;=$S21),$V21,$U21)))=Milestones!$AB$100),UPPER(TEXT(EDATE($D21,Milestones!$AA$100),"dd mmm yy"))&amp;" "&amp;Milestones!$AB$100&amp;" "&amp;Milestones!$AC$100&amp;";  ","")&amp;IF(AND(EDATE($D21,Milestones!$AA$101)&lt;=AsOfDate,IF($R21=0,$X21,IF(AND($T21&lt;&gt;"",EDATE($D21,Milestones!$AA$101)&gt;=$T21),$W21,IF(AND($S21&lt;&gt;"",EDATE($D21,Milestones!$AA$101)&gt;=$S21),$V21,$U21)))=Milestones!$AB$101),UPPER(TEXT(EDATE($D21,Milestones!$AA$101),"dd mmm yy"))&amp;" "&amp;Milestones!$AB$101&amp;" "&amp;Milestones!$AC$101&amp;";  ","")&amp;IF(AND(EDATE($D21,Milestones!$AA$102)&lt;=AsOfDate,IF($R21=0,$X21,IF(AND($T21&lt;&gt;"",EDATE($D21,Milestones!$AA$102)&gt;=$T21),$W21,IF(AND($S21&lt;&gt;"",EDATE($D21,Milestones!$AA$102)&gt;=$S21),$V21,$U21)))=Milestones!$AB$102),UPPER(TEXT(EDATE($D21,Milestones!$AA$102),"dd mmm yy"))&amp;" "&amp;Milestones!$AB$102&amp;" "&amp;Milestones!$AC$102&amp;";  ","")&amp;IF(AND(EDATE($D21,Milestones!$AA$103)&lt;=AsOfDate,IF($R21=0,$X21,IF(AND($T21&lt;&gt;"",EDATE($D21,Milestones!$AA$103)&gt;=$T21),$W21,IF(AND($S21&lt;&gt;"",EDATE($D21,Milestones!$AA$103)&gt;=$S21),$V21,$U21)))=Milestones!$AB$103),UPPER(TEXT(EDATE($D21,Milestones!$AA$103),"dd mmm yy"))&amp;" "&amp;Milestones!$AB$103&amp;" "&amp;Milestones!$AC$103&amp;";  ","")&amp;IF(AND(EDATE($D21,Milestones!$AA$104)&lt;=AsOfDate,IF($R21=0,$X21,IF(AND($T21&lt;&gt;"",EDATE($D21,Milestones!$AA$104)&gt;=$T21),$W21,IF(AND($S21&lt;&gt;"",EDATE($D21,Milestones!$AA$104)&gt;=$S21),$V21,$U21)))=Milestones!$AB$104),UPPER(TEXT(EDATE($D21,Milestones!$AA$104),"dd mmm yy"))&amp;" "&amp;Milestones!$AB$104&amp;" "&amp;Milestones!$AC$104&amp;";  ","")&amp;IF(AND(EDATE($D21,Milestones!$AA$105)&lt;=AsOfDate,IF($R21=0,$X21,IF(AND($T21&lt;&gt;"",EDATE($D21,Milestones!$AA$105)&gt;=$T21),$W21,IF(AND($S21&lt;&gt;"",EDATE($D21,Milestones!$AA$105)&gt;=$S21),$V21,$U21)))=Milestones!$AB$105),UPPER(TEXT(EDATE($D21,Milestones!$AA$105),"dd mmm yy"))&amp;" "&amp;Milestones!$AB$105&amp;" "&amp;Milestones!$AC$105&amp;";  ","")&amp;IF(AND(EDATE($D21,Milestones!$AA$106)&lt;=AsOfDate,IF($R21=0,$X21,IF(AND($T21&lt;&gt;"",EDATE($D21,Milestones!$AA$106)&gt;=$T21),$W21,IF(AND($S21&lt;&gt;"",EDATE($D21,Milestones!$AA$106)&gt;=$S21),$V21,$U21)))=Milestones!$AB$106),UPPER(TEXT(EDATE($D21,Milestones!$AA$106),"dd mmm yy"))&amp;" "&amp;Milestones!$AB$106&amp;" "&amp;Milestones!$AC$106&amp;";  ","")&amp;IF(AND(EDATE($D21,Milestones!$AA$107)&lt;=AsOfDate,IF($R21=0,$X21,IF(AND($T21&lt;&gt;"",EDATE($D21,Milestones!$AA$107)&gt;=$T21),$W21,IF(AND($S21&lt;&gt;"",EDATE($D21,Milestones!$AA$107)&gt;=$S21),$V21,$U21)))=Milestones!$AB$107),UPPER(TEXT(EDATE($D21,Milestones!$AA$107),"dd mmm yy"))&amp;" "&amp;Milestones!$AB$107&amp;" "&amp;Milestones!$AC$107&amp;";  ","")&amp;IF(AND(EDATE($D21,Milestones!$AA$108)&lt;=AsOfDate,IF($R21=0,$X21,IF(AND($T21&lt;&gt;"",EDATE($D21,Milestones!$AA$108)&gt;=$T21),$W21,IF(AND($S21&lt;&gt;"",EDATE($D21,Milestones!$AA$108)&gt;=$S21),$V21,$U21)))=Milestones!$AB$108),UPPER(TEXT(EDATE($D21,Milestones!$AA$108),"dd mmm yy"))&amp;" "&amp;Milestones!$AB$108&amp;" "&amp;Milestones!$AC$108&amp;";  ","")&amp;IF(AND(EDATE($D21,Milestones!$AA$109)&lt;=AsOfDate,IF($R21=0,$X21,IF(AND($T21&lt;&gt;"",EDATE($D21,Milestones!$AA$109)&gt;=$T21),$W21,IF(AND($S21&lt;&gt;"",EDATE($D21,Milestones!$AA$109)&gt;=$S21),$V21,$U21)))=Milestones!$AB$109),UPPER(TEXT(EDATE($D21,Milestones!$AA$109),"dd mmm yy"))&amp;" "&amp;Milestones!$AB$109&amp;" "&amp;Milestones!$AC$109&amp;";  ","")&amp;IF(AND(EDATE($D21,Milestones!$AA$110)&lt;=AsOfDate,IF($R21=0,$X21,IF(AND($T21&lt;&gt;"",EDATE($D21,Milestones!$AA$110)&gt;=$T21),$W21,IF(AND($S21&lt;&gt;"",EDATE($D21,Milestones!$AA$110)&gt;=$S21),$V21,$U21)))=Milestones!$AB$110),UPPER(TEXT(EDATE($D21,Milestones!$AA$110),"dd mmm yy"))&amp;" "&amp;Milestones!$AB$110&amp;" "&amp;Milestones!$AC$110&amp;";  ","")&amp;IF(AND(EDATE($D21,Milestones!$AA$111)&lt;=AsOfDate,IF($R21=0,$X21,IF(AND($T21&lt;&gt;"",EDATE($D21,Milestones!$AA$111)&gt;=$T21),$W21,IF(AND($S21&lt;&gt;"",EDATE($D21,Milestones!$AA$111)&gt;=$S21),$V21,$U21)))=Milestones!$AB$111),UPPER(TEXT(EDATE($D21,Milestones!$AA$111),"dd mmm yy"))&amp;" "&amp;Milestones!$AB$111&amp;" "&amp;Milestones!$AC$111&amp;";  ","")&amp;IF(AND(EDATE($D21,Milestones!$AA$112)&lt;=AsOfDate,IF($R21=0,$X21,IF(AND($T21&lt;&gt;"",EDATE($D21,Milestones!$AA$112)&gt;=$T21),$W21,IF(AND($S21&lt;&gt;"",EDATE($D21,Milestones!$AA$112)&gt;=$S21),$V21,$U21)))=Milestones!$AB$112),UPPER(TEXT(EDATE($D21,Milestones!$AA$112),"dd mmm yy"))&amp;" "&amp;Milestones!$AB$112&amp;" "&amp;Milestones!$AC$112&amp;";  ","")&amp;IF(AND(EDATE($D21,Milestones!$AA$113)&lt;=AsOfDate,IF($R21=0,$X21,IF(AND($T21&lt;&gt;"",EDATE($D21,Milestones!$AA$113)&gt;=$T21),$W21,IF(AND($S21&lt;&gt;"",EDATE($D21,Milestones!$AA$113)&gt;=$S21),$V21,$U21)))=Milestones!$AB$113),UPPER(TEXT(EDATE($D21,Milestones!$AA$113),"dd mmm yy"))&amp;" "&amp;Milestones!$AB$113&amp;" "&amp;Milestones!$AC$113&amp;";  ","")&amp;IF(AND(EDATE($D21,Milestones!$AA$114)&lt;=AsOfDate,IF($R21=0,$X21,IF(AND($T21&lt;&gt;"",EDATE($D21,Milestones!$AA$114)&gt;=$T21),$W21,IF(AND($S21&lt;&gt;"",EDATE($D21,Milestones!$AA$114)&gt;=$S21),$V21,$U21)))=Milestones!$AB$114),UPPER(TEXT(EDATE($D21,Milestones!$AA$114),"dd mmm yy"))&amp;" "&amp;Milestones!$AB$114&amp;" "&amp;Milestones!$AC$114&amp;";  ","")&amp;IF(AND(EDATE($D21,Milestones!$AA$115)&lt;=AsOfDate,IF($R21=0,$X21,IF(AND($T21&lt;&gt;"",EDATE($D21,Milestones!$AA$115)&gt;=$T21),$W21,IF(AND($S21&lt;&gt;"",EDATE($D21,Milestones!$AA$115)&gt;=$S21),$V21,$U21)))=Milestones!$AB$115),UPPER(TEXT(EDATE($D21,Milestones!$AA$115),"dd mmm yy"))&amp;" "&amp;Milestones!$AB$115&amp;" "&amp;Milestones!$AC$115&amp;";  ","")&amp;IF(AND(EDATE($D21,Milestones!$AA$116)&lt;=AsOfDate,IF($R21=0,$X21,IF(AND($T21&lt;&gt;"",EDATE($D21,Milestones!$AA$116)&gt;=$T21),$W21,IF(AND($S21&lt;&gt;"",EDATE($D21,Milestones!$AA$116)&gt;=$S21),$V21,$U21)))=Milestones!$AB$116),UPPER(TEXT(EDATE($D21,Milestones!$AA$116),"dd mmm yy"))&amp;" "&amp;Milestones!$AB$116&amp;" "&amp;Milestones!$AC$116&amp;";  ","")&amp;IF(AND(EDATE($D21,Milestones!$AA$117)&lt;=AsOfDate,IF($R21=0,$X21,IF(AND($T21&lt;&gt;"",EDATE($D21,Milestones!$AA$117)&gt;=$T21),$W21,IF(AND($S21&lt;&gt;"",EDATE($D21,Milestones!$AA$117)&gt;=$S21),$V21,$U21)))=Milestones!$AB$117),UPPER(TEXT(EDATE($D21,Milestones!$AA$117),"dd mmm yy"))&amp;" "&amp;Milestones!$AB$117&amp;" "&amp;Milestones!$AC$117&amp;";  ","")&amp;IF(AND(EDATE($D21,Milestones!$AA$118)&lt;=AsOfDate,IF($R21=0,$X21,IF(AND($T21&lt;&gt;"",EDATE($D21,Milestones!$AA$118)&gt;=$T21),$W21,IF(AND($S21&lt;&gt;"",EDATE($D21,Milestones!$AA$118)&gt;=$S21),$V21,$U21)))=Milestones!$AB$118),UPPER(TEXT(EDATE($D21,Milestones!$AA$118),"dd mmm yy"))&amp;" "&amp;Milestones!$AB$118&amp;" "&amp;Milestones!$AC$118&amp;";  ","")&amp;IF(AND(EDATE($D21,Milestones!$AA$119)&lt;=AsOfDate,IF($R21=0,$X21,IF(AND($T21&lt;&gt;"",EDATE($D21,Milestones!$AA$119)&gt;=$T21),$W21,IF(AND($S21&lt;&gt;"",EDATE($D21,Milestones!$AA$119)&gt;=$S21),$V21,$U21)))=Milestones!$AB$119),UPPER(TEXT(EDATE($D21,Milestones!$AA$119),"dd mmm yy"))&amp;" "&amp;Milestones!$AB$119&amp;" "&amp;Milestones!$AC$119&amp;";  ",""))</f>
        <v/>
      </c>
      <c r="N21" s="0" t="str">
        <f aca="false">IF(OR($A21="",$D21=""),"",IF(AND(EDATE($D21,Milestones!$AA$120)&lt;=AsOfDate,IF($R21=0,$X21,IF(AND($T21&lt;&gt;"",EDATE($D21,Milestones!$AA$120)&gt;=$T21),$W21,IF(AND($S21&lt;&gt;"",EDATE($D21,Milestones!$AA$120)&gt;=$S21),$V21,$U21)))=Milestones!$AB$120),UPPER(TEXT(EDATE($D21,Milestones!$AA$120),"dd mmm yy"))&amp;" "&amp;Milestones!$AB$120&amp;" "&amp;Milestones!$AC$120&amp;";  ","")&amp;IF(AND(EDATE($D21,Milestones!$AA$121)&lt;=AsOfDate,IF($R21=0,$X21,IF(AND($T21&lt;&gt;"",EDATE($D21,Milestones!$AA$121)&gt;=$T21),$W21,IF(AND($S21&lt;&gt;"",EDATE($D21,Milestones!$AA$121)&gt;=$S21),$V21,$U21)))=Milestones!$AB$121),UPPER(TEXT(EDATE($D21,Milestones!$AA$121),"dd mmm yy"))&amp;" "&amp;Milestones!$AB$121&amp;" "&amp;Milestones!$AC$121&amp;";  ","")&amp;IF(AND(EDATE($D21,Milestones!$AA$122)&lt;=AsOfDate,IF($R21=0,$X21,IF(AND($T21&lt;&gt;"",EDATE($D21,Milestones!$AA$122)&gt;=$T21),$W21,IF(AND($S21&lt;&gt;"",EDATE($D21,Milestones!$AA$122)&gt;=$S21),$V21,$U21)))=Milestones!$AB$122),UPPER(TEXT(EDATE($D21,Milestones!$AA$122),"dd mmm yy"))&amp;" "&amp;Milestones!$AB$122&amp;" "&amp;Milestones!$AC$122&amp;";  ","")&amp;IF(AND(EDATE($D21,Milestones!$AA$123)&lt;=AsOfDate,IF($R21=0,$X21,IF(AND($T21&lt;&gt;"",EDATE($D21,Milestones!$AA$123)&gt;=$T21),$W21,IF(AND($S21&lt;&gt;"",EDATE($D21,Milestones!$AA$123)&gt;=$S21),$V21,$U21)))=Milestones!$AB$123),UPPER(TEXT(EDATE($D21,Milestones!$AA$123),"dd mmm yy"))&amp;" "&amp;Milestones!$AB$123&amp;" "&amp;Milestones!$AC$123&amp;";  ","")&amp;IF(AND(EDATE($D21,Milestones!$AA$124)&lt;=AsOfDate,IF($R21=0,$X21,IF(AND($T21&lt;&gt;"",EDATE($D21,Milestones!$AA$124)&gt;=$T21),$W21,IF(AND($S21&lt;&gt;"",EDATE($D21,Milestones!$AA$124)&gt;=$S21),$V21,$U21)))=Milestones!$AB$124),UPPER(TEXT(EDATE($D21,Milestones!$AA$124),"dd mmm yy"))&amp;" "&amp;Milestones!$AB$124&amp;" "&amp;Milestones!$AC$124&amp;";  ","")&amp;IF(AND(EDATE($D21,Milestones!$AA$125)&lt;=AsOfDate,IF($R21=0,$X21,IF(AND($T21&lt;&gt;"",EDATE($D21,Milestones!$AA$125)&gt;=$T21),$W21,IF(AND($S21&lt;&gt;"",EDATE($D21,Milestones!$AA$125)&gt;=$S21),$V21,$U21)))=Milestones!$AB$125),UPPER(TEXT(EDATE($D21,Milestones!$AA$125),"dd mmm yy"))&amp;" "&amp;Milestones!$AB$125&amp;" "&amp;Milestones!$AC$125&amp;";  ","")&amp;IF(AND(EDATE($D21,Milestones!$AA$126)&lt;=AsOfDate,IF($R21=0,$X21,IF(AND($T21&lt;&gt;"",EDATE($D21,Milestones!$AA$126)&gt;=$T21),$W21,IF(AND($S21&lt;&gt;"",EDATE($D21,Milestones!$AA$126)&gt;=$S21),$V21,$U21)))=Milestones!$AB$126),UPPER(TEXT(EDATE($D21,Milestones!$AA$126),"dd mmm yy"))&amp;" "&amp;Milestones!$AB$126&amp;" "&amp;Milestones!$AC$126&amp;";  ","")&amp;IF(AND(EDATE($D21,Milestones!$AA$127)&lt;=AsOfDate,IF($R21=0,$X21,IF(AND($T21&lt;&gt;"",EDATE($D21,Milestones!$AA$127)&gt;=$T21),$W21,IF(AND($S21&lt;&gt;"",EDATE($D21,Milestones!$AA$127)&gt;=$S21),$V21,$U21)))=Milestones!$AB$127),UPPER(TEXT(EDATE($D21,Milestones!$AA$127),"dd mmm yy"))&amp;" "&amp;Milestones!$AB$127&amp;" "&amp;Milestones!$AC$127&amp;";  ","")&amp;IF(AND(EDATE($D21,Milestones!$AA$128)&lt;=AsOfDate,IF($R21=0,$X21,IF(AND($T21&lt;&gt;"",EDATE($D21,Milestones!$AA$128)&gt;=$T21),$W21,IF(AND($S21&lt;&gt;"",EDATE($D21,Milestones!$AA$128)&gt;=$S21),$V21,$U21)))=Milestones!$AB$128),UPPER(TEXT(EDATE($D21,Milestones!$AA$128),"dd mmm yy"))&amp;" "&amp;Milestones!$AB$128&amp;" "&amp;Milestones!$AC$128&amp;";  ","")&amp;IF(AND(EDATE($D21,Milestones!$AA$129)&lt;=AsOfDate,IF($R21=0,$X21,IF(AND($T21&lt;&gt;"",EDATE($D21,Milestones!$AA$129)&gt;=$T21),$W21,IF(AND($S21&lt;&gt;"",EDATE($D21,Milestones!$AA$129)&gt;=$S21),$V21,$U21)))=Milestones!$AB$129),UPPER(TEXT(EDATE($D21,Milestones!$AA$129),"dd mmm yy"))&amp;" "&amp;Milestones!$AB$129&amp;" "&amp;Milestones!$AC$129&amp;";  ","")&amp;IF(AND(EDATE($D21,Milestones!$AA$130)&lt;=AsOfDate,IF($R21=0,$X21,IF(AND($T21&lt;&gt;"",EDATE($D21,Milestones!$AA$130)&gt;=$T21),$W21,IF(AND($S21&lt;&gt;"",EDATE($D21,Milestones!$AA$130)&gt;=$S21),$V21,$U21)))=Milestones!$AB$130),UPPER(TEXT(EDATE($D21,Milestones!$AA$130),"dd mmm yy"))&amp;" "&amp;Milestones!$AB$130&amp;" "&amp;Milestones!$AC$130&amp;";  ","")&amp;IF(AND(EDATE($D21,Milestones!$AA$131)&lt;=AsOfDate,IF($R21=0,$X21,IF(AND($T21&lt;&gt;"",EDATE($D21,Milestones!$AA$131)&gt;=$T21),$W21,IF(AND($S21&lt;&gt;"",EDATE($D21,Milestones!$AA$131)&gt;=$S21),$V21,$U21)))=Milestones!$AB$131),UPPER(TEXT(EDATE($D21,Milestones!$AA$131),"dd mmm yy"))&amp;" "&amp;Milestones!$AB$131&amp;" "&amp;Milestones!$AC$131&amp;";  ","")&amp;IF(AND(EDATE($D21,Milestones!$AA$132)&lt;=AsOfDate,IF($R21=0,$X21,IF(AND($T21&lt;&gt;"",EDATE($D21,Milestones!$AA$132)&gt;=$T21),$W21,IF(AND($S21&lt;&gt;"",EDATE($D21,Milestones!$AA$132)&gt;=$S21),$V21,$U21)))=Milestones!$AB$132),UPPER(TEXT(EDATE($D21,Milestones!$AA$132),"dd mmm yy"))&amp;" "&amp;Milestones!$AB$132&amp;" "&amp;Milestones!$AC$132&amp;";  ","")&amp;IF(AND(EDATE($D21,Milestones!$AA$133)&lt;=AsOfDate,IF($R21=0,$X21,IF(AND($T21&lt;&gt;"",EDATE($D21,Milestones!$AA$133)&gt;=$T21),$W21,IF(AND($S21&lt;&gt;"",EDATE($D21,Milestones!$AA$133)&gt;=$S21),$V21,$U21)))=Milestones!$AB$133),UPPER(TEXT(EDATE($D21,Milestones!$AA$133),"dd mmm yy"))&amp;" "&amp;Milestones!$AB$133&amp;" "&amp;Milestones!$AC$133&amp;";  ","")&amp;IF(AND(EDATE($D21,Milestones!$AA$134)&lt;=AsOfDate,IF($R21=0,$X21,IF(AND($T21&lt;&gt;"",EDATE($D21,Milestones!$AA$134)&gt;=$T21),$W21,IF(AND($S21&lt;&gt;"",EDATE($D21,Milestones!$AA$134)&gt;=$S21),$V21,$U21)))=Milestones!$AB$134),UPPER(TEXT(EDATE($D21,Milestones!$AA$134),"dd mmm yy"))&amp;" "&amp;Milestones!$AB$134&amp;" "&amp;Milestones!$AC$134&amp;";  ","")&amp;IF(AND(EDATE($D21,Milestones!$AA$135)&lt;=AsOfDate,IF($R21=0,$X21,IF(AND($T21&lt;&gt;"",EDATE($D21,Milestones!$AA$135)&gt;=$T21),$W21,IF(AND($S21&lt;&gt;"",EDATE($D21,Milestones!$AA$135)&gt;=$S21),$V21,$U21)))=Milestones!$AB$135),UPPER(TEXT(EDATE($D21,Milestones!$AA$135),"dd mmm yy"))&amp;" "&amp;Milestones!$AB$135&amp;" "&amp;Milestones!$AC$135&amp;";  ","")&amp;IF(AND(EDATE($D21,Milestones!$AA$136)&lt;=AsOfDate,IF($R21=0,$X21,IF(AND($T21&lt;&gt;"",EDATE($D21,Milestones!$AA$136)&gt;=$T21),$W21,IF(AND($S21&lt;&gt;"",EDATE($D21,Milestones!$AA$136)&gt;=$S21),$V21,$U21)))=Milestones!$AB$136),UPPER(TEXT(EDATE($D21,Milestones!$AA$136),"dd mmm yy"))&amp;" "&amp;Milestones!$AB$136&amp;" "&amp;Milestones!$AC$136&amp;";  ","")&amp;IF(AND(EDATE($D21,Milestones!$AA$137)&lt;=AsOfDate,IF($R21=0,$X21,IF(AND($T21&lt;&gt;"",EDATE($D21,Milestones!$AA$137)&gt;=$T21),$W21,IF(AND($S21&lt;&gt;"",EDATE($D21,Milestones!$AA$137)&gt;=$S21),$V21,$U21)))=Milestones!$AB$137),UPPER(TEXT(EDATE($D21,Milestones!$AA$137),"dd mmm yy"))&amp;" "&amp;Milestones!$AB$137&amp;" "&amp;Milestones!$AC$137&amp;";  ","")&amp;IF(AND(EDATE($D21,Milestones!$AA$138)&lt;=AsOfDate,IF($R21=0,$X21,IF(AND($T21&lt;&gt;"",EDATE($D21,Milestones!$AA$138)&gt;=$T21),$W21,IF(AND($S21&lt;&gt;"",EDATE($D21,Milestones!$AA$138)&gt;=$S21),$V21,$U21)))=Milestones!$AB$138),UPPER(TEXT(EDATE($D21,Milestones!$AA$138),"dd mmm yy"))&amp;" "&amp;Milestones!$AB$138&amp;" "&amp;Milestones!$AC$138&amp;";  ","")&amp;IF(AND(EDATE($D21,Milestones!$AA$139)&lt;=AsOfDate,IF($R21=0,$X21,IF(AND($T21&lt;&gt;"",EDATE($D21,Milestones!$AA$139)&gt;=$T21),$W21,IF(AND($S21&lt;&gt;"",EDATE($D21,Milestones!$AA$139)&gt;=$S21),$V21,$U21)))=Milestones!$AB$139),UPPER(TEXT(EDATE($D21,Milestones!$AA$139),"dd mmm yy"))&amp;" "&amp;Milestones!$AB$139&amp;" "&amp;Milestones!$AC$139&amp;";  ",""))</f>
        <v/>
      </c>
      <c r="O21" s="0" t="str">
        <f aca="false">IF(OR($A21="",$D21=""),"",IF(AND(EDATE($D21,Milestones!$AA$140)&lt;=AsOfDate,IF($R21=0,$X21,IF(AND($T21&lt;&gt;"",EDATE($D21,Milestones!$AA$140)&gt;=$T21),$W21,IF(AND($S21&lt;&gt;"",EDATE($D21,Milestones!$AA$140)&gt;=$S21),$V21,$U21)))=Milestones!$AB$140),UPPER(TEXT(EDATE($D21,Milestones!$AA$140),"dd mmm yy"))&amp;" "&amp;Milestones!$AB$140&amp;" "&amp;Milestones!$AC$140&amp;";  ","")&amp;IF(AND(EDATE($D21,Milestones!$AA$141)&lt;=AsOfDate,IF($R21=0,$X21,IF(AND($T21&lt;&gt;"",EDATE($D21,Milestones!$AA$141)&gt;=$T21),$W21,IF(AND($S21&lt;&gt;"",EDATE($D21,Milestones!$AA$141)&gt;=$S21),$V21,$U21)))=Milestones!$AB$141),UPPER(TEXT(EDATE($D21,Milestones!$AA$141),"dd mmm yy"))&amp;" "&amp;Milestones!$AB$141&amp;" "&amp;Milestones!$AC$141&amp;";  ","")&amp;IF(AND(EDATE($D21,Milestones!$AA$142)&lt;=AsOfDate,IF($R21=0,$X21,IF(AND($T21&lt;&gt;"",EDATE($D21,Milestones!$AA$142)&gt;=$T21),$W21,IF(AND($S21&lt;&gt;"",EDATE($D21,Milestones!$AA$142)&gt;=$S21),$V21,$U21)))=Milestones!$AB$142),UPPER(TEXT(EDATE($D21,Milestones!$AA$142),"dd mmm yy"))&amp;" "&amp;Milestones!$AB$142&amp;" "&amp;Milestones!$AC$142&amp;";  ","")&amp;IF(AND(EDATE($D21,Milestones!$AA$143)&lt;=AsOfDate,IF($R21=0,$X21,IF(AND($T21&lt;&gt;"",EDATE($D21,Milestones!$AA$143)&gt;=$T21),$W21,IF(AND($S21&lt;&gt;"",EDATE($D21,Milestones!$AA$143)&gt;=$S21),$V21,$U21)))=Milestones!$AB$143),UPPER(TEXT(EDATE($D21,Milestones!$AA$143),"dd mmm yy"))&amp;" "&amp;Milestones!$AB$143&amp;" "&amp;Milestones!$AC$143&amp;";  ","")&amp;IF(AND(EDATE($D21,Milestones!$AA$144)&lt;=AsOfDate,IF($R21=0,$X21,IF(AND($T21&lt;&gt;"",EDATE($D21,Milestones!$AA$144)&gt;=$T21),$W21,IF(AND($S21&lt;&gt;"",EDATE($D21,Milestones!$AA$144)&gt;=$S21),$V21,$U21)))=Milestones!$AB$144),UPPER(TEXT(EDATE($D21,Milestones!$AA$144),"dd mmm yy"))&amp;" "&amp;Milestones!$AB$144&amp;" "&amp;Milestones!$AC$144&amp;";  ","")&amp;IF(AND(EDATE($D21,Milestones!$AA$145)&lt;=AsOfDate,IF($R21=0,$X21,IF(AND($T21&lt;&gt;"",EDATE($D21,Milestones!$AA$145)&gt;=$T21),$W21,IF(AND($S21&lt;&gt;"",EDATE($D21,Milestones!$AA$145)&gt;=$S21),$V21,$U21)))=Milestones!$AB$145),UPPER(TEXT(EDATE($D21,Milestones!$AA$145),"dd mmm yy"))&amp;" "&amp;Milestones!$AB$145&amp;" "&amp;Milestones!$AC$145&amp;";  ","")&amp;IF(AND(EDATE($D21,Milestones!$AA$146)&lt;=AsOfDate,IF($R21=0,$X21,IF(AND($T21&lt;&gt;"",EDATE($D21,Milestones!$AA$146)&gt;=$T21),$W21,IF(AND($S21&lt;&gt;"",EDATE($D21,Milestones!$AA$146)&gt;=$S21),$V21,$U21)))=Milestones!$AB$146),UPPER(TEXT(EDATE($D21,Milestones!$AA$146),"dd mmm yy"))&amp;" "&amp;Milestones!$AB$146&amp;" "&amp;Milestones!$AC$146&amp;";  ","")&amp;IF(AND(EDATE($D21,Milestones!$AA$147)&lt;=AsOfDate,IF($R21=0,$X21,IF(AND($T21&lt;&gt;"",EDATE($D21,Milestones!$AA$147)&gt;=$T21),$W21,IF(AND($S21&lt;&gt;"",EDATE($D21,Milestones!$AA$147)&gt;=$S21),$V21,$U21)))=Milestones!$AB$147),UPPER(TEXT(EDATE($D21,Milestones!$AA$147),"dd mmm yy"))&amp;" "&amp;Milestones!$AB$147&amp;" "&amp;Milestones!$AC$147&amp;";  ","")&amp;IF(AND(EDATE($D21,Milestones!$AA$148)&lt;=AsOfDate,IF($R21=0,$X21,IF(AND($T21&lt;&gt;"",EDATE($D21,Milestones!$AA$148)&gt;=$T21),$W21,IF(AND($S21&lt;&gt;"",EDATE($D21,Milestones!$AA$148)&gt;=$S21),$V21,$U21)))=Milestones!$AB$148),UPPER(TEXT(EDATE($D21,Milestones!$AA$148),"dd mmm yy"))&amp;" "&amp;Milestones!$AB$148&amp;" "&amp;Milestones!$AC$148&amp;";  ","")&amp;IF(AND(EDATE($D21,Milestones!$AA$149)&lt;=AsOfDate,IF($R21=0,$X21,IF(AND($T21&lt;&gt;"",EDATE($D21,Milestones!$AA$149)&gt;=$T21),$W21,IF(AND($S21&lt;&gt;"",EDATE($D21,Milestones!$AA$149)&gt;=$S21),$V21,$U21)))=Milestones!$AB$149),UPPER(TEXT(EDATE($D21,Milestones!$AA$149),"dd mmm yy"))&amp;" "&amp;Milestones!$AB$149&amp;" "&amp;Milestones!$AC$149&amp;";  ","")&amp;IF(AND(EDATE($D21,Milestones!$AA$150)&lt;=AsOfDate,IF($R21=0,$X21,IF(AND($T21&lt;&gt;"",EDATE($D21,Milestones!$AA$150)&gt;=$T21),$W21,IF(AND($S21&lt;&gt;"",EDATE($D21,Milestones!$AA$150)&gt;=$S21),$V21,$U21)))=Milestones!$AB$150),UPPER(TEXT(EDATE($D21,Milestones!$AA$150),"dd mmm yy"))&amp;" "&amp;Milestones!$AB$150&amp;" "&amp;Milestones!$AC$150&amp;";  ","")&amp;IF(AND(EDATE($D21,Milestones!$AA$151)&lt;=AsOfDate,IF($R21=0,$X21,IF(AND($T21&lt;&gt;"",EDATE($D21,Milestones!$AA$151)&gt;=$T21),$W21,IF(AND($S21&lt;&gt;"",EDATE($D21,Milestones!$AA$151)&gt;=$S21),$V21,$U21)))=Milestones!$AB$151),UPPER(TEXT(EDATE($D21,Milestones!$AA$151),"dd mmm yy"))&amp;" "&amp;Milestones!$AB$151&amp;" "&amp;Milestones!$AC$151&amp;";  ","")&amp;IF(AND(EDATE($D21,Milestones!$AA$152)&lt;=AsOfDate,IF($R21=0,$X21,IF(AND($T21&lt;&gt;"",EDATE($D21,Milestones!$AA$152)&gt;=$T21),$W21,IF(AND($S21&lt;&gt;"",EDATE($D21,Milestones!$AA$152)&gt;=$S21),$V21,$U21)))=Milestones!$AB$152),UPPER(TEXT(EDATE($D21,Milestones!$AA$152),"dd mmm yy"))&amp;" "&amp;Milestones!$AB$152&amp;" "&amp;Milestones!$AC$152&amp;";  ","")&amp;IF(AND(EDATE($D21,Milestones!$AA$153)&lt;=AsOfDate,IF($R21=0,$X21,IF(AND($T21&lt;&gt;"",EDATE($D21,Milestones!$AA$153)&gt;=$T21),$W21,IF(AND($S21&lt;&gt;"",EDATE($D21,Milestones!$AA$153)&gt;=$S21),$V21,$U21)))=Milestones!$AB$153),UPPER(TEXT(EDATE($D21,Milestones!$AA$153),"dd mmm yy"))&amp;" "&amp;Milestones!$AB$153&amp;" "&amp;Milestones!$AC$153&amp;";  ","")&amp;IF(AND(EDATE($D21,Milestones!$AA$154)&lt;=AsOfDate,IF($R21=0,$X21,IF(AND($T21&lt;&gt;"",EDATE($D21,Milestones!$AA$154)&gt;=$T21),$W21,IF(AND($S21&lt;&gt;"",EDATE($D21,Milestones!$AA$154)&gt;=$S21),$V21,$U21)))=Milestones!$AB$154),UPPER(TEXT(EDATE($D21,Milestones!$AA$154),"dd mmm yy"))&amp;" "&amp;Milestones!$AB$154&amp;" "&amp;Milestones!$AC$154&amp;";  ","")&amp;IF(AND(EDATE($D21,Milestones!$AA$155)&lt;=AsOfDate,IF($R21=0,$X21,IF(AND($T21&lt;&gt;"",EDATE($D21,Milestones!$AA$155)&gt;=$T21),$W21,IF(AND($S21&lt;&gt;"",EDATE($D21,Milestones!$AA$155)&gt;=$S21),$V21,$U21)))=Milestones!$AB$155),UPPER(TEXT(EDATE($D21,Milestones!$AA$155),"dd mmm yy"))&amp;" "&amp;Milestones!$AB$155&amp;" "&amp;Milestones!$AC$155&amp;";  ","")&amp;IF(AND(EDATE($D21,Milestones!$AA$156)&lt;=AsOfDate,IF($R21=0,$X21,IF(AND($T21&lt;&gt;"",EDATE($D21,Milestones!$AA$156)&gt;=$T21),$W21,IF(AND($S21&lt;&gt;"",EDATE($D21,Milestones!$AA$156)&gt;=$S21),$V21,$U21)))=Milestones!$AB$156),UPPER(TEXT(EDATE($D21,Milestones!$AA$156),"dd mmm yy"))&amp;" "&amp;Milestones!$AB$156&amp;" "&amp;Milestones!$AC$156&amp;";  ","")&amp;IF(AND(EDATE($D21,Milestones!$AA$157)&lt;=AsOfDate,IF($R21=0,$X21,IF(AND($T21&lt;&gt;"",EDATE($D21,Milestones!$AA$157)&gt;=$T21),$W21,IF(AND($S21&lt;&gt;"",EDATE($D21,Milestones!$AA$157)&gt;=$S21),$V21,$U21)))=Milestones!$AB$157),UPPER(TEXT(EDATE($D21,Milestones!$AA$157),"dd mmm yy"))&amp;" "&amp;Milestones!$AB$157&amp;" "&amp;Milestones!$AC$157&amp;";  ","")&amp;IF(AND(EDATE($D21,Milestones!$AA$158)&lt;=AsOfDate,IF($R21=0,$X21,IF(AND($T21&lt;&gt;"",EDATE($D21,Milestones!$AA$158)&gt;=$T21),$W21,IF(AND($S21&lt;&gt;"",EDATE($D21,Milestones!$AA$158)&gt;=$S21),$V21,$U21)))=Milestones!$AB$158),UPPER(TEXT(EDATE($D21,Milestones!$AA$158),"dd mmm yy"))&amp;" "&amp;Milestones!$AB$158&amp;" "&amp;Milestones!$AC$158&amp;";  ","")&amp;IF(AND(EDATE($D21,Milestones!$AA$159)&lt;=AsOfDate,IF($R21=0,$X21,IF(AND($T21&lt;&gt;"",EDATE($D21,Milestones!$AA$159)&gt;=$T21),$W21,IF(AND($S21&lt;&gt;"",EDATE($D21,Milestones!$AA$159)&gt;=$S21),$V21,$U21)))=Milestones!$AB$159),UPPER(TEXT(EDATE($D21,Milestones!$AA$159),"dd mmm yy"))&amp;" "&amp;Milestones!$AB$159&amp;" "&amp;Milestones!$AC$159&amp;";  ",""))</f>
        <v/>
      </c>
      <c r="P21" s="0" t="str">
        <f aca="false">IF(OR($A21="",$D21=""),"",IF(AND(EDATE($D21,Milestones!$AA$160)&lt;=AsOfDate,IF($R21=0,$X21,IF(AND($T21&lt;&gt;"",EDATE($D21,Milestones!$AA$160)&gt;=$T21),$W21,IF(AND($S21&lt;&gt;"",EDATE($D21,Milestones!$AA$160)&gt;=$S21),$V21,$U21)))=Milestones!$AB$160),UPPER(TEXT(EDATE($D21,Milestones!$AA$160),"dd mmm yy"))&amp;" "&amp;Milestones!$AB$160&amp;" "&amp;Milestones!$AC$160&amp;";  ","")&amp;IF(AND(EDATE($D21,Milestones!$AA$161)&lt;=AsOfDate,IF($R21=0,$X21,IF(AND($T21&lt;&gt;"",EDATE($D21,Milestones!$AA$161)&gt;=$T21),$W21,IF(AND($S21&lt;&gt;"",EDATE($D21,Milestones!$AA$161)&gt;=$S21),$V21,$U21)))=Milestones!$AB$161),UPPER(TEXT(EDATE($D21,Milestones!$AA$161),"dd mmm yy"))&amp;" "&amp;Milestones!$AB$161&amp;" "&amp;Milestones!$AC$161&amp;";  ","")&amp;IF(AND(EDATE($D21,Milestones!$AA$162)&lt;=AsOfDate,IF($R21=0,$X21,IF(AND($T21&lt;&gt;"",EDATE($D21,Milestones!$AA$162)&gt;=$T21),$W21,IF(AND($S21&lt;&gt;"",EDATE($D21,Milestones!$AA$162)&gt;=$S21),$V21,$U21)))=Milestones!$AB$162),UPPER(TEXT(EDATE($D21,Milestones!$AA$162),"dd mmm yy"))&amp;" "&amp;Milestones!$AB$162&amp;" "&amp;Milestones!$AC$162&amp;";  ","")&amp;IF(AND(EDATE($D21,Milestones!$AA$163)&lt;=AsOfDate,IF($R21=0,$X21,IF(AND($T21&lt;&gt;"",EDATE($D21,Milestones!$AA$163)&gt;=$T21),$W21,IF(AND($S21&lt;&gt;"",EDATE($D21,Milestones!$AA$163)&gt;=$S21),$V21,$U21)))=Milestones!$AB$163),UPPER(TEXT(EDATE($D21,Milestones!$AA$163),"dd mmm yy"))&amp;" "&amp;Milestones!$AB$163&amp;" "&amp;Milestones!$AC$163&amp;";  ","")&amp;IF(AND(EDATE($D21,Milestones!$AA$164)&lt;=AsOfDate,IF($R21=0,$X21,IF(AND($T21&lt;&gt;"",EDATE($D21,Milestones!$AA$164)&gt;=$T21),$W21,IF(AND($S21&lt;&gt;"",EDATE($D21,Milestones!$AA$164)&gt;=$S21),$V21,$U21)))=Milestones!$AB$164),UPPER(TEXT(EDATE($D21,Milestones!$AA$164),"dd mmm yy"))&amp;" "&amp;Milestones!$AB$164&amp;" "&amp;Milestones!$AC$164&amp;";  ","")&amp;IF(AND(EDATE($D21,Milestones!$AA$165)&lt;=AsOfDate,IF($R21=0,$X21,IF(AND($T21&lt;&gt;"",EDATE($D21,Milestones!$AA$165)&gt;=$T21),$W21,IF(AND($S21&lt;&gt;"",EDATE($D21,Milestones!$AA$165)&gt;=$S21),$V21,$U21)))=Milestones!$AB$165),UPPER(TEXT(EDATE($D21,Milestones!$AA$165),"dd mmm yy"))&amp;" "&amp;Milestones!$AB$165&amp;" "&amp;Milestones!$AC$165&amp;";  ","")&amp;IF(AND(EDATE($D21,Milestones!$AA$166)&lt;=AsOfDate,IF($R21=0,$X21,IF(AND($T21&lt;&gt;"",EDATE($D21,Milestones!$AA$166)&gt;=$T21),$W21,IF(AND($S21&lt;&gt;"",EDATE($D21,Milestones!$AA$166)&gt;=$S21),$V21,$U21)))=Milestones!$AB$166),UPPER(TEXT(EDATE($D21,Milestones!$AA$166),"dd mmm yy"))&amp;" "&amp;Milestones!$AB$166&amp;" "&amp;Milestones!$AC$166&amp;";  ","")&amp;IF(AND(EDATE($D21,Milestones!$AA$167)&lt;=AsOfDate,IF($R21=0,$X21,IF(AND($T21&lt;&gt;"",EDATE($D21,Milestones!$AA$167)&gt;=$T21),$W21,IF(AND($S21&lt;&gt;"",EDATE($D21,Milestones!$AA$167)&gt;=$S21),$V21,$U21)))=Milestones!$AB$167),UPPER(TEXT(EDATE($D21,Milestones!$AA$167),"dd mmm yy"))&amp;" "&amp;Milestones!$AB$167&amp;" "&amp;Milestones!$AC$167&amp;";  ","")&amp;IF(AND(EDATE($D21,Milestones!$AA$168)&lt;=AsOfDate,IF($R21=0,$X21,IF(AND($T21&lt;&gt;"",EDATE($D21,Milestones!$AA$168)&gt;=$T21),$W21,IF(AND($S21&lt;&gt;"",EDATE($D21,Milestones!$AA$168)&gt;=$S21),$V21,$U21)))=Milestones!$AB$168),UPPER(TEXT(EDATE($D21,Milestones!$AA$168),"dd mmm yy"))&amp;" "&amp;Milestones!$AB$168&amp;" "&amp;Milestones!$AC$168&amp;";  ","")&amp;IF(AND(EDATE($D21,Milestones!$AA$169)&lt;=AsOfDate,IF($R21=0,$X21,IF(AND($T21&lt;&gt;"",EDATE($D21,Milestones!$AA$169)&gt;=$T21),$W21,IF(AND($S21&lt;&gt;"",EDATE($D21,Milestones!$AA$169)&gt;=$S21),$V21,$U21)))=Milestones!$AB$169),UPPER(TEXT(EDATE($D21,Milestones!$AA$169),"dd mmm yy"))&amp;" "&amp;Milestones!$AB$169&amp;" "&amp;Milestones!$AC$169&amp;";  ","")&amp;IF(AND(EDATE($D21,Milestones!$AA$170)&lt;=AsOfDate,IF($R21=0,$X21,IF(AND($T21&lt;&gt;"",EDATE($D21,Milestones!$AA$170)&gt;=$T21),$W21,IF(AND($S21&lt;&gt;"",EDATE($D21,Milestones!$AA$170)&gt;=$S21),$V21,$U21)))=Milestones!$AB$170),UPPER(TEXT(EDATE($D21,Milestones!$AA$170),"dd mmm yy"))&amp;" "&amp;Milestones!$AB$170&amp;" "&amp;Milestones!$AC$170&amp;";  ","")&amp;IF(AND(EDATE($D21,Milestones!$AA$171)&lt;=AsOfDate,IF($R21=0,$X21,IF(AND($T21&lt;&gt;"",EDATE($D21,Milestones!$AA$171)&gt;=$T21),$W21,IF(AND($S21&lt;&gt;"",EDATE($D21,Milestones!$AA$171)&gt;=$S21),$V21,$U21)))=Milestones!$AB$171),UPPER(TEXT(EDATE($D21,Milestones!$AA$171),"dd mmm yy"))&amp;" "&amp;Milestones!$AB$171&amp;" "&amp;Milestones!$AC$171&amp;";  ","")&amp;IF(AND(EDATE($D21,Milestones!$AA$172)&lt;=AsOfDate,IF($R21=0,$X21,IF(AND($T21&lt;&gt;"",EDATE($D21,Milestones!$AA$172)&gt;=$T21),$W21,IF(AND($S21&lt;&gt;"",EDATE($D21,Milestones!$AA$172)&gt;=$S21),$V21,$U21)))=Milestones!$AB$172),UPPER(TEXT(EDATE($D21,Milestones!$AA$172),"dd mmm yy"))&amp;" "&amp;Milestones!$AB$172&amp;" "&amp;Milestones!$AC$172&amp;";  ","")&amp;IF(AND(EDATE($D21,Milestones!$AA$173)&lt;=AsOfDate,IF($R21=0,$X21,IF(AND($T21&lt;&gt;"",EDATE($D21,Milestones!$AA$173)&gt;=$T21),$W21,IF(AND($S21&lt;&gt;"",EDATE($D21,Milestones!$AA$173)&gt;=$S21),$V21,$U21)))=Milestones!$AB$173),UPPER(TEXT(EDATE($D21,Milestones!$AA$173),"dd mmm yy"))&amp;" "&amp;Milestones!$AB$173&amp;" "&amp;Milestones!$AC$173&amp;";  ","")&amp;IF(AND(EDATE($D21,Milestones!$AA$174)&lt;=AsOfDate,IF($R21=0,$X21,IF(AND($T21&lt;&gt;"",EDATE($D21,Milestones!$AA$174)&gt;=$T21),$W21,IF(AND($S21&lt;&gt;"",EDATE($D21,Milestones!$AA$174)&gt;=$S21),$V21,$U21)))=Milestones!$AB$174),UPPER(TEXT(EDATE($D21,Milestones!$AA$174),"dd mmm yy"))&amp;" "&amp;Milestones!$AB$174&amp;" "&amp;Milestones!$AC$174&amp;";  ","")&amp;IF(AND(EDATE($D21,Milestones!$AA$175)&lt;=AsOfDate,IF($R21=0,$X21,IF(AND($T21&lt;&gt;"",EDATE($D21,Milestones!$AA$175)&gt;=$T21),$W21,IF(AND($S21&lt;&gt;"",EDATE($D21,Milestones!$AA$175)&gt;=$S21),$V21,$U21)))=Milestones!$AB$175),UPPER(TEXT(EDATE($D21,Milestones!$AA$175),"dd mmm yy"))&amp;" "&amp;Milestones!$AB$175&amp;" "&amp;Milestones!$AC$175&amp;";  ","")&amp;IF(AND(EDATE($D21,Milestones!$AA$176)&lt;=AsOfDate,IF($R21=0,$X21,IF(AND($T21&lt;&gt;"",EDATE($D21,Milestones!$AA$176)&gt;=$T21),$W21,IF(AND($S21&lt;&gt;"",EDATE($D21,Milestones!$AA$176)&gt;=$S21),$V21,$U21)))=Milestones!$AB$176),UPPER(TEXT(EDATE($D21,Milestones!$AA$176),"dd mmm yy"))&amp;" "&amp;Milestones!$AB$176&amp;" "&amp;Milestones!$AC$176&amp;";  ","")&amp;IF(AND(EDATE($D21,Milestones!$AA$177)&lt;=AsOfDate,IF($R21=0,$X21,IF(AND($T21&lt;&gt;"",EDATE($D21,Milestones!$AA$177)&gt;=$T21),$W21,IF(AND($S21&lt;&gt;"",EDATE($D21,Milestones!$AA$177)&gt;=$S21),$V21,$U21)))=Milestones!$AB$177),UPPER(TEXT(EDATE($D21,Milestones!$AA$177),"dd mmm yy"))&amp;" "&amp;Milestones!$AB$177&amp;" "&amp;Milestones!$AC$177&amp;";  ","")&amp;IF(AND(EDATE($D21,Milestones!$AA$178)&lt;=AsOfDate,IF($R21=0,$X21,IF(AND($T21&lt;&gt;"",EDATE($D21,Milestones!$AA$178)&gt;=$T21),$W21,IF(AND($S21&lt;&gt;"",EDATE($D21,Milestones!$AA$178)&gt;=$S21),$V21,$U21)))=Milestones!$AB$178),UPPER(TEXT(EDATE($D21,Milestones!$AA$178),"dd mmm yy"))&amp;" "&amp;Milestones!$AB$178&amp;" "&amp;Milestones!$AC$178&amp;";  ","")&amp;IF(AND(EDATE($D21,Milestones!$AA$179)&lt;=AsOfDate,IF($R21=0,$X21,IF(AND($T21&lt;&gt;"",EDATE($D21,Milestones!$AA$179)&gt;=$T21),$W21,IF(AND($S21&lt;&gt;"",EDATE($D21,Milestones!$AA$179)&gt;=$S21),$V21,$U21)))=Milestones!$AB$179),UPPER(TEXT(EDATE($D21,Milestones!$AA$179),"dd mmm yy"))&amp;" "&amp;Milestones!$AB$179&amp;" "&amp;Milestones!$AC$179&amp;";  ",""))</f>
        <v/>
      </c>
      <c r="Q21" s="0" t="str">
        <f aca="false">IF(OR($A21="",$D21=""),"",IF(AND(EDATE($D21,Milestones!$AA$180)&lt;=AsOfDate,IF($R21=0,$X21,IF(AND($T21&lt;&gt;"",EDATE($D21,Milestones!$AA$180)&gt;=$T21),$W21,IF(AND($S21&lt;&gt;"",EDATE($D21,Milestones!$AA$180)&gt;=$S21),$V21,$U21)))=Milestones!$AB$180),UPPER(TEXT(EDATE($D21,Milestones!$AA$180),"dd mmm yy"))&amp;" "&amp;Milestones!$AB$180&amp;" "&amp;Milestones!$AC$180&amp;";  ","")&amp;IF(AND(EDATE($D21,Milestones!$AA$181)&lt;=AsOfDate,IF($R21=0,$X21,IF(AND($T21&lt;&gt;"",EDATE($D21,Milestones!$AA$181)&gt;=$T21),$W21,IF(AND($S21&lt;&gt;"",EDATE($D21,Milestones!$AA$181)&gt;=$S21),$V21,$U21)))=Milestones!$AB$181),UPPER(TEXT(EDATE($D21,Milestones!$AA$181),"dd mmm yy"))&amp;" "&amp;Milestones!$AB$181&amp;" "&amp;Milestones!$AC$181&amp;";  ","")&amp;IF(AND(EDATE($D21,Milestones!$AA$182)&lt;=AsOfDate,IF($R21=0,$X21,IF(AND($T21&lt;&gt;"",EDATE($D21,Milestones!$AA$182)&gt;=$T21),$W21,IF(AND($S21&lt;&gt;"",EDATE($D21,Milestones!$AA$182)&gt;=$S21),$V21,$U21)))=Milestones!$AB$182),UPPER(TEXT(EDATE($D21,Milestones!$AA$182),"dd mmm yy"))&amp;" "&amp;Milestones!$AB$182&amp;" "&amp;Milestones!$AC$182&amp;";  ","")&amp;IF(AND(EDATE($D21,Milestones!$AA$183)&lt;=AsOfDate,IF($R21=0,$X21,IF(AND($T21&lt;&gt;"",EDATE($D21,Milestones!$AA$183)&gt;=$T21),$W21,IF(AND($S21&lt;&gt;"",EDATE($D21,Milestones!$AA$183)&gt;=$S21),$V21,$U21)))=Milestones!$AB$183),UPPER(TEXT(EDATE($D21,Milestones!$AA$183),"dd mmm yy"))&amp;" "&amp;Milestones!$AB$183&amp;" "&amp;Milestones!$AC$183&amp;";  ","")&amp;IF(AND(EDATE($D21,Milestones!$AA$184)&lt;=AsOfDate,IF($R21=0,$X21,IF(AND($T21&lt;&gt;"",EDATE($D21,Milestones!$AA$184)&gt;=$T21),$W21,IF(AND($S21&lt;&gt;"",EDATE($D21,Milestones!$AA$184)&gt;=$S21),$V21,$U21)))=Milestones!$AB$184),UPPER(TEXT(EDATE($D21,Milestones!$AA$184),"dd mmm yy"))&amp;" "&amp;Milestones!$AB$184&amp;" "&amp;Milestones!$AC$184&amp;";  ","")&amp;IF(AND(EDATE($D21,Milestones!$AA$185)&lt;=AsOfDate,IF($R21=0,$X21,IF(AND($T21&lt;&gt;"",EDATE($D21,Milestones!$AA$185)&gt;=$T21),$W21,IF(AND($S21&lt;&gt;"",EDATE($D21,Milestones!$AA$185)&gt;=$S21),$V21,$U21)))=Milestones!$AB$185),UPPER(TEXT(EDATE($D21,Milestones!$AA$185),"dd mmm yy"))&amp;" "&amp;Milestones!$AB$185&amp;" "&amp;Milestones!$AC$185&amp;";  ","")&amp;IF(AND(EDATE($D21,Milestones!$AA$186)&lt;=AsOfDate,IF($R21=0,$X21,IF(AND($T21&lt;&gt;"",EDATE($D21,Milestones!$AA$186)&gt;=$T21),$W21,IF(AND($S21&lt;&gt;"",EDATE($D21,Milestones!$AA$186)&gt;=$S21),$V21,$U21)))=Milestones!$AB$186),UPPER(TEXT(EDATE($D21,Milestones!$AA$186),"dd mmm yy"))&amp;" "&amp;Milestones!$AB$186&amp;" "&amp;Milestones!$AC$186&amp;";  ","")&amp;IF(AND(EDATE($D21,Milestones!$AA$187)&lt;=AsOfDate,IF($R21=0,$X21,IF(AND($T21&lt;&gt;"",EDATE($D21,Milestones!$AA$187)&gt;=$T21),$W21,IF(AND($S21&lt;&gt;"",EDATE($D21,Milestones!$AA$187)&gt;=$S21),$V21,$U21)))=Milestones!$AB$187),UPPER(TEXT(EDATE($D21,Milestones!$AA$187),"dd mmm yy"))&amp;" "&amp;Milestones!$AB$187&amp;" "&amp;Milestones!$AC$187&amp;";  ","")&amp;IF(AND(EDATE($D21,Milestones!$AA$188)&lt;=AsOfDate,IF($R21=0,$X21,IF(AND($T21&lt;&gt;"",EDATE($D21,Milestones!$AA$188)&gt;=$T21),$W21,IF(AND($S21&lt;&gt;"",EDATE($D21,Milestones!$AA$188)&gt;=$S21),$V21,$U21)))=Milestones!$AB$188),UPPER(TEXT(EDATE($D21,Milestones!$AA$188),"dd mmm yy"))&amp;" "&amp;Milestones!$AB$188&amp;" "&amp;Milestones!$AC$188&amp;";  ","")&amp;IF(AND(EDATE($D21,Milestones!$AA$189)&lt;=AsOfDate,IF($R21=0,$X21,IF(AND($T21&lt;&gt;"",EDATE($D21,Milestones!$AA$189)&gt;=$T21),$W21,IF(AND($S21&lt;&gt;"",EDATE($D21,Milestones!$AA$189)&gt;=$S21),$V21,$U21)))=Milestones!$AB$189),UPPER(TEXT(EDATE($D21,Milestones!$AA$189),"dd mmm yy"))&amp;" "&amp;Milestones!$AB$189&amp;" "&amp;Milestones!$AC$189&amp;";  ","")&amp;IF(AND(EDATE($D21,Milestones!$AA$190)&lt;=AsOfDate,IF($R21=0,$X21,IF(AND($T21&lt;&gt;"",EDATE($D21,Milestones!$AA$190)&gt;=$T21),$W21,IF(AND($S21&lt;&gt;"",EDATE($D21,Milestones!$AA$190)&gt;=$S21),$V21,$U21)))=Milestones!$AB$190),UPPER(TEXT(EDATE($D21,Milestones!$AA$190),"dd mmm yy"))&amp;" "&amp;Milestones!$AB$190&amp;" "&amp;Milestones!$AC$190&amp;";  ","")&amp;IF(AND(EDATE($D21,Milestones!$AA$191)&lt;=AsOfDate,IF($R21=0,$X21,IF(AND($T21&lt;&gt;"",EDATE($D21,Milestones!$AA$191)&gt;=$T21),$W21,IF(AND($S21&lt;&gt;"",EDATE($D21,Milestones!$AA$191)&gt;=$S21),$V21,$U21)))=Milestones!$AB$191),UPPER(TEXT(EDATE($D21,Milestones!$AA$191),"dd mmm yy"))&amp;" "&amp;Milestones!$AB$191&amp;" "&amp;Milestones!$AC$191&amp;";  ","")&amp;IF(AND(EDATE($D21,Milestones!$AA$192)&lt;=AsOfDate,IF($R21=0,$X21,IF(AND($T21&lt;&gt;"",EDATE($D21,Milestones!$AA$192)&gt;=$T21),$W21,IF(AND($S21&lt;&gt;"",EDATE($D21,Milestones!$AA$192)&gt;=$S21),$V21,$U21)))=Milestones!$AB$192),UPPER(TEXT(EDATE($D21,Milestones!$AA$192),"dd mmm yy"))&amp;" "&amp;Milestones!$AB$192&amp;" "&amp;Milestones!$AC$192&amp;";  ","")&amp;IF(AND(EDATE($D21,Milestones!$AA$193)&lt;=AsOfDate,IF($R21=0,$X21,IF(AND($T21&lt;&gt;"",EDATE($D21,Milestones!$AA$193)&gt;=$T21),$W21,IF(AND($S21&lt;&gt;"",EDATE($D21,Milestones!$AA$193)&gt;=$S21),$V21,$U21)))=Milestones!$AB$193),UPPER(TEXT(EDATE($D21,Milestones!$AA$193),"dd mmm yy"))&amp;" "&amp;Milestones!$AB$193&amp;" "&amp;Milestones!$AC$193&amp;";  ","")&amp;IF(AND(EDATE($D21,Milestones!$AA$194)&lt;=AsOfDate,IF($R21=0,$X21,IF(AND($T21&lt;&gt;"",EDATE($D21,Milestones!$AA$194)&gt;=$T21),$W21,IF(AND($S21&lt;&gt;"",EDATE($D21,Milestones!$AA$194)&gt;=$S21),$V21,$U21)))=Milestones!$AB$194),UPPER(TEXT(EDATE($D21,Milestones!$AA$194),"dd mmm yy"))&amp;" "&amp;Milestones!$AB$194&amp;" "&amp;Milestones!$AC$194&amp;";  ","")&amp;IF(AND(EDATE($D21,Milestones!$AA$195)&lt;=AsOfDate,IF($R21=0,$X21,IF(AND($T21&lt;&gt;"",EDATE($D21,Milestones!$AA$195)&gt;=$T21),$W21,IF(AND($S21&lt;&gt;"",EDATE($D21,Milestones!$AA$195)&gt;=$S21),$V21,$U21)))=Milestones!$AB$195),UPPER(TEXT(EDATE($D21,Milestones!$AA$195),"dd mmm yy"))&amp;" "&amp;Milestones!$AB$195&amp;" "&amp;Milestones!$AC$195&amp;";  ","")&amp;IF(AND(EDATE($D21,Milestones!$AA$196)&lt;=AsOfDate,IF($R21=0,$X21,IF(AND($T21&lt;&gt;"",EDATE($D21,Milestones!$AA$196)&gt;=$T21),$W21,IF(AND($S21&lt;&gt;"",EDATE($D21,Milestones!$AA$196)&gt;=$S21),$V21,$U21)))=Milestones!$AB$196),UPPER(TEXT(EDATE($D21,Milestones!$AA$196),"dd mmm yy"))&amp;" "&amp;Milestones!$AB$196&amp;" "&amp;Milestones!$AC$196&amp;";  ","")&amp;IF(AND(EDATE($D21,Milestones!$AA$197)&lt;=AsOfDate,IF($R21=0,$X21,IF(AND($T21&lt;&gt;"",EDATE($D21,Milestones!$AA$197)&gt;=$T21),$W21,IF(AND($S21&lt;&gt;"",EDATE($D21,Milestones!$AA$197)&gt;=$S21),$V21,$U21)))=Milestones!$AB$197),UPPER(TEXT(EDATE($D21,Milestones!$AA$197),"dd mmm yy"))&amp;" "&amp;Milestones!$AB$197&amp;" "&amp;Milestones!$AC$197&amp;";  ","")&amp;IF(AND(EDATE($D21,Milestones!$AA$198)&lt;=AsOfDate,IF($R21=0,$X21,IF(AND($T21&lt;&gt;"",EDATE($D21,Milestones!$AA$198)&gt;=$T21),$W21,IF(AND($S21&lt;&gt;"",EDATE($D21,Milestones!$AA$198)&gt;=$S21),$V21,$U21)))=Milestones!$AB$198),UPPER(TEXT(EDATE($D21,Milestones!$AA$198),"dd mmm yy"))&amp;" "&amp;Milestones!$AB$198&amp;" "&amp;Milestones!$AC$198&amp;";  ","")&amp;IF(AND(EDATE($D21,Milestones!$AA$199)&lt;=AsOfDate,IF($R21=0,$X21,IF(AND($T21&lt;&gt;"",EDATE($D21,Milestones!$AA$199)&gt;=$T21),$W21,IF(AND($S21&lt;&gt;"",EDATE($D21,Milestones!$AA$199)&gt;=$S21),$V21,$U21)))=Milestones!$AB$199),UPPER(TEXT(EDATE($D21,Milestones!$AA$199),"dd mmm yy"))&amp;" "&amp;Milestones!$AB$199&amp;" "&amp;Milestones!$AC$199&amp;";  ",""))</f>
        <v/>
      </c>
      <c r="R21" s="33" t="n">
        <f aca="false">IF(Staff!$A21="","",Staff!$AI21)</f>
        <v>1</v>
      </c>
      <c r="S21" s="0" t="str">
        <f aca="false">IF(Staff!$A21="","",Staff!$AK21)</f>
        <v/>
      </c>
      <c r="T21" s="0" t="str">
        <f aca="false">IF(Staff!$A21="","",Staff!$AL21)</f>
        <v/>
      </c>
      <c r="U21" s="0" t="str">
        <f aca="false">IF(Staff!$A21="","",Staff!$AP21)</f>
        <v>FT</v>
      </c>
      <c r="V21" s="0" t="str">
        <f aca="false">IF(Staff!$A21="","",Staff!$AQ21)</f>
        <v/>
      </c>
      <c r="W21" s="0" t="str">
        <f aca="false">IF(Staff!$A21="","",Staff!$AR21)</f>
        <v/>
      </c>
      <c r="X21" s="0" t="str">
        <f aca="false">IF(Staff!$A21="","",Staff!$AS21)</f>
        <v>FT</v>
      </c>
    </row>
    <row r="22" customFormat="false" ht="15" hidden="false" customHeight="false" outlineLevel="0" collapsed="false">
      <c r="A22" s="19" t="str">
        <f aca="false">IF(Staff!$A22="","",Staff!$A22)</f>
        <v>David</v>
      </c>
      <c r="B22" s="19" t="str">
        <f aca="false">IF(Staff!$A22="","",Staff!$B22)</f>
        <v>Milios</v>
      </c>
      <c r="C22" s="19" t="str">
        <f aca="false">IF(Staff!$A22="","",Staff!$C22)</f>
        <v>Casual</v>
      </c>
      <c r="D22" s="17" t="n">
        <f aca="false">IF(Staff!$A22="","",Staff!$AH22)</f>
        <v>45943</v>
      </c>
      <c r="E22" s="20" t="n">
        <f aca="false">IF(Staff!$A22="","",Staff!$O22)</f>
        <v>0</v>
      </c>
      <c r="F22" s="19" t="n">
        <f aca="false">IF(E22="","",E22*HoursPerDay)</f>
        <v>0</v>
      </c>
      <c r="G22" s="20" t="n">
        <f aca="false">IF(Staff!$A22="","",Staff!$AE22)</f>
        <v>0</v>
      </c>
      <c r="H22" s="32" t="str">
        <f aca="false">IF($A22="","",I22&amp;J22&amp;K22&amp;L22&amp;M22&amp;N22&amp;O22&amp;P22&amp;Q22)</f>
        <v/>
      </c>
      <c r="I22" s="0" t="str">
        <f aca="false">IF(OR($A22="",$D22=""),"",IF(AND(EDATE($D22,Milestones!$AA$20)&lt;=AsOfDate,IF($R22=0,$X22,IF(AND($T22&lt;&gt;"",EDATE($D22,Milestones!$AA$20)&gt;=$T22),$W22,IF(AND($S22&lt;&gt;"",EDATE($D22,Milestones!$AA$20)&gt;=$S22),$V22,$U22)))=Milestones!$AB$20),UPPER(TEXT(EDATE($D22,Milestones!$AA$20),"dd mmm yy"))&amp;" "&amp;Milestones!$AB$20&amp;" "&amp;Milestones!$AC$20&amp;";  ","")&amp;IF(AND(EDATE($D22,Milestones!$AA$21)&lt;=AsOfDate,IF($R22=0,$X22,IF(AND($T22&lt;&gt;"",EDATE($D22,Milestones!$AA$21)&gt;=$T22),$W22,IF(AND($S22&lt;&gt;"",EDATE($D22,Milestones!$AA$21)&gt;=$S22),$V22,$U22)))=Milestones!$AB$21),UPPER(TEXT(EDATE($D22,Milestones!$AA$21),"dd mmm yy"))&amp;" "&amp;Milestones!$AB$21&amp;" "&amp;Milestones!$AC$21&amp;";  ","")&amp;IF(AND(EDATE($D22,Milestones!$AA$22)&lt;=AsOfDate,IF($R22=0,$X22,IF(AND($T22&lt;&gt;"",EDATE($D22,Milestones!$AA$22)&gt;=$T22),$W22,IF(AND($S22&lt;&gt;"",EDATE($D22,Milestones!$AA$22)&gt;=$S22),$V22,$U22)))=Milestones!$AB$22),UPPER(TEXT(EDATE($D22,Milestones!$AA$22),"dd mmm yy"))&amp;" "&amp;Milestones!$AB$22&amp;" "&amp;Milestones!$AC$22&amp;";  ","")&amp;IF(AND(EDATE($D22,Milestones!$AA$23)&lt;=AsOfDate,IF($R22=0,$X22,IF(AND($T22&lt;&gt;"",EDATE($D22,Milestones!$AA$23)&gt;=$T22),$W22,IF(AND($S22&lt;&gt;"",EDATE($D22,Milestones!$AA$23)&gt;=$S22),$V22,$U22)))=Milestones!$AB$23),UPPER(TEXT(EDATE($D22,Milestones!$AA$23),"dd mmm yy"))&amp;" "&amp;Milestones!$AB$23&amp;" "&amp;Milestones!$AC$23&amp;";  ","")&amp;IF(AND(EDATE($D22,Milestones!$AA$24)&lt;=AsOfDate,IF($R22=0,$X22,IF(AND($T22&lt;&gt;"",EDATE($D22,Milestones!$AA$24)&gt;=$T22),$W22,IF(AND($S22&lt;&gt;"",EDATE($D22,Milestones!$AA$24)&gt;=$S22),$V22,$U22)))=Milestones!$AB$24),UPPER(TEXT(EDATE($D22,Milestones!$AA$24),"dd mmm yy"))&amp;" "&amp;Milestones!$AB$24&amp;" "&amp;Milestones!$AC$24&amp;";  ","")&amp;IF(AND(EDATE($D22,Milestones!$AA$25)&lt;=AsOfDate,IF($R22=0,$X22,IF(AND($T22&lt;&gt;"",EDATE($D22,Milestones!$AA$25)&gt;=$T22),$W22,IF(AND($S22&lt;&gt;"",EDATE($D22,Milestones!$AA$25)&gt;=$S22),$V22,$U22)))=Milestones!$AB$25),UPPER(TEXT(EDATE($D22,Milestones!$AA$25),"dd mmm yy"))&amp;" "&amp;Milestones!$AB$25&amp;" "&amp;Milestones!$AC$25&amp;";  ","")&amp;IF(AND(EDATE($D22,Milestones!$AA$26)&lt;=AsOfDate,IF($R22=0,$X22,IF(AND($T22&lt;&gt;"",EDATE($D22,Milestones!$AA$26)&gt;=$T22),$W22,IF(AND($S22&lt;&gt;"",EDATE($D22,Milestones!$AA$26)&gt;=$S22),$V22,$U22)))=Milestones!$AB$26),UPPER(TEXT(EDATE($D22,Milestones!$AA$26),"dd mmm yy"))&amp;" "&amp;Milestones!$AB$26&amp;" "&amp;Milestones!$AC$26&amp;";  ","")&amp;IF(AND(EDATE($D22,Milestones!$AA$27)&lt;=AsOfDate,IF($R22=0,$X22,IF(AND($T22&lt;&gt;"",EDATE($D22,Milestones!$AA$27)&gt;=$T22),$W22,IF(AND($S22&lt;&gt;"",EDATE($D22,Milestones!$AA$27)&gt;=$S22),$V22,$U22)))=Milestones!$AB$27),UPPER(TEXT(EDATE($D22,Milestones!$AA$27),"dd mmm yy"))&amp;" "&amp;Milestones!$AB$27&amp;" "&amp;Milestones!$AC$27&amp;";  ","")&amp;IF(AND(EDATE($D22,Milestones!$AA$28)&lt;=AsOfDate,IF($R22=0,$X22,IF(AND($T22&lt;&gt;"",EDATE($D22,Milestones!$AA$28)&gt;=$T22),$W22,IF(AND($S22&lt;&gt;"",EDATE($D22,Milestones!$AA$28)&gt;=$S22),$V22,$U22)))=Milestones!$AB$28),UPPER(TEXT(EDATE($D22,Milestones!$AA$28),"dd mmm yy"))&amp;" "&amp;Milestones!$AB$28&amp;" "&amp;Milestones!$AC$28&amp;";  ","")&amp;IF(AND(EDATE($D22,Milestones!$AA$29)&lt;=AsOfDate,IF($R22=0,$X22,IF(AND($T22&lt;&gt;"",EDATE($D22,Milestones!$AA$29)&gt;=$T22),$W22,IF(AND($S22&lt;&gt;"",EDATE($D22,Milestones!$AA$29)&gt;=$S22),$V22,$U22)))=Milestones!$AB$29),UPPER(TEXT(EDATE($D22,Milestones!$AA$29),"dd mmm yy"))&amp;" "&amp;Milestones!$AB$29&amp;" "&amp;Milestones!$AC$29&amp;";  ","")&amp;IF(AND(EDATE($D22,Milestones!$AA$30)&lt;=AsOfDate,IF($R22=0,$X22,IF(AND($T22&lt;&gt;"",EDATE($D22,Milestones!$AA$30)&gt;=$T22),$W22,IF(AND($S22&lt;&gt;"",EDATE($D22,Milestones!$AA$30)&gt;=$S22),$V22,$U22)))=Milestones!$AB$30),UPPER(TEXT(EDATE($D22,Milestones!$AA$30),"dd mmm yy"))&amp;" "&amp;Milestones!$AB$30&amp;" "&amp;Milestones!$AC$30&amp;";  ","")&amp;IF(AND(EDATE($D22,Milestones!$AA$31)&lt;=AsOfDate,IF($R22=0,$X22,IF(AND($T22&lt;&gt;"",EDATE($D22,Milestones!$AA$31)&gt;=$T22),$W22,IF(AND($S22&lt;&gt;"",EDATE($D22,Milestones!$AA$31)&gt;=$S22),$V22,$U22)))=Milestones!$AB$31),UPPER(TEXT(EDATE($D22,Milestones!$AA$31),"dd mmm yy"))&amp;" "&amp;Milestones!$AB$31&amp;" "&amp;Milestones!$AC$31&amp;";  ","")&amp;IF(AND(EDATE($D22,Milestones!$AA$32)&lt;=AsOfDate,IF($R22=0,$X22,IF(AND($T22&lt;&gt;"",EDATE($D22,Milestones!$AA$32)&gt;=$T22),$W22,IF(AND($S22&lt;&gt;"",EDATE($D22,Milestones!$AA$32)&gt;=$S22),$V22,$U22)))=Milestones!$AB$32),UPPER(TEXT(EDATE($D22,Milestones!$AA$32),"dd mmm yy"))&amp;" "&amp;Milestones!$AB$32&amp;" "&amp;Milestones!$AC$32&amp;";  ","")&amp;IF(AND(EDATE($D22,Milestones!$AA$33)&lt;=AsOfDate,IF($R22=0,$X22,IF(AND($T22&lt;&gt;"",EDATE($D22,Milestones!$AA$33)&gt;=$T22),$W22,IF(AND($S22&lt;&gt;"",EDATE($D22,Milestones!$AA$33)&gt;=$S22),$V22,$U22)))=Milestones!$AB$33),UPPER(TEXT(EDATE($D22,Milestones!$AA$33),"dd mmm yy"))&amp;" "&amp;Milestones!$AB$33&amp;" "&amp;Milestones!$AC$33&amp;";  ","")&amp;IF(AND(EDATE($D22,Milestones!$AA$34)&lt;=AsOfDate,IF($R22=0,$X22,IF(AND($T22&lt;&gt;"",EDATE($D22,Milestones!$AA$34)&gt;=$T22),$W22,IF(AND($S22&lt;&gt;"",EDATE($D22,Milestones!$AA$34)&gt;=$S22),$V22,$U22)))=Milestones!$AB$34),UPPER(TEXT(EDATE($D22,Milestones!$AA$34),"dd mmm yy"))&amp;" "&amp;Milestones!$AB$34&amp;" "&amp;Milestones!$AC$34&amp;";  ","")&amp;IF(AND(EDATE($D22,Milestones!$AA$35)&lt;=AsOfDate,IF($R22=0,$X22,IF(AND($T22&lt;&gt;"",EDATE($D22,Milestones!$AA$35)&gt;=$T22),$W22,IF(AND($S22&lt;&gt;"",EDATE($D22,Milestones!$AA$35)&gt;=$S22),$V22,$U22)))=Milestones!$AB$35),UPPER(TEXT(EDATE($D22,Milestones!$AA$35),"dd mmm yy"))&amp;" "&amp;Milestones!$AB$35&amp;" "&amp;Milestones!$AC$35&amp;";  ","")&amp;IF(AND(EDATE($D22,Milestones!$AA$36)&lt;=AsOfDate,IF($R22=0,$X22,IF(AND($T22&lt;&gt;"",EDATE($D22,Milestones!$AA$36)&gt;=$T22),$W22,IF(AND($S22&lt;&gt;"",EDATE($D22,Milestones!$AA$36)&gt;=$S22),$V22,$U22)))=Milestones!$AB$36),UPPER(TEXT(EDATE($D22,Milestones!$AA$36),"dd mmm yy"))&amp;" "&amp;Milestones!$AB$36&amp;" "&amp;Milestones!$AC$36&amp;";  ","")&amp;IF(AND(EDATE($D22,Milestones!$AA$37)&lt;=AsOfDate,IF($R22=0,$X22,IF(AND($T22&lt;&gt;"",EDATE($D22,Milestones!$AA$37)&gt;=$T22),$W22,IF(AND($S22&lt;&gt;"",EDATE($D22,Milestones!$AA$37)&gt;=$S22),$V22,$U22)))=Milestones!$AB$37),UPPER(TEXT(EDATE($D22,Milestones!$AA$37),"dd mmm yy"))&amp;" "&amp;Milestones!$AB$37&amp;" "&amp;Milestones!$AC$37&amp;";  ","")&amp;IF(AND(EDATE($D22,Milestones!$AA$38)&lt;=AsOfDate,IF($R22=0,$X22,IF(AND($T22&lt;&gt;"",EDATE($D22,Milestones!$AA$38)&gt;=$T22),$W22,IF(AND($S22&lt;&gt;"",EDATE($D22,Milestones!$AA$38)&gt;=$S22),$V22,$U22)))=Milestones!$AB$38),UPPER(TEXT(EDATE($D22,Milestones!$AA$38),"dd mmm yy"))&amp;" "&amp;Milestones!$AB$38&amp;" "&amp;Milestones!$AC$38&amp;";  ","")&amp;IF(AND(EDATE($D22,Milestones!$AA$39)&lt;=AsOfDate,IF($R22=0,$X22,IF(AND($T22&lt;&gt;"",EDATE($D22,Milestones!$AA$39)&gt;=$T22),$W22,IF(AND($S22&lt;&gt;"",EDATE($D22,Milestones!$AA$39)&gt;=$S22),$V22,$U22)))=Milestones!$AB$39),UPPER(TEXT(EDATE($D22,Milestones!$AA$39),"dd mmm yy"))&amp;" "&amp;Milestones!$AB$39&amp;" "&amp;Milestones!$AC$39&amp;";  ",""))</f>
        <v/>
      </c>
      <c r="J22" s="0" t="str">
        <f aca="false">IF(OR($A22="",$D22=""),"",IF(AND(EDATE($D22,Milestones!$AA$40)&lt;=AsOfDate,IF($R22=0,$X22,IF(AND($T22&lt;&gt;"",EDATE($D22,Milestones!$AA$40)&gt;=$T22),$W22,IF(AND($S22&lt;&gt;"",EDATE($D22,Milestones!$AA$40)&gt;=$S22),$V22,$U22)))=Milestones!$AB$40),UPPER(TEXT(EDATE($D22,Milestones!$AA$40),"dd mmm yy"))&amp;" "&amp;Milestones!$AB$40&amp;" "&amp;Milestones!$AC$40&amp;";  ","")&amp;IF(AND(EDATE($D22,Milestones!$AA$41)&lt;=AsOfDate,IF($R22=0,$X22,IF(AND($T22&lt;&gt;"",EDATE($D22,Milestones!$AA$41)&gt;=$T22),$W22,IF(AND($S22&lt;&gt;"",EDATE($D22,Milestones!$AA$41)&gt;=$S22),$V22,$U22)))=Milestones!$AB$41),UPPER(TEXT(EDATE($D22,Milestones!$AA$41),"dd mmm yy"))&amp;" "&amp;Milestones!$AB$41&amp;" "&amp;Milestones!$AC$41&amp;";  ","")&amp;IF(AND(EDATE($D22,Milestones!$AA$42)&lt;=AsOfDate,IF($R22=0,$X22,IF(AND($T22&lt;&gt;"",EDATE($D22,Milestones!$AA$42)&gt;=$T22),$W22,IF(AND($S22&lt;&gt;"",EDATE($D22,Milestones!$AA$42)&gt;=$S22),$V22,$U22)))=Milestones!$AB$42),UPPER(TEXT(EDATE($D22,Milestones!$AA$42),"dd mmm yy"))&amp;" "&amp;Milestones!$AB$42&amp;" "&amp;Milestones!$AC$42&amp;";  ","")&amp;IF(AND(EDATE($D22,Milestones!$AA$43)&lt;=AsOfDate,IF($R22=0,$X22,IF(AND($T22&lt;&gt;"",EDATE($D22,Milestones!$AA$43)&gt;=$T22),$W22,IF(AND($S22&lt;&gt;"",EDATE($D22,Milestones!$AA$43)&gt;=$S22),$V22,$U22)))=Milestones!$AB$43),UPPER(TEXT(EDATE($D22,Milestones!$AA$43),"dd mmm yy"))&amp;" "&amp;Milestones!$AB$43&amp;" "&amp;Milestones!$AC$43&amp;";  ","")&amp;IF(AND(EDATE($D22,Milestones!$AA$44)&lt;=AsOfDate,IF($R22=0,$X22,IF(AND($T22&lt;&gt;"",EDATE($D22,Milestones!$AA$44)&gt;=$T22),$W22,IF(AND($S22&lt;&gt;"",EDATE($D22,Milestones!$AA$44)&gt;=$S22),$V22,$U22)))=Milestones!$AB$44),UPPER(TEXT(EDATE($D22,Milestones!$AA$44),"dd mmm yy"))&amp;" "&amp;Milestones!$AB$44&amp;" "&amp;Milestones!$AC$44&amp;";  ","")&amp;IF(AND(EDATE($D22,Milestones!$AA$45)&lt;=AsOfDate,IF($R22=0,$X22,IF(AND($T22&lt;&gt;"",EDATE($D22,Milestones!$AA$45)&gt;=$T22),$W22,IF(AND($S22&lt;&gt;"",EDATE($D22,Milestones!$AA$45)&gt;=$S22),$V22,$U22)))=Milestones!$AB$45),UPPER(TEXT(EDATE($D22,Milestones!$AA$45),"dd mmm yy"))&amp;" "&amp;Milestones!$AB$45&amp;" "&amp;Milestones!$AC$45&amp;";  ","")&amp;IF(AND(EDATE($D22,Milestones!$AA$46)&lt;=AsOfDate,IF($R22=0,$X22,IF(AND($T22&lt;&gt;"",EDATE($D22,Milestones!$AA$46)&gt;=$T22),$W22,IF(AND($S22&lt;&gt;"",EDATE($D22,Milestones!$AA$46)&gt;=$S22),$V22,$U22)))=Milestones!$AB$46),UPPER(TEXT(EDATE($D22,Milestones!$AA$46),"dd mmm yy"))&amp;" "&amp;Milestones!$AB$46&amp;" "&amp;Milestones!$AC$46&amp;";  ","")&amp;IF(AND(EDATE($D22,Milestones!$AA$47)&lt;=AsOfDate,IF($R22=0,$X22,IF(AND($T22&lt;&gt;"",EDATE($D22,Milestones!$AA$47)&gt;=$T22),$W22,IF(AND($S22&lt;&gt;"",EDATE($D22,Milestones!$AA$47)&gt;=$S22),$V22,$U22)))=Milestones!$AB$47),UPPER(TEXT(EDATE($D22,Milestones!$AA$47),"dd mmm yy"))&amp;" "&amp;Milestones!$AB$47&amp;" "&amp;Milestones!$AC$47&amp;";  ","")&amp;IF(AND(EDATE($D22,Milestones!$AA$48)&lt;=AsOfDate,IF($R22=0,$X22,IF(AND($T22&lt;&gt;"",EDATE($D22,Milestones!$AA$48)&gt;=$T22),$W22,IF(AND($S22&lt;&gt;"",EDATE($D22,Milestones!$AA$48)&gt;=$S22),$V22,$U22)))=Milestones!$AB$48),UPPER(TEXT(EDATE($D22,Milestones!$AA$48),"dd mmm yy"))&amp;" "&amp;Milestones!$AB$48&amp;" "&amp;Milestones!$AC$48&amp;";  ","")&amp;IF(AND(EDATE($D22,Milestones!$AA$49)&lt;=AsOfDate,IF($R22=0,$X22,IF(AND($T22&lt;&gt;"",EDATE($D22,Milestones!$AA$49)&gt;=$T22),$W22,IF(AND($S22&lt;&gt;"",EDATE($D22,Milestones!$AA$49)&gt;=$S22),$V22,$U22)))=Milestones!$AB$49),UPPER(TEXT(EDATE($D22,Milestones!$AA$49),"dd mmm yy"))&amp;" "&amp;Milestones!$AB$49&amp;" "&amp;Milestones!$AC$49&amp;";  ","")&amp;IF(AND(EDATE($D22,Milestones!$AA$50)&lt;=AsOfDate,IF($R22=0,$X22,IF(AND($T22&lt;&gt;"",EDATE($D22,Milestones!$AA$50)&gt;=$T22),$W22,IF(AND($S22&lt;&gt;"",EDATE($D22,Milestones!$AA$50)&gt;=$S22),$V22,$U22)))=Milestones!$AB$50),UPPER(TEXT(EDATE($D22,Milestones!$AA$50),"dd mmm yy"))&amp;" "&amp;Milestones!$AB$50&amp;" "&amp;Milestones!$AC$50&amp;";  ","")&amp;IF(AND(EDATE($D22,Milestones!$AA$51)&lt;=AsOfDate,IF($R22=0,$X22,IF(AND($T22&lt;&gt;"",EDATE($D22,Milestones!$AA$51)&gt;=$T22),$W22,IF(AND($S22&lt;&gt;"",EDATE($D22,Milestones!$AA$51)&gt;=$S22),$V22,$U22)))=Milestones!$AB$51),UPPER(TEXT(EDATE($D22,Milestones!$AA$51),"dd mmm yy"))&amp;" "&amp;Milestones!$AB$51&amp;" "&amp;Milestones!$AC$51&amp;";  ","")&amp;IF(AND(EDATE($D22,Milestones!$AA$52)&lt;=AsOfDate,IF($R22=0,$X22,IF(AND($T22&lt;&gt;"",EDATE($D22,Milestones!$AA$52)&gt;=$T22),$W22,IF(AND($S22&lt;&gt;"",EDATE($D22,Milestones!$AA$52)&gt;=$S22),$V22,$U22)))=Milestones!$AB$52),UPPER(TEXT(EDATE($D22,Milestones!$AA$52),"dd mmm yy"))&amp;" "&amp;Milestones!$AB$52&amp;" "&amp;Milestones!$AC$52&amp;";  ","")&amp;IF(AND(EDATE($D22,Milestones!$AA$53)&lt;=AsOfDate,IF($R22=0,$X22,IF(AND($T22&lt;&gt;"",EDATE($D22,Milestones!$AA$53)&gt;=$T22),$W22,IF(AND($S22&lt;&gt;"",EDATE($D22,Milestones!$AA$53)&gt;=$S22),$V22,$U22)))=Milestones!$AB$53),UPPER(TEXT(EDATE($D22,Milestones!$AA$53),"dd mmm yy"))&amp;" "&amp;Milestones!$AB$53&amp;" "&amp;Milestones!$AC$53&amp;";  ","")&amp;IF(AND(EDATE($D22,Milestones!$AA$54)&lt;=AsOfDate,IF($R22=0,$X22,IF(AND($T22&lt;&gt;"",EDATE($D22,Milestones!$AA$54)&gt;=$T22),$W22,IF(AND($S22&lt;&gt;"",EDATE($D22,Milestones!$AA$54)&gt;=$S22),$V22,$U22)))=Milestones!$AB$54),UPPER(TEXT(EDATE($D22,Milestones!$AA$54),"dd mmm yy"))&amp;" "&amp;Milestones!$AB$54&amp;" "&amp;Milestones!$AC$54&amp;";  ","")&amp;IF(AND(EDATE($D22,Milestones!$AA$55)&lt;=AsOfDate,IF($R22=0,$X22,IF(AND($T22&lt;&gt;"",EDATE($D22,Milestones!$AA$55)&gt;=$T22),$W22,IF(AND($S22&lt;&gt;"",EDATE($D22,Milestones!$AA$55)&gt;=$S22),$V22,$U22)))=Milestones!$AB$55),UPPER(TEXT(EDATE($D22,Milestones!$AA$55),"dd mmm yy"))&amp;" "&amp;Milestones!$AB$55&amp;" "&amp;Milestones!$AC$55&amp;";  ","")&amp;IF(AND(EDATE($D22,Milestones!$AA$56)&lt;=AsOfDate,IF($R22=0,$X22,IF(AND($T22&lt;&gt;"",EDATE($D22,Milestones!$AA$56)&gt;=$T22),$W22,IF(AND($S22&lt;&gt;"",EDATE($D22,Milestones!$AA$56)&gt;=$S22),$V22,$U22)))=Milestones!$AB$56),UPPER(TEXT(EDATE($D22,Milestones!$AA$56),"dd mmm yy"))&amp;" "&amp;Milestones!$AB$56&amp;" "&amp;Milestones!$AC$56&amp;";  ","")&amp;IF(AND(EDATE($D22,Milestones!$AA$57)&lt;=AsOfDate,IF($R22=0,$X22,IF(AND($T22&lt;&gt;"",EDATE($D22,Milestones!$AA$57)&gt;=$T22),$W22,IF(AND($S22&lt;&gt;"",EDATE($D22,Milestones!$AA$57)&gt;=$S22),$V22,$U22)))=Milestones!$AB$57),UPPER(TEXT(EDATE($D22,Milestones!$AA$57),"dd mmm yy"))&amp;" "&amp;Milestones!$AB$57&amp;" "&amp;Milestones!$AC$57&amp;";  ","")&amp;IF(AND(EDATE($D22,Milestones!$AA$58)&lt;=AsOfDate,IF($R22=0,$X22,IF(AND($T22&lt;&gt;"",EDATE($D22,Milestones!$AA$58)&gt;=$T22),$W22,IF(AND($S22&lt;&gt;"",EDATE($D22,Milestones!$AA$58)&gt;=$S22),$V22,$U22)))=Milestones!$AB$58),UPPER(TEXT(EDATE($D22,Milestones!$AA$58),"dd mmm yy"))&amp;" "&amp;Milestones!$AB$58&amp;" "&amp;Milestones!$AC$58&amp;";  ","")&amp;IF(AND(EDATE($D22,Milestones!$AA$59)&lt;=AsOfDate,IF($R22=0,$X22,IF(AND($T22&lt;&gt;"",EDATE($D22,Milestones!$AA$59)&gt;=$T22),$W22,IF(AND($S22&lt;&gt;"",EDATE($D22,Milestones!$AA$59)&gt;=$S22),$V22,$U22)))=Milestones!$AB$59),UPPER(TEXT(EDATE($D22,Milestones!$AA$59),"dd mmm yy"))&amp;" "&amp;Milestones!$AB$59&amp;" "&amp;Milestones!$AC$59&amp;";  ",""))</f>
        <v/>
      </c>
      <c r="K22" s="0" t="str">
        <f aca="false">IF(OR($A22="",$D22=""),"",IF(AND(EDATE($D22,Milestones!$AA$60)&lt;=AsOfDate,IF($R22=0,$X22,IF(AND($T22&lt;&gt;"",EDATE($D22,Milestones!$AA$60)&gt;=$T22),$W22,IF(AND($S22&lt;&gt;"",EDATE($D22,Milestones!$AA$60)&gt;=$S22),$V22,$U22)))=Milestones!$AB$60),UPPER(TEXT(EDATE($D22,Milestones!$AA$60),"dd mmm yy"))&amp;" "&amp;Milestones!$AB$60&amp;" "&amp;Milestones!$AC$60&amp;";  ","")&amp;IF(AND(EDATE($D22,Milestones!$AA$61)&lt;=AsOfDate,IF($R22=0,$X22,IF(AND($T22&lt;&gt;"",EDATE($D22,Milestones!$AA$61)&gt;=$T22),$W22,IF(AND($S22&lt;&gt;"",EDATE($D22,Milestones!$AA$61)&gt;=$S22),$V22,$U22)))=Milestones!$AB$61),UPPER(TEXT(EDATE($D22,Milestones!$AA$61),"dd mmm yy"))&amp;" "&amp;Milestones!$AB$61&amp;" "&amp;Milestones!$AC$61&amp;";  ","")&amp;IF(AND(EDATE($D22,Milestones!$AA$62)&lt;=AsOfDate,IF($R22=0,$X22,IF(AND($T22&lt;&gt;"",EDATE($D22,Milestones!$AA$62)&gt;=$T22),$W22,IF(AND($S22&lt;&gt;"",EDATE($D22,Milestones!$AA$62)&gt;=$S22),$V22,$U22)))=Milestones!$AB$62),UPPER(TEXT(EDATE($D22,Milestones!$AA$62),"dd mmm yy"))&amp;" "&amp;Milestones!$AB$62&amp;" "&amp;Milestones!$AC$62&amp;";  ","")&amp;IF(AND(EDATE($D22,Milestones!$AA$63)&lt;=AsOfDate,IF($R22=0,$X22,IF(AND($T22&lt;&gt;"",EDATE($D22,Milestones!$AA$63)&gt;=$T22),$W22,IF(AND($S22&lt;&gt;"",EDATE($D22,Milestones!$AA$63)&gt;=$S22),$V22,$U22)))=Milestones!$AB$63),UPPER(TEXT(EDATE($D22,Milestones!$AA$63),"dd mmm yy"))&amp;" "&amp;Milestones!$AB$63&amp;" "&amp;Milestones!$AC$63&amp;";  ","")&amp;IF(AND(EDATE($D22,Milestones!$AA$64)&lt;=AsOfDate,IF($R22=0,$X22,IF(AND($T22&lt;&gt;"",EDATE($D22,Milestones!$AA$64)&gt;=$T22),$W22,IF(AND($S22&lt;&gt;"",EDATE($D22,Milestones!$AA$64)&gt;=$S22),$V22,$U22)))=Milestones!$AB$64),UPPER(TEXT(EDATE($D22,Milestones!$AA$64),"dd mmm yy"))&amp;" "&amp;Milestones!$AB$64&amp;" "&amp;Milestones!$AC$64&amp;";  ","")&amp;IF(AND(EDATE($D22,Milestones!$AA$65)&lt;=AsOfDate,IF($R22=0,$X22,IF(AND($T22&lt;&gt;"",EDATE($D22,Milestones!$AA$65)&gt;=$T22),$W22,IF(AND($S22&lt;&gt;"",EDATE($D22,Milestones!$AA$65)&gt;=$S22),$V22,$U22)))=Milestones!$AB$65),UPPER(TEXT(EDATE($D22,Milestones!$AA$65),"dd mmm yy"))&amp;" "&amp;Milestones!$AB$65&amp;" "&amp;Milestones!$AC$65&amp;";  ","")&amp;IF(AND(EDATE($D22,Milestones!$AA$66)&lt;=AsOfDate,IF($R22=0,$X22,IF(AND($T22&lt;&gt;"",EDATE($D22,Milestones!$AA$66)&gt;=$T22),$W22,IF(AND($S22&lt;&gt;"",EDATE($D22,Milestones!$AA$66)&gt;=$S22),$V22,$U22)))=Milestones!$AB$66),UPPER(TEXT(EDATE($D22,Milestones!$AA$66),"dd mmm yy"))&amp;" "&amp;Milestones!$AB$66&amp;" "&amp;Milestones!$AC$66&amp;";  ","")&amp;IF(AND(EDATE($D22,Milestones!$AA$67)&lt;=AsOfDate,IF($R22=0,$X22,IF(AND($T22&lt;&gt;"",EDATE($D22,Milestones!$AA$67)&gt;=$T22),$W22,IF(AND($S22&lt;&gt;"",EDATE($D22,Milestones!$AA$67)&gt;=$S22),$V22,$U22)))=Milestones!$AB$67),UPPER(TEXT(EDATE($D22,Milestones!$AA$67),"dd mmm yy"))&amp;" "&amp;Milestones!$AB$67&amp;" "&amp;Milestones!$AC$67&amp;";  ","")&amp;IF(AND(EDATE($D22,Milestones!$AA$68)&lt;=AsOfDate,IF($R22=0,$X22,IF(AND($T22&lt;&gt;"",EDATE($D22,Milestones!$AA$68)&gt;=$T22),$W22,IF(AND($S22&lt;&gt;"",EDATE($D22,Milestones!$AA$68)&gt;=$S22),$V22,$U22)))=Milestones!$AB$68),UPPER(TEXT(EDATE($D22,Milestones!$AA$68),"dd mmm yy"))&amp;" "&amp;Milestones!$AB$68&amp;" "&amp;Milestones!$AC$68&amp;";  ","")&amp;IF(AND(EDATE($D22,Milestones!$AA$69)&lt;=AsOfDate,IF($R22=0,$X22,IF(AND($T22&lt;&gt;"",EDATE($D22,Milestones!$AA$69)&gt;=$T22),$W22,IF(AND($S22&lt;&gt;"",EDATE($D22,Milestones!$AA$69)&gt;=$S22),$V22,$U22)))=Milestones!$AB$69),UPPER(TEXT(EDATE($D22,Milestones!$AA$69),"dd mmm yy"))&amp;" "&amp;Milestones!$AB$69&amp;" "&amp;Milestones!$AC$69&amp;";  ","")&amp;IF(AND(EDATE($D22,Milestones!$AA$70)&lt;=AsOfDate,IF($R22=0,$X22,IF(AND($T22&lt;&gt;"",EDATE($D22,Milestones!$AA$70)&gt;=$T22),$W22,IF(AND($S22&lt;&gt;"",EDATE($D22,Milestones!$AA$70)&gt;=$S22),$V22,$U22)))=Milestones!$AB$70),UPPER(TEXT(EDATE($D22,Milestones!$AA$70),"dd mmm yy"))&amp;" "&amp;Milestones!$AB$70&amp;" "&amp;Milestones!$AC$70&amp;";  ","")&amp;IF(AND(EDATE($D22,Milestones!$AA$71)&lt;=AsOfDate,IF($R22=0,$X22,IF(AND($T22&lt;&gt;"",EDATE($D22,Milestones!$AA$71)&gt;=$T22),$W22,IF(AND($S22&lt;&gt;"",EDATE($D22,Milestones!$AA$71)&gt;=$S22),$V22,$U22)))=Milestones!$AB$71),UPPER(TEXT(EDATE($D22,Milestones!$AA$71),"dd mmm yy"))&amp;" "&amp;Milestones!$AB$71&amp;" "&amp;Milestones!$AC$71&amp;";  ","")&amp;IF(AND(EDATE($D22,Milestones!$AA$72)&lt;=AsOfDate,IF($R22=0,$X22,IF(AND($T22&lt;&gt;"",EDATE($D22,Milestones!$AA$72)&gt;=$T22),$W22,IF(AND($S22&lt;&gt;"",EDATE($D22,Milestones!$AA$72)&gt;=$S22),$V22,$U22)))=Milestones!$AB$72),UPPER(TEXT(EDATE($D22,Milestones!$AA$72),"dd mmm yy"))&amp;" "&amp;Milestones!$AB$72&amp;" "&amp;Milestones!$AC$72&amp;";  ","")&amp;IF(AND(EDATE($D22,Milestones!$AA$73)&lt;=AsOfDate,IF($R22=0,$X22,IF(AND($T22&lt;&gt;"",EDATE($D22,Milestones!$AA$73)&gt;=$T22),$W22,IF(AND($S22&lt;&gt;"",EDATE($D22,Milestones!$AA$73)&gt;=$S22),$V22,$U22)))=Milestones!$AB$73),UPPER(TEXT(EDATE($D22,Milestones!$AA$73),"dd mmm yy"))&amp;" "&amp;Milestones!$AB$73&amp;" "&amp;Milestones!$AC$73&amp;";  ","")&amp;IF(AND(EDATE($D22,Milestones!$AA$74)&lt;=AsOfDate,IF($R22=0,$X22,IF(AND($T22&lt;&gt;"",EDATE($D22,Milestones!$AA$74)&gt;=$T22),$W22,IF(AND($S22&lt;&gt;"",EDATE($D22,Milestones!$AA$74)&gt;=$S22),$V22,$U22)))=Milestones!$AB$74),UPPER(TEXT(EDATE($D22,Milestones!$AA$74),"dd mmm yy"))&amp;" "&amp;Milestones!$AB$74&amp;" "&amp;Milestones!$AC$74&amp;";  ","")&amp;IF(AND(EDATE($D22,Milestones!$AA$75)&lt;=AsOfDate,IF($R22=0,$X22,IF(AND($T22&lt;&gt;"",EDATE($D22,Milestones!$AA$75)&gt;=$T22),$W22,IF(AND($S22&lt;&gt;"",EDATE($D22,Milestones!$AA$75)&gt;=$S22),$V22,$U22)))=Milestones!$AB$75),UPPER(TEXT(EDATE($D22,Milestones!$AA$75),"dd mmm yy"))&amp;" "&amp;Milestones!$AB$75&amp;" "&amp;Milestones!$AC$75&amp;";  ","")&amp;IF(AND(EDATE($D22,Milestones!$AA$76)&lt;=AsOfDate,IF($R22=0,$X22,IF(AND($T22&lt;&gt;"",EDATE($D22,Milestones!$AA$76)&gt;=$T22),$W22,IF(AND($S22&lt;&gt;"",EDATE($D22,Milestones!$AA$76)&gt;=$S22),$V22,$U22)))=Milestones!$AB$76),UPPER(TEXT(EDATE($D22,Milestones!$AA$76),"dd mmm yy"))&amp;" "&amp;Milestones!$AB$76&amp;" "&amp;Milestones!$AC$76&amp;";  ","")&amp;IF(AND(EDATE($D22,Milestones!$AA$77)&lt;=AsOfDate,IF($R22=0,$X22,IF(AND($T22&lt;&gt;"",EDATE($D22,Milestones!$AA$77)&gt;=$T22),$W22,IF(AND($S22&lt;&gt;"",EDATE($D22,Milestones!$AA$77)&gt;=$S22),$V22,$U22)))=Milestones!$AB$77),UPPER(TEXT(EDATE($D22,Milestones!$AA$77),"dd mmm yy"))&amp;" "&amp;Milestones!$AB$77&amp;" "&amp;Milestones!$AC$77&amp;";  ","")&amp;IF(AND(EDATE($D22,Milestones!$AA$78)&lt;=AsOfDate,IF($R22=0,$X22,IF(AND($T22&lt;&gt;"",EDATE($D22,Milestones!$AA$78)&gt;=$T22),$W22,IF(AND($S22&lt;&gt;"",EDATE($D22,Milestones!$AA$78)&gt;=$S22),$V22,$U22)))=Milestones!$AB$78),UPPER(TEXT(EDATE($D22,Milestones!$AA$78),"dd mmm yy"))&amp;" "&amp;Milestones!$AB$78&amp;" "&amp;Milestones!$AC$78&amp;";  ","")&amp;IF(AND(EDATE($D22,Milestones!$AA$79)&lt;=AsOfDate,IF($R22=0,$X22,IF(AND($T22&lt;&gt;"",EDATE($D22,Milestones!$AA$79)&gt;=$T22),$W22,IF(AND($S22&lt;&gt;"",EDATE($D22,Milestones!$AA$79)&gt;=$S22),$V22,$U22)))=Milestones!$AB$79),UPPER(TEXT(EDATE($D22,Milestones!$AA$79),"dd mmm yy"))&amp;" "&amp;Milestones!$AB$79&amp;" "&amp;Milestones!$AC$79&amp;";  ",""))</f>
        <v/>
      </c>
      <c r="L22" s="0" t="str">
        <f aca="false">IF(OR($A22="",$D22=""),"",IF(AND(EDATE($D22,Milestones!$AA$80)&lt;=AsOfDate,IF($R22=0,$X22,IF(AND($T22&lt;&gt;"",EDATE($D22,Milestones!$AA$80)&gt;=$T22),$W22,IF(AND($S22&lt;&gt;"",EDATE($D22,Milestones!$AA$80)&gt;=$S22),$V22,$U22)))=Milestones!$AB$80),UPPER(TEXT(EDATE($D22,Milestones!$AA$80),"dd mmm yy"))&amp;" "&amp;Milestones!$AB$80&amp;" "&amp;Milestones!$AC$80&amp;";  ","")&amp;IF(AND(EDATE($D22,Milestones!$AA$81)&lt;=AsOfDate,IF($R22=0,$X22,IF(AND($T22&lt;&gt;"",EDATE($D22,Milestones!$AA$81)&gt;=$T22),$W22,IF(AND($S22&lt;&gt;"",EDATE($D22,Milestones!$AA$81)&gt;=$S22),$V22,$U22)))=Milestones!$AB$81),UPPER(TEXT(EDATE($D22,Milestones!$AA$81),"dd mmm yy"))&amp;" "&amp;Milestones!$AB$81&amp;" "&amp;Milestones!$AC$81&amp;";  ","")&amp;IF(AND(EDATE($D22,Milestones!$AA$82)&lt;=AsOfDate,IF($R22=0,$X22,IF(AND($T22&lt;&gt;"",EDATE($D22,Milestones!$AA$82)&gt;=$T22),$W22,IF(AND($S22&lt;&gt;"",EDATE($D22,Milestones!$AA$82)&gt;=$S22),$V22,$U22)))=Milestones!$AB$82),UPPER(TEXT(EDATE($D22,Milestones!$AA$82),"dd mmm yy"))&amp;" "&amp;Milestones!$AB$82&amp;" "&amp;Milestones!$AC$82&amp;";  ","")&amp;IF(AND(EDATE($D22,Milestones!$AA$83)&lt;=AsOfDate,IF($R22=0,$X22,IF(AND($T22&lt;&gt;"",EDATE($D22,Milestones!$AA$83)&gt;=$T22),$W22,IF(AND($S22&lt;&gt;"",EDATE($D22,Milestones!$AA$83)&gt;=$S22),$V22,$U22)))=Milestones!$AB$83),UPPER(TEXT(EDATE($D22,Milestones!$AA$83),"dd mmm yy"))&amp;" "&amp;Milestones!$AB$83&amp;" "&amp;Milestones!$AC$83&amp;";  ","")&amp;IF(AND(EDATE($D22,Milestones!$AA$84)&lt;=AsOfDate,IF($R22=0,$X22,IF(AND($T22&lt;&gt;"",EDATE($D22,Milestones!$AA$84)&gt;=$T22),$W22,IF(AND($S22&lt;&gt;"",EDATE($D22,Milestones!$AA$84)&gt;=$S22),$V22,$U22)))=Milestones!$AB$84),UPPER(TEXT(EDATE($D22,Milestones!$AA$84),"dd mmm yy"))&amp;" "&amp;Milestones!$AB$84&amp;" "&amp;Milestones!$AC$84&amp;";  ","")&amp;IF(AND(EDATE($D22,Milestones!$AA$85)&lt;=AsOfDate,IF($R22=0,$X22,IF(AND($T22&lt;&gt;"",EDATE($D22,Milestones!$AA$85)&gt;=$T22),$W22,IF(AND($S22&lt;&gt;"",EDATE($D22,Milestones!$AA$85)&gt;=$S22),$V22,$U22)))=Milestones!$AB$85),UPPER(TEXT(EDATE($D22,Milestones!$AA$85),"dd mmm yy"))&amp;" "&amp;Milestones!$AB$85&amp;" "&amp;Milestones!$AC$85&amp;";  ","")&amp;IF(AND(EDATE($D22,Milestones!$AA$86)&lt;=AsOfDate,IF($R22=0,$X22,IF(AND($T22&lt;&gt;"",EDATE($D22,Milestones!$AA$86)&gt;=$T22),$W22,IF(AND($S22&lt;&gt;"",EDATE($D22,Milestones!$AA$86)&gt;=$S22),$V22,$U22)))=Milestones!$AB$86),UPPER(TEXT(EDATE($D22,Milestones!$AA$86),"dd mmm yy"))&amp;" "&amp;Milestones!$AB$86&amp;" "&amp;Milestones!$AC$86&amp;";  ","")&amp;IF(AND(EDATE($D22,Milestones!$AA$87)&lt;=AsOfDate,IF($R22=0,$X22,IF(AND($T22&lt;&gt;"",EDATE($D22,Milestones!$AA$87)&gt;=$T22),$W22,IF(AND($S22&lt;&gt;"",EDATE($D22,Milestones!$AA$87)&gt;=$S22),$V22,$U22)))=Milestones!$AB$87),UPPER(TEXT(EDATE($D22,Milestones!$AA$87),"dd mmm yy"))&amp;" "&amp;Milestones!$AB$87&amp;" "&amp;Milestones!$AC$87&amp;";  ","")&amp;IF(AND(EDATE($D22,Milestones!$AA$88)&lt;=AsOfDate,IF($R22=0,$X22,IF(AND($T22&lt;&gt;"",EDATE($D22,Milestones!$AA$88)&gt;=$T22),$W22,IF(AND($S22&lt;&gt;"",EDATE($D22,Milestones!$AA$88)&gt;=$S22),$V22,$U22)))=Milestones!$AB$88),UPPER(TEXT(EDATE($D22,Milestones!$AA$88),"dd mmm yy"))&amp;" "&amp;Milestones!$AB$88&amp;" "&amp;Milestones!$AC$88&amp;";  ","")&amp;IF(AND(EDATE($D22,Milestones!$AA$89)&lt;=AsOfDate,IF($R22=0,$X22,IF(AND($T22&lt;&gt;"",EDATE($D22,Milestones!$AA$89)&gt;=$T22),$W22,IF(AND($S22&lt;&gt;"",EDATE($D22,Milestones!$AA$89)&gt;=$S22),$V22,$U22)))=Milestones!$AB$89),UPPER(TEXT(EDATE($D22,Milestones!$AA$89),"dd mmm yy"))&amp;" "&amp;Milestones!$AB$89&amp;" "&amp;Milestones!$AC$89&amp;";  ","")&amp;IF(AND(EDATE($D22,Milestones!$AA$90)&lt;=AsOfDate,IF($R22=0,$X22,IF(AND($T22&lt;&gt;"",EDATE($D22,Milestones!$AA$90)&gt;=$T22),$W22,IF(AND($S22&lt;&gt;"",EDATE($D22,Milestones!$AA$90)&gt;=$S22),$V22,$U22)))=Milestones!$AB$90),UPPER(TEXT(EDATE($D22,Milestones!$AA$90),"dd mmm yy"))&amp;" "&amp;Milestones!$AB$90&amp;" "&amp;Milestones!$AC$90&amp;";  ","")&amp;IF(AND(EDATE($D22,Milestones!$AA$91)&lt;=AsOfDate,IF($R22=0,$X22,IF(AND($T22&lt;&gt;"",EDATE($D22,Milestones!$AA$91)&gt;=$T22),$W22,IF(AND($S22&lt;&gt;"",EDATE($D22,Milestones!$AA$91)&gt;=$S22),$V22,$U22)))=Milestones!$AB$91),UPPER(TEXT(EDATE($D22,Milestones!$AA$91),"dd mmm yy"))&amp;" "&amp;Milestones!$AB$91&amp;" "&amp;Milestones!$AC$91&amp;";  ","")&amp;IF(AND(EDATE($D22,Milestones!$AA$92)&lt;=AsOfDate,IF($R22=0,$X22,IF(AND($T22&lt;&gt;"",EDATE($D22,Milestones!$AA$92)&gt;=$T22),$W22,IF(AND($S22&lt;&gt;"",EDATE($D22,Milestones!$AA$92)&gt;=$S22),$V22,$U22)))=Milestones!$AB$92),UPPER(TEXT(EDATE($D22,Milestones!$AA$92),"dd mmm yy"))&amp;" "&amp;Milestones!$AB$92&amp;" "&amp;Milestones!$AC$92&amp;";  ","")&amp;IF(AND(EDATE($D22,Milestones!$AA$93)&lt;=AsOfDate,IF($R22=0,$X22,IF(AND($T22&lt;&gt;"",EDATE($D22,Milestones!$AA$93)&gt;=$T22),$W22,IF(AND($S22&lt;&gt;"",EDATE($D22,Milestones!$AA$93)&gt;=$S22),$V22,$U22)))=Milestones!$AB$93),UPPER(TEXT(EDATE($D22,Milestones!$AA$93),"dd mmm yy"))&amp;" "&amp;Milestones!$AB$93&amp;" "&amp;Milestones!$AC$93&amp;";  ","")&amp;IF(AND(EDATE($D22,Milestones!$AA$94)&lt;=AsOfDate,IF($R22=0,$X22,IF(AND($T22&lt;&gt;"",EDATE($D22,Milestones!$AA$94)&gt;=$T22),$W22,IF(AND($S22&lt;&gt;"",EDATE($D22,Milestones!$AA$94)&gt;=$S22),$V22,$U22)))=Milestones!$AB$94),UPPER(TEXT(EDATE($D22,Milestones!$AA$94),"dd mmm yy"))&amp;" "&amp;Milestones!$AB$94&amp;" "&amp;Milestones!$AC$94&amp;";  ","")&amp;IF(AND(EDATE($D22,Milestones!$AA$95)&lt;=AsOfDate,IF($R22=0,$X22,IF(AND($T22&lt;&gt;"",EDATE($D22,Milestones!$AA$95)&gt;=$T22),$W22,IF(AND($S22&lt;&gt;"",EDATE($D22,Milestones!$AA$95)&gt;=$S22),$V22,$U22)))=Milestones!$AB$95),UPPER(TEXT(EDATE($D22,Milestones!$AA$95),"dd mmm yy"))&amp;" "&amp;Milestones!$AB$95&amp;" "&amp;Milestones!$AC$95&amp;";  ","")&amp;IF(AND(EDATE($D22,Milestones!$AA$96)&lt;=AsOfDate,IF($R22=0,$X22,IF(AND($T22&lt;&gt;"",EDATE($D22,Milestones!$AA$96)&gt;=$T22),$W22,IF(AND($S22&lt;&gt;"",EDATE($D22,Milestones!$AA$96)&gt;=$S22),$V22,$U22)))=Milestones!$AB$96),UPPER(TEXT(EDATE($D22,Milestones!$AA$96),"dd mmm yy"))&amp;" "&amp;Milestones!$AB$96&amp;" "&amp;Milestones!$AC$96&amp;";  ","")&amp;IF(AND(EDATE($D22,Milestones!$AA$97)&lt;=AsOfDate,IF($R22=0,$X22,IF(AND($T22&lt;&gt;"",EDATE($D22,Milestones!$AA$97)&gt;=$T22),$W22,IF(AND($S22&lt;&gt;"",EDATE($D22,Milestones!$AA$97)&gt;=$S22),$V22,$U22)))=Milestones!$AB$97),UPPER(TEXT(EDATE($D22,Milestones!$AA$97),"dd mmm yy"))&amp;" "&amp;Milestones!$AB$97&amp;" "&amp;Milestones!$AC$97&amp;";  ","")&amp;IF(AND(EDATE($D22,Milestones!$AA$98)&lt;=AsOfDate,IF($R22=0,$X22,IF(AND($T22&lt;&gt;"",EDATE($D22,Milestones!$AA$98)&gt;=$T22),$W22,IF(AND($S22&lt;&gt;"",EDATE($D22,Milestones!$AA$98)&gt;=$S22),$V22,$U22)))=Milestones!$AB$98),UPPER(TEXT(EDATE($D22,Milestones!$AA$98),"dd mmm yy"))&amp;" "&amp;Milestones!$AB$98&amp;" "&amp;Milestones!$AC$98&amp;";  ","")&amp;IF(AND(EDATE($D22,Milestones!$AA$99)&lt;=AsOfDate,IF($R22=0,$X22,IF(AND($T22&lt;&gt;"",EDATE($D22,Milestones!$AA$99)&gt;=$T22),$W22,IF(AND($S22&lt;&gt;"",EDATE($D22,Milestones!$AA$99)&gt;=$S22),$V22,$U22)))=Milestones!$AB$99),UPPER(TEXT(EDATE($D22,Milestones!$AA$99),"dd mmm yy"))&amp;" "&amp;Milestones!$AB$99&amp;" "&amp;Milestones!$AC$99&amp;";  ",""))</f>
        <v/>
      </c>
      <c r="M22" s="0" t="str">
        <f aca="false">IF(OR($A22="",$D22=""),"",IF(AND(EDATE($D22,Milestones!$AA$100)&lt;=AsOfDate,IF($R22=0,$X22,IF(AND($T22&lt;&gt;"",EDATE($D22,Milestones!$AA$100)&gt;=$T22),$W22,IF(AND($S22&lt;&gt;"",EDATE($D22,Milestones!$AA$100)&gt;=$S22),$V22,$U22)))=Milestones!$AB$100),UPPER(TEXT(EDATE($D22,Milestones!$AA$100),"dd mmm yy"))&amp;" "&amp;Milestones!$AB$100&amp;" "&amp;Milestones!$AC$100&amp;";  ","")&amp;IF(AND(EDATE($D22,Milestones!$AA$101)&lt;=AsOfDate,IF($R22=0,$X22,IF(AND($T22&lt;&gt;"",EDATE($D22,Milestones!$AA$101)&gt;=$T22),$W22,IF(AND($S22&lt;&gt;"",EDATE($D22,Milestones!$AA$101)&gt;=$S22),$V22,$U22)))=Milestones!$AB$101),UPPER(TEXT(EDATE($D22,Milestones!$AA$101),"dd mmm yy"))&amp;" "&amp;Milestones!$AB$101&amp;" "&amp;Milestones!$AC$101&amp;";  ","")&amp;IF(AND(EDATE($D22,Milestones!$AA$102)&lt;=AsOfDate,IF($R22=0,$X22,IF(AND($T22&lt;&gt;"",EDATE($D22,Milestones!$AA$102)&gt;=$T22),$W22,IF(AND($S22&lt;&gt;"",EDATE($D22,Milestones!$AA$102)&gt;=$S22),$V22,$U22)))=Milestones!$AB$102),UPPER(TEXT(EDATE($D22,Milestones!$AA$102),"dd mmm yy"))&amp;" "&amp;Milestones!$AB$102&amp;" "&amp;Milestones!$AC$102&amp;";  ","")&amp;IF(AND(EDATE($D22,Milestones!$AA$103)&lt;=AsOfDate,IF($R22=0,$X22,IF(AND($T22&lt;&gt;"",EDATE($D22,Milestones!$AA$103)&gt;=$T22),$W22,IF(AND($S22&lt;&gt;"",EDATE($D22,Milestones!$AA$103)&gt;=$S22),$V22,$U22)))=Milestones!$AB$103),UPPER(TEXT(EDATE($D22,Milestones!$AA$103),"dd mmm yy"))&amp;" "&amp;Milestones!$AB$103&amp;" "&amp;Milestones!$AC$103&amp;";  ","")&amp;IF(AND(EDATE($D22,Milestones!$AA$104)&lt;=AsOfDate,IF($R22=0,$X22,IF(AND($T22&lt;&gt;"",EDATE($D22,Milestones!$AA$104)&gt;=$T22),$W22,IF(AND($S22&lt;&gt;"",EDATE($D22,Milestones!$AA$104)&gt;=$S22),$V22,$U22)))=Milestones!$AB$104),UPPER(TEXT(EDATE($D22,Milestones!$AA$104),"dd mmm yy"))&amp;" "&amp;Milestones!$AB$104&amp;" "&amp;Milestones!$AC$104&amp;";  ","")&amp;IF(AND(EDATE($D22,Milestones!$AA$105)&lt;=AsOfDate,IF($R22=0,$X22,IF(AND($T22&lt;&gt;"",EDATE($D22,Milestones!$AA$105)&gt;=$T22),$W22,IF(AND($S22&lt;&gt;"",EDATE($D22,Milestones!$AA$105)&gt;=$S22),$V22,$U22)))=Milestones!$AB$105),UPPER(TEXT(EDATE($D22,Milestones!$AA$105),"dd mmm yy"))&amp;" "&amp;Milestones!$AB$105&amp;" "&amp;Milestones!$AC$105&amp;";  ","")&amp;IF(AND(EDATE($D22,Milestones!$AA$106)&lt;=AsOfDate,IF($R22=0,$X22,IF(AND($T22&lt;&gt;"",EDATE($D22,Milestones!$AA$106)&gt;=$T22),$W22,IF(AND($S22&lt;&gt;"",EDATE($D22,Milestones!$AA$106)&gt;=$S22),$V22,$U22)))=Milestones!$AB$106),UPPER(TEXT(EDATE($D22,Milestones!$AA$106),"dd mmm yy"))&amp;" "&amp;Milestones!$AB$106&amp;" "&amp;Milestones!$AC$106&amp;";  ","")&amp;IF(AND(EDATE($D22,Milestones!$AA$107)&lt;=AsOfDate,IF($R22=0,$X22,IF(AND($T22&lt;&gt;"",EDATE($D22,Milestones!$AA$107)&gt;=$T22),$W22,IF(AND($S22&lt;&gt;"",EDATE($D22,Milestones!$AA$107)&gt;=$S22),$V22,$U22)))=Milestones!$AB$107),UPPER(TEXT(EDATE($D22,Milestones!$AA$107),"dd mmm yy"))&amp;" "&amp;Milestones!$AB$107&amp;" "&amp;Milestones!$AC$107&amp;";  ","")&amp;IF(AND(EDATE($D22,Milestones!$AA$108)&lt;=AsOfDate,IF($R22=0,$X22,IF(AND($T22&lt;&gt;"",EDATE($D22,Milestones!$AA$108)&gt;=$T22),$W22,IF(AND($S22&lt;&gt;"",EDATE($D22,Milestones!$AA$108)&gt;=$S22),$V22,$U22)))=Milestones!$AB$108),UPPER(TEXT(EDATE($D22,Milestones!$AA$108),"dd mmm yy"))&amp;" "&amp;Milestones!$AB$108&amp;" "&amp;Milestones!$AC$108&amp;";  ","")&amp;IF(AND(EDATE($D22,Milestones!$AA$109)&lt;=AsOfDate,IF($R22=0,$X22,IF(AND($T22&lt;&gt;"",EDATE($D22,Milestones!$AA$109)&gt;=$T22),$W22,IF(AND($S22&lt;&gt;"",EDATE($D22,Milestones!$AA$109)&gt;=$S22),$V22,$U22)))=Milestones!$AB$109),UPPER(TEXT(EDATE($D22,Milestones!$AA$109),"dd mmm yy"))&amp;" "&amp;Milestones!$AB$109&amp;" "&amp;Milestones!$AC$109&amp;";  ","")&amp;IF(AND(EDATE($D22,Milestones!$AA$110)&lt;=AsOfDate,IF($R22=0,$X22,IF(AND($T22&lt;&gt;"",EDATE($D22,Milestones!$AA$110)&gt;=$T22),$W22,IF(AND($S22&lt;&gt;"",EDATE($D22,Milestones!$AA$110)&gt;=$S22),$V22,$U22)))=Milestones!$AB$110),UPPER(TEXT(EDATE($D22,Milestones!$AA$110),"dd mmm yy"))&amp;" "&amp;Milestones!$AB$110&amp;" "&amp;Milestones!$AC$110&amp;";  ","")&amp;IF(AND(EDATE($D22,Milestones!$AA$111)&lt;=AsOfDate,IF($R22=0,$X22,IF(AND($T22&lt;&gt;"",EDATE($D22,Milestones!$AA$111)&gt;=$T22),$W22,IF(AND($S22&lt;&gt;"",EDATE($D22,Milestones!$AA$111)&gt;=$S22),$V22,$U22)))=Milestones!$AB$111),UPPER(TEXT(EDATE($D22,Milestones!$AA$111),"dd mmm yy"))&amp;" "&amp;Milestones!$AB$111&amp;" "&amp;Milestones!$AC$111&amp;";  ","")&amp;IF(AND(EDATE($D22,Milestones!$AA$112)&lt;=AsOfDate,IF($R22=0,$X22,IF(AND($T22&lt;&gt;"",EDATE($D22,Milestones!$AA$112)&gt;=$T22),$W22,IF(AND($S22&lt;&gt;"",EDATE($D22,Milestones!$AA$112)&gt;=$S22),$V22,$U22)))=Milestones!$AB$112),UPPER(TEXT(EDATE($D22,Milestones!$AA$112),"dd mmm yy"))&amp;" "&amp;Milestones!$AB$112&amp;" "&amp;Milestones!$AC$112&amp;";  ","")&amp;IF(AND(EDATE($D22,Milestones!$AA$113)&lt;=AsOfDate,IF($R22=0,$X22,IF(AND($T22&lt;&gt;"",EDATE($D22,Milestones!$AA$113)&gt;=$T22),$W22,IF(AND($S22&lt;&gt;"",EDATE($D22,Milestones!$AA$113)&gt;=$S22),$V22,$U22)))=Milestones!$AB$113),UPPER(TEXT(EDATE($D22,Milestones!$AA$113),"dd mmm yy"))&amp;" "&amp;Milestones!$AB$113&amp;" "&amp;Milestones!$AC$113&amp;";  ","")&amp;IF(AND(EDATE($D22,Milestones!$AA$114)&lt;=AsOfDate,IF($R22=0,$X22,IF(AND($T22&lt;&gt;"",EDATE($D22,Milestones!$AA$114)&gt;=$T22),$W22,IF(AND($S22&lt;&gt;"",EDATE($D22,Milestones!$AA$114)&gt;=$S22),$V22,$U22)))=Milestones!$AB$114),UPPER(TEXT(EDATE($D22,Milestones!$AA$114),"dd mmm yy"))&amp;" "&amp;Milestones!$AB$114&amp;" "&amp;Milestones!$AC$114&amp;";  ","")&amp;IF(AND(EDATE($D22,Milestones!$AA$115)&lt;=AsOfDate,IF($R22=0,$X22,IF(AND($T22&lt;&gt;"",EDATE($D22,Milestones!$AA$115)&gt;=$T22),$W22,IF(AND($S22&lt;&gt;"",EDATE($D22,Milestones!$AA$115)&gt;=$S22),$V22,$U22)))=Milestones!$AB$115),UPPER(TEXT(EDATE($D22,Milestones!$AA$115),"dd mmm yy"))&amp;" "&amp;Milestones!$AB$115&amp;" "&amp;Milestones!$AC$115&amp;";  ","")&amp;IF(AND(EDATE($D22,Milestones!$AA$116)&lt;=AsOfDate,IF($R22=0,$X22,IF(AND($T22&lt;&gt;"",EDATE($D22,Milestones!$AA$116)&gt;=$T22),$W22,IF(AND($S22&lt;&gt;"",EDATE($D22,Milestones!$AA$116)&gt;=$S22),$V22,$U22)))=Milestones!$AB$116),UPPER(TEXT(EDATE($D22,Milestones!$AA$116),"dd mmm yy"))&amp;" "&amp;Milestones!$AB$116&amp;" "&amp;Milestones!$AC$116&amp;";  ","")&amp;IF(AND(EDATE($D22,Milestones!$AA$117)&lt;=AsOfDate,IF($R22=0,$X22,IF(AND($T22&lt;&gt;"",EDATE($D22,Milestones!$AA$117)&gt;=$T22),$W22,IF(AND($S22&lt;&gt;"",EDATE($D22,Milestones!$AA$117)&gt;=$S22),$V22,$U22)))=Milestones!$AB$117),UPPER(TEXT(EDATE($D22,Milestones!$AA$117),"dd mmm yy"))&amp;" "&amp;Milestones!$AB$117&amp;" "&amp;Milestones!$AC$117&amp;";  ","")&amp;IF(AND(EDATE($D22,Milestones!$AA$118)&lt;=AsOfDate,IF($R22=0,$X22,IF(AND($T22&lt;&gt;"",EDATE($D22,Milestones!$AA$118)&gt;=$T22),$W22,IF(AND($S22&lt;&gt;"",EDATE($D22,Milestones!$AA$118)&gt;=$S22),$V22,$U22)))=Milestones!$AB$118),UPPER(TEXT(EDATE($D22,Milestones!$AA$118),"dd mmm yy"))&amp;" "&amp;Milestones!$AB$118&amp;" "&amp;Milestones!$AC$118&amp;";  ","")&amp;IF(AND(EDATE($D22,Milestones!$AA$119)&lt;=AsOfDate,IF($R22=0,$X22,IF(AND($T22&lt;&gt;"",EDATE($D22,Milestones!$AA$119)&gt;=$T22),$W22,IF(AND($S22&lt;&gt;"",EDATE($D22,Milestones!$AA$119)&gt;=$S22),$V22,$U22)))=Milestones!$AB$119),UPPER(TEXT(EDATE($D22,Milestones!$AA$119),"dd mmm yy"))&amp;" "&amp;Milestones!$AB$119&amp;" "&amp;Milestones!$AC$119&amp;";  ",""))</f>
        <v/>
      </c>
      <c r="N22" s="0" t="str">
        <f aca="false">IF(OR($A22="",$D22=""),"",IF(AND(EDATE($D22,Milestones!$AA$120)&lt;=AsOfDate,IF($R22=0,$X22,IF(AND($T22&lt;&gt;"",EDATE($D22,Milestones!$AA$120)&gt;=$T22),$W22,IF(AND($S22&lt;&gt;"",EDATE($D22,Milestones!$AA$120)&gt;=$S22),$V22,$U22)))=Milestones!$AB$120),UPPER(TEXT(EDATE($D22,Milestones!$AA$120),"dd mmm yy"))&amp;" "&amp;Milestones!$AB$120&amp;" "&amp;Milestones!$AC$120&amp;";  ","")&amp;IF(AND(EDATE($D22,Milestones!$AA$121)&lt;=AsOfDate,IF($R22=0,$X22,IF(AND($T22&lt;&gt;"",EDATE($D22,Milestones!$AA$121)&gt;=$T22),$W22,IF(AND($S22&lt;&gt;"",EDATE($D22,Milestones!$AA$121)&gt;=$S22),$V22,$U22)))=Milestones!$AB$121),UPPER(TEXT(EDATE($D22,Milestones!$AA$121),"dd mmm yy"))&amp;" "&amp;Milestones!$AB$121&amp;" "&amp;Milestones!$AC$121&amp;";  ","")&amp;IF(AND(EDATE($D22,Milestones!$AA$122)&lt;=AsOfDate,IF($R22=0,$X22,IF(AND($T22&lt;&gt;"",EDATE($D22,Milestones!$AA$122)&gt;=$T22),$W22,IF(AND($S22&lt;&gt;"",EDATE($D22,Milestones!$AA$122)&gt;=$S22),$V22,$U22)))=Milestones!$AB$122),UPPER(TEXT(EDATE($D22,Milestones!$AA$122),"dd mmm yy"))&amp;" "&amp;Milestones!$AB$122&amp;" "&amp;Milestones!$AC$122&amp;";  ","")&amp;IF(AND(EDATE($D22,Milestones!$AA$123)&lt;=AsOfDate,IF($R22=0,$X22,IF(AND($T22&lt;&gt;"",EDATE($D22,Milestones!$AA$123)&gt;=$T22),$W22,IF(AND($S22&lt;&gt;"",EDATE($D22,Milestones!$AA$123)&gt;=$S22),$V22,$U22)))=Milestones!$AB$123),UPPER(TEXT(EDATE($D22,Milestones!$AA$123),"dd mmm yy"))&amp;" "&amp;Milestones!$AB$123&amp;" "&amp;Milestones!$AC$123&amp;";  ","")&amp;IF(AND(EDATE($D22,Milestones!$AA$124)&lt;=AsOfDate,IF($R22=0,$X22,IF(AND($T22&lt;&gt;"",EDATE($D22,Milestones!$AA$124)&gt;=$T22),$W22,IF(AND($S22&lt;&gt;"",EDATE($D22,Milestones!$AA$124)&gt;=$S22),$V22,$U22)))=Milestones!$AB$124),UPPER(TEXT(EDATE($D22,Milestones!$AA$124),"dd mmm yy"))&amp;" "&amp;Milestones!$AB$124&amp;" "&amp;Milestones!$AC$124&amp;";  ","")&amp;IF(AND(EDATE($D22,Milestones!$AA$125)&lt;=AsOfDate,IF($R22=0,$X22,IF(AND($T22&lt;&gt;"",EDATE($D22,Milestones!$AA$125)&gt;=$T22),$W22,IF(AND($S22&lt;&gt;"",EDATE($D22,Milestones!$AA$125)&gt;=$S22),$V22,$U22)))=Milestones!$AB$125),UPPER(TEXT(EDATE($D22,Milestones!$AA$125),"dd mmm yy"))&amp;" "&amp;Milestones!$AB$125&amp;" "&amp;Milestones!$AC$125&amp;";  ","")&amp;IF(AND(EDATE($D22,Milestones!$AA$126)&lt;=AsOfDate,IF($R22=0,$X22,IF(AND($T22&lt;&gt;"",EDATE($D22,Milestones!$AA$126)&gt;=$T22),$W22,IF(AND($S22&lt;&gt;"",EDATE($D22,Milestones!$AA$126)&gt;=$S22),$V22,$U22)))=Milestones!$AB$126),UPPER(TEXT(EDATE($D22,Milestones!$AA$126),"dd mmm yy"))&amp;" "&amp;Milestones!$AB$126&amp;" "&amp;Milestones!$AC$126&amp;";  ","")&amp;IF(AND(EDATE($D22,Milestones!$AA$127)&lt;=AsOfDate,IF($R22=0,$X22,IF(AND($T22&lt;&gt;"",EDATE($D22,Milestones!$AA$127)&gt;=$T22),$W22,IF(AND($S22&lt;&gt;"",EDATE($D22,Milestones!$AA$127)&gt;=$S22),$V22,$U22)))=Milestones!$AB$127),UPPER(TEXT(EDATE($D22,Milestones!$AA$127),"dd mmm yy"))&amp;" "&amp;Milestones!$AB$127&amp;" "&amp;Milestones!$AC$127&amp;";  ","")&amp;IF(AND(EDATE($D22,Milestones!$AA$128)&lt;=AsOfDate,IF($R22=0,$X22,IF(AND($T22&lt;&gt;"",EDATE($D22,Milestones!$AA$128)&gt;=$T22),$W22,IF(AND($S22&lt;&gt;"",EDATE($D22,Milestones!$AA$128)&gt;=$S22),$V22,$U22)))=Milestones!$AB$128),UPPER(TEXT(EDATE($D22,Milestones!$AA$128),"dd mmm yy"))&amp;" "&amp;Milestones!$AB$128&amp;" "&amp;Milestones!$AC$128&amp;";  ","")&amp;IF(AND(EDATE($D22,Milestones!$AA$129)&lt;=AsOfDate,IF($R22=0,$X22,IF(AND($T22&lt;&gt;"",EDATE($D22,Milestones!$AA$129)&gt;=$T22),$W22,IF(AND($S22&lt;&gt;"",EDATE($D22,Milestones!$AA$129)&gt;=$S22),$V22,$U22)))=Milestones!$AB$129),UPPER(TEXT(EDATE($D22,Milestones!$AA$129),"dd mmm yy"))&amp;" "&amp;Milestones!$AB$129&amp;" "&amp;Milestones!$AC$129&amp;";  ","")&amp;IF(AND(EDATE($D22,Milestones!$AA$130)&lt;=AsOfDate,IF($R22=0,$X22,IF(AND($T22&lt;&gt;"",EDATE($D22,Milestones!$AA$130)&gt;=$T22),$W22,IF(AND($S22&lt;&gt;"",EDATE($D22,Milestones!$AA$130)&gt;=$S22),$V22,$U22)))=Milestones!$AB$130),UPPER(TEXT(EDATE($D22,Milestones!$AA$130),"dd mmm yy"))&amp;" "&amp;Milestones!$AB$130&amp;" "&amp;Milestones!$AC$130&amp;";  ","")&amp;IF(AND(EDATE($D22,Milestones!$AA$131)&lt;=AsOfDate,IF($R22=0,$X22,IF(AND($T22&lt;&gt;"",EDATE($D22,Milestones!$AA$131)&gt;=$T22),$W22,IF(AND($S22&lt;&gt;"",EDATE($D22,Milestones!$AA$131)&gt;=$S22),$V22,$U22)))=Milestones!$AB$131),UPPER(TEXT(EDATE($D22,Milestones!$AA$131),"dd mmm yy"))&amp;" "&amp;Milestones!$AB$131&amp;" "&amp;Milestones!$AC$131&amp;";  ","")&amp;IF(AND(EDATE($D22,Milestones!$AA$132)&lt;=AsOfDate,IF($R22=0,$X22,IF(AND($T22&lt;&gt;"",EDATE($D22,Milestones!$AA$132)&gt;=$T22),$W22,IF(AND($S22&lt;&gt;"",EDATE($D22,Milestones!$AA$132)&gt;=$S22),$V22,$U22)))=Milestones!$AB$132),UPPER(TEXT(EDATE($D22,Milestones!$AA$132),"dd mmm yy"))&amp;" "&amp;Milestones!$AB$132&amp;" "&amp;Milestones!$AC$132&amp;";  ","")&amp;IF(AND(EDATE($D22,Milestones!$AA$133)&lt;=AsOfDate,IF($R22=0,$X22,IF(AND($T22&lt;&gt;"",EDATE($D22,Milestones!$AA$133)&gt;=$T22),$W22,IF(AND($S22&lt;&gt;"",EDATE($D22,Milestones!$AA$133)&gt;=$S22),$V22,$U22)))=Milestones!$AB$133),UPPER(TEXT(EDATE($D22,Milestones!$AA$133),"dd mmm yy"))&amp;" "&amp;Milestones!$AB$133&amp;" "&amp;Milestones!$AC$133&amp;";  ","")&amp;IF(AND(EDATE($D22,Milestones!$AA$134)&lt;=AsOfDate,IF($R22=0,$X22,IF(AND($T22&lt;&gt;"",EDATE($D22,Milestones!$AA$134)&gt;=$T22),$W22,IF(AND($S22&lt;&gt;"",EDATE($D22,Milestones!$AA$134)&gt;=$S22),$V22,$U22)))=Milestones!$AB$134),UPPER(TEXT(EDATE($D22,Milestones!$AA$134),"dd mmm yy"))&amp;" "&amp;Milestones!$AB$134&amp;" "&amp;Milestones!$AC$134&amp;";  ","")&amp;IF(AND(EDATE($D22,Milestones!$AA$135)&lt;=AsOfDate,IF($R22=0,$X22,IF(AND($T22&lt;&gt;"",EDATE($D22,Milestones!$AA$135)&gt;=$T22),$W22,IF(AND($S22&lt;&gt;"",EDATE($D22,Milestones!$AA$135)&gt;=$S22),$V22,$U22)))=Milestones!$AB$135),UPPER(TEXT(EDATE($D22,Milestones!$AA$135),"dd mmm yy"))&amp;" "&amp;Milestones!$AB$135&amp;" "&amp;Milestones!$AC$135&amp;";  ","")&amp;IF(AND(EDATE($D22,Milestones!$AA$136)&lt;=AsOfDate,IF($R22=0,$X22,IF(AND($T22&lt;&gt;"",EDATE($D22,Milestones!$AA$136)&gt;=$T22),$W22,IF(AND($S22&lt;&gt;"",EDATE($D22,Milestones!$AA$136)&gt;=$S22),$V22,$U22)))=Milestones!$AB$136),UPPER(TEXT(EDATE($D22,Milestones!$AA$136),"dd mmm yy"))&amp;" "&amp;Milestones!$AB$136&amp;" "&amp;Milestones!$AC$136&amp;";  ","")&amp;IF(AND(EDATE($D22,Milestones!$AA$137)&lt;=AsOfDate,IF($R22=0,$X22,IF(AND($T22&lt;&gt;"",EDATE($D22,Milestones!$AA$137)&gt;=$T22),$W22,IF(AND($S22&lt;&gt;"",EDATE($D22,Milestones!$AA$137)&gt;=$S22),$V22,$U22)))=Milestones!$AB$137),UPPER(TEXT(EDATE($D22,Milestones!$AA$137),"dd mmm yy"))&amp;" "&amp;Milestones!$AB$137&amp;" "&amp;Milestones!$AC$137&amp;";  ","")&amp;IF(AND(EDATE($D22,Milestones!$AA$138)&lt;=AsOfDate,IF($R22=0,$X22,IF(AND($T22&lt;&gt;"",EDATE($D22,Milestones!$AA$138)&gt;=$T22),$W22,IF(AND($S22&lt;&gt;"",EDATE($D22,Milestones!$AA$138)&gt;=$S22),$V22,$U22)))=Milestones!$AB$138),UPPER(TEXT(EDATE($D22,Milestones!$AA$138),"dd mmm yy"))&amp;" "&amp;Milestones!$AB$138&amp;" "&amp;Milestones!$AC$138&amp;";  ","")&amp;IF(AND(EDATE($D22,Milestones!$AA$139)&lt;=AsOfDate,IF($R22=0,$X22,IF(AND($T22&lt;&gt;"",EDATE($D22,Milestones!$AA$139)&gt;=$T22),$W22,IF(AND($S22&lt;&gt;"",EDATE($D22,Milestones!$AA$139)&gt;=$S22),$V22,$U22)))=Milestones!$AB$139),UPPER(TEXT(EDATE($D22,Milestones!$AA$139),"dd mmm yy"))&amp;" "&amp;Milestones!$AB$139&amp;" "&amp;Milestones!$AC$139&amp;";  ",""))</f>
        <v/>
      </c>
      <c r="O22" s="0" t="str">
        <f aca="false">IF(OR($A22="",$D22=""),"",IF(AND(EDATE($D22,Milestones!$AA$140)&lt;=AsOfDate,IF($R22=0,$X22,IF(AND($T22&lt;&gt;"",EDATE($D22,Milestones!$AA$140)&gt;=$T22),$W22,IF(AND($S22&lt;&gt;"",EDATE($D22,Milestones!$AA$140)&gt;=$S22),$V22,$U22)))=Milestones!$AB$140),UPPER(TEXT(EDATE($D22,Milestones!$AA$140),"dd mmm yy"))&amp;" "&amp;Milestones!$AB$140&amp;" "&amp;Milestones!$AC$140&amp;";  ","")&amp;IF(AND(EDATE($D22,Milestones!$AA$141)&lt;=AsOfDate,IF($R22=0,$X22,IF(AND($T22&lt;&gt;"",EDATE($D22,Milestones!$AA$141)&gt;=$T22),$W22,IF(AND($S22&lt;&gt;"",EDATE($D22,Milestones!$AA$141)&gt;=$S22),$V22,$U22)))=Milestones!$AB$141),UPPER(TEXT(EDATE($D22,Milestones!$AA$141),"dd mmm yy"))&amp;" "&amp;Milestones!$AB$141&amp;" "&amp;Milestones!$AC$141&amp;";  ","")&amp;IF(AND(EDATE($D22,Milestones!$AA$142)&lt;=AsOfDate,IF($R22=0,$X22,IF(AND($T22&lt;&gt;"",EDATE($D22,Milestones!$AA$142)&gt;=$T22),$W22,IF(AND($S22&lt;&gt;"",EDATE($D22,Milestones!$AA$142)&gt;=$S22),$V22,$U22)))=Milestones!$AB$142),UPPER(TEXT(EDATE($D22,Milestones!$AA$142),"dd mmm yy"))&amp;" "&amp;Milestones!$AB$142&amp;" "&amp;Milestones!$AC$142&amp;";  ","")&amp;IF(AND(EDATE($D22,Milestones!$AA$143)&lt;=AsOfDate,IF($R22=0,$X22,IF(AND($T22&lt;&gt;"",EDATE($D22,Milestones!$AA$143)&gt;=$T22),$W22,IF(AND($S22&lt;&gt;"",EDATE($D22,Milestones!$AA$143)&gt;=$S22),$V22,$U22)))=Milestones!$AB$143),UPPER(TEXT(EDATE($D22,Milestones!$AA$143),"dd mmm yy"))&amp;" "&amp;Milestones!$AB$143&amp;" "&amp;Milestones!$AC$143&amp;";  ","")&amp;IF(AND(EDATE($D22,Milestones!$AA$144)&lt;=AsOfDate,IF($R22=0,$X22,IF(AND($T22&lt;&gt;"",EDATE($D22,Milestones!$AA$144)&gt;=$T22),$W22,IF(AND($S22&lt;&gt;"",EDATE($D22,Milestones!$AA$144)&gt;=$S22),$V22,$U22)))=Milestones!$AB$144),UPPER(TEXT(EDATE($D22,Milestones!$AA$144),"dd mmm yy"))&amp;" "&amp;Milestones!$AB$144&amp;" "&amp;Milestones!$AC$144&amp;";  ","")&amp;IF(AND(EDATE($D22,Milestones!$AA$145)&lt;=AsOfDate,IF($R22=0,$X22,IF(AND($T22&lt;&gt;"",EDATE($D22,Milestones!$AA$145)&gt;=$T22),$W22,IF(AND($S22&lt;&gt;"",EDATE($D22,Milestones!$AA$145)&gt;=$S22),$V22,$U22)))=Milestones!$AB$145),UPPER(TEXT(EDATE($D22,Milestones!$AA$145),"dd mmm yy"))&amp;" "&amp;Milestones!$AB$145&amp;" "&amp;Milestones!$AC$145&amp;";  ","")&amp;IF(AND(EDATE($D22,Milestones!$AA$146)&lt;=AsOfDate,IF($R22=0,$X22,IF(AND($T22&lt;&gt;"",EDATE($D22,Milestones!$AA$146)&gt;=$T22),$W22,IF(AND($S22&lt;&gt;"",EDATE($D22,Milestones!$AA$146)&gt;=$S22),$V22,$U22)))=Milestones!$AB$146),UPPER(TEXT(EDATE($D22,Milestones!$AA$146),"dd mmm yy"))&amp;" "&amp;Milestones!$AB$146&amp;" "&amp;Milestones!$AC$146&amp;";  ","")&amp;IF(AND(EDATE($D22,Milestones!$AA$147)&lt;=AsOfDate,IF($R22=0,$X22,IF(AND($T22&lt;&gt;"",EDATE($D22,Milestones!$AA$147)&gt;=$T22),$W22,IF(AND($S22&lt;&gt;"",EDATE($D22,Milestones!$AA$147)&gt;=$S22),$V22,$U22)))=Milestones!$AB$147),UPPER(TEXT(EDATE($D22,Milestones!$AA$147),"dd mmm yy"))&amp;" "&amp;Milestones!$AB$147&amp;" "&amp;Milestones!$AC$147&amp;";  ","")&amp;IF(AND(EDATE($D22,Milestones!$AA$148)&lt;=AsOfDate,IF($R22=0,$X22,IF(AND($T22&lt;&gt;"",EDATE($D22,Milestones!$AA$148)&gt;=$T22),$W22,IF(AND($S22&lt;&gt;"",EDATE($D22,Milestones!$AA$148)&gt;=$S22),$V22,$U22)))=Milestones!$AB$148),UPPER(TEXT(EDATE($D22,Milestones!$AA$148),"dd mmm yy"))&amp;" "&amp;Milestones!$AB$148&amp;" "&amp;Milestones!$AC$148&amp;";  ","")&amp;IF(AND(EDATE($D22,Milestones!$AA$149)&lt;=AsOfDate,IF($R22=0,$X22,IF(AND($T22&lt;&gt;"",EDATE($D22,Milestones!$AA$149)&gt;=$T22),$W22,IF(AND($S22&lt;&gt;"",EDATE($D22,Milestones!$AA$149)&gt;=$S22),$V22,$U22)))=Milestones!$AB$149),UPPER(TEXT(EDATE($D22,Milestones!$AA$149),"dd mmm yy"))&amp;" "&amp;Milestones!$AB$149&amp;" "&amp;Milestones!$AC$149&amp;";  ","")&amp;IF(AND(EDATE($D22,Milestones!$AA$150)&lt;=AsOfDate,IF($R22=0,$X22,IF(AND($T22&lt;&gt;"",EDATE($D22,Milestones!$AA$150)&gt;=$T22),$W22,IF(AND($S22&lt;&gt;"",EDATE($D22,Milestones!$AA$150)&gt;=$S22),$V22,$U22)))=Milestones!$AB$150),UPPER(TEXT(EDATE($D22,Milestones!$AA$150),"dd mmm yy"))&amp;" "&amp;Milestones!$AB$150&amp;" "&amp;Milestones!$AC$150&amp;";  ","")&amp;IF(AND(EDATE($D22,Milestones!$AA$151)&lt;=AsOfDate,IF($R22=0,$X22,IF(AND($T22&lt;&gt;"",EDATE($D22,Milestones!$AA$151)&gt;=$T22),$W22,IF(AND($S22&lt;&gt;"",EDATE($D22,Milestones!$AA$151)&gt;=$S22),$V22,$U22)))=Milestones!$AB$151),UPPER(TEXT(EDATE($D22,Milestones!$AA$151),"dd mmm yy"))&amp;" "&amp;Milestones!$AB$151&amp;" "&amp;Milestones!$AC$151&amp;";  ","")&amp;IF(AND(EDATE($D22,Milestones!$AA$152)&lt;=AsOfDate,IF($R22=0,$X22,IF(AND($T22&lt;&gt;"",EDATE($D22,Milestones!$AA$152)&gt;=$T22),$W22,IF(AND($S22&lt;&gt;"",EDATE($D22,Milestones!$AA$152)&gt;=$S22),$V22,$U22)))=Milestones!$AB$152),UPPER(TEXT(EDATE($D22,Milestones!$AA$152),"dd mmm yy"))&amp;" "&amp;Milestones!$AB$152&amp;" "&amp;Milestones!$AC$152&amp;";  ","")&amp;IF(AND(EDATE($D22,Milestones!$AA$153)&lt;=AsOfDate,IF($R22=0,$X22,IF(AND($T22&lt;&gt;"",EDATE($D22,Milestones!$AA$153)&gt;=$T22),$W22,IF(AND($S22&lt;&gt;"",EDATE($D22,Milestones!$AA$153)&gt;=$S22),$V22,$U22)))=Milestones!$AB$153),UPPER(TEXT(EDATE($D22,Milestones!$AA$153),"dd mmm yy"))&amp;" "&amp;Milestones!$AB$153&amp;" "&amp;Milestones!$AC$153&amp;";  ","")&amp;IF(AND(EDATE($D22,Milestones!$AA$154)&lt;=AsOfDate,IF($R22=0,$X22,IF(AND($T22&lt;&gt;"",EDATE($D22,Milestones!$AA$154)&gt;=$T22),$W22,IF(AND($S22&lt;&gt;"",EDATE($D22,Milestones!$AA$154)&gt;=$S22),$V22,$U22)))=Milestones!$AB$154),UPPER(TEXT(EDATE($D22,Milestones!$AA$154),"dd mmm yy"))&amp;" "&amp;Milestones!$AB$154&amp;" "&amp;Milestones!$AC$154&amp;";  ","")&amp;IF(AND(EDATE($D22,Milestones!$AA$155)&lt;=AsOfDate,IF($R22=0,$X22,IF(AND($T22&lt;&gt;"",EDATE($D22,Milestones!$AA$155)&gt;=$T22),$W22,IF(AND($S22&lt;&gt;"",EDATE($D22,Milestones!$AA$155)&gt;=$S22),$V22,$U22)))=Milestones!$AB$155),UPPER(TEXT(EDATE($D22,Milestones!$AA$155),"dd mmm yy"))&amp;" "&amp;Milestones!$AB$155&amp;" "&amp;Milestones!$AC$155&amp;";  ","")&amp;IF(AND(EDATE($D22,Milestones!$AA$156)&lt;=AsOfDate,IF($R22=0,$X22,IF(AND($T22&lt;&gt;"",EDATE($D22,Milestones!$AA$156)&gt;=$T22),$W22,IF(AND($S22&lt;&gt;"",EDATE($D22,Milestones!$AA$156)&gt;=$S22),$V22,$U22)))=Milestones!$AB$156),UPPER(TEXT(EDATE($D22,Milestones!$AA$156),"dd mmm yy"))&amp;" "&amp;Milestones!$AB$156&amp;" "&amp;Milestones!$AC$156&amp;";  ","")&amp;IF(AND(EDATE($D22,Milestones!$AA$157)&lt;=AsOfDate,IF($R22=0,$X22,IF(AND($T22&lt;&gt;"",EDATE($D22,Milestones!$AA$157)&gt;=$T22),$W22,IF(AND($S22&lt;&gt;"",EDATE($D22,Milestones!$AA$157)&gt;=$S22),$V22,$U22)))=Milestones!$AB$157),UPPER(TEXT(EDATE($D22,Milestones!$AA$157),"dd mmm yy"))&amp;" "&amp;Milestones!$AB$157&amp;" "&amp;Milestones!$AC$157&amp;";  ","")&amp;IF(AND(EDATE($D22,Milestones!$AA$158)&lt;=AsOfDate,IF($R22=0,$X22,IF(AND($T22&lt;&gt;"",EDATE($D22,Milestones!$AA$158)&gt;=$T22),$W22,IF(AND($S22&lt;&gt;"",EDATE($D22,Milestones!$AA$158)&gt;=$S22),$V22,$U22)))=Milestones!$AB$158),UPPER(TEXT(EDATE($D22,Milestones!$AA$158),"dd mmm yy"))&amp;" "&amp;Milestones!$AB$158&amp;" "&amp;Milestones!$AC$158&amp;";  ","")&amp;IF(AND(EDATE($D22,Milestones!$AA$159)&lt;=AsOfDate,IF($R22=0,$X22,IF(AND($T22&lt;&gt;"",EDATE($D22,Milestones!$AA$159)&gt;=$T22),$W22,IF(AND($S22&lt;&gt;"",EDATE($D22,Milestones!$AA$159)&gt;=$S22),$V22,$U22)))=Milestones!$AB$159),UPPER(TEXT(EDATE($D22,Milestones!$AA$159),"dd mmm yy"))&amp;" "&amp;Milestones!$AB$159&amp;" "&amp;Milestones!$AC$159&amp;";  ",""))</f>
        <v/>
      </c>
      <c r="P22" s="0" t="str">
        <f aca="false">IF(OR($A22="",$D22=""),"",IF(AND(EDATE($D22,Milestones!$AA$160)&lt;=AsOfDate,IF($R22=0,$X22,IF(AND($T22&lt;&gt;"",EDATE($D22,Milestones!$AA$160)&gt;=$T22),$W22,IF(AND($S22&lt;&gt;"",EDATE($D22,Milestones!$AA$160)&gt;=$S22),$V22,$U22)))=Milestones!$AB$160),UPPER(TEXT(EDATE($D22,Milestones!$AA$160),"dd mmm yy"))&amp;" "&amp;Milestones!$AB$160&amp;" "&amp;Milestones!$AC$160&amp;";  ","")&amp;IF(AND(EDATE($D22,Milestones!$AA$161)&lt;=AsOfDate,IF($R22=0,$X22,IF(AND($T22&lt;&gt;"",EDATE($D22,Milestones!$AA$161)&gt;=$T22),$W22,IF(AND($S22&lt;&gt;"",EDATE($D22,Milestones!$AA$161)&gt;=$S22),$V22,$U22)))=Milestones!$AB$161),UPPER(TEXT(EDATE($D22,Milestones!$AA$161),"dd mmm yy"))&amp;" "&amp;Milestones!$AB$161&amp;" "&amp;Milestones!$AC$161&amp;";  ","")&amp;IF(AND(EDATE($D22,Milestones!$AA$162)&lt;=AsOfDate,IF($R22=0,$X22,IF(AND($T22&lt;&gt;"",EDATE($D22,Milestones!$AA$162)&gt;=$T22),$W22,IF(AND($S22&lt;&gt;"",EDATE($D22,Milestones!$AA$162)&gt;=$S22),$V22,$U22)))=Milestones!$AB$162),UPPER(TEXT(EDATE($D22,Milestones!$AA$162),"dd mmm yy"))&amp;" "&amp;Milestones!$AB$162&amp;" "&amp;Milestones!$AC$162&amp;";  ","")&amp;IF(AND(EDATE($D22,Milestones!$AA$163)&lt;=AsOfDate,IF($R22=0,$X22,IF(AND($T22&lt;&gt;"",EDATE($D22,Milestones!$AA$163)&gt;=$T22),$W22,IF(AND($S22&lt;&gt;"",EDATE($D22,Milestones!$AA$163)&gt;=$S22),$V22,$U22)))=Milestones!$AB$163),UPPER(TEXT(EDATE($D22,Milestones!$AA$163),"dd mmm yy"))&amp;" "&amp;Milestones!$AB$163&amp;" "&amp;Milestones!$AC$163&amp;";  ","")&amp;IF(AND(EDATE($D22,Milestones!$AA$164)&lt;=AsOfDate,IF($R22=0,$X22,IF(AND($T22&lt;&gt;"",EDATE($D22,Milestones!$AA$164)&gt;=$T22),$W22,IF(AND($S22&lt;&gt;"",EDATE($D22,Milestones!$AA$164)&gt;=$S22),$V22,$U22)))=Milestones!$AB$164),UPPER(TEXT(EDATE($D22,Milestones!$AA$164),"dd mmm yy"))&amp;" "&amp;Milestones!$AB$164&amp;" "&amp;Milestones!$AC$164&amp;";  ","")&amp;IF(AND(EDATE($D22,Milestones!$AA$165)&lt;=AsOfDate,IF($R22=0,$X22,IF(AND($T22&lt;&gt;"",EDATE($D22,Milestones!$AA$165)&gt;=$T22),$W22,IF(AND($S22&lt;&gt;"",EDATE($D22,Milestones!$AA$165)&gt;=$S22),$V22,$U22)))=Milestones!$AB$165),UPPER(TEXT(EDATE($D22,Milestones!$AA$165),"dd mmm yy"))&amp;" "&amp;Milestones!$AB$165&amp;" "&amp;Milestones!$AC$165&amp;";  ","")&amp;IF(AND(EDATE($D22,Milestones!$AA$166)&lt;=AsOfDate,IF($R22=0,$X22,IF(AND($T22&lt;&gt;"",EDATE($D22,Milestones!$AA$166)&gt;=$T22),$W22,IF(AND($S22&lt;&gt;"",EDATE($D22,Milestones!$AA$166)&gt;=$S22),$V22,$U22)))=Milestones!$AB$166),UPPER(TEXT(EDATE($D22,Milestones!$AA$166),"dd mmm yy"))&amp;" "&amp;Milestones!$AB$166&amp;" "&amp;Milestones!$AC$166&amp;";  ","")&amp;IF(AND(EDATE($D22,Milestones!$AA$167)&lt;=AsOfDate,IF($R22=0,$X22,IF(AND($T22&lt;&gt;"",EDATE($D22,Milestones!$AA$167)&gt;=$T22),$W22,IF(AND($S22&lt;&gt;"",EDATE($D22,Milestones!$AA$167)&gt;=$S22),$V22,$U22)))=Milestones!$AB$167),UPPER(TEXT(EDATE($D22,Milestones!$AA$167),"dd mmm yy"))&amp;" "&amp;Milestones!$AB$167&amp;" "&amp;Milestones!$AC$167&amp;";  ","")&amp;IF(AND(EDATE($D22,Milestones!$AA$168)&lt;=AsOfDate,IF($R22=0,$X22,IF(AND($T22&lt;&gt;"",EDATE($D22,Milestones!$AA$168)&gt;=$T22),$W22,IF(AND($S22&lt;&gt;"",EDATE($D22,Milestones!$AA$168)&gt;=$S22),$V22,$U22)))=Milestones!$AB$168),UPPER(TEXT(EDATE($D22,Milestones!$AA$168),"dd mmm yy"))&amp;" "&amp;Milestones!$AB$168&amp;" "&amp;Milestones!$AC$168&amp;";  ","")&amp;IF(AND(EDATE($D22,Milestones!$AA$169)&lt;=AsOfDate,IF($R22=0,$X22,IF(AND($T22&lt;&gt;"",EDATE($D22,Milestones!$AA$169)&gt;=$T22),$W22,IF(AND($S22&lt;&gt;"",EDATE($D22,Milestones!$AA$169)&gt;=$S22),$V22,$U22)))=Milestones!$AB$169),UPPER(TEXT(EDATE($D22,Milestones!$AA$169),"dd mmm yy"))&amp;" "&amp;Milestones!$AB$169&amp;" "&amp;Milestones!$AC$169&amp;";  ","")&amp;IF(AND(EDATE($D22,Milestones!$AA$170)&lt;=AsOfDate,IF($R22=0,$X22,IF(AND($T22&lt;&gt;"",EDATE($D22,Milestones!$AA$170)&gt;=$T22),$W22,IF(AND($S22&lt;&gt;"",EDATE($D22,Milestones!$AA$170)&gt;=$S22),$V22,$U22)))=Milestones!$AB$170),UPPER(TEXT(EDATE($D22,Milestones!$AA$170),"dd mmm yy"))&amp;" "&amp;Milestones!$AB$170&amp;" "&amp;Milestones!$AC$170&amp;";  ","")&amp;IF(AND(EDATE($D22,Milestones!$AA$171)&lt;=AsOfDate,IF($R22=0,$X22,IF(AND($T22&lt;&gt;"",EDATE($D22,Milestones!$AA$171)&gt;=$T22),$W22,IF(AND($S22&lt;&gt;"",EDATE($D22,Milestones!$AA$171)&gt;=$S22),$V22,$U22)))=Milestones!$AB$171),UPPER(TEXT(EDATE($D22,Milestones!$AA$171),"dd mmm yy"))&amp;" "&amp;Milestones!$AB$171&amp;" "&amp;Milestones!$AC$171&amp;";  ","")&amp;IF(AND(EDATE($D22,Milestones!$AA$172)&lt;=AsOfDate,IF($R22=0,$X22,IF(AND($T22&lt;&gt;"",EDATE($D22,Milestones!$AA$172)&gt;=$T22),$W22,IF(AND($S22&lt;&gt;"",EDATE($D22,Milestones!$AA$172)&gt;=$S22),$V22,$U22)))=Milestones!$AB$172),UPPER(TEXT(EDATE($D22,Milestones!$AA$172),"dd mmm yy"))&amp;" "&amp;Milestones!$AB$172&amp;" "&amp;Milestones!$AC$172&amp;";  ","")&amp;IF(AND(EDATE($D22,Milestones!$AA$173)&lt;=AsOfDate,IF($R22=0,$X22,IF(AND($T22&lt;&gt;"",EDATE($D22,Milestones!$AA$173)&gt;=$T22),$W22,IF(AND($S22&lt;&gt;"",EDATE($D22,Milestones!$AA$173)&gt;=$S22),$V22,$U22)))=Milestones!$AB$173),UPPER(TEXT(EDATE($D22,Milestones!$AA$173),"dd mmm yy"))&amp;" "&amp;Milestones!$AB$173&amp;" "&amp;Milestones!$AC$173&amp;";  ","")&amp;IF(AND(EDATE($D22,Milestones!$AA$174)&lt;=AsOfDate,IF($R22=0,$X22,IF(AND($T22&lt;&gt;"",EDATE($D22,Milestones!$AA$174)&gt;=$T22),$W22,IF(AND($S22&lt;&gt;"",EDATE($D22,Milestones!$AA$174)&gt;=$S22),$V22,$U22)))=Milestones!$AB$174),UPPER(TEXT(EDATE($D22,Milestones!$AA$174),"dd mmm yy"))&amp;" "&amp;Milestones!$AB$174&amp;" "&amp;Milestones!$AC$174&amp;";  ","")&amp;IF(AND(EDATE($D22,Milestones!$AA$175)&lt;=AsOfDate,IF($R22=0,$X22,IF(AND($T22&lt;&gt;"",EDATE($D22,Milestones!$AA$175)&gt;=$T22),$W22,IF(AND($S22&lt;&gt;"",EDATE($D22,Milestones!$AA$175)&gt;=$S22),$V22,$U22)))=Milestones!$AB$175),UPPER(TEXT(EDATE($D22,Milestones!$AA$175),"dd mmm yy"))&amp;" "&amp;Milestones!$AB$175&amp;" "&amp;Milestones!$AC$175&amp;";  ","")&amp;IF(AND(EDATE($D22,Milestones!$AA$176)&lt;=AsOfDate,IF($R22=0,$X22,IF(AND($T22&lt;&gt;"",EDATE($D22,Milestones!$AA$176)&gt;=$T22),$W22,IF(AND($S22&lt;&gt;"",EDATE($D22,Milestones!$AA$176)&gt;=$S22),$V22,$U22)))=Milestones!$AB$176),UPPER(TEXT(EDATE($D22,Milestones!$AA$176),"dd mmm yy"))&amp;" "&amp;Milestones!$AB$176&amp;" "&amp;Milestones!$AC$176&amp;";  ","")&amp;IF(AND(EDATE($D22,Milestones!$AA$177)&lt;=AsOfDate,IF($R22=0,$X22,IF(AND($T22&lt;&gt;"",EDATE($D22,Milestones!$AA$177)&gt;=$T22),$W22,IF(AND($S22&lt;&gt;"",EDATE($D22,Milestones!$AA$177)&gt;=$S22),$V22,$U22)))=Milestones!$AB$177),UPPER(TEXT(EDATE($D22,Milestones!$AA$177),"dd mmm yy"))&amp;" "&amp;Milestones!$AB$177&amp;" "&amp;Milestones!$AC$177&amp;";  ","")&amp;IF(AND(EDATE($D22,Milestones!$AA$178)&lt;=AsOfDate,IF($R22=0,$X22,IF(AND($T22&lt;&gt;"",EDATE($D22,Milestones!$AA$178)&gt;=$T22),$W22,IF(AND($S22&lt;&gt;"",EDATE($D22,Milestones!$AA$178)&gt;=$S22),$V22,$U22)))=Milestones!$AB$178),UPPER(TEXT(EDATE($D22,Milestones!$AA$178),"dd mmm yy"))&amp;" "&amp;Milestones!$AB$178&amp;" "&amp;Milestones!$AC$178&amp;";  ","")&amp;IF(AND(EDATE($D22,Milestones!$AA$179)&lt;=AsOfDate,IF($R22=0,$X22,IF(AND($T22&lt;&gt;"",EDATE($D22,Milestones!$AA$179)&gt;=$T22),$W22,IF(AND($S22&lt;&gt;"",EDATE($D22,Milestones!$AA$179)&gt;=$S22),$V22,$U22)))=Milestones!$AB$179),UPPER(TEXT(EDATE($D22,Milestones!$AA$179),"dd mmm yy"))&amp;" "&amp;Milestones!$AB$179&amp;" "&amp;Milestones!$AC$179&amp;";  ",""))</f>
        <v/>
      </c>
      <c r="Q22" s="0" t="str">
        <f aca="false">IF(OR($A22="",$D22=""),"",IF(AND(EDATE($D22,Milestones!$AA$180)&lt;=AsOfDate,IF($R22=0,$X22,IF(AND($T22&lt;&gt;"",EDATE($D22,Milestones!$AA$180)&gt;=$T22),$W22,IF(AND($S22&lt;&gt;"",EDATE($D22,Milestones!$AA$180)&gt;=$S22),$V22,$U22)))=Milestones!$AB$180),UPPER(TEXT(EDATE($D22,Milestones!$AA$180),"dd mmm yy"))&amp;" "&amp;Milestones!$AB$180&amp;" "&amp;Milestones!$AC$180&amp;";  ","")&amp;IF(AND(EDATE($D22,Milestones!$AA$181)&lt;=AsOfDate,IF($R22=0,$X22,IF(AND($T22&lt;&gt;"",EDATE($D22,Milestones!$AA$181)&gt;=$T22),$W22,IF(AND($S22&lt;&gt;"",EDATE($D22,Milestones!$AA$181)&gt;=$S22),$V22,$U22)))=Milestones!$AB$181),UPPER(TEXT(EDATE($D22,Milestones!$AA$181),"dd mmm yy"))&amp;" "&amp;Milestones!$AB$181&amp;" "&amp;Milestones!$AC$181&amp;";  ","")&amp;IF(AND(EDATE($D22,Milestones!$AA$182)&lt;=AsOfDate,IF($R22=0,$X22,IF(AND($T22&lt;&gt;"",EDATE($D22,Milestones!$AA$182)&gt;=$T22),$W22,IF(AND($S22&lt;&gt;"",EDATE($D22,Milestones!$AA$182)&gt;=$S22),$V22,$U22)))=Milestones!$AB$182),UPPER(TEXT(EDATE($D22,Milestones!$AA$182),"dd mmm yy"))&amp;" "&amp;Milestones!$AB$182&amp;" "&amp;Milestones!$AC$182&amp;";  ","")&amp;IF(AND(EDATE($D22,Milestones!$AA$183)&lt;=AsOfDate,IF($R22=0,$X22,IF(AND($T22&lt;&gt;"",EDATE($D22,Milestones!$AA$183)&gt;=$T22),$W22,IF(AND($S22&lt;&gt;"",EDATE($D22,Milestones!$AA$183)&gt;=$S22),$V22,$U22)))=Milestones!$AB$183),UPPER(TEXT(EDATE($D22,Milestones!$AA$183),"dd mmm yy"))&amp;" "&amp;Milestones!$AB$183&amp;" "&amp;Milestones!$AC$183&amp;";  ","")&amp;IF(AND(EDATE($D22,Milestones!$AA$184)&lt;=AsOfDate,IF($R22=0,$X22,IF(AND($T22&lt;&gt;"",EDATE($D22,Milestones!$AA$184)&gt;=$T22),$W22,IF(AND($S22&lt;&gt;"",EDATE($D22,Milestones!$AA$184)&gt;=$S22),$V22,$U22)))=Milestones!$AB$184),UPPER(TEXT(EDATE($D22,Milestones!$AA$184),"dd mmm yy"))&amp;" "&amp;Milestones!$AB$184&amp;" "&amp;Milestones!$AC$184&amp;";  ","")&amp;IF(AND(EDATE($D22,Milestones!$AA$185)&lt;=AsOfDate,IF($R22=0,$X22,IF(AND($T22&lt;&gt;"",EDATE($D22,Milestones!$AA$185)&gt;=$T22),$W22,IF(AND($S22&lt;&gt;"",EDATE($D22,Milestones!$AA$185)&gt;=$S22),$V22,$U22)))=Milestones!$AB$185),UPPER(TEXT(EDATE($D22,Milestones!$AA$185),"dd mmm yy"))&amp;" "&amp;Milestones!$AB$185&amp;" "&amp;Milestones!$AC$185&amp;";  ","")&amp;IF(AND(EDATE($D22,Milestones!$AA$186)&lt;=AsOfDate,IF($R22=0,$X22,IF(AND($T22&lt;&gt;"",EDATE($D22,Milestones!$AA$186)&gt;=$T22),$W22,IF(AND($S22&lt;&gt;"",EDATE($D22,Milestones!$AA$186)&gt;=$S22),$V22,$U22)))=Milestones!$AB$186),UPPER(TEXT(EDATE($D22,Milestones!$AA$186),"dd mmm yy"))&amp;" "&amp;Milestones!$AB$186&amp;" "&amp;Milestones!$AC$186&amp;";  ","")&amp;IF(AND(EDATE($D22,Milestones!$AA$187)&lt;=AsOfDate,IF($R22=0,$X22,IF(AND($T22&lt;&gt;"",EDATE($D22,Milestones!$AA$187)&gt;=$T22),$W22,IF(AND($S22&lt;&gt;"",EDATE($D22,Milestones!$AA$187)&gt;=$S22),$V22,$U22)))=Milestones!$AB$187),UPPER(TEXT(EDATE($D22,Milestones!$AA$187),"dd mmm yy"))&amp;" "&amp;Milestones!$AB$187&amp;" "&amp;Milestones!$AC$187&amp;";  ","")&amp;IF(AND(EDATE($D22,Milestones!$AA$188)&lt;=AsOfDate,IF($R22=0,$X22,IF(AND($T22&lt;&gt;"",EDATE($D22,Milestones!$AA$188)&gt;=$T22),$W22,IF(AND($S22&lt;&gt;"",EDATE($D22,Milestones!$AA$188)&gt;=$S22),$V22,$U22)))=Milestones!$AB$188),UPPER(TEXT(EDATE($D22,Milestones!$AA$188),"dd mmm yy"))&amp;" "&amp;Milestones!$AB$188&amp;" "&amp;Milestones!$AC$188&amp;";  ","")&amp;IF(AND(EDATE($D22,Milestones!$AA$189)&lt;=AsOfDate,IF($R22=0,$X22,IF(AND($T22&lt;&gt;"",EDATE($D22,Milestones!$AA$189)&gt;=$T22),$W22,IF(AND($S22&lt;&gt;"",EDATE($D22,Milestones!$AA$189)&gt;=$S22),$V22,$U22)))=Milestones!$AB$189),UPPER(TEXT(EDATE($D22,Milestones!$AA$189),"dd mmm yy"))&amp;" "&amp;Milestones!$AB$189&amp;" "&amp;Milestones!$AC$189&amp;";  ","")&amp;IF(AND(EDATE($D22,Milestones!$AA$190)&lt;=AsOfDate,IF($R22=0,$X22,IF(AND($T22&lt;&gt;"",EDATE($D22,Milestones!$AA$190)&gt;=$T22),$W22,IF(AND($S22&lt;&gt;"",EDATE($D22,Milestones!$AA$190)&gt;=$S22),$V22,$U22)))=Milestones!$AB$190),UPPER(TEXT(EDATE($D22,Milestones!$AA$190),"dd mmm yy"))&amp;" "&amp;Milestones!$AB$190&amp;" "&amp;Milestones!$AC$190&amp;";  ","")&amp;IF(AND(EDATE($D22,Milestones!$AA$191)&lt;=AsOfDate,IF($R22=0,$X22,IF(AND($T22&lt;&gt;"",EDATE($D22,Milestones!$AA$191)&gt;=$T22),$W22,IF(AND($S22&lt;&gt;"",EDATE($D22,Milestones!$AA$191)&gt;=$S22),$V22,$U22)))=Milestones!$AB$191),UPPER(TEXT(EDATE($D22,Milestones!$AA$191),"dd mmm yy"))&amp;" "&amp;Milestones!$AB$191&amp;" "&amp;Milestones!$AC$191&amp;";  ","")&amp;IF(AND(EDATE($D22,Milestones!$AA$192)&lt;=AsOfDate,IF($R22=0,$X22,IF(AND($T22&lt;&gt;"",EDATE($D22,Milestones!$AA$192)&gt;=$T22),$W22,IF(AND($S22&lt;&gt;"",EDATE($D22,Milestones!$AA$192)&gt;=$S22),$V22,$U22)))=Milestones!$AB$192),UPPER(TEXT(EDATE($D22,Milestones!$AA$192),"dd mmm yy"))&amp;" "&amp;Milestones!$AB$192&amp;" "&amp;Milestones!$AC$192&amp;";  ","")&amp;IF(AND(EDATE($D22,Milestones!$AA$193)&lt;=AsOfDate,IF($R22=0,$X22,IF(AND($T22&lt;&gt;"",EDATE($D22,Milestones!$AA$193)&gt;=$T22),$W22,IF(AND($S22&lt;&gt;"",EDATE($D22,Milestones!$AA$193)&gt;=$S22),$V22,$U22)))=Milestones!$AB$193),UPPER(TEXT(EDATE($D22,Milestones!$AA$193),"dd mmm yy"))&amp;" "&amp;Milestones!$AB$193&amp;" "&amp;Milestones!$AC$193&amp;";  ","")&amp;IF(AND(EDATE($D22,Milestones!$AA$194)&lt;=AsOfDate,IF($R22=0,$X22,IF(AND($T22&lt;&gt;"",EDATE($D22,Milestones!$AA$194)&gt;=$T22),$W22,IF(AND($S22&lt;&gt;"",EDATE($D22,Milestones!$AA$194)&gt;=$S22),$V22,$U22)))=Milestones!$AB$194),UPPER(TEXT(EDATE($D22,Milestones!$AA$194),"dd mmm yy"))&amp;" "&amp;Milestones!$AB$194&amp;" "&amp;Milestones!$AC$194&amp;";  ","")&amp;IF(AND(EDATE($D22,Milestones!$AA$195)&lt;=AsOfDate,IF($R22=0,$X22,IF(AND($T22&lt;&gt;"",EDATE($D22,Milestones!$AA$195)&gt;=$T22),$W22,IF(AND($S22&lt;&gt;"",EDATE($D22,Milestones!$AA$195)&gt;=$S22),$V22,$U22)))=Milestones!$AB$195),UPPER(TEXT(EDATE($D22,Milestones!$AA$195),"dd mmm yy"))&amp;" "&amp;Milestones!$AB$195&amp;" "&amp;Milestones!$AC$195&amp;";  ","")&amp;IF(AND(EDATE($D22,Milestones!$AA$196)&lt;=AsOfDate,IF($R22=0,$X22,IF(AND($T22&lt;&gt;"",EDATE($D22,Milestones!$AA$196)&gt;=$T22),$W22,IF(AND($S22&lt;&gt;"",EDATE($D22,Milestones!$AA$196)&gt;=$S22),$V22,$U22)))=Milestones!$AB$196),UPPER(TEXT(EDATE($D22,Milestones!$AA$196),"dd mmm yy"))&amp;" "&amp;Milestones!$AB$196&amp;" "&amp;Milestones!$AC$196&amp;";  ","")&amp;IF(AND(EDATE($D22,Milestones!$AA$197)&lt;=AsOfDate,IF($R22=0,$X22,IF(AND($T22&lt;&gt;"",EDATE($D22,Milestones!$AA$197)&gt;=$T22),$W22,IF(AND($S22&lt;&gt;"",EDATE($D22,Milestones!$AA$197)&gt;=$S22),$V22,$U22)))=Milestones!$AB$197),UPPER(TEXT(EDATE($D22,Milestones!$AA$197),"dd mmm yy"))&amp;" "&amp;Milestones!$AB$197&amp;" "&amp;Milestones!$AC$197&amp;";  ","")&amp;IF(AND(EDATE($D22,Milestones!$AA$198)&lt;=AsOfDate,IF($R22=0,$X22,IF(AND($T22&lt;&gt;"",EDATE($D22,Milestones!$AA$198)&gt;=$T22),$W22,IF(AND($S22&lt;&gt;"",EDATE($D22,Milestones!$AA$198)&gt;=$S22),$V22,$U22)))=Milestones!$AB$198),UPPER(TEXT(EDATE($D22,Milestones!$AA$198),"dd mmm yy"))&amp;" "&amp;Milestones!$AB$198&amp;" "&amp;Milestones!$AC$198&amp;";  ","")&amp;IF(AND(EDATE($D22,Milestones!$AA$199)&lt;=AsOfDate,IF($R22=0,$X22,IF(AND($T22&lt;&gt;"",EDATE($D22,Milestones!$AA$199)&gt;=$T22),$W22,IF(AND($S22&lt;&gt;"",EDATE($D22,Milestones!$AA$199)&gt;=$S22),$V22,$U22)))=Milestones!$AB$199),UPPER(TEXT(EDATE($D22,Milestones!$AA$199),"dd mmm yy"))&amp;" "&amp;Milestones!$AB$199&amp;" "&amp;Milestones!$AC$199&amp;";  ",""))</f>
        <v/>
      </c>
      <c r="R22" s="33" t="n">
        <f aca="false">IF(Staff!$A22="","",Staff!$AI22)</f>
        <v>0</v>
      </c>
      <c r="S22" s="0" t="str">
        <f aca="false">IF(Staff!$A22="","",Staff!$AK22)</f>
        <v/>
      </c>
      <c r="T22" s="0" t="str">
        <f aca="false">IF(Staff!$A22="","",Staff!$AL22)</f>
        <v/>
      </c>
      <c r="U22" s="0" t="str">
        <f aca="false">IF(Staff!$A22="","",Staff!$AP22)</f>
        <v>None</v>
      </c>
      <c r="V22" s="0" t="str">
        <f aca="false">IF(Staff!$A22="","",Staff!$AQ22)</f>
        <v/>
      </c>
      <c r="W22" s="0" t="str">
        <f aca="false">IF(Staff!$A22="","",Staff!$AR22)</f>
        <v/>
      </c>
      <c r="X22" s="0" t="str">
        <f aca="false">IF(Staff!$A22="","",Staff!$AS22)</f>
        <v>None</v>
      </c>
    </row>
    <row r="23" customFormat="false" ht="15" hidden="false" customHeight="false" outlineLevel="0" collapsed="false">
      <c r="A23" s="19" t="str">
        <f aca="false">IF(Staff!$A23="","",Staff!$A23)</f>
        <v>Dimitri</v>
      </c>
      <c r="B23" s="19" t="str">
        <f aca="false">IF(Staff!$A23="","",Staff!$B23)</f>
        <v>Gerakios</v>
      </c>
      <c r="C23" s="19" t="str">
        <f aca="false">IF(Staff!$A23="","",Staff!$C23)</f>
        <v>Casual</v>
      </c>
      <c r="D23" s="17" t="n">
        <f aca="false">IF(Staff!$A23="","",Staff!$AH23)</f>
        <v>46114</v>
      </c>
      <c r="E23" s="20" t="n">
        <f aca="false">IF(Staff!$A23="","",Staff!$O23)</f>
        <v>0</v>
      </c>
      <c r="F23" s="19" t="n">
        <f aca="false">IF(E23="","",E23*HoursPerDay)</f>
        <v>0</v>
      </c>
      <c r="G23" s="20" t="n">
        <f aca="false">IF(Staff!$A23="","",Staff!$AE23)</f>
        <v>0</v>
      </c>
      <c r="H23" s="32" t="str">
        <f aca="false">IF($A23="","",I23&amp;J23&amp;K23&amp;L23&amp;M23&amp;N23&amp;O23&amp;P23&amp;Q23)</f>
        <v/>
      </c>
      <c r="I23" s="0" t="str">
        <f aca="false">IF(OR($A23="",$D23=""),"",IF(AND(EDATE($D23,Milestones!$AA$20)&lt;=AsOfDate,IF($R23=0,$X23,IF(AND($T23&lt;&gt;"",EDATE($D23,Milestones!$AA$20)&gt;=$T23),$W23,IF(AND($S23&lt;&gt;"",EDATE($D23,Milestones!$AA$20)&gt;=$S23),$V23,$U23)))=Milestones!$AB$20),UPPER(TEXT(EDATE($D23,Milestones!$AA$20),"dd mmm yy"))&amp;" "&amp;Milestones!$AB$20&amp;" "&amp;Milestones!$AC$20&amp;";  ","")&amp;IF(AND(EDATE($D23,Milestones!$AA$21)&lt;=AsOfDate,IF($R23=0,$X23,IF(AND($T23&lt;&gt;"",EDATE($D23,Milestones!$AA$21)&gt;=$T23),$W23,IF(AND($S23&lt;&gt;"",EDATE($D23,Milestones!$AA$21)&gt;=$S23),$V23,$U23)))=Milestones!$AB$21),UPPER(TEXT(EDATE($D23,Milestones!$AA$21),"dd mmm yy"))&amp;" "&amp;Milestones!$AB$21&amp;" "&amp;Milestones!$AC$21&amp;";  ","")&amp;IF(AND(EDATE($D23,Milestones!$AA$22)&lt;=AsOfDate,IF($R23=0,$X23,IF(AND($T23&lt;&gt;"",EDATE($D23,Milestones!$AA$22)&gt;=$T23),$W23,IF(AND($S23&lt;&gt;"",EDATE($D23,Milestones!$AA$22)&gt;=$S23),$V23,$U23)))=Milestones!$AB$22),UPPER(TEXT(EDATE($D23,Milestones!$AA$22),"dd mmm yy"))&amp;" "&amp;Milestones!$AB$22&amp;" "&amp;Milestones!$AC$22&amp;";  ","")&amp;IF(AND(EDATE($D23,Milestones!$AA$23)&lt;=AsOfDate,IF($R23=0,$X23,IF(AND($T23&lt;&gt;"",EDATE($D23,Milestones!$AA$23)&gt;=$T23),$W23,IF(AND($S23&lt;&gt;"",EDATE($D23,Milestones!$AA$23)&gt;=$S23),$V23,$U23)))=Milestones!$AB$23),UPPER(TEXT(EDATE($D23,Milestones!$AA$23),"dd mmm yy"))&amp;" "&amp;Milestones!$AB$23&amp;" "&amp;Milestones!$AC$23&amp;";  ","")&amp;IF(AND(EDATE($D23,Milestones!$AA$24)&lt;=AsOfDate,IF($R23=0,$X23,IF(AND($T23&lt;&gt;"",EDATE($D23,Milestones!$AA$24)&gt;=$T23),$W23,IF(AND($S23&lt;&gt;"",EDATE($D23,Milestones!$AA$24)&gt;=$S23),$V23,$U23)))=Milestones!$AB$24),UPPER(TEXT(EDATE($D23,Milestones!$AA$24),"dd mmm yy"))&amp;" "&amp;Milestones!$AB$24&amp;" "&amp;Milestones!$AC$24&amp;";  ","")&amp;IF(AND(EDATE($D23,Milestones!$AA$25)&lt;=AsOfDate,IF($R23=0,$X23,IF(AND($T23&lt;&gt;"",EDATE($D23,Milestones!$AA$25)&gt;=$T23),$W23,IF(AND($S23&lt;&gt;"",EDATE($D23,Milestones!$AA$25)&gt;=$S23),$V23,$U23)))=Milestones!$AB$25),UPPER(TEXT(EDATE($D23,Milestones!$AA$25),"dd mmm yy"))&amp;" "&amp;Milestones!$AB$25&amp;" "&amp;Milestones!$AC$25&amp;";  ","")&amp;IF(AND(EDATE($D23,Milestones!$AA$26)&lt;=AsOfDate,IF($R23=0,$X23,IF(AND($T23&lt;&gt;"",EDATE($D23,Milestones!$AA$26)&gt;=$T23),$W23,IF(AND($S23&lt;&gt;"",EDATE($D23,Milestones!$AA$26)&gt;=$S23),$V23,$U23)))=Milestones!$AB$26),UPPER(TEXT(EDATE($D23,Milestones!$AA$26),"dd mmm yy"))&amp;" "&amp;Milestones!$AB$26&amp;" "&amp;Milestones!$AC$26&amp;";  ","")&amp;IF(AND(EDATE($D23,Milestones!$AA$27)&lt;=AsOfDate,IF($R23=0,$X23,IF(AND($T23&lt;&gt;"",EDATE($D23,Milestones!$AA$27)&gt;=$T23),$W23,IF(AND($S23&lt;&gt;"",EDATE($D23,Milestones!$AA$27)&gt;=$S23),$V23,$U23)))=Milestones!$AB$27),UPPER(TEXT(EDATE($D23,Milestones!$AA$27),"dd mmm yy"))&amp;" "&amp;Milestones!$AB$27&amp;" "&amp;Milestones!$AC$27&amp;";  ","")&amp;IF(AND(EDATE($D23,Milestones!$AA$28)&lt;=AsOfDate,IF($R23=0,$X23,IF(AND($T23&lt;&gt;"",EDATE($D23,Milestones!$AA$28)&gt;=$T23),$W23,IF(AND($S23&lt;&gt;"",EDATE($D23,Milestones!$AA$28)&gt;=$S23),$V23,$U23)))=Milestones!$AB$28),UPPER(TEXT(EDATE($D23,Milestones!$AA$28),"dd mmm yy"))&amp;" "&amp;Milestones!$AB$28&amp;" "&amp;Milestones!$AC$28&amp;";  ","")&amp;IF(AND(EDATE($D23,Milestones!$AA$29)&lt;=AsOfDate,IF($R23=0,$X23,IF(AND($T23&lt;&gt;"",EDATE($D23,Milestones!$AA$29)&gt;=$T23),$W23,IF(AND($S23&lt;&gt;"",EDATE($D23,Milestones!$AA$29)&gt;=$S23),$V23,$U23)))=Milestones!$AB$29),UPPER(TEXT(EDATE($D23,Milestones!$AA$29),"dd mmm yy"))&amp;" "&amp;Milestones!$AB$29&amp;" "&amp;Milestones!$AC$29&amp;";  ","")&amp;IF(AND(EDATE($D23,Milestones!$AA$30)&lt;=AsOfDate,IF($R23=0,$X23,IF(AND($T23&lt;&gt;"",EDATE($D23,Milestones!$AA$30)&gt;=$T23),$W23,IF(AND($S23&lt;&gt;"",EDATE($D23,Milestones!$AA$30)&gt;=$S23),$V23,$U23)))=Milestones!$AB$30),UPPER(TEXT(EDATE($D23,Milestones!$AA$30),"dd mmm yy"))&amp;" "&amp;Milestones!$AB$30&amp;" "&amp;Milestones!$AC$30&amp;";  ","")&amp;IF(AND(EDATE($D23,Milestones!$AA$31)&lt;=AsOfDate,IF($R23=0,$X23,IF(AND($T23&lt;&gt;"",EDATE($D23,Milestones!$AA$31)&gt;=$T23),$W23,IF(AND($S23&lt;&gt;"",EDATE($D23,Milestones!$AA$31)&gt;=$S23),$V23,$U23)))=Milestones!$AB$31),UPPER(TEXT(EDATE($D23,Milestones!$AA$31),"dd mmm yy"))&amp;" "&amp;Milestones!$AB$31&amp;" "&amp;Milestones!$AC$31&amp;";  ","")&amp;IF(AND(EDATE($D23,Milestones!$AA$32)&lt;=AsOfDate,IF($R23=0,$X23,IF(AND($T23&lt;&gt;"",EDATE($D23,Milestones!$AA$32)&gt;=$T23),$W23,IF(AND($S23&lt;&gt;"",EDATE($D23,Milestones!$AA$32)&gt;=$S23),$V23,$U23)))=Milestones!$AB$32),UPPER(TEXT(EDATE($D23,Milestones!$AA$32),"dd mmm yy"))&amp;" "&amp;Milestones!$AB$32&amp;" "&amp;Milestones!$AC$32&amp;";  ","")&amp;IF(AND(EDATE($D23,Milestones!$AA$33)&lt;=AsOfDate,IF($R23=0,$X23,IF(AND($T23&lt;&gt;"",EDATE($D23,Milestones!$AA$33)&gt;=$T23),$W23,IF(AND($S23&lt;&gt;"",EDATE($D23,Milestones!$AA$33)&gt;=$S23),$V23,$U23)))=Milestones!$AB$33),UPPER(TEXT(EDATE($D23,Milestones!$AA$33),"dd mmm yy"))&amp;" "&amp;Milestones!$AB$33&amp;" "&amp;Milestones!$AC$33&amp;";  ","")&amp;IF(AND(EDATE($D23,Milestones!$AA$34)&lt;=AsOfDate,IF($R23=0,$X23,IF(AND($T23&lt;&gt;"",EDATE($D23,Milestones!$AA$34)&gt;=$T23),$W23,IF(AND($S23&lt;&gt;"",EDATE($D23,Milestones!$AA$34)&gt;=$S23),$V23,$U23)))=Milestones!$AB$34),UPPER(TEXT(EDATE($D23,Milestones!$AA$34),"dd mmm yy"))&amp;" "&amp;Milestones!$AB$34&amp;" "&amp;Milestones!$AC$34&amp;";  ","")&amp;IF(AND(EDATE($D23,Milestones!$AA$35)&lt;=AsOfDate,IF($R23=0,$X23,IF(AND($T23&lt;&gt;"",EDATE($D23,Milestones!$AA$35)&gt;=$T23),$W23,IF(AND($S23&lt;&gt;"",EDATE($D23,Milestones!$AA$35)&gt;=$S23),$V23,$U23)))=Milestones!$AB$35),UPPER(TEXT(EDATE($D23,Milestones!$AA$35),"dd mmm yy"))&amp;" "&amp;Milestones!$AB$35&amp;" "&amp;Milestones!$AC$35&amp;";  ","")&amp;IF(AND(EDATE($D23,Milestones!$AA$36)&lt;=AsOfDate,IF($R23=0,$X23,IF(AND($T23&lt;&gt;"",EDATE($D23,Milestones!$AA$36)&gt;=$T23),$W23,IF(AND($S23&lt;&gt;"",EDATE($D23,Milestones!$AA$36)&gt;=$S23),$V23,$U23)))=Milestones!$AB$36),UPPER(TEXT(EDATE($D23,Milestones!$AA$36),"dd mmm yy"))&amp;" "&amp;Milestones!$AB$36&amp;" "&amp;Milestones!$AC$36&amp;";  ","")&amp;IF(AND(EDATE($D23,Milestones!$AA$37)&lt;=AsOfDate,IF($R23=0,$X23,IF(AND($T23&lt;&gt;"",EDATE($D23,Milestones!$AA$37)&gt;=$T23),$W23,IF(AND($S23&lt;&gt;"",EDATE($D23,Milestones!$AA$37)&gt;=$S23),$V23,$U23)))=Milestones!$AB$37),UPPER(TEXT(EDATE($D23,Milestones!$AA$37),"dd mmm yy"))&amp;" "&amp;Milestones!$AB$37&amp;" "&amp;Milestones!$AC$37&amp;";  ","")&amp;IF(AND(EDATE($D23,Milestones!$AA$38)&lt;=AsOfDate,IF($R23=0,$X23,IF(AND($T23&lt;&gt;"",EDATE($D23,Milestones!$AA$38)&gt;=$T23),$W23,IF(AND($S23&lt;&gt;"",EDATE($D23,Milestones!$AA$38)&gt;=$S23),$V23,$U23)))=Milestones!$AB$38),UPPER(TEXT(EDATE($D23,Milestones!$AA$38),"dd mmm yy"))&amp;" "&amp;Milestones!$AB$38&amp;" "&amp;Milestones!$AC$38&amp;";  ","")&amp;IF(AND(EDATE($D23,Milestones!$AA$39)&lt;=AsOfDate,IF($R23=0,$X23,IF(AND($T23&lt;&gt;"",EDATE($D23,Milestones!$AA$39)&gt;=$T23),$W23,IF(AND($S23&lt;&gt;"",EDATE($D23,Milestones!$AA$39)&gt;=$S23),$V23,$U23)))=Milestones!$AB$39),UPPER(TEXT(EDATE($D23,Milestones!$AA$39),"dd mmm yy"))&amp;" "&amp;Milestones!$AB$39&amp;" "&amp;Milestones!$AC$39&amp;";  ",""))</f>
        <v/>
      </c>
      <c r="J23" s="0" t="str">
        <f aca="false">IF(OR($A23="",$D23=""),"",IF(AND(EDATE($D23,Milestones!$AA$40)&lt;=AsOfDate,IF($R23=0,$X23,IF(AND($T23&lt;&gt;"",EDATE($D23,Milestones!$AA$40)&gt;=$T23),$W23,IF(AND($S23&lt;&gt;"",EDATE($D23,Milestones!$AA$40)&gt;=$S23),$V23,$U23)))=Milestones!$AB$40),UPPER(TEXT(EDATE($D23,Milestones!$AA$40),"dd mmm yy"))&amp;" "&amp;Milestones!$AB$40&amp;" "&amp;Milestones!$AC$40&amp;";  ","")&amp;IF(AND(EDATE($D23,Milestones!$AA$41)&lt;=AsOfDate,IF($R23=0,$X23,IF(AND($T23&lt;&gt;"",EDATE($D23,Milestones!$AA$41)&gt;=$T23),$W23,IF(AND($S23&lt;&gt;"",EDATE($D23,Milestones!$AA$41)&gt;=$S23),$V23,$U23)))=Milestones!$AB$41),UPPER(TEXT(EDATE($D23,Milestones!$AA$41),"dd mmm yy"))&amp;" "&amp;Milestones!$AB$41&amp;" "&amp;Milestones!$AC$41&amp;";  ","")&amp;IF(AND(EDATE($D23,Milestones!$AA$42)&lt;=AsOfDate,IF($R23=0,$X23,IF(AND($T23&lt;&gt;"",EDATE($D23,Milestones!$AA$42)&gt;=$T23),$W23,IF(AND($S23&lt;&gt;"",EDATE($D23,Milestones!$AA$42)&gt;=$S23),$V23,$U23)))=Milestones!$AB$42),UPPER(TEXT(EDATE($D23,Milestones!$AA$42),"dd mmm yy"))&amp;" "&amp;Milestones!$AB$42&amp;" "&amp;Milestones!$AC$42&amp;";  ","")&amp;IF(AND(EDATE($D23,Milestones!$AA$43)&lt;=AsOfDate,IF($R23=0,$X23,IF(AND($T23&lt;&gt;"",EDATE($D23,Milestones!$AA$43)&gt;=$T23),$W23,IF(AND($S23&lt;&gt;"",EDATE($D23,Milestones!$AA$43)&gt;=$S23),$V23,$U23)))=Milestones!$AB$43),UPPER(TEXT(EDATE($D23,Milestones!$AA$43),"dd mmm yy"))&amp;" "&amp;Milestones!$AB$43&amp;" "&amp;Milestones!$AC$43&amp;";  ","")&amp;IF(AND(EDATE($D23,Milestones!$AA$44)&lt;=AsOfDate,IF($R23=0,$X23,IF(AND($T23&lt;&gt;"",EDATE($D23,Milestones!$AA$44)&gt;=$T23),$W23,IF(AND($S23&lt;&gt;"",EDATE($D23,Milestones!$AA$44)&gt;=$S23),$V23,$U23)))=Milestones!$AB$44),UPPER(TEXT(EDATE($D23,Milestones!$AA$44),"dd mmm yy"))&amp;" "&amp;Milestones!$AB$44&amp;" "&amp;Milestones!$AC$44&amp;";  ","")&amp;IF(AND(EDATE($D23,Milestones!$AA$45)&lt;=AsOfDate,IF($R23=0,$X23,IF(AND($T23&lt;&gt;"",EDATE($D23,Milestones!$AA$45)&gt;=$T23),$W23,IF(AND($S23&lt;&gt;"",EDATE($D23,Milestones!$AA$45)&gt;=$S23),$V23,$U23)))=Milestones!$AB$45),UPPER(TEXT(EDATE($D23,Milestones!$AA$45),"dd mmm yy"))&amp;" "&amp;Milestones!$AB$45&amp;" "&amp;Milestones!$AC$45&amp;";  ","")&amp;IF(AND(EDATE($D23,Milestones!$AA$46)&lt;=AsOfDate,IF($R23=0,$X23,IF(AND($T23&lt;&gt;"",EDATE($D23,Milestones!$AA$46)&gt;=$T23),$W23,IF(AND($S23&lt;&gt;"",EDATE($D23,Milestones!$AA$46)&gt;=$S23),$V23,$U23)))=Milestones!$AB$46),UPPER(TEXT(EDATE($D23,Milestones!$AA$46),"dd mmm yy"))&amp;" "&amp;Milestones!$AB$46&amp;" "&amp;Milestones!$AC$46&amp;";  ","")&amp;IF(AND(EDATE($D23,Milestones!$AA$47)&lt;=AsOfDate,IF($R23=0,$X23,IF(AND($T23&lt;&gt;"",EDATE($D23,Milestones!$AA$47)&gt;=$T23),$W23,IF(AND($S23&lt;&gt;"",EDATE($D23,Milestones!$AA$47)&gt;=$S23),$V23,$U23)))=Milestones!$AB$47),UPPER(TEXT(EDATE($D23,Milestones!$AA$47),"dd mmm yy"))&amp;" "&amp;Milestones!$AB$47&amp;" "&amp;Milestones!$AC$47&amp;";  ","")&amp;IF(AND(EDATE($D23,Milestones!$AA$48)&lt;=AsOfDate,IF($R23=0,$X23,IF(AND($T23&lt;&gt;"",EDATE($D23,Milestones!$AA$48)&gt;=$T23),$W23,IF(AND($S23&lt;&gt;"",EDATE($D23,Milestones!$AA$48)&gt;=$S23),$V23,$U23)))=Milestones!$AB$48),UPPER(TEXT(EDATE($D23,Milestones!$AA$48),"dd mmm yy"))&amp;" "&amp;Milestones!$AB$48&amp;" "&amp;Milestones!$AC$48&amp;";  ","")&amp;IF(AND(EDATE($D23,Milestones!$AA$49)&lt;=AsOfDate,IF($R23=0,$X23,IF(AND($T23&lt;&gt;"",EDATE($D23,Milestones!$AA$49)&gt;=$T23),$W23,IF(AND($S23&lt;&gt;"",EDATE($D23,Milestones!$AA$49)&gt;=$S23),$V23,$U23)))=Milestones!$AB$49),UPPER(TEXT(EDATE($D23,Milestones!$AA$49),"dd mmm yy"))&amp;" "&amp;Milestones!$AB$49&amp;" "&amp;Milestones!$AC$49&amp;";  ","")&amp;IF(AND(EDATE($D23,Milestones!$AA$50)&lt;=AsOfDate,IF($R23=0,$X23,IF(AND($T23&lt;&gt;"",EDATE($D23,Milestones!$AA$50)&gt;=$T23),$W23,IF(AND($S23&lt;&gt;"",EDATE($D23,Milestones!$AA$50)&gt;=$S23),$V23,$U23)))=Milestones!$AB$50),UPPER(TEXT(EDATE($D23,Milestones!$AA$50),"dd mmm yy"))&amp;" "&amp;Milestones!$AB$50&amp;" "&amp;Milestones!$AC$50&amp;";  ","")&amp;IF(AND(EDATE($D23,Milestones!$AA$51)&lt;=AsOfDate,IF($R23=0,$X23,IF(AND($T23&lt;&gt;"",EDATE($D23,Milestones!$AA$51)&gt;=$T23),$W23,IF(AND($S23&lt;&gt;"",EDATE($D23,Milestones!$AA$51)&gt;=$S23),$V23,$U23)))=Milestones!$AB$51),UPPER(TEXT(EDATE($D23,Milestones!$AA$51),"dd mmm yy"))&amp;" "&amp;Milestones!$AB$51&amp;" "&amp;Milestones!$AC$51&amp;";  ","")&amp;IF(AND(EDATE($D23,Milestones!$AA$52)&lt;=AsOfDate,IF($R23=0,$X23,IF(AND($T23&lt;&gt;"",EDATE($D23,Milestones!$AA$52)&gt;=$T23),$W23,IF(AND($S23&lt;&gt;"",EDATE($D23,Milestones!$AA$52)&gt;=$S23),$V23,$U23)))=Milestones!$AB$52),UPPER(TEXT(EDATE($D23,Milestones!$AA$52),"dd mmm yy"))&amp;" "&amp;Milestones!$AB$52&amp;" "&amp;Milestones!$AC$52&amp;";  ","")&amp;IF(AND(EDATE($D23,Milestones!$AA$53)&lt;=AsOfDate,IF($R23=0,$X23,IF(AND($T23&lt;&gt;"",EDATE($D23,Milestones!$AA$53)&gt;=$T23),$W23,IF(AND($S23&lt;&gt;"",EDATE($D23,Milestones!$AA$53)&gt;=$S23),$V23,$U23)))=Milestones!$AB$53),UPPER(TEXT(EDATE($D23,Milestones!$AA$53),"dd mmm yy"))&amp;" "&amp;Milestones!$AB$53&amp;" "&amp;Milestones!$AC$53&amp;";  ","")&amp;IF(AND(EDATE($D23,Milestones!$AA$54)&lt;=AsOfDate,IF($R23=0,$X23,IF(AND($T23&lt;&gt;"",EDATE($D23,Milestones!$AA$54)&gt;=$T23),$W23,IF(AND($S23&lt;&gt;"",EDATE($D23,Milestones!$AA$54)&gt;=$S23),$V23,$U23)))=Milestones!$AB$54),UPPER(TEXT(EDATE($D23,Milestones!$AA$54),"dd mmm yy"))&amp;" "&amp;Milestones!$AB$54&amp;" "&amp;Milestones!$AC$54&amp;";  ","")&amp;IF(AND(EDATE($D23,Milestones!$AA$55)&lt;=AsOfDate,IF($R23=0,$X23,IF(AND($T23&lt;&gt;"",EDATE($D23,Milestones!$AA$55)&gt;=$T23),$W23,IF(AND($S23&lt;&gt;"",EDATE($D23,Milestones!$AA$55)&gt;=$S23),$V23,$U23)))=Milestones!$AB$55),UPPER(TEXT(EDATE($D23,Milestones!$AA$55),"dd mmm yy"))&amp;" "&amp;Milestones!$AB$55&amp;" "&amp;Milestones!$AC$55&amp;";  ","")&amp;IF(AND(EDATE($D23,Milestones!$AA$56)&lt;=AsOfDate,IF($R23=0,$X23,IF(AND($T23&lt;&gt;"",EDATE($D23,Milestones!$AA$56)&gt;=$T23),$W23,IF(AND($S23&lt;&gt;"",EDATE($D23,Milestones!$AA$56)&gt;=$S23),$V23,$U23)))=Milestones!$AB$56),UPPER(TEXT(EDATE($D23,Milestones!$AA$56),"dd mmm yy"))&amp;" "&amp;Milestones!$AB$56&amp;" "&amp;Milestones!$AC$56&amp;";  ","")&amp;IF(AND(EDATE($D23,Milestones!$AA$57)&lt;=AsOfDate,IF($R23=0,$X23,IF(AND($T23&lt;&gt;"",EDATE($D23,Milestones!$AA$57)&gt;=$T23),$W23,IF(AND($S23&lt;&gt;"",EDATE($D23,Milestones!$AA$57)&gt;=$S23),$V23,$U23)))=Milestones!$AB$57),UPPER(TEXT(EDATE($D23,Milestones!$AA$57),"dd mmm yy"))&amp;" "&amp;Milestones!$AB$57&amp;" "&amp;Milestones!$AC$57&amp;";  ","")&amp;IF(AND(EDATE($D23,Milestones!$AA$58)&lt;=AsOfDate,IF($R23=0,$X23,IF(AND($T23&lt;&gt;"",EDATE($D23,Milestones!$AA$58)&gt;=$T23),$W23,IF(AND($S23&lt;&gt;"",EDATE($D23,Milestones!$AA$58)&gt;=$S23),$V23,$U23)))=Milestones!$AB$58),UPPER(TEXT(EDATE($D23,Milestones!$AA$58),"dd mmm yy"))&amp;" "&amp;Milestones!$AB$58&amp;" "&amp;Milestones!$AC$58&amp;";  ","")&amp;IF(AND(EDATE($D23,Milestones!$AA$59)&lt;=AsOfDate,IF($R23=0,$X23,IF(AND($T23&lt;&gt;"",EDATE($D23,Milestones!$AA$59)&gt;=$T23),$W23,IF(AND($S23&lt;&gt;"",EDATE($D23,Milestones!$AA$59)&gt;=$S23),$V23,$U23)))=Milestones!$AB$59),UPPER(TEXT(EDATE($D23,Milestones!$AA$59),"dd mmm yy"))&amp;" "&amp;Milestones!$AB$59&amp;" "&amp;Milestones!$AC$59&amp;";  ",""))</f>
        <v/>
      </c>
      <c r="K23" s="0" t="str">
        <f aca="false">IF(OR($A23="",$D23=""),"",IF(AND(EDATE($D23,Milestones!$AA$60)&lt;=AsOfDate,IF($R23=0,$X23,IF(AND($T23&lt;&gt;"",EDATE($D23,Milestones!$AA$60)&gt;=$T23),$W23,IF(AND($S23&lt;&gt;"",EDATE($D23,Milestones!$AA$60)&gt;=$S23),$V23,$U23)))=Milestones!$AB$60),UPPER(TEXT(EDATE($D23,Milestones!$AA$60),"dd mmm yy"))&amp;" "&amp;Milestones!$AB$60&amp;" "&amp;Milestones!$AC$60&amp;";  ","")&amp;IF(AND(EDATE($D23,Milestones!$AA$61)&lt;=AsOfDate,IF($R23=0,$X23,IF(AND($T23&lt;&gt;"",EDATE($D23,Milestones!$AA$61)&gt;=$T23),$W23,IF(AND($S23&lt;&gt;"",EDATE($D23,Milestones!$AA$61)&gt;=$S23),$V23,$U23)))=Milestones!$AB$61),UPPER(TEXT(EDATE($D23,Milestones!$AA$61),"dd mmm yy"))&amp;" "&amp;Milestones!$AB$61&amp;" "&amp;Milestones!$AC$61&amp;";  ","")&amp;IF(AND(EDATE($D23,Milestones!$AA$62)&lt;=AsOfDate,IF($R23=0,$X23,IF(AND($T23&lt;&gt;"",EDATE($D23,Milestones!$AA$62)&gt;=$T23),$W23,IF(AND($S23&lt;&gt;"",EDATE($D23,Milestones!$AA$62)&gt;=$S23),$V23,$U23)))=Milestones!$AB$62),UPPER(TEXT(EDATE($D23,Milestones!$AA$62),"dd mmm yy"))&amp;" "&amp;Milestones!$AB$62&amp;" "&amp;Milestones!$AC$62&amp;";  ","")&amp;IF(AND(EDATE($D23,Milestones!$AA$63)&lt;=AsOfDate,IF($R23=0,$X23,IF(AND($T23&lt;&gt;"",EDATE($D23,Milestones!$AA$63)&gt;=$T23),$W23,IF(AND($S23&lt;&gt;"",EDATE($D23,Milestones!$AA$63)&gt;=$S23),$V23,$U23)))=Milestones!$AB$63),UPPER(TEXT(EDATE($D23,Milestones!$AA$63),"dd mmm yy"))&amp;" "&amp;Milestones!$AB$63&amp;" "&amp;Milestones!$AC$63&amp;";  ","")&amp;IF(AND(EDATE($D23,Milestones!$AA$64)&lt;=AsOfDate,IF($R23=0,$X23,IF(AND($T23&lt;&gt;"",EDATE($D23,Milestones!$AA$64)&gt;=$T23),$W23,IF(AND($S23&lt;&gt;"",EDATE($D23,Milestones!$AA$64)&gt;=$S23),$V23,$U23)))=Milestones!$AB$64),UPPER(TEXT(EDATE($D23,Milestones!$AA$64),"dd mmm yy"))&amp;" "&amp;Milestones!$AB$64&amp;" "&amp;Milestones!$AC$64&amp;";  ","")&amp;IF(AND(EDATE($D23,Milestones!$AA$65)&lt;=AsOfDate,IF($R23=0,$X23,IF(AND($T23&lt;&gt;"",EDATE($D23,Milestones!$AA$65)&gt;=$T23),$W23,IF(AND($S23&lt;&gt;"",EDATE($D23,Milestones!$AA$65)&gt;=$S23),$V23,$U23)))=Milestones!$AB$65),UPPER(TEXT(EDATE($D23,Milestones!$AA$65),"dd mmm yy"))&amp;" "&amp;Milestones!$AB$65&amp;" "&amp;Milestones!$AC$65&amp;";  ","")&amp;IF(AND(EDATE($D23,Milestones!$AA$66)&lt;=AsOfDate,IF($R23=0,$X23,IF(AND($T23&lt;&gt;"",EDATE($D23,Milestones!$AA$66)&gt;=$T23),$W23,IF(AND($S23&lt;&gt;"",EDATE($D23,Milestones!$AA$66)&gt;=$S23),$V23,$U23)))=Milestones!$AB$66),UPPER(TEXT(EDATE($D23,Milestones!$AA$66),"dd mmm yy"))&amp;" "&amp;Milestones!$AB$66&amp;" "&amp;Milestones!$AC$66&amp;";  ","")&amp;IF(AND(EDATE($D23,Milestones!$AA$67)&lt;=AsOfDate,IF($R23=0,$X23,IF(AND($T23&lt;&gt;"",EDATE($D23,Milestones!$AA$67)&gt;=$T23),$W23,IF(AND($S23&lt;&gt;"",EDATE($D23,Milestones!$AA$67)&gt;=$S23),$V23,$U23)))=Milestones!$AB$67),UPPER(TEXT(EDATE($D23,Milestones!$AA$67),"dd mmm yy"))&amp;" "&amp;Milestones!$AB$67&amp;" "&amp;Milestones!$AC$67&amp;";  ","")&amp;IF(AND(EDATE($D23,Milestones!$AA$68)&lt;=AsOfDate,IF($R23=0,$X23,IF(AND($T23&lt;&gt;"",EDATE($D23,Milestones!$AA$68)&gt;=$T23),$W23,IF(AND($S23&lt;&gt;"",EDATE($D23,Milestones!$AA$68)&gt;=$S23),$V23,$U23)))=Milestones!$AB$68),UPPER(TEXT(EDATE($D23,Milestones!$AA$68),"dd mmm yy"))&amp;" "&amp;Milestones!$AB$68&amp;" "&amp;Milestones!$AC$68&amp;";  ","")&amp;IF(AND(EDATE($D23,Milestones!$AA$69)&lt;=AsOfDate,IF($R23=0,$X23,IF(AND($T23&lt;&gt;"",EDATE($D23,Milestones!$AA$69)&gt;=$T23),$W23,IF(AND($S23&lt;&gt;"",EDATE($D23,Milestones!$AA$69)&gt;=$S23),$V23,$U23)))=Milestones!$AB$69),UPPER(TEXT(EDATE($D23,Milestones!$AA$69),"dd mmm yy"))&amp;" "&amp;Milestones!$AB$69&amp;" "&amp;Milestones!$AC$69&amp;";  ","")&amp;IF(AND(EDATE($D23,Milestones!$AA$70)&lt;=AsOfDate,IF($R23=0,$X23,IF(AND($T23&lt;&gt;"",EDATE($D23,Milestones!$AA$70)&gt;=$T23),$W23,IF(AND($S23&lt;&gt;"",EDATE($D23,Milestones!$AA$70)&gt;=$S23),$V23,$U23)))=Milestones!$AB$70),UPPER(TEXT(EDATE($D23,Milestones!$AA$70),"dd mmm yy"))&amp;" "&amp;Milestones!$AB$70&amp;" "&amp;Milestones!$AC$70&amp;";  ","")&amp;IF(AND(EDATE($D23,Milestones!$AA$71)&lt;=AsOfDate,IF($R23=0,$X23,IF(AND($T23&lt;&gt;"",EDATE($D23,Milestones!$AA$71)&gt;=$T23),$W23,IF(AND($S23&lt;&gt;"",EDATE($D23,Milestones!$AA$71)&gt;=$S23),$V23,$U23)))=Milestones!$AB$71),UPPER(TEXT(EDATE($D23,Milestones!$AA$71),"dd mmm yy"))&amp;" "&amp;Milestones!$AB$71&amp;" "&amp;Milestones!$AC$71&amp;";  ","")&amp;IF(AND(EDATE($D23,Milestones!$AA$72)&lt;=AsOfDate,IF($R23=0,$X23,IF(AND($T23&lt;&gt;"",EDATE($D23,Milestones!$AA$72)&gt;=$T23),$W23,IF(AND($S23&lt;&gt;"",EDATE($D23,Milestones!$AA$72)&gt;=$S23),$V23,$U23)))=Milestones!$AB$72),UPPER(TEXT(EDATE($D23,Milestones!$AA$72),"dd mmm yy"))&amp;" "&amp;Milestones!$AB$72&amp;" "&amp;Milestones!$AC$72&amp;";  ","")&amp;IF(AND(EDATE($D23,Milestones!$AA$73)&lt;=AsOfDate,IF($R23=0,$X23,IF(AND($T23&lt;&gt;"",EDATE($D23,Milestones!$AA$73)&gt;=$T23),$W23,IF(AND($S23&lt;&gt;"",EDATE($D23,Milestones!$AA$73)&gt;=$S23),$V23,$U23)))=Milestones!$AB$73),UPPER(TEXT(EDATE($D23,Milestones!$AA$73),"dd mmm yy"))&amp;" "&amp;Milestones!$AB$73&amp;" "&amp;Milestones!$AC$73&amp;";  ","")&amp;IF(AND(EDATE($D23,Milestones!$AA$74)&lt;=AsOfDate,IF($R23=0,$X23,IF(AND($T23&lt;&gt;"",EDATE($D23,Milestones!$AA$74)&gt;=$T23),$W23,IF(AND($S23&lt;&gt;"",EDATE($D23,Milestones!$AA$74)&gt;=$S23),$V23,$U23)))=Milestones!$AB$74),UPPER(TEXT(EDATE($D23,Milestones!$AA$74),"dd mmm yy"))&amp;" "&amp;Milestones!$AB$74&amp;" "&amp;Milestones!$AC$74&amp;";  ","")&amp;IF(AND(EDATE($D23,Milestones!$AA$75)&lt;=AsOfDate,IF($R23=0,$X23,IF(AND($T23&lt;&gt;"",EDATE($D23,Milestones!$AA$75)&gt;=$T23),$W23,IF(AND($S23&lt;&gt;"",EDATE($D23,Milestones!$AA$75)&gt;=$S23),$V23,$U23)))=Milestones!$AB$75),UPPER(TEXT(EDATE($D23,Milestones!$AA$75),"dd mmm yy"))&amp;" "&amp;Milestones!$AB$75&amp;" "&amp;Milestones!$AC$75&amp;";  ","")&amp;IF(AND(EDATE($D23,Milestones!$AA$76)&lt;=AsOfDate,IF($R23=0,$X23,IF(AND($T23&lt;&gt;"",EDATE($D23,Milestones!$AA$76)&gt;=$T23),$W23,IF(AND($S23&lt;&gt;"",EDATE($D23,Milestones!$AA$76)&gt;=$S23),$V23,$U23)))=Milestones!$AB$76),UPPER(TEXT(EDATE($D23,Milestones!$AA$76),"dd mmm yy"))&amp;" "&amp;Milestones!$AB$76&amp;" "&amp;Milestones!$AC$76&amp;";  ","")&amp;IF(AND(EDATE($D23,Milestones!$AA$77)&lt;=AsOfDate,IF($R23=0,$X23,IF(AND($T23&lt;&gt;"",EDATE($D23,Milestones!$AA$77)&gt;=$T23),$W23,IF(AND($S23&lt;&gt;"",EDATE($D23,Milestones!$AA$77)&gt;=$S23),$V23,$U23)))=Milestones!$AB$77),UPPER(TEXT(EDATE($D23,Milestones!$AA$77),"dd mmm yy"))&amp;" "&amp;Milestones!$AB$77&amp;" "&amp;Milestones!$AC$77&amp;";  ","")&amp;IF(AND(EDATE($D23,Milestones!$AA$78)&lt;=AsOfDate,IF($R23=0,$X23,IF(AND($T23&lt;&gt;"",EDATE($D23,Milestones!$AA$78)&gt;=$T23),$W23,IF(AND($S23&lt;&gt;"",EDATE($D23,Milestones!$AA$78)&gt;=$S23),$V23,$U23)))=Milestones!$AB$78),UPPER(TEXT(EDATE($D23,Milestones!$AA$78),"dd mmm yy"))&amp;" "&amp;Milestones!$AB$78&amp;" "&amp;Milestones!$AC$78&amp;";  ","")&amp;IF(AND(EDATE($D23,Milestones!$AA$79)&lt;=AsOfDate,IF($R23=0,$X23,IF(AND($T23&lt;&gt;"",EDATE($D23,Milestones!$AA$79)&gt;=$T23),$W23,IF(AND($S23&lt;&gt;"",EDATE($D23,Milestones!$AA$79)&gt;=$S23),$V23,$U23)))=Milestones!$AB$79),UPPER(TEXT(EDATE($D23,Milestones!$AA$79),"dd mmm yy"))&amp;" "&amp;Milestones!$AB$79&amp;" "&amp;Milestones!$AC$79&amp;";  ",""))</f>
        <v/>
      </c>
      <c r="L23" s="0" t="str">
        <f aca="false">IF(OR($A23="",$D23=""),"",IF(AND(EDATE($D23,Milestones!$AA$80)&lt;=AsOfDate,IF($R23=0,$X23,IF(AND($T23&lt;&gt;"",EDATE($D23,Milestones!$AA$80)&gt;=$T23),$W23,IF(AND($S23&lt;&gt;"",EDATE($D23,Milestones!$AA$80)&gt;=$S23),$V23,$U23)))=Milestones!$AB$80),UPPER(TEXT(EDATE($D23,Milestones!$AA$80),"dd mmm yy"))&amp;" "&amp;Milestones!$AB$80&amp;" "&amp;Milestones!$AC$80&amp;";  ","")&amp;IF(AND(EDATE($D23,Milestones!$AA$81)&lt;=AsOfDate,IF($R23=0,$X23,IF(AND($T23&lt;&gt;"",EDATE($D23,Milestones!$AA$81)&gt;=$T23),$W23,IF(AND($S23&lt;&gt;"",EDATE($D23,Milestones!$AA$81)&gt;=$S23),$V23,$U23)))=Milestones!$AB$81),UPPER(TEXT(EDATE($D23,Milestones!$AA$81),"dd mmm yy"))&amp;" "&amp;Milestones!$AB$81&amp;" "&amp;Milestones!$AC$81&amp;";  ","")&amp;IF(AND(EDATE($D23,Milestones!$AA$82)&lt;=AsOfDate,IF($R23=0,$X23,IF(AND($T23&lt;&gt;"",EDATE($D23,Milestones!$AA$82)&gt;=$T23),$W23,IF(AND($S23&lt;&gt;"",EDATE($D23,Milestones!$AA$82)&gt;=$S23),$V23,$U23)))=Milestones!$AB$82),UPPER(TEXT(EDATE($D23,Milestones!$AA$82),"dd mmm yy"))&amp;" "&amp;Milestones!$AB$82&amp;" "&amp;Milestones!$AC$82&amp;";  ","")&amp;IF(AND(EDATE($D23,Milestones!$AA$83)&lt;=AsOfDate,IF($R23=0,$X23,IF(AND($T23&lt;&gt;"",EDATE($D23,Milestones!$AA$83)&gt;=$T23),$W23,IF(AND($S23&lt;&gt;"",EDATE($D23,Milestones!$AA$83)&gt;=$S23),$V23,$U23)))=Milestones!$AB$83),UPPER(TEXT(EDATE($D23,Milestones!$AA$83),"dd mmm yy"))&amp;" "&amp;Milestones!$AB$83&amp;" "&amp;Milestones!$AC$83&amp;";  ","")&amp;IF(AND(EDATE($D23,Milestones!$AA$84)&lt;=AsOfDate,IF($R23=0,$X23,IF(AND($T23&lt;&gt;"",EDATE($D23,Milestones!$AA$84)&gt;=$T23),$W23,IF(AND($S23&lt;&gt;"",EDATE($D23,Milestones!$AA$84)&gt;=$S23),$V23,$U23)))=Milestones!$AB$84),UPPER(TEXT(EDATE($D23,Milestones!$AA$84),"dd mmm yy"))&amp;" "&amp;Milestones!$AB$84&amp;" "&amp;Milestones!$AC$84&amp;";  ","")&amp;IF(AND(EDATE($D23,Milestones!$AA$85)&lt;=AsOfDate,IF($R23=0,$X23,IF(AND($T23&lt;&gt;"",EDATE($D23,Milestones!$AA$85)&gt;=$T23),$W23,IF(AND($S23&lt;&gt;"",EDATE($D23,Milestones!$AA$85)&gt;=$S23),$V23,$U23)))=Milestones!$AB$85),UPPER(TEXT(EDATE($D23,Milestones!$AA$85),"dd mmm yy"))&amp;" "&amp;Milestones!$AB$85&amp;" "&amp;Milestones!$AC$85&amp;";  ","")&amp;IF(AND(EDATE($D23,Milestones!$AA$86)&lt;=AsOfDate,IF($R23=0,$X23,IF(AND($T23&lt;&gt;"",EDATE($D23,Milestones!$AA$86)&gt;=$T23),$W23,IF(AND($S23&lt;&gt;"",EDATE($D23,Milestones!$AA$86)&gt;=$S23),$V23,$U23)))=Milestones!$AB$86),UPPER(TEXT(EDATE($D23,Milestones!$AA$86),"dd mmm yy"))&amp;" "&amp;Milestones!$AB$86&amp;" "&amp;Milestones!$AC$86&amp;";  ","")&amp;IF(AND(EDATE($D23,Milestones!$AA$87)&lt;=AsOfDate,IF($R23=0,$X23,IF(AND($T23&lt;&gt;"",EDATE($D23,Milestones!$AA$87)&gt;=$T23),$W23,IF(AND($S23&lt;&gt;"",EDATE($D23,Milestones!$AA$87)&gt;=$S23),$V23,$U23)))=Milestones!$AB$87),UPPER(TEXT(EDATE($D23,Milestones!$AA$87),"dd mmm yy"))&amp;" "&amp;Milestones!$AB$87&amp;" "&amp;Milestones!$AC$87&amp;";  ","")&amp;IF(AND(EDATE($D23,Milestones!$AA$88)&lt;=AsOfDate,IF($R23=0,$X23,IF(AND($T23&lt;&gt;"",EDATE($D23,Milestones!$AA$88)&gt;=$T23),$W23,IF(AND($S23&lt;&gt;"",EDATE($D23,Milestones!$AA$88)&gt;=$S23),$V23,$U23)))=Milestones!$AB$88),UPPER(TEXT(EDATE($D23,Milestones!$AA$88),"dd mmm yy"))&amp;" "&amp;Milestones!$AB$88&amp;" "&amp;Milestones!$AC$88&amp;";  ","")&amp;IF(AND(EDATE($D23,Milestones!$AA$89)&lt;=AsOfDate,IF($R23=0,$X23,IF(AND($T23&lt;&gt;"",EDATE($D23,Milestones!$AA$89)&gt;=$T23),$W23,IF(AND($S23&lt;&gt;"",EDATE($D23,Milestones!$AA$89)&gt;=$S23),$V23,$U23)))=Milestones!$AB$89),UPPER(TEXT(EDATE($D23,Milestones!$AA$89),"dd mmm yy"))&amp;" "&amp;Milestones!$AB$89&amp;" "&amp;Milestones!$AC$89&amp;";  ","")&amp;IF(AND(EDATE($D23,Milestones!$AA$90)&lt;=AsOfDate,IF($R23=0,$X23,IF(AND($T23&lt;&gt;"",EDATE($D23,Milestones!$AA$90)&gt;=$T23),$W23,IF(AND($S23&lt;&gt;"",EDATE($D23,Milestones!$AA$90)&gt;=$S23),$V23,$U23)))=Milestones!$AB$90),UPPER(TEXT(EDATE($D23,Milestones!$AA$90),"dd mmm yy"))&amp;" "&amp;Milestones!$AB$90&amp;" "&amp;Milestones!$AC$90&amp;";  ","")&amp;IF(AND(EDATE($D23,Milestones!$AA$91)&lt;=AsOfDate,IF($R23=0,$X23,IF(AND($T23&lt;&gt;"",EDATE($D23,Milestones!$AA$91)&gt;=$T23),$W23,IF(AND($S23&lt;&gt;"",EDATE($D23,Milestones!$AA$91)&gt;=$S23),$V23,$U23)))=Milestones!$AB$91),UPPER(TEXT(EDATE($D23,Milestones!$AA$91),"dd mmm yy"))&amp;" "&amp;Milestones!$AB$91&amp;" "&amp;Milestones!$AC$91&amp;";  ","")&amp;IF(AND(EDATE($D23,Milestones!$AA$92)&lt;=AsOfDate,IF($R23=0,$X23,IF(AND($T23&lt;&gt;"",EDATE($D23,Milestones!$AA$92)&gt;=$T23),$W23,IF(AND($S23&lt;&gt;"",EDATE($D23,Milestones!$AA$92)&gt;=$S23),$V23,$U23)))=Milestones!$AB$92),UPPER(TEXT(EDATE($D23,Milestones!$AA$92),"dd mmm yy"))&amp;" "&amp;Milestones!$AB$92&amp;" "&amp;Milestones!$AC$92&amp;";  ","")&amp;IF(AND(EDATE($D23,Milestones!$AA$93)&lt;=AsOfDate,IF($R23=0,$X23,IF(AND($T23&lt;&gt;"",EDATE($D23,Milestones!$AA$93)&gt;=$T23),$W23,IF(AND($S23&lt;&gt;"",EDATE($D23,Milestones!$AA$93)&gt;=$S23),$V23,$U23)))=Milestones!$AB$93),UPPER(TEXT(EDATE($D23,Milestones!$AA$93),"dd mmm yy"))&amp;" "&amp;Milestones!$AB$93&amp;" "&amp;Milestones!$AC$93&amp;";  ","")&amp;IF(AND(EDATE($D23,Milestones!$AA$94)&lt;=AsOfDate,IF($R23=0,$X23,IF(AND($T23&lt;&gt;"",EDATE($D23,Milestones!$AA$94)&gt;=$T23),$W23,IF(AND($S23&lt;&gt;"",EDATE($D23,Milestones!$AA$94)&gt;=$S23),$V23,$U23)))=Milestones!$AB$94),UPPER(TEXT(EDATE($D23,Milestones!$AA$94),"dd mmm yy"))&amp;" "&amp;Milestones!$AB$94&amp;" "&amp;Milestones!$AC$94&amp;";  ","")&amp;IF(AND(EDATE($D23,Milestones!$AA$95)&lt;=AsOfDate,IF($R23=0,$X23,IF(AND($T23&lt;&gt;"",EDATE($D23,Milestones!$AA$95)&gt;=$T23),$W23,IF(AND($S23&lt;&gt;"",EDATE($D23,Milestones!$AA$95)&gt;=$S23),$V23,$U23)))=Milestones!$AB$95),UPPER(TEXT(EDATE($D23,Milestones!$AA$95),"dd mmm yy"))&amp;" "&amp;Milestones!$AB$95&amp;" "&amp;Milestones!$AC$95&amp;";  ","")&amp;IF(AND(EDATE($D23,Milestones!$AA$96)&lt;=AsOfDate,IF($R23=0,$X23,IF(AND($T23&lt;&gt;"",EDATE($D23,Milestones!$AA$96)&gt;=$T23),$W23,IF(AND($S23&lt;&gt;"",EDATE($D23,Milestones!$AA$96)&gt;=$S23),$V23,$U23)))=Milestones!$AB$96),UPPER(TEXT(EDATE($D23,Milestones!$AA$96),"dd mmm yy"))&amp;" "&amp;Milestones!$AB$96&amp;" "&amp;Milestones!$AC$96&amp;";  ","")&amp;IF(AND(EDATE($D23,Milestones!$AA$97)&lt;=AsOfDate,IF($R23=0,$X23,IF(AND($T23&lt;&gt;"",EDATE($D23,Milestones!$AA$97)&gt;=$T23),$W23,IF(AND($S23&lt;&gt;"",EDATE($D23,Milestones!$AA$97)&gt;=$S23),$V23,$U23)))=Milestones!$AB$97),UPPER(TEXT(EDATE($D23,Milestones!$AA$97),"dd mmm yy"))&amp;" "&amp;Milestones!$AB$97&amp;" "&amp;Milestones!$AC$97&amp;";  ","")&amp;IF(AND(EDATE($D23,Milestones!$AA$98)&lt;=AsOfDate,IF($R23=0,$X23,IF(AND($T23&lt;&gt;"",EDATE($D23,Milestones!$AA$98)&gt;=$T23),$W23,IF(AND($S23&lt;&gt;"",EDATE($D23,Milestones!$AA$98)&gt;=$S23),$V23,$U23)))=Milestones!$AB$98),UPPER(TEXT(EDATE($D23,Milestones!$AA$98),"dd mmm yy"))&amp;" "&amp;Milestones!$AB$98&amp;" "&amp;Milestones!$AC$98&amp;";  ","")&amp;IF(AND(EDATE($D23,Milestones!$AA$99)&lt;=AsOfDate,IF($R23=0,$X23,IF(AND($T23&lt;&gt;"",EDATE($D23,Milestones!$AA$99)&gt;=$T23),$W23,IF(AND($S23&lt;&gt;"",EDATE($D23,Milestones!$AA$99)&gt;=$S23),$V23,$U23)))=Milestones!$AB$99),UPPER(TEXT(EDATE($D23,Milestones!$AA$99),"dd mmm yy"))&amp;" "&amp;Milestones!$AB$99&amp;" "&amp;Milestones!$AC$99&amp;";  ",""))</f>
        <v/>
      </c>
      <c r="M23" s="0" t="str">
        <f aca="false">IF(OR($A23="",$D23=""),"",IF(AND(EDATE($D23,Milestones!$AA$100)&lt;=AsOfDate,IF($R23=0,$X23,IF(AND($T23&lt;&gt;"",EDATE($D23,Milestones!$AA$100)&gt;=$T23),$W23,IF(AND($S23&lt;&gt;"",EDATE($D23,Milestones!$AA$100)&gt;=$S23),$V23,$U23)))=Milestones!$AB$100),UPPER(TEXT(EDATE($D23,Milestones!$AA$100),"dd mmm yy"))&amp;" "&amp;Milestones!$AB$100&amp;" "&amp;Milestones!$AC$100&amp;";  ","")&amp;IF(AND(EDATE($D23,Milestones!$AA$101)&lt;=AsOfDate,IF($R23=0,$X23,IF(AND($T23&lt;&gt;"",EDATE($D23,Milestones!$AA$101)&gt;=$T23),$W23,IF(AND($S23&lt;&gt;"",EDATE($D23,Milestones!$AA$101)&gt;=$S23),$V23,$U23)))=Milestones!$AB$101),UPPER(TEXT(EDATE($D23,Milestones!$AA$101),"dd mmm yy"))&amp;" "&amp;Milestones!$AB$101&amp;" "&amp;Milestones!$AC$101&amp;";  ","")&amp;IF(AND(EDATE($D23,Milestones!$AA$102)&lt;=AsOfDate,IF($R23=0,$X23,IF(AND($T23&lt;&gt;"",EDATE($D23,Milestones!$AA$102)&gt;=$T23),$W23,IF(AND($S23&lt;&gt;"",EDATE($D23,Milestones!$AA$102)&gt;=$S23),$V23,$U23)))=Milestones!$AB$102),UPPER(TEXT(EDATE($D23,Milestones!$AA$102),"dd mmm yy"))&amp;" "&amp;Milestones!$AB$102&amp;" "&amp;Milestones!$AC$102&amp;";  ","")&amp;IF(AND(EDATE($D23,Milestones!$AA$103)&lt;=AsOfDate,IF($R23=0,$X23,IF(AND($T23&lt;&gt;"",EDATE($D23,Milestones!$AA$103)&gt;=$T23),$W23,IF(AND($S23&lt;&gt;"",EDATE($D23,Milestones!$AA$103)&gt;=$S23),$V23,$U23)))=Milestones!$AB$103),UPPER(TEXT(EDATE($D23,Milestones!$AA$103),"dd mmm yy"))&amp;" "&amp;Milestones!$AB$103&amp;" "&amp;Milestones!$AC$103&amp;";  ","")&amp;IF(AND(EDATE($D23,Milestones!$AA$104)&lt;=AsOfDate,IF($R23=0,$X23,IF(AND($T23&lt;&gt;"",EDATE($D23,Milestones!$AA$104)&gt;=$T23),$W23,IF(AND($S23&lt;&gt;"",EDATE($D23,Milestones!$AA$104)&gt;=$S23),$V23,$U23)))=Milestones!$AB$104),UPPER(TEXT(EDATE($D23,Milestones!$AA$104),"dd mmm yy"))&amp;" "&amp;Milestones!$AB$104&amp;" "&amp;Milestones!$AC$104&amp;";  ","")&amp;IF(AND(EDATE($D23,Milestones!$AA$105)&lt;=AsOfDate,IF($R23=0,$X23,IF(AND($T23&lt;&gt;"",EDATE($D23,Milestones!$AA$105)&gt;=$T23),$W23,IF(AND($S23&lt;&gt;"",EDATE($D23,Milestones!$AA$105)&gt;=$S23),$V23,$U23)))=Milestones!$AB$105),UPPER(TEXT(EDATE($D23,Milestones!$AA$105),"dd mmm yy"))&amp;" "&amp;Milestones!$AB$105&amp;" "&amp;Milestones!$AC$105&amp;";  ","")&amp;IF(AND(EDATE($D23,Milestones!$AA$106)&lt;=AsOfDate,IF($R23=0,$X23,IF(AND($T23&lt;&gt;"",EDATE($D23,Milestones!$AA$106)&gt;=$T23),$W23,IF(AND($S23&lt;&gt;"",EDATE($D23,Milestones!$AA$106)&gt;=$S23),$V23,$U23)))=Milestones!$AB$106),UPPER(TEXT(EDATE($D23,Milestones!$AA$106),"dd mmm yy"))&amp;" "&amp;Milestones!$AB$106&amp;" "&amp;Milestones!$AC$106&amp;";  ","")&amp;IF(AND(EDATE($D23,Milestones!$AA$107)&lt;=AsOfDate,IF($R23=0,$X23,IF(AND($T23&lt;&gt;"",EDATE($D23,Milestones!$AA$107)&gt;=$T23),$W23,IF(AND($S23&lt;&gt;"",EDATE($D23,Milestones!$AA$107)&gt;=$S23),$V23,$U23)))=Milestones!$AB$107),UPPER(TEXT(EDATE($D23,Milestones!$AA$107),"dd mmm yy"))&amp;" "&amp;Milestones!$AB$107&amp;" "&amp;Milestones!$AC$107&amp;";  ","")&amp;IF(AND(EDATE($D23,Milestones!$AA$108)&lt;=AsOfDate,IF($R23=0,$X23,IF(AND($T23&lt;&gt;"",EDATE($D23,Milestones!$AA$108)&gt;=$T23),$W23,IF(AND($S23&lt;&gt;"",EDATE($D23,Milestones!$AA$108)&gt;=$S23),$V23,$U23)))=Milestones!$AB$108),UPPER(TEXT(EDATE($D23,Milestones!$AA$108),"dd mmm yy"))&amp;" "&amp;Milestones!$AB$108&amp;" "&amp;Milestones!$AC$108&amp;";  ","")&amp;IF(AND(EDATE($D23,Milestones!$AA$109)&lt;=AsOfDate,IF($R23=0,$X23,IF(AND($T23&lt;&gt;"",EDATE($D23,Milestones!$AA$109)&gt;=$T23),$W23,IF(AND($S23&lt;&gt;"",EDATE($D23,Milestones!$AA$109)&gt;=$S23),$V23,$U23)))=Milestones!$AB$109),UPPER(TEXT(EDATE($D23,Milestones!$AA$109),"dd mmm yy"))&amp;" "&amp;Milestones!$AB$109&amp;" "&amp;Milestones!$AC$109&amp;";  ","")&amp;IF(AND(EDATE($D23,Milestones!$AA$110)&lt;=AsOfDate,IF($R23=0,$X23,IF(AND($T23&lt;&gt;"",EDATE($D23,Milestones!$AA$110)&gt;=$T23),$W23,IF(AND($S23&lt;&gt;"",EDATE($D23,Milestones!$AA$110)&gt;=$S23),$V23,$U23)))=Milestones!$AB$110),UPPER(TEXT(EDATE($D23,Milestones!$AA$110),"dd mmm yy"))&amp;" "&amp;Milestones!$AB$110&amp;" "&amp;Milestones!$AC$110&amp;";  ","")&amp;IF(AND(EDATE($D23,Milestones!$AA$111)&lt;=AsOfDate,IF($R23=0,$X23,IF(AND($T23&lt;&gt;"",EDATE($D23,Milestones!$AA$111)&gt;=$T23),$W23,IF(AND($S23&lt;&gt;"",EDATE($D23,Milestones!$AA$111)&gt;=$S23),$V23,$U23)))=Milestones!$AB$111),UPPER(TEXT(EDATE($D23,Milestones!$AA$111),"dd mmm yy"))&amp;" "&amp;Milestones!$AB$111&amp;" "&amp;Milestones!$AC$111&amp;";  ","")&amp;IF(AND(EDATE($D23,Milestones!$AA$112)&lt;=AsOfDate,IF($R23=0,$X23,IF(AND($T23&lt;&gt;"",EDATE($D23,Milestones!$AA$112)&gt;=$T23),$W23,IF(AND($S23&lt;&gt;"",EDATE($D23,Milestones!$AA$112)&gt;=$S23),$V23,$U23)))=Milestones!$AB$112),UPPER(TEXT(EDATE($D23,Milestones!$AA$112),"dd mmm yy"))&amp;" "&amp;Milestones!$AB$112&amp;" "&amp;Milestones!$AC$112&amp;";  ","")&amp;IF(AND(EDATE($D23,Milestones!$AA$113)&lt;=AsOfDate,IF($R23=0,$X23,IF(AND($T23&lt;&gt;"",EDATE($D23,Milestones!$AA$113)&gt;=$T23),$W23,IF(AND($S23&lt;&gt;"",EDATE($D23,Milestones!$AA$113)&gt;=$S23),$V23,$U23)))=Milestones!$AB$113),UPPER(TEXT(EDATE($D23,Milestones!$AA$113),"dd mmm yy"))&amp;" "&amp;Milestones!$AB$113&amp;" "&amp;Milestones!$AC$113&amp;";  ","")&amp;IF(AND(EDATE($D23,Milestones!$AA$114)&lt;=AsOfDate,IF($R23=0,$X23,IF(AND($T23&lt;&gt;"",EDATE($D23,Milestones!$AA$114)&gt;=$T23),$W23,IF(AND($S23&lt;&gt;"",EDATE($D23,Milestones!$AA$114)&gt;=$S23),$V23,$U23)))=Milestones!$AB$114),UPPER(TEXT(EDATE($D23,Milestones!$AA$114),"dd mmm yy"))&amp;" "&amp;Milestones!$AB$114&amp;" "&amp;Milestones!$AC$114&amp;";  ","")&amp;IF(AND(EDATE($D23,Milestones!$AA$115)&lt;=AsOfDate,IF($R23=0,$X23,IF(AND($T23&lt;&gt;"",EDATE($D23,Milestones!$AA$115)&gt;=$T23),$W23,IF(AND($S23&lt;&gt;"",EDATE($D23,Milestones!$AA$115)&gt;=$S23),$V23,$U23)))=Milestones!$AB$115),UPPER(TEXT(EDATE($D23,Milestones!$AA$115),"dd mmm yy"))&amp;" "&amp;Milestones!$AB$115&amp;" "&amp;Milestones!$AC$115&amp;";  ","")&amp;IF(AND(EDATE($D23,Milestones!$AA$116)&lt;=AsOfDate,IF($R23=0,$X23,IF(AND($T23&lt;&gt;"",EDATE($D23,Milestones!$AA$116)&gt;=$T23),$W23,IF(AND($S23&lt;&gt;"",EDATE($D23,Milestones!$AA$116)&gt;=$S23),$V23,$U23)))=Milestones!$AB$116),UPPER(TEXT(EDATE($D23,Milestones!$AA$116),"dd mmm yy"))&amp;" "&amp;Milestones!$AB$116&amp;" "&amp;Milestones!$AC$116&amp;";  ","")&amp;IF(AND(EDATE($D23,Milestones!$AA$117)&lt;=AsOfDate,IF($R23=0,$X23,IF(AND($T23&lt;&gt;"",EDATE($D23,Milestones!$AA$117)&gt;=$T23),$W23,IF(AND($S23&lt;&gt;"",EDATE($D23,Milestones!$AA$117)&gt;=$S23),$V23,$U23)))=Milestones!$AB$117),UPPER(TEXT(EDATE($D23,Milestones!$AA$117),"dd mmm yy"))&amp;" "&amp;Milestones!$AB$117&amp;" "&amp;Milestones!$AC$117&amp;";  ","")&amp;IF(AND(EDATE($D23,Milestones!$AA$118)&lt;=AsOfDate,IF($R23=0,$X23,IF(AND($T23&lt;&gt;"",EDATE($D23,Milestones!$AA$118)&gt;=$T23),$W23,IF(AND($S23&lt;&gt;"",EDATE($D23,Milestones!$AA$118)&gt;=$S23),$V23,$U23)))=Milestones!$AB$118),UPPER(TEXT(EDATE($D23,Milestones!$AA$118),"dd mmm yy"))&amp;" "&amp;Milestones!$AB$118&amp;" "&amp;Milestones!$AC$118&amp;";  ","")&amp;IF(AND(EDATE($D23,Milestones!$AA$119)&lt;=AsOfDate,IF($R23=0,$X23,IF(AND($T23&lt;&gt;"",EDATE($D23,Milestones!$AA$119)&gt;=$T23),$W23,IF(AND($S23&lt;&gt;"",EDATE($D23,Milestones!$AA$119)&gt;=$S23),$V23,$U23)))=Milestones!$AB$119),UPPER(TEXT(EDATE($D23,Milestones!$AA$119),"dd mmm yy"))&amp;" "&amp;Milestones!$AB$119&amp;" "&amp;Milestones!$AC$119&amp;";  ",""))</f>
        <v/>
      </c>
      <c r="N23" s="0" t="str">
        <f aca="false">IF(OR($A23="",$D23=""),"",IF(AND(EDATE($D23,Milestones!$AA$120)&lt;=AsOfDate,IF($R23=0,$X23,IF(AND($T23&lt;&gt;"",EDATE($D23,Milestones!$AA$120)&gt;=$T23),$W23,IF(AND($S23&lt;&gt;"",EDATE($D23,Milestones!$AA$120)&gt;=$S23),$V23,$U23)))=Milestones!$AB$120),UPPER(TEXT(EDATE($D23,Milestones!$AA$120),"dd mmm yy"))&amp;" "&amp;Milestones!$AB$120&amp;" "&amp;Milestones!$AC$120&amp;";  ","")&amp;IF(AND(EDATE($D23,Milestones!$AA$121)&lt;=AsOfDate,IF($R23=0,$X23,IF(AND($T23&lt;&gt;"",EDATE($D23,Milestones!$AA$121)&gt;=$T23),$W23,IF(AND($S23&lt;&gt;"",EDATE($D23,Milestones!$AA$121)&gt;=$S23),$V23,$U23)))=Milestones!$AB$121),UPPER(TEXT(EDATE($D23,Milestones!$AA$121),"dd mmm yy"))&amp;" "&amp;Milestones!$AB$121&amp;" "&amp;Milestones!$AC$121&amp;";  ","")&amp;IF(AND(EDATE($D23,Milestones!$AA$122)&lt;=AsOfDate,IF($R23=0,$X23,IF(AND($T23&lt;&gt;"",EDATE($D23,Milestones!$AA$122)&gt;=$T23),$W23,IF(AND($S23&lt;&gt;"",EDATE($D23,Milestones!$AA$122)&gt;=$S23),$V23,$U23)))=Milestones!$AB$122),UPPER(TEXT(EDATE($D23,Milestones!$AA$122),"dd mmm yy"))&amp;" "&amp;Milestones!$AB$122&amp;" "&amp;Milestones!$AC$122&amp;";  ","")&amp;IF(AND(EDATE($D23,Milestones!$AA$123)&lt;=AsOfDate,IF($R23=0,$X23,IF(AND($T23&lt;&gt;"",EDATE($D23,Milestones!$AA$123)&gt;=$T23),$W23,IF(AND($S23&lt;&gt;"",EDATE($D23,Milestones!$AA$123)&gt;=$S23),$V23,$U23)))=Milestones!$AB$123),UPPER(TEXT(EDATE($D23,Milestones!$AA$123),"dd mmm yy"))&amp;" "&amp;Milestones!$AB$123&amp;" "&amp;Milestones!$AC$123&amp;";  ","")&amp;IF(AND(EDATE($D23,Milestones!$AA$124)&lt;=AsOfDate,IF($R23=0,$X23,IF(AND($T23&lt;&gt;"",EDATE($D23,Milestones!$AA$124)&gt;=$T23),$W23,IF(AND($S23&lt;&gt;"",EDATE($D23,Milestones!$AA$124)&gt;=$S23),$V23,$U23)))=Milestones!$AB$124),UPPER(TEXT(EDATE($D23,Milestones!$AA$124),"dd mmm yy"))&amp;" "&amp;Milestones!$AB$124&amp;" "&amp;Milestones!$AC$124&amp;";  ","")&amp;IF(AND(EDATE($D23,Milestones!$AA$125)&lt;=AsOfDate,IF($R23=0,$X23,IF(AND($T23&lt;&gt;"",EDATE($D23,Milestones!$AA$125)&gt;=$T23),$W23,IF(AND($S23&lt;&gt;"",EDATE($D23,Milestones!$AA$125)&gt;=$S23),$V23,$U23)))=Milestones!$AB$125),UPPER(TEXT(EDATE($D23,Milestones!$AA$125),"dd mmm yy"))&amp;" "&amp;Milestones!$AB$125&amp;" "&amp;Milestones!$AC$125&amp;";  ","")&amp;IF(AND(EDATE($D23,Milestones!$AA$126)&lt;=AsOfDate,IF($R23=0,$X23,IF(AND($T23&lt;&gt;"",EDATE($D23,Milestones!$AA$126)&gt;=$T23),$W23,IF(AND($S23&lt;&gt;"",EDATE($D23,Milestones!$AA$126)&gt;=$S23),$V23,$U23)))=Milestones!$AB$126),UPPER(TEXT(EDATE($D23,Milestones!$AA$126),"dd mmm yy"))&amp;" "&amp;Milestones!$AB$126&amp;" "&amp;Milestones!$AC$126&amp;";  ","")&amp;IF(AND(EDATE($D23,Milestones!$AA$127)&lt;=AsOfDate,IF($R23=0,$X23,IF(AND($T23&lt;&gt;"",EDATE($D23,Milestones!$AA$127)&gt;=$T23),$W23,IF(AND($S23&lt;&gt;"",EDATE($D23,Milestones!$AA$127)&gt;=$S23),$V23,$U23)))=Milestones!$AB$127),UPPER(TEXT(EDATE($D23,Milestones!$AA$127),"dd mmm yy"))&amp;" "&amp;Milestones!$AB$127&amp;" "&amp;Milestones!$AC$127&amp;";  ","")&amp;IF(AND(EDATE($D23,Milestones!$AA$128)&lt;=AsOfDate,IF($R23=0,$X23,IF(AND($T23&lt;&gt;"",EDATE($D23,Milestones!$AA$128)&gt;=$T23),$W23,IF(AND($S23&lt;&gt;"",EDATE($D23,Milestones!$AA$128)&gt;=$S23),$V23,$U23)))=Milestones!$AB$128),UPPER(TEXT(EDATE($D23,Milestones!$AA$128),"dd mmm yy"))&amp;" "&amp;Milestones!$AB$128&amp;" "&amp;Milestones!$AC$128&amp;";  ","")&amp;IF(AND(EDATE($D23,Milestones!$AA$129)&lt;=AsOfDate,IF($R23=0,$X23,IF(AND($T23&lt;&gt;"",EDATE($D23,Milestones!$AA$129)&gt;=$T23),$W23,IF(AND($S23&lt;&gt;"",EDATE($D23,Milestones!$AA$129)&gt;=$S23),$V23,$U23)))=Milestones!$AB$129),UPPER(TEXT(EDATE($D23,Milestones!$AA$129),"dd mmm yy"))&amp;" "&amp;Milestones!$AB$129&amp;" "&amp;Milestones!$AC$129&amp;";  ","")&amp;IF(AND(EDATE($D23,Milestones!$AA$130)&lt;=AsOfDate,IF($R23=0,$X23,IF(AND($T23&lt;&gt;"",EDATE($D23,Milestones!$AA$130)&gt;=$T23),$W23,IF(AND($S23&lt;&gt;"",EDATE($D23,Milestones!$AA$130)&gt;=$S23),$V23,$U23)))=Milestones!$AB$130),UPPER(TEXT(EDATE($D23,Milestones!$AA$130),"dd mmm yy"))&amp;" "&amp;Milestones!$AB$130&amp;" "&amp;Milestones!$AC$130&amp;";  ","")&amp;IF(AND(EDATE($D23,Milestones!$AA$131)&lt;=AsOfDate,IF($R23=0,$X23,IF(AND($T23&lt;&gt;"",EDATE($D23,Milestones!$AA$131)&gt;=$T23),$W23,IF(AND($S23&lt;&gt;"",EDATE($D23,Milestones!$AA$131)&gt;=$S23),$V23,$U23)))=Milestones!$AB$131),UPPER(TEXT(EDATE($D23,Milestones!$AA$131),"dd mmm yy"))&amp;" "&amp;Milestones!$AB$131&amp;" "&amp;Milestones!$AC$131&amp;";  ","")&amp;IF(AND(EDATE($D23,Milestones!$AA$132)&lt;=AsOfDate,IF($R23=0,$X23,IF(AND($T23&lt;&gt;"",EDATE($D23,Milestones!$AA$132)&gt;=$T23),$W23,IF(AND($S23&lt;&gt;"",EDATE($D23,Milestones!$AA$132)&gt;=$S23),$V23,$U23)))=Milestones!$AB$132),UPPER(TEXT(EDATE($D23,Milestones!$AA$132),"dd mmm yy"))&amp;" "&amp;Milestones!$AB$132&amp;" "&amp;Milestones!$AC$132&amp;";  ","")&amp;IF(AND(EDATE($D23,Milestones!$AA$133)&lt;=AsOfDate,IF($R23=0,$X23,IF(AND($T23&lt;&gt;"",EDATE($D23,Milestones!$AA$133)&gt;=$T23),$W23,IF(AND($S23&lt;&gt;"",EDATE($D23,Milestones!$AA$133)&gt;=$S23),$V23,$U23)))=Milestones!$AB$133),UPPER(TEXT(EDATE($D23,Milestones!$AA$133),"dd mmm yy"))&amp;" "&amp;Milestones!$AB$133&amp;" "&amp;Milestones!$AC$133&amp;";  ","")&amp;IF(AND(EDATE($D23,Milestones!$AA$134)&lt;=AsOfDate,IF($R23=0,$X23,IF(AND($T23&lt;&gt;"",EDATE($D23,Milestones!$AA$134)&gt;=$T23),$W23,IF(AND($S23&lt;&gt;"",EDATE($D23,Milestones!$AA$134)&gt;=$S23),$V23,$U23)))=Milestones!$AB$134),UPPER(TEXT(EDATE($D23,Milestones!$AA$134),"dd mmm yy"))&amp;" "&amp;Milestones!$AB$134&amp;" "&amp;Milestones!$AC$134&amp;";  ","")&amp;IF(AND(EDATE($D23,Milestones!$AA$135)&lt;=AsOfDate,IF($R23=0,$X23,IF(AND($T23&lt;&gt;"",EDATE($D23,Milestones!$AA$135)&gt;=$T23),$W23,IF(AND($S23&lt;&gt;"",EDATE($D23,Milestones!$AA$135)&gt;=$S23),$V23,$U23)))=Milestones!$AB$135),UPPER(TEXT(EDATE($D23,Milestones!$AA$135),"dd mmm yy"))&amp;" "&amp;Milestones!$AB$135&amp;" "&amp;Milestones!$AC$135&amp;";  ","")&amp;IF(AND(EDATE($D23,Milestones!$AA$136)&lt;=AsOfDate,IF($R23=0,$X23,IF(AND($T23&lt;&gt;"",EDATE($D23,Milestones!$AA$136)&gt;=$T23),$W23,IF(AND($S23&lt;&gt;"",EDATE($D23,Milestones!$AA$136)&gt;=$S23),$V23,$U23)))=Milestones!$AB$136),UPPER(TEXT(EDATE($D23,Milestones!$AA$136),"dd mmm yy"))&amp;" "&amp;Milestones!$AB$136&amp;" "&amp;Milestones!$AC$136&amp;";  ","")&amp;IF(AND(EDATE($D23,Milestones!$AA$137)&lt;=AsOfDate,IF($R23=0,$X23,IF(AND($T23&lt;&gt;"",EDATE($D23,Milestones!$AA$137)&gt;=$T23),$W23,IF(AND($S23&lt;&gt;"",EDATE($D23,Milestones!$AA$137)&gt;=$S23),$V23,$U23)))=Milestones!$AB$137),UPPER(TEXT(EDATE($D23,Milestones!$AA$137),"dd mmm yy"))&amp;" "&amp;Milestones!$AB$137&amp;" "&amp;Milestones!$AC$137&amp;";  ","")&amp;IF(AND(EDATE($D23,Milestones!$AA$138)&lt;=AsOfDate,IF($R23=0,$X23,IF(AND($T23&lt;&gt;"",EDATE($D23,Milestones!$AA$138)&gt;=$T23),$W23,IF(AND($S23&lt;&gt;"",EDATE($D23,Milestones!$AA$138)&gt;=$S23),$V23,$U23)))=Milestones!$AB$138),UPPER(TEXT(EDATE($D23,Milestones!$AA$138),"dd mmm yy"))&amp;" "&amp;Milestones!$AB$138&amp;" "&amp;Milestones!$AC$138&amp;";  ","")&amp;IF(AND(EDATE($D23,Milestones!$AA$139)&lt;=AsOfDate,IF($R23=0,$X23,IF(AND($T23&lt;&gt;"",EDATE($D23,Milestones!$AA$139)&gt;=$T23),$W23,IF(AND($S23&lt;&gt;"",EDATE($D23,Milestones!$AA$139)&gt;=$S23),$V23,$U23)))=Milestones!$AB$139),UPPER(TEXT(EDATE($D23,Milestones!$AA$139),"dd mmm yy"))&amp;" "&amp;Milestones!$AB$139&amp;" "&amp;Milestones!$AC$139&amp;";  ",""))</f>
        <v/>
      </c>
      <c r="O23" s="0" t="str">
        <f aca="false">IF(OR($A23="",$D23=""),"",IF(AND(EDATE($D23,Milestones!$AA$140)&lt;=AsOfDate,IF($R23=0,$X23,IF(AND($T23&lt;&gt;"",EDATE($D23,Milestones!$AA$140)&gt;=$T23),$W23,IF(AND($S23&lt;&gt;"",EDATE($D23,Milestones!$AA$140)&gt;=$S23),$V23,$U23)))=Milestones!$AB$140),UPPER(TEXT(EDATE($D23,Milestones!$AA$140),"dd mmm yy"))&amp;" "&amp;Milestones!$AB$140&amp;" "&amp;Milestones!$AC$140&amp;";  ","")&amp;IF(AND(EDATE($D23,Milestones!$AA$141)&lt;=AsOfDate,IF($R23=0,$X23,IF(AND($T23&lt;&gt;"",EDATE($D23,Milestones!$AA$141)&gt;=$T23),$W23,IF(AND($S23&lt;&gt;"",EDATE($D23,Milestones!$AA$141)&gt;=$S23),$V23,$U23)))=Milestones!$AB$141),UPPER(TEXT(EDATE($D23,Milestones!$AA$141),"dd mmm yy"))&amp;" "&amp;Milestones!$AB$141&amp;" "&amp;Milestones!$AC$141&amp;";  ","")&amp;IF(AND(EDATE($D23,Milestones!$AA$142)&lt;=AsOfDate,IF($R23=0,$X23,IF(AND($T23&lt;&gt;"",EDATE($D23,Milestones!$AA$142)&gt;=$T23),$W23,IF(AND($S23&lt;&gt;"",EDATE($D23,Milestones!$AA$142)&gt;=$S23),$V23,$U23)))=Milestones!$AB$142),UPPER(TEXT(EDATE($D23,Milestones!$AA$142),"dd mmm yy"))&amp;" "&amp;Milestones!$AB$142&amp;" "&amp;Milestones!$AC$142&amp;";  ","")&amp;IF(AND(EDATE($D23,Milestones!$AA$143)&lt;=AsOfDate,IF($R23=0,$X23,IF(AND($T23&lt;&gt;"",EDATE($D23,Milestones!$AA$143)&gt;=$T23),$W23,IF(AND($S23&lt;&gt;"",EDATE($D23,Milestones!$AA$143)&gt;=$S23),$V23,$U23)))=Milestones!$AB$143),UPPER(TEXT(EDATE($D23,Milestones!$AA$143),"dd mmm yy"))&amp;" "&amp;Milestones!$AB$143&amp;" "&amp;Milestones!$AC$143&amp;";  ","")&amp;IF(AND(EDATE($D23,Milestones!$AA$144)&lt;=AsOfDate,IF($R23=0,$X23,IF(AND($T23&lt;&gt;"",EDATE($D23,Milestones!$AA$144)&gt;=$T23),$W23,IF(AND($S23&lt;&gt;"",EDATE($D23,Milestones!$AA$144)&gt;=$S23),$V23,$U23)))=Milestones!$AB$144),UPPER(TEXT(EDATE($D23,Milestones!$AA$144),"dd mmm yy"))&amp;" "&amp;Milestones!$AB$144&amp;" "&amp;Milestones!$AC$144&amp;";  ","")&amp;IF(AND(EDATE($D23,Milestones!$AA$145)&lt;=AsOfDate,IF($R23=0,$X23,IF(AND($T23&lt;&gt;"",EDATE($D23,Milestones!$AA$145)&gt;=$T23),$W23,IF(AND($S23&lt;&gt;"",EDATE($D23,Milestones!$AA$145)&gt;=$S23),$V23,$U23)))=Milestones!$AB$145),UPPER(TEXT(EDATE($D23,Milestones!$AA$145),"dd mmm yy"))&amp;" "&amp;Milestones!$AB$145&amp;" "&amp;Milestones!$AC$145&amp;";  ","")&amp;IF(AND(EDATE($D23,Milestones!$AA$146)&lt;=AsOfDate,IF($R23=0,$X23,IF(AND($T23&lt;&gt;"",EDATE($D23,Milestones!$AA$146)&gt;=$T23),$W23,IF(AND($S23&lt;&gt;"",EDATE($D23,Milestones!$AA$146)&gt;=$S23),$V23,$U23)))=Milestones!$AB$146),UPPER(TEXT(EDATE($D23,Milestones!$AA$146),"dd mmm yy"))&amp;" "&amp;Milestones!$AB$146&amp;" "&amp;Milestones!$AC$146&amp;";  ","")&amp;IF(AND(EDATE($D23,Milestones!$AA$147)&lt;=AsOfDate,IF($R23=0,$X23,IF(AND($T23&lt;&gt;"",EDATE($D23,Milestones!$AA$147)&gt;=$T23),$W23,IF(AND($S23&lt;&gt;"",EDATE($D23,Milestones!$AA$147)&gt;=$S23),$V23,$U23)))=Milestones!$AB$147),UPPER(TEXT(EDATE($D23,Milestones!$AA$147),"dd mmm yy"))&amp;" "&amp;Milestones!$AB$147&amp;" "&amp;Milestones!$AC$147&amp;";  ","")&amp;IF(AND(EDATE($D23,Milestones!$AA$148)&lt;=AsOfDate,IF($R23=0,$X23,IF(AND($T23&lt;&gt;"",EDATE($D23,Milestones!$AA$148)&gt;=$T23),$W23,IF(AND($S23&lt;&gt;"",EDATE($D23,Milestones!$AA$148)&gt;=$S23),$V23,$U23)))=Milestones!$AB$148),UPPER(TEXT(EDATE($D23,Milestones!$AA$148),"dd mmm yy"))&amp;" "&amp;Milestones!$AB$148&amp;" "&amp;Milestones!$AC$148&amp;";  ","")&amp;IF(AND(EDATE($D23,Milestones!$AA$149)&lt;=AsOfDate,IF($R23=0,$X23,IF(AND($T23&lt;&gt;"",EDATE($D23,Milestones!$AA$149)&gt;=$T23),$W23,IF(AND($S23&lt;&gt;"",EDATE($D23,Milestones!$AA$149)&gt;=$S23),$V23,$U23)))=Milestones!$AB$149),UPPER(TEXT(EDATE($D23,Milestones!$AA$149),"dd mmm yy"))&amp;" "&amp;Milestones!$AB$149&amp;" "&amp;Milestones!$AC$149&amp;";  ","")&amp;IF(AND(EDATE($D23,Milestones!$AA$150)&lt;=AsOfDate,IF($R23=0,$X23,IF(AND($T23&lt;&gt;"",EDATE($D23,Milestones!$AA$150)&gt;=$T23),$W23,IF(AND($S23&lt;&gt;"",EDATE($D23,Milestones!$AA$150)&gt;=$S23),$V23,$U23)))=Milestones!$AB$150),UPPER(TEXT(EDATE($D23,Milestones!$AA$150),"dd mmm yy"))&amp;" "&amp;Milestones!$AB$150&amp;" "&amp;Milestones!$AC$150&amp;";  ","")&amp;IF(AND(EDATE($D23,Milestones!$AA$151)&lt;=AsOfDate,IF($R23=0,$X23,IF(AND($T23&lt;&gt;"",EDATE($D23,Milestones!$AA$151)&gt;=$T23),$W23,IF(AND($S23&lt;&gt;"",EDATE($D23,Milestones!$AA$151)&gt;=$S23),$V23,$U23)))=Milestones!$AB$151),UPPER(TEXT(EDATE($D23,Milestones!$AA$151),"dd mmm yy"))&amp;" "&amp;Milestones!$AB$151&amp;" "&amp;Milestones!$AC$151&amp;";  ","")&amp;IF(AND(EDATE($D23,Milestones!$AA$152)&lt;=AsOfDate,IF($R23=0,$X23,IF(AND($T23&lt;&gt;"",EDATE($D23,Milestones!$AA$152)&gt;=$T23),$W23,IF(AND($S23&lt;&gt;"",EDATE($D23,Milestones!$AA$152)&gt;=$S23),$V23,$U23)))=Milestones!$AB$152),UPPER(TEXT(EDATE($D23,Milestones!$AA$152),"dd mmm yy"))&amp;" "&amp;Milestones!$AB$152&amp;" "&amp;Milestones!$AC$152&amp;";  ","")&amp;IF(AND(EDATE($D23,Milestones!$AA$153)&lt;=AsOfDate,IF($R23=0,$X23,IF(AND($T23&lt;&gt;"",EDATE($D23,Milestones!$AA$153)&gt;=$T23),$W23,IF(AND($S23&lt;&gt;"",EDATE($D23,Milestones!$AA$153)&gt;=$S23),$V23,$U23)))=Milestones!$AB$153),UPPER(TEXT(EDATE($D23,Milestones!$AA$153),"dd mmm yy"))&amp;" "&amp;Milestones!$AB$153&amp;" "&amp;Milestones!$AC$153&amp;";  ","")&amp;IF(AND(EDATE($D23,Milestones!$AA$154)&lt;=AsOfDate,IF($R23=0,$X23,IF(AND($T23&lt;&gt;"",EDATE($D23,Milestones!$AA$154)&gt;=$T23),$W23,IF(AND($S23&lt;&gt;"",EDATE($D23,Milestones!$AA$154)&gt;=$S23),$V23,$U23)))=Milestones!$AB$154),UPPER(TEXT(EDATE($D23,Milestones!$AA$154),"dd mmm yy"))&amp;" "&amp;Milestones!$AB$154&amp;" "&amp;Milestones!$AC$154&amp;";  ","")&amp;IF(AND(EDATE($D23,Milestones!$AA$155)&lt;=AsOfDate,IF($R23=0,$X23,IF(AND($T23&lt;&gt;"",EDATE($D23,Milestones!$AA$155)&gt;=$T23),$W23,IF(AND($S23&lt;&gt;"",EDATE($D23,Milestones!$AA$155)&gt;=$S23),$V23,$U23)))=Milestones!$AB$155),UPPER(TEXT(EDATE($D23,Milestones!$AA$155),"dd mmm yy"))&amp;" "&amp;Milestones!$AB$155&amp;" "&amp;Milestones!$AC$155&amp;";  ","")&amp;IF(AND(EDATE($D23,Milestones!$AA$156)&lt;=AsOfDate,IF($R23=0,$X23,IF(AND($T23&lt;&gt;"",EDATE($D23,Milestones!$AA$156)&gt;=$T23),$W23,IF(AND($S23&lt;&gt;"",EDATE($D23,Milestones!$AA$156)&gt;=$S23),$V23,$U23)))=Milestones!$AB$156),UPPER(TEXT(EDATE($D23,Milestones!$AA$156),"dd mmm yy"))&amp;" "&amp;Milestones!$AB$156&amp;" "&amp;Milestones!$AC$156&amp;";  ","")&amp;IF(AND(EDATE($D23,Milestones!$AA$157)&lt;=AsOfDate,IF($R23=0,$X23,IF(AND($T23&lt;&gt;"",EDATE($D23,Milestones!$AA$157)&gt;=$T23),$W23,IF(AND($S23&lt;&gt;"",EDATE($D23,Milestones!$AA$157)&gt;=$S23),$V23,$U23)))=Milestones!$AB$157),UPPER(TEXT(EDATE($D23,Milestones!$AA$157),"dd mmm yy"))&amp;" "&amp;Milestones!$AB$157&amp;" "&amp;Milestones!$AC$157&amp;";  ","")&amp;IF(AND(EDATE($D23,Milestones!$AA$158)&lt;=AsOfDate,IF($R23=0,$X23,IF(AND($T23&lt;&gt;"",EDATE($D23,Milestones!$AA$158)&gt;=$T23),$W23,IF(AND($S23&lt;&gt;"",EDATE($D23,Milestones!$AA$158)&gt;=$S23),$V23,$U23)))=Milestones!$AB$158),UPPER(TEXT(EDATE($D23,Milestones!$AA$158),"dd mmm yy"))&amp;" "&amp;Milestones!$AB$158&amp;" "&amp;Milestones!$AC$158&amp;";  ","")&amp;IF(AND(EDATE($D23,Milestones!$AA$159)&lt;=AsOfDate,IF($R23=0,$X23,IF(AND($T23&lt;&gt;"",EDATE($D23,Milestones!$AA$159)&gt;=$T23),$W23,IF(AND($S23&lt;&gt;"",EDATE($D23,Milestones!$AA$159)&gt;=$S23),$V23,$U23)))=Milestones!$AB$159),UPPER(TEXT(EDATE($D23,Milestones!$AA$159),"dd mmm yy"))&amp;" "&amp;Milestones!$AB$159&amp;" "&amp;Milestones!$AC$159&amp;";  ",""))</f>
        <v/>
      </c>
      <c r="P23" s="0" t="str">
        <f aca="false">IF(OR($A23="",$D23=""),"",IF(AND(EDATE($D23,Milestones!$AA$160)&lt;=AsOfDate,IF($R23=0,$X23,IF(AND($T23&lt;&gt;"",EDATE($D23,Milestones!$AA$160)&gt;=$T23),$W23,IF(AND($S23&lt;&gt;"",EDATE($D23,Milestones!$AA$160)&gt;=$S23),$V23,$U23)))=Milestones!$AB$160),UPPER(TEXT(EDATE($D23,Milestones!$AA$160),"dd mmm yy"))&amp;" "&amp;Milestones!$AB$160&amp;" "&amp;Milestones!$AC$160&amp;";  ","")&amp;IF(AND(EDATE($D23,Milestones!$AA$161)&lt;=AsOfDate,IF($R23=0,$X23,IF(AND($T23&lt;&gt;"",EDATE($D23,Milestones!$AA$161)&gt;=$T23),$W23,IF(AND($S23&lt;&gt;"",EDATE($D23,Milestones!$AA$161)&gt;=$S23),$V23,$U23)))=Milestones!$AB$161),UPPER(TEXT(EDATE($D23,Milestones!$AA$161),"dd mmm yy"))&amp;" "&amp;Milestones!$AB$161&amp;" "&amp;Milestones!$AC$161&amp;";  ","")&amp;IF(AND(EDATE($D23,Milestones!$AA$162)&lt;=AsOfDate,IF($R23=0,$X23,IF(AND($T23&lt;&gt;"",EDATE($D23,Milestones!$AA$162)&gt;=$T23),$W23,IF(AND($S23&lt;&gt;"",EDATE($D23,Milestones!$AA$162)&gt;=$S23),$V23,$U23)))=Milestones!$AB$162),UPPER(TEXT(EDATE($D23,Milestones!$AA$162),"dd mmm yy"))&amp;" "&amp;Milestones!$AB$162&amp;" "&amp;Milestones!$AC$162&amp;";  ","")&amp;IF(AND(EDATE($D23,Milestones!$AA$163)&lt;=AsOfDate,IF($R23=0,$X23,IF(AND($T23&lt;&gt;"",EDATE($D23,Milestones!$AA$163)&gt;=$T23),$W23,IF(AND($S23&lt;&gt;"",EDATE($D23,Milestones!$AA$163)&gt;=$S23),$V23,$U23)))=Milestones!$AB$163),UPPER(TEXT(EDATE($D23,Milestones!$AA$163),"dd mmm yy"))&amp;" "&amp;Milestones!$AB$163&amp;" "&amp;Milestones!$AC$163&amp;";  ","")&amp;IF(AND(EDATE($D23,Milestones!$AA$164)&lt;=AsOfDate,IF($R23=0,$X23,IF(AND($T23&lt;&gt;"",EDATE($D23,Milestones!$AA$164)&gt;=$T23),$W23,IF(AND($S23&lt;&gt;"",EDATE($D23,Milestones!$AA$164)&gt;=$S23),$V23,$U23)))=Milestones!$AB$164),UPPER(TEXT(EDATE($D23,Milestones!$AA$164),"dd mmm yy"))&amp;" "&amp;Milestones!$AB$164&amp;" "&amp;Milestones!$AC$164&amp;";  ","")&amp;IF(AND(EDATE($D23,Milestones!$AA$165)&lt;=AsOfDate,IF($R23=0,$X23,IF(AND($T23&lt;&gt;"",EDATE($D23,Milestones!$AA$165)&gt;=$T23),$W23,IF(AND($S23&lt;&gt;"",EDATE($D23,Milestones!$AA$165)&gt;=$S23),$V23,$U23)))=Milestones!$AB$165),UPPER(TEXT(EDATE($D23,Milestones!$AA$165),"dd mmm yy"))&amp;" "&amp;Milestones!$AB$165&amp;" "&amp;Milestones!$AC$165&amp;";  ","")&amp;IF(AND(EDATE($D23,Milestones!$AA$166)&lt;=AsOfDate,IF($R23=0,$X23,IF(AND($T23&lt;&gt;"",EDATE($D23,Milestones!$AA$166)&gt;=$T23),$W23,IF(AND($S23&lt;&gt;"",EDATE($D23,Milestones!$AA$166)&gt;=$S23),$V23,$U23)))=Milestones!$AB$166),UPPER(TEXT(EDATE($D23,Milestones!$AA$166),"dd mmm yy"))&amp;" "&amp;Milestones!$AB$166&amp;" "&amp;Milestones!$AC$166&amp;";  ","")&amp;IF(AND(EDATE($D23,Milestones!$AA$167)&lt;=AsOfDate,IF($R23=0,$X23,IF(AND($T23&lt;&gt;"",EDATE($D23,Milestones!$AA$167)&gt;=$T23),$W23,IF(AND($S23&lt;&gt;"",EDATE($D23,Milestones!$AA$167)&gt;=$S23),$V23,$U23)))=Milestones!$AB$167),UPPER(TEXT(EDATE($D23,Milestones!$AA$167),"dd mmm yy"))&amp;" "&amp;Milestones!$AB$167&amp;" "&amp;Milestones!$AC$167&amp;";  ","")&amp;IF(AND(EDATE($D23,Milestones!$AA$168)&lt;=AsOfDate,IF($R23=0,$X23,IF(AND($T23&lt;&gt;"",EDATE($D23,Milestones!$AA$168)&gt;=$T23),$W23,IF(AND($S23&lt;&gt;"",EDATE($D23,Milestones!$AA$168)&gt;=$S23),$V23,$U23)))=Milestones!$AB$168),UPPER(TEXT(EDATE($D23,Milestones!$AA$168),"dd mmm yy"))&amp;" "&amp;Milestones!$AB$168&amp;" "&amp;Milestones!$AC$168&amp;";  ","")&amp;IF(AND(EDATE($D23,Milestones!$AA$169)&lt;=AsOfDate,IF($R23=0,$X23,IF(AND($T23&lt;&gt;"",EDATE($D23,Milestones!$AA$169)&gt;=$T23),$W23,IF(AND($S23&lt;&gt;"",EDATE($D23,Milestones!$AA$169)&gt;=$S23),$V23,$U23)))=Milestones!$AB$169),UPPER(TEXT(EDATE($D23,Milestones!$AA$169),"dd mmm yy"))&amp;" "&amp;Milestones!$AB$169&amp;" "&amp;Milestones!$AC$169&amp;";  ","")&amp;IF(AND(EDATE($D23,Milestones!$AA$170)&lt;=AsOfDate,IF($R23=0,$X23,IF(AND($T23&lt;&gt;"",EDATE($D23,Milestones!$AA$170)&gt;=$T23),$W23,IF(AND($S23&lt;&gt;"",EDATE($D23,Milestones!$AA$170)&gt;=$S23),$V23,$U23)))=Milestones!$AB$170),UPPER(TEXT(EDATE($D23,Milestones!$AA$170),"dd mmm yy"))&amp;" "&amp;Milestones!$AB$170&amp;" "&amp;Milestones!$AC$170&amp;";  ","")&amp;IF(AND(EDATE($D23,Milestones!$AA$171)&lt;=AsOfDate,IF($R23=0,$X23,IF(AND($T23&lt;&gt;"",EDATE($D23,Milestones!$AA$171)&gt;=$T23),$W23,IF(AND($S23&lt;&gt;"",EDATE($D23,Milestones!$AA$171)&gt;=$S23),$V23,$U23)))=Milestones!$AB$171),UPPER(TEXT(EDATE($D23,Milestones!$AA$171),"dd mmm yy"))&amp;" "&amp;Milestones!$AB$171&amp;" "&amp;Milestones!$AC$171&amp;";  ","")&amp;IF(AND(EDATE($D23,Milestones!$AA$172)&lt;=AsOfDate,IF($R23=0,$X23,IF(AND($T23&lt;&gt;"",EDATE($D23,Milestones!$AA$172)&gt;=$T23),$W23,IF(AND($S23&lt;&gt;"",EDATE($D23,Milestones!$AA$172)&gt;=$S23),$V23,$U23)))=Milestones!$AB$172),UPPER(TEXT(EDATE($D23,Milestones!$AA$172),"dd mmm yy"))&amp;" "&amp;Milestones!$AB$172&amp;" "&amp;Milestones!$AC$172&amp;";  ","")&amp;IF(AND(EDATE($D23,Milestones!$AA$173)&lt;=AsOfDate,IF($R23=0,$X23,IF(AND($T23&lt;&gt;"",EDATE($D23,Milestones!$AA$173)&gt;=$T23),$W23,IF(AND($S23&lt;&gt;"",EDATE($D23,Milestones!$AA$173)&gt;=$S23),$V23,$U23)))=Milestones!$AB$173),UPPER(TEXT(EDATE($D23,Milestones!$AA$173),"dd mmm yy"))&amp;" "&amp;Milestones!$AB$173&amp;" "&amp;Milestones!$AC$173&amp;";  ","")&amp;IF(AND(EDATE($D23,Milestones!$AA$174)&lt;=AsOfDate,IF($R23=0,$X23,IF(AND($T23&lt;&gt;"",EDATE($D23,Milestones!$AA$174)&gt;=$T23),$W23,IF(AND($S23&lt;&gt;"",EDATE($D23,Milestones!$AA$174)&gt;=$S23),$V23,$U23)))=Milestones!$AB$174),UPPER(TEXT(EDATE($D23,Milestones!$AA$174),"dd mmm yy"))&amp;" "&amp;Milestones!$AB$174&amp;" "&amp;Milestones!$AC$174&amp;";  ","")&amp;IF(AND(EDATE($D23,Milestones!$AA$175)&lt;=AsOfDate,IF($R23=0,$X23,IF(AND($T23&lt;&gt;"",EDATE($D23,Milestones!$AA$175)&gt;=$T23),$W23,IF(AND($S23&lt;&gt;"",EDATE($D23,Milestones!$AA$175)&gt;=$S23),$V23,$U23)))=Milestones!$AB$175),UPPER(TEXT(EDATE($D23,Milestones!$AA$175),"dd mmm yy"))&amp;" "&amp;Milestones!$AB$175&amp;" "&amp;Milestones!$AC$175&amp;";  ","")&amp;IF(AND(EDATE($D23,Milestones!$AA$176)&lt;=AsOfDate,IF($R23=0,$X23,IF(AND($T23&lt;&gt;"",EDATE($D23,Milestones!$AA$176)&gt;=$T23),$W23,IF(AND($S23&lt;&gt;"",EDATE($D23,Milestones!$AA$176)&gt;=$S23),$V23,$U23)))=Milestones!$AB$176),UPPER(TEXT(EDATE($D23,Milestones!$AA$176),"dd mmm yy"))&amp;" "&amp;Milestones!$AB$176&amp;" "&amp;Milestones!$AC$176&amp;";  ","")&amp;IF(AND(EDATE($D23,Milestones!$AA$177)&lt;=AsOfDate,IF($R23=0,$X23,IF(AND($T23&lt;&gt;"",EDATE($D23,Milestones!$AA$177)&gt;=$T23),$W23,IF(AND($S23&lt;&gt;"",EDATE($D23,Milestones!$AA$177)&gt;=$S23),$V23,$U23)))=Milestones!$AB$177),UPPER(TEXT(EDATE($D23,Milestones!$AA$177),"dd mmm yy"))&amp;" "&amp;Milestones!$AB$177&amp;" "&amp;Milestones!$AC$177&amp;";  ","")&amp;IF(AND(EDATE($D23,Milestones!$AA$178)&lt;=AsOfDate,IF($R23=0,$X23,IF(AND($T23&lt;&gt;"",EDATE($D23,Milestones!$AA$178)&gt;=$T23),$W23,IF(AND($S23&lt;&gt;"",EDATE($D23,Milestones!$AA$178)&gt;=$S23),$V23,$U23)))=Milestones!$AB$178),UPPER(TEXT(EDATE($D23,Milestones!$AA$178),"dd mmm yy"))&amp;" "&amp;Milestones!$AB$178&amp;" "&amp;Milestones!$AC$178&amp;";  ","")&amp;IF(AND(EDATE($D23,Milestones!$AA$179)&lt;=AsOfDate,IF($R23=0,$X23,IF(AND($T23&lt;&gt;"",EDATE($D23,Milestones!$AA$179)&gt;=$T23),$W23,IF(AND($S23&lt;&gt;"",EDATE($D23,Milestones!$AA$179)&gt;=$S23),$V23,$U23)))=Milestones!$AB$179),UPPER(TEXT(EDATE($D23,Milestones!$AA$179),"dd mmm yy"))&amp;" "&amp;Milestones!$AB$179&amp;" "&amp;Milestones!$AC$179&amp;";  ",""))</f>
        <v/>
      </c>
      <c r="Q23" s="0" t="str">
        <f aca="false">IF(OR($A23="",$D23=""),"",IF(AND(EDATE($D23,Milestones!$AA$180)&lt;=AsOfDate,IF($R23=0,$X23,IF(AND($T23&lt;&gt;"",EDATE($D23,Milestones!$AA$180)&gt;=$T23),$W23,IF(AND($S23&lt;&gt;"",EDATE($D23,Milestones!$AA$180)&gt;=$S23),$V23,$U23)))=Milestones!$AB$180),UPPER(TEXT(EDATE($D23,Milestones!$AA$180),"dd mmm yy"))&amp;" "&amp;Milestones!$AB$180&amp;" "&amp;Milestones!$AC$180&amp;";  ","")&amp;IF(AND(EDATE($D23,Milestones!$AA$181)&lt;=AsOfDate,IF($R23=0,$X23,IF(AND($T23&lt;&gt;"",EDATE($D23,Milestones!$AA$181)&gt;=$T23),$W23,IF(AND($S23&lt;&gt;"",EDATE($D23,Milestones!$AA$181)&gt;=$S23),$V23,$U23)))=Milestones!$AB$181),UPPER(TEXT(EDATE($D23,Milestones!$AA$181),"dd mmm yy"))&amp;" "&amp;Milestones!$AB$181&amp;" "&amp;Milestones!$AC$181&amp;";  ","")&amp;IF(AND(EDATE($D23,Milestones!$AA$182)&lt;=AsOfDate,IF($R23=0,$X23,IF(AND($T23&lt;&gt;"",EDATE($D23,Milestones!$AA$182)&gt;=$T23),$W23,IF(AND($S23&lt;&gt;"",EDATE($D23,Milestones!$AA$182)&gt;=$S23),$V23,$U23)))=Milestones!$AB$182),UPPER(TEXT(EDATE($D23,Milestones!$AA$182),"dd mmm yy"))&amp;" "&amp;Milestones!$AB$182&amp;" "&amp;Milestones!$AC$182&amp;";  ","")&amp;IF(AND(EDATE($D23,Milestones!$AA$183)&lt;=AsOfDate,IF($R23=0,$X23,IF(AND($T23&lt;&gt;"",EDATE($D23,Milestones!$AA$183)&gt;=$T23),$W23,IF(AND($S23&lt;&gt;"",EDATE($D23,Milestones!$AA$183)&gt;=$S23),$V23,$U23)))=Milestones!$AB$183),UPPER(TEXT(EDATE($D23,Milestones!$AA$183),"dd mmm yy"))&amp;" "&amp;Milestones!$AB$183&amp;" "&amp;Milestones!$AC$183&amp;";  ","")&amp;IF(AND(EDATE($D23,Milestones!$AA$184)&lt;=AsOfDate,IF($R23=0,$X23,IF(AND($T23&lt;&gt;"",EDATE($D23,Milestones!$AA$184)&gt;=$T23),$W23,IF(AND($S23&lt;&gt;"",EDATE($D23,Milestones!$AA$184)&gt;=$S23),$V23,$U23)))=Milestones!$AB$184),UPPER(TEXT(EDATE($D23,Milestones!$AA$184),"dd mmm yy"))&amp;" "&amp;Milestones!$AB$184&amp;" "&amp;Milestones!$AC$184&amp;";  ","")&amp;IF(AND(EDATE($D23,Milestones!$AA$185)&lt;=AsOfDate,IF($R23=0,$X23,IF(AND($T23&lt;&gt;"",EDATE($D23,Milestones!$AA$185)&gt;=$T23),$W23,IF(AND($S23&lt;&gt;"",EDATE($D23,Milestones!$AA$185)&gt;=$S23),$V23,$U23)))=Milestones!$AB$185),UPPER(TEXT(EDATE($D23,Milestones!$AA$185),"dd mmm yy"))&amp;" "&amp;Milestones!$AB$185&amp;" "&amp;Milestones!$AC$185&amp;";  ","")&amp;IF(AND(EDATE($D23,Milestones!$AA$186)&lt;=AsOfDate,IF($R23=0,$X23,IF(AND($T23&lt;&gt;"",EDATE($D23,Milestones!$AA$186)&gt;=$T23),$W23,IF(AND($S23&lt;&gt;"",EDATE($D23,Milestones!$AA$186)&gt;=$S23),$V23,$U23)))=Milestones!$AB$186),UPPER(TEXT(EDATE($D23,Milestones!$AA$186),"dd mmm yy"))&amp;" "&amp;Milestones!$AB$186&amp;" "&amp;Milestones!$AC$186&amp;";  ","")&amp;IF(AND(EDATE($D23,Milestones!$AA$187)&lt;=AsOfDate,IF($R23=0,$X23,IF(AND($T23&lt;&gt;"",EDATE($D23,Milestones!$AA$187)&gt;=$T23),$W23,IF(AND($S23&lt;&gt;"",EDATE($D23,Milestones!$AA$187)&gt;=$S23),$V23,$U23)))=Milestones!$AB$187),UPPER(TEXT(EDATE($D23,Milestones!$AA$187),"dd mmm yy"))&amp;" "&amp;Milestones!$AB$187&amp;" "&amp;Milestones!$AC$187&amp;";  ","")&amp;IF(AND(EDATE($D23,Milestones!$AA$188)&lt;=AsOfDate,IF($R23=0,$X23,IF(AND($T23&lt;&gt;"",EDATE($D23,Milestones!$AA$188)&gt;=$T23),$W23,IF(AND($S23&lt;&gt;"",EDATE($D23,Milestones!$AA$188)&gt;=$S23),$V23,$U23)))=Milestones!$AB$188),UPPER(TEXT(EDATE($D23,Milestones!$AA$188),"dd mmm yy"))&amp;" "&amp;Milestones!$AB$188&amp;" "&amp;Milestones!$AC$188&amp;";  ","")&amp;IF(AND(EDATE($D23,Milestones!$AA$189)&lt;=AsOfDate,IF($R23=0,$X23,IF(AND($T23&lt;&gt;"",EDATE($D23,Milestones!$AA$189)&gt;=$T23),$W23,IF(AND($S23&lt;&gt;"",EDATE($D23,Milestones!$AA$189)&gt;=$S23),$V23,$U23)))=Milestones!$AB$189),UPPER(TEXT(EDATE($D23,Milestones!$AA$189),"dd mmm yy"))&amp;" "&amp;Milestones!$AB$189&amp;" "&amp;Milestones!$AC$189&amp;";  ","")&amp;IF(AND(EDATE($D23,Milestones!$AA$190)&lt;=AsOfDate,IF($R23=0,$X23,IF(AND($T23&lt;&gt;"",EDATE($D23,Milestones!$AA$190)&gt;=$T23),$W23,IF(AND($S23&lt;&gt;"",EDATE($D23,Milestones!$AA$190)&gt;=$S23),$V23,$U23)))=Milestones!$AB$190),UPPER(TEXT(EDATE($D23,Milestones!$AA$190),"dd mmm yy"))&amp;" "&amp;Milestones!$AB$190&amp;" "&amp;Milestones!$AC$190&amp;";  ","")&amp;IF(AND(EDATE($D23,Milestones!$AA$191)&lt;=AsOfDate,IF($R23=0,$X23,IF(AND($T23&lt;&gt;"",EDATE($D23,Milestones!$AA$191)&gt;=$T23),$W23,IF(AND($S23&lt;&gt;"",EDATE($D23,Milestones!$AA$191)&gt;=$S23),$V23,$U23)))=Milestones!$AB$191),UPPER(TEXT(EDATE($D23,Milestones!$AA$191),"dd mmm yy"))&amp;" "&amp;Milestones!$AB$191&amp;" "&amp;Milestones!$AC$191&amp;";  ","")&amp;IF(AND(EDATE($D23,Milestones!$AA$192)&lt;=AsOfDate,IF($R23=0,$X23,IF(AND($T23&lt;&gt;"",EDATE($D23,Milestones!$AA$192)&gt;=$T23),$W23,IF(AND($S23&lt;&gt;"",EDATE($D23,Milestones!$AA$192)&gt;=$S23),$V23,$U23)))=Milestones!$AB$192),UPPER(TEXT(EDATE($D23,Milestones!$AA$192),"dd mmm yy"))&amp;" "&amp;Milestones!$AB$192&amp;" "&amp;Milestones!$AC$192&amp;";  ","")&amp;IF(AND(EDATE($D23,Milestones!$AA$193)&lt;=AsOfDate,IF($R23=0,$X23,IF(AND($T23&lt;&gt;"",EDATE($D23,Milestones!$AA$193)&gt;=$T23),$W23,IF(AND($S23&lt;&gt;"",EDATE($D23,Milestones!$AA$193)&gt;=$S23),$V23,$U23)))=Milestones!$AB$193),UPPER(TEXT(EDATE($D23,Milestones!$AA$193),"dd mmm yy"))&amp;" "&amp;Milestones!$AB$193&amp;" "&amp;Milestones!$AC$193&amp;";  ","")&amp;IF(AND(EDATE($D23,Milestones!$AA$194)&lt;=AsOfDate,IF($R23=0,$X23,IF(AND($T23&lt;&gt;"",EDATE($D23,Milestones!$AA$194)&gt;=$T23),$W23,IF(AND($S23&lt;&gt;"",EDATE($D23,Milestones!$AA$194)&gt;=$S23),$V23,$U23)))=Milestones!$AB$194),UPPER(TEXT(EDATE($D23,Milestones!$AA$194),"dd mmm yy"))&amp;" "&amp;Milestones!$AB$194&amp;" "&amp;Milestones!$AC$194&amp;";  ","")&amp;IF(AND(EDATE($D23,Milestones!$AA$195)&lt;=AsOfDate,IF($R23=0,$X23,IF(AND($T23&lt;&gt;"",EDATE($D23,Milestones!$AA$195)&gt;=$T23),$W23,IF(AND($S23&lt;&gt;"",EDATE($D23,Milestones!$AA$195)&gt;=$S23),$V23,$U23)))=Milestones!$AB$195),UPPER(TEXT(EDATE($D23,Milestones!$AA$195),"dd mmm yy"))&amp;" "&amp;Milestones!$AB$195&amp;" "&amp;Milestones!$AC$195&amp;";  ","")&amp;IF(AND(EDATE($D23,Milestones!$AA$196)&lt;=AsOfDate,IF($R23=0,$X23,IF(AND($T23&lt;&gt;"",EDATE($D23,Milestones!$AA$196)&gt;=$T23),$W23,IF(AND($S23&lt;&gt;"",EDATE($D23,Milestones!$AA$196)&gt;=$S23),$V23,$U23)))=Milestones!$AB$196),UPPER(TEXT(EDATE($D23,Milestones!$AA$196),"dd mmm yy"))&amp;" "&amp;Milestones!$AB$196&amp;" "&amp;Milestones!$AC$196&amp;";  ","")&amp;IF(AND(EDATE($D23,Milestones!$AA$197)&lt;=AsOfDate,IF($R23=0,$X23,IF(AND($T23&lt;&gt;"",EDATE($D23,Milestones!$AA$197)&gt;=$T23),$W23,IF(AND($S23&lt;&gt;"",EDATE($D23,Milestones!$AA$197)&gt;=$S23),$V23,$U23)))=Milestones!$AB$197),UPPER(TEXT(EDATE($D23,Milestones!$AA$197),"dd mmm yy"))&amp;" "&amp;Milestones!$AB$197&amp;" "&amp;Milestones!$AC$197&amp;";  ","")&amp;IF(AND(EDATE($D23,Milestones!$AA$198)&lt;=AsOfDate,IF($R23=0,$X23,IF(AND($T23&lt;&gt;"",EDATE($D23,Milestones!$AA$198)&gt;=$T23),$W23,IF(AND($S23&lt;&gt;"",EDATE($D23,Milestones!$AA$198)&gt;=$S23),$V23,$U23)))=Milestones!$AB$198),UPPER(TEXT(EDATE($D23,Milestones!$AA$198),"dd mmm yy"))&amp;" "&amp;Milestones!$AB$198&amp;" "&amp;Milestones!$AC$198&amp;";  ","")&amp;IF(AND(EDATE($D23,Milestones!$AA$199)&lt;=AsOfDate,IF($R23=0,$X23,IF(AND($T23&lt;&gt;"",EDATE($D23,Milestones!$AA$199)&gt;=$T23),$W23,IF(AND($S23&lt;&gt;"",EDATE($D23,Milestones!$AA$199)&gt;=$S23),$V23,$U23)))=Milestones!$AB$199),UPPER(TEXT(EDATE($D23,Milestones!$AA$199),"dd mmm yy"))&amp;" "&amp;Milestones!$AB$199&amp;" "&amp;Milestones!$AC$199&amp;";  ",""))</f>
        <v/>
      </c>
      <c r="R23" s="33" t="n">
        <f aca="false">IF(Staff!$A23="","",Staff!$AI23)</f>
        <v>0</v>
      </c>
      <c r="S23" s="0" t="str">
        <f aca="false">IF(Staff!$A23="","",Staff!$AK23)</f>
        <v/>
      </c>
      <c r="T23" s="0" t="str">
        <f aca="false">IF(Staff!$A23="","",Staff!$AL23)</f>
        <v/>
      </c>
      <c r="U23" s="0" t="str">
        <f aca="false">IF(Staff!$A23="","",Staff!$AP23)</f>
        <v>None</v>
      </c>
      <c r="V23" s="0" t="str">
        <f aca="false">IF(Staff!$A23="","",Staff!$AQ23)</f>
        <v/>
      </c>
      <c r="W23" s="0" t="str">
        <f aca="false">IF(Staff!$A23="","",Staff!$AR23)</f>
        <v/>
      </c>
      <c r="X23" s="0" t="str">
        <f aca="false">IF(Staff!$A23="","",Staff!$AS23)</f>
        <v>None</v>
      </c>
    </row>
    <row r="24" customFormat="false" ht="79.85" hidden="false" customHeight="false" outlineLevel="0" collapsed="false">
      <c r="A24" s="19" t="str">
        <f aca="false">IF(Staff!$A24="","",Staff!$A24)</f>
        <v>Duncan</v>
      </c>
      <c r="B24" s="19" t="str">
        <f aca="false">IF(Staff!$A24="","",Staff!$B24)</f>
        <v>LUGSTEIN</v>
      </c>
      <c r="C24" s="19" t="str">
        <f aca="false">IF(Staff!$A24="","",Staff!$C24)</f>
        <v>Full-Time</v>
      </c>
      <c r="D24" s="17" t="n">
        <f aca="false">IF(Staff!$A24="","",Staff!$AH24)</f>
        <v>39006</v>
      </c>
      <c r="E24" s="20" t="n">
        <f aca="false">IF(Staff!$A24="","",Staff!$O24)</f>
        <v>81</v>
      </c>
      <c r="F24" s="19" t="n">
        <f aca="false">IF(E24="","",E24*HoursPerDay)</f>
        <v>648</v>
      </c>
      <c r="G24" s="20" t="n">
        <f aca="false">IF(Staff!$A24="","",Staff!$AE24)</f>
        <v>0</v>
      </c>
      <c r="H24" s="32" t="str">
        <f aca="false">IF($A24="","",I24&amp;J24&amp;K24&amp;L24&amp;M24&amp;N24&amp;O24&amp;P24&amp;Q24)</f>
        <v>16 OCT 09 FT 1;  16 FEB 10 FT 1;  16 JUN 10 FT 1;  16 OCT 10 FT 1;  16 FEB 11 FT 1;  16 JUN 11 FT 1;  16 OCT 11 FT 2;  16 JAN 12 FT 1;  16 APR 12 FT 1;  16 JUL 12 FT 1;  16 OCT 12 FT 2;  16 JAN 13 FT 1;  16 APR 13 FT 1;  16 JUL 13 FT 1;  16 OCT 13 FT 2;  16 JAN 14 FT 1;  16 APR 14 FT 1;  16 JUL 14 FT 1;  16 OCT 14 FT 2;  16 JAN 15 FT 1;  16 APR 15 FT 1;  16 JUL 15 FT 1;  16 OCT 15 FT 2;  16 JAN 16 FT 1;  16 APR 16 FT 1;  16 JUL 16 FT 1;  16 OCT 16 FT 2;  16 JAN 17 FT 1;  16 APR 17 FT 1;  16 JUL 17 FT 1;  16 OCT 17 FT 2;  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IF($R24=0,$X24,IF(AND($T24&lt;&gt;"",EDATE($D24,Milestones!$AA$20)&gt;=$T24),$W24,IF(AND($S24&lt;&gt;"",EDATE($D24,Milestones!$AA$20)&gt;=$S24),$V24,$U24)))=Milestones!$AB$20),UPPER(TEXT(EDATE($D24,Milestones!$AA$20),"dd mmm yy"))&amp;" "&amp;Milestones!$AB$20&amp;" "&amp;Milestones!$AC$20&amp;";  ","")&amp;IF(AND(EDATE($D24,Milestones!$AA$21)&lt;=AsOfDate,IF($R24=0,$X24,IF(AND($T24&lt;&gt;"",EDATE($D24,Milestones!$AA$21)&gt;=$T24),$W24,IF(AND($S24&lt;&gt;"",EDATE($D24,Milestones!$AA$21)&gt;=$S24),$V24,$U24)))=Milestones!$AB$21),UPPER(TEXT(EDATE($D24,Milestones!$AA$21),"dd mmm yy"))&amp;" "&amp;Milestones!$AB$21&amp;" "&amp;Milestones!$AC$21&amp;";  ","")&amp;IF(AND(EDATE($D24,Milestones!$AA$22)&lt;=AsOfDate,IF($R24=0,$X24,IF(AND($T24&lt;&gt;"",EDATE($D24,Milestones!$AA$22)&gt;=$T24),$W24,IF(AND($S24&lt;&gt;"",EDATE($D24,Milestones!$AA$22)&gt;=$S24),$V24,$U24)))=Milestones!$AB$22),UPPER(TEXT(EDATE($D24,Milestones!$AA$22),"dd mmm yy"))&amp;" "&amp;Milestones!$AB$22&amp;" "&amp;Milestones!$AC$22&amp;";  ","")&amp;IF(AND(EDATE($D24,Milestones!$AA$23)&lt;=AsOfDate,IF($R24=0,$X24,IF(AND($T24&lt;&gt;"",EDATE($D24,Milestones!$AA$23)&gt;=$T24),$W24,IF(AND($S24&lt;&gt;"",EDATE($D24,Milestones!$AA$23)&gt;=$S24),$V24,$U24)))=Milestones!$AB$23),UPPER(TEXT(EDATE($D24,Milestones!$AA$23),"dd mmm yy"))&amp;" "&amp;Milestones!$AB$23&amp;" "&amp;Milestones!$AC$23&amp;";  ","")&amp;IF(AND(EDATE($D24,Milestones!$AA$24)&lt;=AsOfDate,IF($R24=0,$X24,IF(AND($T24&lt;&gt;"",EDATE($D24,Milestones!$AA$24)&gt;=$T24),$W24,IF(AND($S24&lt;&gt;"",EDATE($D24,Milestones!$AA$24)&gt;=$S24),$V24,$U24)))=Milestones!$AB$24),UPPER(TEXT(EDATE($D24,Milestones!$AA$24),"dd mmm yy"))&amp;" "&amp;Milestones!$AB$24&amp;" "&amp;Milestones!$AC$24&amp;";  ","")&amp;IF(AND(EDATE($D24,Milestones!$AA$25)&lt;=AsOfDate,IF($R24=0,$X24,IF(AND($T24&lt;&gt;"",EDATE($D24,Milestones!$AA$25)&gt;=$T24),$W24,IF(AND($S24&lt;&gt;"",EDATE($D24,Milestones!$AA$25)&gt;=$S24),$V24,$U24)))=Milestones!$AB$25),UPPER(TEXT(EDATE($D24,Milestones!$AA$25),"dd mmm yy"))&amp;" "&amp;Milestones!$AB$25&amp;" "&amp;Milestones!$AC$25&amp;";  ","")&amp;IF(AND(EDATE($D24,Milestones!$AA$26)&lt;=AsOfDate,IF($R24=0,$X24,IF(AND($T24&lt;&gt;"",EDATE($D24,Milestones!$AA$26)&gt;=$T24),$W24,IF(AND($S24&lt;&gt;"",EDATE($D24,Milestones!$AA$26)&gt;=$S24),$V24,$U24)))=Milestones!$AB$26),UPPER(TEXT(EDATE($D24,Milestones!$AA$26),"dd mmm yy"))&amp;" "&amp;Milestones!$AB$26&amp;" "&amp;Milestones!$AC$26&amp;";  ","")&amp;IF(AND(EDATE($D24,Milestones!$AA$27)&lt;=AsOfDate,IF($R24=0,$X24,IF(AND($T24&lt;&gt;"",EDATE($D24,Milestones!$AA$27)&gt;=$T24),$W24,IF(AND($S24&lt;&gt;"",EDATE($D24,Milestones!$AA$27)&gt;=$S24),$V24,$U24)))=Milestones!$AB$27),UPPER(TEXT(EDATE($D24,Milestones!$AA$27),"dd mmm yy"))&amp;" "&amp;Milestones!$AB$27&amp;" "&amp;Milestones!$AC$27&amp;";  ","")&amp;IF(AND(EDATE($D24,Milestones!$AA$28)&lt;=AsOfDate,IF($R24=0,$X24,IF(AND($T24&lt;&gt;"",EDATE($D24,Milestones!$AA$28)&gt;=$T24),$W24,IF(AND($S24&lt;&gt;"",EDATE($D24,Milestones!$AA$28)&gt;=$S24),$V24,$U24)))=Milestones!$AB$28),UPPER(TEXT(EDATE($D24,Milestones!$AA$28),"dd mmm yy"))&amp;" "&amp;Milestones!$AB$28&amp;" "&amp;Milestones!$AC$28&amp;";  ","")&amp;IF(AND(EDATE($D24,Milestones!$AA$29)&lt;=AsOfDate,IF($R24=0,$X24,IF(AND($T24&lt;&gt;"",EDATE($D24,Milestones!$AA$29)&gt;=$T24),$W24,IF(AND($S24&lt;&gt;"",EDATE($D24,Milestones!$AA$29)&gt;=$S24),$V24,$U24)))=Milestones!$AB$29),UPPER(TEXT(EDATE($D24,Milestones!$AA$29),"dd mmm yy"))&amp;" "&amp;Milestones!$AB$29&amp;" "&amp;Milestones!$AC$29&amp;";  ","")&amp;IF(AND(EDATE($D24,Milestones!$AA$30)&lt;=AsOfDate,IF($R24=0,$X24,IF(AND($T24&lt;&gt;"",EDATE($D24,Milestones!$AA$30)&gt;=$T24),$W24,IF(AND($S24&lt;&gt;"",EDATE($D24,Milestones!$AA$30)&gt;=$S24),$V24,$U24)))=Milestones!$AB$30),UPPER(TEXT(EDATE($D24,Milestones!$AA$30),"dd mmm yy"))&amp;" "&amp;Milestones!$AB$30&amp;" "&amp;Milestones!$AC$30&amp;";  ","")&amp;IF(AND(EDATE($D24,Milestones!$AA$31)&lt;=AsOfDate,IF($R24=0,$X24,IF(AND($T24&lt;&gt;"",EDATE($D24,Milestones!$AA$31)&gt;=$T24),$W24,IF(AND($S24&lt;&gt;"",EDATE($D24,Milestones!$AA$31)&gt;=$S24),$V24,$U24)))=Milestones!$AB$31),UPPER(TEXT(EDATE($D24,Milestones!$AA$31),"dd mmm yy"))&amp;" "&amp;Milestones!$AB$31&amp;" "&amp;Milestones!$AC$31&amp;";  ","")&amp;IF(AND(EDATE($D24,Milestones!$AA$32)&lt;=AsOfDate,IF($R24=0,$X24,IF(AND($T24&lt;&gt;"",EDATE($D24,Milestones!$AA$32)&gt;=$T24),$W24,IF(AND($S24&lt;&gt;"",EDATE($D24,Milestones!$AA$32)&gt;=$S24),$V24,$U24)))=Milestones!$AB$32),UPPER(TEXT(EDATE($D24,Milestones!$AA$32),"dd mmm yy"))&amp;" "&amp;Milestones!$AB$32&amp;" "&amp;Milestones!$AC$32&amp;";  ","")&amp;IF(AND(EDATE($D24,Milestones!$AA$33)&lt;=AsOfDate,IF($R24=0,$X24,IF(AND($T24&lt;&gt;"",EDATE($D24,Milestones!$AA$33)&gt;=$T24),$W24,IF(AND($S24&lt;&gt;"",EDATE($D24,Milestones!$AA$33)&gt;=$S24),$V24,$U24)))=Milestones!$AB$33),UPPER(TEXT(EDATE($D24,Milestones!$AA$33),"dd mmm yy"))&amp;" "&amp;Milestones!$AB$33&amp;" "&amp;Milestones!$AC$33&amp;";  ","")&amp;IF(AND(EDATE($D24,Milestones!$AA$34)&lt;=AsOfDate,IF($R24=0,$X24,IF(AND($T24&lt;&gt;"",EDATE($D24,Milestones!$AA$34)&gt;=$T24),$W24,IF(AND($S24&lt;&gt;"",EDATE($D24,Milestones!$AA$34)&gt;=$S24),$V24,$U24)))=Milestones!$AB$34),UPPER(TEXT(EDATE($D24,Milestones!$AA$34),"dd mmm yy"))&amp;" "&amp;Milestones!$AB$34&amp;" "&amp;Milestones!$AC$34&amp;";  ","")&amp;IF(AND(EDATE($D24,Milestones!$AA$35)&lt;=AsOfDate,IF($R24=0,$X24,IF(AND($T24&lt;&gt;"",EDATE($D24,Milestones!$AA$35)&gt;=$T24),$W24,IF(AND($S24&lt;&gt;"",EDATE($D24,Milestones!$AA$35)&gt;=$S24),$V24,$U24)))=Milestones!$AB$35),UPPER(TEXT(EDATE($D24,Milestones!$AA$35),"dd mmm yy"))&amp;" "&amp;Milestones!$AB$35&amp;" "&amp;Milestones!$AC$35&amp;";  ","")&amp;IF(AND(EDATE($D24,Milestones!$AA$36)&lt;=AsOfDate,IF($R24=0,$X24,IF(AND($T24&lt;&gt;"",EDATE($D24,Milestones!$AA$36)&gt;=$T24),$W24,IF(AND($S24&lt;&gt;"",EDATE($D24,Milestones!$AA$36)&gt;=$S24),$V24,$U24)))=Milestones!$AB$36),UPPER(TEXT(EDATE($D24,Milestones!$AA$36),"dd mmm yy"))&amp;" "&amp;Milestones!$AB$36&amp;" "&amp;Milestones!$AC$36&amp;";  ","")&amp;IF(AND(EDATE($D24,Milestones!$AA$37)&lt;=AsOfDate,IF($R24=0,$X24,IF(AND($T24&lt;&gt;"",EDATE($D24,Milestones!$AA$37)&gt;=$T24),$W24,IF(AND($S24&lt;&gt;"",EDATE($D24,Milestones!$AA$37)&gt;=$S24),$V24,$U24)))=Milestones!$AB$37),UPPER(TEXT(EDATE($D24,Milestones!$AA$37),"dd mmm yy"))&amp;" "&amp;Milestones!$AB$37&amp;" "&amp;Milestones!$AC$37&amp;";  ","")&amp;IF(AND(EDATE($D24,Milestones!$AA$38)&lt;=AsOfDate,IF($R24=0,$X24,IF(AND($T24&lt;&gt;"",EDATE($D24,Milestones!$AA$38)&gt;=$T24),$W24,IF(AND($S24&lt;&gt;"",EDATE($D24,Milestones!$AA$38)&gt;=$S24),$V24,$U24)))=Milestones!$AB$38),UPPER(TEXT(EDATE($D24,Milestones!$AA$38),"dd mmm yy"))&amp;" "&amp;Milestones!$AB$38&amp;" "&amp;Milestones!$AC$38&amp;";  ","")&amp;IF(AND(EDATE($D24,Milestones!$AA$39)&lt;=AsOfDate,IF($R24=0,$X24,IF(AND($T24&lt;&gt;"",EDATE($D24,Milestones!$AA$39)&gt;=$T24),$W24,IF(AND($S24&lt;&gt;"",EDATE($D24,Milestones!$AA$39)&gt;=$S24),$V24,$U24)))=Milestones!$AB$39),UPPER(TEXT(EDATE($D24,Milestones!$AA$39),"dd mmm yy"))&amp;" "&amp;Milestones!$AB$39&amp;" "&amp;Milestones!$AC$39&amp;";  ",""))</f>
        <v>16 OCT 09 FT 1;  16 FEB 10 FT 1;  16 JUN 10 FT 1;  16 OCT 10 FT 1;  16 FEB 11 FT 1;  16 JUN 11 FT 1;  16 OCT 11 FT 2;  16 JAN 12 FT 1;  16 APR 12 FT 1;  16 JUL 12 FT 1;  16 OCT 12 FT 2;  16 JAN 13 FT 1;  16 APR 13 FT 1;  16 JUL 13 FT 1;  </v>
      </c>
      <c r="J24" s="0" t="str">
        <f aca="false">IF(OR($A24="",$D24=""),"",IF(AND(EDATE($D24,Milestones!$AA$40)&lt;=AsOfDate,IF($R24=0,$X24,IF(AND($T24&lt;&gt;"",EDATE($D24,Milestones!$AA$40)&gt;=$T24),$W24,IF(AND($S24&lt;&gt;"",EDATE($D24,Milestones!$AA$40)&gt;=$S24),$V24,$U24)))=Milestones!$AB$40),UPPER(TEXT(EDATE($D24,Milestones!$AA$40),"dd mmm yy"))&amp;" "&amp;Milestones!$AB$40&amp;" "&amp;Milestones!$AC$40&amp;";  ","")&amp;IF(AND(EDATE($D24,Milestones!$AA$41)&lt;=AsOfDate,IF($R24=0,$X24,IF(AND($T24&lt;&gt;"",EDATE($D24,Milestones!$AA$41)&gt;=$T24),$W24,IF(AND($S24&lt;&gt;"",EDATE($D24,Milestones!$AA$41)&gt;=$S24),$V24,$U24)))=Milestones!$AB$41),UPPER(TEXT(EDATE($D24,Milestones!$AA$41),"dd mmm yy"))&amp;" "&amp;Milestones!$AB$41&amp;" "&amp;Milestones!$AC$41&amp;";  ","")&amp;IF(AND(EDATE($D24,Milestones!$AA$42)&lt;=AsOfDate,IF($R24=0,$X24,IF(AND($T24&lt;&gt;"",EDATE($D24,Milestones!$AA$42)&gt;=$T24),$W24,IF(AND($S24&lt;&gt;"",EDATE($D24,Milestones!$AA$42)&gt;=$S24),$V24,$U24)))=Milestones!$AB$42),UPPER(TEXT(EDATE($D24,Milestones!$AA$42),"dd mmm yy"))&amp;" "&amp;Milestones!$AB$42&amp;" "&amp;Milestones!$AC$42&amp;";  ","")&amp;IF(AND(EDATE($D24,Milestones!$AA$43)&lt;=AsOfDate,IF($R24=0,$X24,IF(AND($T24&lt;&gt;"",EDATE($D24,Milestones!$AA$43)&gt;=$T24),$W24,IF(AND($S24&lt;&gt;"",EDATE($D24,Milestones!$AA$43)&gt;=$S24),$V24,$U24)))=Milestones!$AB$43),UPPER(TEXT(EDATE($D24,Milestones!$AA$43),"dd mmm yy"))&amp;" "&amp;Milestones!$AB$43&amp;" "&amp;Milestones!$AC$43&amp;";  ","")&amp;IF(AND(EDATE($D24,Milestones!$AA$44)&lt;=AsOfDate,IF($R24=0,$X24,IF(AND($T24&lt;&gt;"",EDATE($D24,Milestones!$AA$44)&gt;=$T24),$W24,IF(AND($S24&lt;&gt;"",EDATE($D24,Milestones!$AA$44)&gt;=$S24),$V24,$U24)))=Milestones!$AB$44),UPPER(TEXT(EDATE($D24,Milestones!$AA$44),"dd mmm yy"))&amp;" "&amp;Milestones!$AB$44&amp;" "&amp;Milestones!$AC$44&amp;";  ","")&amp;IF(AND(EDATE($D24,Milestones!$AA$45)&lt;=AsOfDate,IF($R24=0,$X24,IF(AND($T24&lt;&gt;"",EDATE($D24,Milestones!$AA$45)&gt;=$T24),$W24,IF(AND($S24&lt;&gt;"",EDATE($D24,Milestones!$AA$45)&gt;=$S24),$V24,$U24)))=Milestones!$AB$45),UPPER(TEXT(EDATE($D24,Milestones!$AA$45),"dd mmm yy"))&amp;" "&amp;Milestones!$AB$45&amp;" "&amp;Milestones!$AC$45&amp;";  ","")&amp;IF(AND(EDATE($D24,Milestones!$AA$46)&lt;=AsOfDate,IF($R24=0,$X24,IF(AND($T24&lt;&gt;"",EDATE($D24,Milestones!$AA$46)&gt;=$T24),$W24,IF(AND($S24&lt;&gt;"",EDATE($D24,Milestones!$AA$46)&gt;=$S24),$V24,$U24)))=Milestones!$AB$46),UPPER(TEXT(EDATE($D24,Milestones!$AA$46),"dd mmm yy"))&amp;" "&amp;Milestones!$AB$46&amp;" "&amp;Milestones!$AC$46&amp;";  ","")&amp;IF(AND(EDATE($D24,Milestones!$AA$47)&lt;=AsOfDate,IF($R24=0,$X24,IF(AND($T24&lt;&gt;"",EDATE($D24,Milestones!$AA$47)&gt;=$T24),$W24,IF(AND($S24&lt;&gt;"",EDATE($D24,Milestones!$AA$47)&gt;=$S24),$V24,$U24)))=Milestones!$AB$47),UPPER(TEXT(EDATE($D24,Milestones!$AA$47),"dd mmm yy"))&amp;" "&amp;Milestones!$AB$47&amp;" "&amp;Milestones!$AC$47&amp;";  ","")&amp;IF(AND(EDATE($D24,Milestones!$AA$48)&lt;=AsOfDate,IF($R24=0,$X24,IF(AND($T24&lt;&gt;"",EDATE($D24,Milestones!$AA$48)&gt;=$T24),$W24,IF(AND($S24&lt;&gt;"",EDATE($D24,Milestones!$AA$48)&gt;=$S24),$V24,$U24)))=Milestones!$AB$48),UPPER(TEXT(EDATE($D24,Milestones!$AA$48),"dd mmm yy"))&amp;" "&amp;Milestones!$AB$48&amp;" "&amp;Milestones!$AC$48&amp;";  ","")&amp;IF(AND(EDATE($D24,Milestones!$AA$49)&lt;=AsOfDate,IF($R24=0,$X24,IF(AND($T24&lt;&gt;"",EDATE($D24,Milestones!$AA$49)&gt;=$T24),$W24,IF(AND($S24&lt;&gt;"",EDATE($D24,Milestones!$AA$49)&gt;=$S24),$V24,$U24)))=Milestones!$AB$49),UPPER(TEXT(EDATE($D24,Milestones!$AA$49),"dd mmm yy"))&amp;" "&amp;Milestones!$AB$49&amp;" "&amp;Milestones!$AC$49&amp;";  ","")&amp;IF(AND(EDATE($D24,Milestones!$AA$50)&lt;=AsOfDate,IF($R24=0,$X24,IF(AND($T24&lt;&gt;"",EDATE($D24,Milestones!$AA$50)&gt;=$T24),$W24,IF(AND($S24&lt;&gt;"",EDATE($D24,Milestones!$AA$50)&gt;=$S24),$V24,$U24)))=Milestones!$AB$50),UPPER(TEXT(EDATE($D24,Milestones!$AA$50),"dd mmm yy"))&amp;" "&amp;Milestones!$AB$50&amp;" "&amp;Milestones!$AC$50&amp;";  ","")&amp;IF(AND(EDATE($D24,Milestones!$AA$51)&lt;=AsOfDate,IF($R24=0,$X24,IF(AND($T24&lt;&gt;"",EDATE($D24,Milestones!$AA$51)&gt;=$T24),$W24,IF(AND($S24&lt;&gt;"",EDATE($D24,Milestones!$AA$51)&gt;=$S24),$V24,$U24)))=Milestones!$AB$51),UPPER(TEXT(EDATE($D24,Milestones!$AA$51),"dd mmm yy"))&amp;" "&amp;Milestones!$AB$51&amp;" "&amp;Milestones!$AC$51&amp;";  ","")&amp;IF(AND(EDATE($D24,Milestones!$AA$52)&lt;=AsOfDate,IF($R24=0,$X24,IF(AND($T24&lt;&gt;"",EDATE($D24,Milestones!$AA$52)&gt;=$T24),$W24,IF(AND($S24&lt;&gt;"",EDATE($D24,Milestones!$AA$52)&gt;=$S24),$V24,$U24)))=Milestones!$AB$52),UPPER(TEXT(EDATE($D24,Milestones!$AA$52),"dd mmm yy"))&amp;" "&amp;Milestones!$AB$52&amp;" "&amp;Milestones!$AC$52&amp;";  ","")&amp;IF(AND(EDATE($D24,Milestones!$AA$53)&lt;=AsOfDate,IF($R24=0,$X24,IF(AND($T24&lt;&gt;"",EDATE($D24,Milestones!$AA$53)&gt;=$T24),$W24,IF(AND($S24&lt;&gt;"",EDATE($D24,Milestones!$AA$53)&gt;=$S24),$V24,$U24)))=Milestones!$AB$53),UPPER(TEXT(EDATE($D24,Milestones!$AA$53),"dd mmm yy"))&amp;" "&amp;Milestones!$AB$53&amp;" "&amp;Milestones!$AC$53&amp;";  ","")&amp;IF(AND(EDATE($D24,Milestones!$AA$54)&lt;=AsOfDate,IF($R24=0,$X24,IF(AND($T24&lt;&gt;"",EDATE($D24,Milestones!$AA$54)&gt;=$T24),$W24,IF(AND($S24&lt;&gt;"",EDATE($D24,Milestones!$AA$54)&gt;=$S24),$V24,$U24)))=Milestones!$AB$54),UPPER(TEXT(EDATE($D24,Milestones!$AA$54),"dd mmm yy"))&amp;" "&amp;Milestones!$AB$54&amp;" "&amp;Milestones!$AC$54&amp;";  ","")&amp;IF(AND(EDATE($D24,Milestones!$AA$55)&lt;=AsOfDate,IF($R24=0,$X24,IF(AND($T24&lt;&gt;"",EDATE($D24,Milestones!$AA$55)&gt;=$T24),$W24,IF(AND($S24&lt;&gt;"",EDATE($D24,Milestones!$AA$55)&gt;=$S24),$V24,$U24)))=Milestones!$AB$55),UPPER(TEXT(EDATE($D24,Milestones!$AA$55),"dd mmm yy"))&amp;" "&amp;Milestones!$AB$55&amp;" "&amp;Milestones!$AC$55&amp;";  ","")&amp;IF(AND(EDATE($D24,Milestones!$AA$56)&lt;=AsOfDate,IF($R24=0,$X24,IF(AND($T24&lt;&gt;"",EDATE($D24,Milestones!$AA$56)&gt;=$T24),$W24,IF(AND($S24&lt;&gt;"",EDATE($D24,Milestones!$AA$56)&gt;=$S24),$V24,$U24)))=Milestones!$AB$56),UPPER(TEXT(EDATE($D24,Milestones!$AA$56),"dd mmm yy"))&amp;" "&amp;Milestones!$AB$56&amp;" "&amp;Milestones!$AC$56&amp;";  ","")&amp;IF(AND(EDATE($D24,Milestones!$AA$57)&lt;=AsOfDate,IF($R24=0,$X24,IF(AND($T24&lt;&gt;"",EDATE($D24,Milestones!$AA$57)&gt;=$T24),$W24,IF(AND($S24&lt;&gt;"",EDATE($D24,Milestones!$AA$57)&gt;=$S24),$V24,$U24)))=Milestones!$AB$57),UPPER(TEXT(EDATE($D24,Milestones!$AA$57),"dd mmm yy"))&amp;" "&amp;Milestones!$AB$57&amp;" "&amp;Milestones!$AC$57&amp;";  ","")&amp;IF(AND(EDATE($D24,Milestones!$AA$58)&lt;=AsOfDate,IF($R24=0,$X24,IF(AND($T24&lt;&gt;"",EDATE($D24,Milestones!$AA$58)&gt;=$T24),$W24,IF(AND($S24&lt;&gt;"",EDATE($D24,Milestones!$AA$58)&gt;=$S24),$V24,$U24)))=Milestones!$AB$58),UPPER(TEXT(EDATE($D24,Milestones!$AA$58),"dd mmm yy"))&amp;" "&amp;Milestones!$AB$58&amp;" "&amp;Milestones!$AC$58&amp;";  ","")&amp;IF(AND(EDATE($D24,Milestones!$AA$59)&lt;=AsOfDate,IF($R24=0,$X24,IF(AND($T24&lt;&gt;"",EDATE($D24,Milestones!$AA$59)&gt;=$T24),$W24,IF(AND($S24&lt;&gt;"",EDATE($D24,Milestones!$AA$59)&gt;=$S24),$V24,$U24)))=Milestones!$AB$59),UPPER(TEXT(EDATE($D24,Milestones!$AA$59),"dd mmm yy"))&amp;" "&amp;Milestones!$AB$59&amp;" "&amp;Milestones!$AC$59&amp;";  ",""))</f>
        <v>16 OCT 13 FT 2;  16 JAN 14 FT 1;  16 APR 14 FT 1;  16 JUL 14 FT 1;  16 OCT 14 FT 2;  16 JAN 15 FT 1;  16 APR 15 FT 1;  16 JUL 15 FT 1;  16 OCT 15 FT 2;  16 JAN 16 FT 1;  16 APR 16 FT 1;  </v>
      </c>
      <c r="K24" s="0" t="str">
        <f aca="false">IF(OR($A24="",$D24=""),"",IF(AND(EDATE($D24,Milestones!$AA$60)&lt;=AsOfDate,IF($R24=0,$X24,IF(AND($T24&lt;&gt;"",EDATE($D24,Milestones!$AA$60)&gt;=$T24),$W24,IF(AND($S24&lt;&gt;"",EDATE($D24,Milestones!$AA$60)&gt;=$S24),$V24,$U24)))=Milestones!$AB$60),UPPER(TEXT(EDATE($D24,Milestones!$AA$60),"dd mmm yy"))&amp;" "&amp;Milestones!$AB$60&amp;" "&amp;Milestones!$AC$60&amp;";  ","")&amp;IF(AND(EDATE($D24,Milestones!$AA$61)&lt;=AsOfDate,IF($R24=0,$X24,IF(AND($T24&lt;&gt;"",EDATE($D24,Milestones!$AA$61)&gt;=$T24),$W24,IF(AND($S24&lt;&gt;"",EDATE($D24,Milestones!$AA$61)&gt;=$S24),$V24,$U24)))=Milestones!$AB$61),UPPER(TEXT(EDATE($D24,Milestones!$AA$61),"dd mmm yy"))&amp;" "&amp;Milestones!$AB$61&amp;" "&amp;Milestones!$AC$61&amp;";  ","")&amp;IF(AND(EDATE($D24,Milestones!$AA$62)&lt;=AsOfDate,IF($R24=0,$X24,IF(AND($T24&lt;&gt;"",EDATE($D24,Milestones!$AA$62)&gt;=$T24),$W24,IF(AND($S24&lt;&gt;"",EDATE($D24,Milestones!$AA$62)&gt;=$S24),$V24,$U24)))=Milestones!$AB$62),UPPER(TEXT(EDATE($D24,Milestones!$AA$62),"dd mmm yy"))&amp;" "&amp;Milestones!$AB$62&amp;" "&amp;Milestones!$AC$62&amp;";  ","")&amp;IF(AND(EDATE($D24,Milestones!$AA$63)&lt;=AsOfDate,IF($R24=0,$X24,IF(AND($T24&lt;&gt;"",EDATE($D24,Milestones!$AA$63)&gt;=$T24),$W24,IF(AND($S24&lt;&gt;"",EDATE($D24,Milestones!$AA$63)&gt;=$S24),$V24,$U24)))=Milestones!$AB$63),UPPER(TEXT(EDATE($D24,Milestones!$AA$63),"dd mmm yy"))&amp;" "&amp;Milestones!$AB$63&amp;" "&amp;Milestones!$AC$63&amp;";  ","")&amp;IF(AND(EDATE($D24,Milestones!$AA$64)&lt;=AsOfDate,IF($R24=0,$X24,IF(AND($T24&lt;&gt;"",EDATE($D24,Milestones!$AA$64)&gt;=$T24),$W24,IF(AND($S24&lt;&gt;"",EDATE($D24,Milestones!$AA$64)&gt;=$S24),$V24,$U24)))=Milestones!$AB$64),UPPER(TEXT(EDATE($D24,Milestones!$AA$64),"dd mmm yy"))&amp;" "&amp;Milestones!$AB$64&amp;" "&amp;Milestones!$AC$64&amp;";  ","")&amp;IF(AND(EDATE($D24,Milestones!$AA$65)&lt;=AsOfDate,IF($R24=0,$X24,IF(AND($T24&lt;&gt;"",EDATE($D24,Milestones!$AA$65)&gt;=$T24),$W24,IF(AND($S24&lt;&gt;"",EDATE($D24,Milestones!$AA$65)&gt;=$S24),$V24,$U24)))=Milestones!$AB$65),UPPER(TEXT(EDATE($D24,Milestones!$AA$65),"dd mmm yy"))&amp;" "&amp;Milestones!$AB$65&amp;" "&amp;Milestones!$AC$65&amp;";  ","")&amp;IF(AND(EDATE($D24,Milestones!$AA$66)&lt;=AsOfDate,IF($R24=0,$X24,IF(AND($T24&lt;&gt;"",EDATE($D24,Milestones!$AA$66)&gt;=$T24),$W24,IF(AND($S24&lt;&gt;"",EDATE($D24,Milestones!$AA$66)&gt;=$S24),$V24,$U24)))=Milestones!$AB$66),UPPER(TEXT(EDATE($D24,Milestones!$AA$66),"dd mmm yy"))&amp;" "&amp;Milestones!$AB$66&amp;" "&amp;Milestones!$AC$66&amp;";  ","")&amp;IF(AND(EDATE($D24,Milestones!$AA$67)&lt;=AsOfDate,IF($R24=0,$X24,IF(AND($T24&lt;&gt;"",EDATE($D24,Milestones!$AA$67)&gt;=$T24),$W24,IF(AND($S24&lt;&gt;"",EDATE($D24,Milestones!$AA$67)&gt;=$S24),$V24,$U24)))=Milestones!$AB$67),UPPER(TEXT(EDATE($D24,Milestones!$AA$67),"dd mmm yy"))&amp;" "&amp;Milestones!$AB$67&amp;" "&amp;Milestones!$AC$67&amp;";  ","")&amp;IF(AND(EDATE($D24,Milestones!$AA$68)&lt;=AsOfDate,IF($R24=0,$X24,IF(AND($T24&lt;&gt;"",EDATE($D24,Milestones!$AA$68)&gt;=$T24),$W24,IF(AND($S24&lt;&gt;"",EDATE($D24,Milestones!$AA$68)&gt;=$S24),$V24,$U24)))=Milestones!$AB$68),UPPER(TEXT(EDATE($D24,Milestones!$AA$68),"dd mmm yy"))&amp;" "&amp;Milestones!$AB$68&amp;" "&amp;Milestones!$AC$68&amp;";  ","")&amp;IF(AND(EDATE($D24,Milestones!$AA$69)&lt;=AsOfDate,IF($R24=0,$X24,IF(AND($T24&lt;&gt;"",EDATE($D24,Milestones!$AA$69)&gt;=$T24),$W24,IF(AND($S24&lt;&gt;"",EDATE($D24,Milestones!$AA$69)&gt;=$S24),$V24,$U24)))=Milestones!$AB$69),UPPER(TEXT(EDATE($D24,Milestones!$AA$69),"dd mmm yy"))&amp;" "&amp;Milestones!$AB$69&amp;" "&amp;Milestones!$AC$69&amp;";  ","")&amp;IF(AND(EDATE($D24,Milestones!$AA$70)&lt;=AsOfDate,IF($R24=0,$X24,IF(AND($T24&lt;&gt;"",EDATE($D24,Milestones!$AA$70)&gt;=$T24),$W24,IF(AND($S24&lt;&gt;"",EDATE($D24,Milestones!$AA$70)&gt;=$S24),$V24,$U24)))=Milestones!$AB$70),UPPER(TEXT(EDATE($D24,Milestones!$AA$70),"dd mmm yy"))&amp;" "&amp;Milestones!$AB$70&amp;" "&amp;Milestones!$AC$70&amp;";  ","")&amp;IF(AND(EDATE($D24,Milestones!$AA$71)&lt;=AsOfDate,IF($R24=0,$X24,IF(AND($T24&lt;&gt;"",EDATE($D24,Milestones!$AA$71)&gt;=$T24),$W24,IF(AND($S24&lt;&gt;"",EDATE($D24,Milestones!$AA$71)&gt;=$S24),$V24,$U24)))=Milestones!$AB$71),UPPER(TEXT(EDATE($D24,Milestones!$AA$71),"dd mmm yy"))&amp;" "&amp;Milestones!$AB$71&amp;" "&amp;Milestones!$AC$71&amp;";  ","")&amp;IF(AND(EDATE($D24,Milestones!$AA$72)&lt;=AsOfDate,IF($R24=0,$X24,IF(AND($T24&lt;&gt;"",EDATE($D24,Milestones!$AA$72)&gt;=$T24),$W24,IF(AND($S24&lt;&gt;"",EDATE($D24,Milestones!$AA$72)&gt;=$S24),$V24,$U24)))=Milestones!$AB$72),UPPER(TEXT(EDATE($D24,Milestones!$AA$72),"dd mmm yy"))&amp;" "&amp;Milestones!$AB$72&amp;" "&amp;Milestones!$AC$72&amp;";  ","")&amp;IF(AND(EDATE($D24,Milestones!$AA$73)&lt;=AsOfDate,IF($R24=0,$X24,IF(AND($T24&lt;&gt;"",EDATE($D24,Milestones!$AA$73)&gt;=$T24),$W24,IF(AND($S24&lt;&gt;"",EDATE($D24,Milestones!$AA$73)&gt;=$S24),$V24,$U24)))=Milestones!$AB$73),UPPER(TEXT(EDATE($D24,Milestones!$AA$73),"dd mmm yy"))&amp;" "&amp;Milestones!$AB$73&amp;" "&amp;Milestones!$AC$73&amp;";  ","")&amp;IF(AND(EDATE($D24,Milestones!$AA$74)&lt;=AsOfDate,IF($R24=0,$X24,IF(AND($T24&lt;&gt;"",EDATE($D24,Milestones!$AA$74)&gt;=$T24),$W24,IF(AND($S24&lt;&gt;"",EDATE($D24,Milestones!$AA$74)&gt;=$S24),$V24,$U24)))=Milestones!$AB$74),UPPER(TEXT(EDATE($D24,Milestones!$AA$74),"dd mmm yy"))&amp;" "&amp;Milestones!$AB$74&amp;" "&amp;Milestones!$AC$74&amp;";  ","")&amp;IF(AND(EDATE($D24,Milestones!$AA$75)&lt;=AsOfDate,IF($R24=0,$X24,IF(AND($T24&lt;&gt;"",EDATE($D24,Milestones!$AA$75)&gt;=$T24),$W24,IF(AND($S24&lt;&gt;"",EDATE($D24,Milestones!$AA$75)&gt;=$S24),$V24,$U24)))=Milestones!$AB$75),UPPER(TEXT(EDATE($D24,Milestones!$AA$75),"dd mmm yy"))&amp;" "&amp;Milestones!$AB$75&amp;" "&amp;Milestones!$AC$75&amp;";  ","")&amp;IF(AND(EDATE($D24,Milestones!$AA$76)&lt;=AsOfDate,IF($R24=0,$X24,IF(AND($T24&lt;&gt;"",EDATE($D24,Milestones!$AA$76)&gt;=$T24),$W24,IF(AND($S24&lt;&gt;"",EDATE($D24,Milestones!$AA$76)&gt;=$S24),$V24,$U24)))=Milestones!$AB$76),UPPER(TEXT(EDATE($D24,Milestones!$AA$76),"dd mmm yy"))&amp;" "&amp;Milestones!$AB$76&amp;" "&amp;Milestones!$AC$76&amp;";  ","")&amp;IF(AND(EDATE($D24,Milestones!$AA$77)&lt;=AsOfDate,IF($R24=0,$X24,IF(AND($T24&lt;&gt;"",EDATE($D24,Milestones!$AA$77)&gt;=$T24),$W24,IF(AND($S24&lt;&gt;"",EDATE($D24,Milestones!$AA$77)&gt;=$S24),$V24,$U24)))=Milestones!$AB$77),UPPER(TEXT(EDATE($D24,Milestones!$AA$77),"dd mmm yy"))&amp;" "&amp;Milestones!$AB$77&amp;" "&amp;Milestones!$AC$77&amp;";  ","")&amp;IF(AND(EDATE($D24,Milestones!$AA$78)&lt;=AsOfDate,IF($R24=0,$X24,IF(AND($T24&lt;&gt;"",EDATE($D24,Milestones!$AA$78)&gt;=$T24),$W24,IF(AND($S24&lt;&gt;"",EDATE($D24,Milestones!$AA$78)&gt;=$S24),$V24,$U24)))=Milestones!$AB$78),UPPER(TEXT(EDATE($D24,Milestones!$AA$78),"dd mmm yy"))&amp;" "&amp;Milestones!$AB$78&amp;" "&amp;Milestones!$AC$78&amp;";  ","")&amp;IF(AND(EDATE($D24,Milestones!$AA$79)&lt;=AsOfDate,IF($R24=0,$X24,IF(AND($T24&lt;&gt;"",EDATE($D24,Milestones!$AA$79)&gt;=$T24),$W24,IF(AND($S24&lt;&gt;"",EDATE($D24,Milestones!$AA$79)&gt;=$S24),$V24,$U24)))=Milestones!$AB$79),UPPER(TEXT(EDATE($D24,Milestones!$AA$79),"dd mmm yy"))&amp;" "&amp;Milestones!$AB$79&amp;" "&amp;Milestones!$AC$79&amp;";  ",""))</f>
        <v>16 JUL 16 FT 1;  16 OCT 16 FT 2;  16 JAN 17 FT 1;  16 APR 17 FT 1;  16 JUL 17 FT 1;  16 OCT 17 FT 2;  16 JAN 18 FT 1;  16 APR 18 FT 1;  16 JUL 18 FT 1;  16 OCT 18 FT 2;  16 JAN 19 FT 1;  16 APR 19 FT 1;  </v>
      </c>
      <c r="L24" s="0" t="str">
        <f aca="false">IF(OR($A24="",$D24=""),"",IF(AND(EDATE($D24,Milestones!$AA$80)&lt;=AsOfDate,IF($R24=0,$X24,IF(AND($T24&lt;&gt;"",EDATE($D24,Milestones!$AA$80)&gt;=$T24),$W24,IF(AND($S24&lt;&gt;"",EDATE($D24,Milestones!$AA$80)&gt;=$S24),$V24,$U24)))=Milestones!$AB$80),UPPER(TEXT(EDATE($D24,Milestones!$AA$80),"dd mmm yy"))&amp;" "&amp;Milestones!$AB$80&amp;" "&amp;Milestones!$AC$80&amp;";  ","")&amp;IF(AND(EDATE($D24,Milestones!$AA$81)&lt;=AsOfDate,IF($R24=0,$X24,IF(AND($T24&lt;&gt;"",EDATE($D24,Milestones!$AA$81)&gt;=$T24),$W24,IF(AND($S24&lt;&gt;"",EDATE($D24,Milestones!$AA$81)&gt;=$S24),$V24,$U24)))=Milestones!$AB$81),UPPER(TEXT(EDATE($D24,Milestones!$AA$81),"dd mmm yy"))&amp;" "&amp;Milestones!$AB$81&amp;" "&amp;Milestones!$AC$81&amp;";  ","")&amp;IF(AND(EDATE($D24,Milestones!$AA$82)&lt;=AsOfDate,IF($R24=0,$X24,IF(AND($T24&lt;&gt;"",EDATE($D24,Milestones!$AA$82)&gt;=$T24),$W24,IF(AND($S24&lt;&gt;"",EDATE($D24,Milestones!$AA$82)&gt;=$S24),$V24,$U24)))=Milestones!$AB$82),UPPER(TEXT(EDATE($D24,Milestones!$AA$82),"dd mmm yy"))&amp;" "&amp;Milestones!$AB$82&amp;" "&amp;Milestones!$AC$82&amp;";  ","")&amp;IF(AND(EDATE($D24,Milestones!$AA$83)&lt;=AsOfDate,IF($R24=0,$X24,IF(AND($T24&lt;&gt;"",EDATE($D24,Milestones!$AA$83)&gt;=$T24),$W24,IF(AND($S24&lt;&gt;"",EDATE($D24,Milestones!$AA$83)&gt;=$S24),$V24,$U24)))=Milestones!$AB$83),UPPER(TEXT(EDATE($D24,Milestones!$AA$83),"dd mmm yy"))&amp;" "&amp;Milestones!$AB$83&amp;" "&amp;Milestones!$AC$83&amp;";  ","")&amp;IF(AND(EDATE($D24,Milestones!$AA$84)&lt;=AsOfDate,IF($R24=0,$X24,IF(AND($T24&lt;&gt;"",EDATE($D24,Milestones!$AA$84)&gt;=$T24),$W24,IF(AND($S24&lt;&gt;"",EDATE($D24,Milestones!$AA$84)&gt;=$S24),$V24,$U24)))=Milestones!$AB$84),UPPER(TEXT(EDATE($D24,Milestones!$AA$84),"dd mmm yy"))&amp;" "&amp;Milestones!$AB$84&amp;" "&amp;Milestones!$AC$84&amp;";  ","")&amp;IF(AND(EDATE($D24,Milestones!$AA$85)&lt;=AsOfDate,IF($R24=0,$X24,IF(AND($T24&lt;&gt;"",EDATE($D24,Milestones!$AA$85)&gt;=$T24),$W24,IF(AND($S24&lt;&gt;"",EDATE($D24,Milestones!$AA$85)&gt;=$S24),$V24,$U24)))=Milestones!$AB$85),UPPER(TEXT(EDATE($D24,Milestones!$AA$85),"dd mmm yy"))&amp;" "&amp;Milestones!$AB$85&amp;" "&amp;Milestones!$AC$85&amp;";  ","")&amp;IF(AND(EDATE($D24,Milestones!$AA$86)&lt;=AsOfDate,IF($R24=0,$X24,IF(AND($T24&lt;&gt;"",EDATE($D24,Milestones!$AA$86)&gt;=$T24),$W24,IF(AND($S24&lt;&gt;"",EDATE($D24,Milestones!$AA$86)&gt;=$S24),$V24,$U24)))=Milestones!$AB$86),UPPER(TEXT(EDATE($D24,Milestones!$AA$86),"dd mmm yy"))&amp;" "&amp;Milestones!$AB$86&amp;" "&amp;Milestones!$AC$86&amp;";  ","")&amp;IF(AND(EDATE($D24,Milestones!$AA$87)&lt;=AsOfDate,IF($R24=0,$X24,IF(AND($T24&lt;&gt;"",EDATE($D24,Milestones!$AA$87)&gt;=$T24),$W24,IF(AND($S24&lt;&gt;"",EDATE($D24,Milestones!$AA$87)&gt;=$S24),$V24,$U24)))=Milestones!$AB$87),UPPER(TEXT(EDATE($D24,Milestones!$AA$87),"dd mmm yy"))&amp;" "&amp;Milestones!$AB$87&amp;" "&amp;Milestones!$AC$87&amp;";  ","")&amp;IF(AND(EDATE($D24,Milestones!$AA$88)&lt;=AsOfDate,IF($R24=0,$X24,IF(AND($T24&lt;&gt;"",EDATE($D24,Milestones!$AA$88)&gt;=$T24),$W24,IF(AND($S24&lt;&gt;"",EDATE($D24,Milestones!$AA$88)&gt;=$S24),$V24,$U24)))=Milestones!$AB$88),UPPER(TEXT(EDATE($D24,Milestones!$AA$88),"dd mmm yy"))&amp;" "&amp;Milestones!$AB$88&amp;" "&amp;Milestones!$AC$88&amp;";  ","")&amp;IF(AND(EDATE($D24,Milestones!$AA$89)&lt;=AsOfDate,IF($R24=0,$X24,IF(AND($T24&lt;&gt;"",EDATE($D24,Milestones!$AA$89)&gt;=$T24),$W24,IF(AND($S24&lt;&gt;"",EDATE($D24,Milestones!$AA$89)&gt;=$S24),$V24,$U24)))=Milestones!$AB$89),UPPER(TEXT(EDATE($D24,Milestones!$AA$89),"dd mmm yy"))&amp;" "&amp;Milestones!$AB$89&amp;" "&amp;Milestones!$AC$89&amp;";  ","")&amp;IF(AND(EDATE($D24,Milestones!$AA$90)&lt;=AsOfDate,IF($R24=0,$X24,IF(AND($T24&lt;&gt;"",EDATE($D24,Milestones!$AA$90)&gt;=$T24),$W24,IF(AND($S24&lt;&gt;"",EDATE($D24,Milestones!$AA$90)&gt;=$S24),$V24,$U24)))=Milestones!$AB$90),UPPER(TEXT(EDATE($D24,Milestones!$AA$90),"dd mmm yy"))&amp;" "&amp;Milestones!$AB$90&amp;" "&amp;Milestones!$AC$90&amp;";  ","")&amp;IF(AND(EDATE($D24,Milestones!$AA$91)&lt;=AsOfDate,IF($R24=0,$X24,IF(AND($T24&lt;&gt;"",EDATE($D24,Milestones!$AA$91)&gt;=$T24),$W24,IF(AND($S24&lt;&gt;"",EDATE($D24,Milestones!$AA$91)&gt;=$S24),$V24,$U24)))=Milestones!$AB$91),UPPER(TEXT(EDATE($D24,Milestones!$AA$91),"dd mmm yy"))&amp;" "&amp;Milestones!$AB$91&amp;" "&amp;Milestones!$AC$91&amp;";  ","")&amp;IF(AND(EDATE($D24,Milestones!$AA$92)&lt;=AsOfDate,IF($R24=0,$X24,IF(AND($T24&lt;&gt;"",EDATE($D24,Milestones!$AA$92)&gt;=$T24),$W24,IF(AND($S24&lt;&gt;"",EDATE($D24,Milestones!$AA$92)&gt;=$S24),$V24,$U24)))=Milestones!$AB$92),UPPER(TEXT(EDATE($D24,Milestones!$AA$92),"dd mmm yy"))&amp;" "&amp;Milestones!$AB$92&amp;" "&amp;Milestones!$AC$92&amp;";  ","")&amp;IF(AND(EDATE($D24,Milestones!$AA$93)&lt;=AsOfDate,IF($R24=0,$X24,IF(AND($T24&lt;&gt;"",EDATE($D24,Milestones!$AA$93)&gt;=$T24),$W24,IF(AND($S24&lt;&gt;"",EDATE($D24,Milestones!$AA$93)&gt;=$S24),$V24,$U24)))=Milestones!$AB$93),UPPER(TEXT(EDATE($D24,Milestones!$AA$93),"dd mmm yy"))&amp;" "&amp;Milestones!$AB$93&amp;" "&amp;Milestones!$AC$93&amp;";  ","")&amp;IF(AND(EDATE($D24,Milestones!$AA$94)&lt;=AsOfDate,IF($R24=0,$X24,IF(AND($T24&lt;&gt;"",EDATE($D24,Milestones!$AA$94)&gt;=$T24),$W24,IF(AND($S24&lt;&gt;"",EDATE($D24,Milestones!$AA$94)&gt;=$S24),$V24,$U24)))=Milestones!$AB$94),UPPER(TEXT(EDATE($D24,Milestones!$AA$94),"dd mmm yy"))&amp;" "&amp;Milestones!$AB$94&amp;" "&amp;Milestones!$AC$94&amp;";  ","")&amp;IF(AND(EDATE($D24,Milestones!$AA$95)&lt;=AsOfDate,IF($R24=0,$X24,IF(AND($T24&lt;&gt;"",EDATE($D24,Milestones!$AA$95)&gt;=$T24),$W24,IF(AND($S24&lt;&gt;"",EDATE($D24,Milestones!$AA$95)&gt;=$S24),$V24,$U24)))=Milestones!$AB$95),UPPER(TEXT(EDATE($D24,Milestones!$AA$95),"dd mmm yy"))&amp;" "&amp;Milestones!$AB$95&amp;" "&amp;Milestones!$AC$95&amp;";  ","")&amp;IF(AND(EDATE($D24,Milestones!$AA$96)&lt;=AsOfDate,IF($R24=0,$X24,IF(AND($T24&lt;&gt;"",EDATE($D24,Milestones!$AA$96)&gt;=$T24),$W24,IF(AND($S24&lt;&gt;"",EDATE($D24,Milestones!$AA$96)&gt;=$S24),$V24,$U24)))=Milestones!$AB$96),UPPER(TEXT(EDATE($D24,Milestones!$AA$96),"dd mmm yy"))&amp;" "&amp;Milestones!$AB$96&amp;" "&amp;Milestones!$AC$96&amp;";  ","")&amp;IF(AND(EDATE($D24,Milestones!$AA$97)&lt;=AsOfDate,IF($R24=0,$X24,IF(AND($T24&lt;&gt;"",EDATE($D24,Milestones!$AA$97)&gt;=$T24),$W24,IF(AND($S24&lt;&gt;"",EDATE($D24,Milestones!$AA$97)&gt;=$S24),$V24,$U24)))=Milestones!$AB$97),UPPER(TEXT(EDATE($D24,Milestones!$AA$97),"dd mmm yy"))&amp;" "&amp;Milestones!$AB$97&amp;" "&amp;Milestones!$AC$97&amp;";  ","")&amp;IF(AND(EDATE($D24,Milestones!$AA$98)&lt;=AsOfDate,IF($R24=0,$X24,IF(AND($T24&lt;&gt;"",EDATE($D24,Milestones!$AA$98)&gt;=$T24),$W24,IF(AND($S24&lt;&gt;"",EDATE($D24,Milestones!$AA$98)&gt;=$S24),$V24,$U24)))=Milestones!$AB$98),UPPER(TEXT(EDATE($D24,Milestones!$AA$98),"dd mmm yy"))&amp;" "&amp;Milestones!$AB$98&amp;" "&amp;Milestones!$AC$98&amp;";  ","")&amp;IF(AND(EDATE($D24,Milestones!$AA$99)&lt;=AsOfDate,IF($R24=0,$X24,IF(AND($T24&lt;&gt;"",EDATE($D24,Milestones!$AA$99)&gt;=$T24),$W24,IF(AND($S24&lt;&gt;"",EDATE($D24,Milestones!$AA$99)&gt;=$S24),$V24,$U24)))=Milestones!$AB$99),UPPER(TEXT(EDATE($D24,Milestones!$AA$99),"dd mmm yy"))&amp;" "&amp;Milestones!$AB$99&amp;" "&amp;Milestones!$AC$99&amp;";  ",""))</f>
        <v>16 JUL 19 FT 1;  16 OCT 19 FT 2;  16 JAN 20 FT 1;  16 APR 20 FT 1;  16 JUL 20 FT 1;  16 OCT 20 FT 2;  16 JAN 21 FT 1;  16 APR 21 FT 1;  16 JUL 21 FT 1;  16 OCT 21 FT 2;  16 JAN 22 FT 1;  </v>
      </c>
      <c r="M24" s="0" t="str">
        <f aca="false">IF(OR($A24="",$D24=""),"",IF(AND(EDATE($D24,Milestones!$AA$100)&lt;=AsOfDate,IF($R24=0,$X24,IF(AND($T24&lt;&gt;"",EDATE($D24,Milestones!$AA$100)&gt;=$T24),$W24,IF(AND($S24&lt;&gt;"",EDATE($D24,Milestones!$AA$100)&gt;=$S24),$V24,$U24)))=Milestones!$AB$100),UPPER(TEXT(EDATE($D24,Milestones!$AA$100),"dd mmm yy"))&amp;" "&amp;Milestones!$AB$100&amp;" "&amp;Milestones!$AC$100&amp;";  ","")&amp;IF(AND(EDATE($D24,Milestones!$AA$101)&lt;=AsOfDate,IF($R24=0,$X24,IF(AND($T24&lt;&gt;"",EDATE($D24,Milestones!$AA$101)&gt;=$T24),$W24,IF(AND($S24&lt;&gt;"",EDATE($D24,Milestones!$AA$101)&gt;=$S24),$V24,$U24)))=Milestones!$AB$101),UPPER(TEXT(EDATE($D24,Milestones!$AA$101),"dd mmm yy"))&amp;" "&amp;Milestones!$AB$101&amp;" "&amp;Milestones!$AC$101&amp;";  ","")&amp;IF(AND(EDATE($D24,Milestones!$AA$102)&lt;=AsOfDate,IF($R24=0,$X24,IF(AND($T24&lt;&gt;"",EDATE($D24,Milestones!$AA$102)&gt;=$T24),$W24,IF(AND($S24&lt;&gt;"",EDATE($D24,Milestones!$AA$102)&gt;=$S24),$V24,$U24)))=Milestones!$AB$102),UPPER(TEXT(EDATE($D24,Milestones!$AA$102),"dd mmm yy"))&amp;" "&amp;Milestones!$AB$102&amp;" "&amp;Milestones!$AC$102&amp;";  ","")&amp;IF(AND(EDATE($D24,Milestones!$AA$103)&lt;=AsOfDate,IF($R24=0,$X24,IF(AND($T24&lt;&gt;"",EDATE($D24,Milestones!$AA$103)&gt;=$T24),$W24,IF(AND($S24&lt;&gt;"",EDATE($D24,Milestones!$AA$103)&gt;=$S24),$V24,$U24)))=Milestones!$AB$103),UPPER(TEXT(EDATE($D24,Milestones!$AA$103),"dd mmm yy"))&amp;" "&amp;Milestones!$AB$103&amp;" "&amp;Milestones!$AC$103&amp;";  ","")&amp;IF(AND(EDATE($D24,Milestones!$AA$104)&lt;=AsOfDate,IF($R24=0,$X24,IF(AND($T24&lt;&gt;"",EDATE($D24,Milestones!$AA$104)&gt;=$T24),$W24,IF(AND($S24&lt;&gt;"",EDATE($D24,Milestones!$AA$104)&gt;=$S24),$V24,$U24)))=Milestones!$AB$104),UPPER(TEXT(EDATE($D24,Milestones!$AA$104),"dd mmm yy"))&amp;" "&amp;Milestones!$AB$104&amp;" "&amp;Milestones!$AC$104&amp;";  ","")&amp;IF(AND(EDATE($D24,Milestones!$AA$105)&lt;=AsOfDate,IF($R24=0,$X24,IF(AND($T24&lt;&gt;"",EDATE($D24,Milestones!$AA$105)&gt;=$T24),$W24,IF(AND($S24&lt;&gt;"",EDATE($D24,Milestones!$AA$105)&gt;=$S24),$V24,$U24)))=Milestones!$AB$105),UPPER(TEXT(EDATE($D24,Milestones!$AA$105),"dd mmm yy"))&amp;" "&amp;Milestones!$AB$105&amp;" "&amp;Milestones!$AC$105&amp;";  ","")&amp;IF(AND(EDATE($D24,Milestones!$AA$106)&lt;=AsOfDate,IF($R24=0,$X24,IF(AND($T24&lt;&gt;"",EDATE($D24,Milestones!$AA$106)&gt;=$T24),$W24,IF(AND($S24&lt;&gt;"",EDATE($D24,Milestones!$AA$106)&gt;=$S24),$V24,$U24)))=Milestones!$AB$106),UPPER(TEXT(EDATE($D24,Milestones!$AA$106),"dd mmm yy"))&amp;" "&amp;Milestones!$AB$106&amp;" "&amp;Milestones!$AC$106&amp;";  ","")&amp;IF(AND(EDATE($D24,Milestones!$AA$107)&lt;=AsOfDate,IF($R24=0,$X24,IF(AND($T24&lt;&gt;"",EDATE($D24,Milestones!$AA$107)&gt;=$T24),$W24,IF(AND($S24&lt;&gt;"",EDATE($D24,Milestones!$AA$107)&gt;=$S24),$V24,$U24)))=Milestones!$AB$107),UPPER(TEXT(EDATE($D24,Milestones!$AA$107),"dd mmm yy"))&amp;" "&amp;Milestones!$AB$107&amp;" "&amp;Milestones!$AC$107&amp;";  ","")&amp;IF(AND(EDATE($D24,Milestones!$AA$108)&lt;=AsOfDate,IF($R24=0,$X24,IF(AND($T24&lt;&gt;"",EDATE($D24,Milestones!$AA$108)&gt;=$T24),$W24,IF(AND($S24&lt;&gt;"",EDATE($D24,Milestones!$AA$108)&gt;=$S24),$V24,$U24)))=Milestones!$AB$108),UPPER(TEXT(EDATE($D24,Milestones!$AA$108),"dd mmm yy"))&amp;" "&amp;Milestones!$AB$108&amp;" "&amp;Milestones!$AC$108&amp;";  ","")&amp;IF(AND(EDATE($D24,Milestones!$AA$109)&lt;=AsOfDate,IF($R24=0,$X24,IF(AND($T24&lt;&gt;"",EDATE($D24,Milestones!$AA$109)&gt;=$T24),$W24,IF(AND($S24&lt;&gt;"",EDATE($D24,Milestones!$AA$109)&gt;=$S24),$V24,$U24)))=Milestones!$AB$109),UPPER(TEXT(EDATE($D24,Milestones!$AA$109),"dd mmm yy"))&amp;" "&amp;Milestones!$AB$109&amp;" "&amp;Milestones!$AC$109&amp;";  ","")&amp;IF(AND(EDATE($D24,Milestones!$AA$110)&lt;=AsOfDate,IF($R24=0,$X24,IF(AND($T24&lt;&gt;"",EDATE($D24,Milestones!$AA$110)&gt;=$T24),$W24,IF(AND($S24&lt;&gt;"",EDATE($D24,Milestones!$AA$110)&gt;=$S24),$V24,$U24)))=Milestones!$AB$110),UPPER(TEXT(EDATE($D24,Milestones!$AA$110),"dd mmm yy"))&amp;" "&amp;Milestones!$AB$110&amp;" "&amp;Milestones!$AC$110&amp;";  ","")&amp;IF(AND(EDATE($D24,Milestones!$AA$111)&lt;=AsOfDate,IF($R24=0,$X24,IF(AND($T24&lt;&gt;"",EDATE($D24,Milestones!$AA$111)&gt;=$T24),$W24,IF(AND($S24&lt;&gt;"",EDATE($D24,Milestones!$AA$111)&gt;=$S24),$V24,$U24)))=Milestones!$AB$111),UPPER(TEXT(EDATE($D24,Milestones!$AA$111),"dd mmm yy"))&amp;" "&amp;Milestones!$AB$111&amp;" "&amp;Milestones!$AC$111&amp;";  ","")&amp;IF(AND(EDATE($D24,Milestones!$AA$112)&lt;=AsOfDate,IF($R24=0,$X24,IF(AND($T24&lt;&gt;"",EDATE($D24,Milestones!$AA$112)&gt;=$T24),$W24,IF(AND($S24&lt;&gt;"",EDATE($D24,Milestones!$AA$112)&gt;=$S24),$V24,$U24)))=Milestones!$AB$112),UPPER(TEXT(EDATE($D24,Milestones!$AA$112),"dd mmm yy"))&amp;" "&amp;Milestones!$AB$112&amp;" "&amp;Milestones!$AC$112&amp;";  ","")&amp;IF(AND(EDATE($D24,Milestones!$AA$113)&lt;=AsOfDate,IF($R24=0,$X24,IF(AND($T24&lt;&gt;"",EDATE($D24,Milestones!$AA$113)&gt;=$T24),$W24,IF(AND($S24&lt;&gt;"",EDATE($D24,Milestones!$AA$113)&gt;=$S24),$V24,$U24)))=Milestones!$AB$113),UPPER(TEXT(EDATE($D24,Milestones!$AA$113),"dd mmm yy"))&amp;" "&amp;Milestones!$AB$113&amp;" "&amp;Milestones!$AC$113&amp;";  ","")&amp;IF(AND(EDATE($D24,Milestones!$AA$114)&lt;=AsOfDate,IF($R24=0,$X24,IF(AND($T24&lt;&gt;"",EDATE($D24,Milestones!$AA$114)&gt;=$T24),$W24,IF(AND($S24&lt;&gt;"",EDATE($D24,Milestones!$AA$114)&gt;=$S24),$V24,$U24)))=Milestones!$AB$114),UPPER(TEXT(EDATE($D24,Milestones!$AA$114),"dd mmm yy"))&amp;" "&amp;Milestones!$AB$114&amp;" "&amp;Milestones!$AC$114&amp;";  ","")&amp;IF(AND(EDATE($D24,Milestones!$AA$115)&lt;=AsOfDate,IF($R24=0,$X24,IF(AND($T24&lt;&gt;"",EDATE($D24,Milestones!$AA$115)&gt;=$T24),$W24,IF(AND($S24&lt;&gt;"",EDATE($D24,Milestones!$AA$115)&gt;=$S24),$V24,$U24)))=Milestones!$AB$115),UPPER(TEXT(EDATE($D24,Milestones!$AA$115),"dd mmm yy"))&amp;" "&amp;Milestones!$AB$115&amp;" "&amp;Milestones!$AC$115&amp;";  ","")&amp;IF(AND(EDATE($D24,Milestones!$AA$116)&lt;=AsOfDate,IF($R24=0,$X24,IF(AND($T24&lt;&gt;"",EDATE($D24,Milestones!$AA$116)&gt;=$T24),$W24,IF(AND($S24&lt;&gt;"",EDATE($D24,Milestones!$AA$116)&gt;=$S24),$V24,$U24)))=Milestones!$AB$116),UPPER(TEXT(EDATE($D24,Milestones!$AA$116),"dd mmm yy"))&amp;" "&amp;Milestones!$AB$116&amp;" "&amp;Milestones!$AC$116&amp;";  ","")&amp;IF(AND(EDATE($D24,Milestones!$AA$117)&lt;=AsOfDate,IF($R24=0,$X24,IF(AND($T24&lt;&gt;"",EDATE($D24,Milestones!$AA$117)&gt;=$T24),$W24,IF(AND($S24&lt;&gt;"",EDATE($D24,Milestones!$AA$117)&gt;=$S24),$V24,$U24)))=Milestones!$AB$117),UPPER(TEXT(EDATE($D24,Milestones!$AA$117),"dd mmm yy"))&amp;" "&amp;Milestones!$AB$117&amp;" "&amp;Milestones!$AC$117&amp;";  ","")&amp;IF(AND(EDATE($D24,Milestones!$AA$118)&lt;=AsOfDate,IF($R24=0,$X24,IF(AND($T24&lt;&gt;"",EDATE($D24,Milestones!$AA$118)&gt;=$T24),$W24,IF(AND($S24&lt;&gt;"",EDATE($D24,Milestones!$AA$118)&gt;=$S24),$V24,$U24)))=Milestones!$AB$118),UPPER(TEXT(EDATE($D24,Milestones!$AA$118),"dd mmm yy"))&amp;" "&amp;Milestones!$AB$118&amp;" "&amp;Milestones!$AC$118&amp;";  ","")&amp;IF(AND(EDATE($D24,Milestones!$AA$119)&lt;=AsOfDate,IF($R24=0,$X24,IF(AND($T24&lt;&gt;"",EDATE($D24,Milestones!$AA$119)&gt;=$T24),$W24,IF(AND($S24&lt;&gt;"",EDATE($D24,Milestones!$AA$119)&gt;=$S24),$V24,$U24)))=Milestones!$AB$119),UPPER(TEXT(EDATE($D24,Milestones!$AA$119),"dd mmm yy"))&amp;" "&amp;Milestones!$AB$119&amp;" "&amp;Milestones!$AC$119&amp;";  ",""))</f>
        <v>16 APR 22 FT 1;  16 JUL 22 FT 1;  16 OCT 22 FT 2;  16 JAN 23 FT 1;  16 APR 23 FT 1;  16 JUL 23 FT 1;  16 OCT 23 FT 2;  16 JAN 24 FT 1;  16 APR 24 FT 1;  16 JUL 24 FT 1;  16 OCT 24 FT 2;  16 JAN 25 FT 1;  </v>
      </c>
      <c r="N24" s="0" t="str">
        <f aca="false">IF(OR($A24="",$D24=""),"",IF(AND(EDATE($D24,Milestones!$AA$120)&lt;=AsOfDate,IF($R24=0,$X24,IF(AND($T24&lt;&gt;"",EDATE($D24,Milestones!$AA$120)&gt;=$T24),$W24,IF(AND($S24&lt;&gt;"",EDATE($D24,Milestones!$AA$120)&gt;=$S24),$V24,$U24)))=Milestones!$AB$120),UPPER(TEXT(EDATE($D24,Milestones!$AA$120),"dd mmm yy"))&amp;" "&amp;Milestones!$AB$120&amp;" "&amp;Milestones!$AC$120&amp;";  ","")&amp;IF(AND(EDATE($D24,Milestones!$AA$121)&lt;=AsOfDate,IF($R24=0,$X24,IF(AND($T24&lt;&gt;"",EDATE($D24,Milestones!$AA$121)&gt;=$T24),$W24,IF(AND($S24&lt;&gt;"",EDATE($D24,Milestones!$AA$121)&gt;=$S24),$V24,$U24)))=Milestones!$AB$121),UPPER(TEXT(EDATE($D24,Milestones!$AA$121),"dd mmm yy"))&amp;" "&amp;Milestones!$AB$121&amp;" "&amp;Milestones!$AC$121&amp;";  ","")&amp;IF(AND(EDATE($D24,Milestones!$AA$122)&lt;=AsOfDate,IF($R24=0,$X24,IF(AND($T24&lt;&gt;"",EDATE($D24,Milestones!$AA$122)&gt;=$T24),$W24,IF(AND($S24&lt;&gt;"",EDATE($D24,Milestones!$AA$122)&gt;=$S24),$V24,$U24)))=Milestones!$AB$122),UPPER(TEXT(EDATE($D24,Milestones!$AA$122),"dd mmm yy"))&amp;" "&amp;Milestones!$AB$122&amp;" "&amp;Milestones!$AC$122&amp;";  ","")&amp;IF(AND(EDATE($D24,Milestones!$AA$123)&lt;=AsOfDate,IF($R24=0,$X24,IF(AND($T24&lt;&gt;"",EDATE($D24,Milestones!$AA$123)&gt;=$T24),$W24,IF(AND($S24&lt;&gt;"",EDATE($D24,Milestones!$AA$123)&gt;=$S24),$V24,$U24)))=Milestones!$AB$123),UPPER(TEXT(EDATE($D24,Milestones!$AA$123),"dd mmm yy"))&amp;" "&amp;Milestones!$AB$123&amp;" "&amp;Milestones!$AC$123&amp;";  ","")&amp;IF(AND(EDATE($D24,Milestones!$AA$124)&lt;=AsOfDate,IF($R24=0,$X24,IF(AND($T24&lt;&gt;"",EDATE($D24,Milestones!$AA$124)&gt;=$T24),$W24,IF(AND($S24&lt;&gt;"",EDATE($D24,Milestones!$AA$124)&gt;=$S24),$V24,$U24)))=Milestones!$AB$124),UPPER(TEXT(EDATE($D24,Milestones!$AA$124),"dd mmm yy"))&amp;" "&amp;Milestones!$AB$124&amp;" "&amp;Milestones!$AC$124&amp;";  ","")&amp;IF(AND(EDATE($D24,Milestones!$AA$125)&lt;=AsOfDate,IF($R24=0,$X24,IF(AND($T24&lt;&gt;"",EDATE($D24,Milestones!$AA$125)&gt;=$T24),$W24,IF(AND($S24&lt;&gt;"",EDATE($D24,Milestones!$AA$125)&gt;=$S24),$V24,$U24)))=Milestones!$AB$125),UPPER(TEXT(EDATE($D24,Milestones!$AA$125),"dd mmm yy"))&amp;" "&amp;Milestones!$AB$125&amp;" "&amp;Milestones!$AC$125&amp;";  ","")&amp;IF(AND(EDATE($D24,Milestones!$AA$126)&lt;=AsOfDate,IF($R24=0,$X24,IF(AND($T24&lt;&gt;"",EDATE($D24,Milestones!$AA$126)&gt;=$T24),$W24,IF(AND($S24&lt;&gt;"",EDATE($D24,Milestones!$AA$126)&gt;=$S24),$V24,$U24)))=Milestones!$AB$126),UPPER(TEXT(EDATE($D24,Milestones!$AA$126),"dd mmm yy"))&amp;" "&amp;Milestones!$AB$126&amp;" "&amp;Milestones!$AC$126&amp;";  ","")&amp;IF(AND(EDATE($D24,Milestones!$AA$127)&lt;=AsOfDate,IF($R24=0,$X24,IF(AND($T24&lt;&gt;"",EDATE($D24,Milestones!$AA$127)&gt;=$T24),$W24,IF(AND($S24&lt;&gt;"",EDATE($D24,Milestones!$AA$127)&gt;=$S24),$V24,$U24)))=Milestones!$AB$127),UPPER(TEXT(EDATE($D24,Milestones!$AA$127),"dd mmm yy"))&amp;" "&amp;Milestones!$AB$127&amp;" "&amp;Milestones!$AC$127&amp;";  ","")&amp;IF(AND(EDATE($D24,Milestones!$AA$128)&lt;=AsOfDate,IF($R24=0,$X24,IF(AND($T24&lt;&gt;"",EDATE($D24,Milestones!$AA$128)&gt;=$T24),$W24,IF(AND($S24&lt;&gt;"",EDATE($D24,Milestones!$AA$128)&gt;=$S24),$V24,$U24)))=Milestones!$AB$128),UPPER(TEXT(EDATE($D24,Milestones!$AA$128),"dd mmm yy"))&amp;" "&amp;Milestones!$AB$128&amp;" "&amp;Milestones!$AC$128&amp;";  ","")&amp;IF(AND(EDATE($D24,Milestones!$AA$129)&lt;=AsOfDate,IF($R24=0,$X24,IF(AND($T24&lt;&gt;"",EDATE($D24,Milestones!$AA$129)&gt;=$T24),$W24,IF(AND($S24&lt;&gt;"",EDATE($D24,Milestones!$AA$129)&gt;=$S24),$V24,$U24)))=Milestones!$AB$129),UPPER(TEXT(EDATE($D24,Milestones!$AA$129),"dd mmm yy"))&amp;" "&amp;Milestones!$AB$129&amp;" "&amp;Milestones!$AC$129&amp;";  ","")&amp;IF(AND(EDATE($D24,Milestones!$AA$130)&lt;=AsOfDate,IF($R24=0,$X24,IF(AND($T24&lt;&gt;"",EDATE($D24,Milestones!$AA$130)&gt;=$T24),$W24,IF(AND($S24&lt;&gt;"",EDATE($D24,Milestones!$AA$130)&gt;=$S24),$V24,$U24)))=Milestones!$AB$130),UPPER(TEXT(EDATE($D24,Milestones!$AA$130),"dd mmm yy"))&amp;" "&amp;Milestones!$AB$130&amp;" "&amp;Milestones!$AC$130&amp;";  ","")&amp;IF(AND(EDATE($D24,Milestones!$AA$131)&lt;=AsOfDate,IF($R24=0,$X24,IF(AND($T24&lt;&gt;"",EDATE($D24,Milestones!$AA$131)&gt;=$T24),$W24,IF(AND($S24&lt;&gt;"",EDATE($D24,Milestones!$AA$131)&gt;=$S24),$V24,$U24)))=Milestones!$AB$131),UPPER(TEXT(EDATE($D24,Milestones!$AA$131),"dd mmm yy"))&amp;" "&amp;Milestones!$AB$131&amp;" "&amp;Milestones!$AC$131&amp;";  ","")&amp;IF(AND(EDATE($D24,Milestones!$AA$132)&lt;=AsOfDate,IF($R24=0,$X24,IF(AND($T24&lt;&gt;"",EDATE($D24,Milestones!$AA$132)&gt;=$T24),$W24,IF(AND($S24&lt;&gt;"",EDATE($D24,Milestones!$AA$132)&gt;=$S24),$V24,$U24)))=Milestones!$AB$132),UPPER(TEXT(EDATE($D24,Milestones!$AA$132),"dd mmm yy"))&amp;" "&amp;Milestones!$AB$132&amp;" "&amp;Milestones!$AC$132&amp;";  ","")&amp;IF(AND(EDATE($D24,Milestones!$AA$133)&lt;=AsOfDate,IF($R24=0,$X24,IF(AND($T24&lt;&gt;"",EDATE($D24,Milestones!$AA$133)&gt;=$T24),$W24,IF(AND($S24&lt;&gt;"",EDATE($D24,Milestones!$AA$133)&gt;=$S24),$V24,$U24)))=Milestones!$AB$133),UPPER(TEXT(EDATE($D24,Milestones!$AA$133),"dd mmm yy"))&amp;" "&amp;Milestones!$AB$133&amp;" "&amp;Milestones!$AC$133&amp;";  ","")&amp;IF(AND(EDATE($D24,Milestones!$AA$134)&lt;=AsOfDate,IF($R24=0,$X24,IF(AND($T24&lt;&gt;"",EDATE($D24,Milestones!$AA$134)&gt;=$T24),$W24,IF(AND($S24&lt;&gt;"",EDATE($D24,Milestones!$AA$134)&gt;=$S24),$V24,$U24)))=Milestones!$AB$134),UPPER(TEXT(EDATE($D24,Milestones!$AA$134),"dd mmm yy"))&amp;" "&amp;Milestones!$AB$134&amp;" "&amp;Milestones!$AC$134&amp;";  ","")&amp;IF(AND(EDATE($D24,Milestones!$AA$135)&lt;=AsOfDate,IF($R24=0,$X24,IF(AND($T24&lt;&gt;"",EDATE($D24,Milestones!$AA$135)&gt;=$T24),$W24,IF(AND($S24&lt;&gt;"",EDATE($D24,Milestones!$AA$135)&gt;=$S24),$V24,$U24)))=Milestones!$AB$135),UPPER(TEXT(EDATE($D24,Milestones!$AA$135),"dd mmm yy"))&amp;" "&amp;Milestones!$AB$135&amp;" "&amp;Milestones!$AC$135&amp;";  ","")&amp;IF(AND(EDATE($D24,Milestones!$AA$136)&lt;=AsOfDate,IF($R24=0,$X24,IF(AND($T24&lt;&gt;"",EDATE($D24,Milestones!$AA$136)&gt;=$T24),$W24,IF(AND($S24&lt;&gt;"",EDATE($D24,Milestones!$AA$136)&gt;=$S24),$V24,$U24)))=Milestones!$AB$136),UPPER(TEXT(EDATE($D24,Milestones!$AA$136),"dd mmm yy"))&amp;" "&amp;Milestones!$AB$136&amp;" "&amp;Milestones!$AC$136&amp;";  ","")&amp;IF(AND(EDATE($D24,Milestones!$AA$137)&lt;=AsOfDate,IF($R24=0,$X24,IF(AND($T24&lt;&gt;"",EDATE($D24,Milestones!$AA$137)&gt;=$T24),$W24,IF(AND($S24&lt;&gt;"",EDATE($D24,Milestones!$AA$137)&gt;=$S24),$V24,$U24)))=Milestones!$AB$137),UPPER(TEXT(EDATE($D24,Milestones!$AA$137),"dd mmm yy"))&amp;" "&amp;Milestones!$AB$137&amp;" "&amp;Milestones!$AC$137&amp;";  ","")&amp;IF(AND(EDATE($D24,Milestones!$AA$138)&lt;=AsOfDate,IF($R24=0,$X24,IF(AND($T24&lt;&gt;"",EDATE($D24,Milestones!$AA$138)&gt;=$T24),$W24,IF(AND($S24&lt;&gt;"",EDATE($D24,Milestones!$AA$138)&gt;=$S24),$V24,$U24)))=Milestones!$AB$138),UPPER(TEXT(EDATE($D24,Milestones!$AA$138),"dd mmm yy"))&amp;" "&amp;Milestones!$AB$138&amp;" "&amp;Milestones!$AC$138&amp;";  ","")&amp;IF(AND(EDATE($D24,Milestones!$AA$139)&lt;=AsOfDate,IF($R24=0,$X24,IF(AND($T24&lt;&gt;"",EDATE($D24,Milestones!$AA$139)&gt;=$T24),$W24,IF(AND($S24&lt;&gt;"",EDATE($D24,Milestones!$AA$139)&gt;=$S24),$V24,$U24)))=Milestones!$AB$139),UPPER(TEXT(EDATE($D24,Milestones!$AA$139),"dd mmm yy"))&amp;" "&amp;Milestones!$AB$139&amp;" "&amp;Milestones!$AC$139&amp;";  ",""))</f>
        <v>16 APR 25 FT 1;  16 JUL 25 FT 1;  16 OCT 25 FT 2;  16 JAN 26 FT 1;  16 APR 26 FT 1;  16 JUL 26 FT 1;  </v>
      </c>
      <c r="O24" s="0" t="str">
        <f aca="false">IF(OR($A24="",$D24=""),"",IF(AND(EDATE($D24,Milestones!$AA$140)&lt;=AsOfDate,IF($R24=0,$X24,IF(AND($T24&lt;&gt;"",EDATE($D24,Milestones!$AA$140)&gt;=$T24),$W24,IF(AND($S24&lt;&gt;"",EDATE($D24,Milestones!$AA$140)&gt;=$S24),$V24,$U24)))=Milestones!$AB$140),UPPER(TEXT(EDATE($D24,Milestones!$AA$140),"dd mmm yy"))&amp;" "&amp;Milestones!$AB$140&amp;" "&amp;Milestones!$AC$140&amp;";  ","")&amp;IF(AND(EDATE($D24,Milestones!$AA$141)&lt;=AsOfDate,IF($R24=0,$X24,IF(AND($T24&lt;&gt;"",EDATE($D24,Milestones!$AA$141)&gt;=$T24),$W24,IF(AND($S24&lt;&gt;"",EDATE($D24,Milestones!$AA$141)&gt;=$S24),$V24,$U24)))=Milestones!$AB$141),UPPER(TEXT(EDATE($D24,Milestones!$AA$141),"dd mmm yy"))&amp;" "&amp;Milestones!$AB$141&amp;" "&amp;Milestones!$AC$141&amp;";  ","")&amp;IF(AND(EDATE($D24,Milestones!$AA$142)&lt;=AsOfDate,IF($R24=0,$X24,IF(AND($T24&lt;&gt;"",EDATE($D24,Milestones!$AA$142)&gt;=$T24),$W24,IF(AND($S24&lt;&gt;"",EDATE($D24,Milestones!$AA$142)&gt;=$S24),$V24,$U24)))=Milestones!$AB$142),UPPER(TEXT(EDATE($D24,Milestones!$AA$142),"dd mmm yy"))&amp;" "&amp;Milestones!$AB$142&amp;" "&amp;Milestones!$AC$142&amp;";  ","")&amp;IF(AND(EDATE($D24,Milestones!$AA$143)&lt;=AsOfDate,IF($R24=0,$X24,IF(AND($T24&lt;&gt;"",EDATE($D24,Milestones!$AA$143)&gt;=$T24),$W24,IF(AND($S24&lt;&gt;"",EDATE($D24,Milestones!$AA$143)&gt;=$S24),$V24,$U24)))=Milestones!$AB$143),UPPER(TEXT(EDATE($D24,Milestones!$AA$143),"dd mmm yy"))&amp;" "&amp;Milestones!$AB$143&amp;" "&amp;Milestones!$AC$143&amp;";  ","")&amp;IF(AND(EDATE($D24,Milestones!$AA$144)&lt;=AsOfDate,IF($R24=0,$X24,IF(AND($T24&lt;&gt;"",EDATE($D24,Milestones!$AA$144)&gt;=$T24),$W24,IF(AND($S24&lt;&gt;"",EDATE($D24,Milestones!$AA$144)&gt;=$S24),$V24,$U24)))=Milestones!$AB$144),UPPER(TEXT(EDATE($D24,Milestones!$AA$144),"dd mmm yy"))&amp;" "&amp;Milestones!$AB$144&amp;" "&amp;Milestones!$AC$144&amp;";  ","")&amp;IF(AND(EDATE($D24,Milestones!$AA$145)&lt;=AsOfDate,IF($R24=0,$X24,IF(AND($T24&lt;&gt;"",EDATE($D24,Milestones!$AA$145)&gt;=$T24),$W24,IF(AND($S24&lt;&gt;"",EDATE($D24,Milestones!$AA$145)&gt;=$S24),$V24,$U24)))=Milestones!$AB$145),UPPER(TEXT(EDATE($D24,Milestones!$AA$145),"dd mmm yy"))&amp;" "&amp;Milestones!$AB$145&amp;" "&amp;Milestones!$AC$145&amp;";  ","")&amp;IF(AND(EDATE($D24,Milestones!$AA$146)&lt;=AsOfDate,IF($R24=0,$X24,IF(AND($T24&lt;&gt;"",EDATE($D24,Milestones!$AA$146)&gt;=$T24),$W24,IF(AND($S24&lt;&gt;"",EDATE($D24,Milestones!$AA$146)&gt;=$S24),$V24,$U24)))=Milestones!$AB$146),UPPER(TEXT(EDATE($D24,Milestones!$AA$146),"dd mmm yy"))&amp;" "&amp;Milestones!$AB$146&amp;" "&amp;Milestones!$AC$146&amp;";  ","")&amp;IF(AND(EDATE($D24,Milestones!$AA$147)&lt;=AsOfDate,IF($R24=0,$X24,IF(AND($T24&lt;&gt;"",EDATE($D24,Milestones!$AA$147)&gt;=$T24),$W24,IF(AND($S24&lt;&gt;"",EDATE($D24,Milestones!$AA$147)&gt;=$S24),$V24,$U24)))=Milestones!$AB$147),UPPER(TEXT(EDATE($D24,Milestones!$AA$147),"dd mmm yy"))&amp;" "&amp;Milestones!$AB$147&amp;" "&amp;Milestones!$AC$147&amp;";  ","")&amp;IF(AND(EDATE($D24,Milestones!$AA$148)&lt;=AsOfDate,IF($R24=0,$X24,IF(AND($T24&lt;&gt;"",EDATE($D24,Milestones!$AA$148)&gt;=$T24),$W24,IF(AND($S24&lt;&gt;"",EDATE($D24,Milestones!$AA$148)&gt;=$S24),$V24,$U24)))=Milestones!$AB$148),UPPER(TEXT(EDATE($D24,Milestones!$AA$148),"dd mmm yy"))&amp;" "&amp;Milestones!$AB$148&amp;" "&amp;Milestones!$AC$148&amp;";  ","")&amp;IF(AND(EDATE($D24,Milestones!$AA$149)&lt;=AsOfDate,IF($R24=0,$X24,IF(AND($T24&lt;&gt;"",EDATE($D24,Milestones!$AA$149)&gt;=$T24),$W24,IF(AND($S24&lt;&gt;"",EDATE($D24,Milestones!$AA$149)&gt;=$S24),$V24,$U24)))=Milestones!$AB$149),UPPER(TEXT(EDATE($D24,Milestones!$AA$149),"dd mmm yy"))&amp;" "&amp;Milestones!$AB$149&amp;" "&amp;Milestones!$AC$149&amp;";  ","")&amp;IF(AND(EDATE($D24,Milestones!$AA$150)&lt;=AsOfDate,IF($R24=0,$X24,IF(AND($T24&lt;&gt;"",EDATE($D24,Milestones!$AA$150)&gt;=$T24),$W24,IF(AND($S24&lt;&gt;"",EDATE($D24,Milestones!$AA$150)&gt;=$S24),$V24,$U24)))=Milestones!$AB$150),UPPER(TEXT(EDATE($D24,Milestones!$AA$150),"dd mmm yy"))&amp;" "&amp;Milestones!$AB$150&amp;" "&amp;Milestones!$AC$150&amp;";  ","")&amp;IF(AND(EDATE($D24,Milestones!$AA$151)&lt;=AsOfDate,IF($R24=0,$X24,IF(AND($T24&lt;&gt;"",EDATE($D24,Milestones!$AA$151)&gt;=$T24),$W24,IF(AND($S24&lt;&gt;"",EDATE($D24,Milestones!$AA$151)&gt;=$S24),$V24,$U24)))=Milestones!$AB$151),UPPER(TEXT(EDATE($D24,Milestones!$AA$151),"dd mmm yy"))&amp;" "&amp;Milestones!$AB$151&amp;" "&amp;Milestones!$AC$151&amp;";  ","")&amp;IF(AND(EDATE($D24,Milestones!$AA$152)&lt;=AsOfDate,IF($R24=0,$X24,IF(AND($T24&lt;&gt;"",EDATE($D24,Milestones!$AA$152)&gt;=$T24),$W24,IF(AND($S24&lt;&gt;"",EDATE($D24,Milestones!$AA$152)&gt;=$S24),$V24,$U24)))=Milestones!$AB$152),UPPER(TEXT(EDATE($D24,Milestones!$AA$152),"dd mmm yy"))&amp;" "&amp;Milestones!$AB$152&amp;" "&amp;Milestones!$AC$152&amp;";  ","")&amp;IF(AND(EDATE($D24,Milestones!$AA$153)&lt;=AsOfDate,IF($R24=0,$X24,IF(AND($T24&lt;&gt;"",EDATE($D24,Milestones!$AA$153)&gt;=$T24),$W24,IF(AND($S24&lt;&gt;"",EDATE($D24,Milestones!$AA$153)&gt;=$S24),$V24,$U24)))=Milestones!$AB$153),UPPER(TEXT(EDATE($D24,Milestones!$AA$153),"dd mmm yy"))&amp;" "&amp;Milestones!$AB$153&amp;" "&amp;Milestones!$AC$153&amp;";  ","")&amp;IF(AND(EDATE($D24,Milestones!$AA$154)&lt;=AsOfDate,IF($R24=0,$X24,IF(AND($T24&lt;&gt;"",EDATE($D24,Milestones!$AA$154)&gt;=$T24),$W24,IF(AND($S24&lt;&gt;"",EDATE($D24,Milestones!$AA$154)&gt;=$S24),$V24,$U24)))=Milestones!$AB$154),UPPER(TEXT(EDATE($D24,Milestones!$AA$154),"dd mmm yy"))&amp;" "&amp;Milestones!$AB$154&amp;" "&amp;Milestones!$AC$154&amp;";  ","")&amp;IF(AND(EDATE($D24,Milestones!$AA$155)&lt;=AsOfDate,IF($R24=0,$X24,IF(AND($T24&lt;&gt;"",EDATE($D24,Milestones!$AA$155)&gt;=$T24),$W24,IF(AND($S24&lt;&gt;"",EDATE($D24,Milestones!$AA$155)&gt;=$S24),$V24,$U24)))=Milestones!$AB$155),UPPER(TEXT(EDATE($D24,Milestones!$AA$155),"dd mmm yy"))&amp;" "&amp;Milestones!$AB$155&amp;" "&amp;Milestones!$AC$155&amp;";  ","")&amp;IF(AND(EDATE($D24,Milestones!$AA$156)&lt;=AsOfDate,IF($R24=0,$X24,IF(AND($T24&lt;&gt;"",EDATE($D24,Milestones!$AA$156)&gt;=$T24),$W24,IF(AND($S24&lt;&gt;"",EDATE($D24,Milestones!$AA$156)&gt;=$S24),$V24,$U24)))=Milestones!$AB$156),UPPER(TEXT(EDATE($D24,Milestones!$AA$156),"dd mmm yy"))&amp;" "&amp;Milestones!$AB$156&amp;" "&amp;Milestones!$AC$156&amp;";  ","")&amp;IF(AND(EDATE($D24,Milestones!$AA$157)&lt;=AsOfDate,IF($R24=0,$X24,IF(AND($T24&lt;&gt;"",EDATE($D24,Milestones!$AA$157)&gt;=$T24),$W24,IF(AND($S24&lt;&gt;"",EDATE($D24,Milestones!$AA$157)&gt;=$S24),$V24,$U24)))=Milestones!$AB$157),UPPER(TEXT(EDATE($D24,Milestones!$AA$157),"dd mmm yy"))&amp;" "&amp;Milestones!$AB$157&amp;" "&amp;Milestones!$AC$157&amp;";  ","")&amp;IF(AND(EDATE($D24,Milestones!$AA$158)&lt;=AsOfDate,IF($R24=0,$X24,IF(AND($T24&lt;&gt;"",EDATE($D24,Milestones!$AA$158)&gt;=$T24),$W24,IF(AND($S24&lt;&gt;"",EDATE($D24,Milestones!$AA$158)&gt;=$S24),$V24,$U24)))=Milestones!$AB$158),UPPER(TEXT(EDATE($D24,Milestones!$AA$158),"dd mmm yy"))&amp;" "&amp;Milestones!$AB$158&amp;" "&amp;Milestones!$AC$158&amp;";  ","")&amp;IF(AND(EDATE($D24,Milestones!$AA$159)&lt;=AsOfDate,IF($R24=0,$X24,IF(AND($T24&lt;&gt;"",EDATE($D24,Milestones!$AA$159)&gt;=$T24),$W24,IF(AND($S24&lt;&gt;"",EDATE($D24,Milestones!$AA$159)&gt;=$S24),$V24,$U24)))=Milestones!$AB$159),UPPER(TEXT(EDATE($D24,Milestones!$AA$159),"dd mmm yy"))&amp;" "&amp;Milestones!$AB$159&amp;" "&amp;Milestones!$AC$159&amp;";  ",""))</f>
        <v/>
      </c>
      <c r="P24" s="0" t="str">
        <f aca="false">IF(OR($A24="",$D24=""),"",IF(AND(EDATE($D24,Milestones!$AA$160)&lt;=AsOfDate,IF($R24=0,$X24,IF(AND($T24&lt;&gt;"",EDATE($D24,Milestones!$AA$160)&gt;=$T24),$W24,IF(AND($S24&lt;&gt;"",EDATE($D24,Milestones!$AA$160)&gt;=$S24),$V24,$U24)))=Milestones!$AB$160),UPPER(TEXT(EDATE($D24,Milestones!$AA$160),"dd mmm yy"))&amp;" "&amp;Milestones!$AB$160&amp;" "&amp;Milestones!$AC$160&amp;";  ","")&amp;IF(AND(EDATE($D24,Milestones!$AA$161)&lt;=AsOfDate,IF($R24=0,$X24,IF(AND($T24&lt;&gt;"",EDATE($D24,Milestones!$AA$161)&gt;=$T24),$W24,IF(AND($S24&lt;&gt;"",EDATE($D24,Milestones!$AA$161)&gt;=$S24),$V24,$U24)))=Milestones!$AB$161),UPPER(TEXT(EDATE($D24,Milestones!$AA$161),"dd mmm yy"))&amp;" "&amp;Milestones!$AB$161&amp;" "&amp;Milestones!$AC$161&amp;";  ","")&amp;IF(AND(EDATE($D24,Milestones!$AA$162)&lt;=AsOfDate,IF($R24=0,$X24,IF(AND($T24&lt;&gt;"",EDATE($D24,Milestones!$AA$162)&gt;=$T24),$W24,IF(AND($S24&lt;&gt;"",EDATE($D24,Milestones!$AA$162)&gt;=$S24),$V24,$U24)))=Milestones!$AB$162),UPPER(TEXT(EDATE($D24,Milestones!$AA$162),"dd mmm yy"))&amp;" "&amp;Milestones!$AB$162&amp;" "&amp;Milestones!$AC$162&amp;";  ","")&amp;IF(AND(EDATE($D24,Milestones!$AA$163)&lt;=AsOfDate,IF($R24=0,$X24,IF(AND($T24&lt;&gt;"",EDATE($D24,Milestones!$AA$163)&gt;=$T24),$W24,IF(AND($S24&lt;&gt;"",EDATE($D24,Milestones!$AA$163)&gt;=$S24),$V24,$U24)))=Milestones!$AB$163),UPPER(TEXT(EDATE($D24,Milestones!$AA$163),"dd mmm yy"))&amp;" "&amp;Milestones!$AB$163&amp;" "&amp;Milestones!$AC$163&amp;";  ","")&amp;IF(AND(EDATE($D24,Milestones!$AA$164)&lt;=AsOfDate,IF($R24=0,$X24,IF(AND($T24&lt;&gt;"",EDATE($D24,Milestones!$AA$164)&gt;=$T24),$W24,IF(AND($S24&lt;&gt;"",EDATE($D24,Milestones!$AA$164)&gt;=$S24),$V24,$U24)))=Milestones!$AB$164),UPPER(TEXT(EDATE($D24,Milestones!$AA$164),"dd mmm yy"))&amp;" "&amp;Milestones!$AB$164&amp;" "&amp;Milestones!$AC$164&amp;";  ","")&amp;IF(AND(EDATE($D24,Milestones!$AA$165)&lt;=AsOfDate,IF($R24=0,$X24,IF(AND($T24&lt;&gt;"",EDATE($D24,Milestones!$AA$165)&gt;=$T24),$W24,IF(AND($S24&lt;&gt;"",EDATE($D24,Milestones!$AA$165)&gt;=$S24),$V24,$U24)))=Milestones!$AB$165),UPPER(TEXT(EDATE($D24,Milestones!$AA$165),"dd mmm yy"))&amp;" "&amp;Milestones!$AB$165&amp;" "&amp;Milestones!$AC$165&amp;";  ","")&amp;IF(AND(EDATE($D24,Milestones!$AA$166)&lt;=AsOfDate,IF($R24=0,$X24,IF(AND($T24&lt;&gt;"",EDATE($D24,Milestones!$AA$166)&gt;=$T24),$W24,IF(AND($S24&lt;&gt;"",EDATE($D24,Milestones!$AA$166)&gt;=$S24),$V24,$U24)))=Milestones!$AB$166),UPPER(TEXT(EDATE($D24,Milestones!$AA$166),"dd mmm yy"))&amp;" "&amp;Milestones!$AB$166&amp;" "&amp;Milestones!$AC$166&amp;";  ","")&amp;IF(AND(EDATE($D24,Milestones!$AA$167)&lt;=AsOfDate,IF($R24=0,$X24,IF(AND($T24&lt;&gt;"",EDATE($D24,Milestones!$AA$167)&gt;=$T24),$W24,IF(AND($S24&lt;&gt;"",EDATE($D24,Milestones!$AA$167)&gt;=$S24),$V24,$U24)))=Milestones!$AB$167),UPPER(TEXT(EDATE($D24,Milestones!$AA$167),"dd mmm yy"))&amp;" "&amp;Milestones!$AB$167&amp;" "&amp;Milestones!$AC$167&amp;";  ","")&amp;IF(AND(EDATE($D24,Milestones!$AA$168)&lt;=AsOfDate,IF($R24=0,$X24,IF(AND($T24&lt;&gt;"",EDATE($D24,Milestones!$AA$168)&gt;=$T24),$W24,IF(AND($S24&lt;&gt;"",EDATE($D24,Milestones!$AA$168)&gt;=$S24),$V24,$U24)))=Milestones!$AB$168),UPPER(TEXT(EDATE($D24,Milestones!$AA$168),"dd mmm yy"))&amp;" "&amp;Milestones!$AB$168&amp;" "&amp;Milestones!$AC$168&amp;";  ","")&amp;IF(AND(EDATE($D24,Milestones!$AA$169)&lt;=AsOfDate,IF($R24=0,$X24,IF(AND($T24&lt;&gt;"",EDATE($D24,Milestones!$AA$169)&gt;=$T24),$W24,IF(AND($S24&lt;&gt;"",EDATE($D24,Milestones!$AA$169)&gt;=$S24),$V24,$U24)))=Milestones!$AB$169),UPPER(TEXT(EDATE($D24,Milestones!$AA$169),"dd mmm yy"))&amp;" "&amp;Milestones!$AB$169&amp;" "&amp;Milestones!$AC$169&amp;";  ","")&amp;IF(AND(EDATE($D24,Milestones!$AA$170)&lt;=AsOfDate,IF($R24=0,$X24,IF(AND($T24&lt;&gt;"",EDATE($D24,Milestones!$AA$170)&gt;=$T24),$W24,IF(AND($S24&lt;&gt;"",EDATE($D24,Milestones!$AA$170)&gt;=$S24),$V24,$U24)))=Milestones!$AB$170),UPPER(TEXT(EDATE($D24,Milestones!$AA$170),"dd mmm yy"))&amp;" "&amp;Milestones!$AB$170&amp;" "&amp;Milestones!$AC$170&amp;";  ","")&amp;IF(AND(EDATE($D24,Milestones!$AA$171)&lt;=AsOfDate,IF($R24=0,$X24,IF(AND($T24&lt;&gt;"",EDATE($D24,Milestones!$AA$171)&gt;=$T24),$W24,IF(AND($S24&lt;&gt;"",EDATE($D24,Milestones!$AA$171)&gt;=$S24),$V24,$U24)))=Milestones!$AB$171),UPPER(TEXT(EDATE($D24,Milestones!$AA$171),"dd mmm yy"))&amp;" "&amp;Milestones!$AB$171&amp;" "&amp;Milestones!$AC$171&amp;";  ","")&amp;IF(AND(EDATE($D24,Milestones!$AA$172)&lt;=AsOfDate,IF($R24=0,$X24,IF(AND($T24&lt;&gt;"",EDATE($D24,Milestones!$AA$172)&gt;=$T24),$W24,IF(AND($S24&lt;&gt;"",EDATE($D24,Milestones!$AA$172)&gt;=$S24),$V24,$U24)))=Milestones!$AB$172),UPPER(TEXT(EDATE($D24,Milestones!$AA$172),"dd mmm yy"))&amp;" "&amp;Milestones!$AB$172&amp;" "&amp;Milestones!$AC$172&amp;";  ","")&amp;IF(AND(EDATE($D24,Milestones!$AA$173)&lt;=AsOfDate,IF($R24=0,$X24,IF(AND($T24&lt;&gt;"",EDATE($D24,Milestones!$AA$173)&gt;=$T24),$W24,IF(AND($S24&lt;&gt;"",EDATE($D24,Milestones!$AA$173)&gt;=$S24),$V24,$U24)))=Milestones!$AB$173),UPPER(TEXT(EDATE($D24,Milestones!$AA$173),"dd mmm yy"))&amp;" "&amp;Milestones!$AB$173&amp;" "&amp;Milestones!$AC$173&amp;";  ","")&amp;IF(AND(EDATE($D24,Milestones!$AA$174)&lt;=AsOfDate,IF($R24=0,$X24,IF(AND($T24&lt;&gt;"",EDATE($D24,Milestones!$AA$174)&gt;=$T24),$W24,IF(AND($S24&lt;&gt;"",EDATE($D24,Milestones!$AA$174)&gt;=$S24),$V24,$U24)))=Milestones!$AB$174),UPPER(TEXT(EDATE($D24,Milestones!$AA$174),"dd mmm yy"))&amp;" "&amp;Milestones!$AB$174&amp;" "&amp;Milestones!$AC$174&amp;";  ","")&amp;IF(AND(EDATE($D24,Milestones!$AA$175)&lt;=AsOfDate,IF($R24=0,$X24,IF(AND($T24&lt;&gt;"",EDATE($D24,Milestones!$AA$175)&gt;=$T24),$W24,IF(AND($S24&lt;&gt;"",EDATE($D24,Milestones!$AA$175)&gt;=$S24),$V24,$U24)))=Milestones!$AB$175),UPPER(TEXT(EDATE($D24,Milestones!$AA$175),"dd mmm yy"))&amp;" "&amp;Milestones!$AB$175&amp;" "&amp;Milestones!$AC$175&amp;";  ","")&amp;IF(AND(EDATE($D24,Milestones!$AA$176)&lt;=AsOfDate,IF($R24=0,$X24,IF(AND($T24&lt;&gt;"",EDATE($D24,Milestones!$AA$176)&gt;=$T24),$W24,IF(AND($S24&lt;&gt;"",EDATE($D24,Milestones!$AA$176)&gt;=$S24),$V24,$U24)))=Milestones!$AB$176),UPPER(TEXT(EDATE($D24,Milestones!$AA$176),"dd mmm yy"))&amp;" "&amp;Milestones!$AB$176&amp;" "&amp;Milestones!$AC$176&amp;";  ","")&amp;IF(AND(EDATE($D24,Milestones!$AA$177)&lt;=AsOfDate,IF($R24=0,$X24,IF(AND($T24&lt;&gt;"",EDATE($D24,Milestones!$AA$177)&gt;=$T24),$W24,IF(AND($S24&lt;&gt;"",EDATE($D24,Milestones!$AA$177)&gt;=$S24),$V24,$U24)))=Milestones!$AB$177),UPPER(TEXT(EDATE($D24,Milestones!$AA$177),"dd mmm yy"))&amp;" "&amp;Milestones!$AB$177&amp;" "&amp;Milestones!$AC$177&amp;";  ","")&amp;IF(AND(EDATE($D24,Milestones!$AA$178)&lt;=AsOfDate,IF($R24=0,$X24,IF(AND($T24&lt;&gt;"",EDATE($D24,Milestones!$AA$178)&gt;=$T24),$W24,IF(AND($S24&lt;&gt;"",EDATE($D24,Milestones!$AA$178)&gt;=$S24),$V24,$U24)))=Milestones!$AB$178),UPPER(TEXT(EDATE($D24,Milestones!$AA$178),"dd mmm yy"))&amp;" "&amp;Milestones!$AB$178&amp;" "&amp;Milestones!$AC$178&amp;";  ","")&amp;IF(AND(EDATE($D24,Milestones!$AA$179)&lt;=AsOfDate,IF($R24=0,$X24,IF(AND($T24&lt;&gt;"",EDATE($D24,Milestones!$AA$179)&gt;=$T24),$W24,IF(AND($S24&lt;&gt;"",EDATE($D24,Milestones!$AA$179)&gt;=$S24),$V24,$U24)))=Milestones!$AB$179),UPPER(TEXT(EDATE($D24,Milestones!$AA$179),"dd mmm yy"))&amp;" "&amp;Milestones!$AB$179&amp;" "&amp;Milestones!$AC$179&amp;";  ",""))</f>
        <v/>
      </c>
      <c r="Q24" s="0" t="str">
        <f aca="false">IF(OR($A24="",$D24=""),"",IF(AND(EDATE($D24,Milestones!$AA$180)&lt;=AsOfDate,IF($R24=0,$X24,IF(AND($T24&lt;&gt;"",EDATE($D24,Milestones!$AA$180)&gt;=$T24),$W24,IF(AND($S24&lt;&gt;"",EDATE($D24,Milestones!$AA$180)&gt;=$S24),$V24,$U24)))=Milestones!$AB$180),UPPER(TEXT(EDATE($D24,Milestones!$AA$180),"dd mmm yy"))&amp;" "&amp;Milestones!$AB$180&amp;" "&amp;Milestones!$AC$180&amp;";  ","")&amp;IF(AND(EDATE($D24,Milestones!$AA$181)&lt;=AsOfDate,IF($R24=0,$X24,IF(AND($T24&lt;&gt;"",EDATE($D24,Milestones!$AA$181)&gt;=$T24),$W24,IF(AND($S24&lt;&gt;"",EDATE($D24,Milestones!$AA$181)&gt;=$S24),$V24,$U24)))=Milestones!$AB$181),UPPER(TEXT(EDATE($D24,Milestones!$AA$181),"dd mmm yy"))&amp;" "&amp;Milestones!$AB$181&amp;" "&amp;Milestones!$AC$181&amp;";  ","")&amp;IF(AND(EDATE($D24,Milestones!$AA$182)&lt;=AsOfDate,IF($R24=0,$X24,IF(AND($T24&lt;&gt;"",EDATE($D24,Milestones!$AA$182)&gt;=$T24),$W24,IF(AND($S24&lt;&gt;"",EDATE($D24,Milestones!$AA$182)&gt;=$S24),$V24,$U24)))=Milestones!$AB$182),UPPER(TEXT(EDATE($D24,Milestones!$AA$182),"dd mmm yy"))&amp;" "&amp;Milestones!$AB$182&amp;" "&amp;Milestones!$AC$182&amp;";  ","")&amp;IF(AND(EDATE($D24,Milestones!$AA$183)&lt;=AsOfDate,IF($R24=0,$X24,IF(AND($T24&lt;&gt;"",EDATE($D24,Milestones!$AA$183)&gt;=$T24),$W24,IF(AND($S24&lt;&gt;"",EDATE($D24,Milestones!$AA$183)&gt;=$S24),$V24,$U24)))=Milestones!$AB$183),UPPER(TEXT(EDATE($D24,Milestones!$AA$183),"dd mmm yy"))&amp;" "&amp;Milestones!$AB$183&amp;" "&amp;Milestones!$AC$183&amp;";  ","")&amp;IF(AND(EDATE($D24,Milestones!$AA$184)&lt;=AsOfDate,IF($R24=0,$X24,IF(AND($T24&lt;&gt;"",EDATE($D24,Milestones!$AA$184)&gt;=$T24),$W24,IF(AND($S24&lt;&gt;"",EDATE($D24,Milestones!$AA$184)&gt;=$S24),$V24,$U24)))=Milestones!$AB$184),UPPER(TEXT(EDATE($D24,Milestones!$AA$184),"dd mmm yy"))&amp;" "&amp;Milestones!$AB$184&amp;" "&amp;Milestones!$AC$184&amp;";  ","")&amp;IF(AND(EDATE($D24,Milestones!$AA$185)&lt;=AsOfDate,IF($R24=0,$X24,IF(AND($T24&lt;&gt;"",EDATE($D24,Milestones!$AA$185)&gt;=$T24),$W24,IF(AND($S24&lt;&gt;"",EDATE($D24,Milestones!$AA$185)&gt;=$S24),$V24,$U24)))=Milestones!$AB$185),UPPER(TEXT(EDATE($D24,Milestones!$AA$185),"dd mmm yy"))&amp;" "&amp;Milestones!$AB$185&amp;" "&amp;Milestones!$AC$185&amp;";  ","")&amp;IF(AND(EDATE($D24,Milestones!$AA$186)&lt;=AsOfDate,IF($R24=0,$X24,IF(AND($T24&lt;&gt;"",EDATE($D24,Milestones!$AA$186)&gt;=$T24),$W24,IF(AND($S24&lt;&gt;"",EDATE($D24,Milestones!$AA$186)&gt;=$S24),$V24,$U24)))=Milestones!$AB$186),UPPER(TEXT(EDATE($D24,Milestones!$AA$186),"dd mmm yy"))&amp;" "&amp;Milestones!$AB$186&amp;" "&amp;Milestones!$AC$186&amp;";  ","")&amp;IF(AND(EDATE($D24,Milestones!$AA$187)&lt;=AsOfDate,IF($R24=0,$X24,IF(AND($T24&lt;&gt;"",EDATE($D24,Milestones!$AA$187)&gt;=$T24),$W24,IF(AND($S24&lt;&gt;"",EDATE($D24,Milestones!$AA$187)&gt;=$S24),$V24,$U24)))=Milestones!$AB$187),UPPER(TEXT(EDATE($D24,Milestones!$AA$187),"dd mmm yy"))&amp;" "&amp;Milestones!$AB$187&amp;" "&amp;Milestones!$AC$187&amp;";  ","")&amp;IF(AND(EDATE($D24,Milestones!$AA$188)&lt;=AsOfDate,IF($R24=0,$X24,IF(AND($T24&lt;&gt;"",EDATE($D24,Milestones!$AA$188)&gt;=$T24),$W24,IF(AND($S24&lt;&gt;"",EDATE($D24,Milestones!$AA$188)&gt;=$S24),$V24,$U24)))=Milestones!$AB$188),UPPER(TEXT(EDATE($D24,Milestones!$AA$188),"dd mmm yy"))&amp;" "&amp;Milestones!$AB$188&amp;" "&amp;Milestones!$AC$188&amp;";  ","")&amp;IF(AND(EDATE($D24,Milestones!$AA$189)&lt;=AsOfDate,IF($R24=0,$X24,IF(AND($T24&lt;&gt;"",EDATE($D24,Milestones!$AA$189)&gt;=$T24),$W24,IF(AND($S24&lt;&gt;"",EDATE($D24,Milestones!$AA$189)&gt;=$S24),$V24,$U24)))=Milestones!$AB$189),UPPER(TEXT(EDATE($D24,Milestones!$AA$189),"dd mmm yy"))&amp;" "&amp;Milestones!$AB$189&amp;" "&amp;Milestones!$AC$189&amp;";  ","")&amp;IF(AND(EDATE($D24,Milestones!$AA$190)&lt;=AsOfDate,IF($R24=0,$X24,IF(AND($T24&lt;&gt;"",EDATE($D24,Milestones!$AA$190)&gt;=$T24),$W24,IF(AND($S24&lt;&gt;"",EDATE($D24,Milestones!$AA$190)&gt;=$S24),$V24,$U24)))=Milestones!$AB$190),UPPER(TEXT(EDATE($D24,Milestones!$AA$190),"dd mmm yy"))&amp;" "&amp;Milestones!$AB$190&amp;" "&amp;Milestones!$AC$190&amp;";  ","")&amp;IF(AND(EDATE($D24,Milestones!$AA$191)&lt;=AsOfDate,IF($R24=0,$X24,IF(AND($T24&lt;&gt;"",EDATE($D24,Milestones!$AA$191)&gt;=$T24),$W24,IF(AND($S24&lt;&gt;"",EDATE($D24,Milestones!$AA$191)&gt;=$S24),$V24,$U24)))=Milestones!$AB$191),UPPER(TEXT(EDATE($D24,Milestones!$AA$191),"dd mmm yy"))&amp;" "&amp;Milestones!$AB$191&amp;" "&amp;Milestones!$AC$191&amp;";  ","")&amp;IF(AND(EDATE($D24,Milestones!$AA$192)&lt;=AsOfDate,IF($R24=0,$X24,IF(AND($T24&lt;&gt;"",EDATE($D24,Milestones!$AA$192)&gt;=$T24),$W24,IF(AND($S24&lt;&gt;"",EDATE($D24,Milestones!$AA$192)&gt;=$S24),$V24,$U24)))=Milestones!$AB$192),UPPER(TEXT(EDATE($D24,Milestones!$AA$192),"dd mmm yy"))&amp;" "&amp;Milestones!$AB$192&amp;" "&amp;Milestones!$AC$192&amp;";  ","")&amp;IF(AND(EDATE($D24,Milestones!$AA$193)&lt;=AsOfDate,IF($R24=0,$X24,IF(AND($T24&lt;&gt;"",EDATE($D24,Milestones!$AA$193)&gt;=$T24),$W24,IF(AND($S24&lt;&gt;"",EDATE($D24,Milestones!$AA$193)&gt;=$S24),$V24,$U24)))=Milestones!$AB$193),UPPER(TEXT(EDATE($D24,Milestones!$AA$193),"dd mmm yy"))&amp;" "&amp;Milestones!$AB$193&amp;" "&amp;Milestones!$AC$193&amp;";  ","")&amp;IF(AND(EDATE($D24,Milestones!$AA$194)&lt;=AsOfDate,IF($R24=0,$X24,IF(AND($T24&lt;&gt;"",EDATE($D24,Milestones!$AA$194)&gt;=$T24),$W24,IF(AND($S24&lt;&gt;"",EDATE($D24,Milestones!$AA$194)&gt;=$S24),$V24,$U24)))=Milestones!$AB$194),UPPER(TEXT(EDATE($D24,Milestones!$AA$194),"dd mmm yy"))&amp;" "&amp;Milestones!$AB$194&amp;" "&amp;Milestones!$AC$194&amp;";  ","")&amp;IF(AND(EDATE($D24,Milestones!$AA$195)&lt;=AsOfDate,IF($R24=0,$X24,IF(AND($T24&lt;&gt;"",EDATE($D24,Milestones!$AA$195)&gt;=$T24),$W24,IF(AND($S24&lt;&gt;"",EDATE($D24,Milestones!$AA$195)&gt;=$S24),$V24,$U24)))=Milestones!$AB$195),UPPER(TEXT(EDATE($D24,Milestones!$AA$195),"dd mmm yy"))&amp;" "&amp;Milestones!$AB$195&amp;" "&amp;Milestones!$AC$195&amp;";  ","")&amp;IF(AND(EDATE($D24,Milestones!$AA$196)&lt;=AsOfDate,IF($R24=0,$X24,IF(AND($T24&lt;&gt;"",EDATE($D24,Milestones!$AA$196)&gt;=$T24),$W24,IF(AND($S24&lt;&gt;"",EDATE($D24,Milestones!$AA$196)&gt;=$S24),$V24,$U24)))=Milestones!$AB$196),UPPER(TEXT(EDATE($D24,Milestones!$AA$196),"dd mmm yy"))&amp;" "&amp;Milestones!$AB$196&amp;" "&amp;Milestones!$AC$196&amp;";  ","")&amp;IF(AND(EDATE($D24,Milestones!$AA$197)&lt;=AsOfDate,IF($R24=0,$X24,IF(AND($T24&lt;&gt;"",EDATE($D24,Milestones!$AA$197)&gt;=$T24),$W24,IF(AND($S24&lt;&gt;"",EDATE($D24,Milestones!$AA$197)&gt;=$S24),$V24,$U24)))=Milestones!$AB$197),UPPER(TEXT(EDATE($D24,Milestones!$AA$197),"dd mmm yy"))&amp;" "&amp;Milestones!$AB$197&amp;" "&amp;Milestones!$AC$197&amp;";  ","")&amp;IF(AND(EDATE($D24,Milestones!$AA$198)&lt;=AsOfDate,IF($R24=0,$X24,IF(AND($T24&lt;&gt;"",EDATE($D24,Milestones!$AA$198)&gt;=$T24),$W24,IF(AND($S24&lt;&gt;"",EDATE($D24,Milestones!$AA$198)&gt;=$S24),$V24,$U24)))=Milestones!$AB$198),UPPER(TEXT(EDATE($D24,Milestones!$AA$198),"dd mmm yy"))&amp;" "&amp;Milestones!$AB$198&amp;" "&amp;Milestones!$AC$198&amp;";  ","")&amp;IF(AND(EDATE($D24,Milestones!$AA$199)&lt;=AsOfDate,IF($R24=0,$X24,IF(AND($T24&lt;&gt;"",EDATE($D24,Milestones!$AA$199)&gt;=$T24),$W24,IF(AND($S24&lt;&gt;"",EDATE($D24,Milestones!$AA$199)&gt;=$S24),$V24,$U24)))=Milestones!$AB$199),UPPER(TEXT(EDATE($D24,Milestones!$AA$199),"dd mmm yy"))&amp;" "&amp;Milestones!$AB$199&amp;" "&amp;Milestones!$AC$199&amp;";  ",""))</f>
        <v/>
      </c>
      <c r="R24" s="33" t="n">
        <f aca="false">IF(Staff!$A24="","",Staff!$AI24)</f>
        <v>1</v>
      </c>
      <c r="S24" s="0" t="str">
        <f aca="false">IF(Staff!$A24="","",Staff!$AK24)</f>
        <v/>
      </c>
      <c r="T24" s="0" t="str">
        <f aca="false">IF(Staff!$A24="","",Staff!$AL24)</f>
        <v/>
      </c>
      <c r="U24" s="0" t="str">
        <f aca="false">IF(Staff!$A24="","",Staff!$AP24)</f>
        <v>FT</v>
      </c>
      <c r="V24" s="0" t="str">
        <f aca="false">IF(Staff!$A24="","",Staff!$AQ24)</f>
        <v/>
      </c>
      <c r="W24" s="0" t="str">
        <f aca="false">IF(Staff!$A24="","",Staff!$AR24)</f>
        <v/>
      </c>
      <c r="X24" s="0" t="str">
        <f aca="false">IF(Staff!$A24="","",Staff!$AS24)</f>
        <v>FT</v>
      </c>
    </row>
    <row r="25" customFormat="false" ht="15" hidden="false" customHeight="false" outlineLevel="0" collapsed="false">
      <c r="A25" s="19" t="str">
        <f aca="false">IF(Staff!$A25="","",Staff!$A25)</f>
        <v>Dylan</v>
      </c>
      <c r="B25" s="19" t="str">
        <f aca="false">IF(Staff!$A25="","",Staff!$B25)</f>
        <v>Motsi</v>
      </c>
      <c r="C25" s="19" t="str">
        <f aca="false">IF(Staff!$A25="","",Staff!$C25)</f>
        <v>Casual</v>
      </c>
      <c r="D25" s="17" t="n">
        <f aca="false">IF(Staff!$A25="","",Staff!$AH25)</f>
        <v>45971</v>
      </c>
      <c r="E25" s="20" t="n">
        <f aca="false">IF(Staff!$A25="","",Staff!$O25)</f>
        <v>0</v>
      </c>
      <c r="F25" s="19" t="n">
        <f aca="false">IF(E25="","",E25*HoursPerDay)</f>
        <v>0</v>
      </c>
      <c r="G25" s="20" t="n">
        <f aca="false">IF(Staff!$A25="","",Staff!$AE25)</f>
        <v>0</v>
      </c>
      <c r="H25" s="32" t="str">
        <f aca="false">IF($A25="","",I25&amp;J25&amp;K25&amp;L25&amp;M25&amp;N25&amp;O25&amp;P25&amp;Q25)</f>
        <v/>
      </c>
      <c r="I25" s="0" t="str">
        <f aca="false">IF(OR($A25="",$D25=""),"",IF(AND(EDATE($D25,Milestones!$AA$20)&lt;=AsOfDate,IF($R25=0,$X25,IF(AND($T25&lt;&gt;"",EDATE($D25,Milestones!$AA$20)&gt;=$T25),$W25,IF(AND($S25&lt;&gt;"",EDATE($D25,Milestones!$AA$20)&gt;=$S25),$V25,$U25)))=Milestones!$AB$20),UPPER(TEXT(EDATE($D25,Milestones!$AA$20),"dd mmm yy"))&amp;" "&amp;Milestones!$AB$20&amp;" "&amp;Milestones!$AC$20&amp;";  ","")&amp;IF(AND(EDATE($D25,Milestones!$AA$21)&lt;=AsOfDate,IF($R25=0,$X25,IF(AND($T25&lt;&gt;"",EDATE($D25,Milestones!$AA$21)&gt;=$T25),$W25,IF(AND($S25&lt;&gt;"",EDATE($D25,Milestones!$AA$21)&gt;=$S25),$V25,$U25)))=Milestones!$AB$21),UPPER(TEXT(EDATE($D25,Milestones!$AA$21),"dd mmm yy"))&amp;" "&amp;Milestones!$AB$21&amp;" "&amp;Milestones!$AC$21&amp;";  ","")&amp;IF(AND(EDATE($D25,Milestones!$AA$22)&lt;=AsOfDate,IF($R25=0,$X25,IF(AND($T25&lt;&gt;"",EDATE($D25,Milestones!$AA$22)&gt;=$T25),$W25,IF(AND($S25&lt;&gt;"",EDATE($D25,Milestones!$AA$22)&gt;=$S25),$V25,$U25)))=Milestones!$AB$22),UPPER(TEXT(EDATE($D25,Milestones!$AA$22),"dd mmm yy"))&amp;" "&amp;Milestones!$AB$22&amp;" "&amp;Milestones!$AC$22&amp;";  ","")&amp;IF(AND(EDATE($D25,Milestones!$AA$23)&lt;=AsOfDate,IF($R25=0,$X25,IF(AND($T25&lt;&gt;"",EDATE($D25,Milestones!$AA$23)&gt;=$T25),$W25,IF(AND($S25&lt;&gt;"",EDATE($D25,Milestones!$AA$23)&gt;=$S25),$V25,$U25)))=Milestones!$AB$23),UPPER(TEXT(EDATE($D25,Milestones!$AA$23),"dd mmm yy"))&amp;" "&amp;Milestones!$AB$23&amp;" "&amp;Milestones!$AC$23&amp;";  ","")&amp;IF(AND(EDATE($D25,Milestones!$AA$24)&lt;=AsOfDate,IF($R25=0,$X25,IF(AND($T25&lt;&gt;"",EDATE($D25,Milestones!$AA$24)&gt;=$T25),$W25,IF(AND($S25&lt;&gt;"",EDATE($D25,Milestones!$AA$24)&gt;=$S25),$V25,$U25)))=Milestones!$AB$24),UPPER(TEXT(EDATE($D25,Milestones!$AA$24),"dd mmm yy"))&amp;" "&amp;Milestones!$AB$24&amp;" "&amp;Milestones!$AC$24&amp;";  ","")&amp;IF(AND(EDATE($D25,Milestones!$AA$25)&lt;=AsOfDate,IF($R25=0,$X25,IF(AND($T25&lt;&gt;"",EDATE($D25,Milestones!$AA$25)&gt;=$T25),$W25,IF(AND($S25&lt;&gt;"",EDATE($D25,Milestones!$AA$25)&gt;=$S25),$V25,$U25)))=Milestones!$AB$25),UPPER(TEXT(EDATE($D25,Milestones!$AA$25),"dd mmm yy"))&amp;" "&amp;Milestones!$AB$25&amp;" "&amp;Milestones!$AC$25&amp;";  ","")&amp;IF(AND(EDATE($D25,Milestones!$AA$26)&lt;=AsOfDate,IF($R25=0,$X25,IF(AND($T25&lt;&gt;"",EDATE($D25,Milestones!$AA$26)&gt;=$T25),$W25,IF(AND($S25&lt;&gt;"",EDATE($D25,Milestones!$AA$26)&gt;=$S25),$V25,$U25)))=Milestones!$AB$26),UPPER(TEXT(EDATE($D25,Milestones!$AA$26),"dd mmm yy"))&amp;" "&amp;Milestones!$AB$26&amp;" "&amp;Milestones!$AC$26&amp;";  ","")&amp;IF(AND(EDATE($D25,Milestones!$AA$27)&lt;=AsOfDate,IF($R25=0,$X25,IF(AND($T25&lt;&gt;"",EDATE($D25,Milestones!$AA$27)&gt;=$T25),$W25,IF(AND($S25&lt;&gt;"",EDATE($D25,Milestones!$AA$27)&gt;=$S25),$V25,$U25)))=Milestones!$AB$27),UPPER(TEXT(EDATE($D25,Milestones!$AA$27),"dd mmm yy"))&amp;" "&amp;Milestones!$AB$27&amp;" "&amp;Milestones!$AC$27&amp;";  ","")&amp;IF(AND(EDATE($D25,Milestones!$AA$28)&lt;=AsOfDate,IF($R25=0,$X25,IF(AND($T25&lt;&gt;"",EDATE($D25,Milestones!$AA$28)&gt;=$T25),$W25,IF(AND($S25&lt;&gt;"",EDATE($D25,Milestones!$AA$28)&gt;=$S25),$V25,$U25)))=Milestones!$AB$28),UPPER(TEXT(EDATE($D25,Milestones!$AA$28),"dd mmm yy"))&amp;" "&amp;Milestones!$AB$28&amp;" "&amp;Milestones!$AC$28&amp;";  ","")&amp;IF(AND(EDATE($D25,Milestones!$AA$29)&lt;=AsOfDate,IF($R25=0,$X25,IF(AND($T25&lt;&gt;"",EDATE($D25,Milestones!$AA$29)&gt;=$T25),$W25,IF(AND($S25&lt;&gt;"",EDATE($D25,Milestones!$AA$29)&gt;=$S25),$V25,$U25)))=Milestones!$AB$29),UPPER(TEXT(EDATE($D25,Milestones!$AA$29),"dd mmm yy"))&amp;" "&amp;Milestones!$AB$29&amp;" "&amp;Milestones!$AC$29&amp;";  ","")&amp;IF(AND(EDATE($D25,Milestones!$AA$30)&lt;=AsOfDate,IF($R25=0,$X25,IF(AND($T25&lt;&gt;"",EDATE($D25,Milestones!$AA$30)&gt;=$T25),$W25,IF(AND($S25&lt;&gt;"",EDATE($D25,Milestones!$AA$30)&gt;=$S25),$V25,$U25)))=Milestones!$AB$30),UPPER(TEXT(EDATE($D25,Milestones!$AA$30),"dd mmm yy"))&amp;" "&amp;Milestones!$AB$30&amp;" "&amp;Milestones!$AC$30&amp;";  ","")&amp;IF(AND(EDATE($D25,Milestones!$AA$31)&lt;=AsOfDate,IF($R25=0,$X25,IF(AND($T25&lt;&gt;"",EDATE($D25,Milestones!$AA$31)&gt;=$T25),$W25,IF(AND($S25&lt;&gt;"",EDATE($D25,Milestones!$AA$31)&gt;=$S25),$V25,$U25)))=Milestones!$AB$31),UPPER(TEXT(EDATE($D25,Milestones!$AA$31),"dd mmm yy"))&amp;" "&amp;Milestones!$AB$31&amp;" "&amp;Milestones!$AC$31&amp;";  ","")&amp;IF(AND(EDATE($D25,Milestones!$AA$32)&lt;=AsOfDate,IF($R25=0,$X25,IF(AND($T25&lt;&gt;"",EDATE($D25,Milestones!$AA$32)&gt;=$T25),$W25,IF(AND($S25&lt;&gt;"",EDATE($D25,Milestones!$AA$32)&gt;=$S25),$V25,$U25)))=Milestones!$AB$32),UPPER(TEXT(EDATE($D25,Milestones!$AA$32),"dd mmm yy"))&amp;" "&amp;Milestones!$AB$32&amp;" "&amp;Milestones!$AC$32&amp;";  ","")&amp;IF(AND(EDATE($D25,Milestones!$AA$33)&lt;=AsOfDate,IF($R25=0,$X25,IF(AND($T25&lt;&gt;"",EDATE($D25,Milestones!$AA$33)&gt;=$T25),$W25,IF(AND($S25&lt;&gt;"",EDATE($D25,Milestones!$AA$33)&gt;=$S25),$V25,$U25)))=Milestones!$AB$33),UPPER(TEXT(EDATE($D25,Milestones!$AA$33),"dd mmm yy"))&amp;" "&amp;Milestones!$AB$33&amp;" "&amp;Milestones!$AC$33&amp;";  ","")&amp;IF(AND(EDATE($D25,Milestones!$AA$34)&lt;=AsOfDate,IF($R25=0,$X25,IF(AND($T25&lt;&gt;"",EDATE($D25,Milestones!$AA$34)&gt;=$T25),$W25,IF(AND($S25&lt;&gt;"",EDATE($D25,Milestones!$AA$34)&gt;=$S25),$V25,$U25)))=Milestones!$AB$34),UPPER(TEXT(EDATE($D25,Milestones!$AA$34),"dd mmm yy"))&amp;" "&amp;Milestones!$AB$34&amp;" "&amp;Milestones!$AC$34&amp;";  ","")&amp;IF(AND(EDATE($D25,Milestones!$AA$35)&lt;=AsOfDate,IF($R25=0,$X25,IF(AND($T25&lt;&gt;"",EDATE($D25,Milestones!$AA$35)&gt;=$T25),$W25,IF(AND($S25&lt;&gt;"",EDATE($D25,Milestones!$AA$35)&gt;=$S25),$V25,$U25)))=Milestones!$AB$35),UPPER(TEXT(EDATE($D25,Milestones!$AA$35),"dd mmm yy"))&amp;" "&amp;Milestones!$AB$35&amp;" "&amp;Milestones!$AC$35&amp;";  ","")&amp;IF(AND(EDATE($D25,Milestones!$AA$36)&lt;=AsOfDate,IF($R25=0,$X25,IF(AND($T25&lt;&gt;"",EDATE($D25,Milestones!$AA$36)&gt;=$T25),$W25,IF(AND($S25&lt;&gt;"",EDATE($D25,Milestones!$AA$36)&gt;=$S25),$V25,$U25)))=Milestones!$AB$36),UPPER(TEXT(EDATE($D25,Milestones!$AA$36),"dd mmm yy"))&amp;" "&amp;Milestones!$AB$36&amp;" "&amp;Milestones!$AC$36&amp;";  ","")&amp;IF(AND(EDATE($D25,Milestones!$AA$37)&lt;=AsOfDate,IF($R25=0,$X25,IF(AND($T25&lt;&gt;"",EDATE($D25,Milestones!$AA$37)&gt;=$T25),$W25,IF(AND($S25&lt;&gt;"",EDATE($D25,Milestones!$AA$37)&gt;=$S25),$V25,$U25)))=Milestones!$AB$37),UPPER(TEXT(EDATE($D25,Milestones!$AA$37),"dd mmm yy"))&amp;" "&amp;Milestones!$AB$37&amp;" "&amp;Milestones!$AC$37&amp;";  ","")&amp;IF(AND(EDATE($D25,Milestones!$AA$38)&lt;=AsOfDate,IF($R25=0,$X25,IF(AND($T25&lt;&gt;"",EDATE($D25,Milestones!$AA$38)&gt;=$T25),$W25,IF(AND($S25&lt;&gt;"",EDATE($D25,Milestones!$AA$38)&gt;=$S25),$V25,$U25)))=Milestones!$AB$38),UPPER(TEXT(EDATE($D25,Milestones!$AA$38),"dd mmm yy"))&amp;" "&amp;Milestones!$AB$38&amp;" "&amp;Milestones!$AC$38&amp;";  ","")&amp;IF(AND(EDATE($D25,Milestones!$AA$39)&lt;=AsOfDate,IF($R25=0,$X25,IF(AND($T25&lt;&gt;"",EDATE($D25,Milestones!$AA$39)&gt;=$T25),$W25,IF(AND($S25&lt;&gt;"",EDATE($D25,Milestones!$AA$39)&gt;=$S25),$V25,$U25)))=Milestones!$AB$39),UPPER(TEXT(EDATE($D25,Milestones!$AA$39),"dd mmm yy"))&amp;" "&amp;Milestones!$AB$39&amp;" "&amp;Milestones!$AC$39&amp;";  ",""))</f>
        <v/>
      </c>
      <c r="J25" s="0" t="str">
        <f aca="false">IF(OR($A25="",$D25=""),"",IF(AND(EDATE($D25,Milestones!$AA$40)&lt;=AsOfDate,IF($R25=0,$X25,IF(AND($T25&lt;&gt;"",EDATE($D25,Milestones!$AA$40)&gt;=$T25),$W25,IF(AND($S25&lt;&gt;"",EDATE($D25,Milestones!$AA$40)&gt;=$S25),$V25,$U25)))=Milestones!$AB$40),UPPER(TEXT(EDATE($D25,Milestones!$AA$40),"dd mmm yy"))&amp;" "&amp;Milestones!$AB$40&amp;" "&amp;Milestones!$AC$40&amp;";  ","")&amp;IF(AND(EDATE($D25,Milestones!$AA$41)&lt;=AsOfDate,IF($R25=0,$X25,IF(AND($T25&lt;&gt;"",EDATE($D25,Milestones!$AA$41)&gt;=$T25),$W25,IF(AND($S25&lt;&gt;"",EDATE($D25,Milestones!$AA$41)&gt;=$S25),$V25,$U25)))=Milestones!$AB$41),UPPER(TEXT(EDATE($D25,Milestones!$AA$41),"dd mmm yy"))&amp;" "&amp;Milestones!$AB$41&amp;" "&amp;Milestones!$AC$41&amp;";  ","")&amp;IF(AND(EDATE($D25,Milestones!$AA$42)&lt;=AsOfDate,IF($R25=0,$X25,IF(AND($T25&lt;&gt;"",EDATE($D25,Milestones!$AA$42)&gt;=$T25),$W25,IF(AND($S25&lt;&gt;"",EDATE($D25,Milestones!$AA$42)&gt;=$S25),$V25,$U25)))=Milestones!$AB$42),UPPER(TEXT(EDATE($D25,Milestones!$AA$42),"dd mmm yy"))&amp;" "&amp;Milestones!$AB$42&amp;" "&amp;Milestones!$AC$42&amp;";  ","")&amp;IF(AND(EDATE($D25,Milestones!$AA$43)&lt;=AsOfDate,IF($R25=0,$X25,IF(AND($T25&lt;&gt;"",EDATE($D25,Milestones!$AA$43)&gt;=$T25),$W25,IF(AND($S25&lt;&gt;"",EDATE($D25,Milestones!$AA$43)&gt;=$S25),$V25,$U25)))=Milestones!$AB$43),UPPER(TEXT(EDATE($D25,Milestones!$AA$43),"dd mmm yy"))&amp;" "&amp;Milestones!$AB$43&amp;" "&amp;Milestones!$AC$43&amp;";  ","")&amp;IF(AND(EDATE($D25,Milestones!$AA$44)&lt;=AsOfDate,IF($R25=0,$X25,IF(AND($T25&lt;&gt;"",EDATE($D25,Milestones!$AA$44)&gt;=$T25),$W25,IF(AND($S25&lt;&gt;"",EDATE($D25,Milestones!$AA$44)&gt;=$S25),$V25,$U25)))=Milestones!$AB$44),UPPER(TEXT(EDATE($D25,Milestones!$AA$44),"dd mmm yy"))&amp;" "&amp;Milestones!$AB$44&amp;" "&amp;Milestones!$AC$44&amp;";  ","")&amp;IF(AND(EDATE($D25,Milestones!$AA$45)&lt;=AsOfDate,IF($R25=0,$X25,IF(AND($T25&lt;&gt;"",EDATE($D25,Milestones!$AA$45)&gt;=$T25),$W25,IF(AND($S25&lt;&gt;"",EDATE($D25,Milestones!$AA$45)&gt;=$S25),$V25,$U25)))=Milestones!$AB$45),UPPER(TEXT(EDATE($D25,Milestones!$AA$45),"dd mmm yy"))&amp;" "&amp;Milestones!$AB$45&amp;" "&amp;Milestones!$AC$45&amp;";  ","")&amp;IF(AND(EDATE($D25,Milestones!$AA$46)&lt;=AsOfDate,IF($R25=0,$X25,IF(AND($T25&lt;&gt;"",EDATE($D25,Milestones!$AA$46)&gt;=$T25),$W25,IF(AND($S25&lt;&gt;"",EDATE($D25,Milestones!$AA$46)&gt;=$S25),$V25,$U25)))=Milestones!$AB$46),UPPER(TEXT(EDATE($D25,Milestones!$AA$46),"dd mmm yy"))&amp;" "&amp;Milestones!$AB$46&amp;" "&amp;Milestones!$AC$46&amp;";  ","")&amp;IF(AND(EDATE($D25,Milestones!$AA$47)&lt;=AsOfDate,IF($R25=0,$X25,IF(AND($T25&lt;&gt;"",EDATE($D25,Milestones!$AA$47)&gt;=$T25),$W25,IF(AND($S25&lt;&gt;"",EDATE($D25,Milestones!$AA$47)&gt;=$S25),$V25,$U25)))=Milestones!$AB$47),UPPER(TEXT(EDATE($D25,Milestones!$AA$47),"dd mmm yy"))&amp;" "&amp;Milestones!$AB$47&amp;" "&amp;Milestones!$AC$47&amp;";  ","")&amp;IF(AND(EDATE($D25,Milestones!$AA$48)&lt;=AsOfDate,IF($R25=0,$X25,IF(AND($T25&lt;&gt;"",EDATE($D25,Milestones!$AA$48)&gt;=$T25),$W25,IF(AND($S25&lt;&gt;"",EDATE($D25,Milestones!$AA$48)&gt;=$S25),$V25,$U25)))=Milestones!$AB$48),UPPER(TEXT(EDATE($D25,Milestones!$AA$48),"dd mmm yy"))&amp;" "&amp;Milestones!$AB$48&amp;" "&amp;Milestones!$AC$48&amp;";  ","")&amp;IF(AND(EDATE($D25,Milestones!$AA$49)&lt;=AsOfDate,IF($R25=0,$X25,IF(AND($T25&lt;&gt;"",EDATE($D25,Milestones!$AA$49)&gt;=$T25),$W25,IF(AND($S25&lt;&gt;"",EDATE($D25,Milestones!$AA$49)&gt;=$S25),$V25,$U25)))=Milestones!$AB$49),UPPER(TEXT(EDATE($D25,Milestones!$AA$49),"dd mmm yy"))&amp;" "&amp;Milestones!$AB$49&amp;" "&amp;Milestones!$AC$49&amp;";  ","")&amp;IF(AND(EDATE($D25,Milestones!$AA$50)&lt;=AsOfDate,IF($R25=0,$X25,IF(AND($T25&lt;&gt;"",EDATE($D25,Milestones!$AA$50)&gt;=$T25),$W25,IF(AND($S25&lt;&gt;"",EDATE($D25,Milestones!$AA$50)&gt;=$S25),$V25,$U25)))=Milestones!$AB$50),UPPER(TEXT(EDATE($D25,Milestones!$AA$50),"dd mmm yy"))&amp;" "&amp;Milestones!$AB$50&amp;" "&amp;Milestones!$AC$50&amp;";  ","")&amp;IF(AND(EDATE($D25,Milestones!$AA$51)&lt;=AsOfDate,IF($R25=0,$X25,IF(AND($T25&lt;&gt;"",EDATE($D25,Milestones!$AA$51)&gt;=$T25),$W25,IF(AND($S25&lt;&gt;"",EDATE($D25,Milestones!$AA$51)&gt;=$S25),$V25,$U25)))=Milestones!$AB$51),UPPER(TEXT(EDATE($D25,Milestones!$AA$51),"dd mmm yy"))&amp;" "&amp;Milestones!$AB$51&amp;" "&amp;Milestones!$AC$51&amp;";  ","")&amp;IF(AND(EDATE($D25,Milestones!$AA$52)&lt;=AsOfDate,IF($R25=0,$X25,IF(AND($T25&lt;&gt;"",EDATE($D25,Milestones!$AA$52)&gt;=$T25),$W25,IF(AND($S25&lt;&gt;"",EDATE($D25,Milestones!$AA$52)&gt;=$S25),$V25,$U25)))=Milestones!$AB$52),UPPER(TEXT(EDATE($D25,Milestones!$AA$52),"dd mmm yy"))&amp;" "&amp;Milestones!$AB$52&amp;" "&amp;Milestones!$AC$52&amp;";  ","")&amp;IF(AND(EDATE($D25,Milestones!$AA$53)&lt;=AsOfDate,IF($R25=0,$X25,IF(AND($T25&lt;&gt;"",EDATE($D25,Milestones!$AA$53)&gt;=$T25),$W25,IF(AND($S25&lt;&gt;"",EDATE($D25,Milestones!$AA$53)&gt;=$S25),$V25,$U25)))=Milestones!$AB$53),UPPER(TEXT(EDATE($D25,Milestones!$AA$53),"dd mmm yy"))&amp;" "&amp;Milestones!$AB$53&amp;" "&amp;Milestones!$AC$53&amp;";  ","")&amp;IF(AND(EDATE($D25,Milestones!$AA$54)&lt;=AsOfDate,IF($R25=0,$X25,IF(AND($T25&lt;&gt;"",EDATE($D25,Milestones!$AA$54)&gt;=$T25),$W25,IF(AND($S25&lt;&gt;"",EDATE($D25,Milestones!$AA$54)&gt;=$S25),$V25,$U25)))=Milestones!$AB$54),UPPER(TEXT(EDATE($D25,Milestones!$AA$54),"dd mmm yy"))&amp;" "&amp;Milestones!$AB$54&amp;" "&amp;Milestones!$AC$54&amp;";  ","")&amp;IF(AND(EDATE($D25,Milestones!$AA$55)&lt;=AsOfDate,IF($R25=0,$X25,IF(AND($T25&lt;&gt;"",EDATE($D25,Milestones!$AA$55)&gt;=$T25),$W25,IF(AND($S25&lt;&gt;"",EDATE($D25,Milestones!$AA$55)&gt;=$S25),$V25,$U25)))=Milestones!$AB$55),UPPER(TEXT(EDATE($D25,Milestones!$AA$55),"dd mmm yy"))&amp;" "&amp;Milestones!$AB$55&amp;" "&amp;Milestones!$AC$55&amp;";  ","")&amp;IF(AND(EDATE($D25,Milestones!$AA$56)&lt;=AsOfDate,IF($R25=0,$X25,IF(AND($T25&lt;&gt;"",EDATE($D25,Milestones!$AA$56)&gt;=$T25),$W25,IF(AND($S25&lt;&gt;"",EDATE($D25,Milestones!$AA$56)&gt;=$S25),$V25,$U25)))=Milestones!$AB$56),UPPER(TEXT(EDATE($D25,Milestones!$AA$56),"dd mmm yy"))&amp;" "&amp;Milestones!$AB$56&amp;" "&amp;Milestones!$AC$56&amp;";  ","")&amp;IF(AND(EDATE($D25,Milestones!$AA$57)&lt;=AsOfDate,IF($R25=0,$X25,IF(AND($T25&lt;&gt;"",EDATE($D25,Milestones!$AA$57)&gt;=$T25),$W25,IF(AND($S25&lt;&gt;"",EDATE($D25,Milestones!$AA$57)&gt;=$S25),$V25,$U25)))=Milestones!$AB$57),UPPER(TEXT(EDATE($D25,Milestones!$AA$57),"dd mmm yy"))&amp;" "&amp;Milestones!$AB$57&amp;" "&amp;Milestones!$AC$57&amp;";  ","")&amp;IF(AND(EDATE($D25,Milestones!$AA$58)&lt;=AsOfDate,IF($R25=0,$X25,IF(AND($T25&lt;&gt;"",EDATE($D25,Milestones!$AA$58)&gt;=$T25),$W25,IF(AND($S25&lt;&gt;"",EDATE($D25,Milestones!$AA$58)&gt;=$S25),$V25,$U25)))=Milestones!$AB$58),UPPER(TEXT(EDATE($D25,Milestones!$AA$58),"dd mmm yy"))&amp;" "&amp;Milestones!$AB$58&amp;" "&amp;Milestones!$AC$58&amp;";  ","")&amp;IF(AND(EDATE($D25,Milestones!$AA$59)&lt;=AsOfDate,IF($R25=0,$X25,IF(AND($T25&lt;&gt;"",EDATE($D25,Milestones!$AA$59)&gt;=$T25),$W25,IF(AND($S25&lt;&gt;"",EDATE($D25,Milestones!$AA$59)&gt;=$S25),$V25,$U25)))=Milestones!$AB$59),UPPER(TEXT(EDATE($D25,Milestones!$AA$59),"dd mmm yy"))&amp;" "&amp;Milestones!$AB$59&amp;" "&amp;Milestones!$AC$59&amp;";  ",""))</f>
        <v/>
      </c>
      <c r="K25" s="0" t="str">
        <f aca="false">IF(OR($A25="",$D25=""),"",IF(AND(EDATE($D25,Milestones!$AA$60)&lt;=AsOfDate,IF($R25=0,$X25,IF(AND($T25&lt;&gt;"",EDATE($D25,Milestones!$AA$60)&gt;=$T25),$W25,IF(AND($S25&lt;&gt;"",EDATE($D25,Milestones!$AA$60)&gt;=$S25),$V25,$U25)))=Milestones!$AB$60),UPPER(TEXT(EDATE($D25,Milestones!$AA$60),"dd mmm yy"))&amp;" "&amp;Milestones!$AB$60&amp;" "&amp;Milestones!$AC$60&amp;";  ","")&amp;IF(AND(EDATE($D25,Milestones!$AA$61)&lt;=AsOfDate,IF($R25=0,$X25,IF(AND($T25&lt;&gt;"",EDATE($D25,Milestones!$AA$61)&gt;=$T25),$W25,IF(AND($S25&lt;&gt;"",EDATE($D25,Milestones!$AA$61)&gt;=$S25),$V25,$U25)))=Milestones!$AB$61),UPPER(TEXT(EDATE($D25,Milestones!$AA$61),"dd mmm yy"))&amp;" "&amp;Milestones!$AB$61&amp;" "&amp;Milestones!$AC$61&amp;";  ","")&amp;IF(AND(EDATE($D25,Milestones!$AA$62)&lt;=AsOfDate,IF($R25=0,$X25,IF(AND($T25&lt;&gt;"",EDATE($D25,Milestones!$AA$62)&gt;=$T25),$W25,IF(AND($S25&lt;&gt;"",EDATE($D25,Milestones!$AA$62)&gt;=$S25),$V25,$U25)))=Milestones!$AB$62),UPPER(TEXT(EDATE($D25,Milestones!$AA$62),"dd mmm yy"))&amp;" "&amp;Milestones!$AB$62&amp;" "&amp;Milestones!$AC$62&amp;";  ","")&amp;IF(AND(EDATE($D25,Milestones!$AA$63)&lt;=AsOfDate,IF($R25=0,$X25,IF(AND($T25&lt;&gt;"",EDATE($D25,Milestones!$AA$63)&gt;=$T25),$W25,IF(AND($S25&lt;&gt;"",EDATE($D25,Milestones!$AA$63)&gt;=$S25),$V25,$U25)))=Milestones!$AB$63),UPPER(TEXT(EDATE($D25,Milestones!$AA$63),"dd mmm yy"))&amp;" "&amp;Milestones!$AB$63&amp;" "&amp;Milestones!$AC$63&amp;";  ","")&amp;IF(AND(EDATE($D25,Milestones!$AA$64)&lt;=AsOfDate,IF($R25=0,$X25,IF(AND($T25&lt;&gt;"",EDATE($D25,Milestones!$AA$64)&gt;=$T25),$W25,IF(AND($S25&lt;&gt;"",EDATE($D25,Milestones!$AA$64)&gt;=$S25),$V25,$U25)))=Milestones!$AB$64),UPPER(TEXT(EDATE($D25,Milestones!$AA$64),"dd mmm yy"))&amp;" "&amp;Milestones!$AB$64&amp;" "&amp;Milestones!$AC$64&amp;";  ","")&amp;IF(AND(EDATE($D25,Milestones!$AA$65)&lt;=AsOfDate,IF($R25=0,$X25,IF(AND($T25&lt;&gt;"",EDATE($D25,Milestones!$AA$65)&gt;=$T25),$W25,IF(AND($S25&lt;&gt;"",EDATE($D25,Milestones!$AA$65)&gt;=$S25),$V25,$U25)))=Milestones!$AB$65),UPPER(TEXT(EDATE($D25,Milestones!$AA$65),"dd mmm yy"))&amp;" "&amp;Milestones!$AB$65&amp;" "&amp;Milestones!$AC$65&amp;";  ","")&amp;IF(AND(EDATE($D25,Milestones!$AA$66)&lt;=AsOfDate,IF($R25=0,$X25,IF(AND($T25&lt;&gt;"",EDATE($D25,Milestones!$AA$66)&gt;=$T25),$W25,IF(AND($S25&lt;&gt;"",EDATE($D25,Milestones!$AA$66)&gt;=$S25),$V25,$U25)))=Milestones!$AB$66),UPPER(TEXT(EDATE($D25,Milestones!$AA$66),"dd mmm yy"))&amp;" "&amp;Milestones!$AB$66&amp;" "&amp;Milestones!$AC$66&amp;";  ","")&amp;IF(AND(EDATE($D25,Milestones!$AA$67)&lt;=AsOfDate,IF($R25=0,$X25,IF(AND($T25&lt;&gt;"",EDATE($D25,Milestones!$AA$67)&gt;=$T25),$W25,IF(AND($S25&lt;&gt;"",EDATE($D25,Milestones!$AA$67)&gt;=$S25),$V25,$U25)))=Milestones!$AB$67),UPPER(TEXT(EDATE($D25,Milestones!$AA$67),"dd mmm yy"))&amp;" "&amp;Milestones!$AB$67&amp;" "&amp;Milestones!$AC$67&amp;";  ","")&amp;IF(AND(EDATE($D25,Milestones!$AA$68)&lt;=AsOfDate,IF($R25=0,$X25,IF(AND($T25&lt;&gt;"",EDATE($D25,Milestones!$AA$68)&gt;=$T25),$W25,IF(AND($S25&lt;&gt;"",EDATE($D25,Milestones!$AA$68)&gt;=$S25),$V25,$U25)))=Milestones!$AB$68),UPPER(TEXT(EDATE($D25,Milestones!$AA$68),"dd mmm yy"))&amp;" "&amp;Milestones!$AB$68&amp;" "&amp;Milestones!$AC$68&amp;";  ","")&amp;IF(AND(EDATE($D25,Milestones!$AA$69)&lt;=AsOfDate,IF($R25=0,$X25,IF(AND($T25&lt;&gt;"",EDATE($D25,Milestones!$AA$69)&gt;=$T25),$W25,IF(AND($S25&lt;&gt;"",EDATE($D25,Milestones!$AA$69)&gt;=$S25),$V25,$U25)))=Milestones!$AB$69),UPPER(TEXT(EDATE($D25,Milestones!$AA$69),"dd mmm yy"))&amp;" "&amp;Milestones!$AB$69&amp;" "&amp;Milestones!$AC$69&amp;";  ","")&amp;IF(AND(EDATE($D25,Milestones!$AA$70)&lt;=AsOfDate,IF($R25=0,$X25,IF(AND($T25&lt;&gt;"",EDATE($D25,Milestones!$AA$70)&gt;=$T25),$W25,IF(AND($S25&lt;&gt;"",EDATE($D25,Milestones!$AA$70)&gt;=$S25),$V25,$U25)))=Milestones!$AB$70),UPPER(TEXT(EDATE($D25,Milestones!$AA$70),"dd mmm yy"))&amp;" "&amp;Milestones!$AB$70&amp;" "&amp;Milestones!$AC$70&amp;";  ","")&amp;IF(AND(EDATE($D25,Milestones!$AA$71)&lt;=AsOfDate,IF($R25=0,$X25,IF(AND($T25&lt;&gt;"",EDATE($D25,Milestones!$AA$71)&gt;=$T25),$W25,IF(AND($S25&lt;&gt;"",EDATE($D25,Milestones!$AA$71)&gt;=$S25),$V25,$U25)))=Milestones!$AB$71),UPPER(TEXT(EDATE($D25,Milestones!$AA$71),"dd mmm yy"))&amp;" "&amp;Milestones!$AB$71&amp;" "&amp;Milestones!$AC$71&amp;";  ","")&amp;IF(AND(EDATE($D25,Milestones!$AA$72)&lt;=AsOfDate,IF($R25=0,$X25,IF(AND($T25&lt;&gt;"",EDATE($D25,Milestones!$AA$72)&gt;=$T25),$W25,IF(AND($S25&lt;&gt;"",EDATE($D25,Milestones!$AA$72)&gt;=$S25),$V25,$U25)))=Milestones!$AB$72),UPPER(TEXT(EDATE($D25,Milestones!$AA$72),"dd mmm yy"))&amp;" "&amp;Milestones!$AB$72&amp;" "&amp;Milestones!$AC$72&amp;";  ","")&amp;IF(AND(EDATE($D25,Milestones!$AA$73)&lt;=AsOfDate,IF($R25=0,$X25,IF(AND($T25&lt;&gt;"",EDATE($D25,Milestones!$AA$73)&gt;=$T25),$W25,IF(AND($S25&lt;&gt;"",EDATE($D25,Milestones!$AA$73)&gt;=$S25),$V25,$U25)))=Milestones!$AB$73),UPPER(TEXT(EDATE($D25,Milestones!$AA$73),"dd mmm yy"))&amp;" "&amp;Milestones!$AB$73&amp;" "&amp;Milestones!$AC$73&amp;";  ","")&amp;IF(AND(EDATE($D25,Milestones!$AA$74)&lt;=AsOfDate,IF($R25=0,$X25,IF(AND($T25&lt;&gt;"",EDATE($D25,Milestones!$AA$74)&gt;=$T25),$W25,IF(AND($S25&lt;&gt;"",EDATE($D25,Milestones!$AA$74)&gt;=$S25),$V25,$U25)))=Milestones!$AB$74),UPPER(TEXT(EDATE($D25,Milestones!$AA$74),"dd mmm yy"))&amp;" "&amp;Milestones!$AB$74&amp;" "&amp;Milestones!$AC$74&amp;";  ","")&amp;IF(AND(EDATE($D25,Milestones!$AA$75)&lt;=AsOfDate,IF($R25=0,$X25,IF(AND($T25&lt;&gt;"",EDATE($D25,Milestones!$AA$75)&gt;=$T25),$W25,IF(AND($S25&lt;&gt;"",EDATE($D25,Milestones!$AA$75)&gt;=$S25),$V25,$U25)))=Milestones!$AB$75),UPPER(TEXT(EDATE($D25,Milestones!$AA$75),"dd mmm yy"))&amp;" "&amp;Milestones!$AB$75&amp;" "&amp;Milestones!$AC$75&amp;";  ","")&amp;IF(AND(EDATE($D25,Milestones!$AA$76)&lt;=AsOfDate,IF($R25=0,$X25,IF(AND($T25&lt;&gt;"",EDATE($D25,Milestones!$AA$76)&gt;=$T25),$W25,IF(AND($S25&lt;&gt;"",EDATE($D25,Milestones!$AA$76)&gt;=$S25),$V25,$U25)))=Milestones!$AB$76),UPPER(TEXT(EDATE($D25,Milestones!$AA$76),"dd mmm yy"))&amp;" "&amp;Milestones!$AB$76&amp;" "&amp;Milestones!$AC$76&amp;";  ","")&amp;IF(AND(EDATE($D25,Milestones!$AA$77)&lt;=AsOfDate,IF($R25=0,$X25,IF(AND($T25&lt;&gt;"",EDATE($D25,Milestones!$AA$77)&gt;=$T25),$W25,IF(AND($S25&lt;&gt;"",EDATE($D25,Milestones!$AA$77)&gt;=$S25),$V25,$U25)))=Milestones!$AB$77),UPPER(TEXT(EDATE($D25,Milestones!$AA$77),"dd mmm yy"))&amp;" "&amp;Milestones!$AB$77&amp;" "&amp;Milestones!$AC$77&amp;";  ","")&amp;IF(AND(EDATE($D25,Milestones!$AA$78)&lt;=AsOfDate,IF($R25=0,$X25,IF(AND($T25&lt;&gt;"",EDATE($D25,Milestones!$AA$78)&gt;=$T25),$W25,IF(AND($S25&lt;&gt;"",EDATE($D25,Milestones!$AA$78)&gt;=$S25),$V25,$U25)))=Milestones!$AB$78),UPPER(TEXT(EDATE($D25,Milestones!$AA$78),"dd mmm yy"))&amp;" "&amp;Milestones!$AB$78&amp;" "&amp;Milestones!$AC$78&amp;";  ","")&amp;IF(AND(EDATE($D25,Milestones!$AA$79)&lt;=AsOfDate,IF($R25=0,$X25,IF(AND($T25&lt;&gt;"",EDATE($D25,Milestones!$AA$79)&gt;=$T25),$W25,IF(AND($S25&lt;&gt;"",EDATE($D25,Milestones!$AA$79)&gt;=$S25),$V25,$U25)))=Milestones!$AB$79),UPPER(TEXT(EDATE($D25,Milestones!$AA$79),"dd mmm yy"))&amp;" "&amp;Milestones!$AB$79&amp;" "&amp;Milestones!$AC$79&amp;";  ",""))</f>
        <v/>
      </c>
      <c r="L25" s="0" t="str">
        <f aca="false">IF(OR($A25="",$D25=""),"",IF(AND(EDATE($D25,Milestones!$AA$80)&lt;=AsOfDate,IF($R25=0,$X25,IF(AND($T25&lt;&gt;"",EDATE($D25,Milestones!$AA$80)&gt;=$T25),$W25,IF(AND($S25&lt;&gt;"",EDATE($D25,Milestones!$AA$80)&gt;=$S25),$V25,$U25)))=Milestones!$AB$80),UPPER(TEXT(EDATE($D25,Milestones!$AA$80),"dd mmm yy"))&amp;" "&amp;Milestones!$AB$80&amp;" "&amp;Milestones!$AC$80&amp;";  ","")&amp;IF(AND(EDATE($D25,Milestones!$AA$81)&lt;=AsOfDate,IF($R25=0,$X25,IF(AND($T25&lt;&gt;"",EDATE($D25,Milestones!$AA$81)&gt;=$T25),$W25,IF(AND($S25&lt;&gt;"",EDATE($D25,Milestones!$AA$81)&gt;=$S25),$V25,$U25)))=Milestones!$AB$81),UPPER(TEXT(EDATE($D25,Milestones!$AA$81),"dd mmm yy"))&amp;" "&amp;Milestones!$AB$81&amp;" "&amp;Milestones!$AC$81&amp;";  ","")&amp;IF(AND(EDATE($D25,Milestones!$AA$82)&lt;=AsOfDate,IF($R25=0,$X25,IF(AND($T25&lt;&gt;"",EDATE($D25,Milestones!$AA$82)&gt;=$T25),$W25,IF(AND($S25&lt;&gt;"",EDATE($D25,Milestones!$AA$82)&gt;=$S25),$V25,$U25)))=Milestones!$AB$82),UPPER(TEXT(EDATE($D25,Milestones!$AA$82),"dd mmm yy"))&amp;" "&amp;Milestones!$AB$82&amp;" "&amp;Milestones!$AC$82&amp;";  ","")&amp;IF(AND(EDATE($D25,Milestones!$AA$83)&lt;=AsOfDate,IF($R25=0,$X25,IF(AND($T25&lt;&gt;"",EDATE($D25,Milestones!$AA$83)&gt;=$T25),$W25,IF(AND($S25&lt;&gt;"",EDATE($D25,Milestones!$AA$83)&gt;=$S25),$V25,$U25)))=Milestones!$AB$83),UPPER(TEXT(EDATE($D25,Milestones!$AA$83),"dd mmm yy"))&amp;" "&amp;Milestones!$AB$83&amp;" "&amp;Milestones!$AC$83&amp;";  ","")&amp;IF(AND(EDATE($D25,Milestones!$AA$84)&lt;=AsOfDate,IF($R25=0,$X25,IF(AND($T25&lt;&gt;"",EDATE($D25,Milestones!$AA$84)&gt;=$T25),$W25,IF(AND($S25&lt;&gt;"",EDATE($D25,Milestones!$AA$84)&gt;=$S25),$V25,$U25)))=Milestones!$AB$84),UPPER(TEXT(EDATE($D25,Milestones!$AA$84),"dd mmm yy"))&amp;" "&amp;Milestones!$AB$84&amp;" "&amp;Milestones!$AC$84&amp;";  ","")&amp;IF(AND(EDATE($D25,Milestones!$AA$85)&lt;=AsOfDate,IF($R25=0,$X25,IF(AND($T25&lt;&gt;"",EDATE($D25,Milestones!$AA$85)&gt;=$T25),$W25,IF(AND($S25&lt;&gt;"",EDATE($D25,Milestones!$AA$85)&gt;=$S25),$V25,$U25)))=Milestones!$AB$85),UPPER(TEXT(EDATE($D25,Milestones!$AA$85),"dd mmm yy"))&amp;" "&amp;Milestones!$AB$85&amp;" "&amp;Milestones!$AC$85&amp;";  ","")&amp;IF(AND(EDATE($D25,Milestones!$AA$86)&lt;=AsOfDate,IF($R25=0,$X25,IF(AND($T25&lt;&gt;"",EDATE($D25,Milestones!$AA$86)&gt;=$T25),$W25,IF(AND($S25&lt;&gt;"",EDATE($D25,Milestones!$AA$86)&gt;=$S25),$V25,$U25)))=Milestones!$AB$86),UPPER(TEXT(EDATE($D25,Milestones!$AA$86),"dd mmm yy"))&amp;" "&amp;Milestones!$AB$86&amp;" "&amp;Milestones!$AC$86&amp;";  ","")&amp;IF(AND(EDATE($D25,Milestones!$AA$87)&lt;=AsOfDate,IF($R25=0,$X25,IF(AND($T25&lt;&gt;"",EDATE($D25,Milestones!$AA$87)&gt;=$T25),$W25,IF(AND($S25&lt;&gt;"",EDATE($D25,Milestones!$AA$87)&gt;=$S25),$V25,$U25)))=Milestones!$AB$87),UPPER(TEXT(EDATE($D25,Milestones!$AA$87),"dd mmm yy"))&amp;" "&amp;Milestones!$AB$87&amp;" "&amp;Milestones!$AC$87&amp;";  ","")&amp;IF(AND(EDATE($D25,Milestones!$AA$88)&lt;=AsOfDate,IF($R25=0,$X25,IF(AND($T25&lt;&gt;"",EDATE($D25,Milestones!$AA$88)&gt;=$T25),$W25,IF(AND($S25&lt;&gt;"",EDATE($D25,Milestones!$AA$88)&gt;=$S25),$V25,$U25)))=Milestones!$AB$88),UPPER(TEXT(EDATE($D25,Milestones!$AA$88),"dd mmm yy"))&amp;" "&amp;Milestones!$AB$88&amp;" "&amp;Milestones!$AC$88&amp;";  ","")&amp;IF(AND(EDATE($D25,Milestones!$AA$89)&lt;=AsOfDate,IF($R25=0,$X25,IF(AND($T25&lt;&gt;"",EDATE($D25,Milestones!$AA$89)&gt;=$T25),$W25,IF(AND($S25&lt;&gt;"",EDATE($D25,Milestones!$AA$89)&gt;=$S25),$V25,$U25)))=Milestones!$AB$89),UPPER(TEXT(EDATE($D25,Milestones!$AA$89),"dd mmm yy"))&amp;" "&amp;Milestones!$AB$89&amp;" "&amp;Milestones!$AC$89&amp;";  ","")&amp;IF(AND(EDATE($D25,Milestones!$AA$90)&lt;=AsOfDate,IF($R25=0,$X25,IF(AND($T25&lt;&gt;"",EDATE($D25,Milestones!$AA$90)&gt;=$T25),$W25,IF(AND($S25&lt;&gt;"",EDATE($D25,Milestones!$AA$90)&gt;=$S25),$V25,$U25)))=Milestones!$AB$90),UPPER(TEXT(EDATE($D25,Milestones!$AA$90),"dd mmm yy"))&amp;" "&amp;Milestones!$AB$90&amp;" "&amp;Milestones!$AC$90&amp;";  ","")&amp;IF(AND(EDATE($D25,Milestones!$AA$91)&lt;=AsOfDate,IF($R25=0,$X25,IF(AND($T25&lt;&gt;"",EDATE($D25,Milestones!$AA$91)&gt;=$T25),$W25,IF(AND($S25&lt;&gt;"",EDATE($D25,Milestones!$AA$91)&gt;=$S25),$V25,$U25)))=Milestones!$AB$91),UPPER(TEXT(EDATE($D25,Milestones!$AA$91),"dd mmm yy"))&amp;" "&amp;Milestones!$AB$91&amp;" "&amp;Milestones!$AC$91&amp;";  ","")&amp;IF(AND(EDATE($D25,Milestones!$AA$92)&lt;=AsOfDate,IF($R25=0,$X25,IF(AND($T25&lt;&gt;"",EDATE($D25,Milestones!$AA$92)&gt;=$T25),$W25,IF(AND($S25&lt;&gt;"",EDATE($D25,Milestones!$AA$92)&gt;=$S25),$V25,$U25)))=Milestones!$AB$92),UPPER(TEXT(EDATE($D25,Milestones!$AA$92),"dd mmm yy"))&amp;" "&amp;Milestones!$AB$92&amp;" "&amp;Milestones!$AC$92&amp;";  ","")&amp;IF(AND(EDATE($D25,Milestones!$AA$93)&lt;=AsOfDate,IF($R25=0,$X25,IF(AND($T25&lt;&gt;"",EDATE($D25,Milestones!$AA$93)&gt;=$T25),$W25,IF(AND($S25&lt;&gt;"",EDATE($D25,Milestones!$AA$93)&gt;=$S25),$V25,$U25)))=Milestones!$AB$93),UPPER(TEXT(EDATE($D25,Milestones!$AA$93),"dd mmm yy"))&amp;" "&amp;Milestones!$AB$93&amp;" "&amp;Milestones!$AC$93&amp;";  ","")&amp;IF(AND(EDATE($D25,Milestones!$AA$94)&lt;=AsOfDate,IF($R25=0,$X25,IF(AND($T25&lt;&gt;"",EDATE($D25,Milestones!$AA$94)&gt;=$T25),$W25,IF(AND($S25&lt;&gt;"",EDATE($D25,Milestones!$AA$94)&gt;=$S25),$V25,$U25)))=Milestones!$AB$94),UPPER(TEXT(EDATE($D25,Milestones!$AA$94),"dd mmm yy"))&amp;" "&amp;Milestones!$AB$94&amp;" "&amp;Milestones!$AC$94&amp;";  ","")&amp;IF(AND(EDATE($D25,Milestones!$AA$95)&lt;=AsOfDate,IF($R25=0,$X25,IF(AND($T25&lt;&gt;"",EDATE($D25,Milestones!$AA$95)&gt;=$T25),$W25,IF(AND($S25&lt;&gt;"",EDATE($D25,Milestones!$AA$95)&gt;=$S25),$V25,$U25)))=Milestones!$AB$95),UPPER(TEXT(EDATE($D25,Milestones!$AA$95),"dd mmm yy"))&amp;" "&amp;Milestones!$AB$95&amp;" "&amp;Milestones!$AC$95&amp;";  ","")&amp;IF(AND(EDATE($D25,Milestones!$AA$96)&lt;=AsOfDate,IF($R25=0,$X25,IF(AND($T25&lt;&gt;"",EDATE($D25,Milestones!$AA$96)&gt;=$T25),$W25,IF(AND($S25&lt;&gt;"",EDATE($D25,Milestones!$AA$96)&gt;=$S25),$V25,$U25)))=Milestones!$AB$96),UPPER(TEXT(EDATE($D25,Milestones!$AA$96),"dd mmm yy"))&amp;" "&amp;Milestones!$AB$96&amp;" "&amp;Milestones!$AC$96&amp;";  ","")&amp;IF(AND(EDATE($D25,Milestones!$AA$97)&lt;=AsOfDate,IF($R25=0,$X25,IF(AND($T25&lt;&gt;"",EDATE($D25,Milestones!$AA$97)&gt;=$T25),$W25,IF(AND($S25&lt;&gt;"",EDATE($D25,Milestones!$AA$97)&gt;=$S25),$V25,$U25)))=Milestones!$AB$97),UPPER(TEXT(EDATE($D25,Milestones!$AA$97),"dd mmm yy"))&amp;" "&amp;Milestones!$AB$97&amp;" "&amp;Milestones!$AC$97&amp;";  ","")&amp;IF(AND(EDATE($D25,Milestones!$AA$98)&lt;=AsOfDate,IF($R25=0,$X25,IF(AND($T25&lt;&gt;"",EDATE($D25,Milestones!$AA$98)&gt;=$T25),$W25,IF(AND($S25&lt;&gt;"",EDATE($D25,Milestones!$AA$98)&gt;=$S25),$V25,$U25)))=Milestones!$AB$98),UPPER(TEXT(EDATE($D25,Milestones!$AA$98),"dd mmm yy"))&amp;" "&amp;Milestones!$AB$98&amp;" "&amp;Milestones!$AC$98&amp;";  ","")&amp;IF(AND(EDATE($D25,Milestones!$AA$99)&lt;=AsOfDate,IF($R25=0,$X25,IF(AND($T25&lt;&gt;"",EDATE($D25,Milestones!$AA$99)&gt;=$T25),$W25,IF(AND($S25&lt;&gt;"",EDATE($D25,Milestones!$AA$99)&gt;=$S25),$V25,$U25)))=Milestones!$AB$99),UPPER(TEXT(EDATE($D25,Milestones!$AA$99),"dd mmm yy"))&amp;" "&amp;Milestones!$AB$99&amp;" "&amp;Milestones!$AC$99&amp;";  ",""))</f>
        <v/>
      </c>
      <c r="M25" s="0" t="str">
        <f aca="false">IF(OR($A25="",$D25=""),"",IF(AND(EDATE($D25,Milestones!$AA$100)&lt;=AsOfDate,IF($R25=0,$X25,IF(AND($T25&lt;&gt;"",EDATE($D25,Milestones!$AA$100)&gt;=$T25),$W25,IF(AND($S25&lt;&gt;"",EDATE($D25,Milestones!$AA$100)&gt;=$S25),$V25,$U25)))=Milestones!$AB$100),UPPER(TEXT(EDATE($D25,Milestones!$AA$100),"dd mmm yy"))&amp;" "&amp;Milestones!$AB$100&amp;" "&amp;Milestones!$AC$100&amp;";  ","")&amp;IF(AND(EDATE($D25,Milestones!$AA$101)&lt;=AsOfDate,IF($R25=0,$X25,IF(AND($T25&lt;&gt;"",EDATE($D25,Milestones!$AA$101)&gt;=$T25),$W25,IF(AND($S25&lt;&gt;"",EDATE($D25,Milestones!$AA$101)&gt;=$S25),$V25,$U25)))=Milestones!$AB$101),UPPER(TEXT(EDATE($D25,Milestones!$AA$101),"dd mmm yy"))&amp;" "&amp;Milestones!$AB$101&amp;" "&amp;Milestones!$AC$101&amp;";  ","")&amp;IF(AND(EDATE($D25,Milestones!$AA$102)&lt;=AsOfDate,IF($R25=0,$X25,IF(AND($T25&lt;&gt;"",EDATE($D25,Milestones!$AA$102)&gt;=$T25),$W25,IF(AND($S25&lt;&gt;"",EDATE($D25,Milestones!$AA$102)&gt;=$S25),$V25,$U25)))=Milestones!$AB$102),UPPER(TEXT(EDATE($D25,Milestones!$AA$102),"dd mmm yy"))&amp;" "&amp;Milestones!$AB$102&amp;" "&amp;Milestones!$AC$102&amp;";  ","")&amp;IF(AND(EDATE($D25,Milestones!$AA$103)&lt;=AsOfDate,IF($R25=0,$X25,IF(AND($T25&lt;&gt;"",EDATE($D25,Milestones!$AA$103)&gt;=$T25),$W25,IF(AND($S25&lt;&gt;"",EDATE($D25,Milestones!$AA$103)&gt;=$S25),$V25,$U25)))=Milestones!$AB$103),UPPER(TEXT(EDATE($D25,Milestones!$AA$103),"dd mmm yy"))&amp;" "&amp;Milestones!$AB$103&amp;" "&amp;Milestones!$AC$103&amp;";  ","")&amp;IF(AND(EDATE($D25,Milestones!$AA$104)&lt;=AsOfDate,IF($R25=0,$X25,IF(AND($T25&lt;&gt;"",EDATE($D25,Milestones!$AA$104)&gt;=$T25),$W25,IF(AND($S25&lt;&gt;"",EDATE($D25,Milestones!$AA$104)&gt;=$S25),$V25,$U25)))=Milestones!$AB$104),UPPER(TEXT(EDATE($D25,Milestones!$AA$104),"dd mmm yy"))&amp;" "&amp;Milestones!$AB$104&amp;" "&amp;Milestones!$AC$104&amp;";  ","")&amp;IF(AND(EDATE($D25,Milestones!$AA$105)&lt;=AsOfDate,IF($R25=0,$X25,IF(AND($T25&lt;&gt;"",EDATE($D25,Milestones!$AA$105)&gt;=$T25),$W25,IF(AND($S25&lt;&gt;"",EDATE($D25,Milestones!$AA$105)&gt;=$S25),$V25,$U25)))=Milestones!$AB$105),UPPER(TEXT(EDATE($D25,Milestones!$AA$105),"dd mmm yy"))&amp;" "&amp;Milestones!$AB$105&amp;" "&amp;Milestones!$AC$105&amp;";  ","")&amp;IF(AND(EDATE($D25,Milestones!$AA$106)&lt;=AsOfDate,IF($R25=0,$X25,IF(AND($T25&lt;&gt;"",EDATE($D25,Milestones!$AA$106)&gt;=$T25),$W25,IF(AND($S25&lt;&gt;"",EDATE($D25,Milestones!$AA$106)&gt;=$S25),$V25,$U25)))=Milestones!$AB$106),UPPER(TEXT(EDATE($D25,Milestones!$AA$106),"dd mmm yy"))&amp;" "&amp;Milestones!$AB$106&amp;" "&amp;Milestones!$AC$106&amp;";  ","")&amp;IF(AND(EDATE($D25,Milestones!$AA$107)&lt;=AsOfDate,IF($R25=0,$X25,IF(AND($T25&lt;&gt;"",EDATE($D25,Milestones!$AA$107)&gt;=$T25),$W25,IF(AND($S25&lt;&gt;"",EDATE($D25,Milestones!$AA$107)&gt;=$S25),$V25,$U25)))=Milestones!$AB$107),UPPER(TEXT(EDATE($D25,Milestones!$AA$107),"dd mmm yy"))&amp;" "&amp;Milestones!$AB$107&amp;" "&amp;Milestones!$AC$107&amp;";  ","")&amp;IF(AND(EDATE($D25,Milestones!$AA$108)&lt;=AsOfDate,IF($R25=0,$X25,IF(AND($T25&lt;&gt;"",EDATE($D25,Milestones!$AA$108)&gt;=$T25),$W25,IF(AND($S25&lt;&gt;"",EDATE($D25,Milestones!$AA$108)&gt;=$S25),$V25,$U25)))=Milestones!$AB$108),UPPER(TEXT(EDATE($D25,Milestones!$AA$108),"dd mmm yy"))&amp;" "&amp;Milestones!$AB$108&amp;" "&amp;Milestones!$AC$108&amp;";  ","")&amp;IF(AND(EDATE($D25,Milestones!$AA$109)&lt;=AsOfDate,IF($R25=0,$X25,IF(AND($T25&lt;&gt;"",EDATE($D25,Milestones!$AA$109)&gt;=$T25),$W25,IF(AND($S25&lt;&gt;"",EDATE($D25,Milestones!$AA$109)&gt;=$S25),$V25,$U25)))=Milestones!$AB$109),UPPER(TEXT(EDATE($D25,Milestones!$AA$109),"dd mmm yy"))&amp;" "&amp;Milestones!$AB$109&amp;" "&amp;Milestones!$AC$109&amp;";  ","")&amp;IF(AND(EDATE($D25,Milestones!$AA$110)&lt;=AsOfDate,IF($R25=0,$X25,IF(AND($T25&lt;&gt;"",EDATE($D25,Milestones!$AA$110)&gt;=$T25),$W25,IF(AND($S25&lt;&gt;"",EDATE($D25,Milestones!$AA$110)&gt;=$S25),$V25,$U25)))=Milestones!$AB$110),UPPER(TEXT(EDATE($D25,Milestones!$AA$110),"dd mmm yy"))&amp;" "&amp;Milestones!$AB$110&amp;" "&amp;Milestones!$AC$110&amp;";  ","")&amp;IF(AND(EDATE($D25,Milestones!$AA$111)&lt;=AsOfDate,IF($R25=0,$X25,IF(AND($T25&lt;&gt;"",EDATE($D25,Milestones!$AA$111)&gt;=$T25),$W25,IF(AND($S25&lt;&gt;"",EDATE($D25,Milestones!$AA$111)&gt;=$S25),$V25,$U25)))=Milestones!$AB$111),UPPER(TEXT(EDATE($D25,Milestones!$AA$111),"dd mmm yy"))&amp;" "&amp;Milestones!$AB$111&amp;" "&amp;Milestones!$AC$111&amp;";  ","")&amp;IF(AND(EDATE($D25,Milestones!$AA$112)&lt;=AsOfDate,IF($R25=0,$X25,IF(AND($T25&lt;&gt;"",EDATE($D25,Milestones!$AA$112)&gt;=$T25),$W25,IF(AND($S25&lt;&gt;"",EDATE($D25,Milestones!$AA$112)&gt;=$S25),$V25,$U25)))=Milestones!$AB$112),UPPER(TEXT(EDATE($D25,Milestones!$AA$112),"dd mmm yy"))&amp;" "&amp;Milestones!$AB$112&amp;" "&amp;Milestones!$AC$112&amp;";  ","")&amp;IF(AND(EDATE($D25,Milestones!$AA$113)&lt;=AsOfDate,IF($R25=0,$X25,IF(AND($T25&lt;&gt;"",EDATE($D25,Milestones!$AA$113)&gt;=$T25),$W25,IF(AND($S25&lt;&gt;"",EDATE($D25,Milestones!$AA$113)&gt;=$S25),$V25,$U25)))=Milestones!$AB$113),UPPER(TEXT(EDATE($D25,Milestones!$AA$113),"dd mmm yy"))&amp;" "&amp;Milestones!$AB$113&amp;" "&amp;Milestones!$AC$113&amp;";  ","")&amp;IF(AND(EDATE($D25,Milestones!$AA$114)&lt;=AsOfDate,IF($R25=0,$X25,IF(AND($T25&lt;&gt;"",EDATE($D25,Milestones!$AA$114)&gt;=$T25),$W25,IF(AND($S25&lt;&gt;"",EDATE($D25,Milestones!$AA$114)&gt;=$S25),$V25,$U25)))=Milestones!$AB$114),UPPER(TEXT(EDATE($D25,Milestones!$AA$114),"dd mmm yy"))&amp;" "&amp;Milestones!$AB$114&amp;" "&amp;Milestones!$AC$114&amp;";  ","")&amp;IF(AND(EDATE($D25,Milestones!$AA$115)&lt;=AsOfDate,IF($R25=0,$X25,IF(AND($T25&lt;&gt;"",EDATE($D25,Milestones!$AA$115)&gt;=$T25),$W25,IF(AND($S25&lt;&gt;"",EDATE($D25,Milestones!$AA$115)&gt;=$S25),$V25,$U25)))=Milestones!$AB$115),UPPER(TEXT(EDATE($D25,Milestones!$AA$115),"dd mmm yy"))&amp;" "&amp;Milestones!$AB$115&amp;" "&amp;Milestones!$AC$115&amp;";  ","")&amp;IF(AND(EDATE($D25,Milestones!$AA$116)&lt;=AsOfDate,IF($R25=0,$X25,IF(AND($T25&lt;&gt;"",EDATE($D25,Milestones!$AA$116)&gt;=$T25),$W25,IF(AND($S25&lt;&gt;"",EDATE($D25,Milestones!$AA$116)&gt;=$S25),$V25,$U25)))=Milestones!$AB$116),UPPER(TEXT(EDATE($D25,Milestones!$AA$116),"dd mmm yy"))&amp;" "&amp;Milestones!$AB$116&amp;" "&amp;Milestones!$AC$116&amp;";  ","")&amp;IF(AND(EDATE($D25,Milestones!$AA$117)&lt;=AsOfDate,IF($R25=0,$X25,IF(AND($T25&lt;&gt;"",EDATE($D25,Milestones!$AA$117)&gt;=$T25),$W25,IF(AND($S25&lt;&gt;"",EDATE($D25,Milestones!$AA$117)&gt;=$S25),$V25,$U25)))=Milestones!$AB$117),UPPER(TEXT(EDATE($D25,Milestones!$AA$117),"dd mmm yy"))&amp;" "&amp;Milestones!$AB$117&amp;" "&amp;Milestones!$AC$117&amp;";  ","")&amp;IF(AND(EDATE($D25,Milestones!$AA$118)&lt;=AsOfDate,IF($R25=0,$X25,IF(AND($T25&lt;&gt;"",EDATE($D25,Milestones!$AA$118)&gt;=$T25),$W25,IF(AND($S25&lt;&gt;"",EDATE($D25,Milestones!$AA$118)&gt;=$S25),$V25,$U25)))=Milestones!$AB$118),UPPER(TEXT(EDATE($D25,Milestones!$AA$118),"dd mmm yy"))&amp;" "&amp;Milestones!$AB$118&amp;" "&amp;Milestones!$AC$118&amp;";  ","")&amp;IF(AND(EDATE($D25,Milestones!$AA$119)&lt;=AsOfDate,IF($R25=0,$X25,IF(AND($T25&lt;&gt;"",EDATE($D25,Milestones!$AA$119)&gt;=$T25),$W25,IF(AND($S25&lt;&gt;"",EDATE($D25,Milestones!$AA$119)&gt;=$S25),$V25,$U25)))=Milestones!$AB$119),UPPER(TEXT(EDATE($D25,Milestones!$AA$119),"dd mmm yy"))&amp;" "&amp;Milestones!$AB$119&amp;" "&amp;Milestones!$AC$119&amp;";  ",""))</f>
        <v/>
      </c>
      <c r="N25" s="0" t="str">
        <f aca="false">IF(OR($A25="",$D25=""),"",IF(AND(EDATE($D25,Milestones!$AA$120)&lt;=AsOfDate,IF($R25=0,$X25,IF(AND($T25&lt;&gt;"",EDATE($D25,Milestones!$AA$120)&gt;=$T25),$W25,IF(AND($S25&lt;&gt;"",EDATE($D25,Milestones!$AA$120)&gt;=$S25),$V25,$U25)))=Milestones!$AB$120),UPPER(TEXT(EDATE($D25,Milestones!$AA$120),"dd mmm yy"))&amp;" "&amp;Milestones!$AB$120&amp;" "&amp;Milestones!$AC$120&amp;";  ","")&amp;IF(AND(EDATE($D25,Milestones!$AA$121)&lt;=AsOfDate,IF($R25=0,$X25,IF(AND($T25&lt;&gt;"",EDATE($D25,Milestones!$AA$121)&gt;=$T25),$W25,IF(AND($S25&lt;&gt;"",EDATE($D25,Milestones!$AA$121)&gt;=$S25),$V25,$U25)))=Milestones!$AB$121),UPPER(TEXT(EDATE($D25,Milestones!$AA$121),"dd mmm yy"))&amp;" "&amp;Milestones!$AB$121&amp;" "&amp;Milestones!$AC$121&amp;";  ","")&amp;IF(AND(EDATE($D25,Milestones!$AA$122)&lt;=AsOfDate,IF($R25=0,$X25,IF(AND($T25&lt;&gt;"",EDATE($D25,Milestones!$AA$122)&gt;=$T25),$W25,IF(AND($S25&lt;&gt;"",EDATE($D25,Milestones!$AA$122)&gt;=$S25),$V25,$U25)))=Milestones!$AB$122),UPPER(TEXT(EDATE($D25,Milestones!$AA$122),"dd mmm yy"))&amp;" "&amp;Milestones!$AB$122&amp;" "&amp;Milestones!$AC$122&amp;";  ","")&amp;IF(AND(EDATE($D25,Milestones!$AA$123)&lt;=AsOfDate,IF($R25=0,$X25,IF(AND($T25&lt;&gt;"",EDATE($D25,Milestones!$AA$123)&gt;=$T25),$W25,IF(AND($S25&lt;&gt;"",EDATE($D25,Milestones!$AA$123)&gt;=$S25),$V25,$U25)))=Milestones!$AB$123),UPPER(TEXT(EDATE($D25,Milestones!$AA$123),"dd mmm yy"))&amp;" "&amp;Milestones!$AB$123&amp;" "&amp;Milestones!$AC$123&amp;";  ","")&amp;IF(AND(EDATE($D25,Milestones!$AA$124)&lt;=AsOfDate,IF($R25=0,$X25,IF(AND($T25&lt;&gt;"",EDATE($D25,Milestones!$AA$124)&gt;=$T25),$W25,IF(AND($S25&lt;&gt;"",EDATE($D25,Milestones!$AA$124)&gt;=$S25),$V25,$U25)))=Milestones!$AB$124),UPPER(TEXT(EDATE($D25,Milestones!$AA$124),"dd mmm yy"))&amp;" "&amp;Milestones!$AB$124&amp;" "&amp;Milestones!$AC$124&amp;";  ","")&amp;IF(AND(EDATE($D25,Milestones!$AA$125)&lt;=AsOfDate,IF($R25=0,$X25,IF(AND($T25&lt;&gt;"",EDATE($D25,Milestones!$AA$125)&gt;=$T25),$W25,IF(AND($S25&lt;&gt;"",EDATE($D25,Milestones!$AA$125)&gt;=$S25),$V25,$U25)))=Milestones!$AB$125),UPPER(TEXT(EDATE($D25,Milestones!$AA$125),"dd mmm yy"))&amp;" "&amp;Milestones!$AB$125&amp;" "&amp;Milestones!$AC$125&amp;";  ","")&amp;IF(AND(EDATE($D25,Milestones!$AA$126)&lt;=AsOfDate,IF($R25=0,$X25,IF(AND($T25&lt;&gt;"",EDATE($D25,Milestones!$AA$126)&gt;=$T25),$W25,IF(AND($S25&lt;&gt;"",EDATE($D25,Milestones!$AA$126)&gt;=$S25),$V25,$U25)))=Milestones!$AB$126),UPPER(TEXT(EDATE($D25,Milestones!$AA$126),"dd mmm yy"))&amp;" "&amp;Milestones!$AB$126&amp;" "&amp;Milestones!$AC$126&amp;";  ","")&amp;IF(AND(EDATE($D25,Milestones!$AA$127)&lt;=AsOfDate,IF($R25=0,$X25,IF(AND($T25&lt;&gt;"",EDATE($D25,Milestones!$AA$127)&gt;=$T25),$W25,IF(AND($S25&lt;&gt;"",EDATE($D25,Milestones!$AA$127)&gt;=$S25),$V25,$U25)))=Milestones!$AB$127),UPPER(TEXT(EDATE($D25,Milestones!$AA$127),"dd mmm yy"))&amp;" "&amp;Milestones!$AB$127&amp;" "&amp;Milestones!$AC$127&amp;";  ","")&amp;IF(AND(EDATE($D25,Milestones!$AA$128)&lt;=AsOfDate,IF($R25=0,$X25,IF(AND($T25&lt;&gt;"",EDATE($D25,Milestones!$AA$128)&gt;=$T25),$W25,IF(AND($S25&lt;&gt;"",EDATE($D25,Milestones!$AA$128)&gt;=$S25),$V25,$U25)))=Milestones!$AB$128),UPPER(TEXT(EDATE($D25,Milestones!$AA$128),"dd mmm yy"))&amp;" "&amp;Milestones!$AB$128&amp;" "&amp;Milestones!$AC$128&amp;";  ","")&amp;IF(AND(EDATE($D25,Milestones!$AA$129)&lt;=AsOfDate,IF($R25=0,$X25,IF(AND($T25&lt;&gt;"",EDATE($D25,Milestones!$AA$129)&gt;=$T25),$W25,IF(AND($S25&lt;&gt;"",EDATE($D25,Milestones!$AA$129)&gt;=$S25),$V25,$U25)))=Milestones!$AB$129),UPPER(TEXT(EDATE($D25,Milestones!$AA$129),"dd mmm yy"))&amp;" "&amp;Milestones!$AB$129&amp;" "&amp;Milestones!$AC$129&amp;";  ","")&amp;IF(AND(EDATE($D25,Milestones!$AA$130)&lt;=AsOfDate,IF($R25=0,$X25,IF(AND($T25&lt;&gt;"",EDATE($D25,Milestones!$AA$130)&gt;=$T25),$W25,IF(AND($S25&lt;&gt;"",EDATE($D25,Milestones!$AA$130)&gt;=$S25),$V25,$U25)))=Milestones!$AB$130),UPPER(TEXT(EDATE($D25,Milestones!$AA$130),"dd mmm yy"))&amp;" "&amp;Milestones!$AB$130&amp;" "&amp;Milestones!$AC$130&amp;";  ","")&amp;IF(AND(EDATE($D25,Milestones!$AA$131)&lt;=AsOfDate,IF($R25=0,$X25,IF(AND($T25&lt;&gt;"",EDATE($D25,Milestones!$AA$131)&gt;=$T25),$W25,IF(AND($S25&lt;&gt;"",EDATE($D25,Milestones!$AA$131)&gt;=$S25),$V25,$U25)))=Milestones!$AB$131),UPPER(TEXT(EDATE($D25,Milestones!$AA$131),"dd mmm yy"))&amp;" "&amp;Milestones!$AB$131&amp;" "&amp;Milestones!$AC$131&amp;";  ","")&amp;IF(AND(EDATE($D25,Milestones!$AA$132)&lt;=AsOfDate,IF($R25=0,$X25,IF(AND($T25&lt;&gt;"",EDATE($D25,Milestones!$AA$132)&gt;=$T25),$W25,IF(AND($S25&lt;&gt;"",EDATE($D25,Milestones!$AA$132)&gt;=$S25),$V25,$U25)))=Milestones!$AB$132),UPPER(TEXT(EDATE($D25,Milestones!$AA$132),"dd mmm yy"))&amp;" "&amp;Milestones!$AB$132&amp;" "&amp;Milestones!$AC$132&amp;";  ","")&amp;IF(AND(EDATE($D25,Milestones!$AA$133)&lt;=AsOfDate,IF($R25=0,$X25,IF(AND($T25&lt;&gt;"",EDATE($D25,Milestones!$AA$133)&gt;=$T25),$W25,IF(AND($S25&lt;&gt;"",EDATE($D25,Milestones!$AA$133)&gt;=$S25),$V25,$U25)))=Milestones!$AB$133),UPPER(TEXT(EDATE($D25,Milestones!$AA$133),"dd mmm yy"))&amp;" "&amp;Milestones!$AB$133&amp;" "&amp;Milestones!$AC$133&amp;";  ","")&amp;IF(AND(EDATE($D25,Milestones!$AA$134)&lt;=AsOfDate,IF($R25=0,$X25,IF(AND($T25&lt;&gt;"",EDATE($D25,Milestones!$AA$134)&gt;=$T25),$W25,IF(AND($S25&lt;&gt;"",EDATE($D25,Milestones!$AA$134)&gt;=$S25),$V25,$U25)))=Milestones!$AB$134),UPPER(TEXT(EDATE($D25,Milestones!$AA$134),"dd mmm yy"))&amp;" "&amp;Milestones!$AB$134&amp;" "&amp;Milestones!$AC$134&amp;";  ","")&amp;IF(AND(EDATE($D25,Milestones!$AA$135)&lt;=AsOfDate,IF($R25=0,$X25,IF(AND($T25&lt;&gt;"",EDATE($D25,Milestones!$AA$135)&gt;=$T25),$W25,IF(AND($S25&lt;&gt;"",EDATE($D25,Milestones!$AA$135)&gt;=$S25),$V25,$U25)))=Milestones!$AB$135),UPPER(TEXT(EDATE($D25,Milestones!$AA$135),"dd mmm yy"))&amp;" "&amp;Milestones!$AB$135&amp;" "&amp;Milestones!$AC$135&amp;";  ","")&amp;IF(AND(EDATE($D25,Milestones!$AA$136)&lt;=AsOfDate,IF($R25=0,$X25,IF(AND($T25&lt;&gt;"",EDATE($D25,Milestones!$AA$136)&gt;=$T25),$W25,IF(AND($S25&lt;&gt;"",EDATE($D25,Milestones!$AA$136)&gt;=$S25),$V25,$U25)))=Milestones!$AB$136),UPPER(TEXT(EDATE($D25,Milestones!$AA$136),"dd mmm yy"))&amp;" "&amp;Milestones!$AB$136&amp;" "&amp;Milestones!$AC$136&amp;";  ","")&amp;IF(AND(EDATE($D25,Milestones!$AA$137)&lt;=AsOfDate,IF($R25=0,$X25,IF(AND($T25&lt;&gt;"",EDATE($D25,Milestones!$AA$137)&gt;=$T25),$W25,IF(AND($S25&lt;&gt;"",EDATE($D25,Milestones!$AA$137)&gt;=$S25),$V25,$U25)))=Milestones!$AB$137),UPPER(TEXT(EDATE($D25,Milestones!$AA$137),"dd mmm yy"))&amp;" "&amp;Milestones!$AB$137&amp;" "&amp;Milestones!$AC$137&amp;";  ","")&amp;IF(AND(EDATE($D25,Milestones!$AA$138)&lt;=AsOfDate,IF($R25=0,$X25,IF(AND($T25&lt;&gt;"",EDATE($D25,Milestones!$AA$138)&gt;=$T25),$W25,IF(AND($S25&lt;&gt;"",EDATE($D25,Milestones!$AA$138)&gt;=$S25),$V25,$U25)))=Milestones!$AB$138),UPPER(TEXT(EDATE($D25,Milestones!$AA$138),"dd mmm yy"))&amp;" "&amp;Milestones!$AB$138&amp;" "&amp;Milestones!$AC$138&amp;";  ","")&amp;IF(AND(EDATE($D25,Milestones!$AA$139)&lt;=AsOfDate,IF($R25=0,$X25,IF(AND($T25&lt;&gt;"",EDATE($D25,Milestones!$AA$139)&gt;=$T25),$W25,IF(AND($S25&lt;&gt;"",EDATE($D25,Milestones!$AA$139)&gt;=$S25),$V25,$U25)))=Milestones!$AB$139),UPPER(TEXT(EDATE($D25,Milestones!$AA$139),"dd mmm yy"))&amp;" "&amp;Milestones!$AB$139&amp;" "&amp;Milestones!$AC$139&amp;";  ",""))</f>
        <v/>
      </c>
      <c r="O25" s="0" t="str">
        <f aca="false">IF(OR($A25="",$D25=""),"",IF(AND(EDATE($D25,Milestones!$AA$140)&lt;=AsOfDate,IF($R25=0,$X25,IF(AND($T25&lt;&gt;"",EDATE($D25,Milestones!$AA$140)&gt;=$T25),$W25,IF(AND($S25&lt;&gt;"",EDATE($D25,Milestones!$AA$140)&gt;=$S25),$V25,$U25)))=Milestones!$AB$140),UPPER(TEXT(EDATE($D25,Milestones!$AA$140),"dd mmm yy"))&amp;" "&amp;Milestones!$AB$140&amp;" "&amp;Milestones!$AC$140&amp;";  ","")&amp;IF(AND(EDATE($D25,Milestones!$AA$141)&lt;=AsOfDate,IF($R25=0,$X25,IF(AND($T25&lt;&gt;"",EDATE($D25,Milestones!$AA$141)&gt;=$T25),$W25,IF(AND($S25&lt;&gt;"",EDATE($D25,Milestones!$AA$141)&gt;=$S25),$V25,$U25)))=Milestones!$AB$141),UPPER(TEXT(EDATE($D25,Milestones!$AA$141),"dd mmm yy"))&amp;" "&amp;Milestones!$AB$141&amp;" "&amp;Milestones!$AC$141&amp;";  ","")&amp;IF(AND(EDATE($D25,Milestones!$AA$142)&lt;=AsOfDate,IF($R25=0,$X25,IF(AND($T25&lt;&gt;"",EDATE($D25,Milestones!$AA$142)&gt;=$T25),$W25,IF(AND($S25&lt;&gt;"",EDATE($D25,Milestones!$AA$142)&gt;=$S25),$V25,$U25)))=Milestones!$AB$142),UPPER(TEXT(EDATE($D25,Milestones!$AA$142),"dd mmm yy"))&amp;" "&amp;Milestones!$AB$142&amp;" "&amp;Milestones!$AC$142&amp;";  ","")&amp;IF(AND(EDATE($D25,Milestones!$AA$143)&lt;=AsOfDate,IF($R25=0,$X25,IF(AND($T25&lt;&gt;"",EDATE($D25,Milestones!$AA$143)&gt;=$T25),$W25,IF(AND($S25&lt;&gt;"",EDATE($D25,Milestones!$AA$143)&gt;=$S25),$V25,$U25)))=Milestones!$AB$143),UPPER(TEXT(EDATE($D25,Milestones!$AA$143),"dd mmm yy"))&amp;" "&amp;Milestones!$AB$143&amp;" "&amp;Milestones!$AC$143&amp;";  ","")&amp;IF(AND(EDATE($D25,Milestones!$AA$144)&lt;=AsOfDate,IF($R25=0,$X25,IF(AND($T25&lt;&gt;"",EDATE($D25,Milestones!$AA$144)&gt;=$T25),$W25,IF(AND($S25&lt;&gt;"",EDATE($D25,Milestones!$AA$144)&gt;=$S25),$V25,$U25)))=Milestones!$AB$144),UPPER(TEXT(EDATE($D25,Milestones!$AA$144),"dd mmm yy"))&amp;" "&amp;Milestones!$AB$144&amp;" "&amp;Milestones!$AC$144&amp;";  ","")&amp;IF(AND(EDATE($D25,Milestones!$AA$145)&lt;=AsOfDate,IF($R25=0,$X25,IF(AND($T25&lt;&gt;"",EDATE($D25,Milestones!$AA$145)&gt;=$T25),$W25,IF(AND($S25&lt;&gt;"",EDATE($D25,Milestones!$AA$145)&gt;=$S25),$V25,$U25)))=Milestones!$AB$145),UPPER(TEXT(EDATE($D25,Milestones!$AA$145),"dd mmm yy"))&amp;" "&amp;Milestones!$AB$145&amp;" "&amp;Milestones!$AC$145&amp;";  ","")&amp;IF(AND(EDATE($D25,Milestones!$AA$146)&lt;=AsOfDate,IF($R25=0,$X25,IF(AND($T25&lt;&gt;"",EDATE($D25,Milestones!$AA$146)&gt;=$T25),$W25,IF(AND($S25&lt;&gt;"",EDATE($D25,Milestones!$AA$146)&gt;=$S25),$V25,$U25)))=Milestones!$AB$146),UPPER(TEXT(EDATE($D25,Milestones!$AA$146),"dd mmm yy"))&amp;" "&amp;Milestones!$AB$146&amp;" "&amp;Milestones!$AC$146&amp;";  ","")&amp;IF(AND(EDATE($D25,Milestones!$AA$147)&lt;=AsOfDate,IF($R25=0,$X25,IF(AND($T25&lt;&gt;"",EDATE($D25,Milestones!$AA$147)&gt;=$T25),$W25,IF(AND($S25&lt;&gt;"",EDATE($D25,Milestones!$AA$147)&gt;=$S25),$V25,$U25)))=Milestones!$AB$147),UPPER(TEXT(EDATE($D25,Milestones!$AA$147),"dd mmm yy"))&amp;" "&amp;Milestones!$AB$147&amp;" "&amp;Milestones!$AC$147&amp;";  ","")&amp;IF(AND(EDATE($D25,Milestones!$AA$148)&lt;=AsOfDate,IF($R25=0,$X25,IF(AND($T25&lt;&gt;"",EDATE($D25,Milestones!$AA$148)&gt;=$T25),$W25,IF(AND($S25&lt;&gt;"",EDATE($D25,Milestones!$AA$148)&gt;=$S25),$V25,$U25)))=Milestones!$AB$148),UPPER(TEXT(EDATE($D25,Milestones!$AA$148),"dd mmm yy"))&amp;" "&amp;Milestones!$AB$148&amp;" "&amp;Milestones!$AC$148&amp;";  ","")&amp;IF(AND(EDATE($D25,Milestones!$AA$149)&lt;=AsOfDate,IF($R25=0,$X25,IF(AND($T25&lt;&gt;"",EDATE($D25,Milestones!$AA$149)&gt;=$T25),$W25,IF(AND($S25&lt;&gt;"",EDATE($D25,Milestones!$AA$149)&gt;=$S25),$V25,$U25)))=Milestones!$AB$149),UPPER(TEXT(EDATE($D25,Milestones!$AA$149),"dd mmm yy"))&amp;" "&amp;Milestones!$AB$149&amp;" "&amp;Milestones!$AC$149&amp;";  ","")&amp;IF(AND(EDATE($D25,Milestones!$AA$150)&lt;=AsOfDate,IF($R25=0,$X25,IF(AND($T25&lt;&gt;"",EDATE($D25,Milestones!$AA$150)&gt;=$T25),$W25,IF(AND($S25&lt;&gt;"",EDATE($D25,Milestones!$AA$150)&gt;=$S25),$V25,$U25)))=Milestones!$AB$150),UPPER(TEXT(EDATE($D25,Milestones!$AA$150),"dd mmm yy"))&amp;" "&amp;Milestones!$AB$150&amp;" "&amp;Milestones!$AC$150&amp;";  ","")&amp;IF(AND(EDATE($D25,Milestones!$AA$151)&lt;=AsOfDate,IF($R25=0,$X25,IF(AND($T25&lt;&gt;"",EDATE($D25,Milestones!$AA$151)&gt;=$T25),$W25,IF(AND($S25&lt;&gt;"",EDATE($D25,Milestones!$AA$151)&gt;=$S25),$V25,$U25)))=Milestones!$AB$151),UPPER(TEXT(EDATE($D25,Milestones!$AA$151),"dd mmm yy"))&amp;" "&amp;Milestones!$AB$151&amp;" "&amp;Milestones!$AC$151&amp;";  ","")&amp;IF(AND(EDATE($D25,Milestones!$AA$152)&lt;=AsOfDate,IF($R25=0,$X25,IF(AND($T25&lt;&gt;"",EDATE($D25,Milestones!$AA$152)&gt;=$T25),$W25,IF(AND($S25&lt;&gt;"",EDATE($D25,Milestones!$AA$152)&gt;=$S25),$V25,$U25)))=Milestones!$AB$152),UPPER(TEXT(EDATE($D25,Milestones!$AA$152),"dd mmm yy"))&amp;" "&amp;Milestones!$AB$152&amp;" "&amp;Milestones!$AC$152&amp;";  ","")&amp;IF(AND(EDATE($D25,Milestones!$AA$153)&lt;=AsOfDate,IF($R25=0,$X25,IF(AND($T25&lt;&gt;"",EDATE($D25,Milestones!$AA$153)&gt;=$T25),$W25,IF(AND($S25&lt;&gt;"",EDATE($D25,Milestones!$AA$153)&gt;=$S25),$V25,$U25)))=Milestones!$AB$153),UPPER(TEXT(EDATE($D25,Milestones!$AA$153),"dd mmm yy"))&amp;" "&amp;Milestones!$AB$153&amp;" "&amp;Milestones!$AC$153&amp;";  ","")&amp;IF(AND(EDATE($D25,Milestones!$AA$154)&lt;=AsOfDate,IF($R25=0,$X25,IF(AND($T25&lt;&gt;"",EDATE($D25,Milestones!$AA$154)&gt;=$T25),$W25,IF(AND($S25&lt;&gt;"",EDATE($D25,Milestones!$AA$154)&gt;=$S25),$V25,$U25)))=Milestones!$AB$154),UPPER(TEXT(EDATE($D25,Milestones!$AA$154),"dd mmm yy"))&amp;" "&amp;Milestones!$AB$154&amp;" "&amp;Milestones!$AC$154&amp;";  ","")&amp;IF(AND(EDATE($D25,Milestones!$AA$155)&lt;=AsOfDate,IF($R25=0,$X25,IF(AND($T25&lt;&gt;"",EDATE($D25,Milestones!$AA$155)&gt;=$T25),$W25,IF(AND($S25&lt;&gt;"",EDATE($D25,Milestones!$AA$155)&gt;=$S25),$V25,$U25)))=Milestones!$AB$155),UPPER(TEXT(EDATE($D25,Milestones!$AA$155),"dd mmm yy"))&amp;" "&amp;Milestones!$AB$155&amp;" "&amp;Milestones!$AC$155&amp;";  ","")&amp;IF(AND(EDATE($D25,Milestones!$AA$156)&lt;=AsOfDate,IF($R25=0,$X25,IF(AND($T25&lt;&gt;"",EDATE($D25,Milestones!$AA$156)&gt;=$T25),$W25,IF(AND($S25&lt;&gt;"",EDATE($D25,Milestones!$AA$156)&gt;=$S25),$V25,$U25)))=Milestones!$AB$156),UPPER(TEXT(EDATE($D25,Milestones!$AA$156),"dd mmm yy"))&amp;" "&amp;Milestones!$AB$156&amp;" "&amp;Milestones!$AC$156&amp;";  ","")&amp;IF(AND(EDATE($D25,Milestones!$AA$157)&lt;=AsOfDate,IF($R25=0,$X25,IF(AND($T25&lt;&gt;"",EDATE($D25,Milestones!$AA$157)&gt;=$T25),$W25,IF(AND($S25&lt;&gt;"",EDATE($D25,Milestones!$AA$157)&gt;=$S25),$V25,$U25)))=Milestones!$AB$157),UPPER(TEXT(EDATE($D25,Milestones!$AA$157),"dd mmm yy"))&amp;" "&amp;Milestones!$AB$157&amp;" "&amp;Milestones!$AC$157&amp;";  ","")&amp;IF(AND(EDATE($D25,Milestones!$AA$158)&lt;=AsOfDate,IF($R25=0,$X25,IF(AND($T25&lt;&gt;"",EDATE($D25,Milestones!$AA$158)&gt;=$T25),$W25,IF(AND($S25&lt;&gt;"",EDATE($D25,Milestones!$AA$158)&gt;=$S25),$V25,$U25)))=Milestones!$AB$158),UPPER(TEXT(EDATE($D25,Milestones!$AA$158),"dd mmm yy"))&amp;" "&amp;Milestones!$AB$158&amp;" "&amp;Milestones!$AC$158&amp;";  ","")&amp;IF(AND(EDATE($D25,Milestones!$AA$159)&lt;=AsOfDate,IF($R25=0,$X25,IF(AND($T25&lt;&gt;"",EDATE($D25,Milestones!$AA$159)&gt;=$T25),$W25,IF(AND($S25&lt;&gt;"",EDATE($D25,Milestones!$AA$159)&gt;=$S25),$V25,$U25)))=Milestones!$AB$159),UPPER(TEXT(EDATE($D25,Milestones!$AA$159),"dd mmm yy"))&amp;" "&amp;Milestones!$AB$159&amp;" "&amp;Milestones!$AC$159&amp;";  ",""))</f>
        <v/>
      </c>
      <c r="P25" s="0" t="str">
        <f aca="false">IF(OR($A25="",$D25=""),"",IF(AND(EDATE($D25,Milestones!$AA$160)&lt;=AsOfDate,IF($R25=0,$X25,IF(AND($T25&lt;&gt;"",EDATE($D25,Milestones!$AA$160)&gt;=$T25),$W25,IF(AND($S25&lt;&gt;"",EDATE($D25,Milestones!$AA$160)&gt;=$S25),$V25,$U25)))=Milestones!$AB$160),UPPER(TEXT(EDATE($D25,Milestones!$AA$160),"dd mmm yy"))&amp;" "&amp;Milestones!$AB$160&amp;" "&amp;Milestones!$AC$160&amp;";  ","")&amp;IF(AND(EDATE($D25,Milestones!$AA$161)&lt;=AsOfDate,IF($R25=0,$X25,IF(AND($T25&lt;&gt;"",EDATE($D25,Milestones!$AA$161)&gt;=$T25),$W25,IF(AND($S25&lt;&gt;"",EDATE($D25,Milestones!$AA$161)&gt;=$S25),$V25,$U25)))=Milestones!$AB$161),UPPER(TEXT(EDATE($D25,Milestones!$AA$161),"dd mmm yy"))&amp;" "&amp;Milestones!$AB$161&amp;" "&amp;Milestones!$AC$161&amp;";  ","")&amp;IF(AND(EDATE($D25,Milestones!$AA$162)&lt;=AsOfDate,IF($R25=0,$X25,IF(AND($T25&lt;&gt;"",EDATE($D25,Milestones!$AA$162)&gt;=$T25),$W25,IF(AND($S25&lt;&gt;"",EDATE($D25,Milestones!$AA$162)&gt;=$S25),$V25,$U25)))=Milestones!$AB$162),UPPER(TEXT(EDATE($D25,Milestones!$AA$162),"dd mmm yy"))&amp;" "&amp;Milestones!$AB$162&amp;" "&amp;Milestones!$AC$162&amp;";  ","")&amp;IF(AND(EDATE($D25,Milestones!$AA$163)&lt;=AsOfDate,IF($R25=0,$X25,IF(AND($T25&lt;&gt;"",EDATE($D25,Milestones!$AA$163)&gt;=$T25),$W25,IF(AND($S25&lt;&gt;"",EDATE($D25,Milestones!$AA$163)&gt;=$S25),$V25,$U25)))=Milestones!$AB$163),UPPER(TEXT(EDATE($D25,Milestones!$AA$163),"dd mmm yy"))&amp;" "&amp;Milestones!$AB$163&amp;" "&amp;Milestones!$AC$163&amp;";  ","")&amp;IF(AND(EDATE($D25,Milestones!$AA$164)&lt;=AsOfDate,IF($R25=0,$X25,IF(AND($T25&lt;&gt;"",EDATE($D25,Milestones!$AA$164)&gt;=$T25),$W25,IF(AND($S25&lt;&gt;"",EDATE($D25,Milestones!$AA$164)&gt;=$S25),$V25,$U25)))=Milestones!$AB$164),UPPER(TEXT(EDATE($D25,Milestones!$AA$164),"dd mmm yy"))&amp;" "&amp;Milestones!$AB$164&amp;" "&amp;Milestones!$AC$164&amp;";  ","")&amp;IF(AND(EDATE($D25,Milestones!$AA$165)&lt;=AsOfDate,IF($R25=0,$X25,IF(AND($T25&lt;&gt;"",EDATE($D25,Milestones!$AA$165)&gt;=$T25),$W25,IF(AND($S25&lt;&gt;"",EDATE($D25,Milestones!$AA$165)&gt;=$S25),$V25,$U25)))=Milestones!$AB$165),UPPER(TEXT(EDATE($D25,Milestones!$AA$165),"dd mmm yy"))&amp;" "&amp;Milestones!$AB$165&amp;" "&amp;Milestones!$AC$165&amp;";  ","")&amp;IF(AND(EDATE($D25,Milestones!$AA$166)&lt;=AsOfDate,IF($R25=0,$X25,IF(AND($T25&lt;&gt;"",EDATE($D25,Milestones!$AA$166)&gt;=$T25),$W25,IF(AND($S25&lt;&gt;"",EDATE($D25,Milestones!$AA$166)&gt;=$S25),$V25,$U25)))=Milestones!$AB$166),UPPER(TEXT(EDATE($D25,Milestones!$AA$166),"dd mmm yy"))&amp;" "&amp;Milestones!$AB$166&amp;" "&amp;Milestones!$AC$166&amp;";  ","")&amp;IF(AND(EDATE($D25,Milestones!$AA$167)&lt;=AsOfDate,IF($R25=0,$X25,IF(AND($T25&lt;&gt;"",EDATE($D25,Milestones!$AA$167)&gt;=$T25),$W25,IF(AND($S25&lt;&gt;"",EDATE($D25,Milestones!$AA$167)&gt;=$S25),$V25,$U25)))=Milestones!$AB$167),UPPER(TEXT(EDATE($D25,Milestones!$AA$167),"dd mmm yy"))&amp;" "&amp;Milestones!$AB$167&amp;" "&amp;Milestones!$AC$167&amp;";  ","")&amp;IF(AND(EDATE($D25,Milestones!$AA$168)&lt;=AsOfDate,IF($R25=0,$X25,IF(AND($T25&lt;&gt;"",EDATE($D25,Milestones!$AA$168)&gt;=$T25),$W25,IF(AND($S25&lt;&gt;"",EDATE($D25,Milestones!$AA$168)&gt;=$S25),$V25,$U25)))=Milestones!$AB$168),UPPER(TEXT(EDATE($D25,Milestones!$AA$168),"dd mmm yy"))&amp;" "&amp;Milestones!$AB$168&amp;" "&amp;Milestones!$AC$168&amp;";  ","")&amp;IF(AND(EDATE($D25,Milestones!$AA$169)&lt;=AsOfDate,IF($R25=0,$X25,IF(AND($T25&lt;&gt;"",EDATE($D25,Milestones!$AA$169)&gt;=$T25),$W25,IF(AND($S25&lt;&gt;"",EDATE($D25,Milestones!$AA$169)&gt;=$S25),$V25,$U25)))=Milestones!$AB$169),UPPER(TEXT(EDATE($D25,Milestones!$AA$169),"dd mmm yy"))&amp;" "&amp;Milestones!$AB$169&amp;" "&amp;Milestones!$AC$169&amp;";  ","")&amp;IF(AND(EDATE($D25,Milestones!$AA$170)&lt;=AsOfDate,IF($R25=0,$X25,IF(AND($T25&lt;&gt;"",EDATE($D25,Milestones!$AA$170)&gt;=$T25),$W25,IF(AND($S25&lt;&gt;"",EDATE($D25,Milestones!$AA$170)&gt;=$S25),$V25,$U25)))=Milestones!$AB$170),UPPER(TEXT(EDATE($D25,Milestones!$AA$170),"dd mmm yy"))&amp;" "&amp;Milestones!$AB$170&amp;" "&amp;Milestones!$AC$170&amp;";  ","")&amp;IF(AND(EDATE($D25,Milestones!$AA$171)&lt;=AsOfDate,IF($R25=0,$X25,IF(AND($T25&lt;&gt;"",EDATE($D25,Milestones!$AA$171)&gt;=$T25),$W25,IF(AND($S25&lt;&gt;"",EDATE($D25,Milestones!$AA$171)&gt;=$S25),$V25,$U25)))=Milestones!$AB$171),UPPER(TEXT(EDATE($D25,Milestones!$AA$171),"dd mmm yy"))&amp;" "&amp;Milestones!$AB$171&amp;" "&amp;Milestones!$AC$171&amp;";  ","")&amp;IF(AND(EDATE($D25,Milestones!$AA$172)&lt;=AsOfDate,IF($R25=0,$X25,IF(AND($T25&lt;&gt;"",EDATE($D25,Milestones!$AA$172)&gt;=$T25),$W25,IF(AND($S25&lt;&gt;"",EDATE($D25,Milestones!$AA$172)&gt;=$S25),$V25,$U25)))=Milestones!$AB$172),UPPER(TEXT(EDATE($D25,Milestones!$AA$172),"dd mmm yy"))&amp;" "&amp;Milestones!$AB$172&amp;" "&amp;Milestones!$AC$172&amp;";  ","")&amp;IF(AND(EDATE($D25,Milestones!$AA$173)&lt;=AsOfDate,IF($R25=0,$X25,IF(AND($T25&lt;&gt;"",EDATE($D25,Milestones!$AA$173)&gt;=$T25),$W25,IF(AND($S25&lt;&gt;"",EDATE($D25,Milestones!$AA$173)&gt;=$S25),$V25,$U25)))=Milestones!$AB$173),UPPER(TEXT(EDATE($D25,Milestones!$AA$173),"dd mmm yy"))&amp;" "&amp;Milestones!$AB$173&amp;" "&amp;Milestones!$AC$173&amp;";  ","")&amp;IF(AND(EDATE($D25,Milestones!$AA$174)&lt;=AsOfDate,IF($R25=0,$X25,IF(AND($T25&lt;&gt;"",EDATE($D25,Milestones!$AA$174)&gt;=$T25),$W25,IF(AND($S25&lt;&gt;"",EDATE($D25,Milestones!$AA$174)&gt;=$S25),$V25,$U25)))=Milestones!$AB$174),UPPER(TEXT(EDATE($D25,Milestones!$AA$174),"dd mmm yy"))&amp;" "&amp;Milestones!$AB$174&amp;" "&amp;Milestones!$AC$174&amp;";  ","")&amp;IF(AND(EDATE($D25,Milestones!$AA$175)&lt;=AsOfDate,IF($R25=0,$X25,IF(AND($T25&lt;&gt;"",EDATE($D25,Milestones!$AA$175)&gt;=$T25),$W25,IF(AND($S25&lt;&gt;"",EDATE($D25,Milestones!$AA$175)&gt;=$S25),$V25,$U25)))=Milestones!$AB$175),UPPER(TEXT(EDATE($D25,Milestones!$AA$175),"dd mmm yy"))&amp;" "&amp;Milestones!$AB$175&amp;" "&amp;Milestones!$AC$175&amp;";  ","")&amp;IF(AND(EDATE($D25,Milestones!$AA$176)&lt;=AsOfDate,IF($R25=0,$X25,IF(AND($T25&lt;&gt;"",EDATE($D25,Milestones!$AA$176)&gt;=$T25),$W25,IF(AND($S25&lt;&gt;"",EDATE($D25,Milestones!$AA$176)&gt;=$S25),$V25,$U25)))=Milestones!$AB$176),UPPER(TEXT(EDATE($D25,Milestones!$AA$176),"dd mmm yy"))&amp;" "&amp;Milestones!$AB$176&amp;" "&amp;Milestones!$AC$176&amp;";  ","")&amp;IF(AND(EDATE($D25,Milestones!$AA$177)&lt;=AsOfDate,IF($R25=0,$X25,IF(AND($T25&lt;&gt;"",EDATE($D25,Milestones!$AA$177)&gt;=$T25),$W25,IF(AND($S25&lt;&gt;"",EDATE($D25,Milestones!$AA$177)&gt;=$S25),$V25,$U25)))=Milestones!$AB$177),UPPER(TEXT(EDATE($D25,Milestones!$AA$177),"dd mmm yy"))&amp;" "&amp;Milestones!$AB$177&amp;" "&amp;Milestones!$AC$177&amp;";  ","")&amp;IF(AND(EDATE($D25,Milestones!$AA$178)&lt;=AsOfDate,IF($R25=0,$X25,IF(AND($T25&lt;&gt;"",EDATE($D25,Milestones!$AA$178)&gt;=$T25),$W25,IF(AND($S25&lt;&gt;"",EDATE($D25,Milestones!$AA$178)&gt;=$S25),$V25,$U25)))=Milestones!$AB$178),UPPER(TEXT(EDATE($D25,Milestones!$AA$178),"dd mmm yy"))&amp;" "&amp;Milestones!$AB$178&amp;" "&amp;Milestones!$AC$178&amp;";  ","")&amp;IF(AND(EDATE($D25,Milestones!$AA$179)&lt;=AsOfDate,IF($R25=0,$X25,IF(AND($T25&lt;&gt;"",EDATE($D25,Milestones!$AA$179)&gt;=$T25),$W25,IF(AND($S25&lt;&gt;"",EDATE($D25,Milestones!$AA$179)&gt;=$S25),$V25,$U25)))=Milestones!$AB$179),UPPER(TEXT(EDATE($D25,Milestones!$AA$179),"dd mmm yy"))&amp;" "&amp;Milestones!$AB$179&amp;" "&amp;Milestones!$AC$179&amp;";  ",""))</f>
        <v/>
      </c>
      <c r="Q25" s="0" t="str">
        <f aca="false">IF(OR($A25="",$D25=""),"",IF(AND(EDATE($D25,Milestones!$AA$180)&lt;=AsOfDate,IF($R25=0,$X25,IF(AND($T25&lt;&gt;"",EDATE($D25,Milestones!$AA$180)&gt;=$T25),$W25,IF(AND($S25&lt;&gt;"",EDATE($D25,Milestones!$AA$180)&gt;=$S25),$V25,$U25)))=Milestones!$AB$180),UPPER(TEXT(EDATE($D25,Milestones!$AA$180),"dd mmm yy"))&amp;" "&amp;Milestones!$AB$180&amp;" "&amp;Milestones!$AC$180&amp;";  ","")&amp;IF(AND(EDATE($D25,Milestones!$AA$181)&lt;=AsOfDate,IF($R25=0,$X25,IF(AND($T25&lt;&gt;"",EDATE($D25,Milestones!$AA$181)&gt;=$T25),$W25,IF(AND($S25&lt;&gt;"",EDATE($D25,Milestones!$AA$181)&gt;=$S25),$V25,$U25)))=Milestones!$AB$181),UPPER(TEXT(EDATE($D25,Milestones!$AA$181),"dd mmm yy"))&amp;" "&amp;Milestones!$AB$181&amp;" "&amp;Milestones!$AC$181&amp;";  ","")&amp;IF(AND(EDATE($D25,Milestones!$AA$182)&lt;=AsOfDate,IF($R25=0,$X25,IF(AND($T25&lt;&gt;"",EDATE($D25,Milestones!$AA$182)&gt;=$T25),$W25,IF(AND($S25&lt;&gt;"",EDATE($D25,Milestones!$AA$182)&gt;=$S25),$V25,$U25)))=Milestones!$AB$182),UPPER(TEXT(EDATE($D25,Milestones!$AA$182),"dd mmm yy"))&amp;" "&amp;Milestones!$AB$182&amp;" "&amp;Milestones!$AC$182&amp;";  ","")&amp;IF(AND(EDATE($D25,Milestones!$AA$183)&lt;=AsOfDate,IF($R25=0,$X25,IF(AND($T25&lt;&gt;"",EDATE($D25,Milestones!$AA$183)&gt;=$T25),$W25,IF(AND($S25&lt;&gt;"",EDATE($D25,Milestones!$AA$183)&gt;=$S25),$V25,$U25)))=Milestones!$AB$183),UPPER(TEXT(EDATE($D25,Milestones!$AA$183),"dd mmm yy"))&amp;" "&amp;Milestones!$AB$183&amp;" "&amp;Milestones!$AC$183&amp;";  ","")&amp;IF(AND(EDATE($D25,Milestones!$AA$184)&lt;=AsOfDate,IF($R25=0,$X25,IF(AND($T25&lt;&gt;"",EDATE($D25,Milestones!$AA$184)&gt;=$T25),$W25,IF(AND($S25&lt;&gt;"",EDATE($D25,Milestones!$AA$184)&gt;=$S25),$V25,$U25)))=Milestones!$AB$184),UPPER(TEXT(EDATE($D25,Milestones!$AA$184),"dd mmm yy"))&amp;" "&amp;Milestones!$AB$184&amp;" "&amp;Milestones!$AC$184&amp;";  ","")&amp;IF(AND(EDATE($D25,Milestones!$AA$185)&lt;=AsOfDate,IF($R25=0,$X25,IF(AND($T25&lt;&gt;"",EDATE($D25,Milestones!$AA$185)&gt;=$T25),$W25,IF(AND($S25&lt;&gt;"",EDATE($D25,Milestones!$AA$185)&gt;=$S25),$V25,$U25)))=Milestones!$AB$185),UPPER(TEXT(EDATE($D25,Milestones!$AA$185),"dd mmm yy"))&amp;" "&amp;Milestones!$AB$185&amp;" "&amp;Milestones!$AC$185&amp;";  ","")&amp;IF(AND(EDATE($D25,Milestones!$AA$186)&lt;=AsOfDate,IF($R25=0,$X25,IF(AND($T25&lt;&gt;"",EDATE($D25,Milestones!$AA$186)&gt;=$T25),$W25,IF(AND($S25&lt;&gt;"",EDATE($D25,Milestones!$AA$186)&gt;=$S25),$V25,$U25)))=Milestones!$AB$186),UPPER(TEXT(EDATE($D25,Milestones!$AA$186),"dd mmm yy"))&amp;" "&amp;Milestones!$AB$186&amp;" "&amp;Milestones!$AC$186&amp;";  ","")&amp;IF(AND(EDATE($D25,Milestones!$AA$187)&lt;=AsOfDate,IF($R25=0,$X25,IF(AND($T25&lt;&gt;"",EDATE($D25,Milestones!$AA$187)&gt;=$T25),$W25,IF(AND($S25&lt;&gt;"",EDATE($D25,Milestones!$AA$187)&gt;=$S25),$V25,$U25)))=Milestones!$AB$187),UPPER(TEXT(EDATE($D25,Milestones!$AA$187),"dd mmm yy"))&amp;" "&amp;Milestones!$AB$187&amp;" "&amp;Milestones!$AC$187&amp;";  ","")&amp;IF(AND(EDATE($D25,Milestones!$AA$188)&lt;=AsOfDate,IF($R25=0,$X25,IF(AND($T25&lt;&gt;"",EDATE($D25,Milestones!$AA$188)&gt;=$T25),$W25,IF(AND($S25&lt;&gt;"",EDATE($D25,Milestones!$AA$188)&gt;=$S25),$V25,$U25)))=Milestones!$AB$188),UPPER(TEXT(EDATE($D25,Milestones!$AA$188),"dd mmm yy"))&amp;" "&amp;Milestones!$AB$188&amp;" "&amp;Milestones!$AC$188&amp;";  ","")&amp;IF(AND(EDATE($D25,Milestones!$AA$189)&lt;=AsOfDate,IF($R25=0,$X25,IF(AND($T25&lt;&gt;"",EDATE($D25,Milestones!$AA$189)&gt;=$T25),$W25,IF(AND($S25&lt;&gt;"",EDATE($D25,Milestones!$AA$189)&gt;=$S25),$V25,$U25)))=Milestones!$AB$189),UPPER(TEXT(EDATE($D25,Milestones!$AA$189),"dd mmm yy"))&amp;" "&amp;Milestones!$AB$189&amp;" "&amp;Milestones!$AC$189&amp;";  ","")&amp;IF(AND(EDATE($D25,Milestones!$AA$190)&lt;=AsOfDate,IF($R25=0,$X25,IF(AND($T25&lt;&gt;"",EDATE($D25,Milestones!$AA$190)&gt;=$T25),$W25,IF(AND($S25&lt;&gt;"",EDATE($D25,Milestones!$AA$190)&gt;=$S25),$V25,$U25)))=Milestones!$AB$190),UPPER(TEXT(EDATE($D25,Milestones!$AA$190),"dd mmm yy"))&amp;" "&amp;Milestones!$AB$190&amp;" "&amp;Milestones!$AC$190&amp;";  ","")&amp;IF(AND(EDATE($D25,Milestones!$AA$191)&lt;=AsOfDate,IF($R25=0,$X25,IF(AND($T25&lt;&gt;"",EDATE($D25,Milestones!$AA$191)&gt;=$T25),$W25,IF(AND($S25&lt;&gt;"",EDATE($D25,Milestones!$AA$191)&gt;=$S25),$V25,$U25)))=Milestones!$AB$191),UPPER(TEXT(EDATE($D25,Milestones!$AA$191),"dd mmm yy"))&amp;" "&amp;Milestones!$AB$191&amp;" "&amp;Milestones!$AC$191&amp;";  ","")&amp;IF(AND(EDATE($D25,Milestones!$AA$192)&lt;=AsOfDate,IF($R25=0,$X25,IF(AND($T25&lt;&gt;"",EDATE($D25,Milestones!$AA$192)&gt;=$T25),$W25,IF(AND($S25&lt;&gt;"",EDATE($D25,Milestones!$AA$192)&gt;=$S25),$V25,$U25)))=Milestones!$AB$192),UPPER(TEXT(EDATE($D25,Milestones!$AA$192),"dd mmm yy"))&amp;" "&amp;Milestones!$AB$192&amp;" "&amp;Milestones!$AC$192&amp;";  ","")&amp;IF(AND(EDATE($D25,Milestones!$AA$193)&lt;=AsOfDate,IF($R25=0,$X25,IF(AND($T25&lt;&gt;"",EDATE($D25,Milestones!$AA$193)&gt;=$T25),$W25,IF(AND($S25&lt;&gt;"",EDATE($D25,Milestones!$AA$193)&gt;=$S25),$V25,$U25)))=Milestones!$AB$193),UPPER(TEXT(EDATE($D25,Milestones!$AA$193),"dd mmm yy"))&amp;" "&amp;Milestones!$AB$193&amp;" "&amp;Milestones!$AC$193&amp;";  ","")&amp;IF(AND(EDATE($D25,Milestones!$AA$194)&lt;=AsOfDate,IF($R25=0,$X25,IF(AND($T25&lt;&gt;"",EDATE($D25,Milestones!$AA$194)&gt;=$T25),$W25,IF(AND($S25&lt;&gt;"",EDATE($D25,Milestones!$AA$194)&gt;=$S25),$V25,$U25)))=Milestones!$AB$194),UPPER(TEXT(EDATE($D25,Milestones!$AA$194),"dd mmm yy"))&amp;" "&amp;Milestones!$AB$194&amp;" "&amp;Milestones!$AC$194&amp;";  ","")&amp;IF(AND(EDATE($D25,Milestones!$AA$195)&lt;=AsOfDate,IF($R25=0,$X25,IF(AND($T25&lt;&gt;"",EDATE($D25,Milestones!$AA$195)&gt;=$T25),$W25,IF(AND($S25&lt;&gt;"",EDATE($D25,Milestones!$AA$195)&gt;=$S25),$V25,$U25)))=Milestones!$AB$195),UPPER(TEXT(EDATE($D25,Milestones!$AA$195),"dd mmm yy"))&amp;" "&amp;Milestones!$AB$195&amp;" "&amp;Milestones!$AC$195&amp;";  ","")&amp;IF(AND(EDATE($D25,Milestones!$AA$196)&lt;=AsOfDate,IF($R25=0,$X25,IF(AND($T25&lt;&gt;"",EDATE($D25,Milestones!$AA$196)&gt;=$T25),$W25,IF(AND($S25&lt;&gt;"",EDATE($D25,Milestones!$AA$196)&gt;=$S25),$V25,$U25)))=Milestones!$AB$196),UPPER(TEXT(EDATE($D25,Milestones!$AA$196),"dd mmm yy"))&amp;" "&amp;Milestones!$AB$196&amp;" "&amp;Milestones!$AC$196&amp;";  ","")&amp;IF(AND(EDATE($D25,Milestones!$AA$197)&lt;=AsOfDate,IF($R25=0,$X25,IF(AND($T25&lt;&gt;"",EDATE($D25,Milestones!$AA$197)&gt;=$T25),$W25,IF(AND($S25&lt;&gt;"",EDATE($D25,Milestones!$AA$197)&gt;=$S25),$V25,$U25)))=Milestones!$AB$197),UPPER(TEXT(EDATE($D25,Milestones!$AA$197),"dd mmm yy"))&amp;" "&amp;Milestones!$AB$197&amp;" "&amp;Milestones!$AC$197&amp;";  ","")&amp;IF(AND(EDATE($D25,Milestones!$AA$198)&lt;=AsOfDate,IF($R25=0,$X25,IF(AND($T25&lt;&gt;"",EDATE($D25,Milestones!$AA$198)&gt;=$T25),$W25,IF(AND($S25&lt;&gt;"",EDATE($D25,Milestones!$AA$198)&gt;=$S25),$V25,$U25)))=Milestones!$AB$198),UPPER(TEXT(EDATE($D25,Milestones!$AA$198),"dd mmm yy"))&amp;" "&amp;Milestones!$AB$198&amp;" "&amp;Milestones!$AC$198&amp;";  ","")&amp;IF(AND(EDATE($D25,Milestones!$AA$199)&lt;=AsOfDate,IF($R25=0,$X25,IF(AND($T25&lt;&gt;"",EDATE($D25,Milestones!$AA$199)&gt;=$T25),$W25,IF(AND($S25&lt;&gt;"",EDATE($D25,Milestones!$AA$199)&gt;=$S25),$V25,$U25)))=Milestones!$AB$199),UPPER(TEXT(EDATE($D25,Milestones!$AA$199),"dd mmm yy"))&amp;" "&amp;Milestones!$AB$199&amp;" "&amp;Milestones!$AC$199&amp;";  ",""))</f>
        <v/>
      </c>
      <c r="R25" s="33" t="n">
        <f aca="false">IF(Staff!$A25="","",Staff!$AI25)</f>
        <v>0</v>
      </c>
      <c r="S25" s="0" t="str">
        <f aca="false">IF(Staff!$A25="","",Staff!$AK25)</f>
        <v/>
      </c>
      <c r="T25" s="0" t="str">
        <f aca="false">IF(Staff!$A25="","",Staff!$AL25)</f>
        <v/>
      </c>
      <c r="U25" s="0" t="str">
        <f aca="false">IF(Staff!$A25="","",Staff!$AP25)</f>
        <v>None</v>
      </c>
      <c r="V25" s="0" t="str">
        <f aca="false">IF(Staff!$A25="","",Staff!$AQ25)</f>
        <v/>
      </c>
      <c r="W25" s="0" t="str">
        <f aca="false">IF(Staff!$A25="","",Staff!$AR25)</f>
        <v/>
      </c>
      <c r="X25" s="0" t="str">
        <f aca="false">IF(Staff!$A25="","",Staff!$AS25)</f>
        <v>None</v>
      </c>
    </row>
    <row r="26" customFormat="false" ht="15" hidden="false" customHeight="false" outlineLevel="0" collapsed="false">
      <c r="A26" s="19" t="str">
        <f aca="false">IF(Staff!$A26="","",Staff!$A26)</f>
        <v>Ebrahim</v>
      </c>
      <c r="B26" s="19" t="str">
        <f aca="false">IF(Staff!$A26="","",Staff!$B26)</f>
        <v>Seedat</v>
      </c>
      <c r="C26" s="19" t="str">
        <f aca="false">IF(Staff!$A26="","",Staff!$C26)</f>
        <v>Casual</v>
      </c>
      <c r="D26" s="17" t="n">
        <f aca="false">IF(Staff!$A26="","",Staff!$AH26)</f>
        <v>45551</v>
      </c>
      <c r="E26" s="20" t="n">
        <f aca="false">IF(Staff!$A26="","",Staff!$O26)</f>
        <v>0</v>
      </c>
      <c r="F26" s="19" t="n">
        <f aca="false">IF(E26="","",E26*HoursPerDay)</f>
        <v>0</v>
      </c>
      <c r="G26" s="20" t="n">
        <f aca="false">IF(Staff!$A26="","",Staff!$AE26)</f>
        <v>0</v>
      </c>
      <c r="H26" s="32" t="str">
        <f aca="false">IF($A26="","",I26&amp;J26&amp;K26&amp;L26&amp;M26&amp;N26&amp;O26&amp;P26&amp;Q26)</f>
        <v/>
      </c>
      <c r="I26" s="0" t="str">
        <f aca="false">IF(OR($A26="",$D26=""),"",IF(AND(EDATE($D26,Milestones!$AA$20)&lt;=AsOfDate,IF($R26=0,$X26,IF(AND($T26&lt;&gt;"",EDATE($D26,Milestones!$AA$20)&gt;=$T26),$W26,IF(AND($S26&lt;&gt;"",EDATE($D26,Milestones!$AA$20)&gt;=$S26),$V26,$U26)))=Milestones!$AB$20),UPPER(TEXT(EDATE($D26,Milestones!$AA$20),"dd mmm yy"))&amp;" "&amp;Milestones!$AB$20&amp;" "&amp;Milestones!$AC$20&amp;";  ","")&amp;IF(AND(EDATE($D26,Milestones!$AA$21)&lt;=AsOfDate,IF($R26=0,$X26,IF(AND($T26&lt;&gt;"",EDATE($D26,Milestones!$AA$21)&gt;=$T26),$W26,IF(AND($S26&lt;&gt;"",EDATE($D26,Milestones!$AA$21)&gt;=$S26),$V26,$U26)))=Milestones!$AB$21),UPPER(TEXT(EDATE($D26,Milestones!$AA$21),"dd mmm yy"))&amp;" "&amp;Milestones!$AB$21&amp;" "&amp;Milestones!$AC$21&amp;";  ","")&amp;IF(AND(EDATE($D26,Milestones!$AA$22)&lt;=AsOfDate,IF($R26=0,$X26,IF(AND($T26&lt;&gt;"",EDATE($D26,Milestones!$AA$22)&gt;=$T26),$W26,IF(AND($S26&lt;&gt;"",EDATE($D26,Milestones!$AA$22)&gt;=$S26),$V26,$U26)))=Milestones!$AB$22),UPPER(TEXT(EDATE($D26,Milestones!$AA$22),"dd mmm yy"))&amp;" "&amp;Milestones!$AB$22&amp;" "&amp;Milestones!$AC$22&amp;";  ","")&amp;IF(AND(EDATE($D26,Milestones!$AA$23)&lt;=AsOfDate,IF($R26=0,$X26,IF(AND($T26&lt;&gt;"",EDATE($D26,Milestones!$AA$23)&gt;=$T26),$W26,IF(AND($S26&lt;&gt;"",EDATE($D26,Milestones!$AA$23)&gt;=$S26),$V26,$U26)))=Milestones!$AB$23),UPPER(TEXT(EDATE($D26,Milestones!$AA$23),"dd mmm yy"))&amp;" "&amp;Milestones!$AB$23&amp;" "&amp;Milestones!$AC$23&amp;";  ","")&amp;IF(AND(EDATE($D26,Milestones!$AA$24)&lt;=AsOfDate,IF($R26=0,$X26,IF(AND($T26&lt;&gt;"",EDATE($D26,Milestones!$AA$24)&gt;=$T26),$W26,IF(AND($S26&lt;&gt;"",EDATE($D26,Milestones!$AA$24)&gt;=$S26),$V26,$U26)))=Milestones!$AB$24),UPPER(TEXT(EDATE($D26,Milestones!$AA$24),"dd mmm yy"))&amp;" "&amp;Milestones!$AB$24&amp;" "&amp;Milestones!$AC$24&amp;";  ","")&amp;IF(AND(EDATE($D26,Milestones!$AA$25)&lt;=AsOfDate,IF($R26=0,$X26,IF(AND($T26&lt;&gt;"",EDATE($D26,Milestones!$AA$25)&gt;=$T26),$W26,IF(AND($S26&lt;&gt;"",EDATE($D26,Milestones!$AA$25)&gt;=$S26),$V26,$U26)))=Milestones!$AB$25),UPPER(TEXT(EDATE($D26,Milestones!$AA$25),"dd mmm yy"))&amp;" "&amp;Milestones!$AB$25&amp;" "&amp;Milestones!$AC$25&amp;";  ","")&amp;IF(AND(EDATE($D26,Milestones!$AA$26)&lt;=AsOfDate,IF($R26=0,$X26,IF(AND($T26&lt;&gt;"",EDATE($D26,Milestones!$AA$26)&gt;=$T26),$W26,IF(AND($S26&lt;&gt;"",EDATE($D26,Milestones!$AA$26)&gt;=$S26),$V26,$U26)))=Milestones!$AB$26),UPPER(TEXT(EDATE($D26,Milestones!$AA$26),"dd mmm yy"))&amp;" "&amp;Milestones!$AB$26&amp;" "&amp;Milestones!$AC$26&amp;";  ","")&amp;IF(AND(EDATE($D26,Milestones!$AA$27)&lt;=AsOfDate,IF($R26=0,$X26,IF(AND($T26&lt;&gt;"",EDATE($D26,Milestones!$AA$27)&gt;=$T26),$W26,IF(AND($S26&lt;&gt;"",EDATE($D26,Milestones!$AA$27)&gt;=$S26),$V26,$U26)))=Milestones!$AB$27),UPPER(TEXT(EDATE($D26,Milestones!$AA$27),"dd mmm yy"))&amp;" "&amp;Milestones!$AB$27&amp;" "&amp;Milestones!$AC$27&amp;";  ","")&amp;IF(AND(EDATE($D26,Milestones!$AA$28)&lt;=AsOfDate,IF($R26=0,$X26,IF(AND($T26&lt;&gt;"",EDATE($D26,Milestones!$AA$28)&gt;=$T26),$W26,IF(AND($S26&lt;&gt;"",EDATE($D26,Milestones!$AA$28)&gt;=$S26),$V26,$U26)))=Milestones!$AB$28),UPPER(TEXT(EDATE($D26,Milestones!$AA$28),"dd mmm yy"))&amp;" "&amp;Milestones!$AB$28&amp;" "&amp;Milestones!$AC$28&amp;";  ","")&amp;IF(AND(EDATE($D26,Milestones!$AA$29)&lt;=AsOfDate,IF($R26=0,$X26,IF(AND($T26&lt;&gt;"",EDATE($D26,Milestones!$AA$29)&gt;=$T26),$W26,IF(AND($S26&lt;&gt;"",EDATE($D26,Milestones!$AA$29)&gt;=$S26),$V26,$U26)))=Milestones!$AB$29),UPPER(TEXT(EDATE($D26,Milestones!$AA$29),"dd mmm yy"))&amp;" "&amp;Milestones!$AB$29&amp;" "&amp;Milestones!$AC$29&amp;";  ","")&amp;IF(AND(EDATE($D26,Milestones!$AA$30)&lt;=AsOfDate,IF($R26=0,$X26,IF(AND($T26&lt;&gt;"",EDATE($D26,Milestones!$AA$30)&gt;=$T26),$W26,IF(AND($S26&lt;&gt;"",EDATE($D26,Milestones!$AA$30)&gt;=$S26),$V26,$U26)))=Milestones!$AB$30),UPPER(TEXT(EDATE($D26,Milestones!$AA$30),"dd mmm yy"))&amp;" "&amp;Milestones!$AB$30&amp;" "&amp;Milestones!$AC$30&amp;";  ","")&amp;IF(AND(EDATE($D26,Milestones!$AA$31)&lt;=AsOfDate,IF($R26=0,$X26,IF(AND($T26&lt;&gt;"",EDATE($D26,Milestones!$AA$31)&gt;=$T26),$W26,IF(AND($S26&lt;&gt;"",EDATE($D26,Milestones!$AA$31)&gt;=$S26),$V26,$U26)))=Milestones!$AB$31),UPPER(TEXT(EDATE($D26,Milestones!$AA$31),"dd mmm yy"))&amp;" "&amp;Milestones!$AB$31&amp;" "&amp;Milestones!$AC$31&amp;";  ","")&amp;IF(AND(EDATE($D26,Milestones!$AA$32)&lt;=AsOfDate,IF($R26=0,$X26,IF(AND($T26&lt;&gt;"",EDATE($D26,Milestones!$AA$32)&gt;=$T26),$W26,IF(AND($S26&lt;&gt;"",EDATE($D26,Milestones!$AA$32)&gt;=$S26),$V26,$U26)))=Milestones!$AB$32),UPPER(TEXT(EDATE($D26,Milestones!$AA$32),"dd mmm yy"))&amp;" "&amp;Milestones!$AB$32&amp;" "&amp;Milestones!$AC$32&amp;";  ","")&amp;IF(AND(EDATE($D26,Milestones!$AA$33)&lt;=AsOfDate,IF($R26=0,$X26,IF(AND($T26&lt;&gt;"",EDATE($D26,Milestones!$AA$33)&gt;=$T26),$W26,IF(AND($S26&lt;&gt;"",EDATE($D26,Milestones!$AA$33)&gt;=$S26),$V26,$U26)))=Milestones!$AB$33),UPPER(TEXT(EDATE($D26,Milestones!$AA$33),"dd mmm yy"))&amp;" "&amp;Milestones!$AB$33&amp;" "&amp;Milestones!$AC$33&amp;";  ","")&amp;IF(AND(EDATE($D26,Milestones!$AA$34)&lt;=AsOfDate,IF($R26=0,$X26,IF(AND($T26&lt;&gt;"",EDATE($D26,Milestones!$AA$34)&gt;=$T26),$W26,IF(AND($S26&lt;&gt;"",EDATE($D26,Milestones!$AA$34)&gt;=$S26),$V26,$U26)))=Milestones!$AB$34),UPPER(TEXT(EDATE($D26,Milestones!$AA$34),"dd mmm yy"))&amp;" "&amp;Milestones!$AB$34&amp;" "&amp;Milestones!$AC$34&amp;";  ","")&amp;IF(AND(EDATE($D26,Milestones!$AA$35)&lt;=AsOfDate,IF($R26=0,$X26,IF(AND($T26&lt;&gt;"",EDATE($D26,Milestones!$AA$35)&gt;=$T26),$W26,IF(AND($S26&lt;&gt;"",EDATE($D26,Milestones!$AA$35)&gt;=$S26),$V26,$U26)))=Milestones!$AB$35),UPPER(TEXT(EDATE($D26,Milestones!$AA$35),"dd mmm yy"))&amp;" "&amp;Milestones!$AB$35&amp;" "&amp;Milestones!$AC$35&amp;";  ","")&amp;IF(AND(EDATE($D26,Milestones!$AA$36)&lt;=AsOfDate,IF($R26=0,$X26,IF(AND($T26&lt;&gt;"",EDATE($D26,Milestones!$AA$36)&gt;=$T26),$W26,IF(AND($S26&lt;&gt;"",EDATE($D26,Milestones!$AA$36)&gt;=$S26),$V26,$U26)))=Milestones!$AB$36),UPPER(TEXT(EDATE($D26,Milestones!$AA$36),"dd mmm yy"))&amp;" "&amp;Milestones!$AB$36&amp;" "&amp;Milestones!$AC$36&amp;";  ","")&amp;IF(AND(EDATE($D26,Milestones!$AA$37)&lt;=AsOfDate,IF($R26=0,$X26,IF(AND($T26&lt;&gt;"",EDATE($D26,Milestones!$AA$37)&gt;=$T26),$W26,IF(AND($S26&lt;&gt;"",EDATE($D26,Milestones!$AA$37)&gt;=$S26),$V26,$U26)))=Milestones!$AB$37),UPPER(TEXT(EDATE($D26,Milestones!$AA$37),"dd mmm yy"))&amp;" "&amp;Milestones!$AB$37&amp;" "&amp;Milestones!$AC$37&amp;";  ","")&amp;IF(AND(EDATE($D26,Milestones!$AA$38)&lt;=AsOfDate,IF($R26=0,$X26,IF(AND($T26&lt;&gt;"",EDATE($D26,Milestones!$AA$38)&gt;=$T26),$W26,IF(AND($S26&lt;&gt;"",EDATE($D26,Milestones!$AA$38)&gt;=$S26),$V26,$U26)))=Milestones!$AB$38),UPPER(TEXT(EDATE($D26,Milestones!$AA$38),"dd mmm yy"))&amp;" "&amp;Milestones!$AB$38&amp;" "&amp;Milestones!$AC$38&amp;";  ","")&amp;IF(AND(EDATE($D26,Milestones!$AA$39)&lt;=AsOfDate,IF($R26=0,$X26,IF(AND($T26&lt;&gt;"",EDATE($D26,Milestones!$AA$39)&gt;=$T26),$W26,IF(AND($S26&lt;&gt;"",EDATE($D26,Milestones!$AA$39)&gt;=$S26),$V26,$U26)))=Milestones!$AB$39),UPPER(TEXT(EDATE($D26,Milestones!$AA$39),"dd mmm yy"))&amp;" "&amp;Milestones!$AB$39&amp;" "&amp;Milestones!$AC$39&amp;";  ",""))</f>
        <v/>
      </c>
      <c r="J26" s="0" t="str">
        <f aca="false">IF(OR($A26="",$D26=""),"",IF(AND(EDATE($D26,Milestones!$AA$40)&lt;=AsOfDate,IF($R26=0,$X26,IF(AND($T26&lt;&gt;"",EDATE($D26,Milestones!$AA$40)&gt;=$T26),$W26,IF(AND($S26&lt;&gt;"",EDATE($D26,Milestones!$AA$40)&gt;=$S26),$V26,$U26)))=Milestones!$AB$40),UPPER(TEXT(EDATE($D26,Milestones!$AA$40),"dd mmm yy"))&amp;" "&amp;Milestones!$AB$40&amp;" "&amp;Milestones!$AC$40&amp;";  ","")&amp;IF(AND(EDATE($D26,Milestones!$AA$41)&lt;=AsOfDate,IF($R26=0,$X26,IF(AND($T26&lt;&gt;"",EDATE($D26,Milestones!$AA$41)&gt;=$T26),$W26,IF(AND($S26&lt;&gt;"",EDATE($D26,Milestones!$AA$41)&gt;=$S26),$V26,$U26)))=Milestones!$AB$41),UPPER(TEXT(EDATE($D26,Milestones!$AA$41),"dd mmm yy"))&amp;" "&amp;Milestones!$AB$41&amp;" "&amp;Milestones!$AC$41&amp;";  ","")&amp;IF(AND(EDATE($D26,Milestones!$AA$42)&lt;=AsOfDate,IF($R26=0,$X26,IF(AND($T26&lt;&gt;"",EDATE($D26,Milestones!$AA$42)&gt;=$T26),$W26,IF(AND($S26&lt;&gt;"",EDATE($D26,Milestones!$AA$42)&gt;=$S26),$V26,$U26)))=Milestones!$AB$42),UPPER(TEXT(EDATE($D26,Milestones!$AA$42),"dd mmm yy"))&amp;" "&amp;Milestones!$AB$42&amp;" "&amp;Milestones!$AC$42&amp;";  ","")&amp;IF(AND(EDATE($D26,Milestones!$AA$43)&lt;=AsOfDate,IF($R26=0,$X26,IF(AND($T26&lt;&gt;"",EDATE($D26,Milestones!$AA$43)&gt;=$T26),$W26,IF(AND($S26&lt;&gt;"",EDATE($D26,Milestones!$AA$43)&gt;=$S26),$V26,$U26)))=Milestones!$AB$43),UPPER(TEXT(EDATE($D26,Milestones!$AA$43),"dd mmm yy"))&amp;" "&amp;Milestones!$AB$43&amp;" "&amp;Milestones!$AC$43&amp;";  ","")&amp;IF(AND(EDATE($D26,Milestones!$AA$44)&lt;=AsOfDate,IF($R26=0,$X26,IF(AND($T26&lt;&gt;"",EDATE($D26,Milestones!$AA$44)&gt;=$T26),$W26,IF(AND($S26&lt;&gt;"",EDATE($D26,Milestones!$AA$44)&gt;=$S26),$V26,$U26)))=Milestones!$AB$44),UPPER(TEXT(EDATE($D26,Milestones!$AA$44),"dd mmm yy"))&amp;" "&amp;Milestones!$AB$44&amp;" "&amp;Milestones!$AC$44&amp;";  ","")&amp;IF(AND(EDATE($D26,Milestones!$AA$45)&lt;=AsOfDate,IF($R26=0,$X26,IF(AND($T26&lt;&gt;"",EDATE($D26,Milestones!$AA$45)&gt;=$T26),$W26,IF(AND($S26&lt;&gt;"",EDATE($D26,Milestones!$AA$45)&gt;=$S26),$V26,$U26)))=Milestones!$AB$45),UPPER(TEXT(EDATE($D26,Milestones!$AA$45),"dd mmm yy"))&amp;" "&amp;Milestones!$AB$45&amp;" "&amp;Milestones!$AC$45&amp;";  ","")&amp;IF(AND(EDATE($D26,Milestones!$AA$46)&lt;=AsOfDate,IF($R26=0,$X26,IF(AND($T26&lt;&gt;"",EDATE($D26,Milestones!$AA$46)&gt;=$T26),$W26,IF(AND($S26&lt;&gt;"",EDATE($D26,Milestones!$AA$46)&gt;=$S26),$V26,$U26)))=Milestones!$AB$46),UPPER(TEXT(EDATE($D26,Milestones!$AA$46),"dd mmm yy"))&amp;" "&amp;Milestones!$AB$46&amp;" "&amp;Milestones!$AC$46&amp;";  ","")&amp;IF(AND(EDATE($D26,Milestones!$AA$47)&lt;=AsOfDate,IF($R26=0,$X26,IF(AND($T26&lt;&gt;"",EDATE($D26,Milestones!$AA$47)&gt;=$T26),$W26,IF(AND($S26&lt;&gt;"",EDATE($D26,Milestones!$AA$47)&gt;=$S26),$V26,$U26)))=Milestones!$AB$47),UPPER(TEXT(EDATE($D26,Milestones!$AA$47),"dd mmm yy"))&amp;" "&amp;Milestones!$AB$47&amp;" "&amp;Milestones!$AC$47&amp;";  ","")&amp;IF(AND(EDATE($D26,Milestones!$AA$48)&lt;=AsOfDate,IF($R26=0,$X26,IF(AND($T26&lt;&gt;"",EDATE($D26,Milestones!$AA$48)&gt;=$T26),$W26,IF(AND($S26&lt;&gt;"",EDATE($D26,Milestones!$AA$48)&gt;=$S26),$V26,$U26)))=Milestones!$AB$48),UPPER(TEXT(EDATE($D26,Milestones!$AA$48),"dd mmm yy"))&amp;" "&amp;Milestones!$AB$48&amp;" "&amp;Milestones!$AC$48&amp;";  ","")&amp;IF(AND(EDATE($D26,Milestones!$AA$49)&lt;=AsOfDate,IF($R26=0,$X26,IF(AND($T26&lt;&gt;"",EDATE($D26,Milestones!$AA$49)&gt;=$T26),$W26,IF(AND($S26&lt;&gt;"",EDATE($D26,Milestones!$AA$49)&gt;=$S26),$V26,$U26)))=Milestones!$AB$49),UPPER(TEXT(EDATE($D26,Milestones!$AA$49),"dd mmm yy"))&amp;" "&amp;Milestones!$AB$49&amp;" "&amp;Milestones!$AC$49&amp;";  ","")&amp;IF(AND(EDATE($D26,Milestones!$AA$50)&lt;=AsOfDate,IF($R26=0,$X26,IF(AND($T26&lt;&gt;"",EDATE($D26,Milestones!$AA$50)&gt;=$T26),$W26,IF(AND($S26&lt;&gt;"",EDATE($D26,Milestones!$AA$50)&gt;=$S26),$V26,$U26)))=Milestones!$AB$50),UPPER(TEXT(EDATE($D26,Milestones!$AA$50),"dd mmm yy"))&amp;" "&amp;Milestones!$AB$50&amp;" "&amp;Milestones!$AC$50&amp;";  ","")&amp;IF(AND(EDATE($D26,Milestones!$AA$51)&lt;=AsOfDate,IF($R26=0,$X26,IF(AND($T26&lt;&gt;"",EDATE($D26,Milestones!$AA$51)&gt;=$T26),$W26,IF(AND($S26&lt;&gt;"",EDATE($D26,Milestones!$AA$51)&gt;=$S26),$V26,$U26)))=Milestones!$AB$51),UPPER(TEXT(EDATE($D26,Milestones!$AA$51),"dd mmm yy"))&amp;" "&amp;Milestones!$AB$51&amp;" "&amp;Milestones!$AC$51&amp;";  ","")&amp;IF(AND(EDATE($D26,Milestones!$AA$52)&lt;=AsOfDate,IF($R26=0,$X26,IF(AND($T26&lt;&gt;"",EDATE($D26,Milestones!$AA$52)&gt;=$T26),$W26,IF(AND($S26&lt;&gt;"",EDATE($D26,Milestones!$AA$52)&gt;=$S26),$V26,$U26)))=Milestones!$AB$52),UPPER(TEXT(EDATE($D26,Milestones!$AA$52),"dd mmm yy"))&amp;" "&amp;Milestones!$AB$52&amp;" "&amp;Milestones!$AC$52&amp;";  ","")&amp;IF(AND(EDATE($D26,Milestones!$AA$53)&lt;=AsOfDate,IF($R26=0,$X26,IF(AND($T26&lt;&gt;"",EDATE($D26,Milestones!$AA$53)&gt;=$T26),$W26,IF(AND($S26&lt;&gt;"",EDATE($D26,Milestones!$AA$53)&gt;=$S26),$V26,$U26)))=Milestones!$AB$53),UPPER(TEXT(EDATE($D26,Milestones!$AA$53),"dd mmm yy"))&amp;" "&amp;Milestones!$AB$53&amp;" "&amp;Milestones!$AC$53&amp;";  ","")&amp;IF(AND(EDATE($D26,Milestones!$AA$54)&lt;=AsOfDate,IF($R26=0,$X26,IF(AND($T26&lt;&gt;"",EDATE($D26,Milestones!$AA$54)&gt;=$T26),$W26,IF(AND($S26&lt;&gt;"",EDATE($D26,Milestones!$AA$54)&gt;=$S26),$V26,$U26)))=Milestones!$AB$54),UPPER(TEXT(EDATE($D26,Milestones!$AA$54),"dd mmm yy"))&amp;" "&amp;Milestones!$AB$54&amp;" "&amp;Milestones!$AC$54&amp;";  ","")&amp;IF(AND(EDATE($D26,Milestones!$AA$55)&lt;=AsOfDate,IF($R26=0,$X26,IF(AND($T26&lt;&gt;"",EDATE($D26,Milestones!$AA$55)&gt;=$T26),$W26,IF(AND($S26&lt;&gt;"",EDATE($D26,Milestones!$AA$55)&gt;=$S26),$V26,$U26)))=Milestones!$AB$55),UPPER(TEXT(EDATE($D26,Milestones!$AA$55),"dd mmm yy"))&amp;" "&amp;Milestones!$AB$55&amp;" "&amp;Milestones!$AC$55&amp;";  ","")&amp;IF(AND(EDATE($D26,Milestones!$AA$56)&lt;=AsOfDate,IF($R26=0,$X26,IF(AND($T26&lt;&gt;"",EDATE($D26,Milestones!$AA$56)&gt;=$T26),$W26,IF(AND($S26&lt;&gt;"",EDATE($D26,Milestones!$AA$56)&gt;=$S26),$V26,$U26)))=Milestones!$AB$56),UPPER(TEXT(EDATE($D26,Milestones!$AA$56),"dd mmm yy"))&amp;" "&amp;Milestones!$AB$56&amp;" "&amp;Milestones!$AC$56&amp;";  ","")&amp;IF(AND(EDATE($D26,Milestones!$AA$57)&lt;=AsOfDate,IF($R26=0,$X26,IF(AND($T26&lt;&gt;"",EDATE($D26,Milestones!$AA$57)&gt;=$T26),$W26,IF(AND($S26&lt;&gt;"",EDATE($D26,Milestones!$AA$57)&gt;=$S26),$V26,$U26)))=Milestones!$AB$57),UPPER(TEXT(EDATE($D26,Milestones!$AA$57),"dd mmm yy"))&amp;" "&amp;Milestones!$AB$57&amp;" "&amp;Milestones!$AC$57&amp;";  ","")&amp;IF(AND(EDATE($D26,Milestones!$AA$58)&lt;=AsOfDate,IF($R26=0,$X26,IF(AND($T26&lt;&gt;"",EDATE($D26,Milestones!$AA$58)&gt;=$T26),$W26,IF(AND($S26&lt;&gt;"",EDATE($D26,Milestones!$AA$58)&gt;=$S26),$V26,$U26)))=Milestones!$AB$58),UPPER(TEXT(EDATE($D26,Milestones!$AA$58),"dd mmm yy"))&amp;" "&amp;Milestones!$AB$58&amp;" "&amp;Milestones!$AC$58&amp;";  ","")&amp;IF(AND(EDATE($D26,Milestones!$AA$59)&lt;=AsOfDate,IF($R26=0,$X26,IF(AND($T26&lt;&gt;"",EDATE($D26,Milestones!$AA$59)&gt;=$T26),$W26,IF(AND($S26&lt;&gt;"",EDATE($D26,Milestones!$AA$59)&gt;=$S26),$V26,$U26)))=Milestones!$AB$59),UPPER(TEXT(EDATE($D26,Milestones!$AA$59),"dd mmm yy"))&amp;" "&amp;Milestones!$AB$59&amp;" "&amp;Milestones!$AC$59&amp;";  ",""))</f>
        <v/>
      </c>
      <c r="K26" s="0" t="str">
        <f aca="false">IF(OR($A26="",$D26=""),"",IF(AND(EDATE($D26,Milestones!$AA$60)&lt;=AsOfDate,IF($R26=0,$X26,IF(AND($T26&lt;&gt;"",EDATE($D26,Milestones!$AA$60)&gt;=$T26),$W26,IF(AND($S26&lt;&gt;"",EDATE($D26,Milestones!$AA$60)&gt;=$S26),$V26,$U26)))=Milestones!$AB$60),UPPER(TEXT(EDATE($D26,Milestones!$AA$60),"dd mmm yy"))&amp;" "&amp;Milestones!$AB$60&amp;" "&amp;Milestones!$AC$60&amp;";  ","")&amp;IF(AND(EDATE($D26,Milestones!$AA$61)&lt;=AsOfDate,IF($R26=0,$X26,IF(AND($T26&lt;&gt;"",EDATE($D26,Milestones!$AA$61)&gt;=$T26),$W26,IF(AND($S26&lt;&gt;"",EDATE($D26,Milestones!$AA$61)&gt;=$S26),$V26,$U26)))=Milestones!$AB$61),UPPER(TEXT(EDATE($D26,Milestones!$AA$61),"dd mmm yy"))&amp;" "&amp;Milestones!$AB$61&amp;" "&amp;Milestones!$AC$61&amp;";  ","")&amp;IF(AND(EDATE($D26,Milestones!$AA$62)&lt;=AsOfDate,IF($R26=0,$X26,IF(AND($T26&lt;&gt;"",EDATE($D26,Milestones!$AA$62)&gt;=$T26),$W26,IF(AND($S26&lt;&gt;"",EDATE($D26,Milestones!$AA$62)&gt;=$S26),$V26,$U26)))=Milestones!$AB$62),UPPER(TEXT(EDATE($D26,Milestones!$AA$62),"dd mmm yy"))&amp;" "&amp;Milestones!$AB$62&amp;" "&amp;Milestones!$AC$62&amp;";  ","")&amp;IF(AND(EDATE($D26,Milestones!$AA$63)&lt;=AsOfDate,IF($R26=0,$X26,IF(AND($T26&lt;&gt;"",EDATE($D26,Milestones!$AA$63)&gt;=$T26),$W26,IF(AND($S26&lt;&gt;"",EDATE($D26,Milestones!$AA$63)&gt;=$S26),$V26,$U26)))=Milestones!$AB$63),UPPER(TEXT(EDATE($D26,Milestones!$AA$63),"dd mmm yy"))&amp;" "&amp;Milestones!$AB$63&amp;" "&amp;Milestones!$AC$63&amp;";  ","")&amp;IF(AND(EDATE($D26,Milestones!$AA$64)&lt;=AsOfDate,IF($R26=0,$X26,IF(AND($T26&lt;&gt;"",EDATE($D26,Milestones!$AA$64)&gt;=$T26),$W26,IF(AND($S26&lt;&gt;"",EDATE($D26,Milestones!$AA$64)&gt;=$S26),$V26,$U26)))=Milestones!$AB$64),UPPER(TEXT(EDATE($D26,Milestones!$AA$64),"dd mmm yy"))&amp;" "&amp;Milestones!$AB$64&amp;" "&amp;Milestones!$AC$64&amp;";  ","")&amp;IF(AND(EDATE($D26,Milestones!$AA$65)&lt;=AsOfDate,IF($R26=0,$X26,IF(AND($T26&lt;&gt;"",EDATE($D26,Milestones!$AA$65)&gt;=$T26),$W26,IF(AND($S26&lt;&gt;"",EDATE($D26,Milestones!$AA$65)&gt;=$S26),$V26,$U26)))=Milestones!$AB$65),UPPER(TEXT(EDATE($D26,Milestones!$AA$65),"dd mmm yy"))&amp;" "&amp;Milestones!$AB$65&amp;" "&amp;Milestones!$AC$65&amp;";  ","")&amp;IF(AND(EDATE($D26,Milestones!$AA$66)&lt;=AsOfDate,IF($R26=0,$X26,IF(AND($T26&lt;&gt;"",EDATE($D26,Milestones!$AA$66)&gt;=$T26),$W26,IF(AND($S26&lt;&gt;"",EDATE($D26,Milestones!$AA$66)&gt;=$S26),$V26,$U26)))=Milestones!$AB$66),UPPER(TEXT(EDATE($D26,Milestones!$AA$66),"dd mmm yy"))&amp;" "&amp;Milestones!$AB$66&amp;" "&amp;Milestones!$AC$66&amp;";  ","")&amp;IF(AND(EDATE($D26,Milestones!$AA$67)&lt;=AsOfDate,IF($R26=0,$X26,IF(AND($T26&lt;&gt;"",EDATE($D26,Milestones!$AA$67)&gt;=$T26),$W26,IF(AND($S26&lt;&gt;"",EDATE($D26,Milestones!$AA$67)&gt;=$S26),$V26,$U26)))=Milestones!$AB$67),UPPER(TEXT(EDATE($D26,Milestones!$AA$67),"dd mmm yy"))&amp;" "&amp;Milestones!$AB$67&amp;" "&amp;Milestones!$AC$67&amp;";  ","")&amp;IF(AND(EDATE($D26,Milestones!$AA$68)&lt;=AsOfDate,IF($R26=0,$X26,IF(AND($T26&lt;&gt;"",EDATE($D26,Milestones!$AA$68)&gt;=$T26),$W26,IF(AND($S26&lt;&gt;"",EDATE($D26,Milestones!$AA$68)&gt;=$S26),$V26,$U26)))=Milestones!$AB$68),UPPER(TEXT(EDATE($D26,Milestones!$AA$68),"dd mmm yy"))&amp;" "&amp;Milestones!$AB$68&amp;" "&amp;Milestones!$AC$68&amp;";  ","")&amp;IF(AND(EDATE($D26,Milestones!$AA$69)&lt;=AsOfDate,IF($R26=0,$X26,IF(AND($T26&lt;&gt;"",EDATE($D26,Milestones!$AA$69)&gt;=$T26),$W26,IF(AND($S26&lt;&gt;"",EDATE($D26,Milestones!$AA$69)&gt;=$S26),$V26,$U26)))=Milestones!$AB$69),UPPER(TEXT(EDATE($D26,Milestones!$AA$69),"dd mmm yy"))&amp;" "&amp;Milestones!$AB$69&amp;" "&amp;Milestones!$AC$69&amp;";  ","")&amp;IF(AND(EDATE($D26,Milestones!$AA$70)&lt;=AsOfDate,IF($R26=0,$X26,IF(AND($T26&lt;&gt;"",EDATE($D26,Milestones!$AA$70)&gt;=$T26),$W26,IF(AND($S26&lt;&gt;"",EDATE($D26,Milestones!$AA$70)&gt;=$S26),$V26,$U26)))=Milestones!$AB$70),UPPER(TEXT(EDATE($D26,Milestones!$AA$70),"dd mmm yy"))&amp;" "&amp;Milestones!$AB$70&amp;" "&amp;Milestones!$AC$70&amp;";  ","")&amp;IF(AND(EDATE($D26,Milestones!$AA$71)&lt;=AsOfDate,IF($R26=0,$X26,IF(AND($T26&lt;&gt;"",EDATE($D26,Milestones!$AA$71)&gt;=$T26),$W26,IF(AND($S26&lt;&gt;"",EDATE($D26,Milestones!$AA$71)&gt;=$S26),$V26,$U26)))=Milestones!$AB$71),UPPER(TEXT(EDATE($D26,Milestones!$AA$71),"dd mmm yy"))&amp;" "&amp;Milestones!$AB$71&amp;" "&amp;Milestones!$AC$71&amp;";  ","")&amp;IF(AND(EDATE($D26,Milestones!$AA$72)&lt;=AsOfDate,IF($R26=0,$X26,IF(AND($T26&lt;&gt;"",EDATE($D26,Milestones!$AA$72)&gt;=$T26),$W26,IF(AND($S26&lt;&gt;"",EDATE($D26,Milestones!$AA$72)&gt;=$S26),$V26,$U26)))=Milestones!$AB$72),UPPER(TEXT(EDATE($D26,Milestones!$AA$72),"dd mmm yy"))&amp;" "&amp;Milestones!$AB$72&amp;" "&amp;Milestones!$AC$72&amp;";  ","")&amp;IF(AND(EDATE($D26,Milestones!$AA$73)&lt;=AsOfDate,IF($R26=0,$X26,IF(AND($T26&lt;&gt;"",EDATE($D26,Milestones!$AA$73)&gt;=$T26),$W26,IF(AND($S26&lt;&gt;"",EDATE($D26,Milestones!$AA$73)&gt;=$S26),$V26,$U26)))=Milestones!$AB$73),UPPER(TEXT(EDATE($D26,Milestones!$AA$73),"dd mmm yy"))&amp;" "&amp;Milestones!$AB$73&amp;" "&amp;Milestones!$AC$73&amp;";  ","")&amp;IF(AND(EDATE($D26,Milestones!$AA$74)&lt;=AsOfDate,IF($R26=0,$X26,IF(AND($T26&lt;&gt;"",EDATE($D26,Milestones!$AA$74)&gt;=$T26),$W26,IF(AND($S26&lt;&gt;"",EDATE($D26,Milestones!$AA$74)&gt;=$S26),$V26,$U26)))=Milestones!$AB$74),UPPER(TEXT(EDATE($D26,Milestones!$AA$74),"dd mmm yy"))&amp;" "&amp;Milestones!$AB$74&amp;" "&amp;Milestones!$AC$74&amp;";  ","")&amp;IF(AND(EDATE($D26,Milestones!$AA$75)&lt;=AsOfDate,IF($R26=0,$X26,IF(AND($T26&lt;&gt;"",EDATE($D26,Milestones!$AA$75)&gt;=$T26),$W26,IF(AND($S26&lt;&gt;"",EDATE($D26,Milestones!$AA$75)&gt;=$S26),$V26,$U26)))=Milestones!$AB$75),UPPER(TEXT(EDATE($D26,Milestones!$AA$75),"dd mmm yy"))&amp;" "&amp;Milestones!$AB$75&amp;" "&amp;Milestones!$AC$75&amp;";  ","")&amp;IF(AND(EDATE($D26,Milestones!$AA$76)&lt;=AsOfDate,IF($R26=0,$X26,IF(AND($T26&lt;&gt;"",EDATE($D26,Milestones!$AA$76)&gt;=$T26),$W26,IF(AND($S26&lt;&gt;"",EDATE($D26,Milestones!$AA$76)&gt;=$S26),$V26,$U26)))=Milestones!$AB$76),UPPER(TEXT(EDATE($D26,Milestones!$AA$76),"dd mmm yy"))&amp;" "&amp;Milestones!$AB$76&amp;" "&amp;Milestones!$AC$76&amp;";  ","")&amp;IF(AND(EDATE($D26,Milestones!$AA$77)&lt;=AsOfDate,IF($R26=0,$X26,IF(AND($T26&lt;&gt;"",EDATE($D26,Milestones!$AA$77)&gt;=$T26),$W26,IF(AND($S26&lt;&gt;"",EDATE($D26,Milestones!$AA$77)&gt;=$S26),$V26,$U26)))=Milestones!$AB$77),UPPER(TEXT(EDATE($D26,Milestones!$AA$77),"dd mmm yy"))&amp;" "&amp;Milestones!$AB$77&amp;" "&amp;Milestones!$AC$77&amp;";  ","")&amp;IF(AND(EDATE($D26,Milestones!$AA$78)&lt;=AsOfDate,IF($R26=0,$X26,IF(AND($T26&lt;&gt;"",EDATE($D26,Milestones!$AA$78)&gt;=$T26),$W26,IF(AND($S26&lt;&gt;"",EDATE($D26,Milestones!$AA$78)&gt;=$S26),$V26,$U26)))=Milestones!$AB$78),UPPER(TEXT(EDATE($D26,Milestones!$AA$78),"dd mmm yy"))&amp;" "&amp;Milestones!$AB$78&amp;" "&amp;Milestones!$AC$78&amp;";  ","")&amp;IF(AND(EDATE($D26,Milestones!$AA$79)&lt;=AsOfDate,IF($R26=0,$X26,IF(AND($T26&lt;&gt;"",EDATE($D26,Milestones!$AA$79)&gt;=$T26),$W26,IF(AND($S26&lt;&gt;"",EDATE($D26,Milestones!$AA$79)&gt;=$S26),$V26,$U26)))=Milestones!$AB$79),UPPER(TEXT(EDATE($D26,Milestones!$AA$79),"dd mmm yy"))&amp;" "&amp;Milestones!$AB$79&amp;" "&amp;Milestones!$AC$79&amp;";  ",""))</f>
        <v/>
      </c>
      <c r="L26" s="0" t="str">
        <f aca="false">IF(OR($A26="",$D26=""),"",IF(AND(EDATE($D26,Milestones!$AA$80)&lt;=AsOfDate,IF($R26=0,$X26,IF(AND($T26&lt;&gt;"",EDATE($D26,Milestones!$AA$80)&gt;=$T26),$W26,IF(AND($S26&lt;&gt;"",EDATE($D26,Milestones!$AA$80)&gt;=$S26),$V26,$U26)))=Milestones!$AB$80),UPPER(TEXT(EDATE($D26,Milestones!$AA$80),"dd mmm yy"))&amp;" "&amp;Milestones!$AB$80&amp;" "&amp;Milestones!$AC$80&amp;";  ","")&amp;IF(AND(EDATE($D26,Milestones!$AA$81)&lt;=AsOfDate,IF($R26=0,$X26,IF(AND($T26&lt;&gt;"",EDATE($D26,Milestones!$AA$81)&gt;=$T26),$W26,IF(AND($S26&lt;&gt;"",EDATE($D26,Milestones!$AA$81)&gt;=$S26),$V26,$U26)))=Milestones!$AB$81),UPPER(TEXT(EDATE($D26,Milestones!$AA$81),"dd mmm yy"))&amp;" "&amp;Milestones!$AB$81&amp;" "&amp;Milestones!$AC$81&amp;";  ","")&amp;IF(AND(EDATE($D26,Milestones!$AA$82)&lt;=AsOfDate,IF($R26=0,$X26,IF(AND($T26&lt;&gt;"",EDATE($D26,Milestones!$AA$82)&gt;=$T26),$W26,IF(AND($S26&lt;&gt;"",EDATE($D26,Milestones!$AA$82)&gt;=$S26),$V26,$U26)))=Milestones!$AB$82),UPPER(TEXT(EDATE($D26,Milestones!$AA$82),"dd mmm yy"))&amp;" "&amp;Milestones!$AB$82&amp;" "&amp;Milestones!$AC$82&amp;";  ","")&amp;IF(AND(EDATE($D26,Milestones!$AA$83)&lt;=AsOfDate,IF($R26=0,$X26,IF(AND($T26&lt;&gt;"",EDATE($D26,Milestones!$AA$83)&gt;=$T26),$W26,IF(AND($S26&lt;&gt;"",EDATE($D26,Milestones!$AA$83)&gt;=$S26),$V26,$U26)))=Milestones!$AB$83),UPPER(TEXT(EDATE($D26,Milestones!$AA$83),"dd mmm yy"))&amp;" "&amp;Milestones!$AB$83&amp;" "&amp;Milestones!$AC$83&amp;";  ","")&amp;IF(AND(EDATE($D26,Milestones!$AA$84)&lt;=AsOfDate,IF($R26=0,$X26,IF(AND($T26&lt;&gt;"",EDATE($D26,Milestones!$AA$84)&gt;=$T26),$W26,IF(AND($S26&lt;&gt;"",EDATE($D26,Milestones!$AA$84)&gt;=$S26),$V26,$U26)))=Milestones!$AB$84),UPPER(TEXT(EDATE($D26,Milestones!$AA$84),"dd mmm yy"))&amp;" "&amp;Milestones!$AB$84&amp;" "&amp;Milestones!$AC$84&amp;";  ","")&amp;IF(AND(EDATE($D26,Milestones!$AA$85)&lt;=AsOfDate,IF($R26=0,$X26,IF(AND($T26&lt;&gt;"",EDATE($D26,Milestones!$AA$85)&gt;=$T26),$W26,IF(AND($S26&lt;&gt;"",EDATE($D26,Milestones!$AA$85)&gt;=$S26),$V26,$U26)))=Milestones!$AB$85),UPPER(TEXT(EDATE($D26,Milestones!$AA$85),"dd mmm yy"))&amp;" "&amp;Milestones!$AB$85&amp;" "&amp;Milestones!$AC$85&amp;";  ","")&amp;IF(AND(EDATE($D26,Milestones!$AA$86)&lt;=AsOfDate,IF($R26=0,$X26,IF(AND($T26&lt;&gt;"",EDATE($D26,Milestones!$AA$86)&gt;=$T26),$W26,IF(AND($S26&lt;&gt;"",EDATE($D26,Milestones!$AA$86)&gt;=$S26),$V26,$U26)))=Milestones!$AB$86),UPPER(TEXT(EDATE($D26,Milestones!$AA$86),"dd mmm yy"))&amp;" "&amp;Milestones!$AB$86&amp;" "&amp;Milestones!$AC$86&amp;";  ","")&amp;IF(AND(EDATE($D26,Milestones!$AA$87)&lt;=AsOfDate,IF($R26=0,$X26,IF(AND($T26&lt;&gt;"",EDATE($D26,Milestones!$AA$87)&gt;=$T26),$W26,IF(AND($S26&lt;&gt;"",EDATE($D26,Milestones!$AA$87)&gt;=$S26),$V26,$U26)))=Milestones!$AB$87),UPPER(TEXT(EDATE($D26,Milestones!$AA$87),"dd mmm yy"))&amp;" "&amp;Milestones!$AB$87&amp;" "&amp;Milestones!$AC$87&amp;";  ","")&amp;IF(AND(EDATE($D26,Milestones!$AA$88)&lt;=AsOfDate,IF($R26=0,$X26,IF(AND($T26&lt;&gt;"",EDATE($D26,Milestones!$AA$88)&gt;=$T26),$W26,IF(AND($S26&lt;&gt;"",EDATE($D26,Milestones!$AA$88)&gt;=$S26),$V26,$U26)))=Milestones!$AB$88),UPPER(TEXT(EDATE($D26,Milestones!$AA$88),"dd mmm yy"))&amp;" "&amp;Milestones!$AB$88&amp;" "&amp;Milestones!$AC$88&amp;";  ","")&amp;IF(AND(EDATE($D26,Milestones!$AA$89)&lt;=AsOfDate,IF($R26=0,$X26,IF(AND($T26&lt;&gt;"",EDATE($D26,Milestones!$AA$89)&gt;=$T26),$W26,IF(AND($S26&lt;&gt;"",EDATE($D26,Milestones!$AA$89)&gt;=$S26),$V26,$U26)))=Milestones!$AB$89),UPPER(TEXT(EDATE($D26,Milestones!$AA$89),"dd mmm yy"))&amp;" "&amp;Milestones!$AB$89&amp;" "&amp;Milestones!$AC$89&amp;";  ","")&amp;IF(AND(EDATE($D26,Milestones!$AA$90)&lt;=AsOfDate,IF($R26=0,$X26,IF(AND($T26&lt;&gt;"",EDATE($D26,Milestones!$AA$90)&gt;=$T26),$W26,IF(AND($S26&lt;&gt;"",EDATE($D26,Milestones!$AA$90)&gt;=$S26),$V26,$U26)))=Milestones!$AB$90),UPPER(TEXT(EDATE($D26,Milestones!$AA$90),"dd mmm yy"))&amp;" "&amp;Milestones!$AB$90&amp;" "&amp;Milestones!$AC$90&amp;";  ","")&amp;IF(AND(EDATE($D26,Milestones!$AA$91)&lt;=AsOfDate,IF($R26=0,$X26,IF(AND($T26&lt;&gt;"",EDATE($D26,Milestones!$AA$91)&gt;=$T26),$W26,IF(AND($S26&lt;&gt;"",EDATE($D26,Milestones!$AA$91)&gt;=$S26),$V26,$U26)))=Milestones!$AB$91),UPPER(TEXT(EDATE($D26,Milestones!$AA$91),"dd mmm yy"))&amp;" "&amp;Milestones!$AB$91&amp;" "&amp;Milestones!$AC$91&amp;";  ","")&amp;IF(AND(EDATE($D26,Milestones!$AA$92)&lt;=AsOfDate,IF($R26=0,$X26,IF(AND($T26&lt;&gt;"",EDATE($D26,Milestones!$AA$92)&gt;=$T26),$W26,IF(AND($S26&lt;&gt;"",EDATE($D26,Milestones!$AA$92)&gt;=$S26),$V26,$U26)))=Milestones!$AB$92),UPPER(TEXT(EDATE($D26,Milestones!$AA$92),"dd mmm yy"))&amp;" "&amp;Milestones!$AB$92&amp;" "&amp;Milestones!$AC$92&amp;";  ","")&amp;IF(AND(EDATE($D26,Milestones!$AA$93)&lt;=AsOfDate,IF($R26=0,$X26,IF(AND($T26&lt;&gt;"",EDATE($D26,Milestones!$AA$93)&gt;=$T26),$W26,IF(AND($S26&lt;&gt;"",EDATE($D26,Milestones!$AA$93)&gt;=$S26),$V26,$U26)))=Milestones!$AB$93),UPPER(TEXT(EDATE($D26,Milestones!$AA$93),"dd mmm yy"))&amp;" "&amp;Milestones!$AB$93&amp;" "&amp;Milestones!$AC$93&amp;";  ","")&amp;IF(AND(EDATE($D26,Milestones!$AA$94)&lt;=AsOfDate,IF($R26=0,$X26,IF(AND($T26&lt;&gt;"",EDATE($D26,Milestones!$AA$94)&gt;=$T26),$W26,IF(AND($S26&lt;&gt;"",EDATE($D26,Milestones!$AA$94)&gt;=$S26),$V26,$U26)))=Milestones!$AB$94),UPPER(TEXT(EDATE($D26,Milestones!$AA$94),"dd mmm yy"))&amp;" "&amp;Milestones!$AB$94&amp;" "&amp;Milestones!$AC$94&amp;";  ","")&amp;IF(AND(EDATE($D26,Milestones!$AA$95)&lt;=AsOfDate,IF($R26=0,$X26,IF(AND($T26&lt;&gt;"",EDATE($D26,Milestones!$AA$95)&gt;=$T26),$W26,IF(AND($S26&lt;&gt;"",EDATE($D26,Milestones!$AA$95)&gt;=$S26),$V26,$U26)))=Milestones!$AB$95),UPPER(TEXT(EDATE($D26,Milestones!$AA$95),"dd mmm yy"))&amp;" "&amp;Milestones!$AB$95&amp;" "&amp;Milestones!$AC$95&amp;";  ","")&amp;IF(AND(EDATE($D26,Milestones!$AA$96)&lt;=AsOfDate,IF($R26=0,$X26,IF(AND($T26&lt;&gt;"",EDATE($D26,Milestones!$AA$96)&gt;=$T26),$W26,IF(AND($S26&lt;&gt;"",EDATE($D26,Milestones!$AA$96)&gt;=$S26),$V26,$U26)))=Milestones!$AB$96),UPPER(TEXT(EDATE($D26,Milestones!$AA$96),"dd mmm yy"))&amp;" "&amp;Milestones!$AB$96&amp;" "&amp;Milestones!$AC$96&amp;";  ","")&amp;IF(AND(EDATE($D26,Milestones!$AA$97)&lt;=AsOfDate,IF($R26=0,$X26,IF(AND($T26&lt;&gt;"",EDATE($D26,Milestones!$AA$97)&gt;=$T26),$W26,IF(AND($S26&lt;&gt;"",EDATE($D26,Milestones!$AA$97)&gt;=$S26),$V26,$U26)))=Milestones!$AB$97),UPPER(TEXT(EDATE($D26,Milestones!$AA$97),"dd mmm yy"))&amp;" "&amp;Milestones!$AB$97&amp;" "&amp;Milestones!$AC$97&amp;";  ","")&amp;IF(AND(EDATE($D26,Milestones!$AA$98)&lt;=AsOfDate,IF($R26=0,$X26,IF(AND($T26&lt;&gt;"",EDATE($D26,Milestones!$AA$98)&gt;=$T26),$W26,IF(AND($S26&lt;&gt;"",EDATE($D26,Milestones!$AA$98)&gt;=$S26),$V26,$U26)))=Milestones!$AB$98),UPPER(TEXT(EDATE($D26,Milestones!$AA$98),"dd mmm yy"))&amp;" "&amp;Milestones!$AB$98&amp;" "&amp;Milestones!$AC$98&amp;";  ","")&amp;IF(AND(EDATE($D26,Milestones!$AA$99)&lt;=AsOfDate,IF($R26=0,$X26,IF(AND($T26&lt;&gt;"",EDATE($D26,Milestones!$AA$99)&gt;=$T26),$W26,IF(AND($S26&lt;&gt;"",EDATE($D26,Milestones!$AA$99)&gt;=$S26),$V26,$U26)))=Milestones!$AB$99),UPPER(TEXT(EDATE($D26,Milestones!$AA$99),"dd mmm yy"))&amp;" "&amp;Milestones!$AB$99&amp;" "&amp;Milestones!$AC$99&amp;";  ",""))</f>
        <v/>
      </c>
      <c r="M26" s="0" t="str">
        <f aca="false">IF(OR($A26="",$D26=""),"",IF(AND(EDATE($D26,Milestones!$AA$100)&lt;=AsOfDate,IF($R26=0,$X26,IF(AND($T26&lt;&gt;"",EDATE($D26,Milestones!$AA$100)&gt;=$T26),$W26,IF(AND($S26&lt;&gt;"",EDATE($D26,Milestones!$AA$100)&gt;=$S26),$V26,$U26)))=Milestones!$AB$100),UPPER(TEXT(EDATE($D26,Milestones!$AA$100),"dd mmm yy"))&amp;" "&amp;Milestones!$AB$100&amp;" "&amp;Milestones!$AC$100&amp;";  ","")&amp;IF(AND(EDATE($D26,Milestones!$AA$101)&lt;=AsOfDate,IF($R26=0,$X26,IF(AND($T26&lt;&gt;"",EDATE($D26,Milestones!$AA$101)&gt;=$T26),$W26,IF(AND($S26&lt;&gt;"",EDATE($D26,Milestones!$AA$101)&gt;=$S26),$V26,$U26)))=Milestones!$AB$101),UPPER(TEXT(EDATE($D26,Milestones!$AA$101),"dd mmm yy"))&amp;" "&amp;Milestones!$AB$101&amp;" "&amp;Milestones!$AC$101&amp;";  ","")&amp;IF(AND(EDATE($D26,Milestones!$AA$102)&lt;=AsOfDate,IF($R26=0,$X26,IF(AND($T26&lt;&gt;"",EDATE($D26,Milestones!$AA$102)&gt;=$T26),$W26,IF(AND($S26&lt;&gt;"",EDATE($D26,Milestones!$AA$102)&gt;=$S26),$V26,$U26)))=Milestones!$AB$102),UPPER(TEXT(EDATE($D26,Milestones!$AA$102),"dd mmm yy"))&amp;" "&amp;Milestones!$AB$102&amp;" "&amp;Milestones!$AC$102&amp;";  ","")&amp;IF(AND(EDATE($D26,Milestones!$AA$103)&lt;=AsOfDate,IF($R26=0,$X26,IF(AND($T26&lt;&gt;"",EDATE($D26,Milestones!$AA$103)&gt;=$T26),$W26,IF(AND($S26&lt;&gt;"",EDATE($D26,Milestones!$AA$103)&gt;=$S26),$V26,$U26)))=Milestones!$AB$103),UPPER(TEXT(EDATE($D26,Milestones!$AA$103),"dd mmm yy"))&amp;" "&amp;Milestones!$AB$103&amp;" "&amp;Milestones!$AC$103&amp;";  ","")&amp;IF(AND(EDATE($D26,Milestones!$AA$104)&lt;=AsOfDate,IF($R26=0,$X26,IF(AND($T26&lt;&gt;"",EDATE($D26,Milestones!$AA$104)&gt;=$T26),$W26,IF(AND($S26&lt;&gt;"",EDATE($D26,Milestones!$AA$104)&gt;=$S26),$V26,$U26)))=Milestones!$AB$104),UPPER(TEXT(EDATE($D26,Milestones!$AA$104),"dd mmm yy"))&amp;" "&amp;Milestones!$AB$104&amp;" "&amp;Milestones!$AC$104&amp;";  ","")&amp;IF(AND(EDATE($D26,Milestones!$AA$105)&lt;=AsOfDate,IF($R26=0,$X26,IF(AND($T26&lt;&gt;"",EDATE($D26,Milestones!$AA$105)&gt;=$T26),$W26,IF(AND($S26&lt;&gt;"",EDATE($D26,Milestones!$AA$105)&gt;=$S26),$V26,$U26)))=Milestones!$AB$105),UPPER(TEXT(EDATE($D26,Milestones!$AA$105),"dd mmm yy"))&amp;" "&amp;Milestones!$AB$105&amp;" "&amp;Milestones!$AC$105&amp;";  ","")&amp;IF(AND(EDATE($D26,Milestones!$AA$106)&lt;=AsOfDate,IF($R26=0,$X26,IF(AND($T26&lt;&gt;"",EDATE($D26,Milestones!$AA$106)&gt;=$T26),$W26,IF(AND($S26&lt;&gt;"",EDATE($D26,Milestones!$AA$106)&gt;=$S26),$V26,$U26)))=Milestones!$AB$106),UPPER(TEXT(EDATE($D26,Milestones!$AA$106),"dd mmm yy"))&amp;" "&amp;Milestones!$AB$106&amp;" "&amp;Milestones!$AC$106&amp;";  ","")&amp;IF(AND(EDATE($D26,Milestones!$AA$107)&lt;=AsOfDate,IF($R26=0,$X26,IF(AND($T26&lt;&gt;"",EDATE($D26,Milestones!$AA$107)&gt;=$T26),$W26,IF(AND($S26&lt;&gt;"",EDATE($D26,Milestones!$AA$107)&gt;=$S26),$V26,$U26)))=Milestones!$AB$107),UPPER(TEXT(EDATE($D26,Milestones!$AA$107),"dd mmm yy"))&amp;" "&amp;Milestones!$AB$107&amp;" "&amp;Milestones!$AC$107&amp;";  ","")&amp;IF(AND(EDATE($D26,Milestones!$AA$108)&lt;=AsOfDate,IF($R26=0,$X26,IF(AND($T26&lt;&gt;"",EDATE($D26,Milestones!$AA$108)&gt;=$T26),$W26,IF(AND($S26&lt;&gt;"",EDATE($D26,Milestones!$AA$108)&gt;=$S26),$V26,$U26)))=Milestones!$AB$108),UPPER(TEXT(EDATE($D26,Milestones!$AA$108),"dd mmm yy"))&amp;" "&amp;Milestones!$AB$108&amp;" "&amp;Milestones!$AC$108&amp;";  ","")&amp;IF(AND(EDATE($D26,Milestones!$AA$109)&lt;=AsOfDate,IF($R26=0,$X26,IF(AND($T26&lt;&gt;"",EDATE($D26,Milestones!$AA$109)&gt;=$T26),$W26,IF(AND($S26&lt;&gt;"",EDATE($D26,Milestones!$AA$109)&gt;=$S26),$V26,$U26)))=Milestones!$AB$109),UPPER(TEXT(EDATE($D26,Milestones!$AA$109),"dd mmm yy"))&amp;" "&amp;Milestones!$AB$109&amp;" "&amp;Milestones!$AC$109&amp;";  ","")&amp;IF(AND(EDATE($D26,Milestones!$AA$110)&lt;=AsOfDate,IF($R26=0,$X26,IF(AND($T26&lt;&gt;"",EDATE($D26,Milestones!$AA$110)&gt;=$T26),$W26,IF(AND($S26&lt;&gt;"",EDATE($D26,Milestones!$AA$110)&gt;=$S26),$V26,$U26)))=Milestones!$AB$110),UPPER(TEXT(EDATE($D26,Milestones!$AA$110),"dd mmm yy"))&amp;" "&amp;Milestones!$AB$110&amp;" "&amp;Milestones!$AC$110&amp;";  ","")&amp;IF(AND(EDATE($D26,Milestones!$AA$111)&lt;=AsOfDate,IF($R26=0,$X26,IF(AND($T26&lt;&gt;"",EDATE($D26,Milestones!$AA$111)&gt;=$T26),$W26,IF(AND($S26&lt;&gt;"",EDATE($D26,Milestones!$AA$111)&gt;=$S26),$V26,$U26)))=Milestones!$AB$111),UPPER(TEXT(EDATE($D26,Milestones!$AA$111),"dd mmm yy"))&amp;" "&amp;Milestones!$AB$111&amp;" "&amp;Milestones!$AC$111&amp;";  ","")&amp;IF(AND(EDATE($D26,Milestones!$AA$112)&lt;=AsOfDate,IF($R26=0,$X26,IF(AND($T26&lt;&gt;"",EDATE($D26,Milestones!$AA$112)&gt;=$T26),$W26,IF(AND($S26&lt;&gt;"",EDATE($D26,Milestones!$AA$112)&gt;=$S26),$V26,$U26)))=Milestones!$AB$112),UPPER(TEXT(EDATE($D26,Milestones!$AA$112),"dd mmm yy"))&amp;" "&amp;Milestones!$AB$112&amp;" "&amp;Milestones!$AC$112&amp;";  ","")&amp;IF(AND(EDATE($D26,Milestones!$AA$113)&lt;=AsOfDate,IF($R26=0,$X26,IF(AND($T26&lt;&gt;"",EDATE($D26,Milestones!$AA$113)&gt;=$T26),$W26,IF(AND($S26&lt;&gt;"",EDATE($D26,Milestones!$AA$113)&gt;=$S26),$V26,$U26)))=Milestones!$AB$113),UPPER(TEXT(EDATE($D26,Milestones!$AA$113),"dd mmm yy"))&amp;" "&amp;Milestones!$AB$113&amp;" "&amp;Milestones!$AC$113&amp;";  ","")&amp;IF(AND(EDATE($D26,Milestones!$AA$114)&lt;=AsOfDate,IF($R26=0,$X26,IF(AND($T26&lt;&gt;"",EDATE($D26,Milestones!$AA$114)&gt;=$T26),$W26,IF(AND($S26&lt;&gt;"",EDATE($D26,Milestones!$AA$114)&gt;=$S26),$V26,$U26)))=Milestones!$AB$114),UPPER(TEXT(EDATE($D26,Milestones!$AA$114),"dd mmm yy"))&amp;" "&amp;Milestones!$AB$114&amp;" "&amp;Milestones!$AC$114&amp;";  ","")&amp;IF(AND(EDATE($D26,Milestones!$AA$115)&lt;=AsOfDate,IF($R26=0,$X26,IF(AND($T26&lt;&gt;"",EDATE($D26,Milestones!$AA$115)&gt;=$T26),$W26,IF(AND($S26&lt;&gt;"",EDATE($D26,Milestones!$AA$115)&gt;=$S26),$V26,$U26)))=Milestones!$AB$115),UPPER(TEXT(EDATE($D26,Milestones!$AA$115),"dd mmm yy"))&amp;" "&amp;Milestones!$AB$115&amp;" "&amp;Milestones!$AC$115&amp;";  ","")&amp;IF(AND(EDATE($D26,Milestones!$AA$116)&lt;=AsOfDate,IF($R26=0,$X26,IF(AND($T26&lt;&gt;"",EDATE($D26,Milestones!$AA$116)&gt;=$T26),$W26,IF(AND($S26&lt;&gt;"",EDATE($D26,Milestones!$AA$116)&gt;=$S26),$V26,$U26)))=Milestones!$AB$116),UPPER(TEXT(EDATE($D26,Milestones!$AA$116),"dd mmm yy"))&amp;" "&amp;Milestones!$AB$116&amp;" "&amp;Milestones!$AC$116&amp;";  ","")&amp;IF(AND(EDATE($D26,Milestones!$AA$117)&lt;=AsOfDate,IF($R26=0,$X26,IF(AND($T26&lt;&gt;"",EDATE($D26,Milestones!$AA$117)&gt;=$T26),$W26,IF(AND($S26&lt;&gt;"",EDATE($D26,Milestones!$AA$117)&gt;=$S26),$V26,$U26)))=Milestones!$AB$117),UPPER(TEXT(EDATE($D26,Milestones!$AA$117),"dd mmm yy"))&amp;" "&amp;Milestones!$AB$117&amp;" "&amp;Milestones!$AC$117&amp;";  ","")&amp;IF(AND(EDATE($D26,Milestones!$AA$118)&lt;=AsOfDate,IF($R26=0,$X26,IF(AND($T26&lt;&gt;"",EDATE($D26,Milestones!$AA$118)&gt;=$T26),$W26,IF(AND($S26&lt;&gt;"",EDATE($D26,Milestones!$AA$118)&gt;=$S26),$V26,$U26)))=Milestones!$AB$118),UPPER(TEXT(EDATE($D26,Milestones!$AA$118),"dd mmm yy"))&amp;" "&amp;Milestones!$AB$118&amp;" "&amp;Milestones!$AC$118&amp;";  ","")&amp;IF(AND(EDATE($D26,Milestones!$AA$119)&lt;=AsOfDate,IF($R26=0,$X26,IF(AND($T26&lt;&gt;"",EDATE($D26,Milestones!$AA$119)&gt;=$T26),$W26,IF(AND($S26&lt;&gt;"",EDATE($D26,Milestones!$AA$119)&gt;=$S26),$V26,$U26)))=Milestones!$AB$119),UPPER(TEXT(EDATE($D26,Milestones!$AA$119),"dd mmm yy"))&amp;" "&amp;Milestones!$AB$119&amp;" "&amp;Milestones!$AC$119&amp;";  ",""))</f>
        <v/>
      </c>
      <c r="N26" s="0" t="str">
        <f aca="false">IF(OR($A26="",$D26=""),"",IF(AND(EDATE($D26,Milestones!$AA$120)&lt;=AsOfDate,IF($R26=0,$X26,IF(AND($T26&lt;&gt;"",EDATE($D26,Milestones!$AA$120)&gt;=$T26),$W26,IF(AND($S26&lt;&gt;"",EDATE($D26,Milestones!$AA$120)&gt;=$S26),$V26,$U26)))=Milestones!$AB$120),UPPER(TEXT(EDATE($D26,Milestones!$AA$120),"dd mmm yy"))&amp;" "&amp;Milestones!$AB$120&amp;" "&amp;Milestones!$AC$120&amp;";  ","")&amp;IF(AND(EDATE($D26,Milestones!$AA$121)&lt;=AsOfDate,IF($R26=0,$X26,IF(AND($T26&lt;&gt;"",EDATE($D26,Milestones!$AA$121)&gt;=$T26),$W26,IF(AND($S26&lt;&gt;"",EDATE($D26,Milestones!$AA$121)&gt;=$S26),$V26,$U26)))=Milestones!$AB$121),UPPER(TEXT(EDATE($D26,Milestones!$AA$121),"dd mmm yy"))&amp;" "&amp;Milestones!$AB$121&amp;" "&amp;Milestones!$AC$121&amp;";  ","")&amp;IF(AND(EDATE($D26,Milestones!$AA$122)&lt;=AsOfDate,IF($R26=0,$X26,IF(AND($T26&lt;&gt;"",EDATE($D26,Milestones!$AA$122)&gt;=$T26),$W26,IF(AND($S26&lt;&gt;"",EDATE($D26,Milestones!$AA$122)&gt;=$S26),$V26,$U26)))=Milestones!$AB$122),UPPER(TEXT(EDATE($D26,Milestones!$AA$122),"dd mmm yy"))&amp;" "&amp;Milestones!$AB$122&amp;" "&amp;Milestones!$AC$122&amp;";  ","")&amp;IF(AND(EDATE($D26,Milestones!$AA$123)&lt;=AsOfDate,IF($R26=0,$X26,IF(AND($T26&lt;&gt;"",EDATE($D26,Milestones!$AA$123)&gt;=$T26),$W26,IF(AND($S26&lt;&gt;"",EDATE($D26,Milestones!$AA$123)&gt;=$S26),$V26,$U26)))=Milestones!$AB$123),UPPER(TEXT(EDATE($D26,Milestones!$AA$123),"dd mmm yy"))&amp;" "&amp;Milestones!$AB$123&amp;" "&amp;Milestones!$AC$123&amp;";  ","")&amp;IF(AND(EDATE($D26,Milestones!$AA$124)&lt;=AsOfDate,IF($R26=0,$X26,IF(AND($T26&lt;&gt;"",EDATE($D26,Milestones!$AA$124)&gt;=$T26),$W26,IF(AND($S26&lt;&gt;"",EDATE($D26,Milestones!$AA$124)&gt;=$S26),$V26,$U26)))=Milestones!$AB$124),UPPER(TEXT(EDATE($D26,Milestones!$AA$124),"dd mmm yy"))&amp;" "&amp;Milestones!$AB$124&amp;" "&amp;Milestones!$AC$124&amp;";  ","")&amp;IF(AND(EDATE($D26,Milestones!$AA$125)&lt;=AsOfDate,IF($R26=0,$X26,IF(AND($T26&lt;&gt;"",EDATE($D26,Milestones!$AA$125)&gt;=$T26),$W26,IF(AND($S26&lt;&gt;"",EDATE($D26,Milestones!$AA$125)&gt;=$S26),$V26,$U26)))=Milestones!$AB$125),UPPER(TEXT(EDATE($D26,Milestones!$AA$125),"dd mmm yy"))&amp;" "&amp;Milestones!$AB$125&amp;" "&amp;Milestones!$AC$125&amp;";  ","")&amp;IF(AND(EDATE($D26,Milestones!$AA$126)&lt;=AsOfDate,IF($R26=0,$X26,IF(AND($T26&lt;&gt;"",EDATE($D26,Milestones!$AA$126)&gt;=$T26),$W26,IF(AND($S26&lt;&gt;"",EDATE($D26,Milestones!$AA$126)&gt;=$S26),$V26,$U26)))=Milestones!$AB$126),UPPER(TEXT(EDATE($D26,Milestones!$AA$126),"dd mmm yy"))&amp;" "&amp;Milestones!$AB$126&amp;" "&amp;Milestones!$AC$126&amp;";  ","")&amp;IF(AND(EDATE($D26,Milestones!$AA$127)&lt;=AsOfDate,IF($R26=0,$X26,IF(AND($T26&lt;&gt;"",EDATE($D26,Milestones!$AA$127)&gt;=$T26),$W26,IF(AND($S26&lt;&gt;"",EDATE($D26,Milestones!$AA$127)&gt;=$S26),$V26,$U26)))=Milestones!$AB$127),UPPER(TEXT(EDATE($D26,Milestones!$AA$127),"dd mmm yy"))&amp;" "&amp;Milestones!$AB$127&amp;" "&amp;Milestones!$AC$127&amp;";  ","")&amp;IF(AND(EDATE($D26,Milestones!$AA$128)&lt;=AsOfDate,IF($R26=0,$X26,IF(AND($T26&lt;&gt;"",EDATE($D26,Milestones!$AA$128)&gt;=$T26),$W26,IF(AND($S26&lt;&gt;"",EDATE($D26,Milestones!$AA$128)&gt;=$S26),$V26,$U26)))=Milestones!$AB$128),UPPER(TEXT(EDATE($D26,Milestones!$AA$128),"dd mmm yy"))&amp;" "&amp;Milestones!$AB$128&amp;" "&amp;Milestones!$AC$128&amp;";  ","")&amp;IF(AND(EDATE($D26,Milestones!$AA$129)&lt;=AsOfDate,IF($R26=0,$X26,IF(AND($T26&lt;&gt;"",EDATE($D26,Milestones!$AA$129)&gt;=$T26),$W26,IF(AND($S26&lt;&gt;"",EDATE($D26,Milestones!$AA$129)&gt;=$S26),$V26,$U26)))=Milestones!$AB$129),UPPER(TEXT(EDATE($D26,Milestones!$AA$129),"dd mmm yy"))&amp;" "&amp;Milestones!$AB$129&amp;" "&amp;Milestones!$AC$129&amp;";  ","")&amp;IF(AND(EDATE($D26,Milestones!$AA$130)&lt;=AsOfDate,IF($R26=0,$X26,IF(AND($T26&lt;&gt;"",EDATE($D26,Milestones!$AA$130)&gt;=$T26),$W26,IF(AND($S26&lt;&gt;"",EDATE($D26,Milestones!$AA$130)&gt;=$S26),$V26,$U26)))=Milestones!$AB$130),UPPER(TEXT(EDATE($D26,Milestones!$AA$130),"dd mmm yy"))&amp;" "&amp;Milestones!$AB$130&amp;" "&amp;Milestones!$AC$130&amp;";  ","")&amp;IF(AND(EDATE($D26,Milestones!$AA$131)&lt;=AsOfDate,IF($R26=0,$X26,IF(AND($T26&lt;&gt;"",EDATE($D26,Milestones!$AA$131)&gt;=$T26),$W26,IF(AND($S26&lt;&gt;"",EDATE($D26,Milestones!$AA$131)&gt;=$S26),$V26,$U26)))=Milestones!$AB$131),UPPER(TEXT(EDATE($D26,Milestones!$AA$131),"dd mmm yy"))&amp;" "&amp;Milestones!$AB$131&amp;" "&amp;Milestones!$AC$131&amp;";  ","")&amp;IF(AND(EDATE($D26,Milestones!$AA$132)&lt;=AsOfDate,IF($R26=0,$X26,IF(AND($T26&lt;&gt;"",EDATE($D26,Milestones!$AA$132)&gt;=$T26),$W26,IF(AND($S26&lt;&gt;"",EDATE($D26,Milestones!$AA$132)&gt;=$S26),$V26,$U26)))=Milestones!$AB$132),UPPER(TEXT(EDATE($D26,Milestones!$AA$132),"dd mmm yy"))&amp;" "&amp;Milestones!$AB$132&amp;" "&amp;Milestones!$AC$132&amp;";  ","")&amp;IF(AND(EDATE($D26,Milestones!$AA$133)&lt;=AsOfDate,IF($R26=0,$X26,IF(AND($T26&lt;&gt;"",EDATE($D26,Milestones!$AA$133)&gt;=$T26),$W26,IF(AND($S26&lt;&gt;"",EDATE($D26,Milestones!$AA$133)&gt;=$S26),$V26,$U26)))=Milestones!$AB$133),UPPER(TEXT(EDATE($D26,Milestones!$AA$133),"dd mmm yy"))&amp;" "&amp;Milestones!$AB$133&amp;" "&amp;Milestones!$AC$133&amp;";  ","")&amp;IF(AND(EDATE($D26,Milestones!$AA$134)&lt;=AsOfDate,IF($R26=0,$X26,IF(AND($T26&lt;&gt;"",EDATE($D26,Milestones!$AA$134)&gt;=$T26),$W26,IF(AND($S26&lt;&gt;"",EDATE($D26,Milestones!$AA$134)&gt;=$S26),$V26,$U26)))=Milestones!$AB$134),UPPER(TEXT(EDATE($D26,Milestones!$AA$134),"dd mmm yy"))&amp;" "&amp;Milestones!$AB$134&amp;" "&amp;Milestones!$AC$134&amp;";  ","")&amp;IF(AND(EDATE($D26,Milestones!$AA$135)&lt;=AsOfDate,IF($R26=0,$X26,IF(AND($T26&lt;&gt;"",EDATE($D26,Milestones!$AA$135)&gt;=$T26),$W26,IF(AND($S26&lt;&gt;"",EDATE($D26,Milestones!$AA$135)&gt;=$S26),$V26,$U26)))=Milestones!$AB$135),UPPER(TEXT(EDATE($D26,Milestones!$AA$135),"dd mmm yy"))&amp;" "&amp;Milestones!$AB$135&amp;" "&amp;Milestones!$AC$135&amp;";  ","")&amp;IF(AND(EDATE($D26,Milestones!$AA$136)&lt;=AsOfDate,IF($R26=0,$X26,IF(AND($T26&lt;&gt;"",EDATE($D26,Milestones!$AA$136)&gt;=$T26),$W26,IF(AND($S26&lt;&gt;"",EDATE($D26,Milestones!$AA$136)&gt;=$S26),$V26,$U26)))=Milestones!$AB$136),UPPER(TEXT(EDATE($D26,Milestones!$AA$136),"dd mmm yy"))&amp;" "&amp;Milestones!$AB$136&amp;" "&amp;Milestones!$AC$136&amp;";  ","")&amp;IF(AND(EDATE($D26,Milestones!$AA$137)&lt;=AsOfDate,IF($R26=0,$X26,IF(AND($T26&lt;&gt;"",EDATE($D26,Milestones!$AA$137)&gt;=$T26),$W26,IF(AND($S26&lt;&gt;"",EDATE($D26,Milestones!$AA$137)&gt;=$S26),$V26,$U26)))=Milestones!$AB$137),UPPER(TEXT(EDATE($D26,Milestones!$AA$137),"dd mmm yy"))&amp;" "&amp;Milestones!$AB$137&amp;" "&amp;Milestones!$AC$137&amp;";  ","")&amp;IF(AND(EDATE($D26,Milestones!$AA$138)&lt;=AsOfDate,IF($R26=0,$X26,IF(AND($T26&lt;&gt;"",EDATE($D26,Milestones!$AA$138)&gt;=$T26),$W26,IF(AND($S26&lt;&gt;"",EDATE($D26,Milestones!$AA$138)&gt;=$S26),$V26,$U26)))=Milestones!$AB$138),UPPER(TEXT(EDATE($D26,Milestones!$AA$138),"dd mmm yy"))&amp;" "&amp;Milestones!$AB$138&amp;" "&amp;Milestones!$AC$138&amp;";  ","")&amp;IF(AND(EDATE($D26,Milestones!$AA$139)&lt;=AsOfDate,IF($R26=0,$X26,IF(AND($T26&lt;&gt;"",EDATE($D26,Milestones!$AA$139)&gt;=$T26),$W26,IF(AND($S26&lt;&gt;"",EDATE($D26,Milestones!$AA$139)&gt;=$S26),$V26,$U26)))=Milestones!$AB$139),UPPER(TEXT(EDATE($D26,Milestones!$AA$139),"dd mmm yy"))&amp;" "&amp;Milestones!$AB$139&amp;" "&amp;Milestones!$AC$139&amp;";  ",""))</f>
        <v/>
      </c>
      <c r="O26" s="0" t="str">
        <f aca="false">IF(OR($A26="",$D26=""),"",IF(AND(EDATE($D26,Milestones!$AA$140)&lt;=AsOfDate,IF($R26=0,$X26,IF(AND($T26&lt;&gt;"",EDATE($D26,Milestones!$AA$140)&gt;=$T26),$W26,IF(AND($S26&lt;&gt;"",EDATE($D26,Milestones!$AA$140)&gt;=$S26),$V26,$U26)))=Milestones!$AB$140),UPPER(TEXT(EDATE($D26,Milestones!$AA$140),"dd mmm yy"))&amp;" "&amp;Milestones!$AB$140&amp;" "&amp;Milestones!$AC$140&amp;";  ","")&amp;IF(AND(EDATE($D26,Milestones!$AA$141)&lt;=AsOfDate,IF($R26=0,$X26,IF(AND($T26&lt;&gt;"",EDATE($D26,Milestones!$AA$141)&gt;=$T26),$W26,IF(AND($S26&lt;&gt;"",EDATE($D26,Milestones!$AA$141)&gt;=$S26),$V26,$U26)))=Milestones!$AB$141),UPPER(TEXT(EDATE($D26,Milestones!$AA$141),"dd mmm yy"))&amp;" "&amp;Milestones!$AB$141&amp;" "&amp;Milestones!$AC$141&amp;";  ","")&amp;IF(AND(EDATE($D26,Milestones!$AA$142)&lt;=AsOfDate,IF($R26=0,$X26,IF(AND($T26&lt;&gt;"",EDATE($D26,Milestones!$AA$142)&gt;=$T26),$W26,IF(AND($S26&lt;&gt;"",EDATE($D26,Milestones!$AA$142)&gt;=$S26),$V26,$U26)))=Milestones!$AB$142),UPPER(TEXT(EDATE($D26,Milestones!$AA$142),"dd mmm yy"))&amp;" "&amp;Milestones!$AB$142&amp;" "&amp;Milestones!$AC$142&amp;";  ","")&amp;IF(AND(EDATE($D26,Milestones!$AA$143)&lt;=AsOfDate,IF($R26=0,$X26,IF(AND($T26&lt;&gt;"",EDATE($D26,Milestones!$AA$143)&gt;=$T26),$W26,IF(AND($S26&lt;&gt;"",EDATE($D26,Milestones!$AA$143)&gt;=$S26),$V26,$U26)))=Milestones!$AB$143),UPPER(TEXT(EDATE($D26,Milestones!$AA$143),"dd mmm yy"))&amp;" "&amp;Milestones!$AB$143&amp;" "&amp;Milestones!$AC$143&amp;";  ","")&amp;IF(AND(EDATE($D26,Milestones!$AA$144)&lt;=AsOfDate,IF($R26=0,$X26,IF(AND($T26&lt;&gt;"",EDATE($D26,Milestones!$AA$144)&gt;=$T26),$W26,IF(AND($S26&lt;&gt;"",EDATE($D26,Milestones!$AA$144)&gt;=$S26),$V26,$U26)))=Milestones!$AB$144),UPPER(TEXT(EDATE($D26,Milestones!$AA$144),"dd mmm yy"))&amp;" "&amp;Milestones!$AB$144&amp;" "&amp;Milestones!$AC$144&amp;";  ","")&amp;IF(AND(EDATE($D26,Milestones!$AA$145)&lt;=AsOfDate,IF($R26=0,$X26,IF(AND($T26&lt;&gt;"",EDATE($D26,Milestones!$AA$145)&gt;=$T26),$W26,IF(AND($S26&lt;&gt;"",EDATE($D26,Milestones!$AA$145)&gt;=$S26),$V26,$U26)))=Milestones!$AB$145),UPPER(TEXT(EDATE($D26,Milestones!$AA$145),"dd mmm yy"))&amp;" "&amp;Milestones!$AB$145&amp;" "&amp;Milestones!$AC$145&amp;";  ","")&amp;IF(AND(EDATE($D26,Milestones!$AA$146)&lt;=AsOfDate,IF($R26=0,$X26,IF(AND($T26&lt;&gt;"",EDATE($D26,Milestones!$AA$146)&gt;=$T26),$W26,IF(AND($S26&lt;&gt;"",EDATE($D26,Milestones!$AA$146)&gt;=$S26),$V26,$U26)))=Milestones!$AB$146),UPPER(TEXT(EDATE($D26,Milestones!$AA$146),"dd mmm yy"))&amp;" "&amp;Milestones!$AB$146&amp;" "&amp;Milestones!$AC$146&amp;";  ","")&amp;IF(AND(EDATE($D26,Milestones!$AA$147)&lt;=AsOfDate,IF($R26=0,$X26,IF(AND($T26&lt;&gt;"",EDATE($D26,Milestones!$AA$147)&gt;=$T26),$W26,IF(AND($S26&lt;&gt;"",EDATE($D26,Milestones!$AA$147)&gt;=$S26),$V26,$U26)))=Milestones!$AB$147),UPPER(TEXT(EDATE($D26,Milestones!$AA$147),"dd mmm yy"))&amp;" "&amp;Milestones!$AB$147&amp;" "&amp;Milestones!$AC$147&amp;";  ","")&amp;IF(AND(EDATE($D26,Milestones!$AA$148)&lt;=AsOfDate,IF($R26=0,$X26,IF(AND($T26&lt;&gt;"",EDATE($D26,Milestones!$AA$148)&gt;=$T26),$W26,IF(AND($S26&lt;&gt;"",EDATE($D26,Milestones!$AA$148)&gt;=$S26),$V26,$U26)))=Milestones!$AB$148),UPPER(TEXT(EDATE($D26,Milestones!$AA$148),"dd mmm yy"))&amp;" "&amp;Milestones!$AB$148&amp;" "&amp;Milestones!$AC$148&amp;";  ","")&amp;IF(AND(EDATE($D26,Milestones!$AA$149)&lt;=AsOfDate,IF($R26=0,$X26,IF(AND($T26&lt;&gt;"",EDATE($D26,Milestones!$AA$149)&gt;=$T26),$W26,IF(AND($S26&lt;&gt;"",EDATE($D26,Milestones!$AA$149)&gt;=$S26),$V26,$U26)))=Milestones!$AB$149),UPPER(TEXT(EDATE($D26,Milestones!$AA$149),"dd mmm yy"))&amp;" "&amp;Milestones!$AB$149&amp;" "&amp;Milestones!$AC$149&amp;";  ","")&amp;IF(AND(EDATE($D26,Milestones!$AA$150)&lt;=AsOfDate,IF($R26=0,$X26,IF(AND($T26&lt;&gt;"",EDATE($D26,Milestones!$AA$150)&gt;=$T26),$W26,IF(AND($S26&lt;&gt;"",EDATE($D26,Milestones!$AA$150)&gt;=$S26),$V26,$U26)))=Milestones!$AB$150),UPPER(TEXT(EDATE($D26,Milestones!$AA$150),"dd mmm yy"))&amp;" "&amp;Milestones!$AB$150&amp;" "&amp;Milestones!$AC$150&amp;";  ","")&amp;IF(AND(EDATE($D26,Milestones!$AA$151)&lt;=AsOfDate,IF($R26=0,$X26,IF(AND($T26&lt;&gt;"",EDATE($D26,Milestones!$AA$151)&gt;=$T26),$W26,IF(AND($S26&lt;&gt;"",EDATE($D26,Milestones!$AA$151)&gt;=$S26),$V26,$U26)))=Milestones!$AB$151),UPPER(TEXT(EDATE($D26,Milestones!$AA$151),"dd mmm yy"))&amp;" "&amp;Milestones!$AB$151&amp;" "&amp;Milestones!$AC$151&amp;";  ","")&amp;IF(AND(EDATE($D26,Milestones!$AA$152)&lt;=AsOfDate,IF($R26=0,$X26,IF(AND($T26&lt;&gt;"",EDATE($D26,Milestones!$AA$152)&gt;=$T26),$W26,IF(AND($S26&lt;&gt;"",EDATE($D26,Milestones!$AA$152)&gt;=$S26),$V26,$U26)))=Milestones!$AB$152),UPPER(TEXT(EDATE($D26,Milestones!$AA$152),"dd mmm yy"))&amp;" "&amp;Milestones!$AB$152&amp;" "&amp;Milestones!$AC$152&amp;";  ","")&amp;IF(AND(EDATE($D26,Milestones!$AA$153)&lt;=AsOfDate,IF($R26=0,$X26,IF(AND($T26&lt;&gt;"",EDATE($D26,Milestones!$AA$153)&gt;=$T26),$W26,IF(AND($S26&lt;&gt;"",EDATE($D26,Milestones!$AA$153)&gt;=$S26),$V26,$U26)))=Milestones!$AB$153),UPPER(TEXT(EDATE($D26,Milestones!$AA$153),"dd mmm yy"))&amp;" "&amp;Milestones!$AB$153&amp;" "&amp;Milestones!$AC$153&amp;";  ","")&amp;IF(AND(EDATE($D26,Milestones!$AA$154)&lt;=AsOfDate,IF($R26=0,$X26,IF(AND($T26&lt;&gt;"",EDATE($D26,Milestones!$AA$154)&gt;=$T26),$W26,IF(AND($S26&lt;&gt;"",EDATE($D26,Milestones!$AA$154)&gt;=$S26),$V26,$U26)))=Milestones!$AB$154),UPPER(TEXT(EDATE($D26,Milestones!$AA$154),"dd mmm yy"))&amp;" "&amp;Milestones!$AB$154&amp;" "&amp;Milestones!$AC$154&amp;";  ","")&amp;IF(AND(EDATE($D26,Milestones!$AA$155)&lt;=AsOfDate,IF($R26=0,$X26,IF(AND($T26&lt;&gt;"",EDATE($D26,Milestones!$AA$155)&gt;=$T26),$W26,IF(AND($S26&lt;&gt;"",EDATE($D26,Milestones!$AA$155)&gt;=$S26),$V26,$U26)))=Milestones!$AB$155),UPPER(TEXT(EDATE($D26,Milestones!$AA$155),"dd mmm yy"))&amp;" "&amp;Milestones!$AB$155&amp;" "&amp;Milestones!$AC$155&amp;";  ","")&amp;IF(AND(EDATE($D26,Milestones!$AA$156)&lt;=AsOfDate,IF($R26=0,$X26,IF(AND($T26&lt;&gt;"",EDATE($D26,Milestones!$AA$156)&gt;=$T26),$W26,IF(AND($S26&lt;&gt;"",EDATE($D26,Milestones!$AA$156)&gt;=$S26),$V26,$U26)))=Milestones!$AB$156),UPPER(TEXT(EDATE($D26,Milestones!$AA$156),"dd mmm yy"))&amp;" "&amp;Milestones!$AB$156&amp;" "&amp;Milestones!$AC$156&amp;";  ","")&amp;IF(AND(EDATE($D26,Milestones!$AA$157)&lt;=AsOfDate,IF($R26=0,$X26,IF(AND($T26&lt;&gt;"",EDATE($D26,Milestones!$AA$157)&gt;=$T26),$W26,IF(AND($S26&lt;&gt;"",EDATE($D26,Milestones!$AA$157)&gt;=$S26),$V26,$U26)))=Milestones!$AB$157),UPPER(TEXT(EDATE($D26,Milestones!$AA$157),"dd mmm yy"))&amp;" "&amp;Milestones!$AB$157&amp;" "&amp;Milestones!$AC$157&amp;";  ","")&amp;IF(AND(EDATE($D26,Milestones!$AA$158)&lt;=AsOfDate,IF($R26=0,$X26,IF(AND($T26&lt;&gt;"",EDATE($D26,Milestones!$AA$158)&gt;=$T26),$W26,IF(AND($S26&lt;&gt;"",EDATE($D26,Milestones!$AA$158)&gt;=$S26),$V26,$U26)))=Milestones!$AB$158),UPPER(TEXT(EDATE($D26,Milestones!$AA$158),"dd mmm yy"))&amp;" "&amp;Milestones!$AB$158&amp;" "&amp;Milestones!$AC$158&amp;";  ","")&amp;IF(AND(EDATE($D26,Milestones!$AA$159)&lt;=AsOfDate,IF($R26=0,$X26,IF(AND($T26&lt;&gt;"",EDATE($D26,Milestones!$AA$159)&gt;=$T26),$W26,IF(AND($S26&lt;&gt;"",EDATE($D26,Milestones!$AA$159)&gt;=$S26),$V26,$U26)))=Milestones!$AB$159),UPPER(TEXT(EDATE($D26,Milestones!$AA$159),"dd mmm yy"))&amp;" "&amp;Milestones!$AB$159&amp;" "&amp;Milestones!$AC$159&amp;";  ",""))</f>
        <v/>
      </c>
      <c r="P26" s="0" t="str">
        <f aca="false">IF(OR($A26="",$D26=""),"",IF(AND(EDATE($D26,Milestones!$AA$160)&lt;=AsOfDate,IF($R26=0,$X26,IF(AND($T26&lt;&gt;"",EDATE($D26,Milestones!$AA$160)&gt;=$T26),$W26,IF(AND($S26&lt;&gt;"",EDATE($D26,Milestones!$AA$160)&gt;=$S26),$V26,$U26)))=Milestones!$AB$160),UPPER(TEXT(EDATE($D26,Milestones!$AA$160),"dd mmm yy"))&amp;" "&amp;Milestones!$AB$160&amp;" "&amp;Milestones!$AC$160&amp;";  ","")&amp;IF(AND(EDATE($D26,Milestones!$AA$161)&lt;=AsOfDate,IF($R26=0,$X26,IF(AND($T26&lt;&gt;"",EDATE($D26,Milestones!$AA$161)&gt;=$T26),$W26,IF(AND($S26&lt;&gt;"",EDATE($D26,Milestones!$AA$161)&gt;=$S26),$V26,$U26)))=Milestones!$AB$161),UPPER(TEXT(EDATE($D26,Milestones!$AA$161),"dd mmm yy"))&amp;" "&amp;Milestones!$AB$161&amp;" "&amp;Milestones!$AC$161&amp;";  ","")&amp;IF(AND(EDATE($D26,Milestones!$AA$162)&lt;=AsOfDate,IF($R26=0,$X26,IF(AND($T26&lt;&gt;"",EDATE($D26,Milestones!$AA$162)&gt;=$T26),$W26,IF(AND($S26&lt;&gt;"",EDATE($D26,Milestones!$AA$162)&gt;=$S26),$V26,$U26)))=Milestones!$AB$162),UPPER(TEXT(EDATE($D26,Milestones!$AA$162),"dd mmm yy"))&amp;" "&amp;Milestones!$AB$162&amp;" "&amp;Milestones!$AC$162&amp;";  ","")&amp;IF(AND(EDATE($D26,Milestones!$AA$163)&lt;=AsOfDate,IF($R26=0,$X26,IF(AND($T26&lt;&gt;"",EDATE($D26,Milestones!$AA$163)&gt;=$T26),$W26,IF(AND($S26&lt;&gt;"",EDATE($D26,Milestones!$AA$163)&gt;=$S26),$V26,$U26)))=Milestones!$AB$163),UPPER(TEXT(EDATE($D26,Milestones!$AA$163),"dd mmm yy"))&amp;" "&amp;Milestones!$AB$163&amp;" "&amp;Milestones!$AC$163&amp;";  ","")&amp;IF(AND(EDATE($D26,Milestones!$AA$164)&lt;=AsOfDate,IF($R26=0,$X26,IF(AND($T26&lt;&gt;"",EDATE($D26,Milestones!$AA$164)&gt;=$T26),$W26,IF(AND($S26&lt;&gt;"",EDATE($D26,Milestones!$AA$164)&gt;=$S26),$V26,$U26)))=Milestones!$AB$164),UPPER(TEXT(EDATE($D26,Milestones!$AA$164),"dd mmm yy"))&amp;" "&amp;Milestones!$AB$164&amp;" "&amp;Milestones!$AC$164&amp;";  ","")&amp;IF(AND(EDATE($D26,Milestones!$AA$165)&lt;=AsOfDate,IF($R26=0,$X26,IF(AND($T26&lt;&gt;"",EDATE($D26,Milestones!$AA$165)&gt;=$T26),$W26,IF(AND($S26&lt;&gt;"",EDATE($D26,Milestones!$AA$165)&gt;=$S26),$V26,$U26)))=Milestones!$AB$165),UPPER(TEXT(EDATE($D26,Milestones!$AA$165),"dd mmm yy"))&amp;" "&amp;Milestones!$AB$165&amp;" "&amp;Milestones!$AC$165&amp;";  ","")&amp;IF(AND(EDATE($D26,Milestones!$AA$166)&lt;=AsOfDate,IF($R26=0,$X26,IF(AND($T26&lt;&gt;"",EDATE($D26,Milestones!$AA$166)&gt;=$T26),$W26,IF(AND($S26&lt;&gt;"",EDATE($D26,Milestones!$AA$166)&gt;=$S26),$V26,$U26)))=Milestones!$AB$166),UPPER(TEXT(EDATE($D26,Milestones!$AA$166),"dd mmm yy"))&amp;" "&amp;Milestones!$AB$166&amp;" "&amp;Milestones!$AC$166&amp;";  ","")&amp;IF(AND(EDATE($D26,Milestones!$AA$167)&lt;=AsOfDate,IF($R26=0,$X26,IF(AND($T26&lt;&gt;"",EDATE($D26,Milestones!$AA$167)&gt;=$T26),$W26,IF(AND($S26&lt;&gt;"",EDATE($D26,Milestones!$AA$167)&gt;=$S26),$V26,$U26)))=Milestones!$AB$167),UPPER(TEXT(EDATE($D26,Milestones!$AA$167),"dd mmm yy"))&amp;" "&amp;Milestones!$AB$167&amp;" "&amp;Milestones!$AC$167&amp;";  ","")&amp;IF(AND(EDATE($D26,Milestones!$AA$168)&lt;=AsOfDate,IF($R26=0,$X26,IF(AND($T26&lt;&gt;"",EDATE($D26,Milestones!$AA$168)&gt;=$T26),$W26,IF(AND($S26&lt;&gt;"",EDATE($D26,Milestones!$AA$168)&gt;=$S26),$V26,$U26)))=Milestones!$AB$168),UPPER(TEXT(EDATE($D26,Milestones!$AA$168),"dd mmm yy"))&amp;" "&amp;Milestones!$AB$168&amp;" "&amp;Milestones!$AC$168&amp;";  ","")&amp;IF(AND(EDATE($D26,Milestones!$AA$169)&lt;=AsOfDate,IF($R26=0,$X26,IF(AND($T26&lt;&gt;"",EDATE($D26,Milestones!$AA$169)&gt;=$T26),$W26,IF(AND($S26&lt;&gt;"",EDATE($D26,Milestones!$AA$169)&gt;=$S26),$V26,$U26)))=Milestones!$AB$169),UPPER(TEXT(EDATE($D26,Milestones!$AA$169),"dd mmm yy"))&amp;" "&amp;Milestones!$AB$169&amp;" "&amp;Milestones!$AC$169&amp;";  ","")&amp;IF(AND(EDATE($D26,Milestones!$AA$170)&lt;=AsOfDate,IF($R26=0,$X26,IF(AND($T26&lt;&gt;"",EDATE($D26,Milestones!$AA$170)&gt;=$T26),$W26,IF(AND($S26&lt;&gt;"",EDATE($D26,Milestones!$AA$170)&gt;=$S26),$V26,$U26)))=Milestones!$AB$170),UPPER(TEXT(EDATE($D26,Milestones!$AA$170),"dd mmm yy"))&amp;" "&amp;Milestones!$AB$170&amp;" "&amp;Milestones!$AC$170&amp;";  ","")&amp;IF(AND(EDATE($D26,Milestones!$AA$171)&lt;=AsOfDate,IF($R26=0,$X26,IF(AND($T26&lt;&gt;"",EDATE($D26,Milestones!$AA$171)&gt;=$T26),$W26,IF(AND($S26&lt;&gt;"",EDATE($D26,Milestones!$AA$171)&gt;=$S26),$V26,$U26)))=Milestones!$AB$171),UPPER(TEXT(EDATE($D26,Milestones!$AA$171),"dd mmm yy"))&amp;" "&amp;Milestones!$AB$171&amp;" "&amp;Milestones!$AC$171&amp;";  ","")&amp;IF(AND(EDATE($D26,Milestones!$AA$172)&lt;=AsOfDate,IF($R26=0,$X26,IF(AND($T26&lt;&gt;"",EDATE($D26,Milestones!$AA$172)&gt;=$T26),$W26,IF(AND($S26&lt;&gt;"",EDATE($D26,Milestones!$AA$172)&gt;=$S26),$V26,$U26)))=Milestones!$AB$172),UPPER(TEXT(EDATE($D26,Milestones!$AA$172),"dd mmm yy"))&amp;" "&amp;Milestones!$AB$172&amp;" "&amp;Milestones!$AC$172&amp;";  ","")&amp;IF(AND(EDATE($D26,Milestones!$AA$173)&lt;=AsOfDate,IF($R26=0,$X26,IF(AND($T26&lt;&gt;"",EDATE($D26,Milestones!$AA$173)&gt;=$T26),$W26,IF(AND($S26&lt;&gt;"",EDATE($D26,Milestones!$AA$173)&gt;=$S26),$V26,$U26)))=Milestones!$AB$173),UPPER(TEXT(EDATE($D26,Milestones!$AA$173),"dd mmm yy"))&amp;" "&amp;Milestones!$AB$173&amp;" "&amp;Milestones!$AC$173&amp;";  ","")&amp;IF(AND(EDATE($D26,Milestones!$AA$174)&lt;=AsOfDate,IF($R26=0,$X26,IF(AND($T26&lt;&gt;"",EDATE($D26,Milestones!$AA$174)&gt;=$T26),$W26,IF(AND($S26&lt;&gt;"",EDATE($D26,Milestones!$AA$174)&gt;=$S26),$V26,$U26)))=Milestones!$AB$174),UPPER(TEXT(EDATE($D26,Milestones!$AA$174),"dd mmm yy"))&amp;" "&amp;Milestones!$AB$174&amp;" "&amp;Milestones!$AC$174&amp;";  ","")&amp;IF(AND(EDATE($D26,Milestones!$AA$175)&lt;=AsOfDate,IF($R26=0,$X26,IF(AND($T26&lt;&gt;"",EDATE($D26,Milestones!$AA$175)&gt;=$T26),$W26,IF(AND($S26&lt;&gt;"",EDATE($D26,Milestones!$AA$175)&gt;=$S26),$V26,$U26)))=Milestones!$AB$175),UPPER(TEXT(EDATE($D26,Milestones!$AA$175),"dd mmm yy"))&amp;" "&amp;Milestones!$AB$175&amp;" "&amp;Milestones!$AC$175&amp;";  ","")&amp;IF(AND(EDATE($D26,Milestones!$AA$176)&lt;=AsOfDate,IF($R26=0,$X26,IF(AND($T26&lt;&gt;"",EDATE($D26,Milestones!$AA$176)&gt;=$T26),$W26,IF(AND($S26&lt;&gt;"",EDATE($D26,Milestones!$AA$176)&gt;=$S26),$V26,$U26)))=Milestones!$AB$176),UPPER(TEXT(EDATE($D26,Milestones!$AA$176),"dd mmm yy"))&amp;" "&amp;Milestones!$AB$176&amp;" "&amp;Milestones!$AC$176&amp;";  ","")&amp;IF(AND(EDATE($D26,Milestones!$AA$177)&lt;=AsOfDate,IF($R26=0,$X26,IF(AND($T26&lt;&gt;"",EDATE($D26,Milestones!$AA$177)&gt;=$T26),$W26,IF(AND($S26&lt;&gt;"",EDATE($D26,Milestones!$AA$177)&gt;=$S26),$V26,$U26)))=Milestones!$AB$177),UPPER(TEXT(EDATE($D26,Milestones!$AA$177),"dd mmm yy"))&amp;" "&amp;Milestones!$AB$177&amp;" "&amp;Milestones!$AC$177&amp;";  ","")&amp;IF(AND(EDATE($D26,Milestones!$AA$178)&lt;=AsOfDate,IF($R26=0,$X26,IF(AND($T26&lt;&gt;"",EDATE($D26,Milestones!$AA$178)&gt;=$T26),$W26,IF(AND($S26&lt;&gt;"",EDATE($D26,Milestones!$AA$178)&gt;=$S26),$V26,$U26)))=Milestones!$AB$178),UPPER(TEXT(EDATE($D26,Milestones!$AA$178),"dd mmm yy"))&amp;" "&amp;Milestones!$AB$178&amp;" "&amp;Milestones!$AC$178&amp;";  ","")&amp;IF(AND(EDATE($D26,Milestones!$AA$179)&lt;=AsOfDate,IF($R26=0,$X26,IF(AND($T26&lt;&gt;"",EDATE($D26,Milestones!$AA$179)&gt;=$T26),$W26,IF(AND($S26&lt;&gt;"",EDATE($D26,Milestones!$AA$179)&gt;=$S26),$V26,$U26)))=Milestones!$AB$179),UPPER(TEXT(EDATE($D26,Milestones!$AA$179),"dd mmm yy"))&amp;" "&amp;Milestones!$AB$179&amp;" "&amp;Milestones!$AC$179&amp;";  ",""))</f>
        <v/>
      </c>
      <c r="Q26" s="0" t="str">
        <f aca="false">IF(OR($A26="",$D26=""),"",IF(AND(EDATE($D26,Milestones!$AA$180)&lt;=AsOfDate,IF($R26=0,$X26,IF(AND($T26&lt;&gt;"",EDATE($D26,Milestones!$AA$180)&gt;=$T26),$W26,IF(AND($S26&lt;&gt;"",EDATE($D26,Milestones!$AA$180)&gt;=$S26),$V26,$U26)))=Milestones!$AB$180),UPPER(TEXT(EDATE($D26,Milestones!$AA$180),"dd mmm yy"))&amp;" "&amp;Milestones!$AB$180&amp;" "&amp;Milestones!$AC$180&amp;";  ","")&amp;IF(AND(EDATE($D26,Milestones!$AA$181)&lt;=AsOfDate,IF($R26=0,$X26,IF(AND($T26&lt;&gt;"",EDATE($D26,Milestones!$AA$181)&gt;=$T26),$W26,IF(AND($S26&lt;&gt;"",EDATE($D26,Milestones!$AA$181)&gt;=$S26),$V26,$U26)))=Milestones!$AB$181),UPPER(TEXT(EDATE($D26,Milestones!$AA$181),"dd mmm yy"))&amp;" "&amp;Milestones!$AB$181&amp;" "&amp;Milestones!$AC$181&amp;";  ","")&amp;IF(AND(EDATE($D26,Milestones!$AA$182)&lt;=AsOfDate,IF($R26=0,$X26,IF(AND($T26&lt;&gt;"",EDATE($D26,Milestones!$AA$182)&gt;=$T26),$W26,IF(AND($S26&lt;&gt;"",EDATE($D26,Milestones!$AA$182)&gt;=$S26),$V26,$U26)))=Milestones!$AB$182),UPPER(TEXT(EDATE($D26,Milestones!$AA$182),"dd mmm yy"))&amp;" "&amp;Milestones!$AB$182&amp;" "&amp;Milestones!$AC$182&amp;";  ","")&amp;IF(AND(EDATE($D26,Milestones!$AA$183)&lt;=AsOfDate,IF($R26=0,$X26,IF(AND($T26&lt;&gt;"",EDATE($D26,Milestones!$AA$183)&gt;=$T26),$W26,IF(AND($S26&lt;&gt;"",EDATE($D26,Milestones!$AA$183)&gt;=$S26),$V26,$U26)))=Milestones!$AB$183),UPPER(TEXT(EDATE($D26,Milestones!$AA$183),"dd mmm yy"))&amp;" "&amp;Milestones!$AB$183&amp;" "&amp;Milestones!$AC$183&amp;";  ","")&amp;IF(AND(EDATE($D26,Milestones!$AA$184)&lt;=AsOfDate,IF($R26=0,$X26,IF(AND($T26&lt;&gt;"",EDATE($D26,Milestones!$AA$184)&gt;=$T26),$W26,IF(AND($S26&lt;&gt;"",EDATE($D26,Milestones!$AA$184)&gt;=$S26),$V26,$U26)))=Milestones!$AB$184),UPPER(TEXT(EDATE($D26,Milestones!$AA$184),"dd mmm yy"))&amp;" "&amp;Milestones!$AB$184&amp;" "&amp;Milestones!$AC$184&amp;";  ","")&amp;IF(AND(EDATE($D26,Milestones!$AA$185)&lt;=AsOfDate,IF($R26=0,$X26,IF(AND($T26&lt;&gt;"",EDATE($D26,Milestones!$AA$185)&gt;=$T26),$W26,IF(AND($S26&lt;&gt;"",EDATE($D26,Milestones!$AA$185)&gt;=$S26),$V26,$U26)))=Milestones!$AB$185),UPPER(TEXT(EDATE($D26,Milestones!$AA$185),"dd mmm yy"))&amp;" "&amp;Milestones!$AB$185&amp;" "&amp;Milestones!$AC$185&amp;";  ","")&amp;IF(AND(EDATE($D26,Milestones!$AA$186)&lt;=AsOfDate,IF($R26=0,$X26,IF(AND($T26&lt;&gt;"",EDATE($D26,Milestones!$AA$186)&gt;=$T26),$W26,IF(AND($S26&lt;&gt;"",EDATE($D26,Milestones!$AA$186)&gt;=$S26),$V26,$U26)))=Milestones!$AB$186),UPPER(TEXT(EDATE($D26,Milestones!$AA$186),"dd mmm yy"))&amp;" "&amp;Milestones!$AB$186&amp;" "&amp;Milestones!$AC$186&amp;";  ","")&amp;IF(AND(EDATE($D26,Milestones!$AA$187)&lt;=AsOfDate,IF($R26=0,$X26,IF(AND($T26&lt;&gt;"",EDATE($D26,Milestones!$AA$187)&gt;=$T26),$W26,IF(AND($S26&lt;&gt;"",EDATE($D26,Milestones!$AA$187)&gt;=$S26),$V26,$U26)))=Milestones!$AB$187),UPPER(TEXT(EDATE($D26,Milestones!$AA$187),"dd mmm yy"))&amp;" "&amp;Milestones!$AB$187&amp;" "&amp;Milestones!$AC$187&amp;";  ","")&amp;IF(AND(EDATE($D26,Milestones!$AA$188)&lt;=AsOfDate,IF($R26=0,$X26,IF(AND($T26&lt;&gt;"",EDATE($D26,Milestones!$AA$188)&gt;=$T26),$W26,IF(AND($S26&lt;&gt;"",EDATE($D26,Milestones!$AA$188)&gt;=$S26),$V26,$U26)))=Milestones!$AB$188),UPPER(TEXT(EDATE($D26,Milestones!$AA$188),"dd mmm yy"))&amp;" "&amp;Milestones!$AB$188&amp;" "&amp;Milestones!$AC$188&amp;";  ","")&amp;IF(AND(EDATE($D26,Milestones!$AA$189)&lt;=AsOfDate,IF($R26=0,$X26,IF(AND($T26&lt;&gt;"",EDATE($D26,Milestones!$AA$189)&gt;=$T26),$W26,IF(AND($S26&lt;&gt;"",EDATE($D26,Milestones!$AA$189)&gt;=$S26),$V26,$U26)))=Milestones!$AB$189),UPPER(TEXT(EDATE($D26,Milestones!$AA$189),"dd mmm yy"))&amp;" "&amp;Milestones!$AB$189&amp;" "&amp;Milestones!$AC$189&amp;";  ","")&amp;IF(AND(EDATE($D26,Milestones!$AA$190)&lt;=AsOfDate,IF($R26=0,$X26,IF(AND($T26&lt;&gt;"",EDATE($D26,Milestones!$AA$190)&gt;=$T26),$W26,IF(AND($S26&lt;&gt;"",EDATE($D26,Milestones!$AA$190)&gt;=$S26),$V26,$U26)))=Milestones!$AB$190),UPPER(TEXT(EDATE($D26,Milestones!$AA$190),"dd mmm yy"))&amp;" "&amp;Milestones!$AB$190&amp;" "&amp;Milestones!$AC$190&amp;";  ","")&amp;IF(AND(EDATE($D26,Milestones!$AA$191)&lt;=AsOfDate,IF($R26=0,$X26,IF(AND($T26&lt;&gt;"",EDATE($D26,Milestones!$AA$191)&gt;=$T26),$W26,IF(AND($S26&lt;&gt;"",EDATE($D26,Milestones!$AA$191)&gt;=$S26),$V26,$U26)))=Milestones!$AB$191),UPPER(TEXT(EDATE($D26,Milestones!$AA$191),"dd mmm yy"))&amp;" "&amp;Milestones!$AB$191&amp;" "&amp;Milestones!$AC$191&amp;";  ","")&amp;IF(AND(EDATE($D26,Milestones!$AA$192)&lt;=AsOfDate,IF($R26=0,$X26,IF(AND($T26&lt;&gt;"",EDATE($D26,Milestones!$AA$192)&gt;=$T26),$W26,IF(AND($S26&lt;&gt;"",EDATE($D26,Milestones!$AA$192)&gt;=$S26),$V26,$U26)))=Milestones!$AB$192),UPPER(TEXT(EDATE($D26,Milestones!$AA$192),"dd mmm yy"))&amp;" "&amp;Milestones!$AB$192&amp;" "&amp;Milestones!$AC$192&amp;";  ","")&amp;IF(AND(EDATE($D26,Milestones!$AA$193)&lt;=AsOfDate,IF($R26=0,$X26,IF(AND($T26&lt;&gt;"",EDATE($D26,Milestones!$AA$193)&gt;=$T26),$W26,IF(AND($S26&lt;&gt;"",EDATE($D26,Milestones!$AA$193)&gt;=$S26),$V26,$U26)))=Milestones!$AB$193),UPPER(TEXT(EDATE($D26,Milestones!$AA$193),"dd mmm yy"))&amp;" "&amp;Milestones!$AB$193&amp;" "&amp;Milestones!$AC$193&amp;";  ","")&amp;IF(AND(EDATE($D26,Milestones!$AA$194)&lt;=AsOfDate,IF($R26=0,$X26,IF(AND($T26&lt;&gt;"",EDATE($D26,Milestones!$AA$194)&gt;=$T26),$W26,IF(AND($S26&lt;&gt;"",EDATE($D26,Milestones!$AA$194)&gt;=$S26),$V26,$U26)))=Milestones!$AB$194),UPPER(TEXT(EDATE($D26,Milestones!$AA$194),"dd mmm yy"))&amp;" "&amp;Milestones!$AB$194&amp;" "&amp;Milestones!$AC$194&amp;";  ","")&amp;IF(AND(EDATE($D26,Milestones!$AA$195)&lt;=AsOfDate,IF($R26=0,$X26,IF(AND($T26&lt;&gt;"",EDATE($D26,Milestones!$AA$195)&gt;=$T26),$W26,IF(AND($S26&lt;&gt;"",EDATE($D26,Milestones!$AA$195)&gt;=$S26),$V26,$U26)))=Milestones!$AB$195),UPPER(TEXT(EDATE($D26,Milestones!$AA$195),"dd mmm yy"))&amp;" "&amp;Milestones!$AB$195&amp;" "&amp;Milestones!$AC$195&amp;";  ","")&amp;IF(AND(EDATE($D26,Milestones!$AA$196)&lt;=AsOfDate,IF($R26=0,$X26,IF(AND($T26&lt;&gt;"",EDATE($D26,Milestones!$AA$196)&gt;=$T26),$W26,IF(AND($S26&lt;&gt;"",EDATE($D26,Milestones!$AA$196)&gt;=$S26),$V26,$U26)))=Milestones!$AB$196),UPPER(TEXT(EDATE($D26,Milestones!$AA$196),"dd mmm yy"))&amp;" "&amp;Milestones!$AB$196&amp;" "&amp;Milestones!$AC$196&amp;";  ","")&amp;IF(AND(EDATE($D26,Milestones!$AA$197)&lt;=AsOfDate,IF($R26=0,$X26,IF(AND($T26&lt;&gt;"",EDATE($D26,Milestones!$AA$197)&gt;=$T26),$W26,IF(AND($S26&lt;&gt;"",EDATE($D26,Milestones!$AA$197)&gt;=$S26),$V26,$U26)))=Milestones!$AB$197),UPPER(TEXT(EDATE($D26,Milestones!$AA$197),"dd mmm yy"))&amp;" "&amp;Milestones!$AB$197&amp;" "&amp;Milestones!$AC$197&amp;";  ","")&amp;IF(AND(EDATE($D26,Milestones!$AA$198)&lt;=AsOfDate,IF($R26=0,$X26,IF(AND($T26&lt;&gt;"",EDATE($D26,Milestones!$AA$198)&gt;=$T26),$W26,IF(AND($S26&lt;&gt;"",EDATE($D26,Milestones!$AA$198)&gt;=$S26),$V26,$U26)))=Milestones!$AB$198),UPPER(TEXT(EDATE($D26,Milestones!$AA$198),"dd mmm yy"))&amp;" "&amp;Milestones!$AB$198&amp;" "&amp;Milestones!$AC$198&amp;";  ","")&amp;IF(AND(EDATE($D26,Milestones!$AA$199)&lt;=AsOfDate,IF($R26=0,$X26,IF(AND($T26&lt;&gt;"",EDATE($D26,Milestones!$AA$199)&gt;=$T26),$W26,IF(AND($S26&lt;&gt;"",EDATE($D26,Milestones!$AA$199)&gt;=$S26),$V26,$U26)))=Milestones!$AB$199),UPPER(TEXT(EDATE($D26,Milestones!$AA$199),"dd mmm yy"))&amp;" "&amp;Milestones!$AB$199&amp;" "&amp;Milestones!$AC$199&amp;";  ",""))</f>
        <v/>
      </c>
      <c r="R26" s="33" t="n">
        <f aca="false">IF(Staff!$A26="","",Staff!$AI26)</f>
        <v>0</v>
      </c>
      <c r="S26" s="0" t="str">
        <f aca="false">IF(Staff!$A26="","",Staff!$AK26)</f>
        <v/>
      </c>
      <c r="T26" s="0" t="str">
        <f aca="false">IF(Staff!$A26="","",Staff!$AL26)</f>
        <v/>
      </c>
      <c r="U26" s="0" t="str">
        <f aca="false">IF(Staff!$A26="","",Staff!$AP26)</f>
        <v>None</v>
      </c>
      <c r="V26" s="0" t="str">
        <f aca="false">IF(Staff!$A26="","",Staff!$AQ26)</f>
        <v/>
      </c>
      <c r="W26" s="0" t="str">
        <f aca="false">IF(Staff!$A26="","",Staff!$AR26)</f>
        <v/>
      </c>
      <c r="X26" s="0" t="str">
        <f aca="false">IF(Staff!$A26="","",Staff!$AS26)</f>
        <v>None</v>
      </c>
    </row>
    <row r="27" customFormat="false" ht="15" hidden="false" customHeight="false" outlineLevel="0" collapsed="false">
      <c r="A27" s="19" t="str">
        <f aca="false">IF(Staff!$A27="","",Staff!$A27)</f>
        <v>Emelda</v>
      </c>
      <c r="B27" s="19" t="str">
        <f aca="false">IF(Staff!$A27="","",Staff!$B27)</f>
        <v>Waiya</v>
      </c>
      <c r="C27" s="19" t="str">
        <f aca="false">IF(Staff!$A27="","",Staff!$C27)</f>
        <v>Part-Time</v>
      </c>
      <c r="D27" s="17" t="n">
        <f aca="false">IF(Staff!$A27="","",Staff!$AH27)</f>
        <v>45476</v>
      </c>
      <c r="E27" s="20" t="n">
        <f aca="false">IF(Staff!$A27="","",Staff!$O27)</f>
        <v>0</v>
      </c>
      <c r="F27" s="19" t="n">
        <f aca="false">IF(E27="","",E27*HoursPerDay)</f>
        <v>0</v>
      </c>
      <c r="G27" s="20" t="n">
        <f aca="false">IF(Staff!$A27="","",Staff!$AE27)</f>
        <v>0</v>
      </c>
      <c r="H27" s="32" t="str">
        <f aca="false">IF($A27="","",I27&amp;J27&amp;K27&amp;L27&amp;M27&amp;N27&amp;O27&amp;P27&amp;Q27)</f>
        <v/>
      </c>
      <c r="I27" s="0" t="str">
        <f aca="false">IF(OR($A27="",$D27=""),"",IF(AND(EDATE($D27,Milestones!$AA$20)&lt;=AsOfDate,IF($R27=0,$X27,IF(AND($T27&lt;&gt;"",EDATE($D27,Milestones!$AA$20)&gt;=$T27),$W27,IF(AND($S27&lt;&gt;"",EDATE($D27,Milestones!$AA$20)&gt;=$S27),$V27,$U27)))=Milestones!$AB$20),UPPER(TEXT(EDATE($D27,Milestones!$AA$20),"dd mmm yy"))&amp;" "&amp;Milestones!$AB$20&amp;" "&amp;Milestones!$AC$20&amp;";  ","")&amp;IF(AND(EDATE($D27,Milestones!$AA$21)&lt;=AsOfDate,IF($R27=0,$X27,IF(AND($T27&lt;&gt;"",EDATE($D27,Milestones!$AA$21)&gt;=$T27),$W27,IF(AND($S27&lt;&gt;"",EDATE($D27,Milestones!$AA$21)&gt;=$S27),$V27,$U27)))=Milestones!$AB$21),UPPER(TEXT(EDATE($D27,Milestones!$AA$21),"dd mmm yy"))&amp;" "&amp;Milestones!$AB$21&amp;" "&amp;Milestones!$AC$21&amp;";  ","")&amp;IF(AND(EDATE($D27,Milestones!$AA$22)&lt;=AsOfDate,IF($R27=0,$X27,IF(AND($T27&lt;&gt;"",EDATE($D27,Milestones!$AA$22)&gt;=$T27),$W27,IF(AND($S27&lt;&gt;"",EDATE($D27,Milestones!$AA$22)&gt;=$S27),$V27,$U27)))=Milestones!$AB$22),UPPER(TEXT(EDATE($D27,Milestones!$AA$22),"dd mmm yy"))&amp;" "&amp;Milestones!$AB$22&amp;" "&amp;Milestones!$AC$22&amp;";  ","")&amp;IF(AND(EDATE($D27,Milestones!$AA$23)&lt;=AsOfDate,IF($R27=0,$X27,IF(AND($T27&lt;&gt;"",EDATE($D27,Milestones!$AA$23)&gt;=$T27),$W27,IF(AND($S27&lt;&gt;"",EDATE($D27,Milestones!$AA$23)&gt;=$S27),$V27,$U27)))=Milestones!$AB$23),UPPER(TEXT(EDATE($D27,Milestones!$AA$23),"dd mmm yy"))&amp;" "&amp;Milestones!$AB$23&amp;" "&amp;Milestones!$AC$23&amp;";  ","")&amp;IF(AND(EDATE($D27,Milestones!$AA$24)&lt;=AsOfDate,IF($R27=0,$X27,IF(AND($T27&lt;&gt;"",EDATE($D27,Milestones!$AA$24)&gt;=$T27),$W27,IF(AND($S27&lt;&gt;"",EDATE($D27,Milestones!$AA$24)&gt;=$S27),$V27,$U27)))=Milestones!$AB$24),UPPER(TEXT(EDATE($D27,Milestones!$AA$24),"dd mmm yy"))&amp;" "&amp;Milestones!$AB$24&amp;" "&amp;Milestones!$AC$24&amp;";  ","")&amp;IF(AND(EDATE($D27,Milestones!$AA$25)&lt;=AsOfDate,IF($R27=0,$X27,IF(AND($T27&lt;&gt;"",EDATE($D27,Milestones!$AA$25)&gt;=$T27),$W27,IF(AND($S27&lt;&gt;"",EDATE($D27,Milestones!$AA$25)&gt;=$S27),$V27,$U27)))=Milestones!$AB$25),UPPER(TEXT(EDATE($D27,Milestones!$AA$25),"dd mmm yy"))&amp;" "&amp;Milestones!$AB$25&amp;" "&amp;Milestones!$AC$25&amp;";  ","")&amp;IF(AND(EDATE($D27,Milestones!$AA$26)&lt;=AsOfDate,IF($R27=0,$X27,IF(AND($T27&lt;&gt;"",EDATE($D27,Milestones!$AA$26)&gt;=$T27),$W27,IF(AND($S27&lt;&gt;"",EDATE($D27,Milestones!$AA$26)&gt;=$S27),$V27,$U27)))=Milestones!$AB$26),UPPER(TEXT(EDATE($D27,Milestones!$AA$26),"dd mmm yy"))&amp;" "&amp;Milestones!$AB$26&amp;" "&amp;Milestones!$AC$26&amp;";  ","")&amp;IF(AND(EDATE($D27,Milestones!$AA$27)&lt;=AsOfDate,IF($R27=0,$X27,IF(AND($T27&lt;&gt;"",EDATE($D27,Milestones!$AA$27)&gt;=$T27),$W27,IF(AND($S27&lt;&gt;"",EDATE($D27,Milestones!$AA$27)&gt;=$S27),$V27,$U27)))=Milestones!$AB$27),UPPER(TEXT(EDATE($D27,Milestones!$AA$27),"dd mmm yy"))&amp;" "&amp;Milestones!$AB$27&amp;" "&amp;Milestones!$AC$27&amp;";  ","")&amp;IF(AND(EDATE($D27,Milestones!$AA$28)&lt;=AsOfDate,IF($R27=0,$X27,IF(AND($T27&lt;&gt;"",EDATE($D27,Milestones!$AA$28)&gt;=$T27),$W27,IF(AND($S27&lt;&gt;"",EDATE($D27,Milestones!$AA$28)&gt;=$S27),$V27,$U27)))=Milestones!$AB$28),UPPER(TEXT(EDATE($D27,Milestones!$AA$28),"dd mmm yy"))&amp;" "&amp;Milestones!$AB$28&amp;" "&amp;Milestones!$AC$28&amp;";  ","")&amp;IF(AND(EDATE($D27,Milestones!$AA$29)&lt;=AsOfDate,IF($R27=0,$X27,IF(AND($T27&lt;&gt;"",EDATE($D27,Milestones!$AA$29)&gt;=$T27),$W27,IF(AND($S27&lt;&gt;"",EDATE($D27,Milestones!$AA$29)&gt;=$S27),$V27,$U27)))=Milestones!$AB$29),UPPER(TEXT(EDATE($D27,Milestones!$AA$29),"dd mmm yy"))&amp;" "&amp;Milestones!$AB$29&amp;" "&amp;Milestones!$AC$29&amp;";  ","")&amp;IF(AND(EDATE($D27,Milestones!$AA$30)&lt;=AsOfDate,IF($R27=0,$X27,IF(AND($T27&lt;&gt;"",EDATE($D27,Milestones!$AA$30)&gt;=$T27),$W27,IF(AND($S27&lt;&gt;"",EDATE($D27,Milestones!$AA$30)&gt;=$S27),$V27,$U27)))=Milestones!$AB$30),UPPER(TEXT(EDATE($D27,Milestones!$AA$30),"dd mmm yy"))&amp;" "&amp;Milestones!$AB$30&amp;" "&amp;Milestones!$AC$30&amp;";  ","")&amp;IF(AND(EDATE($D27,Milestones!$AA$31)&lt;=AsOfDate,IF($R27=0,$X27,IF(AND($T27&lt;&gt;"",EDATE($D27,Milestones!$AA$31)&gt;=$T27),$W27,IF(AND($S27&lt;&gt;"",EDATE($D27,Milestones!$AA$31)&gt;=$S27),$V27,$U27)))=Milestones!$AB$31),UPPER(TEXT(EDATE($D27,Milestones!$AA$31),"dd mmm yy"))&amp;" "&amp;Milestones!$AB$31&amp;" "&amp;Milestones!$AC$31&amp;";  ","")&amp;IF(AND(EDATE($D27,Milestones!$AA$32)&lt;=AsOfDate,IF($R27=0,$X27,IF(AND($T27&lt;&gt;"",EDATE($D27,Milestones!$AA$32)&gt;=$T27),$W27,IF(AND($S27&lt;&gt;"",EDATE($D27,Milestones!$AA$32)&gt;=$S27),$V27,$U27)))=Milestones!$AB$32),UPPER(TEXT(EDATE($D27,Milestones!$AA$32),"dd mmm yy"))&amp;" "&amp;Milestones!$AB$32&amp;" "&amp;Milestones!$AC$32&amp;";  ","")&amp;IF(AND(EDATE($D27,Milestones!$AA$33)&lt;=AsOfDate,IF($R27=0,$X27,IF(AND($T27&lt;&gt;"",EDATE($D27,Milestones!$AA$33)&gt;=$T27),$W27,IF(AND($S27&lt;&gt;"",EDATE($D27,Milestones!$AA$33)&gt;=$S27),$V27,$U27)))=Milestones!$AB$33),UPPER(TEXT(EDATE($D27,Milestones!$AA$33),"dd mmm yy"))&amp;" "&amp;Milestones!$AB$33&amp;" "&amp;Milestones!$AC$33&amp;";  ","")&amp;IF(AND(EDATE($D27,Milestones!$AA$34)&lt;=AsOfDate,IF($R27=0,$X27,IF(AND($T27&lt;&gt;"",EDATE($D27,Milestones!$AA$34)&gt;=$T27),$W27,IF(AND($S27&lt;&gt;"",EDATE($D27,Milestones!$AA$34)&gt;=$S27),$V27,$U27)))=Milestones!$AB$34),UPPER(TEXT(EDATE($D27,Milestones!$AA$34),"dd mmm yy"))&amp;" "&amp;Milestones!$AB$34&amp;" "&amp;Milestones!$AC$34&amp;";  ","")&amp;IF(AND(EDATE($D27,Milestones!$AA$35)&lt;=AsOfDate,IF($R27=0,$X27,IF(AND($T27&lt;&gt;"",EDATE($D27,Milestones!$AA$35)&gt;=$T27),$W27,IF(AND($S27&lt;&gt;"",EDATE($D27,Milestones!$AA$35)&gt;=$S27),$V27,$U27)))=Milestones!$AB$35),UPPER(TEXT(EDATE($D27,Milestones!$AA$35),"dd mmm yy"))&amp;" "&amp;Milestones!$AB$35&amp;" "&amp;Milestones!$AC$35&amp;";  ","")&amp;IF(AND(EDATE($D27,Milestones!$AA$36)&lt;=AsOfDate,IF($R27=0,$X27,IF(AND($T27&lt;&gt;"",EDATE($D27,Milestones!$AA$36)&gt;=$T27),$W27,IF(AND($S27&lt;&gt;"",EDATE($D27,Milestones!$AA$36)&gt;=$S27),$V27,$U27)))=Milestones!$AB$36),UPPER(TEXT(EDATE($D27,Milestones!$AA$36),"dd mmm yy"))&amp;" "&amp;Milestones!$AB$36&amp;" "&amp;Milestones!$AC$36&amp;";  ","")&amp;IF(AND(EDATE($D27,Milestones!$AA$37)&lt;=AsOfDate,IF($R27=0,$X27,IF(AND($T27&lt;&gt;"",EDATE($D27,Milestones!$AA$37)&gt;=$T27),$W27,IF(AND($S27&lt;&gt;"",EDATE($D27,Milestones!$AA$37)&gt;=$S27),$V27,$U27)))=Milestones!$AB$37),UPPER(TEXT(EDATE($D27,Milestones!$AA$37),"dd mmm yy"))&amp;" "&amp;Milestones!$AB$37&amp;" "&amp;Milestones!$AC$37&amp;";  ","")&amp;IF(AND(EDATE($D27,Milestones!$AA$38)&lt;=AsOfDate,IF($R27=0,$X27,IF(AND($T27&lt;&gt;"",EDATE($D27,Milestones!$AA$38)&gt;=$T27),$W27,IF(AND($S27&lt;&gt;"",EDATE($D27,Milestones!$AA$38)&gt;=$S27),$V27,$U27)))=Milestones!$AB$38),UPPER(TEXT(EDATE($D27,Milestones!$AA$38),"dd mmm yy"))&amp;" "&amp;Milestones!$AB$38&amp;" "&amp;Milestones!$AC$38&amp;";  ","")&amp;IF(AND(EDATE($D27,Milestones!$AA$39)&lt;=AsOfDate,IF($R27=0,$X27,IF(AND($T27&lt;&gt;"",EDATE($D27,Milestones!$AA$39)&gt;=$T27),$W27,IF(AND($S27&lt;&gt;"",EDATE($D27,Milestones!$AA$39)&gt;=$S27),$V27,$U27)))=Milestones!$AB$39),UPPER(TEXT(EDATE($D27,Milestones!$AA$39),"dd mmm yy"))&amp;" "&amp;Milestones!$AB$39&amp;" "&amp;Milestones!$AC$39&amp;";  ",""))</f>
        <v/>
      </c>
      <c r="J27" s="0" t="str">
        <f aca="false">IF(OR($A27="",$D27=""),"",IF(AND(EDATE($D27,Milestones!$AA$40)&lt;=AsOfDate,IF($R27=0,$X27,IF(AND($T27&lt;&gt;"",EDATE($D27,Milestones!$AA$40)&gt;=$T27),$W27,IF(AND($S27&lt;&gt;"",EDATE($D27,Milestones!$AA$40)&gt;=$S27),$V27,$U27)))=Milestones!$AB$40),UPPER(TEXT(EDATE($D27,Milestones!$AA$40),"dd mmm yy"))&amp;" "&amp;Milestones!$AB$40&amp;" "&amp;Milestones!$AC$40&amp;";  ","")&amp;IF(AND(EDATE($D27,Milestones!$AA$41)&lt;=AsOfDate,IF($R27=0,$X27,IF(AND($T27&lt;&gt;"",EDATE($D27,Milestones!$AA$41)&gt;=$T27),$W27,IF(AND($S27&lt;&gt;"",EDATE($D27,Milestones!$AA$41)&gt;=$S27),$V27,$U27)))=Milestones!$AB$41),UPPER(TEXT(EDATE($D27,Milestones!$AA$41),"dd mmm yy"))&amp;" "&amp;Milestones!$AB$41&amp;" "&amp;Milestones!$AC$41&amp;";  ","")&amp;IF(AND(EDATE($D27,Milestones!$AA$42)&lt;=AsOfDate,IF($R27=0,$X27,IF(AND($T27&lt;&gt;"",EDATE($D27,Milestones!$AA$42)&gt;=$T27),$W27,IF(AND($S27&lt;&gt;"",EDATE($D27,Milestones!$AA$42)&gt;=$S27),$V27,$U27)))=Milestones!$AB$42),UPPER(TEXT(EDATE($D27,Milestones!$AA$42),"dd mmm yy"))&amp;" "&amp;Milestones!$AB$42&amp;" "&amp;Milestones!$AC$42&amp;";  ","")&amp;IF(AND(EDATE($D27,Milestones!$AA$43)&lt;=AsOfDate,IF($R27=0,$X27,IF(AND($T27&lt;&gt;"",EDATE($D27,Milestones!$AA$43)&gt;=$T27),$W27,IF(AND($S27&lt;&gt;"",EDATE($D27,Milestones!$AA$43)&gt;=$S27),$V27,$U27)))=Milestones!$AB$43),UPPER(TEXT(EDATE($D27,Milestones!$AA$43),"dd mmm yy"))&amp;" "&amp;Milestones!$AB$43&amp;" "&amp;Milestones!$AC$43&amp;";  ","")&amp;IF(AND(EDATE($D27,Milestones!$AA$44)&lt;=AsOfDate,IF($R27=0,$X27,IF(AND($T27&lt;&gt;"",EDATE($D27,Milestones!$AA$44)&gt;=$T27),$W27,IF(AND($S27&lt;&gt;"",EDATE($D27,Milestones!$AA$44)&gt;=$S27),$V27,$U27)))=Milestones!$AB$44),UPPER(TEXT(EDATE($D27,Milestones!$AA$44),"dd mmm yy"))&amp;" "&amp;Milestones!$AB$44&amp;" "&amp;Milestones!$AC$44&amp;";  ","")&amp;IF(AND(EDATE($D27,Milestones!$AA$45)&lt;=AsOfDate,IF($R27=0,$X27,IF(AND($T27&lt;&gt;"",EDATE($D27,Milestones!$AA$45)&gt;=$T27),$W27,IF(AND($S27&lt;&gt;"",EDATE($D27,Milestones!$AA$45)&gt;=$S27),$V27,$U27)))=Milestones!$AB$45),UPPER(TEXT(EDATE($D27,Milestones!$AA$45),"dd mmm yy"))&amp;" "&amp;Milestones!$AB$45&amp;" "&amp;Milestones!$AC$45&amp;";  ","")&amp;IF(AND(EDATE($D27,Milestones!$AA$46)&lt;=AsOfDate,IF($R27=0,$X27,IF(AND($T27&lt;&gt;"",EDATE($D27,Milestones!$AA$46)&gt;=$T27),$W27,IF(AND($S27&lt;&gt;"",EDATE($D27,Milestones!$AA$46)&gt;=$S27),$V27,$U27)))=Milestones!$AB$46),UPPER(TEXT(EDATE($D27,Milestones!$AA$46),"dd mmm yy"))&amp;" "&amp;Milestones!$AB$46&amp;" "&amp;Milestones!$AC$46&amp;";  ","")&amp;IF(AND(EDATE($D27,Milestones!$AA$47)&lt;=AsOfDate,IF($R27=0,$X27,IF(AND($T27&lt;&gt;"",EDATE($D27,Milestones!$AA$47)&gt;=$T27),$W27,IF(AND($S27&lt;&gt;"",EDATE($D27,Milestones!$AA$47)&gt;=$S27),$V27,$U27)))=Milestones!$AB$47),UPPER(TEXT(EDATE($D27,Milestones!$AA$47),"dd mmm yy"))&amp;" "&amp;Milestones!$AB$47&amp;" "&amp;Milestones!$AC$47&amp;";  ","")&amp;IF(AND(EDATE($D27,Milestones!$AA$48)&lt;=AsOfDate,IF($R27=0,$X27,IF(AND($T27&lt;&gt;"",EDATE($D27,Milestones!$AA$48)&gt;=$T27),$W27,IF(AND($S27&lt;&gt;"",EDATE($D27,Milestones!$AA$48)&gt;=$S27),$V27,$U27)))=Milestones!$AB$48),UPPER(TEXT(EDATE($D27,Milestones!$AA$48),"dd mmm yy"))&amp;" "&amp;Milestones!$AB$48&amp;" "&amp;Milestones!$AC$48&amp;";  ","")&amp;IF(AND(EDATE($D27,Milestones!$AA$49)&lt;=AsOfDate,IF($R27=0,$X27,IF(AND($T27&lt;&gt;"",EDATE($D27,Milestones!$AA$49)&gt;=$T27),$W27,IF(AND($S27&lt;&gt;"",EDATE($D27,Milestones!$AA$49)&gt;=$S27),$V27,$U27)))=Milestones!$AB$49),UPPER(TEXT(EDATE($D27,Milestones!$AA$49),"dd mmm yy"))&amp;" "&amp;Milestones!$AB$49&amp;" "&amp;Milestones!$AC$49&amp;";  ","")&amp;IF(AND(EDATE($D27,Milestones!$AA$50)&lt;=AsOfDate,IF($R27=0,$X27,IF(AND($T27&lt;&gt;"",EDATE($D27,Milestones!$AA$50)&gt;=$T27),$W27,IF(AND($S27&lt;&gt;"",EDATE($D27,Milestones!$AA$50)&gt;=$S27),$V27,$U27)))=Milestones!$AB$50),UPPER(TEXT(EDATE($D27,Milestones!$AA$50),"dd mmm yy"))&amp;" "&amp;Milestones!$AB$50&amp;" "&amp;Milestones!$AC$50&amp;";  ","")&amp;IF(AND(EDATE($D27,Milestones!$AA$51)&lt;=AsOfDate,IF($R27=0,$X27,IF(AND($T27&lt;&gt;"",EDATE($D27,Milestones!$AA$51)&gt;=$T27),$W27,IF(AND($S27&lt;&gt;"",EDATE($D27,Milestones!$AA$51)&gt;=$S27),$V27,$U27)))=Milestones!$AB$51),UPPER(TEXT(EDATE($D27,Milestones!$AA$51),"dd mmm yy"))&amp;" "&amp;Milestones!$AB$51&amp;" "&amp;Milestones!$AC$51&amp;";  ","")&amp;IF(AND(EDATE($D27,Milestones!$AA$52)&lt;=AsOfDate,IF($R27=0,$X27,IF(AND($T27&lt;&gt;"",EDATE($D27,Milestones!$AA$52)&gt;=$T27),$W27,IF(AND($S27&lt;&gt;"",EDATE($D27,Milestones!$AA$52)&gt;=$S27),$V27,$U27)))=Milestones!$AB$52),UPPER(TEXT(EDATE($D27,Milestones!$AA$52),"dd mmm yy"))&amp;" "&amp;Milestones!$AB$52&amp;" "&amp;Milestones!$AC$52&amp;";  ","")&amp;IF(AND(EDATE($D27,Milestones!$AA$53)&lt;=AsOfDate,IF($R27=0,$X27,IF(AND($T27&lt;&gt;"",EDATE($D27,Milestones!$AA$53)&gt;=$T27),$W27,IF(AND($S27&lt;&gt;"",EDATE($D27,Milestones!$AA$53)&gt;=$S27),$V27,$U27)))=Milestones!$AB$53),UPPER(TEXT(EDATE($D27,Milestones!$AA$53),"dd mmm yy"))&amp;" "&amp;Milestones!$AB$53&amp;" "&amp;Milestones!$AC$53&amp;";  ","")&amp;IF(AND(EDATE($D27,Milestones!$AA$54)&lt;=AsOfDate,IF($R27=0,$X27,IF(AND($T27&lt;&gt;"",EDATE($D27,Milestones!$AA$54)&gt;=$T27),$W27,IF(AND($S27&lt;&gt;"",EDATE($D27,Milestones!$AA$54)&gt;=$S27),$V27,$U27)))=Milestones!$AB$54),UPPER(TEXT(EDATE($D27,Milestones!$AA$54),"dd mmm yy"))&amp;" "&amp;Milestones!$AB$54&amp;" "&amp;Milestones!$AC$54&amp;";  ","")&amp;IF(AND(EDATE($D27,Milestones!$AA$55)&lt;=AsOfDate,IF($R27=0,$X27,IF(AND($T27&lt;&gt;"",EDATE($D27,Milestones!$AA$55)&gt;=$T27),$W27,IF(AND($S27&lt;&gt;"",EDATE($D27,Milestones!$AA$55)&gt;=$S27),$V27,$U27)))=Milestones!$AB$55),UPPER(TEXT(EDATE($D27,Milestones!$AA$55),"dd mmm yy"))&amp;" "&amp;Milestones!$AB$55&amp;" "&amp;Milestones!$AC$55&amp;";  ","")&amp;IF(AND(EDATE($D27,Milestones!$AA$56)&lt;=AsOfDate,IF($R27=0,$X27,IF(AND($T27&lt;&gt;"",EDATE($D27,Milestones!$AA$56)&gt;=$T27),$W27,IF(AND($S27&lt;&gt;"",EDATE($D27,Milestones!$AA$56)&gt;=$S27),$V27,$U27)))=Milestones!$AB$56),UPPER(TEXT(EDATE($D27,Milestones!$AA$56),"dd mmm yy"))&amp;" "&amp;Milestones!$AB$56&amp;" "&amp;Milestones!$AC$56&amp;";  ","")&amp;IF(AND(EDATE($D27,Milestones!$AA$57)&lt;=AsOfDate,IF($R27=0,$X27,IF(AND($T27&lt;&gt;"",EDATE($D27,Milestones!$AA$57)&gt;=$T27),$W27,IF(AND($S27&lt;&gt;"",EDATE($D27,Milestones!$AA$57)&gt;=$S27),$V27,$U27)))=Milestones!$AB$57),UPPER(TEXT(EDATE($D27,Milestones!$AA$57),"dd mmm yy"))&amp;" "&amp;Milestones!$AB$57&amp;" "&amp;Milestones!$AC$57&amp;";  ","")&amp;IF(AND(EDATE($D27,Milestones!$AA$58)&lt;=AsOfDate,IF($R27=0,$X27,IF(AND($T27&lt;&gt;"",EDATE($D27,Milestones!$AA$58)&gt;=$T27),$W27,IF(AND($S27&lt;&gt;"",EDATE($D27,Milestones!$AA$58)&gt;=$S27),$V27,$U27)))=Milestones!$AB$58),UPPER(TEXT(EDATE($D27,Milestones!$AA$58),"dd mmm yy"))&amp;" "&amp;Milestones!$AB$58&amp;" "&amp;Milestones!$AC$58&amp;";  ","")&amp;IF(AND(EDATE($D27,Milestones!$AA$59)&lt;=AsOfDate,IF($R27=0,$X27,IF(AND($T27&lt;&gt;"",EDATE($D27,Milestones!$AA$59)&gt;=$T27),$W27,IF(AND($S27&lt;&gt;"",EDATE($D27,Milestones!$AA$59)&gt;=$S27),$V27,$U27)))=Milestones!$AB$59),UPPER(TEXT(EDATE($D27,Milestones!$AA$59),"dd mmm yy"))&amp;" "&amp;Milestones!$AB$59&amp;" "&amp;Milestones!$AC$59&amp;";  ",""))</f>
        <v/>
      </c>
      <c r="K27" s="0" t="str">
        <f aca="false">IF(OR($A27="",$D27=""),"",IF(AND(EDATE($D27,Milestones!$AA$60)&lt;=AsOfDate,IF($R27=0,$X27,IF(AND($T27&lt;&gt;"",EDATE($D27,Milestones!$AA$60)&gt;=$T27),$W27,IF(AND($S27&lt;&gt;"",EDATE($D27,Milestones!$AA$60)&gt;=$S27),$V27,$U27)))=Milestones!$AB$60),UPPER(TEXT(EDATE($D27,Milestones!$AA$60),"dd mmm yy"))&amp;" "&amp;Milestones!$AB$60&amp;" "&amp;Milestones!$AC$60&amp;";  ","")&amp;IF(AND(EDATE($D27,Milestones!$AA$61)&lt;=AsOfDate,IF($R27=0,$X27,IF(AND($T27&lt;&gt;"",EDATE($D27,Milestones!$AA$61)&gt;=$T27),$W27,IF(AND($S27&lt;&gt;"",EDATE($D27,Milestones!$AA$61)&gt;=$S27),$V27,$U27)))=Milestones!$AB$61),UPPER(TEXT(EDATE($D27,Milestones!$AA$61),"dd mmm yy"))&amp;" "&amp;Milestones!$AB$61&amp;" "&amp;Milestones!$AC$61&amp;";  ","")&amp;IF(AND(EDATE($D27,Milestones!$AA$62)&lt;=AsOfDate,IF($R27=0,$X27,IF(AND($T27&lt;&gt;"",EDATE($D27,Milestones!$AA$62)&gt;=$T27),$W27,IF(AND($S27&lt;&gt;"",EDATE($D27,Milestones!$AA$62)&gt;=$S27),$V27,$U27)))=Milestones!$AB$62),UPPER(TEXT(EDATE($D27,Milestones!$AA$62),"dd mmm yy"))&amp;" "&amp;Milestones!$AB$62&amp;" "&amp;Milestones!$AC$62&amp;";  ","")&amp;IF(AND(EDATE($D27,Milestones!$AA$63)&lt;=AsOfDate,IF($R27=0,$X27,IF(AND($T27&lt;&gt;"",EDATE($D27,Milestones!$AA$63)&gt;=$T27),$W27,IF(AND($S27&lt;&gt;"",EDATE($D27,Milestones!$AA$63)&gt;=$S27),$V27,$U27)))=Milestones!$AB$63),UPPER(TEXT(EDATE($D27,Milestones!$AA$63),"dd mmm yy"))&amp;" "&amp;Milestones!$AB$63&amp;" "&amp;Milestones!$AC$63&amp;";  ","")&amp;IF(AND(EDATE($D27,Milestones!$AA$64)&lt;=AsOfDate,IF($R27=0,$X27,IF(AND($T27&lt;&gt;"",EDATE($D27,Milestones!$AA$64)&gt;=$T27),$W27,IF(AND($S27&lt;&gt;"",EDATE($D27,Milestones!$AA$64)&gt;=$S27),$V27,$U27)))=Milestones!$AB$64),UPPER(TEXT(EDATE($D27,Milestones!$AA$64),"dd mmm yy"))&amp;" "&amp;Milestones!$AB$64&amp;" "&amp;Milestones!$AC$64&amp;";  ","")&amp;IF(AND(EDATE($D27,Milestones!$AA$65)&lt;=AsOfDate,IF($R27=0,$X27,IF(AND($T27&lt;&gt;"",EDATE($D27,Milestones!$AA$65)&gt;=$T27),$W27,IF(AND($S27&lt;&gt;"",EDATE($D27,Milestones!$AA$65)&gt;=$S27),$V27,$U27)))=Milestones!$AB$65),UPPER(TEXT(EDATE($D27,Milestones!$AA$65),"dd mmm yy"))&amp;" "&amp;Milestones!$AB$65&amp;" "&amp;Milestones!$AC$65&amp;";  ","")&amp;IF(AND(EDATE($D27,Milestones!$AA$66)&lt;=AsOfDate,IF($R27=0,$X27,IF(AND($T27&lt;&gt;"",EDATE($D27,Milestones!$AA$66)&gt;=$T27),$W27,IF(AND($S27&lt;&gt;"",EDATE($D27,Milestones!$AA$66)&gt;=$S27),$V27,$U27)))=Milestones!$AB$66),UPPER(TEXT(EDATE($D27,Milestones!$AA$66),"dd mmm yy"))&amp;" "&amp;Milestones!$AB$66&amp;" "&amp;Milestones!$AC$66&amp;";  ","")&amp;IF(AND(EDATE($D27,Milestones!$AA$67)&lt;=AsOfDate,IF($R27=0,$X27,IF(AND($T27&lt;&gt;"",EDATE($D27,Milestones!$AA$67)&gt;=$T27),$W27,IF(AND($S27&lt;&gt;"",EDATE($D27,Milestones!$AA$67)&gt;=$S27),$V27,$U27)))=Milestones!$AB$67),UPPER(TEXT(EDATE($D27,Milestones!$AA$67),"dd mmm yy"))&amp;" "&amp;Milestones!$AB$67&amp;" "&amp;Milestones!$AC$67&amp;";  ","")&amp;IF(AND(EDATE($D27,Milestones!$AA$68)&lt;=AsOfDate,IF($R27=0,$X27,IF(AND($T27&lt;&gt;"",EDATE($D27,Milestones!$AA$68)&gt;=$T27),$W27,IF(AND($S27&lt;&gt;"",EDATE($D27,Milestones!$AA$68)&gt;=$S27),$V27,$U27)))=Milestones!$AB$68),UPPER(TEXT(EDATE($D27,Milestones!$AA$68),"dd mmm yy"))&amp;" "&amp;Milestones!$AB$68&amp;" "&amp;Milestones!$AC$68&amp;";  ","")&amp;IF(AND(EDATE($D27,Milestones!$AA$69)&lt;=AsOfDate,IF($R27=0,$X27,IF(AND($T27&lt;&gt;"",EDATE($D27,Milestones!$AA$69)&gt;=$T27),$W27,IF(AND($S27&lt;&gt;"",EDATE($D27,Milestones!$AA$69)&gt;=$S27),$V27,$U27)))=Milestones!$AB$69),UPPER(TEXT(EDATE($D27,Milestones!$AA$69),"dd mmm yy"))&amp;" "&amp;Milestones!$AB$69&amp;" "&amp;Milestones!$AC$69&amp;";  ","")&amp;IF(AND(EDATE($D27,Milestones!$AA$70)&lt;=AsOfDate,IF($R27=0,$X27,IF(AND($T27&lt;&gt;"",EDATE($D27,Milestones!$AA$70)&gt;=$T27),$W27,IF(AND($S27&lt;&gt;"",EDATE($D27,Milestones!$AA$70)&gt;=$S27),$V27,$U27)))=Milestones!$AB$70),UPPER(TEXT(EDATE($D27,Milestones!$AA$70),"dd mmm yy"))&amp;" "&amp;Milestones!$AB$70&amp;" "&amp;Milestones!$AC$70&amp;";  ","")&amp;IF(AND(EDATE($D27,Milestones!$AA$71)&lt;=AsOfDate,IF($R27=0,$X27,IF(AND($T27&lt;&gt;"",EDATE($D27,Milestones!$AA$71)&gt;=$T27),$W27,IF(AND($S27&lt;&gt;"",EDATE($D27,Milestones!$AA$71)&gt;=$S27),$V27,$U27)))=Milestones!$AB$71),UPPER(TEXT(EDATE($D27,Milestones!$AA$71),"dd mmm yy"))&amp;" "&amp;Milestones!$AB$71&amp;" "&amp;Milestones!$AC$71&amp;";  ","")&amp;IF(AND(EDATE($D27,Milestones!$AA$72)&lt;=AsOfDate,IF($R27=0,$X27,IF(AND($T27&lt;&gt;"",EDATE($D27,Milestones!$AA$72)&gt;=$T27),$W27,IF(AND($S27&lt;&gt;"",EDATE($D27,Milestones!$AA$72)&gt;=$S27),$V27,$U27)))=Milestones!$AB$72),UPPER(TEXT(EDATE($D27,Milestones!$AA$72),"dd mmm yy"))&amp;" "&amp;Milestones!$AB$72&amp;" "&amp;Milestones!$AC$72&amp;";  ","")&amp;IF(AND(EDATE($D27,Milestones!$AA$73)&lt;=AsOfDate,IF($R27=0,$X27,IF(AND($T27&lt;&gt;"",EDATE($D27,Milestones!$AA$73)&gt;=$T27),$W27,IF(AND($S27&lt;&gt;"",EDATE($D27,Milestones!$AA$73)&gt;=$S27),$V27,$U27)))=Milestones!$AB$73),UPPER(TEXT(EDATE($D27,Milestones!$AA$73),"dd mmm yy"))&amp;" "&amp;Milestones!$AB$73&amp;" "&amp;Milestones!$AC$73&amp;";  ","")&amp;IF(AND(EDATE($D27,Milestones!$AA$74)&lt;=AsOfDate,IF($R27=0,$X27,IF(AND($T27&lt;&gt;"",EDATE($D27,Milestones!$AA$74)&gt;=$T27),$W27,IF(AND($S27&lt;&gt;"",EDATE($D27,Milestones!$AA$74)&gt;=$S27),$V27,$U27)))=Milestones!$AB$74),UPPER(TEXT(EDATE($D27,Milestones!$AA$74),"dd mmm yy"))&amp;" "&amp;Milestones!$AB$74&amp;" "&amp;Milestones!$AC$74&amp;";  ","")&amp;IF(AND(EDATE($D27,Milestones!$AA$75)&lt;=AsOfDate,IF($R27=0,$X27,IF(AND($T27&lt;&gt;"",EDATE($D27,Milestones!$AA$75)&gt;=$T27),$W27,IF(AND($S27&lt;&gt;"",EDATE($D27,Milestones!$AA$75)&gt;=$S27),$V27,$U27)))=Milestones!$AB$75),UPPER(TEXT(EDATE($D27,Milestones!$AA$75),"dd mmm yy"))&amp;" "&amp;Milestones!$AB$75&amp;" "&amp;Milestones!$AC$75&amp;";  ","")&amp;IF(AND(EDATE($D27,Milestones!$AA$76)&lt;=AsOfDate,IF($R27=0,$X27,IF(AND($T27&lt;&gt;"",EDATE($D27,Milestones!$AA$76)&gt;=$T27),$W27,IF(AND($S27&lt;&gt;"",EDATE($D27,Milestones!$AA$76)&gt;=$S27),$V27,$U27)))=Milestones!$AB$76),UPPER(TEXT(EDATE($D27,Milestones!$AA$76),"dd mmm yy"))&amp;" "&amp;Milestones!$AB$76&amp;" "&amp;Milestones!$AC$76&amp;";  ","")&amp;IF(AND(EDATE($D27,Milestones!$AA$77)&lt;=AsOfDate,IF($R27=0,$X27,IF(AND($T27&lt;&gt;"",EDATE($D27,Milestones!$AA$77)&gt;=$T27),$W27,IF(AND($S27&lt;&gt;"",EDATE($D27,Milestones!$AA$77)&gt;=$S27),$V27,$U27)))=Milestones!$AB$77),UPPER(TEXT(EDATE($D27,Milestones!$AA$77),"dd mmm yy"))&amp;" "&amp;Milestones!$AB$77&amp;" "&amp;Milestones!$AC$77&amp;";  ","")&amp;IF(AND(EDATE($D27,Milestones!$AA$78)&lt;=AsOfDate,IF($R27=0,$X27,IF(AND($T27&lt;&gt;"",EDATE($D27,Milestones!$AA$78)&gt;=$T27),$W27,IF(AND($S27&lt;&gt;"",EDATE($D27,Milestones!$AA$78)&gt;=$S27),$V27,$U27)))=Milestones!$AB$78),UPPER(TEXT(EDATE($D27,Milestones!$AA$78),"dd mmm yy"))&amp;" "&amp;Milestones!$AB$78&amp;" "&amp;Milestones!$AC$78&amp;";  ","")&amp;IF(AND(EDATE($D27,Milestones!$AA$79)&lt;=AsOfDate,IF($R27=0,$X27,IF(AND($T27&lt;&gt;"",EDATE($D27,Milestones!$AA$79)&gt;=$T27),$W27,IF(AND($S27&lt;&gt;"",EDATE($D27,Milestones!$AA$79)&gt;=$S27),$V27,$U27)))=Milestones!$AB$79),UPPER(TEXT(EDATE($D27,Milestones!$AA$79),"dd mmm yy"))&amp;" "&amp;Milestones!$AB$79&amp;" "&amp;Milestones!$AC$79&amp;";  ",""))</f>
        <v/>
      </c>
      <c r="L27" s="0" t="str">
        <f aca="false">IF(OR($A27="",$D27=""),"",IF(AND(EDATE($D27,Milestones!$AA$80)&lt;=AsOfDate,IF($R27=0,$X27,IF(AND($T27&lt;&gt;"",EDATE($D27,Milestones!$AA$80)&gt;=$T27),$W27,IF(AND($S27&lt;&gt;"",EDATE($D27,Milestones!$AA$80)&gt;=$S27),$V27,$U27)))=Milestones!$AB$80),UPPER(TEXT(EDATE($D27,Milestones!$AA$80),"dd mmm yy"))&amp;" "&amp;Milestones!$AB$80&amp;" "&amp;Milestones!$AC$80&amp;";  ","")&amp;IF(AND(EDATE($D27,Milestones!$AA$81)&lt;=AsOfDate,IF($R27=0,$X27,IF(AND($T27&lt;&gt;"",EDATE($D27,Milestones!$AA$81)&gt;=$T27),$W27,IF(AND($S27&lt;&gt;"",EDATE($D27,Milestones!$AA$81)&gt;=$S27),$V27,$U27)))=Milestones!$AB$81),UPPER(TEXT(EDATE($D27,Milestones!$AA$81),"dd mmm yy"))&amp;" "&amp;Milestones!$AB$81&amp;" "&amp;Milestones!$AC$81&amp;";  ","")&amp;IF(AND(EDATE($D27,Milestones!$AA$82)&lt;=AsOfDate,IF($R27=0,$X27,IF(AND($T27&lt;&gt;"",EDATE($D27,Milestones!$AA$82)&gt;=$T27),$W27,IF(AND($S27&lt;&gt;"",EDATE($D27,Milestones!$AA$82)&gt;=$S27),$V27,$U27)))=Milestones!$AB$82),UPPER(TEXT(EDATE($D27,Milestones!$AA$82),"dd mmm yy"))&amp;" "&amp;Milestones!$AB$82&amp;" "&amp;Milestones!$AC$82&amp;";  ","")&amp;IF(AND(EDATE($D27,Milestones!$AA$83)&lt;=AsOfDate,IF($R27=0,$X27,IF(AND($T27&lt;&gt;"",EDATE($D27,Milestones!$AA$83)&gt;=$T27),$W27,IF(AND($S27&lt;&gt;"",EDATE($D27,Milestones!$AA$83)&gt;=$S27),$V27,$U27)))=Milestones!$AB$83),UPPER(TEXT(EDATE($D27,Milestones!$AA$83),"dd mmm yy"))&amp;" "&amp;Milestones!$AB$83&amp;" "&amp;Milestones!$AC$83&amp;";  ","")&amp;IF(AND(EDATE($D27,Milestones!$AA$84)&lt;=AsOfDate,IF($R27=0,$X27,IF(AND($T27&lt;&gt;"",EDATE($D27,Milestones!$AA$84)&gt;=$T27),$W27,IF(AND($S27&lt;&gt;"",EDATE($D27,Milestones!$AA$84)&gt;=$S27),$V27,$U27)))=Milestones!$AB$84),UPPER(TEXT(EDATE($D27,Milestones!$AA$84),"dd mmm yy"))&amp;" "&amp;Milestones!$AB$84&amp;" "&amp;Milestones!$AC$84&amp;";  ","")&amp;IF(AND(EDATE($D27,Milestones!$AA$85)&lt;=AsOfDate,IF($R27=0,$X27,IF(AND($T27&lt;&gt;"",EDATE($D27,Milestones!$AA$85)&gt;=$T27),$W27,IF(AND($S27&lt;&gt;"",EDATE($D27,Milestones!$AA$85)&gt;=$S27),$V27,$U27)))=Milestones!$AB$85),UPPER(TEXT(EDATE($D27,Milestones!$AA$85),"dd mmm yy"))&amp;" "&amp;Milestones!$AB$85&amp;" "&amp;Milestones!$AC$85&amp;";  ","")&amp;IF(AND(EDATE($D27,Milestones!$AA$86)&lt;=AsOfDate,IF($R27=0,$X27,IF(AND($T27&lt;&gt;"",EDATE($D27,Milestones!$AA$86)&gt;=$T27),$W27,IF(AND($S27&lt;&gt;"",EDATE($D27,Milestones!$AA$86)&gt;=$S27),$V27,$U27)))=Milestones!$AB$86),UPPER(TEXT(EDATE($D27,Milestones!$AA$86),"dd mmm yy"))&amp;" "&amp;Milestones!$AB$86&amp;" "&amp;Milestones!$AC$86&amp;";  ","")&amp;IF(AND(EDATE($D27,Milestones!$AA$87)&lt;=AsOfDate,IF($R27=0,$X27,IF(AND($T27&lt;&gt;"",EDATE($D27,Milestones!$AA$87)&gt;=$T27),$W27,IF(AND($S27&lt;&gt;"",EDATE($D27,Milestones!$AA$87)&gt;=$S27),$V27,$U27)))=Milestones!$AB$87),UPPER(TEXT(EDATE($D27,Milestones!$AA$87),"dd mmm yy"))&amp;" "&amp;Milestones!$AB$87&amp;" "&amp;Milestones!$AC$87&amp;";  ","")&amp;IF(AND(EDATE($D27,Milestones!$AA$88)&lt;=AsOfDate,IF($R27=0,$X27,IF(AND($T27&lt;&gt;"",EDATE($D27,Milestones!$AA$88)&gt;=$T27),$W27,IF(AND($S27&lt;&gt;"",EDATE($D27,Milestones!$AA$88)&gt;=$S27),$V27,$U27)))=Milestones!$AB$88),UPPER(TEXT(EDATE($D27,Milestones!$AA$88),"dd mmm yy"))&amp;" "&amp;Milestones!$AB$88&amp;" "&amp;Milestones!$AC$88&amp;";  ","")&amp;IF(AND(EDATE($D27,Milestones!$AA$89)&lt;=AsOfDate,IF($R27=0,$X27,IF(AND($T27&lt;&gt;"",EDATE($D27,Milestones!$AA$89)&gt;=$T27),$W27,IF(AND($S27&lt;&gt;"",EDATE($D27,Milestones!$AA$89)&gt;=$S27),$V27,$U27)))=Milestones!$AB$89),UPPER(TEXT(EDATE($D27,Milestones!$AA$89),"dd mmm yy"))&amp;" "&amp;Milestones!$AB$89&amp;" "&amp;Milestones!$AC$89&amp;";  ","")&amp;IF(AND(EDATE($D27,Milestones!$AA$90)&lt;=AsOfDate,IF($R27=0,$X27,IF(AND($T27&lt;&gt;"",EDATE($D27,Milestones!$AA$90)&gt;=$T27),$W27,IF(AND($S27&lt;&gt;"",EDATE($D27,Milestones!$AA$90)&gt;=$S27),$V27,$U27)))=Milestones!$AB$90),UPPER(TEXT(EDATE($D27,Milestones!$AA$90),"dd mmm yy"))&amp;" "&amp;Milestones!$AB$90&amp;" "&amp;Milestones!$AC$90&amp;";  ","")&amp;IF(AND(EDATE($D27,Milestones!$AA$91)&lt;=AsOfDate,IF($R27=0,$X27,IF(AND($T27&lt;&gt;"",EDATE($D27,Milestones!$AA$91)&gt;=$T27),$W27,IF(AND($S27&lt;&gt;"",EDATE($D27,Milestones!$AA$91)&gt;=$S27),$V27,$U27)))=Milestones!$AB$91),UPPER(TEXT(EDATE($D27,Milestones!$AA$91),"dd mmm yy"))&amp;" "&amp;Milestones!$AB$91&amp;" "&amp;Milestones!$AC$91&amp;";  ","")&amp;IF(AND(EDATE($D27,Milestones!$AA$92)&lt;=AsOfDate,IF($R27=0,$X27,IF(AND($T27&lt;&gt;"",EDATE($D27,Milestones!$AA$92)&gt;=$T27),$W27,IF(AND($S27&lt;&gt;"",EDATE($D27,Milestones!$AA$92)&gt;=$S27),$V27,$U27)))=Milestones!$AB$92),UPPER(TEXT(EDATE($D27,Milestones!$AA$92),"dd mmm yy"))&amp;" "&amp;Milestones!$AB$92&amp;" "&amp;Milestones!$AC$92&amp;";  ","")&amp;IF(AND(EDATE($D27,Milestones!$AA$93)&lt;=AsOfDate,IF($R27=0,$X27,IF(AND($T27&lt;&gt;"",EDATE($D27,Milestones!$AA$93)&gt;=$T27),$W27,IF(AND($S27&lt;&gt;"",EDATE($D27,Milestones!$AA$93)&gt;=$S27),$V27,$U27)))=Milestones!$AB$93),UPPER(TEXT(EDATE($D27,Milestones!$AA$93),"dd mmm yy"))&amp;" "&amp;Milestones!$AB$93&amp;" "&amp;Milestones!$AC$93&amp;";  ","")&amp;IF(AND(EDATE($D27,Milestones!$AA$94)&lt;=AsOfDate,IF($R27=0,$X27,IF(AND($T27&lt;&gt;"",EDATE($D27,Milestones!$AA$94)&gt;=$T27),$W27,IF(AND($S27&lt;&gt;"",EDATE($D27,Milestones!$AA$94)&gt;=$S27),$V27,$U27)))=Milestones!$AB$94),UPPER(TEXT(EDATE($D27,Milestones!$AA$94),"dd mmm yy"))&amp;" "&amp;Milestones!$AB$94&amp;" "&amp;Milestones!$AC$94&amp;";  ","")&amp;IF(AND(EDATE($D27,Milestones!$AA$95)&lt;=AsOfDate,IF($R27=0,$X27,IF(AND($T27&lt;&gt;"",EDATE($D27,Milestones!$AA$95)&gt;=$T27),$W27,IF(AND($S27&lt;&gt;"",EDATE($D27,Milestones!$AA$95)&gt;=$S27),$V27,$U27)))=Milestones!$AB$95),UPPER(TEXT(EDATE($D27,Milestones!$AA$95),"dd mmm yy"))&amp;" "&amp;Milestones!$AB$95&amp;" "&amp;Milestones!$AC$95&amp;";  ","")&amp;IF(AND(EDATE($D27,Milestones!$AA$96)&lt;=AsOfDate,IF($R27=0,$X27,IF(AND($T27&lt;&gt;"",EDATE($D27,Milestones!$AA$96)&gt;=$T27),$W27,IF(AND($S27&lt;&gt;"",EDATE($D27,Milestones!$AA$96)&gt;=$S27),$V27,$U27)))=Milestones!$AB$96),UPPER(TEXT(EDATE($D27,Milestones!$AA$96),"dd mmm yy"))&amp;" "&amp;Milestones!$AB$96&amp;" "&amp;Milestones!$AC$96&amp;";  ","")&amp;IF(AND(EDATE($D27,Milestones!$AA$97)&lt;=AsOfDate,IF($R27=0,$X27,IF(AND($T27&lt;&gt;"",EDATE($D27,Milestones!$AA$97)&gt;=$T27),$W27,IF(AND($S27&lt;&gt;"",EDATE($D27,Milestones!$AA$97)&gt;=$S27),$V27,$U27)))=Milestones!$AB$97),UPPER(TEXT(EDATE($D27,Milestones!$AA$97),"dd mmm yy"))&amp;" "&amp;Milestones!$AB$97&amp;" "&amp;Milestones!$AC$97&amp;";  ","")&amp;IF(AND(EDATE($D27,Milestones!$AA$98)&lt;=AsOfDate,IF($R27=0,$X27,IF(AND($T27&lt;&gt;"",EDATE($D27,Milestones!$AA$98)&gt;=$T27),$W27,IF(AND($S27&lt;&gt;"",EDATE($D27,Milestones!$AA$98)&gt;=$S27),$V27,$U27)))=Milestones!$AB$98),UPPER(TEXT(EDATE($D27,Milestones!$AA$98),"dd mmm yy"))&amp;" "&amp;Milestones!$AB$98&amp;" "&amp;Milestones!$AC$98&amp;";  ","")&amp;IF(AND(EDATE($D27,Milestones!$AA$99)&lt;=AsOfDate,IF($R27=0,$X27,IF(AND($T27&lt;&gt;"",EDATE($D27,Milestones!$AA$99)&gt;=$T27),$W27,IF(AND($S27&lt;&gt;"",EDATE($D27,Milestones!$AA$99)&gt;=$S27),$V27,$U27)))=Milestones!$AB$99),UPPER(TEXT(EDATE($D27,Milestones!$AA$99),"dd mmm yy"))&amp;" "&amp;Milestones!$AB$99&amp;" "&amp;Milestones!$AC$99&amp;";  ",""))</f>
        <v/>
      </c>
      <c r="M27" s="0" t="str">
        <f aca="false">IF(OR($A27="",$D27=""),"",IF(AND(EDATE($D27,Milestones!$AA$100)&lt;=AsOfDate,IF($R27=0,$X27,IF(AND($T27&lt;&gt;"",EDATE($D27,Milestones!$AA$100)&gt;=$T27),$W27,IF(AND($S27&lt;&gt;"",EDATE($D27,Milestones!$AA$100)&gt;=$S27),$V27,$U27)))=Milestones!$AB$100),UPPER(TEXT(EDATE($D27,Milestones!$AA$100),"dd mmm yy"))&amp;" "&amp;Milestones!$AB$100&amp;" "&amp;Milestones!$AC$100&amp;";  ","")&amp;IF(AND(EDATE($D27,Milestones!$AA$101)&lt;=AsOfDate,IF($R27=0,$X27,IF(AND($T27&lt;&gt;"",EDATE($D27,Milestones!$AA$101)&gt;=$T27),$W27,IF(AND($S27&lt;&gt;"",EDATE($D27,Milestones!$AA$101)&gt;=$S27),$V27,$U27)))=Milestones!$AB$101),UPPER(TEXT(EDATE($D27,Milestones!$AA$101),"dd mmm yy"))&amp;" "&amp;Milestones!$AB$101&amp;" "&amp;Milestones!$AC$101&amp;";  ","")&amp;IF(AND(EDATE($D27,Milestones!$AA$102)&lt;=AsOfDate,IF($R27=0,$X27,IF(AND($T27&lt;&gt;"",EDATE($D27,Milestones!$AA$102)&gt;=$T27),$W27,IF(AND($S27&lt;&gt;"",EDATE($D27,Milestones!$AA$102)&gt;=$S27),$V27,$U27)))=Milestones!$AB$102),UPPER(TEXT(EDATE($D27,Milestones!$AA$102),"dd mmm yy"))&amp;" "&amp;Milestones!$AB$102&amp;" "&amp;Milestones!$AC$102&amp;";  ","")&amp;IF(AND(EDATE($D27,Milestones!$AA$103)&lt;=AsOfDate,IF($R27=0,$X27,IF(AND($T27&lt;&gt;"",EDATE($D27,Milestones!$AA$103)&gt;=$T27),$W27,IF(AND($S27&lt;&gt;"",EDATE($D27,Milestones!$AA$103)&gt;=$S27),$V27,$U27)))=Milestones!$AB$103),UPPER(TEXT(EDATE($D27,Milestones!$AA$103),"dd mmm yy"))&amp;" "&amp;Milestones!$AB$103&amp;" "&amp;Milestones!$AC$103&amp;";  ","")&amp;IF(AND(EDATE($D27,Milestones!$AA$104)&lt;=AsOfDate,IF($R27=0,$X27,IF(AND($T27&lt;&gt;"",EDATE($D27,Milestones!$AA$104)&gt;=$T27),$W27,IF(AND($S27&lt;&gt;"",EDATE($D27,Milestones!$AA$104)&gt;=$S27),$V27,$U27)))=Milestones!$AB$104),UPPER(TEXT(EDATE($D27,Milestones!$AA$104),"dd mmm yy"))&amp;" "&amp;Milestones!$AB$104&amp;" "&amp;Milestones!$AC$104&amp;";  ","")&amp;IF(AND(EDATE($D27,Milestones!$AA$105)&lt;=AsOfDate,IF($R27=0,$X27,IF(AND($T27&lt;&gt;"",EDATE($D27,Milestones!$AA$105)&gt;=$T27),$W27,IF(AND($S27&lt;&gt;"",EDATE($D27,Milestones!$AA$105)&gt;=$S27),$V27,$U27)))=Milestones!$AB$105),UPPER(TEXT(EDATE($D27,Milestones!$AA$105),"dd mmm yy"))&amp;" "&amp;Milestones!$AB$105&amp;" "&amp;Milestones!$AC$105&amp;";  ","")&amp;IF(AND(EDATE($D27,Milestones!$AA$106)&lt;=AsOfDate,IF($R27=0,$X27,IF(AND($T27&lt;&gt;"",EDATE($D27,Milestones!$AA$106)&gt;=$T27),$W27,IF(AND($S27&lt;&gt;"",EDATE($D27,Milestones!$AA$106)&gt;=$S27),$V27,$U27)))=Milestones!$AB$106),UPPER(TEXT(EDATE($D27,Milestones!$AA$106),"dd mmm yy"))&amp;" "&amp;Milestones!$AB$106&amp;" "&amp;Milestones!$AC$106&amp;";  ","")&amp;IF(AND(EDATE($D27,Milestones!$AA$107)&lt;=AsOfDate,IF($R27=0,$X27,IF(AND($T27&lt;&gt;"",EDATE($D27,Milestones!$AA$107)&gt;=$T27),$W27,IF(AND($S27&lt;&gt;"",EDATE($D27,Milestones!$AA$107)&gt;=$S27),$V27,$U27)))=Milestones!$AB$107),UPPER(TEXT(EDATE($D27,Milestones!$AA$107),"dd mmm yy"))&amp;" "&amp;Milestones!$AB$107&amp;" "&amp;Milestones!$AC$107&amp;";  ","")&amp;IF(AND(EDATE($D27,Milestones!$AA$108)&lt;=AsOfDate,IF($R27=0,$X27,IF(AND($T27&lt;&gt;"",EDATE($D27,Milestones!$AA$108)&gt;=$T27),$W27,IF(AND($S27&lt;&gt;"",EDATE($D27,Milestones!$AA$108)&gt;=$S27),$V27,$U27)))=Milestones!$AB$108),UPPER(TEXT(EDATE($D27,Milestones!$AA$108),"dd mmm yy"))&amp;" "&amp;Milestones!$AB$108&amp;" "&amp;Milestones!$AC$108&amp;";  ","")&amp;IF(AND(EDATE($D27,Milestones!$AA$109)&lt;=AsOfDate,IF($R27=0,$X27,IF(AND($T27&lt;&gt;"",EDATE($D27,Milestones!$AA$109)&gt;=$T27),$W27,IF(AND($S27&lt;&gt;"",EDATE($D27,Milestones!$AA$109)&gt;=$S27),$V27,$U27)))=Milestones!$AB$109),UPPER(TEXT(EDATE($D27,Milestones!$AA$109),"dd mmm yy"))&amp;" "&amp;Milestones!$AB$109&amp;" "&amp;Milestones!$AC$109&amp;";  ","")&amp;IF(AND(EDATE($D27,Milestones!$AA$110)&lt;=AsOfDate,IF($R27=0,$X27,IF(AND($T27&lt;&gt;"",EDATE($D27,Milestones!$AA$110)&gt;=$T27),$W27,IF(AND($S27&lt;&gt;"",EDATE($D27,Milestones!$AA$110)&gt;=$S27),$V27,$U27)))=Milestones!$AB$110),UPPER(TEXT(EDATE($D27,Milestones!$AA$110),"dd mmm yy"))&amp;" "&amp;Milestones!$AB$110&amp;" "&amp;Milestones!$AC$110&amp;";  ","")&amp;IF(AND(EDATE($D27,Milestones!$AA$111)&lt;=AsOfDate,IF($R27=0,$X27,IF(AND($T27&lt;&gt;"",EDATE($D27,Milestones!$AA$111)&gt;=$T27),$W27,IF(AND($S27&lt;&gt;"",EDATE($D27,Milestones!$AA$111)&gt;=$S27),$V27,$U27)))=Milestones!$AB$111),UPPER(TEXT(EDATE($D27,Milestones!$AA$111),"dd mmm yy"))&amp;" "&amp;Milestones!$AB$111&amp;" "&amp;Milestones!$AC$111&amp;";  ","")&amp;IF(AND(EDATE($D27,Milestones!$AA$112)&lt;=AsOfDate,IF($R27=0,$X27,IF(AND($T27&lt;&gt;"",EDATE($D27,Milestones!$AA$112)&gt;=$T27),$W27,IF(AND($S27&lt;&gt;"",EDATE($D27,Milestones!$AA$112)&gt;=$S27),$V27,$U27)))=Milestones!$AB$112),UPPER(TEXT(EDATE($D27,Milestones!$AA$112),"dd mmm yy"))&amp;" "&amp;Milestones!$AB$112&amp;" "&amp;Milestones!$AC$112&amp;";  ","")&amp;IF(AND(EDATE($D27,Milestones!$AA$113)&lt;=AsOfDate,IF($R27=0,$X27,IF(AND($T27&lt;&gt;"",EDATE($D27,Milestones!$AA$113)&gt;=$T27),$W27,IF(AND($S27&lt;&gt;"",EDATE($D27,Milestones!$AA$113)&gt;=$S27),$V27,$U27)))=Milestones!$AB$113),UPPER(TEXT(EDATE($D27,Milestones!$AA$113),"dd mmm yy"))&amp;" "&amp;Milestones!$AB$113&amp;" "&amp;Milestones!$AC$113&amp;";  ","")&amp;IF(AND(EDATE($D27,Milestones!$AA$114)&lt;=AsOfDate,IF($R27=0,$X27,IF(AND($T27&lt;&gt;"",EDATE($D27,Milestones!$AA$114)&gt;=$T27),$W27,IF(AND($S27&lt;&gt;"",EDATE($D27,Milestones!$AA$114)&gt;=$S27),$V27,$U27)))=Milestones!$AB$114),UPPER(TEXT(EDATE($D27,Milestones!$AA$114),"dd mmm yy"))&amp;" "&amp;Milestones!$AB$114&amp;" "&amp;Milestones!$AC$114&amp;";  ","")&amp;IF(AND(EDATE($D27,Milestones!$AA$115)&lt;=AsOfDate,IF($R27=0,$X27,IF(AND($T27&lt;&gt;"",EDATE($D27,Milestones!$AA$115)&gt;=$T27),$W27,IF(AND($S27&lt;&gt;"",EDATE($D27,Milestones!$AA$115)&gt;=$S27),$V27,$U27)))=Milestones!$AB$115),UPPER(TEXT(EDATE($D27,Milestones!$AA$115),"dd mmm yy"))&amp;" "&amp;Milestones!$AB$115&amp;" "&amp;Milestones!$AC$115&amp;";  ","")&amp;IF(AND(EDATE($D27,Milestones!$AA$116)&lt;=AsOfDate,IF($R27=0,$X27,IF(AND($T27&lt;&gt;"",EDATE($D27,Milestones!$AA$116)&gt;=$T27),$W27,IF(AND($S27&lt;&gt;"",EDATE($D27,Milestones!$AA$116)&gt;=$S27),$V27,$U27)))=Milestones!$AB$116),UPPER(TEXT(EDATE($D27,Milestones!$AA$116),"dd mmm yy"))&amp;" "&amp;Milestones!$AB$116&amp;" "&amp;Milestones!$AC$116&amp;";  ","")&amp;IF(AND(EDATE($D27,Milestones!$AA$117)&lt;=AsOfDate,IF($R27=0,$X27,IF(AND($T27&lt;&gt;"",EDATE($D27,Milestones!$AA$117)&gt;=$T27),$W27,IF(AND($S27&lt;&gt;"",EDATE($D27,Milestones!$AA$117)&gt;=$S27),$V27,$U27)))=Milestones!$AB$117),UPPER(TEXT(EDATE($D27,Milestones!$AA$117),"dd mmm yy"))&amp;" "&amp;Milestones!$AB$117&amp;" "&amp;Milestones!$AC$117&amp;";  ","")&amp;IF(AND(EDATE($D27,Milestones!$AA$118)&lt;=AsOfDate,IF($R27=0,$X27,IF(AND($T27&lt;&gt;"",EDATE($D27,Milestones!$AA$118)&gt;=$T27),$W27,IF(AND($S27&lt;&gt;"",EDATE($D27,Milestones!$AA$118)&gt;=$S27),$V27,$U27)))=Milestones!$AB$118),UPPER(TEXT(EDATE($D27,Milestones!$AA$118),"dd mmm yy"))&amp;" "&amp;Milestones!$AB$118&amp;" "&amp;Milestones!$AC$118&amp;";  ","")&amp;IF(AND(EDATE($D27,Milestones!$AA$119)&lt;=AsOfDate,IF($R27=0,$X27,IF(AND($T27&lt;&gt;"",EDATE($D27,Milestones!$AA$119)&gt;=$T27),$W27,IF(AND($S27&lt;&gt;"",EDATE($D27,Milestones!$AA$119)&gt;=$S27),$V27,$U27)))=Milestones!$AB$119),UPPER(TEXT(EDATE($D27,Milestones!$AA$119),"dd mmm yy"))&amp;" "&amp;Milestones!$AB$119&amp;" "&amp;Milestones!$AC$119&amp;";  ",""))</f>
        <v/>
      </c>
      <c r="N27" s="0" t="str">
        <f aca="false">IF(OR($A27="",$D27=""),"",IF(AND(EDATE($D27,Milestones!$AA$120)&lt;=AsOfDate,IF($R27=0,$X27,IF(AND($T27&lt;&gt;"",EDATE($D27,Milestones!$AA$120)&gt;=$T27),$W27,IF(AND($S27&lt;&gt;"",EDATE($D27,Milestones!$AA$120)&gt;=$S27),$V27,$U27)))=Milestones!$AB$120),UPPER(TEXT(EDATE($D27,Milestones!$AA$120),"dd mmm yy"))&amp;" "&amp;Milestones!$AB$120&amp;" "&amp;Milestones!$AC$120&amp;";  ","")&amp;IF(AND(EDATE($D27,Milestones!$AA$121)&lt;=AsOfDate,IF($R27=0,$X27,IF(AND($T27&lt;&gt;"",EDATE($D27,Milestones!$AA$121)&gt;=$T27),$W27,IF(AND($S27&lt;&gt;"",EDATE($D27,Milestones!$AA$121)&gt;=$S27),$V27,$U27)))=Milestones!$AB$121),UPPER(TEXT(EDATE($D27,Milestones!$AA$121),"dd mmm yy"))&amp;" "&amp;Milestones!$AB$121&amp;" "&amp;Milestones!$AC$121&amp;";  ","")&amp;IF(AND(EDATE($D27,Milestones!$AA$122)&lt;=AsOfDate,IF($R27=0,$X27,IF(AND($T27&lt;&gt;"",EDATE($D27,Milestones!$AA$122)&gt;=$T27),$W27,IF(AND($S27&lt;&gt;"",EDATE($D27,Milestones!$AA$122)&gt;=$S27),$V27,$U27)))=Milestones!$AB$122),UPPER(TEXT(EDATE($D27,Milestones!$AA$122),"dd mmm yy"))&amp;" "&amp;Milestones!$AB$122&amp;" "&amp;Milestones!$AC$122&amp;";  ","")&amp;IF(AND(EDATE($D27,Milestones!$AA$123)&lt;=AsOfDate,IF($R27=0,$X27,IF(AND($T27&lt;&gt;"",EDATE($D27,Milestones!$AA$123)&gt;=$T27),$W27,IF(AND($S27&lt;&gt;"",EDATE($D27,Milestones!$AA$123)&gt;=$S27),$V27,$U27)))=Milestones!$AB$123),UPPER(TEXT(EDATE($D27,Milestones!$AA$123),"dd mmm yy"))&amp;" "&amp;Milestones!$AB$123&amp;" "&amp;Milestones!$AC$123&amp;";  ","")&amp;IF(AND(EDATE($D27,Milestones!$AA$124)&lt;=AsOfDate,IF($R27=0,$X27,IF(AND($T27&lt;&gt;"",EDATE($D27,Milestones!$AA$124)&gt;=$T27),$W27,IF(AND($S27&lt;&gt;"",EDATE($D27,Milestones!$AA$124)&gt;=$S27),$V27,$U27)))=Milestones!$AB$124),UPPER(TEXT(EDATE($D27,Milestones!$AA$124),"dd mmm yy"))&amp;" "&amp;Milestones!$AB$124&amp;" "&amp;Milestones!$AC$124&amp;";  ","")&amp;IF(AND(EDATE($D27,Milestones!$AA$125)&lt;=AsOfDate,IF($R27=0,$X27,IF(AND($T27&lt;&gt;"",EDATE($D27,Milestones!$AA$125)&gt;=$T27),$W27,IF(AND($S27&lt;&gt;"",EDATE($D27,Milestones!$AA$125)&gt;=$S27),$V27,$U27)))=Milestones!$AB$125),UPPER(TEXT(EDATE($D27,Milestones!$AA$125),"dd mmm yy"))&amp;" "&amp;Milestones!$AB$125&amp;" "&amp;Milestones!$AC$125&amp;";  ","")&amp;IF(AND(EDATE($D27,Milestones!$AA$126)&lt;=AsOfDate,IF($R27=0,$X27,IF(AND($T27&lt;&gt;"",EDATE($D27,Milestones!$AA$126)&gt;=$T27),$W27,IF(AND($S27&lt;&gt;"",EDATE($D27,Milestones!$AA$126)&gt;=$S27),$V27,$U27)))=Milestones!$AB$126),UPPER(TEXT(EDATE($D27,Milestones!$AA$126),"dd mmm yy"))&amp;" "&amp;Milestones!$AB$126&amp;" "&amp;Milestones!$AC$126&amp;";  ","")&amp;IF(AND(EDATE($D27,Milestones!$AA$127)&lt;=AsOfDate,IF($R27=0,$X27,IF(AND($T27&lt;&gt;"",EDATE($D27,Milestones!$AA$127)&gt;=$T27),$W27,IF(AND($S27&lt;&gt;"",EDATE($D27,Milestones!$AA$127)&gt;=$S27),$V27,$U27)))=Milestones!$AB$127),UPPER(TEXT(EDATE($D27,Milestones!$AA$127),"dd mmm yy"))&amp;" "&amp;Milestones!$AB$127&amp;" "&amp;Milestones!$AC$127&amp;";  ","")&amp;IF(AND(EDATE($D27,Milestones!$AA$128)&lt;=AsOfDate,IF($R27=0,$X27,IF(AND($T27&lt;&gt;"",EDATE($D27,Milestones!$AA$128)&gt;=$T27),$W27,IF(AND($S27&lt;&gt;"",EDATE($D27,Milestones!$AA$128)&gt;=$S27),$V27,$U27)))=Milestones!$AB$128),UPPER(TEXT(EDATE($D27,Milestones!$AA$128),"dd mmm yy"))&amp;" "&amp;Milestones!$AB$128&amp;" "&amp;Milestones!$AC$128&amp;";  ","")&amp;IF(AND(EDATE($D27,Milestones!$AA$129)&lt;=AsOfDate,IF($R27=0,$X27,IF(AND($T27&lt;&gt;"",EDATE($D27,Milestones!$AA$129)&gt;=$T27),$W27,IF(AND($S27&lt;&gt;"",EDATE($D27,Milestones!$AA$129)&gt;=$S27),$V27,$U27)))=Milestones!$AB$129),UPPER(TEXT(EDATE($D27,Milestones!$AA$129),"dd mmm yy"))&amp;" "&amp;Milestones!$AB$129&amp;" "&amp;Milestones!$AC$129&amp;";  ","")&amp;IF(AND(EDATE($D27,Milestones!$AA$130)&lt;=AsOfDate,IF($R27=0,$X27,IF(AND($T27&lt;&gt;"",EDATE($D27,Milestones!$AA$130)&gt;=$T27),$W27,IF(AND($S27&lt;&gt;"",EDATE($D27,Milestones!$AA$130)&gt;=$S27),$V27,$U27)))=Milestones!$AB$130),UPPER(TEXT(EDATE($D27,Milestones!$AA$130),"dd mmm yy"))&amp;" "&amp;Milestones!$AB$130&amp;" "&amp;Milestones!$AC$130&amp;";  ","")&amp;IF(AND(EDATE($D27,Milestones!$AA$131)&lt;=AsOfDate,IF($R27=0,$X27,IF(AND($T27&lt;&gt;"",EDATE($D27,Milestones!$AA$131)&gt;=$T27),$W27,IF(AND($S27&lt;&gt;"",EDATE($D27,Milestones!$AA$131)&gt;=$S27),$V27,$U27)))=Milestones!$AB$131),UPPER(TEXT(EDATE($D27,Milestones!$AA$131),"dd mmm yy"))&amp;" "&amp;Milestones!$AB$131&amp;" "&amp;Milestones!$AC$131&amp;";  ","")&amp;IF(AND(EDATE($D27,Milestones!$AA$132)&lt;=AsOfDate,IF($R27=0,$X27,IF(AND($T27&lt;&gt;"",EDATE($D27,Milestones!$AA$132)&gt;=$T27),$W27,IF(AND($S27&lt;&gt;"",EDATE($D27,Milestones!$AA$132)&gt;=$S27),$V27,$U27)))=Milestones!$AB$132),UPPER(TEXT(EDATE($D27,Milestones!$AA$132),"dd mmm yy"))&amp;" "&amp;Milestones!$AB$132&amp;" "&amp;Milestones!$AC$132&amp;";  ","")&amp;IF(AND(EDATE($D27,Milestones!$AA$133)&lt;=AsOfDate,IF($R27=0,$X27,IF(AND($T27&lt;&gt;"",EDATE($D27,Milestones!$AA$133)&gt;=$T27),$W27,IF(AND($S27&lt;&gt;"",EDATE($D27,Milestones!$AA$133)&gt;=$S27),$V27,$U27)))=Milestones!$AB$133),UPPER(TEXT(EDATE($D27,Milestones!$AA$133),"dd mmm yy"))&amp;" "&amp;Milestones!$AB$133&amp;" "&amp;Milestones!$AC$133&amp;";  ","")&amp;IF(AND(EDATE($D27,Milestones!$AA$134)&lt;=AsOfDate,IF($R27=0,$X27,IF(AND($T27&lt;&gt;"",EDATE($D27,Milestones!$AA$134)&gt;=$T27),$W27,IF(AND($S27&lt;&gt;"",EDATE($D27,Milestones!$AA$134)&gt;=$S27),$V27,$U27)))=Milestones!$AB$134),UPPER(TEXT(EDATE($D27,Milestones!$AA$134),"dd mmm yy"))&amp;" "&amp;Milestones!$AB$134&amp;" "&amp;Milestones!$AC$134&amp;";  ","")&amp;IF(AND(EDATE($D27,Milestones!$AA$135)&lt;=AsOfDate,IF($R27=0,$X27,IF(AND($T27&lt;&gt;"",EDATE($D27,Milestones!$AA$135)&gt;=$T27),$W27,IF(AND($S27&lt;&gt;"",EDATE($D27,Milestones!$AA$135)&gt;=$S27),$V27,$U27)))=Milestones!$AB$135),UPPER(TEXT(EDATE($D27,Milestones!$AA$135),"dd mmm yy"))&amp;" "&amp;Milestones!$AB$135&amp;" "&amp;Milestones!$AC$135&amp;";  ","")&amp;IF(AND(EDATE($D27,Milestones!$AA$136)&lt;=AsOfDate,IF($R27=0,$X27,IF(AND($T27&lt;&gt;"",EDATE($D27,Milestones!$AA$136)&gt;=$T27),$W27,IF(AND($S27&lt;&gt;"",EDATE($D27,Milestones!$AA$136)&gt;=$S27),$V27,$U27)))=Milestones!$AB$136),UPPER(TEXT(EDATE($D27,Milestones!$AA$136),"dd mmm yy"))&amp;" "&amp;Milestones!$AB$136&amp;" "&amp;Milestones!$AC$136&amp;";  ","")&amp;IF(AND(EDATE($D27,Milestones!$AA$137)&lt;=AsOfDate,IF($R27=0,$X27,IF(AND($T27&lt;&gt;"",EDATE($D27,Milestones!$AA$137)&gt;=$T27),$W27,IF(AND($S27&lt;&gt;"",EDATE($D27,Milestones!$AA$137)&gt;=$S27),$V27,$U27)))=Milestones!$AB$137),UPPER(TEXT(EDATE($D27,Milestones!$AA$137),"dd mmm yy"))&amp;" "&amp;Milestones!$AB$137&amp;" "&amp;Milestones!$AC$137&amp;";  ","")&amp;IF(AND(EDATE($D27,Milestones!$AA$138)&lt;=AsOfDate,IF($R27=0,$X27,IF(AND($T27&lt;&gt;"",EDATE($D27,Milestones!$AA$138)&gt;=$T27),$W27,IF(AND($S27&lt;&gt;"",EDATE($D27,Milestones!$AA$138)&gt;=$S27),$V27,$U27)))=Milestones!$AB$138),UPPER(TEXT(EDATE($D27,Milestones!$AA$138),"dd mmm yy"))&amp;" "&amp;Milestones!$AB$138&amp;" "&amp;Milestones!$AC$138&amp;";  ","")&amp;IF(AND(EDATE($D27,Milestones!$AA$139)&lt;=AsOfDate,IF($R27=0,$X27,IF(AND($T27&lt;&gt;"",EDATE($D27,Milestones!$AA$139)&gt;=$T27),$W27,IF(AND($S27&lt;&gt;"",EDATE($D27,Milestones!$AA$139)&gt;=$S27),$V27,$U27)))=Milestones!$AB$139),UPPER(TEXT(EDATE($D27,Milestones!$AA$139),"dd mmm yy"))&amp;" "&amp;Milestones!$AB$139&amp;" "&amp;Milestones!$AC$139&amp;";  ",""))</f>
        <v/>
      </c>
      <c r="O27" s="0" t="str">
        <f aca="false">IF(OR($A27="",$D27=""),"",IF(AND(EDATE($D27,Milestones!$AA$140)&lt;=AsOfDate,IF($R27=0,$X27,IF(AND($T27&lt;&gt;"",EDATE($D27,Milestones!$AA$140)&gt;=$T27),$W27,IF(AND($S27&lt;&gt;"",EDATE($D27,Milestones!$AA$140)&gt;=$S27),$V27,$U27)))=Milestones!$AB$140),UPPER(TEXT(EDATE($D27,Milestones!$AA$140),"dd mmm yy"))&amp;" "&amp;Milestones!$AB$140&amp;" "&amp;Milestones!$AC$140&amp;";  ","")&amp;IF(AND(EDATE($D27,Milestones!$AA$141)&lt;=AsOfDate,IF($R27=0,$X27,IF(AND($T27&lt;&gt;"",EDATE($D27,Milestones!$AA$141)&gt;=$T27),$W27,IF(AND($S27&lt;&gt;"",EDATE($D27,Milestones!$AA$141)&gt;=$S27),$V27,$U27)))=Milestones!$AB$141),UPPER(TEXT(EDATE($D27,Milestones!$AA$141),"dd mmm yy"))&amp;" "&amp;Milestones!$AB$141&amp;" "&amp;Milestones!$AC$141&amp;";  ","")&amp;IF(AND(EDATE($D27,Milestones!$AA$142)&lt;=AsOfDate,IF($R27=0,$X27,IF(AND($T27&lt;&gt;"",EDATE($D27,Milestones!$AA$142)&gt;=$T27),$W27,IF(AND($S27&lt;&gt;"",EDATE($D27,Milestones!$AA$142)&gt;=$S27),$V27,$U27)))=Milestones!$AB$142),UPPER(TEXT(EDATE($D27,Milestones!$AA$142),"dd mmm yy"))&amp;" "&amp;Milestones!$AB$142&amp;" "&amp;Milestones!$AC$142&amp;";  ","")&amp;IF(AND(EDATE($D27,Milestones!$AA$143)&lt;=AsOfDate,IF($R27=0,$X27,IF(AND($T27&lt;&gt;"",EDATE($D27,Milestones!$AA$143)&gt;=$T27),$W27,IF(AND($S27&lt;&gt;"",EDATE($D27,Milestones!$AA$143)&gt;=$S27),$V27,$U27)))=Milestones!$AB$143),UPPER(TEXT(EDATE($D27,Milestones!$AA$143),"dd mmm yy"))&amp;" "&amp;Milestones!$AB$143&amp;" "&amp;Milestones!$AC$143&amp;";  ","")&amp;IF(AND(EDATE($D27,Milestones!$AA$144)&lt;=AsOfDate,IF($R27=0,$X27,IF(AND($T27&lt;&gt;"",EDATE($D27,Milestones!$AA$144)&gt;=$T27),$W27,IF(AND($S27&lt;&gt;"",EDATE($D27,Milestones!$AA$144)&gt;=$S27),$V27,$U27)))=Milestones!$AB$144),UPPER(TEXT(EDATE($D27,Milestones!$AA$144),"dd mmm yy"))&amp;" "&amp;Milestones!$AB$144&amp;" "&amp;Milestones!$AC$144&amp;";  ","")&amp;IF(AND(EDATE($D27,Milestones!$AA$145)&lt;=AsOfDate,IF($R27=0,$X27,IF(AND($T27&lt;&gt;"",EDATE($D27,Milestones!$AA$145)&gt;=$T27),$W27,IF(AND($S27&lt;&gt;"",EDATE($D27,Milestones!$AA$145)&gt;=$S27),$V27,$U27)))=Milestones!$AB$145),UPPER(TEXT(EDATE($D27,Milestones!$AA$145),"dd mmm yy"))&amp;" "&amp;Milestones!$AB$145&amp;" "&amp;Milestones!$AC$145&amp;";  ","")&amp;IF(AND(EDATE($D27,Milestones!$AA$146)&lt;=AsOfDate,IF($R27=0,$X27,IF(AND($T27&lt;&gt;"",EDATE($D27,Milestones!$AA$146)&gt;=$T27),$W27,IF(AND($S27&lt;&gt;"",EDATE($D27,Milestones!$AA$146)&gt;=$S27),$V27,$U27)))=Milestones!$AB$146),UPPER(TEXT(EDATE($D27,Milestones!$AA$146),"dd mmm yy"))&amp;" "&amp;Milestones!$AB$146&amp;" "&amp;Milestones!$AC$146&amp;";  ","")&amp;IF(AND(EDATE($D27,Milestones!$AA$147)&lt;=AsOfDate,IF($R27=0,$X27,IF(AND($T27&lt;&gt;"",EDATE($D27,Milestones!$AA$147)&gt;=$T27),$W27,IF(AND($S27&lt;&gt;"",EDATE($D27,Milestones!$AA$147)&gt;=$S27),$V27,$U27)))=Milestones!$AB$147),UPPER(TEXT(EDATE($D27,Milestones!$AA$147),"dd mmm yy"))&amp;" "&amp;Milestones!$AB$147&amp;" "&amp;Milestones!$AC$147&amp;";  ","")&amp;IF(AND(EDATE($D27,Milestones!$AA$148)&lt;=AsOfDate,IF($R27=0,$X27,IF(AND($T27&lt;&gt;"",EDATE($D27,Milestones!$AA$148)&gt;=$T27),$W27,IF(AND($S27&lt;&gt;"",EDATE($D27,Milestones!$AA$148)&gt;=$S27),$V27,$U27)))=Milestones!$AB$148),UPPER(TEXT(EDATE($D27,Milestones!$AA$148),"dd mmm yy"))&amp;" "&amp;Milestones!$AB$148&amp;" "&amp;Milestones!$AC$148&amp;";  ","")&amp;IF(AND(EDATE($D27,Milestones!$AA$149)&lt;=AsOfDate,IF($R27=0,$X27,IF(AND($T27&lt;&gt;"",EDATE($D27,Milestones!$AA$149)&gt;=$T27),$W27,IF(AND($S27&lt;&gt;"",EDATE($D27,Milestones!$AA$149)&gt;=$S27),$V27,$U27)))=Milestones!$AB$149),UPPER(TEXT(EDATE($D27,Milestones!$AA$149),"dd mmm yy"))&amp;" "&amp;Milestones!$AB$149&amp;" "&amp;Milestones!$AC$149&amp;";  ","")&amp;IF(AND(EDATE($D27,Milestones!$AA$150)&lt;=AsOfDate,IF($R27=0,$X27,IF(AND($T27&lt;&gt;"",EDATE($D27,Milestones!$AA$150)&gt;=$T27),$W27,IF(AND($S27&lt;&gt;"",EDATE($D27,Milestones!$AA$150)&gt;=$S27),$V27,$U27)))=Milestones!$AB$150),UPPER(TEXT(EDATE($D27,Milestones!$AA$150),"dd mmm yy"))&amp;" "&amp;Milestones!$AB$150&amp;" "&amp;Milestones!$AC$150&amp;";  ","")&amp;IF(AND(EDATE($D27,Milestones!$AA$151)&lt;=AsOfDate,IF($R27=0,$X27,IF(AND($T27&lt;&gt;"",EDATE($D27,Milestones!$AA$151)&gt;=$T27),$W27,IF(AND($S27&lt;&gt;"",EDATE($D27,Milestones!$AA$151)&gt;=$S27),$V27,$U27)))=Milestones!$AB$151),UPPER(TEXT(EDATE($D27,Milestones!$AA$151),"dd mmm yy"))&amp;" "&amp;Milestones!$AB$151&amp;" "&amp;Milestones!$AC$151&amp;";  ","")&amp;IF(AND(EDATE($D27,Milestones!$AA$152)&lt;=AsOfDate,IF($R27=0,$X27,IF(AND($T27&lt;&gt;"",EDATE($D27,Milestones!$AA$152)&gt;=$T27),$W27,IF(AND($S27&lt;&gt;"",EDATE($D27,Milestones!$AA$152)&gt;=$S27),$V27,$U27)))=Milestones!$AB$152),UPPER(TEXT(EDATE($D27,Milestones!$AA$152),"dd mmm yy"))&amp;" "&amp;Milestones!$AB$152&amp;" "&amp;Milestones!$AC$152&amp;";  ","")&amp;IF(AND(EDATE($D27,Milestones!$AA$153)&lt;=AsOfDate,IF($R27=0,$X27,IF(AND($T27&lt;&gt;"",EDATE($D27,Milestones!$AA$153)&gt;=$T27),$W27,IF(AND($S27&lt;&gt;"",EDATE($D27,Milestones!$AA$153)&gt;=$S27),$V27,$U27)))=Milestones!$AB$153),UPPER(TEXT(EDATE($D27,Milestones!$AA$153),"dd mmm yy"))&amp;" "&amp;Milestones!$AB$153&amp;" "&amp;Milestones!$AC$153&amp;";  ","")&amp;IF(AND(EDATE($D27,Milestones!$AA$154)&lt;=AsOfDate,IF($R27=0,$X27,IF(AND($T27&lt;&gt;"",EDATE($D27,Milestones!$AA$154)&gt;=$T27),$W27,IF(AND($S27&lt;&gt;"",EDATE($D27,Milestones!$AA$154)&gt;=$S27),$V27,$U27)))=Milestones!$AB$154),UPPER(TEXT(EDATE($D27,Milestones!$AA$154),"dd mmm yy"))&amp;" "&amp;Milestones!$AB$154&amp;" "&amp;Milestones!$AC$154&amp;";  ","")&amp;IF(AND(EDATE($D27,Milestones!$AA$155)&lt;=AsOfDate,IF($R27=0,$X27,IF(AND($T27&lt;&gt;"",EDATE($D27,Milestones!$AA$155)&gt;=$T27),$W27,IF(AND($S27&lt;&gt;"",EDATE($D27,Milestones!$AA$155)&gt;=$S27),$V27,$U27)))=Milestones!$AB$155),UPPER(TEXT(EDATE($D27,Milestones!$AA$155),"dd mmm yy"))&amp;" "&amp;Milestones!$AB$155&amp;" "&amp;Milestones!$AC$155&amp;";  ","")&amp;IF(AND(EDATE($D27,Milestones!$AA$156)&lt;=AsOfDate,IF($R27=0,$X27,IF(AND($T27&lt;&gt;"",EDATE($D27,Milestones!$AA$156)&gt;=$T27),$W27,IF(AND($S27&lt;&gt;"",EDATE($D27,Milestones!$AA$156)&gt;=$S27),$V27,$U27)))=Milestones!$AB$156),UPPER(TEXT(EDATE($D27,Milestones!$AA$156),"dd mmm yy"))&amp;" "&amp;Milestones!$AB$156&amp;" "&amp;Milestones!$AC$156&amp;";  ","")&amp;IF(AND(EDATE($D27,Milestones!$AA$157)&lt;=AsOfDate,IF($R27=0,$X27,IF(AND($T27&lt;&gt;"",EDATE($D27,Milestones!$AA$157)&gt;=$T27),$W27,IF(AND($S27&lt;&gt;"",EDATE($D27,Milestones!$AA$157)&gt;=$S27),$V27,$U27)))=Milestones!$AB$157),UPPER(TEXT(EDATE($D27,Milestones!$AA$157),"dd mmm yy"))&amp;" "&amp;Milestones!$AB$157&amp;" "&amp;Milestones!$AC$157&amp;";  ","")&amp;IF(AND(EDATE($D27,Milestones!$AA$158)&lt;=AsOfDate,IF($R27=0,$X27,IF(AND($T27&lt;&gt;"",EDATE($D27,Milestones!$AA$158)&gt;=$T27),$W27,IF(AND($S27&lt;&gt;"",EDATE($D27,Milestones!$AA$158)&gt;=$S27),$V27,$U27)))=Milestones!$AB$158),UPPER(TEXT(EDATE($D27,Milestones!$AA$158),"dd mmm yy"))&amp;" "&amp;Milestones!$AB$158&amp;" "&amp;Milestones!$AC$158&amp;";  ","")&amp;IF(AND(EDATE($D27,Milestones!$AA$159)&lt;=AsOfDate,IF($R27=0,$X27,IF(AND($T27&lt;&gt;"",EDATE($D27,Milestones!$AA$159)&gt;=$T27),$W27,IF(AND($S27&lt;&gt;"",EDATE($D27,Milestones!$AA$159)&gt;=$S27),$V27,$U27)))=Milestones!$AB$159),UPPER(TEXT(EDATE($D27,Milestones!$AA$159),"dd mmm yy"))&amp;" "&amp;Milestones!$AB$159&amp;" "&amp;Milestones!$AC$159&amp;";  ",""))</f>
        <v/>
      </c>
      <c r="P27" s="0" t="str">
        <f aca="false">IF(OR($A27="",$D27=""),"",IF(AND(EDATE($D27,Milestones!$AA$160)&lt;=AsOfDate,IF($R27=0,$X27,IF(AND($T27&lt;&gt;"",EDATE($D27,Milestones!$AA$160)&gt;=$T27),$W27,IF(AND($S27&lt;&gt;"",EDATE($D27,Milestones!$AA$160)&gt;=$S27),$V27,$U27)))=Milestones!$AB$160),UPPER(TEXT(EDATE($D27,Milestones!$AA$160),"dd mmm yy"))&amp;" "&amp;Milestones!$AB$160&amp;" "&amp;Milestones!$AC$160&amp;";  ","")&amp;IF(AND(EDATE($D27,Milestones!$AA$161)&lt;=AsOfDate,IF($R27=0,$X27,IF(AND($T27&lt;&gt;"",EDATE($D27,Milestones!$AA$161)&gt;=$T27),$W27,IF(AND($S27&lt;&gt;"",EDATE($D27,Milestones!$AA$161)&gt;=$S27),$V27,$U27)))=Milestones!$AB$161),UPPER(TEXT(EDATE($D27,Milestones!$AA$161),"dd mmm yy"))&amp;" "&amp;Milestones!$AB$161&amp;" "&amp;Milestones!$AC$161&amp;";  ","")&amp;IF(AND(EDATE($D27,Milestones!$AA$162)&lt;=AsOfDate,IF($R27=0,$X27,IF(AND($T27&lt;&gt;"",EDATE($D27,Milestones!$AA$162)&gt;=$T27),$W27,IF(AND($S27&lt;&gt;"",EDATE($D27,Milestones!$AA$162)&gt;=$S27),$V27,$U27)))=Milestones!$AB$162),UPPER(TEXT(EDATE($D27,Milestones!$AA$162),"dd mmm yy"))&amp;" "&amp;Milestones!$AB$162&amp;" "&amp;Milestones!$AC$162&amp;";  ","")&amp;IF(AND(EDATE($D27,Milestones!$AA$163)&lt;=AsOfDate,IF($R27=0,$X27,IF(AND($T27&lt;&gt;"",EDATE($D27,Milestones!$AA$163)&gt;=$T27),$W27,IF(AND($S27&lt;&gt;"",EDATE($D27,Milestones!$AA$163)&gt;=$S27),$V27,$U27)))=Milestones!$AB$163),UPPER(TEXT(EDATE($D27,Milestones!$AA$163),"dd mmm yy"))&amp;" "&amp;Milestones!$AB$163&amp;" "&amp;Milestones!$AC$163&amp;";  ","")&amp;IF(AND(EDATE($D27,Milestones!$AA$164)&lt;=AsOfDate,IF($R27=0,$X27,IF(AND($T27&lt;&gt;"",EDATE($D27,Milestones!$AA$164)&gt;=$T27),$W27,IF(AND($S27&lt;&gt;"",EDATE($D27,Milestones!$AA$164)&gt;=$S27),$V27,$U27)))=Milestones!$AB$164),UPPER(TEXT(EDATE($D27,Milestones!$AA$164),"dd mmm yy"))&amp;" "&amp;Milestones!$AB$164&amp;" "&amp;Milestones!$AC$164&amp;";  ","")&amp;IF(AND(EDATE($D27,Milestones!$AA$165)&lt;=AsOfDate,IF($R27=0,$X27,IF(AND($T27&lt;&gt;"",EDATE($D27,Milestones!$AA$165)&gt;=$T27),$W27,IF(AND($S27&lt;&gt;"",EDATE($D27,Milestones!$AA$165)&gt;=$S27),$V27,$U27)))=Milestones!$AB$165),UPPER(TEXT(EDATE($D27,Milestones!$AA$165),"dd mmm yy"))&amp;" "&amp;Milestones!$AB$165&amp;" "&amp;Milestones!$AC$165&amp;";  ","")&amp;IF(AND(EDATE($D27,Milestones!$AA$166)&lt;=AsOfDate,IF($R27=0,$X27,IF(AND($T27&lt;&gt;"",EDATE($D27,Milestones!$AA$166)&gt;=$T27),$W27,IF(AND($S27&lt;&gt;"",EDATE($D27,Milestones!$AA$166)&gt;=$S27),$V27,$U27)))=Milestones!$AB$166),UPPER(TEXT(EDATE($D27,Milestones!$AA$166),"dd mmm yy"))&amp;" "&amp;Milestones!$AB$166&amp;" "&amp;Milestones!$AC$166&amp;";  ","")&amp;IF(AND(EDATE($D27,Milestones!$AA$167)&lt;=AsOfDate,IF($R27=0,$X27,IF(AND($T27&lt;&gt;"",EDATE($D27,Milestones!$AA$167)&gt;=$T27),$W27,IF(AND($S27&lt;&gt;"",EDATE($D27,Milestones!$AA$167)&gt;=$S27),$V27,$U27)))=Milestones!$AB$167),UPPER(TEXT(EDATE($D27,Milestones!$AA$167),"dd mmm yy"))&amp;" "&amp;Milestones!$AB$167&amp;" "&amp;Milestones!$AC$167&amp;";  ","")&amp;IF(AND(EDATE($D27,Milestones!$AA$168)&lt;=AsOfDate,IF($R27=0,$X27,IF(AND($T27&lt;&gt;"",EDATE($D27,Milestones!$AA$168)&gt;=$T27),$W27,IF(AND($S27&lt;&gt;"",EDATE($D27,Milestones!$AA$168)&gt;=$S27),$V27,$U27)))=Milestones!$AB$168),UPPER(TEXT(EDATE($D27,Milestones!$AA$168),"dd mmm yy"))&amp;" "&amp;Milestones!$AB$168&amp;" "&amp;Milestones!$AC$168&amp;";  ","")&amp;IF(AND(EDATE($D27,Milestones!$AA$169)&lt;=AsOfDate,IF($R27=0,$X27,IF(AND($T27&lt;&gt;"",EDATE($D27,Milestones!$AA$169)&gt;=$T27),$W27,IF(AND($S27&lt;&gt;"",EDATE($D27,Milestones!$AA$169)&gt;=$S27),$V27,$U27)))=Milestones!$AB$169),UPPER(TEXT(EDATE($D27,Milestones!$AA$169),"dd mmm yy"))&amp;" "&amp;Milestones!$AB$169&amp;" "&amp;Milestones!$AC$169&amp;";  ","")&amp;IF(AND(EDATE($D27,Milestones!$AA$170)&lt;=AsOfDate,IF($R27=0,$X27,IF(AND($T27&lt;&gt;"",EDATE($D27,Milestones!$AA$170)&gt;=$T27),$W27,IF(AND($S27&lt;&gt;"",EDATE($D27,Milestones!$AA$170)&gt;=$S27),$V27,$U27)))=Milestones!$AB$170),UPPER(TEXT(EDATE($D27,Milestones!$AA$170),"dd mmm yy"))&amp;" "&amp;Milestones!$AB$170&amp;" "&amp;Milestones!$AC$170&amp;";  ","")&amp;IF(AND(EDATE($D27,Milestones!$AA$171)&lt;=AsOfDate,IF($R27=0,$X27,IF(AND($T27&lt;&gt;"",EDATE($D27,Milestones!$AA$171)&gt;=$T27),$W27,IF(AND($S27&lt;&gt;"",EDATE($D27,Milestones!$AA$171)&gt;=$S27),$V27,$U27)))=Milestones!$AB$171),UPPER(TEXT(EDATE($D27,Milestones!$AA$171),"dd mmm yy"))&amp;" "&amp;Milestones!$AB$171&amp;" "&amp;Milestones!$AC$171&amp;";  ","")&amp;IF(AND(EDATE($D27,Milestones!$AA$172)&lt;=AsOfDate,IF($R27=0,$X27,IF(AND($T27&lt;&gt;"",EDATE($D27,Milestones!$AA$172)&gt;=$T27),$W27,IF(AND($S27&lt;&gt;"",EDATE($D27,Milestones!$AA$172)&gt;=$S27),$V27,$U27)))=Milestones!$AB$172),UPPER(TEXT(EDATE($D27,Milestones!$AA$172),"dd mmm yy"))&amp;" "&amp;Milestones!$AB$172&amp;" "&amp;Milestones!$AC$172&amp;";  ","")&amp;IF(AND(EDATE($D27,Milestones!$AA$173)&lt;=AsOfDate,IF($R27=0,$X27,IF(AND($T27&lt;&gt;"",EDATE($D27,Milestones!$AA$173)&gt;=$T27),$W27,IF(AND($S27&lt;&gt;"",EDATE($D27,Milestones!$AA$173)&gt;=$S27),$V27,$U27)))=Milestones!$AB$173),UPPER(TEXT(EDATE($D27,Milestones!$AA$173),"dd mmm yy"))&amp;" "&amp;Milestones!$AB$173&amp;" "&amp;Milestones!$AC$173&amp;";  ","")&amp;IF(AND(EDATE($D27,Milestones!$AA$174)&lt;=AsOfDate,IF($R27=0,$X27,IF(AND($T27&lt;&gt;"",EDATE($D27,Milestones!$AA$174)&gt;=$T27),$W27,IF(AND($S27&lt;&gt;"",EDATE($D27,Milestones!$AA$174)&gt;=$S27),$V27,$U27)))=Milestones!$AB$174),UPPER(TEXT(EDATE($D27,Milestones!$AA$174),"dd mmm yy"))&amp;" "&amp;Milestones!$AB$174&amp;" "&amp;Milestones!$AC$174&amp;";  ","")&amp;IF(AND(EDATE($D27,Milestones!$AA$175)&lt;=AsOfDate,IF($R27=0,$X27,IF(AND($T27&lt;&gt;"",EDATE($D27,Milestones!$AA$175)&gt;=$T27),$W27,IF(AND($S27&lt;&gt;"",EDATE($D27,Milestones!$AA$175)&gt;=$S27),$V27,$U27)))=Milestones!$AB$175),UPPER(TEXT(EDATE($D27,Milestones!$AA$175),"dd mmm yy"))&amp;" "&amp;Milestones!$AB$175&amp;" "&amp;Milestones!$AC$175&amp;";  ","")&amp;IF(AND(EDATE($D27,Milestones!$AA$176)&lt;=AsOfDate,IF($R27=0,$X27,IF(AND($T27&lt;&gt;"",EDATE($D27,Milestones!$AA$176)&gt;=$T27),$W27,IF(AND($S27&lt;&gt;"",EDATE($D27,Milestones!$AA$176)&gt;=$S27),$V27,$U27)))=Milestones!$AB$176),UPPER(TEXT(EDATE($D27,Milestones!$AA$176),"dd mmm yy"))&amp;" "&amp;Milestones!$AB$176&amp;" "&amp;Milestones!$AC$176&amp;";  ","")&amp;IF(AND(EDATE($D27,Milestones!$AA$177)&lt;=AsOfDate,IF($R27=0,$X27,IF(AND($T27&lt;&gt;"",EDATE($D27,Milestones!$AA$177)&gt;=$T27),$W27,IF(AND($S27&lt;&gt;"",EDATE($D27,Milestones!$AA$177)&gt;=$S27),$V27,$U27)))=Milestones!$AB$177),UPPER(TEXT(EDATE($D27,Milestones!$AA$177),"dd mmm yy"))&amp;" "&amp;Milestones!$AB$177&amp;" "&amp;Milestones!$AC$177&amp;";  ","")&amp;IF(AND(EDATE($D27,Milestones!$AA$178)&lt;=AsOfDate,IF($R27=0,$X27,IF(AND($T27&lt;&gt;"",EDATE($D27,Milestones!$AA$178)&gt;=$T27),$W27,IF(AND($S27&lt;&gt;"",EDATE($D27,Milestones!$AA$178)&gt;=$S27),$V27,$U27)))=Milestones!$AB$178),UPPER(TEXT(EDATE($D27,Milestones!$AA$178),"dd mmm yy"))&amp;" "&amp;Milestones!$AB$178&amp;" "&amp;Milestones!$AC$178&amp;";  ","")&amp;IF(AND(EDATE($D27,Milestones!$AA$179)&lt;=AsOfDate,IF($R27=0,$X27,IF(AND($T27&lt;&gt;"",EDATE($D27,Milestones!$AA$179)&gt;=$T27),$W27,IF(AND($S27&lt;&gt;"",EDATE($D27,Milestones!$AA$179)&gt;=$S27),$V27,$U27)))=Milestones!$AB$179),UPPER(TEXT(EDATE($D27,Milestones!$AA$179),"dd mmm yy"))&amp;" "&amp;Milestones!$AB$179&amp;" "&amp;Milestones!$AC$179&amp;";  ",""))</f>
        <v/>
      </c>
      <c r="Q27" s="0" t="str">
        <f aca="false">IF(OR($A27="",$D27=""),"",IF(AND(EDATE($D27,Milestones!$AA$180)&lt;=AsOfDate,IF($R27=0,$X27,IF(AND($T27&lt;&gt;"",EDATE($D27,Milestones!$AA$180)&gt;=$T27),$W27,IF(AND($S27&lt;&gt;"",EDATE($D27,Milestones!$AA$180)&gt;=$S27),$V27,$U27)))=Milestones!$AB$180),UPPER(TEXT(EDATE($D27,Milestones!$AA$180),"dd mmm yy"))&amp;" "&amp;Milestones!$AB$180&amp;" "&amp;Milestones!$AC$180&amp;";  ","")&amp;IF(AND(EDATE($D27,Milestones!$AA$181)&lt;=AsOfDate,IF($R27=0,$X27,IF(AND($T27&lt;&gt;"",EDATE($D27,Milestones!$AA$181)&gt;=$T27),$W27,IF(AND($S27&lt;&gt;"",EDATE($D27,Milestones!$AA$181)&gt;=$S27),$V27,$U27)))=Milestones!$AB$181),UPPER(TEXT(EDATE($D27,Milestones!$AA$181),"dd mmm yy"))&amp;" "&amp;Milestones!$AB$181&amp;" "&amp;Milestones!$AC$181&amp;";  ","")&amp;IF(AND(EDATE($D27,Milestones!$AA$182)&lt;=AsOfDate,IF($R27=0,$X27,IF(AND($T27&lt;&gt;"",EDATE($D27,Milestones!$AA$182)&gt;=$T27),$W27,IF(AND($S27&lt;&gt;"",EDATE($D27,Milestones!$AA$182)&gt;=$S27),$V27,$U27)))=Milestones!$AB$182),UPPER(TEXT(EDATE($D27,Milestones!$AA$182),"dd mmm yy"))&amp;" "&amp;Milestones!$AB$182&amp;" "&amp;Milestones!$AC$182&amp;";  ","")&amp;IF(AND(EDATE($D27,Milestones!$AA$183)&lt;=AsOfDate,IF($R27=0,$X27,IF(AND($T27&lt;&gt;"",EDATE($D27,Milestones!$AA$183)&gt;=$T27),$W27,IF(AND($S27&lt;&gt;"",EDATE($D27,Milestones!$AA$183)&gt;=$S27),$V27,$U27)))=Milestones!$AB$183),UPPER(TEXT(EDATE($D27,Milestones!$AA$183),"dd mmm yy"))&amp;" "&amp;Milestones!$AB$183&amp;" "&amp;Milestones!$AC$183&amp;";  ","")&amp;IF(AND(EDATE($D27,Milestones!$AA$184)&lt;=AsOfDate,IF($R27=0,$X27,IF(AND($T27&lt;&gt;"",EDATE($D27,Milestones!$AA$184)&gt;=$T27),$W27,IF(AND($S27&lt;&gt;"",EDATE($D27,Milestones!$AA$184)&gt;=$S27),$V27,$U27)))=Milestones!$AB$184),UPPER(TEXT(EDATE($D27,Milestones!$AA$184),"dd mmm yy"))&amp;" "&amp;Milestones!$AB$184&amp;" "&amp;Milestones!$AC$184&amp;";  ","")&amp;IF(AND(EDATE($D27,Milestones!$AA$185)&lt;=AsOfDate,IF($R27=0,$X27,IF(AND($T27&lt;&gt;"",EDATE($D27,Milestones!$AA$185)&gt;=$T27),$W27,IF(AND($S27&lt;&gt;"",EDATE($D27,Milestones!$AA$185)&gt;=$S27),$V27,$U27)))=Milestones!$AB$185),UPPER(TEXT(EDATE($D27,Milestones!$AA$185),"dd mmm yy"))&amp;" "&amp;Milestones!$AB$185&amp;" "&amp;Milestones!$AC$185&amp;";  ","")&amp;IF(AND(EDATE($D27,Milestones!$AA$186)&lt;=AsOfDate,IF($R27=0,$X27,IF(AND($T27&lt;&gt;"",EDATE($D27,Milestones!$AA$186)&gt;=$T27),$W27,IF(AND($S27&lt;&gt;"",EDATE($D27,Milestones!$AA$186)&gt;=$S27),$V27,$U27)))=Milestones!$AB$186),UPPER(TEXT(EDATE($D27,Milestones!$AA$186),"dd mmm yy"))&amp;" "&amp;Milestones!$AB$186&amp;" "&amp;Milestones!$AC$186&amp;";  ","")&amp;IF(AND(EDATE($D27,Milestones!$AA$187)&lt;=AsOfDate,IF($R27=0,$X27,IF(AND($T27&lt;&gt;"",EDATE($D27,Milestones!$AA$187)&gt;=$T27),$W27,IF(AND($S27&lt;&gt;"",EDATE($D27,Milestones!$AA$187)&gt;=$S27),$V27,$U27)))=Milestones!$AB$187),UPPER(TEXT(EDATE($D27,Milestones!$AA$187),"dd mmm yy"))&amp;" "&amp;Milestones!$AB$187&amp;" "&amp;Milestones!$AC$187&amp;";  ","")&amp;IF(AND(EDATE($D27,Milestones!$AA$188)&lt;=AsOfDate,IF($R27=0,$X27,IF(AND($T27&lt;&gt;"",EDATE($D27,Milestones!$AA$188)&gt;=$T27),$W27,IF(AND($S27&lt;&gt;"",EDATE($D27,Milestones!$AA$188)&gt;=$S27),$V27,$U27)))=Milestones!$AB$188),UPPER(TEXT(EDATE($D27,Milestones!$AA$188),"dd mmm yy"))&amp;" "&amp;Milestones!$AB$188&amp;" "&amp;Milestones!$AC$188&amp;";  ","")&amp;IF(AND(EDATE($D27,Milestones!$AA$189)&lt;=AsOfDate,IF($R27=0,$X27,IF(AND($T27&lt;&gt;"",EDATE($D27,Milestones!$AA$189)&gt;=$T27),$W27,IF(AND($S27&lt;&gt;"",EDATE($D27,Milestones!$AA$189)&gt;=$S27),$V27,$U27)))=Milestones!$AB$189),UPPER(TEXT(EDATE($D27,Milestones!$AA$189),"dd mmm yy"))&amp;" "&amp;Milestones!$AB$189&amp;" "&amp;Milestones!$AC$189&amp;";  ","")&amp;IF(AND(EDATE($D27,Milestones!$AA$190)&lt;=AsOfDate,IF($R27=0,$X27,IF(AND($T27&lt;&gt;"",EDATE($D27,Milestones!$AA$190)&gt;=$T27),$W27,IF(AND($S27&lt;&gt;"",EDATE($D27,Milestones!$AA$190)&gt;=$S27),$V27,$U27)))=Milestones!$AB$190),UPPER(TEXT(EDATE($D27,Milestones!$AA$190),"dd mmm yy"))&amp;" "&amp;Milestones!$AB$190&amp;" "&amp;Milestones!$AC$190&amp;";  ","")&amp;IF(AND(EDATE($D27,Milestones!$AA$191)&lt;=AsOfDate,IF($R27=0,$X27,IF(AND($T27&lt;&gt;"",EDATE($D27,Milestones!$AA$191)&gt;=$T27),$W27,IF(AND($S27&lt;&gt;"",EDATE($D27,Milestones!$AA$191)&gt;=$S27),$V27,$U27)))=Milestones!$AB$191),UPPER(TEXT(EDATE($D27,Milestones!$AA$191),"dd mmm yy"))&amp;" "&amp;Milestones!$AB$191&amp;" "&amp;Milestones!$AC$191&amp;";  ","")&amp;IF(AND(EDATE($D27,Milestones!$AA$192)&lt;=AsOfDate,IF($R27=0,$X27,IF(AND($T27&lt;&gt;"",EDATE($D27,Milestones!$AA$192)&gt;=$T27),$W27,IF(AND($S27&lt;&gt;"",EDATE($D27,Milestones!$AA$192)&gt;=$S27),$V27,$U27)))=Milestones!$AB$192),UPPER(TEXT(EDATE($D27,Milestones!$AA$192),"dd mmm yy"))&amp;" "&amp;Milestones!$AB$192&amp;" "&amp;Milestones!$AC$192&amp;";  ","")&amp;IF(AND(EDATE($D27,Milestones!$AA$193)&lt;=AsOfDate,IF($R27=0,$X27,IF(AND($T27&lt;&gt;"",EDATE($D27,Milestones!$AA$193)&gt;=$T27),$W27,IF(AND($S27&lt;&gt;"",EDATE($D27,Milestones!$AA$193)&gt;=$S27),$V27,$U27)))=Milestones!$AB$193),UPPER(TEXT(EDATE($D27,Milestones!$AA$193),"dd mmm yy"))&amp;" "&amp;Milestones!$AB$193&amp;" "&amp;Milestones!$AC$193&amp;";  ","")&amp;IF(AND(EDATE($D27,Milestones!$AA$194)&lt;=AsOfDate,IF($R27=0,$X27,IF(AND($T27&lt;&gt;"",EDATE($D27,Milestones!$AA$194)&gt;=$T27),$W27,IF(AND($S27&lt;&gt;"",EDATE($D27,Milestones!$AA$194)&gt;=$S27),$V27,$U27)))=Milestones!$AB$194),UPPER(TEXT(EDATE($D27,Milestones!$AA$194),"dd mmm yy"))&amp;" "&amp;Milestones!$AB$194&amp;" "&amp;Milestones!$AC$194&amp;";  ","")&amp;IF(AND(EDATE($D27,Milestones!$AA$195)&lt;=AsOfDate,IF($R27=0,$X27,IF(AND($T27&lt;&gt;"",EDATE($D27,Milestones!$AA$195)&gt;=$T27),$W27,IF(AND($S27&lt;&gt;"",EDATE($D27,Milestones!$AA$195)&gt;=$S27),$V27,$U27)))=Milestones!$AB$195),UPPER(TEXT(EDATE($D27,Milestones!$AA$195),"dd mmm yy"))&amp;" "&amp;Milestones!$AB$195&amp;" "&amp;Milestones!$AC$195&amp;";  ","")&amp;IF(AND(EDATE($D27,Milestones!$AA$196)&lt;=AsOfDate,IF($R27=0,$X27,IF(AND($T27&lt;&gt;"",EDATE($D27,Milestones!$AA$196)&gt;=$T27),$W27,IF(AND($S27&lt;&gt;"",EDATE($D27,Milestones!$AA$196)&gt;=$S27),$V27,$U27)))=Milestones!$AB$196),UPPER(TEXT(EDATE($D27,Milestones!$AA$196),"dd mmm yy"))&amp;" "&amp;Milestones!$AB$196&amp;" "&amp;Milestones!$AC$196&amp;";  ","")&amp;IF(AND(EDATE($D27,Milestones!$AA$197)&lt;=AsOfDate,IF($R27=0,$X27,IF(AND($T27&lt;&gt;"",EDATE($D27,Milestones!$AA$197)&gt;=$T27),$W27,IF(AND($S27&lt;&gt;"",EDATE($D27,Milestones!$AA$197)&gt;=$S27),$V27,$U27)))=Milestones!$AB$197),UPPER(TEXT(EDATE($D27,Milestones!$AA$197),"dd mmm yy"))&amp;" "&amp;Milestones!$AB$197&amp;" "&amp;Milestones!$AC$197&amp;";  ","")&amp;IF(AND(EDATE($D27,Milestones!$AA$198)&lt;=AsOfDate,IF($R27=0,$X27,IF(AND($T27&lt;&gt;"",EDATE($D27,Milestones!$AA$198)&gt;=$T27),$W27,IF(AND($S27&lt;&gt;"",EDATE($D27,Milestones!$AA$198)&gt;=$S27),$V27,$U27)))=Milestones!$AB$198),UPPER(TEXT(EDATE($D27,Milestones!$AA$198),"dd mmm yy"))&amp;" "&amp;Milestones!$AB$198&amp;" "&amp;Milestones!$AC$198&amp;";  ","")&amp;IF(AND(EDATE($D27,Milestones!$AA$199)&lt;=AsOfDate,IF($R27=0,$X27,IF(AND($T27&lt;&gt;"",EDATE($D27,Milestones!$AA$199)&gt;=$T27),$W27,IF(AND($S27&lt;&gt;"",EDATE($D27,Milestones!$AA$199)&gt;=$S27),$V27,$U27)))=Milestones!$AB$199),UPPER(TEXT(EDATE($D27,Milestones!$AA$199),"dd mmm yy"))&amp;" "&amp;Milestones!$AB$199&amp;" "&amp;Milestones!$AC$199&amp;";  ",""))</f>
        <v/>
      </c>
      <c r="R27" s="33" t="n">
        <f aca="false">IF(Staff!$A27="","",Staff!$AI27)</f>
        <v>1</v>
      </c>
      <c r="S27" s="0" t="str">
        <f aca="false">IF(Staff!$A27="","",Staff!$AK27)</f>
        <v/>
      </c>
      <c r="T27" s="0" t="str">
        <f aca="false">IF(Staff!$A27="","",Staff!$AL27)</f>
        <v/>
      </c>
      <c r="U27" s="0" t="str">
        <f aca="false">IF(Staff!$A27="","",Staff!$AP27)</f>
        <v>PT</v>
      </c>
      <c r="V27" s="0" t="str">
        <f aca="false">IF(Staff!$A27="","",Staff!$AQ27)</f>
        <v/>
      </c>
      <c r="W27" s="0" t="str">
        <f aca="false">IF(Staff!$A27="","",Staff!$AR27)</f>
        <v/>
      </c>
      <c r="X27" s="0" t="str">
        <f aca="false">IF(Staff!$A27="","",Staff!$AS27)</f>
        <v>PT</v>
      </c>
    </row>
    <row r="28" customFormat="false" ht="15" hidden="false" customHeight="false" outlineLevel="0" collapsed="false">
      <c r="A28" s="19" t="str">
        <f aca="false">IF(Staff!$A28="","",Staff!$A28)</f>
        <v>Emily</v>
      </c>
      <c r="B28" s="19" t="str">
        <f aca="false">IF(Staff!$A28="","",Staff!$B28)</f>
        <v>Cooper</v>
      </c>
      <c r="C28" s="19" t="str">
        <f aca="false">IF(Staff!$A28="","",Staff!$C28)</f>
        <v>Casual</v>
      </c>
      <c r="D28" s="17" t="n">
        <f aca="false">IF(Staff!$A28="","",Staff!$AH28)</f>
        <v>45740</v>
      </c>
      <c r="E28" s="20" t="n">
        <f aca="false">IF(Staff!$A28="","",Staff!$O28)</f>
        <v>0</v>
      </c>
      <c r="F28" s="19" t="n">
        <f aca="false">IF(E28="","",E28*HoursPerDay)</f>
        <v>0</v>
      </c>
      <c r="G28" s="20" t="n">
        <f aca="false">IF(Staff!$A28="","",Staff!$AE28)</f>
        <v>0</v>
      </c>
      <c r="H28" s="32" t="str">
        <f aca="false">IF($A28="","",I28&amp;J28&amp;K28&amp;L28&amp;M28&amp;N28&amp;O28&amp;P28&amp;Q28)</f>
        <v/>
      </c>
      <c r="I28" s="0" t="str">
        <f aca="false">IF(OR($A28="",$D28=""),"",IF(AND(EDATE($D28,Milestones!$AA$20)&lt;=AsOfDate,IF($R28=0,$X28,IF(AND($T28&lt;&gt;"",EDATE($D28,Milestones!$AA$20)&gt;=$T28),$W28,IF(AND($S28&lt;&gt;"",EDATE($D28,Milestones!$AA$20)&gt;=$S28),$V28,$U28)))=Milestones!$AB$20),UPPER(TEXT(EDATE($D28,Milestones!$AA$20),"dd mmm yy"))&amp;" "&amp;Milestones!$AB$20&amp;" "&amp;Milestones!$AC$20&amp;";  ","")&amp;IF(AND(EDATE($D28,Milestones!$AA$21)&lt;=AsOfDate,IF($R28=0,$X28,IF(AND($T28&lt;&gt;"",EDATE($D28,Milestones!$AA$21)&gt;=$T28),$W28,IF(AND($S28&lt;&gt;"",EDATE($D28,Milestones!$AA$21)&gt;=$S28),$V28,$U28)))=Milestones!$AB$21),UPPER(TEXT(EDATE($D28,Milestones!$AA$21),"dd mmm yy"))&amp;" "&amp;Milestones!$AB$21&amp;" "&amp;Milestones!$AC$21&amp;";  ","")&amp;IF(AND(EDATE($D28,Milestones!$AA$22)&lt;=AsOfDate,IF($R28=0,$X28,IF(AND($T28&lt;&gt;"",EDATE($D28,Milestones!$AA$22)&gt;=$T28),$W28,IF(AND($S28&lt;&gt;"",EDATE($D28,Milestones!$AA$22)&gt;=$S28),$V28,$U28)))=Milestones!$AB$22),UPPER(TEXT(EDATE($D28,Milestones!$AA$22),"dd mmm yy"))&amp;" "&amp;Milestones!$AB$22&amp;" "&amp;Milestones!$AC$22&amp;";  ","")&amp;IF(AND(EDATE($D28,Milestones!$AA$23)&lt;=AsOfDate,IF($R28=0,$X28,IF(AND($T28&lt;&gt;"",EDATE($D28,Milestones!$AA$23)&gt;=$T28),$W28,IF(AND($S28&lt;&gt;"",EDATE($D28,Milestones!$AA$23)&gt;=$S28),$V28,$U28)))=Milestones!$AB$23),UPPER(TEXT(EDATE($D28,Milestones!$AA$23),"dd mmm yy"))&amp;" "&amp;Milestones!$AB$23&amp;" "&amp;Milestones!$AC$23&amp;";  ","")&amp;IF(AND(EDATE($D28,Milestones!$AA$24)&lt;=AsOfDate,IF($R28=0,$X28,IF(AND($T28&lt;&gt;"",EDATE($D28,Milestones!$AA$24)&gt;=$T28),$W28,IF(AND($S28&lt;&gt;"",EDATE($D28,Milestones!$AA$24)&gt;=$S28),$V28,$U28)))=Milestones!$AB$24),UPPER(TEXT(EDATE($D28,Milestones!$AA$24),"dd mmm yy"))&amp;" "&amp;Milestones!$AB$24&amp;" "&amp;Milestones!$AC$24&amp;";  ","")&amp;IF(AND(EDATE($D28,Milestones!$AA$25)&lt;=AsOfDate,IF($R28=0,$X28,IF(AND($T28&lt;&gt;"",EDATE($D28,Milestones!$AA$25)&gt;=$T28),$W28,IF(AND($S28&lt;&gt;"",EDATE($D28,Milestones!$AA$25)&gt;=$S28),$V28,$U28)))=Milestones!$AB$25),UPPER(TEXT(EDATE($D28,Milestones!$AA$25),"dd mmm yy"))&amp;" "&amp;Milestones!$AB$25&amp;" "&amp;Milestones!$AC$25&amp;";  ","")&amp;IF(AND(EDATE($D28,Milestones!$AA$26)&lt;=AsOfDate,IF($R28=0,$X28,IF(AND($T28&lt;&gt;"",EDATE($D28,Milestones!$AA$26)&gt;=$T28),$W28,IF(AND($S28&lt;&gt;"",EDATE($D28,Milestones!$AA$26)&gt;=$S28),$V28,$U28)))=Milestones!$AB$26),UPPER(TEXT(EDATE($D28,Milestones!$AA$26),"dd mmm yy"))&amp;" "&amp;Milestones!$AB$26&amp;" "&amp;Milestones!$AC$26&amp;";  ","")&amp;IF(AND(EDATE($D28,Milestones!$AA$27)&lt;=AsOfDate,IF($R28=0,$X28,IF(AND($T28&lt;&gt;"",EDATE($D28,Milestones!$AA$27)&gt;=$T28),$W28,IF(AND($S28&lt;&gt;"",EDATE($D28,Milestones!$AA$27)&gt;=$S28),$V28,$U28)))=Milestones!$AB$27),UPPER(TEXT(EDATE($D28,Milestones!$AA$27),"dd mmm yy"))&amp;" "&amp;Milestones!$AB$27&amp;" "&amp;Milestones!$AC$27&amp;";  ","")&amp;IF(AND(EDATE($D28,Milestones!$AA$28)&lt;=AsOfDate,IF($R28=0,$X28,IF(AND($T28&lt;&gt;"",EDATE($D28,Milestones!$AA$28)&gt;=$T28),$W28,IF(AND($S28&lt;&gt;"",EDATE($D28,Milestones!$AA$28)&gt;=$S28),$V28,$U28)))=Milestones!$AB$28),UPPER(TEXT(EDATE($D28,Milestones!$AA$28),"dd mmm yy"))&amp;" "&amp;Milestones!$AB$28&amp;" "&amp;Milestones!$AC$28&amp;";  ","")&amp;IF(AND(EDATE($D28,Milestones!$AA$29)&lt;=AsOfDate,IF($R28=0,$X28,IF(AND($T28&lt;&gt;"",EDATE($D28,Milestones!$AA$29)&gt;=$T28),$W28,IF(AND($S28&lt;&gt;"",EDATE($D28,Milestones!$AA$29)&gt;=$S28),$V28,$U28)))=Milestones!$AB$29),UPPER(TEXT(EDATE($D28,Milestones!$AA$29),"dd mmm yy"))&amp;" "&amp;Milestones!$AB$29&amp;" "&amp;Milestones!$AC$29&amp;";  ","")&amp;IF(AND(EDATE($D28,Milestones!$AA$30)&lt;=AsOfDate,IF($R28=0,$X28,IF(AND($T28&lt;&gt;"",EDATE($D28,Milestones!$AA$30)&gt;=$T28),$W28,IF(AND($S28&lt;&gt;"",EDATE($D28,Milestones!$AA$30)&gt;=$S28),$V28,$U28)))=Milestones!$AB$30),UPPER(TEXT(EDATE($D28,Milestones!$AA$30),"dd mmm yy"))&amp;" "&amp;Milestones!$AB$30&amp;" "&amp;Milestones!$AC$30&amp;";  ","")&amp;IF(AND(EDATE($D28,Milestones!$AA$31)&lt;=AsOfDate,IF($R28=0,$X28,IF(AND($T28&lt;&gt;"",EDATE($D28,Milestones!$AA$31)&gt;=$T28),$W28,IF(AND($S28&lt;&gt;"",EDATE($D28,Milestones!$AA$31)&gt;=$S28),$V28,$U28)))=Milestones!$AB$31),UPPER(TEXT(EDATE($D28,Milestones!$AA$31),"dd mmm yy"))&amp;" "&amp;Milestones!$AB$31&amp;" "&amp;Milestones!$AC$31&amp;";  ","")&amp;IF(AND(EDATE($D28,Milestones!$AA$32)&lt;=AsOfDate,IF($R28=0,$X28,IF(AND($T28&lt;&gt;"",EDATE($D28,Milestones!$AA$32)&gt;=$T28),$W28,IF(AND($S28&lt;&gt;"",EDATE($D28,Milestones!$AA$32)&gt;=$S28),$V28,$U28)))=Milestones!$AB$32),UPPER(TEXT(EDATE($D28,Milestones!$AA$32),"dd mmm yy"))&amp;" "&amp;Milestones!$AB$32&amp;" "&amp;Milestones!$AC$32&amp;";  ","")&amp;IF(AND(EDATE($D28,Milestones!$AA$33)&lt;=AsOfDate,IF($R28=0,$X28,IF(AND($T28&lt;&gt;"",EDATE($D28,Milestones!$AA$33)&gt;=$T28),$W28,IF(AND($S28&lt;&gt;"",EDATE($D28,Milestones!$AA$33)&gt;=$S28),$V28,$U28)))=Milestones!$AB$33),UPPER(TEXT(EDATE($D28,Milestones!$AA$33),"dd mmm yy"))&amp;" "&amp;Milestones!$AB$33&amp;" "&amp;Milestones!$AC$33&amp;";  ","")&amp;IF(AND(EDATE($D28,Milestones!$AA$34)&lt;=AsOfDate,IF($R28=0,$X28,IF(AND($T28&lt;&gt;"",EDATE($D28,Milestones!$AA$34)&gt;=$T28),$W28,IF(AND($S28&lt;&gt;"",EDATE($D28,Milestones!$AA$34)&gt;=$S28),$V28,$U28)))=Milestones!$AB$34),UPPER(TEXT(EDATE($D28,Milestones!$AA$34),"dd mmm yy"))&amp;" "&amp;Milestones!$AB$34&amp;" "&amp;Milestones!$AC$34&amp;";  ","")&amp;IF(AND(EDATE($D28,Milestones!$AA$35)&lt;=AsOfDate,IF($R28=0,$X28,IF(AND($T28&lt;&gt;"",EDATE($D28,Milestones!$AA$35)&gt;=$T28),$W28,IF(AND($S28&lt;&gt;"",EDATE($D28,Milestones!$AA$35)&gt;=$S28),$V28,$U28)))=Milestones!$AB$35),UPPER(TEXT(EDATE($D28,Milestones!$AA$35),"dd mmm yy"))&amp;" "&amp;Milestones!$AB$35&amp;" "&amp;Milestones!$AC$35&amp;";  ","")&amp;IF(AND(EDATE($D28,Milestones!$AA$36)&lt;=AsOfDate,IF($R28=0,$X28,IF(AND($T28&lt;&gt;"",EDATE($D28,Milestones!$AA$36)&gt;=$T28),$W28,IF(AND($S28&lt;&gt;"",EDATE($D28,Milestones!$AA$36)&gt;=$S28),$V28,$U28)))=Milestones!$AB$36),UPPER(TEXT(EDATE($D28,Milestones!$AA$36),"dd mmm yy"))&amp;" "&amp;Milestones!$AB$36&amp;" "&amp;Milestones!$AC$36&amp;";  ","")&amp;IF(AND(EDATE($D28,Milestones!$AA$37)&lt;=AsOfDate,IF($R28=0,$X28,IF(AND($T28&lt;&gt;"",EDATE($D28,Milestones!$AA$37)&gt;=$T28),$W28,IF(AND($S28&lt;&gt;"",EDATE($D28,Milestones!$AA$37)&gt;=$S28),$V28,$U28)))=Milestones!$AB$37),UPPER(TEXT(EDATE($D28,Milestones!$AA$37),"dd mmm yy"))&amp;" "&amp;Milestones!$AB$37&amp;" "&amp;Milestones!$AC$37&amp;";  ","")&amp;IF(AND(EDATE($D28,Milestones!$AA$38)&lt;=AsOfDate,IF($R28=0,$X28,IF(AND($T28&lt;&gt;"",EDATE($D28,Milestones!$AA$38)&gt;=$T28),$W28,IF(AND($S28&lt;&gt;"",EDATE($D28,Milestones!$AA$38)&gt;=$S28),$V28,$U28)))=Milestones!$AB$38),UPPER(TEXT(EDATE($D28,Milestones!$AA$38),"dd mmm yy"))&amp;" "&amp;Milestones!$AB$38&amp;" "&amp;Milestones!$AC$38&amp;";  ","")&amp;IF(AND(EDATE($D28,Milestones!$AA$39)&lt;=AsOfDate,IF($R28=0,$X28,IF(AND($T28&lt;&gt;"",EDATE($D28,Milestones!$AA$39)&gt;=$T28),$W28,IF(AND($S28&lt;&gt;"",EDATE($D28,Milestones!$AA$39)&gt;=$S28),$V28,$U28)))=Milestones!$AB$39),UPPER(TEXT(EDATE($D28,Milestones!$AA$39),"dd mmm yy"))&amp;" "&amp;Milestones!$AB$39&amp;" "&amp;Milestones!$AC$39&amp;";  ",""))</f>
        <v/>
      </c>
      <c r="J28" s="0" t="str">
        <f aca="false">IF(OR($A28="",$D28=""),"",IF(AND(EDATE($D28,Milestones!$AA$40)&lt;=AsOfDate,IF($R28=0,$X28,IF(AND($T28&lt;&gt;"",EDATE($D28,Milestones!$AA$40)&gt;=$T28),$W28,IF(AND($S28&lt;&gt;"",EDATE($D28,Milestones!$AA$40)&gt;=$S28),$V28,$U28)))=Milestones!$AB$40),UPPER(TEXT(EDATE($D28,Milestones!$AA$40),"dd mmm yy"))&amp;" "&amp;Milestones!$AB$40&amp;" "&amp;Milestones!$AC$40&amp;";  ","")&amp;IF(AND(EDATE($D28,Milestones!$AA$41)&lt;=AsOfDate,IF($R28=0,$X28,IF(AND($T28&lt;&gt;"",EDATE($D28,Milestones!$AA$41)&gt;=$T28),$W28,IF(AND($S28&lt;&gt;"",EDATE($D28,Milestones!$AA$41)&gt;=$S28),$V28,$U28)))=Milestones!$AB$41),UPPER(TEXT(EDATE($D28,Milestones!$AA$41),"dd mmm yy"))&amp;" "&amp;Milestones!$AB$41&amp;" "&amp;Milestones!$AC$41&amp;";  ","")&amp;IF(AND(EDATE($D28,Milestones!$AA$42)&lt;=AsOfDate,IF($R28=0,$X28,IF(AND($T28&lt;&gt;"",EDATE($D28,Milestones!$AA$42)&gt;=$T28),$W28,IF(AND($S28&lt;&gt;"",EDATE($D28,Milestones!$AA$42)&gt;=$S28),$V28,$U28)))=Milestones!$AB$42),UPPER(TEXT(EDATE($D28,Milestones!$AA$42),"dd mmm yy"))&amp;" "&amp;Milestones!$AB$42&amp;" "&amp;Milestones!$AC$42&amp;";  ","")&amp;IF(AND(EDATE($D28,Milestones!$AA$43)&lt;=AsOfDate,IF($R28=0,$X28,IF(AND($T28&lt;&gt;"",EDATE($D28,Milestones!$AA$43)&gt;=$T28),$W28,IF(AND($S28&lt;&gt;"",EDATE($D28,Milestones!$AA$43)&gt;=$S28),$V28,$U28)))=Milestones!$AB$43),UPPER(TEXT(EDATE($D28,Milestones!$AA$43),"dd mmm yy"))&amp;" "&amp;Milestones!$AB$43&amp;" "&amp;Milestones!$AC$43&amp;";  ","")&amp;IF(AND(EDATE($D28,Milestones!$AA$44)&lt;=AsOfDate,IF($R28=0,$X28,IF(AND($T28&lt;&gt;"",EDATE($D28,Milestones!$AA$44)&gt;=$T28),$W28,IF(AND($S28&lt;&gt;"",EDATE($D28,Milestones!$AA$44)&gt;=$S28),$V28,$U28)))=Milestones!$AB$44),UPPER(TEXT(EDATE($D28,Milestones!$AA$44),"dd mmm yy"))&amp;" "&amp;Milestones!$AB$44&amp;" "&amp;Milestones!$AC$44&amp;";  ","")&amp;IF(AND(EDATE($D28,Milestones!$AA$45)&lt;=AsOfDate,IF($R28=0,$X28,IF(AND($T28&lt;&gt;"",EDATE($D28,Milestones!$AA$45)&gt;=$T28),$W28,IF(AND($S28&lt;&gt;"",EDATE($D28,Milestones!$AA$45)&gt;=$S28),$V28,$U28)))=Milestones!$AB$45),UPPER(TEXT(EDATE($D28,Milestones!$AA$45),"dd mmm yy"))&amp;" "&amp;Milestones!$AB$45&amp;" "&amp;Milestones!$AC$45&amp;";  ","")&amp;IF(AND(EDATE($D28,Milestones!$AA$46)&lt;=AsOfDate,IF($R28=0,$X28,IF(AND($T28&lt;&gt;"",EDATE($D28,Milestones!$AA$46)&gt;=$T28),$W28,IF(AND($S28&lt;&gt;"",EDATE($D28,Milestones!$AA$46)&gt;=$S28),$V28,$U28)))=Milestones!$AB$46),UPPER(TEXT(EDATE($D28,Milestones!$AA$46),"dd mmm yy"))&amp;" "&amp;Milestones!$AB$46&amp;" "&amp;Milestones!$AC$46&amp;";  ","")&amp;IF(AND(EDATE($D28,Milestones!$AA$47)&lt;=AsOfDate,IF($R28=0,$X28,IF(AND($T28&lt;&gt;"",EDATE($D28,Milestones!$AA$47)&gt;=$T28),$W28,IF(AND($S28&lt;&gt;"",EDATE($D28,Milestones!$AA$47)&gt;=$S28),$V28,$U28)))=Milestones!$AB$47),UPPER(TEXT(EDATE($D28,Milestones!$AA$47),"dd mmm yy"))&amp;" "&amp;Milestones!$AB$47&amp;" "&amp;Milestones!$AC$47&amp;";  ","")&amp;IF(AND(EDATE($D28,Milestones!$AA$48)&lt;=AsOfDate,IF($R28=0,$X28,IF(AND($T28&lt;&gt;"",EDATE($D28,Milestones!$AA$48)&gt;=$T28),$W28,IF(AND($S28&lt;&gt;"",EDATE($D28,Milestones!$AA$48)&gt;=$S28),$V28,$U28)))=Milestones!$AB$48),UPPER(TEXT(EDATE($D28,Milestones!$AA$48),"dd mmm yy"))&amp;" "&amp;Milestones!$AB$48&amp;" "&amp;Milestones!$AC$48&amp;";  ","")&amp;IF(AND(EDATE($D28,Milestones!$AA$49)&lt;=AsOfDate,IF($R28=0,$X28,IF(AND($T28&lt;&gt;"",EDATE($D28,Milestones!$AA$49)&gt;=$T28),$W28,IF(AND($S28&lt;&gt;"",EDATE($D28,Milestones!$AA$49)&gt;=$S28),$V28,$U28)))=Milestones!$AB$49),UPPER(TEXT(EDATE($D28,Milestones!$AA$49),"dd mmm yy"))&amp;" "&amp;Milestones!$AB$49&amp;" "&amp;Milestones!$AC$49&amp;";  ","")&amp;IF(AND(EDATE($D28,Milestones!$AA$50)&lt;=AsOfDate,IF($R28=0,$X28,IF(AND($T28&lt;&gt;"",EDATE($D28,Milestones!$AA$50)&gt;=$T28),$W28,IF(AND($S28&lt;&gt;"",EDATE($D28,Milestones!$AA$50)&gt;=$S28),$V28,$U28)))=Milestones!$AB$50),UPPER(TEXT(EDATE($D28,Milestones!$AA$50),"dd mmm yy"))&amp;" "&amp;Milestones!$AB$50&amp;" "&amp;Milestones!$AC$50&amp;";  ","")&amp;IF(AND(EDATE($D28,Milestones!$AA$51)&lt;=AsOfDate,IF($R28=0,$X28,IF(AND($T28&lt;&gt;"",EDATE($D28,Milestones!$AA$51)&gt;=$T28),$W28,IF(AND($S28&lt;&gt;"",EDATE($D28,Milestones!$AA$51)&gt;=$S28),$V28,$U28)))=Milestones!$AB$51),UPPER(TEXT(EDATE($D28,Milestones!$AA$51),"dd mmm yy"))&amp;" "&amp;Milestones!$AB$51&amp;" "&amp;Milestones!$AC$51&amp;";  ","")&amp;IF(AND(EDATE($D28,Milestones!$AA$52)&lt;=AsOfDate,IF($R28=0,$X28,IF(AND($T28&lt;&gt;"",EDATE($D28,Milestones!$AA$52)&gt;=$T28),$W28,IF(AND($S28&lt;&gt;"",EDATE($D28,Milestones!$AA$52)&gt;=$S28),$V28,$U28)))=Milestones!$AB$52),UPPER(TEXT(EDATE($D28,Milestones!$AA$52),"dd mmm yy"))&amp;" "&amp;Milestones!$AB$52&amp;" "&amp;Milestones!$AC$52&amp;";  ","")&amp;IF(AND(EDATE($D28,Milestones!$AA$53)&lt;=AsOfDate,IF($R28=0,$X28,IF(AND($T28&lt;&gt;"",EDATE($D28,Milestones!$AA$53)&gt;=$T28),$W28,IF(AND($S28&lt;&gt;"",EDATE($D28,Milestones!$AA$53)&gt;=$S28),$V28,$U28)))=Milestones!$AB$53),UPPER(TEXT(EDATE($D28,Milestones!$AA$53),"dd mmm yy"))&amp;" "&amp;Milestones!$AB$53&amp;" "&amp;Milestones!$AC$53&amp;";  ","")&amp;IF(AND(EDATE($D28,Milestones!$AA$54)&lt;=AsOfDate,IF($R28=0,$X28,IF(AND($T28&lt;&gt;"",EDATE($D28,Milestones!$AA$54)&gt;=$T28),$W28,IF(AND($S28&lt;&gt;"",EDATE($D28,Milestones!$AA$54)&gt;=$S28),$V28,$U28)))=Milestones!$AB$54),UPPER(TEXT(EDATE($D28,Milestones!$AA$54),"dd mmm yy"))&amp;" "&amp;Milestones!$AB$54&amp;" "&amp;Milestones!$AC$54&amp;";  ","")&amp;IF(AND(EDATE($D28,Milestones!$AA$55)&lt;=AsOfDate,IF($R28=0,$X28,IF(AND($T28&lt;&gt;"",EDATE($D28,Milestones!$AA$55)&gt;=$T28),$W28,IF(AND($S28&lt;&gt;"",EDATE($D28,Milestones!$AA$55)&gt;=$S28),$V28,$U28)))=Milestones!$AB$55),UPPER(TEXT(EDATE($D28,Milestones!$AA$55),"dd mmm yy"))&amp;" "&amp;Milestones!$AB$55&amp;" "&amp;Milestones!$AC$55&amp;";  ","")&amp;IF(AND(EDATE($D28,Milestones!$AA$56)&lt;=AsOfDate,IF($R28=0,$X28,IF(AND($T28&lt;&gt;"",EDATE($D28,Milestones!$AA$56)&gt;=$T28),$W28,IF(AND($S28&lt;&gt;"",EDATE($D28,Milestones!$AA$56)&gt;=$S28),$V28,$U28)))=Milestones!$AB$56),UPPER(TEXT(EDATE($D28,Milestones!$AA$56),"dd mmm yy"))&amp;" "&amp;Milestones!$AB$56&amp;" "&amp;Milestones!$AC$56&amp;";  ","")&amp;IF(AND(EDATE($D28,Milestones!$AA$57)&lt;=AsOfDate,IF($R28=0,$X28,IF(AND($T28&lt;&gt;"",EDATE($D28,Milestones!$AA$57)&gt;=$T28),$W28,IF(AND($S28&lt;&gt;"",EDATE($D28,Milestones!$AA$57)&gt;=$S28),$V28,$U28)))=Milestones!$AB$57),UPPER(TEXT(EDATE($D28,Milestones!$AA$57),"dd mmm yy"))&amp;" "&amp;Milestones!$AB$57&amp;" "&amp;Milestones!$AC$57&amp;";  ","")&amp;IF(AND(EDATE($D28,Milestones!$AA$58)&lt;=AsOfDate,IF($R28=0,$X28,IF(AND($T28&lt;&gt;"",EDATE($D28,Milestones!$AA$58)&gt;=$T28),$W28,IF(AND($S28&lt;&gt;"",EDATE($D28,Milestones!$AA$58)&gt;=$S28),$V28,$U28)))=Milestones!$AB$58),UPPER(TEXT(EDATE($D28,Milestones!$AA$58),"dd mmm yy"))&amp;" "&amp;Milestones!$AB$58&amp;" "&amp;Milestones!$AC$58&amp;";  ","")&amp;IF(AND(EDATE($D28,Milestones!$AA$59)&lt;=AsOfDate,IF($R28=0,$X28,IF(AND($T28&lt;&gt;"",EDATE($D28,Milestones!$AA$59)&gt;=$T28),$W28,IF(AND($S28&lt;&gt;"",EDATE($D28,Milestones!$AA$59)&gt;=$S28),$V28,$U28)))=Milestones!$AB$59),UPPER(TEXT(EDATE($D28,Milestones!$AA$59),"dd mmm yy"))&amp;" "&amp;Milestones!$AB$59&amp;" "&amp;Milestones!$AC$59&amp;";  ",""))</f>
        <v/>
      </c>
      <c r="K28" s="0" t="str">
        <f aca="false">IF(OR($A28="",$D28=""),"",IF(AND(EDATE($D28,Milestones!$AA$60)&lt;=AsOfDate,IF($R28=0,$X28,IF(AND($T28&lt;&gt;"",EDATE($D28,Milestones!$AA$60)&gt;=$T28),$W28,IF(AND($S28&lt;&gt;"",EDATE($D28,Milestones!$AA$60)&gt;=$S28),$V28,$U28)))=Milestones!$AB$60),UPPER(TEXT(EDATE($D28,Milestones!$AA$60),"dd mmm yy"))&amp;" "&amp;Milestones!$AB$60&amp;" "&amp;Milestones!$AC$60&amp;";  ","")&amp;IF(AND(EDATE($D28,Milestones!$AA$61)&lt;=AsOfDate,IF($R28=0,$X28,IF(AND($T28&lt;&gt;"",EDATE($D28,Milestones!$AA$61)&gt;=$T28),$W28,IF(AND($S28&lt;&gt;"",EDATE($D28,Milestones!$AA$61)&gt;=$S28),$V28,$U28)))=Milestones!$AB$61),UPPER(TEXT(EDATE($D28,Milestones!$AA$61),"dd mmm yy"))&amp;" "&amp;Milestones!$AB$61&amp;" "&amp;Milestones!$AC$61&amp;";  ","")&amp;IF(AND(EDATE($D28,Milestones!$AA$62)&lt;=AsOfDate,IF($R28=0,$X28,IF(AND($T28&lt;&gt;"",EDATE($D28,Milestones!$AA$62)&gt;=$T28),$W28,IF(AND($S28&lt;&gt;"",EDATE($D28,Milestones!$AA$62)&gt;=$S28),$V28,$U28)))=Milestones!$AB$62),UPPER(TEXT(EDATE($D28,Milestones!$AA$62),"dd mmm yy"))&amp;" "&amp;Milestones!$AB$62&amp;" "&amp;Milestones!$AC$62&amp;";  ","")&amp;IF(AND(EDATE($D28,Milestones!$AA$63)&lt;=AsOfDate,IF($R28=0,$X28,IF(AND($T28&lt;&gt;"",EDATE($D28,Milestones!$AA$63)&gt;=$T28),$W28,IF(AND($S28&lt;&gt;"",EDATE($D28,Milestones!$AA$63)&gt;=$S28),$V28,$U28)))=Milestones!$AB$63),UPPER(TEXT(EDATE($D28,Milestones!$AA$63),"dd mmm yy"))&amp;" "&amp;Milestones!$AB$63&amp;" "&amp;Milestones!$AC$63&amp;";  ","")&amp;IF(AND(EDATE($D28,Milestones!$AA$64)&lt;=AsOfDate,IF($R28=0,$X28,IF(AND($T28&lt;&gt;"",EDATE($D28,Milestones!$AA$64)&gt;=$T28),$W28,IF(AND($S28&lt;&gt;"",EDATE($D28,Milestones!$AA$64)&gt;=$S28),$V28,$U28)))=Milestones!$AB$64),UPPER(TEXT(EDATE($D28,Milestones!$AA$64),"dd mmm yy"))&amp;" "&amp;Milestones!$AB$64&amp;" "&amp;Milestones!$AC$64&amp;";  ","")&amp;IF(AND(EDATE($D28,Milestones!$AA$65)&lt;=AsOfDate,IF($R28=0,$X28,IF(AND($T28&lt;&gt;"",EDATE($D28,Milestones!$AA$65)&gt;=$T28),$W28,IF(AND($S28&lt;&gt;"",EDATE($D28,Milestones!$AA$65)&gt;=$S28),$V28,$U28)))=Milestones!$AB$65),UPPER(TEXT(EDATE($D28,Milestones!$AA$65),"dd mmm yy"))&amp;" "&amp;Milestones!$AB$65&amp;" "&amp;Milestones!$AC$65&amp;";  ","")&amp;IF(AND(EDATE($D28,Milestones!$AA$66)&lt;=AsOfDate,IF($R28=0,$X28,IF(AND($T28&lt;&gt;"",EDATE($D28,Milestones!$AA$66)&gt;=$T28),$W28,IF(AND($S28&lt;&gt;"",EDATE($D28,Milestones!$AA$66)&gt;=$S28),$V28,$U28)))=Milestones!$AB$66),UPPER(TEXT(EDATE($D28,Milestones!$AA$66),"dd mmm yy"))&amp;" "&amp;Milestones!$AB$66&amp;" "&amp;Milestones!$AC$66&amp;";  ","")&amp;IF(AND(EDATE($D28,Milestones!$AA$67)&lt;=AsOfDate,IF($R28=0,$X28,IF(AND($T28&lt;&gt;"",EDATE($D28,Milestones!$AA$67)&gt;=$T28),$W28,IF(AND($S28&lt;&gt;"",EDATE($D28,Milestones!$AA$67)&gt;=$S28),$V28,$U28)))=Milestones!$AB$67),UPPER(TEXT(EDATE($D28,Milestones!$AA$67),"dd mmm yy"))&amp;" "&amp;Milestones!$AB$67&amp;" "&amp;Milestones!$AC$67&amp;";  ","")&amp;IF(AND(EDATE($D28,Milestones!$AA$68)&lt;=AsOfDate,IF($R28=0,$X28,IF(AND($T28&lt;&gt;"",EDATE($D28,Milestones!$AA$68)&gt;=$T28),$W28,IF(AND($S28&lt;&gt;"",EDATE($D28,Milestones!$AA$68)&gt;=$S28),$V28,$U28)))=Milestones!$AB$68),UPPER(TEXT(EDATE($D28,Milestones!$AA$68),"dd mmm yy"))&amp;" "&amp;Milestones!$AB$68&amp;" "&amp;Milestones!$AC$68&amp;";  ","")&amp;IF(AND(EDATE($D28,Milestones!$AA$69)&lt;=AsOfDate,IF($R28=0,$X28,IF(AND($T28&lt;&gt;"",EDATE($D28,Milestones!$AA$69)&gt;=$T28),$W28,IF(AND($S28&lt;&gt;"",EDATE($D28,Milestones!$AA$69)&gt;=$S28),$V28,$U28)))=Milestones!$AB$69),UPPER(TEXT(EDATE($D28,Milestones!$AA$69),"dd mmm yy"))&amp;" "&amp;Milestones!$AB$69&amp;" "&amp;Milestones!$AC$69&amp;";  ","")&amp;IF(AND(EDATE($D28,Milestones!$AA$70)&lt;=AsOfDate,IF($R28=0,$X28,IF(AND($T28&lt;&gt;"",EDATE($D28,Milestones!$AA$70)&gt;=$T28),$W28,IF(AND($S28&lt;&gt;"",EDATE($D28,Milestones!$AA$70)&gt;=$S28),$V28,$U28)))=Milestones!$AB$70),UPPER(TEXT(EDATE($D28,Milestones!$AA$70),"dd mmm yy"))&amp;" "&amp;Milestones!$AB$70&amp;" "&amp;Milestones!$AC$70&amp;";  ","")&amp;IF(AND(EDATE($D28,Milestones!$AA$71)&lt;=AsOfDate,IF($R28=0,$X28,IF(AND($T28&lt;&gt;"",EDATE($D28,Milestones!$AA$71)&gt;=$T28),$W28,IF(AND($S28&lt;&gt;"",EDATE($D28,Milestones!$AA$71)&gt;=$S28),$V28,$U28)))=Milestones!$AB$71),UPPER(TEXT(EDATE($D28,Milestones!$AA$71),"dd mmm yy"))&amp;" "&amp;Milestones!$AB$71&amp;" "&amp;Milestones!$AC$71&amp;";  ","")&amp;IF(AND(EDATE($D28,Milestones!$AA$72)&lt;=AsOfDate,IF($R28=0,$X28,IF(AND($T28&lt;&gt;"",EDATE($D28,Milestones!$AA$72)&gt;=$T28),$W28,IF(AND($S28&lt;&gt;"",EDATE($D28,Milestones!$AA$72)&gt;=$S28),$V28,$U28)))=Milestones!$AB$72),UPPER(TEXT(EDATE($D28,Milestones!$AA$72),"dd mmm yy"))&amp;" "&amp;Milestones!$AB$72&amp;" "&amp;Milestones!$AC$72&amp;";  ","")&amp;IF(AND(EDATE($D28,Milestones!$AA$73)&lt;=AsOfDate,IF($R28=0,$X28,IF(AND($T28&lt;&gt;"",EDATE($D28,Milestones!$AA$73)&gt;=$T28),$W28,IF(AND($S28&lt;&gt;"",EDATE($D28,Milestones!$AA$73)&gt;=$S28),$V28,$U28)))=Milestones!$AB$73),UPPER(TEXT(EDATE($D28,Milestones!$AA$73),"dd mmm yy"))&amp;" "&amp;Milestones!$AB$73&amp;" "&amp;Milestones!$AC$73&amp;";  ","")&amp;IF(AND(EDATE($D28,Milestones!$AA$74)&lt;=AsOfDate,IF($R28=0,$X28,IF(AND($T28&lt;&gt;"",EDATE($D28,Milestones!$AA$74)&gt;=$T28),$W28,IF(AND($S28&lt;&gt;"",EDATE($D28,Milestones!$AA$74)&gt;=$S28),$V28,$U28)))=Milestones!$AB$74),UPPER(TEXT(EDATE($D28,Milestones!$AA$74),"dd mmm yy"))&amp;" "&amp;Milestones!$AB$74&amp;" "&amp;Milestones!$AC$74&amp;";  ","")&amp;IF(AND(EDATE($D28,Milestones!$AA$75)&lt;=AsOfDate,IF($R28=0,$X28,IF(AND($T28&lt;&gt;"",EDATE($D28,Milestones!$AA$75)&gt;=$T28),$W28,IF(AND($S28&lt;&gt;"",EDATE($D28,Milestones!$AA$75)&gt;=$S28),$V28,$U28)))=Milestones!$AB$75),UPPER(TEXT(EDATE($D28,Milestones!$AA$75),"dd mmm yy"))&amp;" "&amp;Milestones!$AB$75&amp;" "&amp;Milestones!$AC$75&amp;";  ","")&amp;IF(AND(EDATE($D28,Milestones!$AA$76)&lt;=AsOfDate,IF($R28=0,$X28,IF(AND($T28&lt;&gt;"",EDATE($D28,Milestones!$AA$76)&gt;=$T28),$W28,IF(AND($S28&lt;&gt;"",EDATE($D28,Milestones!$AA$76)&gt;=$S28),$V28,$U28)))=Milestones!$AB$76),UPPER(TEXT(EDATE($D28,Milestones!$AA$76),"dd mmm yy"))&amp;" "&amp;Milestones!$AB$76&amp;" "&amp;Milestones!$AC$76&amp;";  ","")&amp;IF(AND(EDATE($D28,Milestones!$AA$77)&lt;=AsOfDate,IF($R28=0,$X28,IF(AND($T28&lt;&gt;"",EDATE($D28,Milestones!$AA$77)&gt;=$T28),$W28,IF(AND($S28&lt;&gt;"",EDATE($D28,Milestones!$AA$77)&gt;=$S28),$V28,$U28)))=Milestones!$AB$77),UPPER(TEXT(EDATE($D28,Milestones!$AA$77),"dd mmm yy"))&amp;" "&amp;Milestones!$AB$77&amp;" "&amp;Milestones!$AC$77&amp;";  ","")&amp;IF(AND(EDATE($D28,Milestones!$AA$78)&lt;=AsOfDate,IF($R28=0,$X28,IF(AND($T28&lt;&gt;"",EDATE($D28,Milestones!$AA$78)&gt;=$T28),$W28,IF(AND($S28&lt;&gt;"",EDATE($D28,Milestones!$AA$78)&gt;=$S28),$V28,$U28)))=Milestones!$AB$78),UPPER(TEXT(EDATE($D28,Milestones!$AA$78),"dd mmm yy"))&amp;" "&amp;Milestones!$AB$78&amp;" "&amp;Milestones!$AC$78&amp;";  ","")&amp;IF(AND(EDATE($D28,Milestones!$AA$79)&lt;=AsOfDate,IF($R28=0,$X28,IF(AND($T28&lt;&gt;"",EDATE($D28,Milestones!$AA$79)&gt;=$T28),$W28,IF(AND($S28&lt;&gt;"",EDATE($D28,Milestones!$AA$79)&gt;=$S28),$V28,$U28)))=Milestones!$AB$79),UPPER(TEXT(EDATE($D28,Milestones!$AA$79),"dd mmm yy"))&amp;" "&amp;Milestones!$AB$79&amp;" "&amp;Milestones!$AC$79&amp;";  ",""))</f>
        <v/>
      </c>
      <c r="L28" s="0" t="str">
        <f aca="false">IF(OR($A28="",$D28=""),"",IF(AND(EDATE($D28,Milestones!$AA$80)&lt;=AsOfDate,IF($R28=0,$X28,IF(AND($T28&lt;&gt;"",EDATE($D28,Milestones!$AA$80)&gt;=$T28),$W28,IF(AND($S28&lt;&gt;"",EDATE($D28,Milestones!$AA$80)&gt;=$S28),$V28,$U28)))=Milestones!$AB$80),UPPER(TEXT(EDATE($D28,Milestones!$AA$80),"dd mmm yy"))&amp;" "&amp;Milestones!$AB$80&amp;" "&amp;Milestones!$AC$80&amp;";  ","")&amp;IF(AND(EDATE($D28,Milestones!$AA$81)&lt;=AsOfDate,IF($R28=0,$X28,IF(AND($T28&lt;&gt;"",EDATE($D28,Milestones!$AA$81)&gt;=$T28),$W28,IF(AND($S28&lt;&gt;"",EDATE($D28,Milestones!$AA$81)&gt;=$S28),$V28,$U28)))=Milestones!$AB$81),UPPER(TEXT(EDATE($D28,Milestones!$AA$81),"dd mmm yy"))&amp;" "&amp;Milestones!$AB$81&amp;" "&amp;Milestones!$AC$81&amp;";  ","")&amp;IF(AND(EDATE($D28,Milestones!$AA$82)&lt;=AsOfDate,IF($R28=0,$X28,IF(AND($T28&lt;&gt;"",EDATE($D28,Milestones!$AA$82)&gt;=$T28),$W28,IF(AND($S28&lt;&gt;"",EDATE($D28,Milestones!$AA$82)&gt;=$S28),$V28,$U28)))=Milestones!$AB$82),UPPER(TEXT(EDATE($D28,Milestones!$AA$82),"dd mmm yy"))&amp;" "&amp;Milestones!$AB$82&amp;" "&amp;Milestones!$AC$82&amp;";  ","")&amp;IF(AND(EDATE($D28,Milestones!$AA$83)&lt;=AsOfDate,IF($R28=0,$X28,IF(AND($T28&lt;&gt;"",EDATE($D28,Milestones!$AA$83)&gt;=$T28),$W28,IF(AND($S28&lt;&gt;"",EDATE($D28,Milestones!$AA$83)&gt;=$S28),$V28,$U28)))=Milestones!$AB$83),UPPER(TEXT(EDATE($D28,Milestones!$AA$83),"dd mmm yy"))&amp;" "&amp;Milestones!$AB$83&amp;" "&amp;Milestones!$AC$83&amp;";  ","")&amp;IF(AND(EDATE($D28,Milestones!$AA$84)&lt;=AsOfDate,IF($R28=0,$X28,IF(AND($T28&lt;&gt;"",EDATE($D28,Milestones!$AA$84)&gt;=$T28),$W28,IF(AND($S28&lt;&gt;"",EDATE($D28,Milestones!$AA$84)&gt;=$S28),$V28,$U28)))=Milestones!$AB$84),UPPER(TEXT(EDATE($D28,Milestones!$AA$84),"dd mmm yy"))&amp;" "&amp;Milestones!$AB$84&amp;" "&amp;Milestones!$AC$84&amp;";  ","")&amp;IF(AND(EDATE($D28,Milestones!$AA$85)&lt;=AsOfDate,IF($R28=0,$X28,IF(AND($T28&lt;&gt;"",EDATE($D28,Milestones!$AA$85)&gt;=$T28),$W28,IF(AND($S28&lt;&gt;"",EDATE($D28,Milestones!$AA$85)&gt;=$S28),$V28,$U28)))=Milestones!$AB$85),UPPER(TEXT(EDATE($D28,Milestones!$AA$85),"dd mmm yy"))&amp;" "&amp;Milestones!$AB$85&amp;" "&amp;Milestones!$AC$85&amp;";  ","")&amp;IF(AND(EDATE($D28,Milestones!$AA$86)&lt;=AsOfDate,IF($R28=0,$X28,IF(AND($T28&lt;&gt;"",EDATE($D28,Milestones!$AA$86)&gt;=$T28),$W28,IF(AND($S28&lt;&gt;"",EDATE($D28,Milestones!$AA$86)&gt;=$S28),$V28,$U28)))=Milestones!$AB$86),UPPER(TEXT(EDATE($D28,Milestones!$AA$86),"dd mmm yy"))&amp;" "&amp;Milestones!$AB$86&amp;" "&amp;Milestones!$AC$86&amp;";  ","")&amp;IF(AND(EDATE($D28,Milestones!$AA$87)&lt;=AsOfDate,IF($R28=0,$X28,IF(AND($T28&lt;&gt;"",EDATE($D28,Milestones!$AA$87)&gt;=$T28),$W28,IF(AND($S28&lt;&gt;"",EDATE($D28,Milestones!$AA$87)&gt;=$S28),$V28,$U28)))=Milestones!$AB$87),UPPER(TEXT(EDATE($D28,Milestones!$AA$87),"dd mmm yy"))&amp;" "&amp;Milestones!$AB$87&amp;" "&amp;Milestones!$AC$87&amp;";  ","")&amp;IF(AND(EDATE($D28,Milestones!$AA$88)&lt;=AsOfDate,IF($R28=0,$X28,IF(AND($T28&lt;&gt;"",EDATE($D28,Milestones!$AA$88)&gt;=$T28),$W28,IF(AND($S28&lt;&gt;"",EDATE($D28,Milestones!$AA$88)&gt;=$S28),$V28,$U28)))=Milestones!$AB$88),UPPER(TEXT(EDATE($D28,Milestones!$AA$88),"dd mmm yy"))&amp;" "&amp;Milestones!$AB$88&amp;" "&amp;Milestones!$AC$88&amp;";  ","")&amp;IF(AND(EDATE($D28,Milestones!$AA$89)&lt;=AsOfDate,IF($R28=0,$X28,IF(AND($T28&lt;&gt;"",EDATE($D28,Milestones!$AA$89)&gt;=$T28),$W28,IF(AND($S28&lt;&gt;"",EDATE($D28,Milestones!$AA$89)&gt;=$S28),$V28,$U28)))=Milestones!$AB$89),UPPER(TEXT(EDATE($D28,Milestones!$AA$89),"dd mmm yy"))&amp;" "&amp;Milestones!$AB$89&amp;" "&amp;Milestones!$AC$89&amp;";  ","")&amp;IF(AND(EDATE($D28,Milestones!$AA$90)&lt;=AsOfDate,IF($R28=0,$X28,IF(AND($T28&lt;&gt;"",EDATE($D28,Milestones!$AA$90)&gt;=$T28),$W28,IF(AND($S28&lt;&gt;"",EDATE($D28,Milestones!$AA$90)&gt;=$S28),$V28,$U28)))=Milestones!$AB$90),UPPER(TEXT(EDATE($D28,Milestones!$AA$90),"dd mmm yy"))&amp;" "&amp;Milestones!$AB$90&amp;" "&amp;Milestones!$AC$90&amp;";  ","")&amp;IF(AND(EDATE($D28,Milestones!$AA$91)&lt;=AsOfDate,IF($R28=0,$X28,IF(AND($T28&lt;&gt;"",EDATE($D28,Milestones!$AA$91)&gt;=$T28),$W28,IF(AND($S28&lt;&gt;"",EDATE($D28,Milestones!$AA$91)&gt;=$S28),$V28,$U28)))=Milestones!$AB$91),UPPER(TEXT(EDATE($D28,Milestones!$AA$91),"dd mmm yy"))&amp;" "&amp;Milestones!$AB$91&amp;" "&amp;Milestones!$AC$91&amp;";  ","")&amp;IF(AND(EDATE($D28,Milestones!$AA$92)&lt;=AsOfDate,IF($R28=0,$X28,IF(AND($T28&lt;&gt;"",EDATE($D28,Milestones!$AA$92)&gt;=$T28),$W28,IF(AND($S28&lt;&gt;"",EDATE($D28,Milestones!$AA$92)&gt;=$S28),$V28,$U28)))=Milestones!$AB$92),UPPER(TEXT(EDATE($D28,Milestones!$AA$92),"dd mmm yy"))&amp;" "&amp;Milestones!$AB$92&amp;" "&amp;Milestones!$AC$92&amp;";  ","")&amp;IF(AND(EDATE($D28,Milestones!$AA$93)&lt;=AsOfDate,IF($R28=0,$X28,IF(AND($T28&lt;&gt;"",EDATE($D28,Milestones!$AA$93)&gt;=$T28),$W28,IF(AND($S28&lt;&gt;"",EDATE($D28,Milestones!$AA$93)&gt;=$S28),$V28,$U28)))=Milestones!$AB$93),UPPER(TEXT(EDATE($D28,Milestones!$AA$93),"dd mmm yy"))&amp;" "&amp;Milestones!$AB$93&amp;" "&amp;Milestones!$AC$93&amp;";  ","")&amp;IF(AND(EDATE($D28,Milestones!$AA$94)&lt;=AsOfDate,IF($R28=0,$X28,IF(AND($T28&lt;&gt;"",EDATE($D28,Milestones!$AA$94)&gt;=$T28),$W28,IF(AND($S28&lt;&gt;"",EDATE($D28,Milestones!$AA$94)&gt;=$S28),$V28,$U28)))=Milestones!$AB$94),UPPER(TEXT(EDATE($D28,Milestones!$AA$94),"dd mmm yy"))&amp;" "&amp;Milestones!$AB$94&amp;" "&amp;Milestones!$AC$94&amp;";  ","")&amp;IF(AND(EDATE($D28,Milestones!$AA$95)&lt;=AsOfDate,IF($R28=0,$X28,IF(AND($T28&lt;&gt;"",EDATE($D28,Milestones!$AA$95)&gt;=$T28),$W28,IF(AND($S28&lt;&gt;"",EDATE($D28,Milestones!$AA$95)&gt;=$S28),$V28,$U28)))=Milestones!$AB$95),UPPER(TEXT(EDATE($D28,Milestones!$AA$95),"dd mmm yy"))&amp;" "&amp;Milestones!$AB$95&amp;" "&amp;Milestones!$AC$95&amp;";  ","")&amp;IF(AND(EDATE($D28,Milestones!$AA$96)&lt;=AsOfDate,IF($R28=0,$X28,IF(AND($T28&lt;&gt;"",EDATE($D28,Milestones!$AA$96)&gt;=$T28),$W28,IF(AND($S28&lt;&gt;"",EDATE($D28,Milestones!$AA$96)&gt;=$S28),$V28,$U28)))=Milestones!$AB$96),UPPER(TEXT(EDATE($D28,Milestones!$AA$96),"dd mmm yy"))&amp;" "&amp;Milestones!$AB$96&amp;" "&amp;Milestones!$AC$96&amp;";  ","")&amp;IF(AND(EDATE($D28,Milestones!$AA$97)&lt;=AsOfDate,IF($R28=0,$X28,IF(AND($T28&lt;&gt;"",EDATE($D28,Milestones!$AA$97)&gt;=$T28),$W28,IF(AND($S28&lt;&gt;"",EDATE($D28,Milestones!$AA$97)&gt;=$S28),$V28,$U28)))=Milestones!$AB$97),UPPER(TEXT(EDATE($D28,Milestones!$AA$97),"dd mmm yy"))&amp;" "&amp;Milestones!$AB$97&amp;" "&amp;Milestones!$AC$97&amp;";  ","")&amp;IF(AND(EDATE($D28,Milestones!$AA$98)&lt;=AsOfDate,IF($R28=0,$X28,IF(AND($T28&lt;&gt;"",EDATE($D28,Milestones!$AA$98)&gt;=$T28),$W28,IF(AND($S28&lt;&gt;"",EDATE($D28,Milestones!$AA$98)&gt;=$S28),$V28,$U28)))=Milestones!$AB$98),UPPER(TEXT(EDATE($D28,Milestones!$AA$98),"dd mmm yy"))&amp;" "&amp;Milestones!$AB$98&amp;" "&amp;Milestones!$AC$98&amp;";  ","")&amp;IF(AND(EDATE($D28,Milestones!$AA$99)&lt;=AsOfDate,IF($R28=0,$X28,IF(AND($T28&lt;&gt;"",EDATE($D28,Milestones!$AA$99)&gt;=$T28),$W28,IF(AND($S28&lt;&gt;"",EDATE($D28,Milestones!$AA$99)&gt;=$S28),$V28,$U28)))=Milestones!$AB$99),UPPER(TEXT(EDATE($D28,Milestones!$AA$99),"dd mmm yy"))&amp;" "&amp;Milestones!$AB$99&amp;" "&amp;Milestones!$AC$99&amp;";  ",""))</f>
        <v/>
      </c>
      <c r="M28" s="0" t="str">
        <f aca="false">IF(OR($A28="",$D28=""),"",IF(AND(EDATE($D28,Milestones!$AA$100)&lt;=AsOfDate,IF($R28=0,$X28,IF(AND($T28&lt;&gt;"",EDATE($D28,Milestones!$AA$100)&gt;=$T28),$W28,IF(AND($S28&lt;&gt;"",EDATE($D28,Milestones!$AA$100)&gt;=$S28),$V28,$U28)))=Milestones!$AB$100),UPPER(TEXT(EDATE($D28,Milestones!$AA$100),"dd mmm yy"))&amp;" "&amp;Milestones!$AB$100&amp;" "&amp;Milestones!$AC$100&amp;";  ","")&amp;IF(AND(EDATE($D28,Milestones!$AA$101)&lt;=AsOfDate,IF($R28=0,$X28,IF(AND($T28&lt;&gt;"",EDATE($D28,Milestones!$AA$101)&gt;=$T28),$W28,IF(AND($S28&lt;&gt;"",EDATE($D28,Milestones!$AA$101)&gt;=$S28),$V28,$U28)))=Milestones!$AB$101),UPPER(TEXT(EDATE($D28,Milestones!$AA$101),"dd mmm yy"))&amp;" "&amp;Milestones!$AB$101&amp;" "&amp;Milestones!$AC$101&amp;";  ","")&amp;IF(AND(EDATE($D28,Milestones!$AA$102)&lt;=AsOfDate,IF($R28=0,$X28,IF(AND($T28&lt;&gt;"",EDATE($D28,Milestones!$AA$102)&gt;=$T28),$W28,IF(AND($S28&lt;&gt;"",EDATE($D28,Milestones!$AA$102)&gt;=$S28),$V28,$U28)))=Milestones!$AB$102),UPPER(TEXT(EDATE($D28,Milestones!$AA$102),"dd mmm yy"))&amp;" "&amp;Milestones!$AB$102&amp;" "&amp;Milestones!$AC$102&amp;";  ","")&amp;IF(AND(EDATE($D28,Milestones!$AA$103)&lt;=AsOfDate,IF($R28=0,$X28,IF(AND($T28&lt;&gt;"",EDATE($D28,Milestones!$AA$103)&gt;=$T28),$W28,IF(AND($S28&lt;&gt;"",EDATE($D28,Milestones!$AA$103)&gt;=$S28),$V28,$U28)))=Milestones!$AB$103),UPPER(TEXT(EDATE($D28,Milestones!$AA$103),"dd mmm yy"))&amp;" "&amp;Milestones!$AB$103&amp;" "&amp;Milestones!$AC$103&amp;";  ","")&amp;IF(AND(EDATE($D28,Milestones!$AA$104)&lt;=AsOfDate,IF($R28=0,$X28,IF(AND($T28&lt;&gt;"",EDATE($D28,Milestones!$AA$104)&gt;=$T28),$W28,IF(AND($S28&lt;&gt;"",EDATE($D28,Milestones!$AA$104)&gt;=$S28),$V28,$U28)))=Milestones!$AB$104),UPPER(TEXT(EDATE($D28,Milestones!$AA$104),"dd mmm yy"))&amp;" "&amp;Milestones!$AB$104&amp;" "&amp;Milestones!$AC$104&amp;";  ","")&amp;IF(AND(EDATE($D28,Milestones!$AA$105)&lt;=AsOfDate,IF($R28=0,$X28,IF(AND($T28&lt;&gt;"",EDATE($D28,Milestones!$AA$105)&gt;=$T28),$W28,IF(AND($S28&lt;&gt;"",EDATE($D28,Milestones!$AA$105)&gt;=$S28),$V28,$U28)))=Milestones!$AB$105),UPPER(TEXT(EDATE($D28,Milestones!$AA$105),"dd mmm yy"))&amp;" "&amp;Milestones!$AB$105&amp;" "&amp;Milestones!$AC$105&amp;";  ","")&amp;IF(AND(EDATE($D28,Milestones!$AA$106)&lt;=AsOfDate,IF($R28=0,$X28,IF(AND($T28&lt;&gt;"",EDATE($D28,Milestones!$AA$106)&gt;=$T28),$W28,IF(AND($S28&lt;&gt;"",EDATE($D28,Milestones!$AA$106)&gt;=$S28),$V28,$U28)))=Milestones!$AB$106),UPPER(TEXT(EDATE($D28,Milestones!$AA$106),"dd mmm yy"))&amp;" "&amp;Milestones!$AB$106&amp;" "&amp;Milestones!$AC$106&amp;";  ","")&amp;IF(AND(EDATE($D28,Milestones!$AA$107)&lt;=AsOfDate,IF($R28=0,$X28,IF(AND($T28&lt;&gt;"",EDATE($D28,Milestones!$AA$107)&gt;=$T28),$W28,IF(AND($S28&lt;&gt;"",EDATE($D28,Milestones!$AA$107)&gt;=$S28),$V28,$U28)))=Milestones!$AB$107),UPPER(TEXT(EDATE($D28,Milestones!$AA$107),"dd mmm yy"))&amp;" "&amp;Milestones!$AB$107&amp;" "&amp;Milestones!$AC$107&amp;";  ","")&amp;IF(AND(EDATE($D28,Milestones!$AA$108)&lt;=AsOfDate,IF($R28=0,$X28,IF(AND($T28&lt;&gt;"",EDATE($D28,Milestones!$AA$108)&gt;=$T28),$W28,IF(AND($S28&lt;&gt;"",EDATE($D28,Milestones!$AA$108)&gt;=$S28),$V28,$U28)))=Milestones!$AB$108),UPPER(TEXT(EDATE($D28,Milestones!$AA$108),"dd mmm yy"))&amp;" "&amp;Milestones!$AB$108&amp;" "&amp;Milestones!$AC$108&amp;";  ","")&amp;IF(AND(EDATE($D28,Milestones!$AA$109)&lt;=AsOfDate,IF($R28=0,$X28,IF(AND($T28&lt;&gt;"",EDATE($D28,Milestones!$AA$109)&gt;=$T28),$W28,IF(AND($S28&lt;&gt;"",EDATE($D28,Milestones!$AA$109)&gt;=$S28),$V28,$U28)))=Milestones!$AB$109),UPPER(TEXT(EDATE($D28,Milestones!$AA$109),"dd mmm yy"))&amp;" "&amp;Milestones!$AB$109&amp;" "&amp;Milestones!$AC$109&amp;";  ","")&amp;IF(AND(EDATE($D28,Milestones!$AA$110)&lt;=AsOfDate,IF($R28=0,$X28,IF(AND($T28&lt;&gt;"",EDATE($D28,Milestones!$AA$110)&gt;=$T28),$W28,IF(AND($S28&lt;&gt;"",EDATE($D28,Milestones!$AA$110)&gt;=$S28),$V28,$U28)))=Milestones!$AB$110),UPPER(TEXT(EDATE($D28,Milestones!$AA$110),"dd mmm yy"))&amp;" "&amp;Milestones!$AB$110&amp;" "&amp;Milestones!$AC$110&amp;";  ","")&amp;IF(AND(EDATE($D28,Milestones!$AA$111)&lt;=AsOfDate,IF($R28=0,$X28,IF(AND($T28&lt;&gt;"",EDATE($D28,Milestones!$AA$111)&gt;=$T28),$W28,IF(AND($S28&lt;&gt;"",EDATE($D28,Milestones!$AA$111)&gt;=$S28),$V28,$U28)))=Milestones!$AB$111),UPPER(TEXT(EDATE($D28,Milestones!$AA$111),"dd mmm yy"))&amp;" "&amp;Milestones!$AB$111&amp;" "&amp;Milestones!$AC$111&amp;";  ","")&amp;IF(AND(EDATE($D28,Milestones!$AA$112)&lt;=AsOfDate,IF($R28=0,$X28,IF(AND($T28&lt;&gt;"",EDATE($D28,Milestones!$AA$112)&gt;=$T28),$W28,IF(AND($S28&lt;&gt;"",EDATE($D28,Milestones!$AA$112)&gt;=$S28),$V28,$U28)))=Milestones!$AB$112),UPPER(TEXT(EDATE($D28,Milestones!$AA$112),"dd mmm yy"))&amp;" "&amp;Milestones!$AB$112&amp;" "&amp;Milestones!$AC$112&amp;";  ","")&amp;IF(AND(EDATE($D28,Milestones!$AA$113)&lt;=AsOfDate,IF($R28=0,$X28,IF(AND($T28&lt;&gt;"",EDATE($D28,Milestones!$AA$113)&gt;=$T28),$W28,IF(AND($S28&lt;&gt;"",EDATE($D28,Milestones!$AA$113)&gt;=$S28),$V28,$U28)))=Milestones!$AB$113),UPPER(TEXT(EDATE($D28,Milestones!$AA$113),"dd mmm yy"))&amp;" "&amp;Milestones!$AB$113&amp;" "&amp;Milestones!$AC$113&amp;";  ","")&amp;IF(AND(EDATE($D28,Milestones!$AA$114)&lt;=AsOfDate,IF($R28=0,$X28,IF(AND($T28&lt;&gt;"",EDATE($D28,Milestones!$AA$114)&gt;=$T28),$W28,IF(AND($S28&lt;&gt;"",EDATE($D28,Milestones!$AA$114)&gt;=$S28),$V28,$U28)))=Milestones!$AB$114),UPPER(TEXT(EDATE($D28,Milestones!$AA$114),"dd mmm yy"))&amp;" "&amp;Milestones!$AB$114&amp;" "&amp;Milestones!$AC$114&amp;";  ","")&amp;IF(AND(EDATE($D28,Milestones!$AA$115)&lt;=AsOfDate,IF($R28=0,$X28,IF(AND($T28&lt;&gt;"",EDATE($D28,Milestones!$AA$115)&gt;=$T28),$W28,IF(AND($S28&lt;&gt;"",EDATE($D28,Milestones!$AA$115)&gt;=$S28),$V28,$U28)))=Milestones!$AB$115),UPPER(TEXT(EDATE($D28,Milestones!$AA$115),"dd mmm yy"))&amp;" "&amp;Milestones!$AB$115&amp;" "&amp;Milestones!$AC$115&amp;";  ","")&amp;IF(AND(EDATE($D28,Milestones!$AA$116)&lt;=AsOfDate,IF($R28=0,$X28,IF(AND($T28&lt;&gt;"",EDATE($D28,Milestones!$AA$116)&gt;=$T28),$W28,IF(AND($S28&lt;&gt;"",EDATE($D28,Milestones!$AA$116)&gt;=$S28),$V28,$U28)))=Milestones!$AB$116),UPPER(TEXT(EDATE($D28,Milestones!$AA$116),"dd mmm yy"))&amp;" "&amp;Milestones!$AB$116&amp;" "&amp;Milestones!$AC$116&amp;";  ","")&amp;IF(AND(EDATE($D28,Milestones!$AA$117)&lt;=AsOfDate,IF($R28=0,$X28,IF(AND($T28&lt;&gt;"",EDATE($D28,Milestones!$AA$117)&gt;=$T28),$W28,IF(AND($S28&lt;&gt;"",EDATE($D28,Milestones!$AA$117)&gt;=$S28),$V28,$U28)))=Milestones!$AB$117),UPPER(TEXT(EDATE($D28,Milestones!$AA$117),"dd mmm yy"))&amp;" "&amp;Milestones!$AB$117&amp;" "&amp;Milestones!$AC$117&amp;";  ","")&amp;IF(AND(EDATE($D28,Milestones!$AA$118)&lt;=AsOfDate,IF($R28=0,$X28,IF(AND($T28&lt;&gt;"",EDATE($D28,Milestones!$AA$118)&gt;=$T28),$W28,IF(AND($S28&lt;&gt;"",EDATE($D28,Milestones!$AA$118)&gt;=$S28),$V28,$U28)))=Milestones!$AB$118),UPPER(TEXT(EDATE($D28,Milestones!$AA$118),"dd mmm yy"))&amp;" "&amp;Milestones!$AB$118&amp;" "&amp;Milestones!$AC$118&amp;";  ","")&amp;IF(AND(EDATE($D28,Milestones!$AA$119)&lt;=AsOfDate,IF($R28=0,$X28,IF(AND($T28&lt;&gt;"",EDATE($D28,Milestones!$AA$119)&gt;=$T28),$W28,IF(AND($S28&lt;&gt;"",EDATE($D28,Milestones!$AA$119)&gt;=$S28),$V28,$U28)))=Milestones!$AB$119),UPPER(TEXT(EDATE($D28,Milestones!$AA$119),"dd mmm yy"))&amp;" "&amp;Milestones!$AB$119&amp;" "&amp;Milestones!$AC$119&amp;";  ",""))</f>
        <v/>
      </c>
      <c r="N28" s="0" t="str">
        <f aca="false">IF(OR($A28="",$D28=""),"",IF(AND(EDATE($D28,Milestones!$AA$120)&lt;=AsOfDate,IF($R28=0,$X28,IF(AND($T28&lt;&gt;"",EDATE($D28,Milestones!$AA$120)&gt;=$T28),$W28,IF(AND($S28&lt;&gt;"",EDATE($D28,Milestones!$AA$120)&gt;=$S28),$V28,$U28)))=Milestones!$AB$120),UPPER(TEXT(EDATE($D28,Milestones!$AA$120),"dd mmm yy"))&amp;" "&amp;Milestones!$AB$120&amp;" "&amp;Milestones!$AC$120&amp;";  ","")&amp;IF(AND(EDATE($D28,Milestones!$AA$121)&lt;=AsOfDate,IF($R28=0,$X28,IF(AND($T28&lt;&gt;"",EDATE($D28,Milestones!$AA$121)&gt;=$T28),$W28,IF(AND($S28&lt;&gt;"",EDATE($D28,Milestones!$AA$121)&gt;=$S28),$V28,$U28)))=Milestones!$AB$121),UPPER(TEXT(EDATE($D28,Milestones!$AA$121),"dd mmm yy"))&amp;" "&amp;Milestones!$AB$121&amp;" "&amp;Milestones!$AC$121&amp;";  ","")&amp;IF(AND(EDATE($D28,Milestones!$AA$122)&lt;=AsOfDate,IF($R28=0,$X28,IF(AND($T28&lt;&gt;"",EDATE($D28,Milestones!$AA$122)&gt;=$T28),$W28,IF(AND($S28&lt;&gt;"",EDATE($D28,Milestones!$AA$122)&gt;=$S28),$V28,$U28)))=Milestones!$AB$122),UPPER(TEXT(EDATE($D28,Milestones!$AA$122),"dd mmm yy"))&amp;" "&amp;Milestones!$AB$122&amp;" "&amp;Milestones!$AC$122&amp;";  ","")&amp;IF(AND(EDATE($D28,Milestones!$AA$123)&lt;=AsOfDate,IF($R28=0,$X28,IF(AND($T28&lt;&gt;"",EDATE($D28,Milestones!$AA$123)&gt;=$T28),$W28,IF(AND($S28&lt;&gt;"",EDATE($D28,Milestones!$AA$123)&gt;=$S28),$V28,$U28)))=Milestones!$AB$123),UPPER(TEXT(EDATE($D28,Milestones!$AA$123),"dd mmm yy"))&amp;" "&amp;Milestones!$AB$123&amp;" "&amp;Milestones!$AC$123&amp;";  ","")&amp;IF(AND(EDATE($D28,Milestones!$AA$124)&lt;=AsOfDate,IF($R28=0,$X28,IF(AND($T28&lt;&gt;"",EDATE($D28,Milestones!$AA$124)&gt;=$T28),$W28,IF(AND($S28&lt;&gt;"",EDATE($D28,Milestones!$AA$124)&gt;=$S28),$V28,$U28)))=Milestones!$AB$124),UPPER(TEXT(EDATE($D28,Milestones!$AA$124),"dd mmm yy"))&amp;" "&amp;Milestones!$AB$124&amp;" "&amp;Milestones!$AC$124&amp;";  ","")&amp;IF(AND(EDATE($D28,Milestones!$AA$125)&lt;=AsOfDate,IF($R28=0,$X28,IF(AND($T28&lt;&gt;"",EDATE($D28,Milestones!$AA$125)&gt;=$T28),$W28,IF(AND($S28&lt;&gt;"",EDATE($D28,Milestones!$AA$125)&gt;=$S28),$V28,$U28)))=Milestones!$AB$125),UPPER(TEXT(EDATE($D28,Milestones!$AA$125),"dd mmm yy"))&amp;" "&amp;Milestones!$AB$125&amp;" "&amp;Milestones!$AC$125&amp;";  ","")&amp;IF(AND(EDATE($D28,Milestones!$AA$126)&lt;=AsOfDate,IF($R28=0,$X28,IF(AND($T28&lt;&gt;"",EDATE($D28,Milestones!$AA$126)&gt;=$T28),$W28,IF(AND($S28&lt;&gt;"",EDATE($D28,Milestones!$AA$126)&gt;=$S28),$V28,$U28)))=Milestones!$AB$126),UPPER(TEXT(EDATE($D28,Milestones!$AA$126),"dd mmm yy"))&amp;" "&amp;Milestones!$AB$126&amp;" "&amp;Milestones!$AC$126&amp;";  ","")&amp;IF(AND(EDATE($D28,Milestones!$AA$127)&lt;=AsOfDate,IF($R28=0,$X28,IF(AND($T28&lt;&gt;"",EDATE($D28,Milestones!$AA$127)&gt;=$T28),$W28,IF(AND($S28&lt;&gt;"",EDATE($D28,Milestones!$AA$127)&gt;=$S28),$V28,$U28)))=Milestones!$AB$127),UPPER(TEXT(EDATE($D28,Milestones!$AA$127),"dd mmm yy"))&amp;" "&amp;Milestones!$AB$127&amp;" "&amp;Milestones!$AC$127&amp;";  ","")&amp;IF(AND(EDATE($D28,Milestones!$AA$128)&lt;=AsOfDate,IF($R28=0,$X28,IF(AND($T28&lt;&gt;"",EDATE($D28,Milestones!$AA$128)&gt;=$T28),$W28,IF(AND($S28&lt;&gt;"",EDATE($D28,Milestones!$AA$128)&gt;=$S28),$V28,$U28)))=Milestones!$AB$128),UPPER(TEXT(EDATE($D28,Milestones!$AA$128),"dd mmm yy"))&amp;" "&amp;Milestones!$AB$128&amp;" "&amp;Milestones!$AC$128&amp;";  ","")&amp;IF(AND(EDATE($D28,Milestones!$AA$129)&lt;=AsOfDate,IF($R28=0,$X28,IF(AND($T28&lt;&gt;"",EDATE($D28,Milestones!$AA$129)&gt;=$T28),$W28,IF(AND($S28&lt;&gt;"",EDATE($D28,Milestones!$AA$129)&gt;=$S28),$V28,$U28)))=Milestones!$AB$129),UPPER(TEXT(EDATE($D28,Milestones!$AA$129),"dd mmm yy"))&amp;" "&amp;Milestones!$AB$129&amp;" "&amp;Milestones!$AC$129&amp;";  ","")&amp;IF(AND(EDATE($D28,Milestones!$AA$130)&lt;=AsOfDate,IF($R28=0,$X28,IF(AND($T28&lt;&gt;"",EDATE($D28,Milestones!$AA$130)&gt;=$T28),$W28,IF(AND($S28&lt;&gt;"",EDATE($D28,Milestones!$AA$130)&gt;=$S28),$V28,$U28)))=Milestones!$AB$130),UPPER(TEXT(EDATE($D28,Milestones!$AA$130),"dd mmm yy"))&amp;" "&amp;Milestones!$AB$130&amp;" "&amp;Milestones!$AC$130&amp;";  ","")&amp;IF(AND(EDATE($D28,Milestones!$AA$131)&lt;=AsOfDate,IF($R28=0,$X28,IF(AND($T28&lt;&gt;"",EDATE($D28,Milestones!$AA$131)&gt;=$T28),$W28,IF(AND($S28&lt;&gt;"",EDATE($D28,Milestones!$AA$131)&gt;=$S28),$V28,$U28)))=Milestones!$AB$131),UPPER(TEXT(EDATE($D28,Milestones!$AA$131),"dd mmm yy"))&amp;" "&amp;Milestones!$AB$131&amp;" "&amp;Milestones!$AC$131&amp;";  ","")&amp;IF(AND(EDATE($D28,Milestones!$AA$132)&lt;=AsOfDate,IF($R28=0,$X28,IF(AND($T28&lt;&gt;"",EDATE($D28,Milestones!$AA$132)&gt;=$T28),$W28,IF(AND($S28&lt;&gt;"",EDATE($D28,Milestones!$AA$132)&gt;=$S28),$V28,$U28)))=Milestones!$AB$132),UPPER(TEXT(EDATE($D28,Milestones!$AA$132),"dd mmm yy"))&amp;" "&amp;Milestones!$AB$132&amp;" "&amp;Milestones!$AC$132&amp;";  ","")&amp;IF(AND(EDATE($D28,Milestones!$AA$133)&lt;=AsOfDate,IF($R28=0,$X28,IF(AND($T28&lt;&gt;"",EDATE($D28,Milestones!$AA$133)&gt;=$T28),$W28,IF(AND($S28&lt;&gt;"",EDATE($D28,Milestones!$AA$133)&gt;=$S28),$V28,$U28)))=Milestones!$AB$133),UPPER(TEXT(EDATE($D28,Milestones!$AA$133),"dd mmm yy"))&amp;" "&amp;Milestones!$AB$133&amp;" "&amp;Milestones!$AC$133&amp;";  ","")&amp;IF(AND(EDATE($D28,Milestones!$AA$134)&lt;=AsOfDate,IF($R28=0,$X28,IF(AND($T28&lt;&gt;"",EDATE($D28,Milestones!$AA$134)&gt;=$T28),$W28,IF(AND($S28&lt;&gt;"",EDATE($D28,Milestones!$AA$134)&gt;=$S28),$V28,$U28)))=Milestones!$AB$134),UPPER(TEXT(EDATE($D28,Milestones!$AA$134),"dd mmm yy"))&amp;" "&amp;Milestones!$AB$134&amp;" "&amp;Milestones!$AC$134&amp;";  ","")&amp;IF(AND(EDATE($D28,Milestones!$AA$135)&lt;=AsOfDate,IF($R28=0,$X28,IF(AND($T28&lt;&gt;"",EDATE($D28,Milestones!$AA$135)&gt;=$T28),$W28,IF(AND($S28&lt;&gt;"",EDATE($D28,Milestones!$AA$135)&gt;=$S28),$V28,$U28)))=Milestones!$AB$135),UPPER(TEXT(EDATE($D28,Milestones!$AA$135),"dd mmm yy"))&amp;" "&amp;Milestones!$AB$135&amp;" "&amp;Milestones!$AC$135&amp;";  ","")&amp;IF(AND(EDATE($D28,Milestones!$AA$136)&lt;=AsOfDate,IF($R28=0,$X28,IF(AND($T28&lt;&gt;"",EDATE($D28,Milestones!$AA$136)&gt;=$T28),$W28,IF(AND($S28&lt;&gt;"",EDATE($D28,Milestones!$AA$136)&gt;=$S28),$V28,$U28)))=Milestones!$AB$136),UPPER(TEXT(EDATE($D28,Milestones!$AA$136),"dd mmm yy"))&amp;" "&amp;Milestones!$AB$136&amp;" "&amp;Milestones!$AC$136&amp;";  ","")&amp;IF(AND(EDATE($D28,Milestones!$AA$137)&lt;=AsOfDate,IF($R28=0,$X28,IF(AND($T28&lt;&gt;"",EDATE($D28,Milestones!$AA$137)&gt;=$T28),$W28,IF(AND($S28&lt;&gt;"",EDATE($D28,Milestones!$AA$137)&gt;=$S28),$V28,$U28)))=Milestones!$AB$137),UPPER(TEXT(EDATE($D28,Milestones!$AA$137),"dd mmm yy"))&amp;" "&amp;Milestones!$AB$137&amp;" "&amp;Milestones!$AC$137&amp;";  ","")&amp;IF(AND(EDATE($D28,Milestones!$AA$138)&lt;=AsOfDate,IF($R28=0,$X28,IF(AND($T28&lt;&gt;"",EDATE($D28,Milestones!$AA$138)&gt;=$T28),$W28,IF(AND($S28&lt;&gt;"",EDATE($D28,Milestones!$AA$138)&gt;=$S28),$V28,$U28)))=Milestones!$AB$138),UPPER(TEXT(EDATE($D28,Milestones!$AA$138),"dd mmm yy"))&amp;" "&amp;Milestones!$AB$138&amp;" "&amp;Milestones!$AC$138&amp;";  ","")&amp;IF(AND(EDATE($D28,Milestones!$AA$139)&lt;=AsOfDate,IF($R28=0,$X28,IF(AND($T28&lt;&gt;"",EDATE($D28,Milestones!$AA$139)&gt;=$T28),$W28,IF(AND($S28&lt;&gt;"",EDATE($D28,Milestones!$AA$139)&gt;=$S28),$V28,$U28)))=Milestones!$AB$139),UPPER(TEXT(EDATE($D28,Milestones!$AA$139),"dd mmm yy"))&amp;" "&amp;Milestones!$AB$139&amp;" "&amp;Milestones!$AC$139&amp;";  ",""))</f>
        <v/>
      </c>
      <c r="O28" s="0" t="str">
        <f aca="false">IF(OR($A28="",$D28=""),"",IF(AND(EDATE($D28,Milestones!$AA$140)&lt;=AsOfDate,IF($R28=0,$X28,IF(AND($T28&lt;&gt;"",EDATE($D28,Milestones!$AA$140)&gt;=$T28),$W28,IF(AND($S28&lt;&gt;"",EDATE($D28,Milestones!$AA$140)&gt;=$S28),$V28,$U28)))=Milestones!$AB$140),UPPER(TEXT(EDATE($D28,Milestones!$AA$140),"dd mmm yy"))&amp;" "&amp;Milestones!$AB$140&amp;" "&amp;Milestones!$AC$140&amp;";  ","")&amp;IF(AND(EDATE($D28,Milestones!$AA$141)&lt;=AsOfDate,IF($R28=0,$X28,IF(AND($T28&lt;&gt;"",EDATE($D28,Milestones!$AA$141)&gt;=$T28),$W28,IF(AND($S28&lt;&gt;"",EDATE($D28,Milestones!$AA$141)&gt;=$S28),$V28,$U28)))=Milestones!$AB$141),UPPER(TEXT(EDATE($D28,Milestones!$AA$141),"dd mmm yy"))&amp;" "&amp;Milestones!$AB$141&amp;" "&amp;Milestones!$AC$141&amp;";  ","")&amp;IF(AND(EDATE($D28,Milestones!$AA$142)&lt;=AsOfDate,IF($R28=0,$X28,IF(AND($T28&lt;&gt;"",EDATE($D28,Milestones!$AA$142)&gt;=$T28),$W28,IF(AND($S28&lt;&gt;"",EDATE($D28,Milestones!$AA$142)&gt;=$S28),$V28,$U28)))=Milestones!$AB$142),UPPER(TEXT(EDATE($D28,Milestones!$AA$142),"dd mmm yy"))&amp;" "&amp;Milestones!$AB$142&amp;" "&amp;Milestones!$AC$142&amp;";  ","")&amp;IF(AND(EDATE($D28,Milestones!$AA$143)&lt;=AsOfDate,IF($R28=0,$X28,IF(AND($T28&lt;&gt;"",EDATE($D28,Milestones!$AA$143)&gt;=$T28),$W28,IF(AND($S28&lt;&gt;"",EDATE($D28,Milestones!$AA$143)&gt;=$S28),$V28,$U28)))=Milestones!$AB$143),UPPER(TEXT(EDATE($D28,Milestones!$AA$143),"dd mmm yy"))&amp;" "&amp;Milestones!$AB$143&amp;" "&amp;Milestones!$AC$143&amp;";  ","")&amp;IF(AND(EDATE($D28,Milestones!$AA$144)&lt;=AsOfDate,IF($R28=0,$X28,IF(AND($T28&lt;&gt;"",EDATE($D28,Milestones!$AA$144)&gt;=$T28),$W28,IF(AND($S28&lt;&gt;"",EDATE($D28,Milestones!$AA$144)&gt;=$S28),$V28,$U28)))=Milestones!$AB$144),UPPER(TEXT(EDATE($D28,Milestones!$AA$144),"dd mmm yy"))&amp;" "&amp;Milestones!$AB$144&amp;" "&amp;Milestones!$AC$144&amp;";  ","")&amp;IF(AND(EDATE($D28,Milestones!$AA$145)&lt;=AsOfDate,IF($R28=0,$X28,IF(AND($T28&lt;&gt;"",EDATE($D28,Milestones!$AA$145)&gt;=$T28),$W28,IF(AND($S28&lt;&gt;"",EDATE($D28,Milestones!$AA$145)&gt;=$S28),$V28,$U28)))=Milestones!$AB$145),UPPER(TEXT(EDATE($D28,Milestones!$AA$145),"dd mmm yy"))&amp;" "&amp;Milestones!$AB$145&amp;" "&amp;Milestones!$AC$145&amp;";  ","")&amp;IF(AND(EDATE($D28,Milestones!$AA$146)&lt;=AsOfDate,IF($R28=0,$X28,IF(AND($T28&lt;&gt;"",EDATE($D28,Milestones!$AA$146)&gt;=$T28),$W28,IF(AND($S28&lt;&gt;"",EDATE($D28,Milestones!$AA$146)&gt;=$S28),$V28,$U28)))=Milestones!$AB$146),UPPER(TEXT(EDATE($D28,Milestones!$AA$146),"dd mmm yy"))&amp;" "&amp;Milestones!$AB$146&amp;" "&amp;Milestones!$AC$146&amp;";  ","")&amp;IF(AND(EDATE($D28,Milestones!$AA$147)&lt;=AsOfDate,IF($R28=0,$X28,IF(AND($T28&lt;&gt;"",EDATE($D28,Milestones!$AA$147)&gt;=$T28),$W28,IF(AND($S28&lt;&gt;"",EDATE($D28,Milestones!$AA$147)&gt;=$S28),$V28,$U28)))=Milestones!$AB$147),UPPER(TEXT(EDATE($D28,Milestones!$AA$147),"dd mmm yy"))&amp;" "&amp;Milestones!$AB$147&amp;" "&amp;Milestones!$AC$147&amp;";  ","")&amp;IF(AND(EDATE($D28,Milestones!$AA$148)&lt;=AsOfDate,IF($R28=0,$X28,IF(AND($T28&lt;&gt;"",EDATE($D28,Milestones!$AA$148)&gt;=$T28),$W28,IF(AND($S28&lt;&gt;"",EDATE($D28,Milestones!$AA$148)&gt;=$S28),$V28,$U28)))=Milestones!$AB$148),UPPER(TEXT(EDATE($D28,Milestones!$AA$148),"dd mmm yy"))&amp;" "&amp;Milestones!$AB$148&amp;" "&amp;Milestones!$AC$148&amp;";  ","")&amp;IF(AND(EDATE($D28,Milestones!$AA$149)&lt;=AsOfDate,IF($R28=0,$X28,IF(AND($T28&lt;&gt;"",EDATE($D28,Milestones!$AA$149)&gt;=$T28),$W28,IF(AND($S28&lt;&gt;"",EDATE($D28,Milestones!$AA$149)&gt;=$S28),$V28,$U28)))=Milestones!$AB$149),UPPER(TEXT(EDATE($D28,Milestones!$AA$149),"dd mmm yy"))&amp;" "&amp;Milestones!$AB$149&amp;" "&amp;Milestones!$AC$149&amp;";  ","")&amp;IF(AND(EDATE($D28,Milestones!$AA$150)&lt;=AsOfDate,IF($R28=0,$X28,IF(AND($T28&lt;&gt;"",EDATE($D28,Milestones!$AA$150)&gt;=$T28),$W28,IF(AND($S28&lt;&gt;"",EDATE($D28,Milestones!$AA$150)&gt;=$S28),$V28,$U28)))=Milestones!$AB$150),UPPER(TEXT(EDATE($D28,Milestones!$AA$150),"dd mmm yy"))&amp;" "&amp;Milestones!$AB$150&amp;" "&amp;Milestones!$AC$150&amp;";  ","")&amp;IF(AND(EDATE($D28,Milestones!$AA$151)&lt;=AsOfDate,IF($R28=0,$X28,IF(AND($T28&lt;&gt;"",EDATE($D28,Milestones!$AA$151)&gt;=$T28),$W28,IF(AND($S28&lt;&gt;"",EDATE($D28,Milestones!$AA$151)&gt;=$S28),$V28,$U28)))=Milestones!$AB$151),UPPER(TEXT(EDATE($D28,Milestones!$AA$151),"dd mmm yy"))&amp;" "&amp;Milestones!$AB$151&amp;" "&amp;Milestones!$AC$151&amp;";  ","")&amp;IF(AND(EDATE($D28,Milestones!$AA$152)&lt;=AsOfDate,IF($R28=0,$X28,IF(AND($T28&lt;&gt;"",EDATE($D28,Milestones!$AA$152)&gt;=$T28),$W28,IF(AND($S28&lt;&gt;"",EDATE($D28,Milestones!$AA$152)&gt;=$S28),$V28,$U28)))=Milestones!$AB$152),UPPER(TEXT(EDATE($D28,Milestones!$AA$152),"dd mmm yy"))&amp;" "&amp;Milestones!$AB$152&amp;" "&amp;Milestones!$AC$152&amp;";  ","")&amp;IF(AND(EDATE($D28,Milestones!$AA$153)&lt;=AsOfDate,IF($R28=0,$X28,IF(AND($T28&lt;&gt;"",EDATE($D28,Milestones!$AA$153)&gt;=$T28),$W28,IF(AND($S28&lt;&gt;"",EDATE($D28,Milestones!$AA$153)&gt;=$S28),$V28,$U28)))=Milestones!$AB$153),UPPER(TEXT(EDATE($D28,Milestones!$AA$153),"dd mmm yy"))&amp;" "&amp;Milestones!$AB$153&amp;" "&amp;Milestones!$AC$153&amp;";  ","")&amp;IF(AND(EDATE($D28,Milestones!$AA$154)&lt;=AsOfDate,IF($R28=0,$X28,IF(AND($T28&lt;&gt;"",EDATE($D28,Milestones!$AA$154)&gt;=$T28),$W28,IF(AND($S28&lt;&gt;"",EDATE($D28,Milestones!$AA$154)&gt;=$S28),$V28,$U28)))=Milestones!$AB$154),UPPER(TEXT(EDATE($D28,Milestones!$AA$154),"dd mmm yy"))&amp;" "&amp;Milestones!$AB$154&amp;" "&amp;Milestones!$AC$154&amp;";  ","")&amp;IF(AND(EDATE($D28,Milestones!$AA$155)&lt;=AsOfDate,IF($R28=0,$X28,IF(AND($T28&lt;&gt;"",EDATE($D28,Milestones!$AA$155)&gt;=$T28),$W28,IF(AND($S28&lt;&gt;"",EDATE($D28,Milestones!$AA$155)&gt;=$S28),$V28,$U28)))=Milestones!$AB$155),UPPER(TEXT(EDATE($D28,Milestones!$AA$155),"dd mmm yy"))&amp;" "&amp;Milestones!$AB$155&amp;" "&amp;Milestones!$AC$155&amp;";  ","")&amp;IF(AND(EDATE($D28,Milestones!$AA$156)&lt;=AsOfDate,IF($R28=0,$X28,IF(AND($T28&lt;&gt;"",EDATE($D28,Milestones!$AA$156)&gt;=$T28),$W28,IF(AND($S28&lt;&gt;"",EDATE($D28,Milestones!$AA$156)&gt;=$S28),$V28,$U28)))=Milestones!$AB$156),UPPER(TEXT(EDATE($D28,Milestones!$AA$156),"dd mmm yy"))&amp;" "&amp;Milestones!$AB$156&amp;" "&amp;Milestones!$AC$156&amp;";  ","")&amp;IF(AND(EDATE($D28,Milestones!$AA$157)&lt;=AsOfDate,IF($R28=0,$X28,IF(AND($T28&lt;&gt;"",EDATE($D28,Milestones!$AA$157)&gt;=$T28),$W28,IF(AND($S28&lt;&gt;"",EDATE($D28,Milestones!$AA$157)&gt;=$S28),$V28,$U28)))=Milestones!$AB$157),UPPER(TEXT(EDATE($D28,Milestones!$AA$157),"dd mmm yy"))&amp;" "&amp;Milestones!$AB$157&amp;" "&amp;Milestones!$AC$157&amp;";  ","")&amp;IF(AND(EDATE($D28,Milestones!$AA$158)&lt;=AsOfDate,IF($R28=0,$X28,IF(AND($T28&lt;&gt;"",EDATE($D28,Milestones!$AA$158)&gt;=$T28),$W28,IF(AND($S28&lt;&gt;"",EDATE($D28,Milestones!$AA$158)&gt;=$S28),$V28,$U28)))=Milestones!$AB$158),UPPER(TEXT(EDATE($D28,Milestones!$AA$158),"dd mmm yy"))&amp;" "&amp;Milestones!$AB$158&amp;" "&amp;Milestones!$AC$158&amp;";  ","")&amp;IF(AND(EDATE($D28,Milestones!$AA$159)&lt;=AsOfDate,IF($R28=0,$X28,IF(AND($T28&lt;&gt;"",EDATE($D28,Milestones!$AA$159)&gt;=$T28),$W28,IF(AND($S28&lt;&gt;"",EDATE($D28,Milestones!$AA$159)&gt;=$S28),$V28,$U28)))=Milestones!$AB$159),UPPER(TEXT(EDATE($D28,Milestones!$AA$159),"dd mmm yy"))&amp;" "&amp;Milestones!$AB$159&amp;" "&amp;Milestones!$AC$159&amp;";  ",""))</f>
        <v/>
      </c>
      <c r="P28" s="0" t="str">
        <f aca="false">IF(OR($A28="",$D28=""),"",IF(AND(EDATE($D28,Milestones!$AA$160)&lt;=AsOfDate,IF($R28=0,$X28,IF(AND($T28&lt;&gt;"",EDATE($D28,Milestones!$AA$160)&gt;=$T28),$W28,IF(AND($S28&lt;&gt;"",EDATE($D28,Milestones!$AA$160)&gt;=$S28),$V28,$U28)))=Milestones!$AB$160),UPPER(TEXT(EDATE($D28,Milestones!$AA$160),"dd mmm yy"))&amp;" "&amp;Milestones!$AB$160&amp;" "&amp;Milestones!$AC$160&amp;";  ","")&amp;IF(AND(EDATE($D28,Milestones!$AA$161)&lt;=AsOfDate,IF($R28=0,$X28,IF(AND($T28&lt;&gt;"",EDATE($D28,Milestones!$AA$161)&gt;=$T28),$W28,IF(AND($S28&lt;&gt;"",EDATE($D28,Milestones!$AA$161)&gt;=$S28),$V28,$U28)))=Milestones!$AB$161),UPPER(TEXT(EDATE($D28,Milestones!$AA$161),"dd mmm yy"))&amp;" "&amp;Milestones!$AB$161&amp;" "&amp;Milestones!$AC$161&amp;";  ","")&amp;IF(AND(EDATE($D28,Milestones!$AA$162)&lt;=AsOfDate,IF($R28=0,$X28,IF(AND($T28&lt;&gt;"",EDATE($D28,Milestones!$AA$162)&gt;=$T28),$W28,IF(AND($S28&lt;&gt;"",EDATE($D28,Milestones!$AA$162)&gt;=$S28),$V28,$U28)))=Milestones!$AB$162),UPPER(TEXT(EDATE($D28,Milestones!$AA$162),"dd mmm yy"))&amp;" "&amp;Milestones!$AB$162&amp;" "&amp;Milestones!$AC$162&amp;";  ","")&amp;IF(AND(EDATE($D28,Milestones!$AA$163)&lt;=AsOfDate,IF($R28=0,$X28,IF(AND($T28&lt;&gt;"",EDATE($D28,Milestones!$AA$163)&gt;=$T28),$W28,IF(AND($S28&lt;&gt;"",EDATE($D28,Milestones!$AA$163)&gt;=$S28),$V28,$U28)))=Milestones!$AB$163),UPPER(TEXT(EDATE($D28,Milestones!$AA$163),"dd mmm yy"))&amp;" "&amp;Milestones!$AB$163&amp;" "&amp;Milestones!$AC$163&amp;";  ","")&amp;IF(AND(EDATE($D28,Milestones!$AA$164)&lt;=AsOfDate,IF($R28=0,$X28,IF(AND($T28&lt;&gt;"",EDATE($D28,Milestones!$AA$164)&gt;=$T28),$W28,IF(AND($S28&lt;&gt;"",EDATE($D28,Milestones!$AA$164)&gt;=$S28),$V28,$U28)))=Milestones!$AB$164),UPPER(TEXT(EDATE($D28,Milestones!$AA$164),"dd mmm yy"))&amp;" "&amp;Milestones!$AB$164&amp;" "&amp;Milestones!$AC$164&amp;";  ","")&amp;IF(AND(EDATE($D28,Milestones!$AA$165)&lt;=AsOfDate,IF($R28=0,$X28,IF(AND($T28&lt;&gt;"",EDATE($D28,Milestones!$AA$165)&gt;=$T28),$W28,IF(AND($S28&lt;&gt;"",EDATE($D28,Milestones!$AA$165)&gt;=$S28),$V28,$U28)))=Milestones!$AB$165),UPPER(TEXT(EDATE($D28,Milestones!$AA$165),"dd mmm yy"))&amp;" "&amp;Milestones!$AB$165&amp;" "&amp;Milestones!$AC$165&amp;";  ","")&amp;IF(AND(EDATE($D28,Milestones!$AA$166)&lt;=AsOfDate,IF($R28=0,$X28,IF(AND($T28&lt;&gt;"",EDATE($D28,Milestones!$AA$166)&gt;=$T28),$W28,IF(AND($S28&lt;&gt;"",EDATE($D28,Milestones!$AA$166)&gt;=$S28),$V28,$U28)))=Milestones!$AB$166),UPPER(TEXT(EDATE($D28,Milestones!$AA$166),"dd mmm yy"))&amp;" "&amp;Milestones!$AB$166&amp;" "&amp;Milestones!$AC$166&amp;";  ","")&amp;IF(AND(EDATE($D28,Milestones!$AA$167)&lt;=AsOfDate,IF($R28=0,$X28,IF(AND($T28&lt;&gt;"",EDATE($D28,Milestones!$AA$167)&gt;=$T28),$W28,IF(AND($S28&lt;&gt;"",EDATE($D28,Milestones!$AA$167)&gt;=$S28),$V28,$U28)))=Milestones!$AB$167),UPPER(TEXT(EDATE($D28,Milestones!$AA$167),"dd mmm yy"))&amp;" "&amp;Milestones!$AB$167&amp;" "&amp;Milestones!$AC$167&amp;";  ","")&amp;IF(AND(EDATE($D28,Milestones!$AA$168)&lt;=AsOfDate,IF($R28=0,$X28,IF(AND($T28&lt;&gt;"",EDATE($D28,Milestones!$AA$168)&gt;=$T28),$W28,IF(AND($S28&lt;&gt;"",EDATE($D28,Milestones!$AA$168)&gt;=$S28),$V28,$U28)))=Milestones!$AB$168),UPPER(TEXT(EDATE($D28,Milestones!$AA$168),"dd mmm yy"))&amp;" "&amp;Milestones!$AB$168&amp;" "&amp;Milestones!$AC$168&amp;";  ","")&amp;IF(AND(EDATE($D28,Milestones!$AA$169)&lt;=AsOfDate,IF($R28=0,$X28,IF(AND($T28&lt;&gt;"",EDATE($D28,Milestones!$AA$169)&gt;=$T28),$W28,IF(AND($S28&lt;&gt;"",EDATE($D28,Milestones!$AA$169)&gt;=$S28),$V28,$U28)))=Milestones!$AB$169),UPPER(TEXT(EDATE($D28,Milestones!$AA$169),"dd mmm yy"))&amp;" "&amp;Milestones!$AB$169&amp;" "&amp;Milestones!$AC$169&amp;";  ","")&amp;IF(AND(EDATE($D28,Milestones!$AA$170)&lt;=AsOfDate,IF($R28=0,$X28,IF(AND($T28&lt;&gt;"",EDATE($D28,Milestones!$AA$170)&gt;=$T28),$W28,IF(AND($S28&lt;&gt;"",EDATE($D28,Milestones!$AA$170)&gt;=$S28),$V28,$U28)))=Milestones!$AB$170),UPPER(TEXT(EDATE($D28,Milestones!$AA$170),"dd mmm yy"))&amp;" "&amp;Milestones!$AB$170&amp;" "&amp;Milestones!$AC$170&amp;";  ","")&amp;IF(AND(EDATE($D28,Milestones!$AA$171)&lt;=AsOfDate,IF($R28=0,$X28,IF(AND($T28&lt;&gt;"",EDATE($D28,Milestones!$AA$171)&gt;=$T28),$W28,IF(AND($S28&lt;&gt;"",EDATE($D28,Milestones!$AA$171)&gt;=$S28),$V28,$U28)))=Milestones!$AB$171),UPPER(TEXT(EDATE($D28,Milestones!$AA$171),"dd mmm yy"))&amp;" "&amp;Milestones!$AB$171&amp;" "&amp;Milestones!$AC$171&amp;";  ","")&amp;IF(AND(EDATE($D28,Milestones!$AA$172)&lt;=AsOfDate,IF($R28=0,$X28,IF(AND($T28&lt;&gt;"",EDATE($D28,Milestones!$AA$172)&gt;=$T28),$W28,IF(AND($S28&lt;&gt;"",EDATE($D28,Milestones!$AA$172)&gt;=$S28),$V28,$U28)))=Milestones!$AB$172),UPPER(TEXT(EDATE($D28,Milestones!$AA$172),"dd mmm yy"))&amp;" "&amp;Milestones!$AB$172&amp;" "&amp;Milestones!$AC$172&amp;";  ","")&amp;IF(AND(EDATE($D28,Milestones!$AA$173)&lt;=AsOfDate,IF($R28=0,$X28,IF(AND($T28&lt;&gt;"",EDATE($D28,Milestones!$AA$173)&gt;=$T28),$W28,IF(AND($S28&lt;&gt;"",EDATE($D28,Milestones!$AA$173)&gt;=$S28),$V28,$U28)))=Milestones!$AB$173),UPPER(TEXT(EDATE($D28,Milestones!$AA$173),"dd mmm yy"))&amp;" "&amp;Milestones!$AB$173&amp;" "&amp;Milestones!$AC$173&amp;";  ","")&amp;IF(AND(EDATE($D28,Milestones!$AA$174)&lt;=AsOfDate,IF($R28=0,$X28,IF(AND($T28&lt;&gt;"",EDATE($D28,Milestones!$AA$174)&gt;=$T28),$W28,IF(AND($S28&lt;&gt;"",EDATE($D28,Milestones!$AA$174)&gt;=$S28),$V28,$U28)))=Milestones!$AB$174),UPPER(TEXT(EDATE($D28,Milestones!$AA$174),"dd mmm yy"))&amp;" "&amp;Milestones!$AB$174&amp;" "&amp;Milestones!$AC$174&amp;";  ","")&amp;IF(AND(EDATE($D28,Milestones!$AA$175)&lt;=AsOfDate,IF($R28=0,$X28,IF(AND($T28&lt;&gt;"",EDATE($D28,Milestones!$AA$175)&gt;=$T28),$W28,IF(AND($S28&lt;&gt;"",EDATE($D28,Milestones!$AA$175)&gt;=$S28),$V28,$U28)))=Milestones!$AB$175),UPPER(TEXT(EDATE($D28,Milestones!$AA$175),"dd mmm yy"))&amp;" "&amp;Milestones!$AB$175&amp;" "&amp;Milestones!$AC$175&amp;";  ","")&amp;IF(AND(EDATE($D28,Milestones!$AA$176)&lt;=AsOfDate,IF($R28=0,$X28,IF(AND($T28&lt;&gt;"",EDATE($D28,Milestones!$AA$176)&gt;=$T28),$W28,IF(AND($S28&lt;&gt;"",EDATE($D28,Milestones!$AA$176)&gt;=$S28),$V28,$U28)))=Milestones!$AB$176),UPPER(TEXT(EDATE($D28,Milestones!$AA$176),"dd mmm yy"))&amp;" "&amp;Milestones!$AB$176&amp;" "&amp;Milestones!$AC$176&amp;";  ","")&amp;IF(AND(EDATE($D28,Milestones!$AA$177)&lt;=AsOfDate,IF($R28=0,$X28,IF(AND($T28&lt;&gt;"",EDATE($D28,Milestones!$AA$177)&gt;=$T28),$W28,IF(AND($S28&lt;&gt;"",EDATE($D28,Milestones!$AA$177)&gt;=$S28),$V28,$U28)))=Milestones!$AB$177),UPPER(TEXT(EDATE($D28,Milestones!$AA$177),"dd mmm yy"))&amp;" "&amp;Milestones!$AB$177&amp;" "&amp;Milestones!$AC$177&amp;";  ","")&amp;IF(AND(EDATE($D28,Milestones!$AA$178)&lt;=AsOfDate,IF($R28=0,$X28,IF(AND($T28&lt;&gt;"",EDATE($D28,Milestones!$AA$178)&gt;=$T28),$W28,IF(AND($S28&lt;&gt;"",EDATE($D28,Milestones!$AA$178)&gt;=$S28),$V28,$U28)))=Milestones!$AB$178),UPPER(TEXT(EDATE($D28,Milestones!$AA$178),"dd mmm yy"))&amp;" "&amp;Milestones!$AB$178&amp;" "&amp;Milestones!$AC$178&amp;";  ","")&amp;IF(AND(EDATE($D28,Milestones!$AA$179)&lt;=AsOfDate,IF($R28=0,$X28,IF(AND($T28&lt;&gt;"",EDATE($D28,Milestones!$AA$179)&gt;=$T28),$W28,IF(AND($S28&lt;&gt;"",EDATE($D28,Milestones!$AA$179)&gt;=$S28),$V28,$U28)))=Milestones!$AB$179),UPPER(TEXT(EDATE($D28,Milestones!$AA$179),"dd mmm yy"))&amp;" "&amp;Milestones!$AB$179&amp;" "&amp;Milestones!$AC$179&amp;";  ",""))</f>
        <v/>
      </c>
      <c r="Q28" s="0" t="str">
        <f aca="false">IF(OR($A28="",$D28=""),"",IF(AND(EDATE($D28,Milestones!$AA$180)&lt;=AsOfDate,IF($R28=0,$X28,IF(AND($T28&lt;&gt;"",EDATE($D28,Milestones!$AA$180)&gt;=$T28),$W28,IF(AND($S28&lt;&gt;"",EDATE($D28,Milestones!$AA$180)&gt;=$S28),$V28,$U28)))=Milestones!$AB$180),UPPER(TEXT(EDATE($D28,Milestones!$AA$180),"dd mmm yy"))&amp;" "&amp;Milestones!$AB$180&amp;" "&amp;Milestones!$AC$180&amp;";  ","")&amp;IF(AND(EDATE($D28,Milestones!$AA$181)&lt;=AsOfDate,IF($R28=0,$X28,IF(AND($T28&lt;&gt;"",EDATE($D28,Milestones!$AA$181)&gt;=$T28),$W28,IF(AND($S28&lt;&gt;"",EDATE($D28,Milestones!$AA$181)&gt;=$S28),$V28,$U28)))=Milestones!$AB$181),UPPER(TEXT(EDATE($D28,Milestones!$AA$181),"dd mmm yy"))&amp;" "&amp;Milestones!$AB$181&amp;" "&amp;Milestones!$AC$181&amp;";  ","")&amp;IF(AND(EDATE($D28,Milestones!$AA$182)&lt;=AsOfDate,IF($R28=0,$X28,IF(AND($T28&lt;&gt;"",EDATE($D28,Milestones!$AA$182)&gt;=$T28),$W28,IF(AND($S28&lt;&gt;"",EDATE($D28,Milestones!$AA$182)&gt;=$S28),$V28,$U28)))=Milestones!$AB$182),UPPER(TEXT(EDATE($D28,Milestones!$AA$182),"dd mmm yy"))&amp;" "&amp;Milestones!$AB$182&amp;" "&amp;Milestones!$AC$182&amp;";  ","")&amp;IF(AND(EDATE($D28,Milestones!$AA$183)&lt;=AsOfDate,IF($R28=0,$X28,IF(AND($T28&lt;&gt;"",EDATE($D28,Milestones!$AA$183)&gt;=$T28),$W28,IF(AND($S28&lt;&gt;"",EDATE($D28,Milestones!$AA$183)&gt;=$S28),$V28,$U28)))=Milestones!$AB$183),UPPER(TEXT(EDATE($D28,Milestones!$AA$183),"dd mmm yy"))&amp;" "&amp;Milestones!$AB$183&amp;" "&amp;Milestones!$AC$183&amp;";  ","")&amp;IF(AND(EDATE($D28,Milestones!$AA$184)&lt;=AsOfDate,IF($R28=0,$X28,IF(AND($T28&lt;&gt;"",EDATE($D28,Milestones!$AA$184)&gt;=$T28),$W28,IF(AND($S28&lt;&gt;"",EDATE($D28,Milestones!$AA$184)&gt;=$S28),$V28,$U28)))=Milestones!$AB$184),UPPER(TEXT(EDATE($D28,Milestones!$AA$184),"dd mmm yy"))&amp;" "&amp;Milestones!$AB$184&amp;" "&amp;Milestones!$AC$184&amp;";  ","")&amp;IF(AND(EDATE($D28,Milestones!$AA$185)&lt;=AsOfDate,IF($R28=0,$X28,IF(AND($T28&lt;&gt;"",EDATE($D28,Milestones!$AA$185)&gt;=$T28),$W28,IF(AND($S28&lt;&gt;"",EDATE($D28,Milestones!$AA$185)&gt;=$S28),$V28,$U28)))=Milestones!$AB$185),UPPER(TEXT(EDATE($D28,Milestones!$AA$185),"dd mmm yy"))&amp;" "&amp;Milestones!$AB$185&amp;" "&amp;Milestones!$AC$185&amp;";  ","")&amp;IF(AND(EDATE($D28,Milestones!$AA$186)&lt;=AsOfDate,IF($R28=0,$X28,IF(AND($T28&lt;&gt;"",EDATE($D28,Milestones!$AA$186)&gt;=$T28),$W28,IF(AND($S28&lt;&gt;"",EDATE($D28,Milestones!$AA$186)&gt;=$S28),$V28,$U28)))=Milestones!$AB$186),UPPER(TEXT(EDATE($D28,Milestones!$AA$186),"dd mmm yy"))&amp;" "&amp;Milestones!$AB$186&amp;" "&amp;Milestones!$AC$186&amp;";  ","")&amp;IF(AND(EDATE($D28,Milestones!$AA$187)&lt;=AsOfDate,IF($R28=0,$X28,IF(AND($T28&lt;&gt;"",EDATE($D28,Milestones!$AA$187)&gt;=$T28),$W28,IF(AND($S28&lt;&gt;"",EDATE($D28,Milestones!$AA$187)&gt;=$S28),$V28,$U28)))=Milestones!$AB$187),UPPER(TEXT(EDATE($D28,Milestones!$AA$187),"dd mmm yy"))&amp;" "&amp;Milestones!$AB$187&amp;" "&amp;Milestones!$AC$187&amp;";  ","")&amp;IF(AND(EDATE($D28,Milestones!$AA$188)&lt;=AsOfDate,IF($R28=0,$X28,IF(AND($T28&lt;&gt;"",EDATE($D28,Milestones!$AA$188)&gt;=$T28),$W28,IF(AND($S28&lt;&gt;"",EDATE($D28,Milestones!$AA$188)&gt;=$S28),$V28,$U28)))=Milestones!$AB$188),UPPER(TEXT(EDATE($D28,Milestones!$AA$188),"dd mmm yy"))&amp;" "&amp;Milestones!$AB$188&amp;" "&amp;Milestones!$AC$188&amp;";  ","")&amp;IF(AND(EDATE($D28,Milestones!$AA$189)&lt;=AsOfDate,IF($R28=0,$X28,IF(AND($T28&lt;&gt;"",EDATE($D28,Milestones!$AA$189)&gt;=$T28),$W28,IF(AND($S28&lt;&gt;"",EDATE($D28,Milestones!$AA$189)&gt;=$S28),$V28,$U28)))=Milestones!$AB$189),UPPER(TEXT(EDATE($D28,Milestones!$AA$189),"dd mmm yy"))&amp;" "&amp;Milestones!$AB$189&amp;" "&amp;Milestones!$AC$189&amp;";  ","")&amp;IF(AND(EDATE($D28,Milestones!$AA$190)&lt;=AsOfDate,IF($R28=0,$X28,IF(AND($T28&lt;&gt;"",EDATE($D28,Milestones!$AA$190)&gt;=$T28),$W28,IF(AND($S28&lt;&gt;"",EDATE($D28,Milestones!$AA$190)&gt;=$S28),$V28,$U28)))=Milestones!$AB$190),UPPER(TEXT(EDATE($D28,Milestones!$AA$190),"dd mmm yy"))&amp;" "&amp;Milestones!$AB$190&amp;" "&amp;Milestones!$AC$190&amp;";  ","")&amp;IF(AND(EDATE($D28,Milestones!$AA$191)&lt;=AsOfDate,IF($R28=0,$X28,IF(AND($T28&lt;&gt;"",EDATE($D28,Milestones!$AA$191)&gt;=$T28),$W28,IF(AND($S28&lt;&gt;"",EDATE($D28,Milestones!$AA$191)&gt;=$S28),$V28,$U28)))=Milestones!$AB$191),UPPER(TEXT(EDATE($D28,Milestones!$AA$191),"dd mmm yy"))&amp;" "&amp;Milestones!$AB$191&amp;" "&amp;Milestones!$AC$191&amp;";  ","")&amp;IF(AND(EDATE($D28,Milestones!$AA$192)&lt;=AsOfDate,IF($R28=0,$X28,IF(AND($T28&lt;&gt;"",EDATE($D28,Milestones!$AA$192)&gt;=$T28),$W28,IF(AND($S28&lt;&gt;"",EDATE($D28,Milestones!$AA$192)&gt;=$S28),$V28,$U28)))=Milestones!$AB$192),UPPER(TEXT(EDATE($D28,Milestones!$AA$192),"dd mmm yy"))&amp;" "&amp;Milestones!$AB$192&amp;" "&amp;Milestones!$AC$192&amp;";  ","")&amp;IF(AND(EDATE($D28,Milestones!$AA$193)&lt;=AsOfDate,IF($R28=0,$X28,IF(AND($T28&lt;&gt;"",EDATE($D28,Milestones!$AA$193)&gt;=$T28),$W28,IF(AND($S28&lt;&gt;"",EDATE($D28,Milestones!$AA$193)&gt;=$S28),$V28,$U28)))=Milestones!$AB$193),UPPER(TEXT(EDATE($D28,Milestones!$AA$193),"dd mmm yy"))&amp;" "&amp;Milestones!$AB$193&amp;" "&amp;Milestones!$AC$193&amp;";  ","")&amp;IF(AND(EDATE($D28,Milestones!$AA$194)&lt;=AsOfDate,IF($R28=0,$X28,IF(AND($T28&lt;&gt;"",EDATE($D28,Milestones!$AA$194)&gt;=$T28),$W28,IF(AND($S28&lt;&gt;"",EDATE($D28,Milestones!$AA$194)&gt;=$S28),$V28,$U28)))=Milestones!$AB$194),UPPER(TEXT(EDATE($D28,Milestones!$AA$194),"dd mmm yy"))&amp;" "&amp;Milestones!$AB$194&amp;" "&amp;Milestones!$AC$194&amp;";  ","")&amp;IF(AND(EDATE($D28,Milestones!$AA$195)&lt;=AsOfDate,IF($R28=0,$X28,IF(AND($T28&lt;&gt;"",EDATE($D28,Milestones!$AA$195)&gt;=$T28),$W28,IF(AND($S28&lt;&gt;"",EDATE($D28,Milestones!$AA$195)&gt;=$S28),$V28,$U28)))=Milestones!$AB$195),UPPER(TEXT(EDATE($D28,Milestones!$AA$195),"dd mmm yy"))&amp;" "&amp;Milestones!$AB$195&amp;" "&amp;Milestones!$AC$195&amp;";  ","")&amp;IF(AND(EDATE($D28,Milestones!$AA$196)&lt;=AsOfDate,IF($R28=0,$X28,IF(AND($T28&lt;&gt;"",EDATE($D28,Milestones!$AA$196)&gt;=$T28),$W28,IF(AND($S28&lt;&gt;"",EDATE($D28,Milestones!$AA$196)&gt;=$S28),$V28,$U28)))=Milestones!$AB$196),UPPER(TEXT(EDATE($D28,Milestones!$AA$196),"dd mmm yy"))&amp;" "&amp;Milestones!$AB$196&amp;" "&amp;Milestones!$AC$196&amp;";  ","")&amp;IF(AND(EDATE($D28,Milestones!$AA$197)&lt;=AsOfDate,IF($R28=0,$X28,IF(AND($T28&lt;&gt;"",EDATE($D28,Milestones!$AA$197)&gt;=$T28),$W28,IF(AND($S28&lt;&gt;"",EDATE($D28,Milestones!$AA$197)&gt;=$S28),$V28,$U28)))=Milestones!$AB$197),UPPER(TEXT(EDATE($D28,Milestones!$AA$197),"dd mmm yy"))&amp;" "&amp;Milestones!$AB$197&amp;" "&amp;Milestones!$AC$197&amp;";  ","")&amp;IF(AND(EDATE($D28,Milestones!$AA$198)&lt;=AsOfDate,IF($R28=0,$X28,IF(AND($T28&lt;&gt;"",EDATE($D28,Milestones!$AA$198)&gt;=$T28),$W28,IF(AND($S28&lt;&gt;"",EDATE($D28,Milestones!$AA$198)&gt;=$S28),$V28,$U28)))=Milestones!$AB$198),UPPER(TEXT(EDATE($D28,Milestones!$AA$198),"dd mmm yy"))&amp;" "&amp;Milestones!$AB$198&amp;" "&amp;Milestones!$AC$198&amp;";  ","")&amp;IF(AND(EDATE($D28,Milestones!$AA$199)&lt;=AsOfDate,IF($R28=0,$X28,IF(AND($T28&lt;&gt;"",EDATE($D28,Milestones!$AA$199)&gt;=$T28),$W28,IF(AND($S28&lt;&gt;"",EDATE($D28,Milestones!$AA$199)&gt;=$S28),$V28,$U28)))=Milestones!$AB$199),UPPER(TEXT(EDATE($D28,Milestones!$AA$199),"dd mmm yy"))&amp;" "&amp;Milestones!$AB$199&amp;" "&amp;Milestones!$AC$199&amp;";  ",""))</f>
        <v/>
      </c>
      <c r="R28" s="33" t="n">
        <f aca="false">IF(Staff!$A28="","",Staff!$AI28)</f>
        <v>0</v>
      </c>
      <c r="S28" s="0" t="str">
        <f aca="false">IF(Staff!$A28="","",Staff!$AK28)</f>
        <v/>
      </c>
      <c r="T28" s="0" t="str">
        <f aca="false">IF(Staff!$A28="","",Staff!$AL28)</f>
        <v/>
      </c>
      <c r="U28" s="0" t="str">
        <f aca="false">IF(Staff!$A28="","",Staff!$AP28)</f>
        <v>None</v>
      </c>
      <c r="V28" s="0" t="str">
        <f aca="false">IF(Staff!$A28="","",Staff!$AQ28)</f>
        <v/>
      </c>
      <c r="W28" s="0" t="str">
        <f aca="false">IF(Staff!$A28="","",Staff!$AR28)</f>
        <v/>
      </c>
      <c r="X28" s="0" t="str">
        <f aca="false">IF(Staff!$A28="","",Staff!$AS28)</f>
        <v>None</v>
      </c>
    </row>
    <row r="29" customFormat="false" ht="15" hidden="false" customHeight="false" outlineLevel="0" collapsed="false">
      <c r="A29" s="19" t="str">
        <f aca="false">IF(Staff!$A29="","",Staff!$A29)</f>
        <v>Emmett</v>
      </c>
      <c r="B29" s="19" t="str">
        <f aca="false">IF(Staff!$A29="","",Staff!$B29)</f>
        <v>Todd</v>
      </c>
      <c r="C29" s="19" t="str">
        <f aca="false">IF(Staff!$A29="","",Staff!$C29)</f>
        <v>Casual</v>
      </c>
      <c r="D29" s="17" t="n">
        <f aca="false">IF(Staff!$A29="","",Staff!$AH29)</f>
        <v>46171</v>
      </c>
      <c r="E29" s="20" t="n">
        <f aca="false">IF(Staff!$A29="","",Staff!$O29)</f>
        <v>0</v>
      </c>
      <c r="F29" s="19" t="n">
        <f aca="false">IF(E29="","",E29*HoursPerDay)</f>
        <v>0</v>
      </c>
      <c r="G29" s="20" t="n">
        <f aca="false">IF(Staff!$A29="","",Staff!$AE29)</f>
        <v>0</v>
      </c>
      <c r="H29" s="32" t="str">
        <f aca="false">IF($A29="","",I29&amp;J29&amp;K29&amp;L29&amp;M29&amp;N29&amp;O29&amp;P29&amp;Q29)</f>
        <v/>
      </c>
      <c r="I29" s="0" t="str">
        <f aca="false">IF(OR($A29="",$D29=""),"",IF(AND(EDATE($D29,Milestones!$AA$20)&lt;=AsOfDate,IF($R29=0,$X29,IF(AND($T29&lt;&gt;"",EDATE($D29,Milestones!$AA$20)&gt;=$T29),$W29,IF(AND($S29&lt;&gt;"",EDATE($D29,Milestones!$AA$20)&gt;=$S29),$V29,$U29)))=Milestones!$AB$20),UPPER(TEXT(EDATE($D29,Milestones!$AA$20),"dd mmm yy"))&amp;" "&amp;Milestones!$AB$20&amp;" "&amp;Milestones!$AC$20&amp;";  ","")&amp;IF(AND(EDATE($D29,Milestones!$AA$21)&lt;=AsOfDate,IF($R29=0,$X29,IF(AND($T29&lt;&gt;"",EDATE($D29,Milestones!$AA$21)&gt;=$T29),$W29,IF(AND($S29&lt;&gt;"",EDATE($D29,Milestones!$AA$21)&gt;=$S29),$V29,$U29)))=Milestones!$AB$21),UPPER(TEXT(EDATE($D29,Milestones!$AA$21),"dd mmm yy"))&amp;" "&amp;Milestones!$AB$21&amp;" "&amp;Milestones!$AC$21&amp;";  ","")&amp;IF(AND(EDATE($D29,Milestones!$AA$22)&lt;=AsOfDate,IF($R29=0,$X29,IF(AND($T29&lt;&gt;"",EDATE($D29,Milestones!$AA$22)&gt;=$T29),$W29,IF(AND($S29&lt;&gt;"",EDATE($D29,Milestones!$AA$22)&gt;=$S29),$V29,$U29)))=Milestones!$AB$22),UPPER(TEXT(EDATE($D29,Milestones!$AA$22),"dd mmm yy"))&amp;" "&amp;Milestones!$AB$22&amp;" "&amp;Milestones!$AC$22&amp;";  ","")&amp;IF(AND(EDATE($D29,Milestones!$AA$23)&lt;=AsOfDate,IF($R29=0,$X29,IF(AND($T29&lt;&gt;"",EDATE($D29,Milestones!$AA$23)&gt;=$T29),$W29,IF(AND($S29&lt;&gt;"",EDATE($D29,Milestones!$AA$23)&gt;=$S29),$V29,$U29)))=Milestones!$AB$23),UPPER(TEXT(EDATE($D29,Milestones!$AA$23),"dd mmm yy"))&amp;" "&amp;Milestones!$AB$23&amp;" "&amp;Milestones!$AC$23&amp;";  ","")&amp;IF(AND(EDATE($D29,Milestones!$AA$24)&lt;=AsOfDate,IF($R29=0,$X29,IF(AND($T29&lt;&gt;"",EDATE($D29,Milestones!$AA$24)&gt;=$T29),$W29,IF(AND($S29&lt;&gt;"",EDATE($D29,Milestones!$AA$24)&gt;=$S29),$V29,$U29)))=Milestones!$AB$24),UPPER(TEXT(EDATE($D29,Milestones!$AA$24),"dd mmm yy"))&amp;" "&amp;Milestones!$AB$24&amp;" "&amp;Milestones!$AC$24&amp;";  ","")&amp;IF(AND(EDATE($D29,Milestones!$AA$25)&lt;=AsOfDate,IF($R29=0,$X29,IF(AND($T29&lt;&gt;"",EDATE($D29,Milestones!$AA$25)&gt;=$T29),$W29,IF(AND($S29&lt;&gt;"",EDATE($D29,Milestones!$AA$25)&gt;=$S29),$V29,$U29)))=Milestones!$AB$25),UPPER(TEXT(EDATE($D29,Milestones!$AA$25),"dd mmm yy"))&amp;" "&amp;Milestones!$AB$25&amp;" "&amp;Milestones!$AC$25&amp;";  ","")&amp;IF(AND(EDATE($D29,Milestones!$AA$26)&lt;=AsOfDate,IF($R29=0,$X29,IF(AND($T29&lt;&gt;"",EDATE($D29,Milestones!$AA$26)&gt;=$T29),$W29,IF(AND($S29&lt;&gt;"",EDATE($D29,Milestones!$AA$26)&gt;=$S29),$V29,$U29)))=Milestones!$AB$26),UPPER(TEXT(EDATE($D29,Milestones!$AA$26),"dd mmm yy"))&amp;" "&amp;Milestones!$AB$26&amp;" "&amp;Milestones!$AC$26&amp;";  ","")&amp;IF(AND(EDATE($D29,Milestones!$AA$27)&lt;=AsOfDate,IF($R29=0,$X29,IF(AND($T29&lt;&gt;"",EDATE($D29,Milestones!$AA$27)&gt;=$T29),$W29,IF(AND($S29&lt;&gt;"",EDATE($D29,Milestones!$AA$27)&gt;=$S29),$V29,$U29)))=Milestones!$AB$27),UPPER(TEXT(EDATE($D29,Milestones!$AA$27),"dd mmm yy"))&amp;" "&amp;Milestones!$AB$27&amp;" "&amp;Milestones!$AC$27&amp;";  ","")&amp;IF(AND(EDATE($D29,Milestones!$AA$28)&lt;=AsOfDate,IF($R29=0,$X29,IF(AND($T29&lt;&gt;"",EDATE($D29,Milestones!$AA$28)&gt;=$T29),$W29,IF(AND($S29&lt;&gt;"",EDATE($D29,Milestones!$AA$28)&gt;=$S29),$V29,$U29)))=Milestones!$AB$28),UPPER(TEXT(EDATE($D29,Milestones!$AA$28),"dd mmm yy"))&amp;" "&amp;Milestones!$AB$28&amp;" "&amp;Milestones!$AC$28&amp;";  ","")&amp;IF(AND(EDATE($D29,Milestones!$AA$29)&lt;=AsOfDate,IF($R29=0,$X29,IF(AND($T29&lt;&gt;"",EDATE($D29,Milestones!$AA$29)&gt;=$T29),$W29,IF(AND($S29&lt;&gt;"",EDATE($D29,Milestones!$AA$29)&gt;=$S29),$V29,$U29)))=Milestones!$AB$29),UPPER(TEXT(EDATE($D29,Milestones!$AA$29),"dd mmm yy"))&amp;" "&amp;Milestones!$AB$29&amp;" "&amp;Milestones!$AC$29&amp;";  ","")&amp;IF(AND(EDATE($D29,Milestones!$AA$30)&lt;=AsOfDate,IF($R29=0,$X29,IF(AND($T29&lt;&gt;"",EDATE($D29,Milestones!$AA$30)&gt;=$T29),$W29,IF(AND($S29&lt;&gt;"",EDATE($D29,Milestones!$AA$30)&gt;=$S29),$V29,$U29)))=Milestones!$AB$30),UPPER(TEXT(EDATE($D29,Milestones!$AA$30),"dd mmm yy"))&amp;" "&amp;Milestones!$AB$30&amp;" "&amp;Milestones!$AC$30&amp;";  ","")&amp;IF(AND(EDATE($D29,Milestones!$AA$31)&lt;=AsOfDate,IF($R29=0,$X29,IF(AND($T29&lt;&gt;"",EDATE($D29,Milestones!$AA$31)&gt;=$T29),$W29,IF(AND($S29&lt;&gt;"",EDATE($D29,Milestones!$AA$31)&gt;=$S29),$V29,$U29)))=Milestones!$AB$31),UPPER(TEXT(EDATE($D29,Milestones!$AA$31),"dd mmm yy"))&amp;" "&amp;Milestones!$AB$31&amp;" "&amp;Milestones!$AC$31&amp;";  ","")&amp;IF(AND(EDATE($D29,Milestones!$AA$32)&lt;=AsOfDate,IF($R29=0,$X29,IF(AND($T29&lt;&gt;"",EDATE($D29,Milestones!$AA$32)&gt;=$T29),$W29,IF(AND($S29&lt;&gt;"",EDATE($D29,Milestones!$AA$32)&gt;=$S29),$V29,$U29)))=Milestones!$AB$32),UPPER(TEXT(EDATE($D29,Milestones!$AA$32),"dd mmm yy"))&amp;" "&amp;Milestones!$AB$32&amp;" "&amp;Milestones!$AC$32&amp;";  ","")&amp;IF(AND(EDATE($D29,Milestones!$AA$33)&lt;=AsOfDate,IF($R29=0,$X29,IF(AND($T29&lt;&gt;"",EDATE($D29,Milestones!$AA$33)&gt;=$T29),$W29,IF(AND($S29&lt;&gt;"",EDATE($D29,Milestones!$AA$33)&gt;=$S29),$V29,$U29)))=Milestones!$AB$33),UPPER(TEXT(EDATE($D29,Milestones!$AA$33),"dd mmm yy"))&amp;" "&amp;Milestones!$AB$33&amp;" "&amp;Milestones!$AC$33&amp;";  ","")&amp;IF(AND(EDATE($D29,Milestones!$AA$34)&lt;=AsOfDate,IF($R29=0,$X29,IF(AND($T29&lt;&gt;"",EDATE($D29,Milestones!$AA$34)&gt;=$T29),$W29,IF(AND($S29&lt;&gt;"",EDATE($D29,Milestones!$AA$34)&gt;=$S29),$V29,$U29)))=Milestones!$AB$34),UPPER(TEXT(EDATE($D29,Milestones!$AA$34),"dd mmm yy"))&amp;" "&amp;Milestones!$AB$34&amp;" "&amp;Milestones!$AC$34&amp;";  ","")&amp;IF(AND(EDATE($D29,Milestones!$AA$35)&lt;=AsOfDate,IF($R29=0,$X29,IF(AND($T29&lt;&gt;"",EDATE($D29,Milestones!$AA$35)&gt;=$T29),$W29,IF(AND($S29&lt;&gt;"",EDATE($D29,Milestones!$AA$35)&gt;=$S29),$V29,$U29)))=Milestones!$AB$35),UPPER(TEXT(EDATE($D29,Milestones!$AA$35),"dd mmm yy"))&amp;" "&amp;Milestones!$AB$35&amp;" "&amp;Milestones!$AC$35&amp;";  ","")&amp;IF(AND(EDATE($D29,Milestones!$AA$36)&lt;=AsOfDate,IF($R29=0,$X29,IF(AND($T29&lt;&gt;"",EDATE($D29,Milestones!$AA$36)&gt;=$T29),$W29,IF(AND($S29&lt;&gt;"",EDATE($D29,Milestones!$AA$36)&gt;=$S29),$V29,$U29)))=Milestones!$AB$36),UPPER(TEXT(EDATE($D29,Milestones!$AA$36),"dd mmm yy"))&amp;" "&amp;Milestones!$AB$36&amp;" "&amp;Milestones!$AC$36&amp;";  ","")&amp;IF(AND(EDATE($D29,Milestones!$AA$37)&lt;=AsOfDate,IF($R29=0,$X29,IF(AND($T29&lt;&gt;"",EDATE($D29,Milestones!$AA$37)&gt;=$T29),$W29,IF(AND($S29&lt;&gt;"",EDATE($D29,Milestones!$AA$37)&gt;=$S29),$V29,$U29)))=Milestones!$AB$37),UPPER(TEXT(EDATE($D29,Milestones!$AA$37),"dd mmm yy"))&amp;" "&amp;Milestones!$AB$37&amp;" "&amp;Milestones!$AC$37&amp;";  ","")&amp;IF(AND(EDATE($D29,Milestones!$AA$38)&lt;=AsOfDate,IF($R29=0,$X29,IF(AND($T29&lt;&gt;"",EDATE($D29,Milestones!$AA$38)&gt;=$T29),$W29,IF(AND($S29&lt;&gt;"",EDATE($D29,Milestones!$AA$38)&gt;=$S29),$V29,$U29)))=Milestones!$AB$38),UPPER(TEXT(EDATE($D29,Milestones!$AA$38),"dd mmm yy"))&amp;" "&amp;Milestones!$AB$38&amp;" "&amp;Milestones!$AC$38&amp;";  ","")&amp;IF(AND(EDATE($D29,Milestones!$AA$39)&lt;=AsOfDate,IF($R29=0,$X29,IF(AND($T29&lt;&gt;"",EDATE($D29,Milestones!$AA$39)&gt;=$T29),$W29,IF(AND($S29&lt;&gt;"",EDATE($D29,Milestones!$AA$39)&gt;=$S29),$V29,$U29)))=Milestones!$AB$39),UPPER(TEXT(EDATE($D29,Milestones!$AA$39),"dd mmm yy"))&amp;" "&amp;Milestones!$AB$39&amp;" "&amp;Milestones!$AC$39&amp;";  ",""))</f>
        <v/>
      </c>
      <c r="J29" s="0" t="str">
        <f aca="false">IF(OR($A29="",$D29=""),"",IF(AND(EDATE($D29,Milestones!$AA$40)&lt;=AsOfDate,IF($R29=0,$X29,IF(AND($T29&lt;&gt;"",EDATE($D29,Milestones!$AA$40)&gt;=$T29),$W29,IF(AND($S29&lt;&gt;"",EDATE($D29,Milestones!$AA$40)&gt;=$S29),$V29,$U29)))=Milestones!$AB$40),UPPER(TEXT(EDATE($D29,Milestones!$AA$40),"dd mmm yy"))&amp;" "&amp;Milestones!$AB$40&amp;" "&amp;Milestones!$AC$40&amp;";  ","")&amp;IF(AND(EDATE($D29,Milestones!$AA$41)&lt;=AsOfDate,IF($R29=0,$X29,IF(AND($T29&lt;&gt;"",EDATE($D29,Milestones!$AA$41)&gt;=$T29),$W29,IF(AND($S29&lt;&gt;"",EDATE($D29,Milestones!$AA$41)&gt;=$S29),$V29,$U29)))=Milestones!$AB$41),UPPER(TEXT(EDATE($D29,Milestones!$AA$41),"dd mmm yy"))&amp;" "&amp;Milestones!$AB$41&amp;" "&amp;Milestones!$AC$41&amp;";  ","")&amp;IF(AND(EDATE($D29,Milestones!$AA$42)&lt;=AsOfDate,IF($R29=0,$X29,IF(AND($T29&lt;&gt;"",EDATE($D29,Milestones!$AA$42)&gt;=$T29),$W29,IF(AND($S29&lt;&gt;"",EDATE($D29,Milestones!$AA$42)&gt;=$S29),$V29,$U29)))=Milestones!$AB$42),UPPER(TEXT(EDATE($D29,Milestones!$AA$42),"dd mmm yy"))&amp;" "&amp;Milestones!$AB$42&amp;" "&amp;Milestones!$AC$42&amp;";  ","")&amp;IF(AND(EDATE($D29,Milestones!$AA$43)&lt;=AsOfDate,IF($R29=0,$X29,IF(AND($T29&lt;&gt;"",EDATE($D29,Milestones!$AA$43)&gt;=$T29),$W29,IF(AND($S29&lt;&gt;"",EDATE($D29,Milestones!$AA$43)&gt;=$S29),$V29,$U29)))=Milestones!$AB$43),UPPER(TEXT(EDATE($D29,Milestones!$AA$43),"dd mmm yy"))&amp;" "&amp;Milestones!$AB$43&amp;" "&amp;Milestones!$AC$43&amp;";  ","")&amp;IF(AND(EDATE($D29,Milestones!$AA$44)&lt;=AsOfDate,IF($R29=0,$X29,IF(AND($T29&lt;&gt;"",EDATE($D29,Milestones!$AA$44)&gt;=$T29),$W29,IF(AND($S29&lt;&gt;"",EDATE($D29,Milestones!$AA$44)&gt;=$S29),$V29,$U29)))=Milestones!$AB$44),UPPER(TEXT(EDATE($D29,Milestones!$AA$44),"dd mmm yy"))&amp;" "&amp;Milestones!$AB$44&amp;" "&amp;Milestones!$AC$44&amp;";  ","")&amp;IF(AND(EDATE($D29,Milestones!$AA$45)&lt;=AsOfDate,IF($R29=0,$X29,IF(AND($T29&lt;&gt;"",EDATE($D29,Milestones!$AA$45)&gt;=$T29),$W29,IF(AND($S29&lt;&gt;"",EDATE($D29,Milestones!$AA$45)&gt;=$S29),$V29,$U29)))=Milestones!$AB$45),UPPER(TEXT(EDATE($D29,Milestones!$AA$45),"dd mmm yy"))&amp;" "&amp;Milestones!$AB$45&amp;" "&amp;Milestones!$AC$45&amp;";  ","")&amp;IF(AND(EDATE($D29,Milestones!$AA$46)&lt;=AsOfDate,IF($R29=0,$X29,IF(AND($T29&lt;&gt;"",EDATE($D29,Milestones!$AA$46)&gt;=$T29),$W29,IF(AND($S29&lt;&gt;"",EDATE($D29,Milestones!$AA$46)&gt;=$S29),$V29,$U29)))=Milestones!$AB$46),UPPER(TEXT(EDATE($D29,Milestones!$AA$46),"dd mmm yy"))&amp;" "&amp;Milestones!$AB$46&amp;" "&amp;Milestones!$AC$46&amp;";  ","")&amp;IF(AND(EDATE($D29,Milestones!$AA$47)&lt;=AsOfDate,IF($R29=0,$X29,IF(AND($T29&lt;&gt;"",EDATE($D29,Milestones!$AA$47)&gt;=$T29),$W29,IF(AND($S29&lt;&gt;"",EDATE($D29,Milestones!$AA$47)&gt;=$S29),$V29,$U29)))=Milestones!$AB$47),UPPER(TEXT(EDATE($D29,Milestones!$AA$47),"dd mmm yy"))&amp;" "&amp;Milestones!$AB$47&amp;" "&amp;Milestones!$AC$47&amp;";  ","")&amp;IF(AND(EDATE($D29,Milestones!$AA$48)&lt;=AsOfDate,IF($R29=0,$X29,IF(AND($T29&lt;&gt;"",EDATE($D29,Milestones!$AA$48)&gt;=$T29),$W29,IF(AND($S29&lt;&gt;"",EDATE($D29,Milestones!$AA$48)&gt;=$S29),$V29,$U29)))=Milestones!$AB$48),UPPER(TEXT(EDATE($D29,Milestones!$AA$48),"dd mmm yy"))&amp;" "&amp;Milestones!$AB$48&amp;" "&amp;Milestones!$AC$48&amp;";  ","")&amp;IF(AND(EDATE($D29,Milestones!$AA$49)&lt;=AsOfDate,IF($R29=0,$X29,IF(AND($T29&lt;&gt;"",EDATE($D29,Milestones!$AA$49)&gt;=$T29),$W29,IF(AND($S29&lt;&gt;"",EDATE($D29,Milestones!$AA$49)&gt;=$S29),$V29,$U29)))=Milestones!$AB$49),UPPER(TEXT(EDATE($D29,Milestones!$AA$49),"dd mmm yy"))&amp;" "&amp;Milestones!$AB$49&amp;" "&amp;Milestones!$AC$49&amp;";  ","")&amp;IF(AND(EDATE($D29,Milestones!$AA$50)&lt;=AsOfDate,IF($R29=0,$X29,IF(AND($T29&lt;&gt;"",EDATE($D29,Milestones!$AA$50)&gt;=$T29),$W29,IF(AND($S29&lt;&gt;"",EDATE($D29,Milestones!$AA$50)&gt;=$S29),$V29,$U29)))=Milestones!$AB$50),UPPER(TEXT(EDATE($D29,Milestones!$AA$50),"dd mmm yy"))&amp;" "&amp;Milestones!$AB$50&amp;" "&amp;Milestones!$AC$50&amp;";  ","")&amp;IF(AND(EDATE($D29,Milestones!$AA$51)&lt;=AsOfDate,IF($R29=0,$X29,IF(AND($T29&lt;&gt;"",EDATE($D29,Milestones!$AA$51)&gt;=$T29),$W29,IF(AND($S29&lt;&gt;"",EDATE($D29,Milestones!$AA$51)&gt;=$S29),$V29,$U29)))=Milestones!$AB$51),UPPER(TEXT(EDATE($D29,Milestones!$AA$51),"dd mmm yy"))&amp;" "&amp;Milestones!$AB$51&amp;" "&amp;Milestones!$AC$51&amp;";  ","")&amp;IF(AND(EDATE($D29,Milestones!$AA$52)&lt;=AsOfDate,IF($R29=0,$X29,IF(AND($T29&lt;&gt;"",EDATE($D29,Milestones!$AA$52)&gt;=$T29),$W29,IF(AND($S29&lt;&gt;"",EDATE($D29,Milestones!$AA$52)&gt;=$S29),$V29,$U29)))=Milestones!$AB$52),UPPER(TEXT(EDATE($D29,Milestones!$AA$52),"dd mmm yy"))&amp;" "&amp;Milestones!$AB$52&amp;" "&amp;Milestones!$AC$52&amp;";  ","")&amp;IF(AND(EDATE($D29,Milestones!$AA$53)&lt;=AsOfDate,IF($R29=0,$X29,IF(AND($T29&lt;&gt;"",EDATE($D29,Milestones!$AA$53)&gt;=$T29),$W29,IF(AND($S29&lt;&gt;"",EDATE($D29,Milestones!$AA$53)&gt;=$S29),$V29,$U29)))=Milestones!$AB$53),UPPER(TEXT(EDATE($D29,Milestones!$AA$53),"dd mmm yy"))&amp;" "&amp;Milestones!$AB$53&amp;" "&amp;Milestones!$AC$53&amp;";  ","")&amp;IF(AND(EDATE($D29,Milestones!$AA$54)&lt;=AsOfDate,IF($R29=0,$X29,IF(AND($T29&lt;&gt;"",EDATE($D29,Milestones!$AA$54)&gt;=$T29),$W29,IF(AND($S29&lt;&gt;"",EDATE($D29,Milestones!$AA$54)&gt;=$S29),$V29,$U29)))=Milestones!$AB$54),UPPER(TEXT(EDATE($D29,Milestones!$AA$54),"dd mmm yy"))&amp;" "&amp;Milestones!$AB$54&amp;" "&amp;Milestones!$AC$54&amp;";  ","")&amp;IF(AND(EDATE($D29,Milestones!$AA$55)&lt;=AsOfDate,IF($R29=0,$X29,IF(AND($T29&lt;&gt;"",EDATE($D29,Milestones!$AA$55)&gt;=$T29),$W29,IF(AND($S29&lt;&gt;"",EDATE($D29,Milestones!$AA$55)&gt;=$S29),$V29,$U29)))=Milestones!$AB$55),UPPER(TEXT(EDATE($D29,Milestones!$AA$55),"dd mmm yy"))&amp;" "&amp;Milestones!$AB$55&amp;" "&amp;Milestones!$AC$55&amp;";  ","")&amp;IF(AND(EDATE($D29,Milestones!$AA$56)&lt;=AsOfDate,IF($R29=0,$X29,IF(AND($T29&lt;&gt;"",EDATE($D29,Milestones!$AA$56)&gt;=$T29),$W29,IF(AND($S29&lt;&gt;"",EDATE($D29,Milestones!$AA$56)&gt;=$S29),$V29,$U29)))=Milestones!$AB$56),UPPER(TEXT(EDATE($D29,Milestones!$AA$56),"dd mmm yy"))&amp;" "&amp;Milestones!$AB$56&amp;" "&amp;Milestones!$AC$56&amp;";  ","")&amp;IF(AND(EDATE($D29,Milestones!$AA$57)&lt;=AsOfDate,IF($R29=0,$X29,IF(AND($T29&lt;&gt;"",EDATE($D29,Milestones!$AA$57)&gt;=$T29),$W29,IF(AND($S29&lt;&gt;"",EDATE($D29,Milestones!$AA$57)&gt;=$S29),$V29,$U29)))=Milestones!$AB$57),UPPER(TEXT(EDATE($D29,Milestones!$AA$57),"dd mmm yy"))&amp;" "&amp;Milestones!$AB$57&amp;" "&amp;Milestones!$AC$57&amp;";  ","")&amp;IF(AND(EDATE($D29,Milestones!$AA$58)&lt;=AsOfDate,IF($R29=0,$X29,IF(AND($T29&lt;&gt;"",EDATE($D29,Milestones!$AA$58)&gt;=$T29),$W29,IF(AND($S29&lt;&gt;"",EDATE($D29,Milestones!$AA$58)&gt;=$S29),$V29,$U29)))=Milestones!$AB$58),UPPER(TEXT(EDATE($D29,Milestones!$AA$58),"dd mmm yy"))&amp;" "&amp;Milestones!$AB$58&amp;" "&amp;Milestones!$AC$58&amp;";  ","")&amp;IF(AND(EDATE($D29,Milestones!$AA$59)&lt;=AsOfDate,IF($R29=0,$X29,IF(AND($T29&lt;&gt;"",EDATE($D29,Milestones!$AA$59)&gt;=$T29),$W29,IF(AND($S29&lt;&gt;"",EDATE($D29,Milestones!$AA$59)&gt;=$S29),$V29,$U29)))=Milestones!$AB$59),UPPER(TEXT(EDATE($D29,Milestones!$AA$59),"dd mmm yy"))&amp;" "&amp;Milestones!$AB$59&amp;" "&amp;Milestones!$AC$59&amp;";  ",""))</f>
        <v/>
      </c>
      <c r="K29" s="0" t="str">
        <f aca="false">IF(OR($A29="",$D29=""),"",IF(AND(EDATE($D29,Milestones!$AA$60)&lt;=AsOfDate,IF($R29=0,$X29,IF(AND($T29&lt;&gt;"",EDATE($D29,Milestones!$AA$60)&gt;=$T29),$W29,IF(AND($S29&lt;&gt;"",EDATE($D29,Milestones!$AA$60)&gt;=$S29),$V29,$U29)))=Milestones!$AB$60),UPPER(TEXT(EDATE($D29,Milestones!$AA$60),"dd mmm yy"))&amp;" "&amp;Milestones!$AB$60&amp;" "&amp;Milestones!$AC$60&amp;";  ","")&amp;IF(AND(EDATE($D29,Milestones!$AA$61)&lt;=AsOfDate,IF($R29=0,$X29,IF(AND($T29&lt;&gt;"",EDATE($D29,Milestones!$AA$61)&gt;=$T29),$W29,IF(AND($S29&lt;&gt;"",EDATE($D29,Milestones!$AA$61)&gt;=$S29),$V29,$U29)))=Milestones!$AB$61),UPPER(TEXT(EDATE($D29,Milestones!$AA$61),"dd mmm yy"))&amp;" "&amp;Milestones!$AB$61&amp;" "&amp;Milestones!$AC$61&amp;";  ","")&amp;IF(AND(EDATE($D29,Milestones!$AA$62)&lt;=AsOfDate,IF($R29=0,$X29,IF(AND($T29&lt;&gt;"",EDATE($D29,Milestones!$AA$62)&gt;=$T29),$W29,IF(AND($S29&lt;&gt;"",EDATE($D29,Milestones!$AA$62)&gt;=$S29),$V29,$U29)))=Milestones!$AB$62),UPPER(TEXT(EDATE($D29,Milestones!$AA$62),"dd mmm yy"))&amp;" "&amp;Milestones!$AB$62&amp;" "&amp;Milestones!$AC$62&amp;";  ","")&amp;IF(AND(EDATE($D29,Milestones!$AA$63)&lt;=AsOfDate,IF($R29=0,$X29,IF(AND($T29&lt;&gt;"",EDATE($D29,Milestones!$AA$63)&gt;=$T29),$W29,IF(AND($S29&lt;&gt;"",EDATE($D29,Milestones!$AA$63)&gt;=$S29),$V29,$U29)))=Milestones!$AB$63),UPPER(TEXT(EDATE($D29,Milestones!$AA$63),"dd mmm yy"))&amp;" "&amp;Milestones!$AB$63&amp;" "&amp;Milestones!$AC$63&amp;";  ","")&amp;IF(AND(EDATE($D29,Milestones!$AA$64)&lt;=AsOfDate,IF($R29=0,$X29,IF(AND($T29&lt;&gt;"",EDATE($D29,Milestones!$AA$64)&gt;=$T29),$W29,IF(AND($S29&lt;&gt;"",EDATE($D29,Milestones!$AA$64)&gt;=$S29),$V29,$U29)))=Milestones!$AB$64),UPPER(TEXT(EDATE($D29,Milestones!$AA$64),"dd mmm yy"))&amp;" "&amp;Milestones!$AB$64&amp;" "&amp;Milestones!$AC$64&amp;";  ","")&amp;IF(AND(EDATE($D29,Milestones!$AA$65)&lt;=AsOfDate,IF($R29=0,$X29,IF(AND($T29&lt;&gt;"",EDATE($D29,Milestones!$AA$65)&gt;=$T29),$W29,IF(AND($S29&lt;&gt;"",EDATE($D29,Milestones!$AA$65)&gt;=$S29),$V29,$U29)))=Milestones!$AB$65),UPPER(TEXT(EDATE($D29,Milestones!$AA$65),"dd mmm yy"))&amp;" "&amp;Milestones!$AB$65&amp;" "&amp;Milestones!$AC$65&amp;";  ","")&amp;IF(AND(EDATE($D29,Milestones!$AA$66)&lt;=AsOfDate,IF($R29=0,$X29,IF(AND($T29&lt;&gt;"",EDATE($D29,Milestones!$AA$66)&gt;=$T29),$W29,IF(AND($S29&lt;&gt;"",EDATE($D29,Milestones!$AA$66)&gt;=$S29),$V29,$U29)))=Milestones!$AB$66),UPPER(TEXT(EDATE($D29,Milestones!$AA$66),"dd mmm yy"))&amp;" "&amp;Milestones!$AB$66&amp;" "&amp;Milestones!$AC$66&amp;";  ","")&amp;IF(AND(EDATE($D29,Milestones!$AA$67)&lt;=AsOfDate,IF($R29=0,$X29,IF(AND($T29&lt;&gt;"",EDATE($D29,Milestones!$AA$67)&gt;=$T29),$W29,IF(AND($S29&lt;&gt;"",EDATE($D29,Milestones!$AA$67)&gt;=$S29),$V29,$U29)))=Milestones!$AB$67),UPPER(TEXT(EDATE($D29,Milestones!$AA$67),"dd mmm yy"))&amp;" "&amp;Milestones!$AB$67&amp;" "&amp;Milestones!$AC$67&amp;";  ","")&amp;IF(AND(EDATE($D29,Milestones!$AA$68)&lt;=AsOfDate,IF($R29=0,$X29,IF(AND($T29&lt;&gt;"",EDATE($D29,Milestones!$AA$68)&gt;=$T29),$W29,IF(AND($S29&lt;&gt;"",EDATE($D29,Milestones!$AA$68)&gt;=$S29),$V29,$U29)))=Milestones!$AB$68),UPPER(TEXT(EDATE($D29,Milestones!$AA$68),"dd mmm yy"))&amp;" "&amp;Milestones!$AB$68&amp;" "&amp;Milestones!$AC$68&amp;";  ","")&amp;IF(AND(EDATE($D29,Milestones!$AA$69)&lt;=AsOfDate,IF($R29=0,$X29,IF(AND($T29&lt;&gt;"",EDATE($D29,Milestones!$AA$69)&gt;=$T29),$W29,IF(AND($S29&lt;&gt;"",EDATE($D29,Milestones!$AA$69)&gt;=$S29),$V29,$U29)))=Milestones!$AB$69),UPPER(TEXT(EDATE($D29,Milestones!$AA$69),"dd mmm yy"))&amp;" "&amp;Milestones!$AB$69&amp;" "&amp;Milestones!$AC$69&amp;";  ","")&amp;IF(AND(EDATE($D29,Milestones!$AA$70)&lt;=AsOfDate,IF($R29=0,$X29,IF(AND($T29&lt;&gt;"",EDATE($D29,Milestones!$AA$70)&gt;=$T29),$W29,IF(AND($S29&lt;&gt;"",EDATE($D29,Milestones!$AA$70)&gt;=$S29),$V29,$U29)))=Milestones!$AB$70),UPPER(TEXT(EDATE($D29,Milestones!$AA$70),"dd mmm yy"))&amp;" "&amp;Milestones!$AB$70&amp;" "&amp;Milestones!$AC$70&amp;";  ","")&amp;IF(AND(EDATE($D29,Milestones!$AA$71)&lt;=AsOfDate,IF($R29=0,$X29,IF(AND($T29&lt;&gt;"",EDATE($D29,Milestones!$AA$71)&gt;=$T29),$W29,IF(AND($S29&lt;&gt;"",EDATE($D29,Milestones!$AA$71)&gt;=$S29),$V29,$U29)))=Milestones!$AB$71),UPPER(TEXT(EDATE($D29,Milestones!$AA$71),"dd mmm yy"))&amp;" "&amp;Milestones!$AB$71&amp;" "&amp;Milestones!$AC$71&amp;";  ","")&amp;IF(AND(EDATE($D29,Milestones!$AA$72)&lt;=AsOfDate,IF($R29=0,$X29,IF(AND($T29&lt;&gt;"",EDATE($D29,Milestones!$AA$72)&gt;=$T29),$W29,IF(AND($S29&lt;&gt;"",EDATE($D29,Milestones!$AA$72)&gt;=$S29),$V29,$U29)))=Milestones!$AB$72),UPPER(TEXT(EDATE($D29,Milestones!$AA$72),"dd mmm yy"))&amp;" "&amp;Milestones!$AB$72&amp;" "&amp;Milestones!$AC$72&amp;";  ","")&amp;IF(AND(EDATE($D29,Milestones!$AA$73)&lt;=AsOfDate,IF($R29=0,$X29,IF(AND($T29&lt;&gt;"",EDATE($D29,Milestones!$AA$73)&gt;=$T29),$W29,IF(AND($S29&lt;&gt;"",EDATE($D29,Milestones!$AA$73)&gt;=$S29),$V29,$U29)))=Milestones!$AB$73),UPPER(TEXT(EDATE($D29,Milestones!$AA$73),"dd mmm yy"))&amp;" "&amp;Milestones!$AB$73&amp;" "&amp;Milestones!$AC$73&amp;";  ","")&amp;IF(AND(EDATE($D29,Milestones!$AA$74)&lt;=AsOfDate,IF($R29=0,$X29,IF(AND($T29&lt;&gt;"",EDATE($D29,Milestones!$AA$74)&gt;=$T29),$W29,IF(AND($S29&lt;&gt;"",EDATE($D29,Milestones!$AA$74)&gt;=$S29),$V29,$U29)))=Milestones!$AB$74),UPPER(TEXT(EDATE($D29,Milestones!$AA$74),"dd mmm yy"))&amp;" "&amp;Milestones!$AB$74&amp;" "&amp;Milestones!$AC$74&amp;";  ","")&amp;IF(AND(EDATE($D29,Milestones!$AA$75)&lt;=AsOfDate,IF($R29=0,$X29,IF(AND($T29&lt;&gt;"",EDATE($D29,Milestones!$AA$75)&gt;=$T29),$W29,IF(AND($S29&lt;&gt;"",EDATE($D29,Milestones!$AA$75)&gt;=$S29),$V29,$U29)))=Milestones!$AB$75),UPPER(TEXT(EDATE($D29,Milestones!$AA$75),"dd mmm yy"))&amp;" "&amp;Milestones!$AB$75&amp;" "&amp;Milestones!$AC$75&amp;";  ","")&amp;IF(AND(EDATE($D29,Milestones!$AA$76)&lt;=AsOfDate,IF($R29=0,$X29,IF(AND($T29&lt;&gt;"",EDATE($D29,Milestones!$AA$76)&gt;=$T29),$W29,IF(AND($S29&lt;&gt;"",EDATE($D29,Milestones!$AA$76)&gt;=$S29),$V29,$U29)))=Milestones!$AB$76),UPPER(TEXT(EDATE($D29,Milestones!$AA$76),"dd mmm yy"))&amp;" "&amp;Milestones!$AB$76&amp;" "&amp;Milestones!$AC$76&amp;";  ","")&amp;IF(AND(EDATE($D29,Milestones!$AA$77)&lt;=AsOfDate,IF($R29=0,$X29,IF(AND($T29&lt;&gt;"",EDATE($D29,Milestones!$AA$77)&gt;=$T29),$W29,IF(AND($S29&lt;&gt;"",EDATE($D29,Milestones!$AA$77)&gt;=$S29),$V29,$U29)))=Milestones!$AB$77),UPPER(TEXT(EDATE($D29,Milestones!$AA$77),"dd mmm yy"))&amp;" "&amp;Milestones!$AB$77&amp;" "&amp;Milestones!$AC$77&amp;";  ","")&amp;IF(AND(EDATE($D29,Milestones!$AA$78)&lt;=AsOfDate,IF($R29=0,$X29,IF(AND($T29&lt;&gt;"",EDATE($D29,Milestones!$AA$78)&gt;=$T29),$W29,IF(AND($S29&lt;&gt;"",EDATE($D29,Milestones!$AA$78)&gt;=$S29),$V29,$U29)))=Milestones!$AB$78),UPPER(TEXT(EDATE($D29,Milestones!$AA$78),"dd mmm yy"))&amp;" "&amp;Milestones!$AB$78&amp;" "&amp;Milestones!$AC$78&amp;";  ","")&amp;IF(AND(EDATE($D29,Milestones!$AA$79)&lt;=AsOfDate,IF($R29=0,$X29,IF(AND($T29&lt;&gt;"",EDATE($D29,Milestones!$AA$79)&gt;=$T29),$W29,IF(AND($S29&lt;&gt;"",EDATE($D29,Milestones!$AA$79)&gt;=$S29),$V29,$U29)))=Milestones!$AB$79),UPPER(TEXT(EDATE($D29,Milestones!$AA$79),"dd mmm yy"))&amp;" "&amp;Milestones!$AB$79&amp;" "&amp;Milestones!$AC$79&amp;";  ",""))</f>
        <v/>
      </c>
      <c r="L29" s="0" t="str">
        <f aca="false">IF(OR($A29="",$D29=""),"",IF(AND(EDATE($D29,Milestones!$AA$80)&lt;=AsOfDate,IF($R29=0,$X29,IF(AND($T29&lt;&gt;"",EDATE($D29,Milestones!$AA$80)&gt;=$T29),$W29,IF(AND($S29&lt;&gt;"",EDATE($D29,Milestones!$AA$80)&gt;=$S29),$V29,$U29)))=Milestones!$AB$80),UPPER(TEXT(EDATE($D29,Milestones!$AA$80),"dd mmm yy"))&amp;" "&amp;Milestones!$AB$80&amp;" "&amp;Milestones!$AC$80&amp;";  ","")&amp;IF(AND(EDATE($D29,Milestones!$AA$81)&lt;=AsOfDate,IF($R29=0,$X29,IF(AND($T29&lt;&gt;"",EDATE($D29,Milestones!$AA$81)&gt;=$T29),$W29,IF(AND($S29&lt;&gt;"",EDATE($D29,Milestones!$AA$81)&gt;=$S29),$V29,$U29)))=Milestones!$AB$81),UPPER(TEXT(EDATE($D29,Milestones!$AA$81),"dd mmm yy"))&amp;" "&amp;Milestones!$AB$81&amp;" "&amp;Milestones!$AC$81&amp;";  ","")&amp;IF(AND(EDATE($D29,Milestones!$AA$82)&lt;=AsOfDate,IF($R29=0,$X29,IF(AND($T29&lt;&gt;"",EDATE($D29,Milestones!$AA$82)&gt;=$T29),$W29,IF(AND($S29&lt;&gt;"",EDATE($D29,Milestones!$AA$82)&gt;=$S29),$V29,$U29)))=Milestones!$AB$82),UPPER(TEXT(EDATE($D29,Milestones!$AA$82),"dd mmm yy"))&amp;" "&amp;Milestones!$AB$82&amp;" "&amp;Milestones!$AC$82&amp;";  ","")&amp;IF(AND(EDATE($D29,Milestones!$AA$83)&lt;=AsOfDate,IF($R29=0,$X29,IF(AND($T29&lt;&gt;"",EDATE($D29,Milestones!$AA$83)&gt;=$T29),$W29,IF(AND($S29&lt;&gt;"",EDATE($D29,Milestones!$AA$83)&gt;=$S29),$V29,$U29)))=Milestones!$AB$83),UPPER(TEXT(EDATE($D29,Milestones!$AA$83),"dd mmm yy"))&amp;" "&amp;Milestones!$AB$83&amp;" "&amp;Milestones!$AC$83&amp;";  ","")&amp;IF(AND(EDATE($D29,Milestones!$AA$84)&lt;=AsOfDate,IF($R29=0,$X29,IF(AND($T29&lt;&gt;"",EDATE($D29,Milestones!$AA$84)&gt;=$T29),$W29,IF(AND($S29&lt;&gt;"",EDATE($D29,Milestones!$AA$84)&gt;=$S29),$V29,$U29)))=Milestones!$AB$84),UPPER(TEXT(EDATE($D29,Milestones!$AA$84),"dd mmm yy"))&amp;" "&amp;Milestones!$AB$84&amp;" "&amp;Milestones!$AC$84&amp;";  ","")&amp;IF(AND(EDATE($D29,Milestones!$AA$85)&lt;=AsOfDate,IF($R29=0,$X29,IF(AND($T29&lt;&gt;"",EDATE($D29,Milestones!$AA$85)&gt;=$T29),$W29,IF(AND($S29&lt;&gt;"",EDATE($D29,Milestones!$AA$85)&gt;=$S29),$V29,$U29)))=Milestones!$AB$85),UPPER(TEXT(EDATE($D29,Milestones!$AA$85),"dd mmm yy"))&amp;" "&amp;Milestones!$AB$85&amp;" "&amp;Milestones!$AC$85&amp;";  ","")&amp;IF(AND(EDATE($D29,Milestones!$AA$86)&lt;=AsOfDate,IF($R29=0,$X29,IF(AND($T29&lt;&gt;"",EDATE($D29,Milestones!$AA$86)&gt;=$T29),$W29,IF(AND($S29&lt;&gt;"",EDATE($D29,Milestones!$AA$86)&gt;=$S29),$V29,$U29)))=Milestones!$AB$86),UPPER(TEXT(EDATE($D29,Milestones!$AA$86),"dd mmm yy"))&amp;" "&amp;Milestones!$AB$86&amp;" "&amp;Milestones!$AC$86&amp;";  ","")&amp;IF(AND(EDATE($D29,Milestones!$AA$87)&lt;=AsOfDate,IF($R29=0,$X29,IF(AND($T29&lt;&gt;"",EDATE($D29,Milestones!$AA$87)&gt;=$T29),$W29,IF(AND($S29&lt;&gt;"",EDATE($D29,Milestones!$AA$87)&gt;=$S29),$V29,$U29)))=Milestones!$AB$87),UPPER(TEXT(EDATE($D29,Milestones!$AA$87),"dd mmm yy"))&amp;" "&amp;Milestones!$AB$87&amp;" "&amp;Milestones!$AC$87&amp;";  ","")&amp;IF(AND(EDATE($D29,Milestones!$AA$88)&lt;=AsOfDate,IF($R29=0,$X29,IF(AND($T29&lt;&gt;"",EDATE($D29,Milestones!$AA$88)&gt;=$T29),$W29,IF(AND($S29&lt;&gt;"",EDATE($D29,Milestones!$AA$88)&gt;=$S29),$V29,$U29)))=Milestones!$AB$88),UPPER(TEXT(EDATE($D29,Milestones!$AA$88),"dd mmm yy"))&amp;" "&amp;Milestones!$AB$88&amp;" "&amp;Milestones!$AC$88&amp;";  ","")&amp;IF(AND(EDATE($D29,Milestones!$AA$89)&lt;=AsOfDate,IF($R29=0,$X29,IF(AND($T29&lt;&gt;"",EDATE($D29,Milestones!$AA$89)&gt;=$T29),$W29,IF(AND($S29&lt;&gt;"",EDATE($D29,Milestones!$AA$89)&gt;=$S29),$V29,$U29)))=Milestones!$AB$89),UPPER(TEXT(EDATE($D29,Milestones!$AA$89),"dd mmm yy"))&amp;" "&amp;Milestones!$AB$89&amp;" "&amp;Milestones!$AC$89&amp;";  ","")&amp;IF(AND(EDATE($D29,Milestones!$AA$90)&lt;=AsOfDate,IF($R29=0,$X29,IF(AND($T29&lt;&gt;"",EDATE($D29,Milestones!$AA$90)&gt;=$T29),$W29,IF(AND($S29&lt;&gt;"",EDATE($D29,Milestones!$AA$90)&gt;=$S29),$V29,$U29)))=Milestones!$AB$90),UPPER(TEXT(EDATE($D29,Milestones!$AA$90),"dd mmm yy"))&amp;" "&amp;Milestones!$AB$90&amp;" "&amp;Milestones!$AC$90&amp;";  ","")&amp;IF(AND(EDATE($D29,Milestones!$AA$91)&lt;=AsOfDate,IF($R29=0,$X29,IF(AND($T29&lt;&gt;"",EDATE($D29,Milestones!$AA$91)&gt;=$T29),$W29,IF(AND($S29&lt;&gt;"",EDATE($D29,Milestones!$AA$91)&gt;=$S29),$V29,$U29)))=Milestones!$AB$91),UPPER(TEXT(EDATE($D29,Milestones!$AA$91),"dd mmm yy"))&amp;" "&amp;Milestones!$AB$91&amp;" "&amp;Milestones!$AC$91&amp;";  ","")&amp;IF(AND(EDATE($D29,Milestones!$AA$92)&lt;=AsOfDate,IF($R29=0,$X29,IF(AND($T29&lt;&gt;"",EDATE($D29,Milestones!$AA$92)&gt;=$T29),$W29,IF(AND($S29&lt;&gt;"",EDATE($D29,Milestones!$AA$92)&gt;=$S29),$V29,$U29)))=Milestones!$AB$92),UPPER(TEXT(EDATE($D29,Milestones!$AA$92),"dd mmm yy"))&amp;" "&amp;Milestones!$AB$92&amp;" "&amp;Milestones!$AC$92&amp;";  ","")&amp;IF(AND(EDATE($D29,Milestones!$AA$93)&lt;=AsOfDate,IF($R29=0,$X29,IF(AND($T29&lt;&gt;"",EDATE($D29,Milestones!$AA$93)&gt;=$T29),$W29,IF(AND($S29&lt;&gt;"",EDATE($D29,Milestones!$AA$93)&gt;=$S29),$V29,$U29)))=Milestones!$AB$93),UPPER(TEXT(EDATE($D29,Milestones!$AA$93),"dd mmm yy"))&amp;" "&amp;Milestones!$AB$93&amp;" "&amp;Milestones!$AC$93&amp;";  ","")&amp;IF(AND(EDATE($D29,Milestones!$AA$94)&lt;=AsOfDate,IF($R29=0,$X29,IF(AND($T29&lt;&gt;"",EDATE($D29,Milestones!$AA$94)&gt;=$T29),$W29,IF(AND($S29&lt;&gt;"",EDATE($D29,Milestones!$AA$94)&gt;=$S29),$V29,$U29)))=Milestones!$AB$94),UPPER(TEXT(EDATE($D29,Milestones!$AA$94),"dd mmm yy"))&amp;" "&amp;Milestones!$AB$94&amp;" "&amp;Milestones!$AC$94&amp;";  ","")&amp;IF(AND(EDATE($D29,Milestones!$AA$95)&lt;=AsOfDate,IF($R29=0,$X29,IF(AND($T29&lt;&gt;"",EDATE($D29,Milestones!$AA$95)&gt;=$T29),$W29,IF(AND($S29&lt;&gt;"",EDATE($D29,Milestones!$AA$95)&gt;=$S29),$V29,$U29)))=Milestones!$AB$95),UPPER(TEXT(EDATE($D29,Milestones!$AA$95),"dd mmm yy"))&amp;" "&amp;Milestones!$AB$95&amp;" "&amp;Milestones!$AC$95&amp;";  ","")&amp;IF(AND(EDATE($D29,Milestones!$AA$96)&lt;=AsOfDate,IF($R29=0,$X29,IF(AND($T29&lt;&gt;"",EDATE($D29,Milestones!$AA$96)&gt;=$T29),$W29,IF(AND($S29&lt;&gt;"",EDATE($D29,Milestones!$AA$96)&gt;=$S29),$V29,$U29)))=Milestones!$AB$96),UPPER(TEXT(EDATE($D29,Milestones!$AA$96),"dd mmm yy"))&amp;" "&amp;Milestones!$AB$96&amp;" "&amp;Milestones!$AC$96&amp;";  ","")&amp;IF(AND(EDATE($D29,Milestones!$AA$97)&lt;=AsOfDate,IF($R29=0,$X29,IF(AND($T29&lt;&gt;"",EDATE($D29,Milestones!$AA$97)&gt;=$T29),$W29,IF(AND($S29&lt;&gt;"",EDATE($D29,Milestones!$AA$97)&gt;=$S29),$V29,$U29)))=Milestones!$AB$97),UPPER(TEXT(EDATE($D29,Milestones!$AA$97),"dd mmm yy"))&amp;" "&amp;Milestones!$AB$97&amp;" "&amp;Milestones!$AC$97&amp;";  ","")&amp;IF(AND(EDATE($D29,Milestones!$AA$98)&lt;=AsOfDate,IF($R29=0,$X29,IF(AND($T29&lt;&gt;"",EDATE($D29,Milestones!$AA$98)&gt;=$T29),$W29,IF(AND($S29&lt;&gt;"",EDATE($D29,Milestones!$AA$98)&gt;=$S29),$V29,$U29)))=Milestones!$AB$98),UPPER(TEXT(EDATE($D29,Milestones!$AA$98),"dd mmm yy"))&amp;" "&amp;Milestones!$AB$98&amp;" "&amp;Milestones!$AC$98&amp;";  ","")&amp;IF(AND(EDATE($D29,Milestones!$AA$99)&lt;=AsOfDate,IF($R29=0,$X29,IF(AND($T29&lt;&gt;"",EDATE($D29,Milestones!$AA$99)&gt;=$T29),$W29,IF(AND($S29&lt;&gt;"",EDATE($D29,Milestones!$AA$99)&gt;=$S29),$V29,$U29)))=Milestones!$AB$99),UPPER(TEXT(EDATE($D29,Milestones!$AA$99),"dd mmm yy"))&amp;" "&amp;Milestones!$AB$99&amp;" "&amp;Milestones!$AC$99&amp;";  ",""))</f>
        <v/>
      </c>
      <c r="M29" s="0" t="str">
        <f aca="false">IF(OR($A29="",$D29=""),"",IF(AND(EDATE($D29,Milestones!$AA$100)&lt;=AsOfDate,IF($R29=0,$X29,IF(AND($T29&lt;&gt;"",EDATE($D29,Milestones!$AA$100)&gt;=$T29),$W29,IF(AND($S29&lt;&gt;"",EDATE($D29,Milestones!$AA$100)&gt;=$S29),$V29,$U29)))=Milestones!$AB$100),UPPER(TEXT(EDATE($D29,Milestones!$AA$100),"dd mmm yy"))&amp;" "&amp;Milestones!$AB$100&amp;" "&amp;Milestones!$AC$100&amp;";  ","")&amp;IF(AND(EDATE($D29,Milestones!$AA$101)&lt;=AsOfDate,IF($R29=0,$X29,IF(AND($T29&lt;&gt;"",EDATE($D29,Milestones!$AA$101)&gt;=$T29),$W29,IF(AND($S29&lt;&gt;"",EDATE($D29,Milestones!$AA$101)&gt;=$S29),$V29,$U29)))=Milestones!$AB$101),UPPER(TEXT(EDATE($D29,Milestones!$AA$101),"dd mmm yy"))&amp;" "&amp;Milestones!$AB$101&amp;" "&amp;Milestones!$AC$101&amp;";  ","")&amp;IF(AND(EDATE($D29,Milestones!$AA$102)&lt;=AsOfDate,IF($R29=0,$X29,IF(AND($T29&lt;&gt;"",EDATE($D29,Milestones!$AA$102)&gt;=$T29),$W29,IF(AND($S29&lt;&gt;"",EDATE($D29,Milestones!$AA$102)&gt;=$S29),$V29,$U29)))=Milestones!$AB$102),UPPER(TEXT(EDATE($D29,Milestones!$AA$102),"dd mmm yy"))&amp;" "&amp;Milestones!$AB$102&amp;" "&amp;Milestones!$AC$102&amp;";  ","")&amp;IF(AND(EDATE($D29,Milestones!$AA$103)&lt;=AsOfDate,IF($R29=0,$X29,IF(AND($T29&lt;&gt;"",EDATE($D29,Milestones!$AA$103)&gt;=$T29),$W29,IF(AND($S29&lt;&gt;"",EDATE($D29,Milestones!$AA$103)&gt;=$S29),$V29,$U29)))=Milestones!$AB$103),UPPER(TEXT(EDATE($D29,Milestones!$AA$103),"dd mmm yy"))&amp;" "&amp;Milestones!$AB$103&amp;" "&amp;Milestones!$AC$103&amp;";  ","")&amp;IF(AND(EDATE($D29,Milestones!$AA$104)&lt;=AsOfDate,IF($R29=0,$X29,IF(AND($T29&lt;&gt;"",EDATE($D29,Milestones!$AA$104)&gt;=$T29),$W29,IF(AND($S29&lt;&gt;"",EDATE($D29,Milestones!$AA$104)&gt;=$S29),$V29,$U29)))=Milestones!$AB$104),UPPER(TEXT(EDATE($D29,Milestones!$AA$104),"dd mmm yy"))&amp;" "&amp;Milestones!$AB$104&amp;" "&amp;Milestones!$AC$104&amp;";  ","")&amp;IF(AND(EDATE($D29,Milestones!$AA$105)&lt;=AsOfDate,IF($R29=0,$X29,IF(AND($T29&lt;&gt;"",EDATE($D29,Milestones!$AA$105)&gt;=$T29),$W29,IF(AND($S29&lt;&gt;"",EDATE($D29,Milestones!$AA$105)&gt;=$S29),$V29,$U29)))=Milestones!$AB$105),UPPER(TEXT(EDATE($D29,Milestones!$AA$105),"dd mmm yy"))&amp;" "&amp;Milestones!$AB$105&amp;" "&amp;Milestones!$AC$105&amp;";  ","")&amp;IF(AND(EDATE($D29,Milestones!$AA$106)&lt;=AsOfDate,IF($R29=0,$X29,IF(AND($T29&lt;&gt;"",EDATE($D29,Milestones!$AA$106)&gt;=$T29),$W29,IF(AND($S29&lt;&gt;"",EDATE($D29,Milestones!$AA$106)&gt;=$S29),$V29,$U29)))=Milestones!$AB$106),UPPER(TEXT(EDATE($D29,Milestones!$AA$106),"dd mmm yy"))&amp;" "&amp;Milestones!$AB$106&amp;" "&amp;Milestones!$AC$106&amp;";  ","")&amp;IF(AND(EDATE($D29,Milestones!$AA$107)&lt;=AsOfDate,IF($R29=0,$X29,IF(AND($T29&lt;&gt;"",EDATE($D29,Milestones!$AA$107)&gt;=$T29),$W29,IF(AND($S29&lt;&gt;"",EDATE($D29,Milestones!$AA$107)&gt;=$S29),$V29,$U29)))=Milestones!$AB$107),UPPER(TEXT(EDATE($D29,Milestones!$AA$107),"dd mmm yy"))&amp;" "&amp;Milestones!$AB$107&amp;" "&amp;Milestones!$AC$107&amp;";  ","")&amp;IF(AND(EDATE($D29,Milestones!$AA$108)&lt;=AsOfDate,IF($R29=0,$X29,IF(AND($T29&lt;&gt;"",EDATE($D29,Milestones!$AA$108)&gt;=$T29),$W29,IF(AND($S29&lt;&gt;"",EDATE($D29,Milestones!$AA$108)&gt;=$S29),$V29,$U29)))=Milestones!$AB$108),UPPER(TEXT(EDATE($D29,Milestones!$AA$108),"dd mmm yy"))&amp;" "&amp;Milestones!$AB$108&amp;" "&amp;Milestones!$AC$108&amp;";  ","")&amp;IF(AND(EDATE($D29,Milestones!$AA$109)&lt;=AsOfDate,IF($R29=0,$X29,IF(AND($T29&lt;&gt;"",EDATE($D29,Milestones!$AA$109)&gt;=$T29),$W29,IF(AND($S29&lt;&gt;"",EDATE($D29,Milestones!$AA$109)&gt;=$S29),$V29,$U29)))=Milestones!$AB$109),UPPER(TEXT(EDATE($D29,Milestones!$AA$109),"dd mmm yy"))&amp;" "&amp;Milestones!$AB$109&amp;" "&amp;Milestones!$AC$109&amp;";  ","")&amp;IF(AND(EDATE($D29,Milestones!$AA$110)&lt;=AsOfDate,IF($R29=0,$X29,IF(AND($T29&lt;&gt;"",EDATE($D29,Milestones!$AA$110)&gt;=$T29),$W29,IF(AND($S29&lt;&gt;"",EDATE($D29,Milestones!$AA$110)&gt;=$S29),$V29,$U29)))=Milestones!$AB$110),UPPER(TEXT(EDATE($D29,Milestones!$AA$110),"dd mmm yy"))&amp;" "&amp;Milestones!$AB$110&amp;" "&amp;Milestones!$AC$110&amp;";  ","")&amp;IF(AND(EDATE($D29,Milestones!$AA$111)&lt;=AsOfDate,IF($R29=0,$X29,IF(AND($T29&lt;&gt;"",EDATE($D29,Milestones!$AA$111)&gt;=$T29),$W29,IF(AND($S29&lt;&gt;"",EDATE($D29,Milestones!$AA$111)&gt;=$S29),$V29,$U29)))=Milestones!$AB$111),UPPER(TEXT(EDATE($D29,Milestones!$AA$111),"dd mmm yy"))&amp;" "&amp;Milestones!$AB$111&amp;" "&amp;Milestones!$AC$111&amp;";  ","")&amp;IF(AND(EDATE($D29,Milestones!$AA$112)&lt;=AsOfDate,IF($R29=0,$X29,IF(AND($T29&lt;&gt;"",EDATE($D29,Milestones!$AA$112)&gt;=$T29),$W29,IF(AND($S29&lt;&gt;"",EDATE($D29,Milestones!$AA$112)&gt;=$S29),$V29,$U29)))=Milestones!$AB$112),UPPER(TEXT(EDATE($D29,Milestones!$AA$112),"dd mmm yy"))&amp;" "&amp;Milestones!$AB$112&amp;" "&amp;Milestones!$AC$112&amp;";  ","")&amp;IF(AND(EDATE($D29,Milestones!$AA$113)&lt;=AsOfDate,IF($R29=0,$X29,IF(AND($T29&lt;&gt;"",EDATE($D29,Milestones!$AA$113)&gt;=$T29),$W29,IF(AND($S29&lt;&gt;"",EDATE($D29,Milestones!$AA$113)&gt;=$S29),$V29,$U29)))=Milestones!$AB$113),UPPER(TEXT(EDATE($D29,Milestones!$AA$113),"dd mmm yy"))&amp;" "&amp;Milestones!$AB$113&amp;" "&amp;Milestones!$AC$113&amp;";  ","")&amp;IF(AND(EDATE($D29,Milestones!$AA$114)&lt;=AsOfDate,IF($R29=0,$X29,IF(AND($T29&lt;&gt;"",EDATE($D29,Milestones!$AA$114)&gt;=$T29),$W29,IF(AND($S29&lt;&gt;"",EDATE($D29,Milestones!$AA$114)&gt;=$S29),$V29,$U29)))=Milestones!$AB$114),UPPER(TEXT(EDATE($D29,Milestones!$AA$114),"dd mmm yy"))&amp;" "&amp;Milestones!$AB$114&amp;" "&amp;Milestones!$AC$114&amp;";  ","")&amp;IF(AND(EDATE($D29,Milestones!$AA$115)&lt;=AsOfDate,IF($R29=0,$X29,IF(AND($T29&lt;&gt;"",EDATE($D29,Milestones!$AA$115)&gt;=$T29),$W29,IF(AND($S29&lt;&gt;"",EDATE($D29,Milestones!$AA$115)&gt;=$S29),$V29,$U29)))=Milestones!$AB$115),UPPER(TEXT(EDATE($D29,Milestones!$AA$115),"dd mmm yy"))&amp;" "&amp;Milestones!$AB$115&amp;" "&amp;Milestones!$AC$115&amp;";  ","")&amp;IF(AND(EDATE($D29,Milestones!$AA$116)&lt;=AsOfDate,IF($R29=0,$X29,IF(AND($T29&lt;&gt;"",EDATE($D29,Milestones!$AA$116)&gt;=$T29),$W29,IF(AND($S29&lt;&gt;"",EDATE($D29,Milestones!$AA$116)&gt;=$S29),$V29,$U29)))=Milestones!$AB$116),UPPER(TEXT(EDATE($D29,Milestones!$AA$116),"dd mmm yy"))&amp;" "&amp;Milestones!$AB$116&amp;" "&amp;Milestones!$AC$116&amp;";  ","")&amp;IF(AND(EDATE($D29,Milestones!$AA$117)&lt;=AsOfDate,IF($R29=0,$X29,IF(AND($T29&lt;&gt;"",EDATE($D29,Milestones!$AA$117)&gt;=$T29),$W29,IF(AND($S29&lt;&gt;"",EDATE($D29,Milestones!$AA$117)&gt;=$S29),$V29,$U29)))=Milestones!$AB$117),UPPER(TEXT(EDATE($D29,Milestones!$AA$117),"dd mmm yy"))&amp;" "&amp;Milestones!$AB$117&amp;" "&amp;Milestones!$AC$117&amp;";  ","")&amp;IF(AND(EDATE($D29,Milestones!$AA$118)&lt;=AsOfDate,IF($R29=0,$X29,IF(AND($T29&lt;&gt;"",EDATE($D29,Milestones!$AA$118)&gt;=$T29),$W29,IF(AND($S29&lt;&gt;"",EDATE($D29,Milestones!$AA$118)&gt;=$S29),$V29,$U29)))=Milestones!$AB$118),UPPER(TEXT(EDATE($D29,Milestones!$AA$118),"dd mmm yy"))&amp;" "&amp;Milestones!$AB$118&amp;" "&amp;Milestones!$AC$118&amp;";  ","")&amp;IF(AND(EDATE($D29,Milestones!$AA$119)&lt;=AsOfDate,IF($R29=0,$X29,IF(AND($T29&lt;&gt;"",EDATE($D29,Milestones!$AA$119)&gt;=$T29),$W29,IF(AND($S29&lt;&gt;"",EDATE($D29,Milestones!$AA$119)&gt;=$S29),$V29,$U29)))=Milestones!$AB$119),UPPER(TEXT(EDATE($D29,Milestones!$AA$119),"dd mmm yy"))&amp;" "&amp;Milestones!$AB$119&amp;" "&amp;Milestones!$AC$119&amp;";  ",""))</f>
        <v/>
      </c>
      <c r="N29" s="0" t="str">
        <f aca="false">IF(OR($A29="",$D29=""),"",IF(AND(EDATE($D29,Milestones!$AA$120)&lt;=AsOfDate,IF($R29=0,$X29,IF(AND($T29&lt;&gt;"",EDATE($D29,Milestones!$AA$120)&gt;=$T29),$W29,IF(AND($S29&lt;&gt;"",EDATE($D29,Milestones!$AA$120)&gt;=$S29),$V29,$U29)))=Milestones!$AB$120),UPPER(TEXT(EDATE($D29,Milestones!$AA$120),"dd mmm yy"))&amp;" "&amp;Milestones!$AB$120&amp;" "&amp;Milestones!$AC$120&amp;";  ","")&amp;IF(AND(EDATE($D29,Milestones!$AA$121)&lt;=AsOfDate,IF($R29=0,$X29,IF(AND($T29&lt;&gt;"",EDATE($D29,Milestones!$AA$121)&gt;=$T29),$W29,IF(AND($S29&lt;&gt;"",EDATE($D29,Milestones!$AA$121)&gt;=$S29),$V29,$U29)))=Milestones!$AB$121),UPPER(TEXT(EDATE($D29,Milestones!$AA$121),"dd mmm yy"))&amp;" "&amp;Milestones!$AB$121&amp;" "&amp;Milestones!$AC$121&amp;";  ","")&amp;IF(AND(EDATE($D29,Milestones!$AA$122)&lt;=AsOfDate,IF($R29=0,$X29,IF(AND($T29&lt;&gt;"",EDATE($D29,Milestones!$AA$122)&gt;=$T29),$W29,IF(AND($S29&lt;&gt;"",EDATE($D29,Milestones!$AA$122)&gt;=$S29),$V29,$U29)))=Milestones!$AB$122),UPPER(TEXT(EDATE($D29,Milestones!$AA$122),"dd mmm yy"))&amp;" "&amp;Milestones!$AB$122&amp;" "&amp;Milestones!$AC$122&amp;";  ","")&amp;IF(AND(EDATE($D29,Milestones!$AA$123)&lt;=AsOfDate,IF($R29=0,$X29,IF(AND($T29&lt;&gt;"",EDATE($D29,Milestones!$AA$123)&gt;=$T29),$W29,IF(AND($S29&lt;&gt;"",EDATE($D29,Milestones!$AA$123)&gt;=$S29),$V29,$U29)))=Milestones!$AB$123),UPPER(TEXT(EDATE($D29,Milestones!$AA$123),"dd mmm yy"))&amp;" "&amp;Milestones!$AB$123&amp;" "&amp;Milestones!$AC$123&amp;";  ","")&amp;IF(AND(EDATE($D29,Milestones!$AA$124)&lt;=AsOfDate,IF($R29=0,$X29,IF(AND($T29&lt;&gt;"",EDATE($D29,Milestones!$AA$124)&gt;=$T29),$W29,IF(AND($S29&lt;&gt;"",EDATE($D29,Milestones!$AA$124)&gt;=$S29),$V29,$U29)))=Milestones!$AB$124),UPPER(TEXT(EDATE($D29,Milestones!$AA$124),"dd mmm yy"))&amp;" "&amp;Milestones!$AB$124&amp;" "&amp;Milestones!$AC$124&amp;";  ","")&amp;IF(AND(EDATE($D29,Milestones!$AA$125)&lt;=AsOfDate,IF($R29=0,$X29,IF(AND($T29&lt;&gt;"",EDATE($D29,Milestones!$AA$125)&gt;=$T29),$W29,IF(AND($S29&lt;&gt;"",EDATE($D29,Milestones!$AA$125)&gt;=$S29),$V29,$U29)))=Milestones!$AB$125),UPPER(TEXT(EDATE($D29,Milestones!$AA$125),"dd mmm yy"))&amp;" "&amp;Milestones!$AB$125&amp;" "&amp;Milestones!$AC$125&amp;";  ","")&amp;IF(AND(EDATE($D29,Milestones!$AA$126)&lt;=AsOfDate,IF($R29=0,$X29,IF(AND($T29&lt;&gt;"",EDATE($D29,Milestones!$AA$126)&gt;=$T29),$W29,IF(AND($S29&lt;&gt;"",EDATE($D29,Milestones!$AA$126)&gt;=$S29),$V29,$U29)))=Milestones!$AB$126),UPPER(TEXT(EDATE($D29,Milestones!$AA$126),"dd mmm yy"))&amp;" "&amp;Milestones!$AB$126&amp;" "&amp;Milestones!$AC$126&amp;";  ","")&amp;IF(AND(EDATE($D29,Milestones!$AA$127)&lt;=AsOfDate,IF($R29=0,$X29,IF(AND($T29&lt;&gt;"",EDATE($D29,Milestones!$AA$127)&gt;=$T29),$W29,IF(AND($S29&lt;&gt;"",EDATE($D29,Milestones!$AA$127)&gt;=$S29),$V29,$U29)))=Milestones!$AB$127),UPPER(TEXT(EDATE($D29,Milestones!$AA$127),"dd mmm yy"))&amp;" "&amp;Milestones!$AB$127&amp;" "&amp;Milestones!$AC$127&amp;";  ","")&amp;IF(AND(EDATE($D29,Milestones!$AA$128)&lt;=AsOfDate,IF($R29=0,$X29,IF(AND($T29&lt;&gt;"",EDATE($D29,Milestones!$AA$128)&gt;=$T29),$W29,IF(AND($S29&lt;&gt;"",EDATE($D29,Milestones!$AA$128)&gt;=$S29),$V29,$U29)))=Milestones!$AB$128),UPPER(TEXT(EDATE($D29,Milestones!$AA$128),"dd mmm yy"))&amp;" "&amp;Milestones!$AB$128&amp;" "&amp;Milestones!$AC$128&amp;";  ","")&amp;IF(AND(EDATE($D29,Milestones!$AA$129)&lt;=AsOfDate,IF($R29=0,$X29,IF(AND($T29&lt;&gt;"",EDATE($D29,Milestones!$AA$129)&gt;=$T29),$W29,IF(AND($S29&lt;&gt;"",EDATE($D29,Milestones!$AA$129)&gt;=$S29),$V29,$U29)))=Milestones!$AB$129),UPPER(TEXT(EDATE($D29,Milestones!$AA$129),"dd mmm yy"))&amp;" "&amp;Milestones!$AB$129&amp;" "&amp;Milestones!$AC$129&amp;";  ","")&amp;IF(AND(EDATE($D29,Milestones!$AA$130)&lt;=AsOfDate,IF($R29=0,$X29,IF(AND($T29&lt;&gt;"",EDATE($D29,Milestones!$AA$130)&gt;=$T29),$W29,IF(AND($S29&lt;&gt;"",EDATE($D29,Milestones!$AA$130)&gt;=$S29),$V29,$U29)))=Milestones!$AB$130),UPPER(TEXT(EDATE($D29,Milestones!$AA$130),"dd mmm yy"))&amp;" "&amp;Milestones!$AB$130&amp;" "&amp;Milestones!$AC$130&amp;";  ","")&amp;IF(AND(EDATE($D29,Milestones!$AA$131)&lt;=AsOfDate,IF($R29=0,$X29,IF(AND($T29&lt;&gt;"",EDATE($D29,Milestones!$AA$131)&gt;=$T29),$W29,IF(AND($S29&lt;&gt;"",EDATE($D29,Milestones!$AA$131)&gt;=$S29),$V29,$U29)))=Milestones!$AB$131),UPPER(TEXT(EDATE($D29,Milestones!$AA$131),"dd mmm yy"))&amp;" "&amp;Milestones!$AB$131&amp;" "&amp;Milestones!$AC$131&amp;";  ","")&amp;IF(AND(EDATE($D29,Milestones!$AA$132)&lt;=AsOfDate,IF($R29=0,$X29,IF(AND($T29&lt;&gt;"",EDATE($D29,Milestones!$AA$132)&gt;=$T29),$W29,IF(AND($S29&lt;&gt;"",EDATE($D29,Milestones!$AA$132)&gt;=$S29),$V29,$U29)))=Milestones!$AB$132),UPPER(TEXT(EDATE($D29,Milestones!$AA$132),"dd mmm yy"))&amp;" "&amp;Milestones!$AB$132&amp;" "&amp;Milestones!$AC$132&amp;";  ","")&amp;IF(AND(EDATE($D29,Milestones!$AA$133)&lt;=AsOfDate,IF($R29=0,$X29,IF(AND($T29&lt;&gt;"",EDATE($D29,Milestones!$AA$133)&gt;=$T29),$W29,IF(AND($S29&lt;&gt;"",EDATE($D29,Milestones!$AA$133)&gt;=$S29),$V29,$U29)))=Milestones!$AB$133),UPPER(TEXT(EDATE($D29,Milestones!$AA$133),"dd mmm yy"))&amp;" "&amp;Milestones!$AB$133&amp;" "&amp;Milestones!$AC$133&amp;";  ","")&amp;IF(AND(EDATE($D29,Milestones!$AA$134)&lt;=AsOfDate,IF($R29=0,$X29,IF(AND($T29&lt;&gt;"",EDATE($D29,Milestones!$AA$134)&gt;=$T29),$W29,IF(AND($S29&lt;&gt;"",EDATE($D29,Milestones!$AA$134)&gt;=$S29),$V29,$U29)))=Milestones!$AB$134),UPPER(TEXT(EDATE($D29,Milestones!$AA$134),"dd mmm yy"))&amp;" "&amp;Milestones!$AB$134&amp;" "&amp;Milestones!$AC$134&amp;";  ","")&amp;IF(AND(EDATE($D29,Milestones!$AA$135)&lt;=AsOfDate,IF($R29=0,$X29,IF(AND($T29&lt;&gt;"",EDATE($D29,Milestones!$AA$135)&gt;=$T29),$W29,IF(AND($S29&lt;&gt;"",EDATE($D29,Milestones!$AA$135)&gt;=$S29),$V29,$U29)))=Milestones!$AB$135),UPPER(TEXT(EDATE($D29,Milestones!$AA$135),"dd mmm yy"))&amp;" "&amp;Milestones!$AB$135&amp;" "&amp;Milestones!$AC$135&amp;";  ","")&amp;IF(AND(EDATE($D29,Milestones!$AA$136)&lt;=AsOfDate,IF($R29=0,$X29,IF(AND($T29&lt;&gt;"",EDATE($D29,Milestones!$AA$136)&gt;=$T29),$W29,IF(AND($S29&lt;&gt;"",EDATE($D29,Milestones!$AA$136)&gt;=$S29),$V29,$U29)))=Milestones!$AB$136),UPPER(TEXT(EDATE($D29,Milestones!$AA$136),"dd mmm yy"))&amp;" "&amp;Milestones!$AB$136&amp;" "&amp;Milestones!$AC$136&amp;";  ","")&amp;IF(AND(EDATE($D29,Milestones!$AA$137)&lt;=AsOfDate,IF($R29=0,$X29,IF(AND($T29&lt;&gt;"",EDATE($D29,Milestones!$AA$137)&gt;=$T29),$W29,IF(AND($S29&lt;&gt;"",EDATE($D29,Milestones!$AA$137)&gt;=$S29),$V29,$U29)))=Milestones!$AB$137),UPPER(TEXT(EDATE($D29,Milestones!$AA$137),"dd mmm yy"))&amp;" "&amp;Milestones!$AB$137&amp;" "&amp;Milestones!$AC$137&amp;";  ","")&amp;IF(AND(EDATE($D29,Milestones!$AA$138)&lt;=AsOfDate,IF($R29=0,$X29,IF(AND($T29&lt;&gt;"",EDATE($D29,Milestones!$AA$138)&gt;=$T29),$W29,IF(AND($S29&lt;&gt;"",EDATE($D29,Milestones!$AA$138)&gt;=$S29),$V29,$U29)))=Milestones!$AB$138),UPPER(TEXT(EDATE($D29,Milestones!$AA$138),"dd mmm yy"))&amp;" "&amp;Milestones!$AB$138&amp;" "&amp;Milestones!$AC$138&amp;";  ","")&amp;IF(AND(EDATE($D29,Milestones!$AA$139)&lt;=AsOfDate,IF($R29=0,$X29,IF(AND($T29&lt;&gt;"",EDATE($D29,Milestones!$AA$139)&gt;=$T29),$W29,IF(AND($S29&lt;&gt;"",EDATE($D29,Milestones!$AA$139)&gt;=$S29),$V29,$U29)))=Milestones!$AB$139),UPPER(TEXT(EDATE($D29,Milestones!$AA$139),"dd mmm yy"))&amp;" "&amp;Milestones!$AB$139&amp;" "&amp;Milestones!$AC$139&amp;";  ",""))</f>
        <v/>
      </c>
      <c r="O29" s="0" t="str">
        <f aca="false">IF(OR($A29="",$D29=""),"",IF(AND(EDATE($D29,Milestones!$AA$140)&lt;=AsOfDate,IF($R29=0,$X29,IF(AND($T29&lt;&gt;"",EDATE($D29,Milestones!$AA$140)&gt;=$T29),$W29,IF(AND($S29&lt;&gt;"",EDATE($D29,Milestones!$AA$140)&gt;=$S29),$V29,$U29)))=Milestones!$AB$140),UPPER(TEXT(EDATE($D29,Milestones!$AA$140),"dd mmm yy"))&amp;" "&amp;Milestones!$AB$140&amp;" "&amp;Milestones!$AC$140&amp;";  ","")&amp;IF(AND(EDATE($D29,Milestones!$AA$141)&lt;=AsOfDate,IF($R29=0,$X29,IF(AND($T29&lt;&gt;"",EDATE($D29,Milestones!$AA$141)&gt;=$T29),$W29,IF(AND($S29&lt;&gt;"",EDATE($D29,Milestones!$AA$141)&gt;=$S29),$V29,$U29)))=Milestones!$AB$141),UPPER(TEXT(EDATE($D29,Milestones!$AA$141),"dd mmm yy"))&amp;" "&amp;Milestones!$AB$141&amp;" "&amp;Milestones!$AC$141&amp;";  ","")&amp;IF(AND(EDATE($D29,Milestones!$AA$142)&lt;=AsOfDate,IF($R29=0,$X29,IF(AND($T29&lt;&gt;"",EDATE($D29,Milestones!$AA$142)&gt;=$T29),$W29,IF(AND($S29&lt;&gt;"",EDATE($D29,Milestones!$AA$142)&gt;=$S29),$V29,$U29)))=Milestones!$AB$142),UPPER(TEXT(EDATE($D29,Milestones!$AA$142),"dd mmm yy"))&amp;" "&amp;Milestones!$AB$142&amp;" "&amp;Milestones!$AC$142&amp;";  ","")&amp;IF(AND(EDATE($D29,Milestones!$AA$143)&lt;=AsOfDate,IF($R29=0,$X29,IF(AND($T29&lt;&gt;"",EDATE($D29,Milestones!$AA$143)&gt;=$T29),$W29,IF(AND($S29&lt;&gt;"",EDATE($D29,Milestones!$AA$143)&gt;=$S29),$V29,$U29)))=Milestones!$AB$143),UPPER(TEXT(EDATE($D29,Milestones!$AA$143),"dd mmm yy"))&amp;" "&amp;Milestones!$AB$143&amp;" "&amp;Milestones!$AC$143&amp;";  ","")&amp;IF(AND(EDATE($D29,Milestones!$AA$144)&lt;=AsOfDate,IF($R29=0,$X29,IF(AND($T29&lt;&gt;"",EDATE($D29,Milestones!$AA$144)&gt;=$T29),$W29,IF(AND($S29&lt;&gt;"",EDATE($D29,Milestones!$AA$144)&gt;=$S29),$V29,$U29)))=Milestones!$AB$144),UPPER(TEXT(EDATE($D29,Milestones!$AA$144),"dd mmm yy"))&amp;" "&amp;Milestones!$AB$144&amp;" "&amp;Milestones!$AC$144&amp;";  ","")&amp;IF(AND(EDATE($D29,Milestones!$AA$145)&lt;=AsOfDate,IF($R29=0,$X29,IF(AND($T29&lt;&gt;"",EDATE($D29,Milestones!$AA$145)&gt;=$T29),$W29,IF(AND($S29&lt;&gt;"",EDATE($D29,Milestones!$AA$145)&gt;=$S29),$V29,$U29)))=Milestones!$AB$145),UPPER(TEXT(EDATE($D29,Milestones!$AA$145),"dd mmm yy"))&amp;" "&amp;Milestones!$AB$145&amp;" "&amp;Milestones!$AC$145&amp;";  ","")&amp;IF(AND(EDATE($D29,Milestones!$AA$146)&lt;=AsOfDate,IF($R29=0,$X29,IF(AND($T29&lt;&gt;"",EDATE($D29,Milestones!$AA$146)&gt;=$T29),$W29,IF(AND($S29&lt;&gt;"",EDATE($D29,Milestones!$AA$146)&gt;=$S29),$V29,$U29)))=Milestones!$AB$146),UPPER(TEXT(EDATE($D29,Milestones!$AA$146),"dd mmm yy"))&amp;" "&amp;Milestones!$AB$146&amp;" "&amp;Milestones!$AC$146&amp;";  ","")&amp;IF(AND(EDATE($D29,Milestones!$AA$147)&lt;=AsOfDate,IF($R29=0,$X29,IF(AND($T29&lt;&gt;"",EDATE($D29,Milestones!$AA$147)&gt;=$T29),$W29,IF(AND($S29&lt;&gt;"",EDATE($D29,Milestones!$AA$147)&gt;=$S29),$V29,$U29)))=Milestones!$AB$147),UPPER(TEXT(EDATE($D29,Milestones!$AA$147),"dd mmm yy"))&amp;" "&amp;Milestones!$AB$147&amp;" "&amp;Milestones!$AC$147&amp;";  ","")&amp;IF(AND(EDATE($D29,Milestones!$AA$148)&lt;=AsOfDate,IF($R29=0,$X29,IF(AND($T29&lt;&gt;"",EDATE($D29,Milestones!$AA$148)&gt;=$T29),$W29,IF(AND($S29&lt;&gt;"",EDATE($D29,Milestones!$AA$148)&gt;=$S29),$V29,$U29)))=Milestones!$AB$148),UPPER(TEXT(EDATE($D29,Milestones!$AA$148),"dd mmm yy"))&amp;" "&amp;Milestones!$AB$148&amp;" "&amp;Milestones!$AC$148&amp;";  ","")&amp;IF(AND(EDATE($D29,Milestones!$AA$149)&lt;=AsOfDate,IF($R29=0,$X29,IF(AND($T29&lt;&gt;"",EDATE($D29,Milestones!$AA$149)&gt;=$T29),$W29,IF(AND($S29&lt;&gt;"",EDATE($D29,Milestones!$AA$149)&gt;=$S29),$V29,$U29)))=Milestones!$AB$149),UPPER(TEXT(EDATE($D29,Milestones!$AA$149),"dd mmm yy"))&amp;" "&amp;Milestones!$AB$149&amp;" "&amp;Milestones!$AC$149&amp;";  ","")&amp;IF(AND(EDATE($D29,Milestones!$AA$150)&lt;=AsOfDate,IF($R29=0,$X29,IF(AND($T29&lt;&gt;"",EDATE($D29,Milestones!$AA$150)&gt;=$T29),$W29,IF(AND($S29&lt;&gt;"",EDATE($D29,Milestones!$AA$150)&gt;=$S29),$V29,$U29)))=Milestones!$AB$150),UPPER(TEXT(EDATE($D29,Milestones!$AA$150),"dd mmm yy"))&amp;" "&amp;Milestones!$AB$150&amp;" "&amp;Milestones!$AC$150&amp;";  ","")&amp;IF(AND(EDATE($D29,Milestones!$AA$151)&lt;=AsOfDate,IF($R29=0,$X29,IF(AND($T29&lt;&gt;"",EDATE($D29,Milestones!$AA$151)&gt;=$T29),$W29,IF(AND($S29&lt;&gt;"",EDATE($D29,Milestones!$AA$151)&gt;=$S29),$V29,$U29)))=Milestones!$AB$151),UPPER(TEXT(EDATE($D29,Milestones!$AA$151),"dd mmm yy"))&amp;" "&amp;Milestones!$AB$151&amp;" "&amp;Milestones!$AC$151&amp;";  ","")&amp;IF(AND(EDATE($D29,Milestones!$AA$152)&lt;=AsOfDate,IF($R29=0,$X29,IF(AND($T29&lt;&gt;"",EDATE($D29,Milestones!$AA$152)&gt;=$T29),$W29,IF(AND($S29&lt;&gt;"",EDATE($D29,Milestones!$AA$152)&gt;=$S29),$V29,$U29)))=Milestones!$AB$152),UPPER(TEXT(EDATE($D29,Milestones!$AA$152),"dd mmm yy"))&amp;" "&amp;Milestones!$AB$152&amp;" "&amp;Milestones!$AC$152&amp;";  ","")&amp;IF(AND(EDATE($D29,Milestones!$AA$153)&lt;=AsOfDate,IF($R29=0,$X29,IF(AND($T29&lt;&gt;"",EDATE($D29,Milestones!$AA$153)&gt;=$T29),$W29,IF(AND($S29&lt;&gt;"",EDATE($D29,Milestones!$AA$153)&gt;=$S29),$V29,$U29)))=Milestones!$AB$153),UPPER(TEXT(EDATE($D29,Milestones!$AA$153),"dd mmm yy"))&amp;" "&amp;Milestones!$AB$153&amp;" "&amp;Milestones!$AC$153&amp;";  ","")&amp;IF(AND(EDATE($D29,Milestones!$AA$154)&lt;=AsOfDate,IF($R29=0,$X29,IF(AND($T29&lt;&gt;"",EDATE($D29,Milestones!$AA$154)&gt;=$T29),$W29,IF(AND($S29&lt;&gt;"",EDATE($D29,Milestones!$AA$154)&gt;=$S29),$V29,$U29)))=Milestones!$AB$154),UPPER(TEXT(EDATE($D29,Milestones!$AA$154),"dd mmm yy"))&amp;" "&amp;Milestones!$AB$154&amp;" "&amp;Milestones!$AC$154&amp;";  ","")&amp;IF(AND(EDATE($D29,Milestones!$AA$155)&lt;=AsOfDate,IF($R29=0,$X29,IF(AND($T29&lt;&gt;"",EDATE($D29,Milestones!$AA$155)&gt;=$T29),$W29,IF(AND($S29&lt;&gt;"",EDATE($D29,Milestones!$AA$155)&gt;=$S29),$V29,$U29)))=Milestones!$AB$155),UPPER(TEXT(EDATE($D29,Milestones!$AA$155),"dd mmm yy"))&amp;" "&amp;Milestones!$AB$155&amp;" "&amp;Milestones!$AC$155&amp;";  ","")&amp;IF(AND(EDATE($D29,Milestones!$AA$156)&lt;=AsOfDate,IF($R29=0,$X29,IF(AND($T29&lt;&gt;"",EDATE($D29,Milestones!$AA$156)&gt;=$T29),$W29,IF(AND($S29&lt;&gt;"",EDATE($D29,Milestones!$AA$156)&gt;=$S29),$V29,$U29)))=Milestones!$AB$156),UPPER(TEXT(EDATE($D29,Milestones!$AA$156),"dd mmm yy"))&amp;" "&amp;Milestones!$AB$156&amp;" "&amp;Milestones!$AC$156&amp;";  ","")&amp;IF(AND(EDATE($D29,Milestones!$AA$157)&lt;=AsOfDate,IF($R29=0,$X29,IF(AND($T29&lt;&gt;"",EDATE($D29,Milestones!$AA$157)&gt;=$T29),$W29,IF(AND($S29&lt;&gt;"",EDATE($D29,Milestones!$AA$157)&gt;=$S29),$V29,$U29)))=Milestones!$AB$157),UPPER(TEXT(EDATE($D29,Milestones!$AA$157),"dd mmm yy"))&amp;" "&amp;Milestones!$AB$157&amp;" "&amp;Milestones!$AC$157&amp;";  ","")&amp;IF(AND(EDATE($D29,Milestones!$AA$158)&lt;=AsOfDate,IF($R29=0,$X29,IF(AND($T29&lt;&gt;"",EDATE($D29,Milestones!$AA$158)&gt;=$T29),$W29,IF(AND($S29&lt;&gt;"",EDATE($D29,Milestones!$AA$158)&gt;=$S29),$V29,$U29)))=Milestones!$AB$158),UPPER(TEXT(EDATE($D29,Milestones!$AA$158),"dd mmm yy"))&amp;" "&amp;Milestones!$AB$158&amp;" "&amp;Milestones!$AC$158&amp;";  ","")&amp;IF(AND(EDATE($D29,Milestones!$AA$159)&lt;=AsOfDate,IF($R29=0,$X29,IF(AND($T29&lt;&gt;"",EDATE($D29,Milestones!$AA$159)&gt;=$T29),$W29,IF(AND($S29&lt;&gt;"",EDATE($D29,Milestones!$AA$159)&gt;=$S29),$V29,$U29)))=Milestones!$AB$159),UPPER(TEXT(EDATE($D29,Milestones!$AA$159),"dd mmm yy"))&amp;" "&amp;Milestones!$AB$159&amp;" "&amp;Milestones!$AC$159&amp;";  ",""))</f>
        <v/>
      </c>
      <c r="P29" s="0" t="str">
        <f aca="false">IF(OR($A29="",$D29=""),"",IF(AND(EDATE($D29,Milestones!$AA$160)&lt;=AsOfDate,IF($R29=0,$X29,IF(AND($T29&lt;&gt;"",EDATE($D29,Milestones!$AA$160)&gt;=$T29),$W29,IF(AND($S29&lt;&gt;"",EDATE($D29,Milestones!$AA$160)&gt;=$S29),$V29,$U29)))=Milestones!$AB$160),UPPER(TEXT(EDATE($D29,Milestones!$AA$160),"dd mmm yy"))&amp;" "&amp;Milestones!$AB$160&amp;" "&amp;Milestones!$AC$160&amp;";  ","")&amp;IF(AND(EDATE($D29,Milestones!$AA$161)&lt;=AsOfDate,IF($R29=0,$X29,IF(AND($T29&lt;&gt;"",EDATE($D29,Milestones!$AA$161)&gt;=$T29),$W29,IF(AND($S29&lt;&gt;"",EDATE($D29,Milestones!$AA$161)&gt;=$S29),$V29,$U29)))=Milestones!$AB$161),UPPER(TEXT(EDATE($D29,Milestones!$AA$161),"dd mmm yy"))&amp;" "&amp;Milestones!$AB$161&amp;" "&amp;Milestones!$AC$161&amp;";  ","")&amp;IF(AND(EDATE($D29,Milestones!$AA$162)&lt;=AsOfDate,IF($R29=0,$X29,IF(AND($T29&lt;&gt;"",EDATE($D29,Milestones!$AA$162)&gt;=$T29),$W29,IF(AND($S29&lt;&gt;"",EDATE($D29,Milestones!$AA$162)&gt;=$S29),$V29,$U29)))=Milestones!$AB$162),UPPER(TEXT(EDATE($D29,Milestones!$AA$162),"dd mmm yy"))&amp;" "&amp;Milestones!$AB$162&amp;" "&amp;Milestones!$AC$162&amp;";  ","")&amp;IF(AND(EDATE($D29,Milestones!$AA$163)&lt;=AsOfDate,IF($R29=0,$X29,IF(AND($T29&lt;&gt;"",EDATE($D29,Milestones!$AA$163)&gt;=$T29),$W29,IF(AND($S29&lt;&gt;"",EDATE($D29,Milestones!$AA$163)&gt;=$S29),$V29,$U29)))=Milestones!$AB$163),UPPER(TEXT(EDATE($D29,Milestones!$AA$163),"dd mmm yy"))&amp;" "&amp;Milestones!$AB$163&amp;" "&amp;Milestones!$AC$163&amp;";  ","")&amp;IF(AND(EDATE($D29,Milestones!$AA$164)&lt;=AsOfDate,IF($R29=0,$X29,IF(AND($T29&lt;&gt;"",EDATE($D29,Milestones!$AA$164)&gt;=$T29),$W29,IF(AND($S29&lt;&gt;"",EDATE($D29,Milestones!$AA$164)&gt;=$S29),$V29,$U29)))=Milestones!$AB$164),UPPER(TEXT(EDATE($D29,Milestones!$AA$164),"dd mmm yy"))&amp;" "&amp;Milestones!$AB$164&amp;" "&amp;Milestones!$AC$164&amp;";  ","")&amp;IF(AND(EDATE($D29,Milestones!$AA$165)&lt;=AsOfDate,IF($R29=0,$X29,IF(AND($T29&lt;&gt;"",EDATE($D29,Milestones!$AA$165)&gt;=$T29),$W29,IF(AND($S29&lt;&gt;"",EDATE($D29,Milestones!$AA$165)&gt;=$S29),$V29,$U29)))=Milestones!$AB$165),UPPER(TEXT(EDATE($D29,Milestones!$AA$165),"dd mmm yy"))&amp;" "&amp;Milestones!$AB$165&amp;" "&amp;Milestones!$AC$165&amp;";  ","")&amp;IF(AND(EDATE($D29,Milestones!$AA$166)&lt;=AsOfDate,IF($R29=0,$X29,IF(AND($T29&lt;&gt;"",EDATE($D29,Milestones!$AA$166)&gt;=$T29),$W29,IF(AND($S29&lt;&gt;"",EDATE($D29,Milestones!$AA$166)&gt;=$S29),$V29,$U29)))=Milestones!$AB$166),UPPER(TEXT(EDATE($D29,Milestones!$AA$166),"dd mmm yy"))&amp;" "&amp;Milestones!$AB$166&amp;" "&amp;Milestones!$AC$166&amp;";  ","")&amp;IF(AND(EDATE($D29,Milestones!$AA$167)&lt;=AsOfDate,IF($R29=0,$X29,IF(AND($T29&lt;&gt;"",EDATE($D29,Milestones!$AA$167)&gt;=$T29),$W29,IF(AND($S29&lt;&gt;"",EDATE($D29,Milestones!$AA$167)&gt;=$S29),$V29,$U29)))=Milestones!$AB$167),UPPER(TEXT(EDATE($D29,Milestones!$AA$167),"dd mmm yy"))&amp;" "&amp;Milestones!$AB$167&amp;" "&amp;Milestones!$AC$167&amp;";  ","")&amp;IF(AND(EDATE($D29,Milestones!$AA$168)&lt;=AsOfDate,IF($R29=0,$X29,IF(AND($T29&lt;&gt;"",EDATE($D29,Milestones!$AA$168)&gt;=$T29),$W29,IF(AND($S29&lt;&gt;"",EDATE($D29,Milestones!$AA$168)&gt;=$S29),$V29,$U29)))=Milestones!$AB$168),UPPER(TEXT(EDATE($D29,Milestones!$AA$168),"dd mmm yy"))&amp;" "&amp;Milestones!$AB$168&amp;" "&amp;Milestones!$AC$168&amp;";  ","")&amp;IF(AND(EDATE($D29,Milestones!$AA$169)&lt;=AsOfDate,IF($R29=0,$X29,IF(AND($T29&lt;&gt;"",EDATE($D29,Milestones!$AA$169)&gt;=$T29),$W29,IF(AND($S29&lt;&gt;"",EDATE($D29,Milestones!$AA$169)&gt;=$S29),$V29,$U29)))=Milestones!$AB$169),UPPER(TEXT(EDATE($D29,Milestones!$AA$169),"dd mmm yy"))&amp;" "&amp;Milestones!$AB$169&amp;" "&amp;Milestones!$AC$169&amp;";  ","")&amp;IF(AND(EDATE($D29,Milestones!$AA$170)&lt;=AsOfDate,IF($R29=0,$X29,IF(AND($T29&lt;&gt;"",EDATE($D29,Milestones!$AA$170)&gt;=$T29),$W29,IF(AND($S29&lt;&gt;"",EDATE($D29,Milestones!$AA$170)&gt;=$S29),$V29,$U29)))=Milestones!$AB$170),UPPER(TEXT(EDATE($D29,Milestones!$AA$170),"dd mmm yy"))&amp;" "&amp;Milestones!$AB$170&amp;" "&amp;Milestones!$AC$170&amp;";  ","")&amp;IF(AND(EDATE($D29,Milestones!$AA$171)&lt;=AsOfDate,IF($R29=0,$X29,IF(AND($T29&lt;&gt;"",EDATE($D29,Milestones!$AA$171)&gt;=$T29),$W29,IF(AND($S29&lt;&gt;"",EDATE($D29,Milestones!$AA$171)&gt;=$S29),$V29,$U29)))=Milestones!$AB$171),UPPER(TEXT(EDATE($D29,Milestones!$AA$171),"dd mmm yy"))&amp;" "&amp;Milestones!$AB$171&amp;" "&amp;Milestones!$AC$171&amp;";  ","")&amp;IF(AND(EDATE($D29,Milestones!$AA$172)&lt;=AsOfDate,IF($R29=0,$X29,IF(AND($T29&lt;&gt;"",EDATE($D29,Milestones!$AA$172)&gt;=$T29),$W29,IF(AND($S29&lt;&gt;"",EDATE($D29,Milestones!$AA$172)&gt;=$S29),$V29,$U29)))=Milestones!$AB$172),UPPER(TEXT(EDATE($D29,Milestones!$AA$172),"dd mmm yy"))&amp;" "&amp;Milestones!$AB$172&amp;" "&amp;Milestones!$AC$172&amp;";  ","")&amp;IF(AND(EDATE($D29,Milestones!$AA$173)&lt;=AsOfDate,IF($R29=0,$X29,IF(AND($T29&lt;&gt;"",EDATE($D29,Milestones!$AA$173)&gt;=$T29),$W29,IF(AND($S29&lt;&gt;"",EDATE($D29,Milestones!$AA$173)&gt;=$S29),$V29,$U29)))=Milestones!$AB$173),UPPER(TEXT(EDATE($D29,Milestones!$AA$173),"dd mmm yy"))&amp;" "&amp;Milestones!$AB$173&amp;" "&amp;Milestones!$AC$173&amp;";  ","")&amp;IF(AND(EDATE($D29,Milestones!$AA$174)&lt;=AsOfDate,IF($R29=0,$X29,IF(AND($T29&lt;&gt;"",EDATE($D29,Milestones!$AA$174)&gt;=$T29),$W29,IF(AND($S29&lt;&gt;"",EDATE($D29,Milestones!$AA$174)&gt;=$S29),$V29,$U29)))=Milestones!$AB$174),UPPER(TEXT(EDATE($D29,Milestones!$AA$174),"dd mmm yy"))&amp;" "&amp;Milestones!$AB$174&amp;" "&amp;Milestones!$AC$174&amp;";  ","")&amp;IF(AND(EDATE($D29,Milestones!$AA$175)&lt;=AsOfDate,IF($R29=0,$X29,IF(AND($T29&lt;&gt;"",EDATE($D29,Milestones!$AA$175)&gt;=$T29),$W29,IF(AND($S29&lt;&gt;"",EDATE($D29,Milestones!$AA$175)&gt;=$S29),$V29,$U29)))=Milestones!$AB$175),UPPER(TEXT(EDATE($D29,Milestones!$AA$175),"dd mmm yy"))&amp;" "&amp;Milestones!$AB$175&amp;" "&amp;Milestones!$AC$175&amp;";  ","")&amp;IF(AND(EDATE($D29,Milestones!$AA$176)&lt;=AsOfDate,IF($R29=0,$X29,IF(AND($T29&lt;&gt;"",EDATE($D29,Milestones!$AA$176)&gt;=$T29),$W29,IF(AND($S29&lt;&gt;"",EDATE($D29,Milestones!$AA$176)&gt;=$S29),$V29,$U29)))=Milestones!$AB$176),UPPER(TEXT(EDATE($D29,Milestones!$AA$176),"dd mmm yy"))&amp;" "&amp;Milestones!$AB$176&amp;" "&amp;Milestones!$AC$176&amp;";  ","")&amp;IF(AND(EDATE($D29,Milestones!$AA$177)&lt;=AsOfDate,IF($R29=0,$X29,IF(AND($T29&lt;&gt;"",EDATE($D29,Milestones!$AA$177)&gt;=$T29),$W29,IF(AND($S29&lt;&gt;"",EDATE($D29,Milestones!$AA$177)&gt;=$S29),$V29,$U29)))=Milestones!$AB$177),UPPER(TEXT(EDATE($D29,Milestones!$AA$177),"dd mmm yy"))&amp;" "&amp;Milestones!$AB$177&amp;" "&amp;Milestones!$AC$177&amp;";  ","")&amp;IF(AND(EDATE($D29,Milestones!$AA$178)&lt;=AsOfDate,IF($R29=0,$X29,IF(AND($T29&lt;&gt;"",EDATE($D29,Milestones!$AA$178)&gt;=$T29),$W29,IF(AND($S29&lt;&gt;"",EDATE($D29,Milestones!$AA$178)&gt;=$S29),$V29,$U29)))=Milestones!$AB$178),UPPER(TEXT(EDATE($D29,Milestones!$AA$178),"dd mmm yy"))&amp;" "&amp;Milestones!$AB$178&amp;" "&amp;Milestones!$AC$178&amp;";  ","")&amp;IF(AND(EDATE($D29,Milestones!$AA$179)&lt;=AsOfDate,IF($R29=0,$X29,IF(AND($T29&lt;&gt;"",EDATE($D29,Milestones!$AA$179)&gt;=$T29),$W29,IF(AND($S29&lt;&gt;"",EDATE($D29,Milestones!$AA$179)&gt;=$S29),$V29,$U29)))=Milestones!$AB$179),UPPER(TEXT(EDATE($D29,Milestones!$AA$179),"dd mmm yy"))&amp;" "&amp;Milestones!$AB$179&amp;" "&amp;Milestones!$AC$179&amp;";  ",""))</f>
        <v/>
      </c>
      <c r="Q29" s="0" t="str">
        <f aca="false">IF(OR($A29="",$D29=""),"",IF(AND(EDATE($D29,Milestones!$AA$180)&lt;=AsOfDate,IF($R29=0,$X29,IF(AND($T29&lt;&gt;"",EDATE($D29,Milestones!$AA$180)&gt;=$T29),$W29,IF(AND($S29&lt;&gt;"",EDATE($D29,Milestones!$AA$180)&gt;=$S29),$V29,$U29)))=Milestones!$AB$180),UPPER(TEXT(EDATE($D29,Milestones!$AA$180),"dd mmm yy"))&amp;" "&amp;Milestones!$AB$180&amp;" "&amp;Milestones!$AC$180&amp;";  ","")&amp;IF(AND(EDATE($D29,Milestones!$AA$181)&lt;=AsOfDate,IF($R29=0,$X29,IF(AND($T29&lt;&gt;"",EDATE($D29,Milestones!$AA$181)&gt;=$T29),$W29,IF(AND($S29&lt;&gt;"",EDATE($D29,Milestones!$AA$181)&gt;=$S29),$V29,$U29)))=Milestones!$AB$181),UPPER(TEXT(EDATE($D29,Milestones!$AA$181),"dd mmm yy"))&amp;" "&amp;Milestones!$AB$181&amp;" "&amp;Milestones!$AC$181&amp;";  ","")&amp;IF(AND(EDATE($D29,Milestones!$AA$182)&lt;=AsOfDate,IF($R29=0,$X29,IF(AND($T29&lt;&gt;"",EDATE($D29,Milestones!$AA$182)&gt;=$T29),$W29,IF(AND($S29&lt;&gt;"",EDATE($D29,Milestones!$AA$182)&gt;=$S29),$V29,$U29)))=Milestones!$AB$182),UPPER(TEXT(EDATE($D29,Milestones!$AA$182),"dd mmm yy"))&amp;" "&amp;Milestones!$AB$182&amp;" "&amp;Milestones!$AC$182&amp;";  ","")&amp;IF(AND(EDATE($D29,Milestones!$AA$183)&lt;=AsOfDate,IF($R29=0,$X29,IF(AND($T29&lt;&gt;"",EDATE($D29,Milestones!$AA$183)&gt;=$T29),$W29,IF(AND($S29&lt;&gt;"",EDATE($D29,Milestones!$AA$183)&gt;=$S29),$V29,$U29)))=Milestones!$AB$183),UPPER(TEXT(EDATE($D29,Milestones!$AA$183),"dd mmm yy"))&amp;" "&amp;Milestones!$AB$183&amp;" "&amp;Milestones!$AC$183&amp;";  ","")&amp;IF(AND(EDATE($D29,Milestones!$AA$184)&lt;=AsOfDate,IF($R29=0,$X29,IF(AND($T29&lt;&gt;"",EDATE($D29,Milestones!$AA$184)&gt;=$T29),$W29,IF(AND($S29&lt;&gt;"",EDATE($D29,Milestones!$AA$184)&gt;=$S29),$V29,$U29)))=Milestones!$AB$184),UPPER(TEXT(EDATE($D29,Milestones!$AA$184),"dd mmm yy"))&amp;" "&amp;Milestones!$AB$184&amp;" "&amp;Milestones!$AC$184&amp;";  ","")&amp;IF(AND(EDATE($D29,Milestones!$AA$185)&lt;=AsOfDate,IF($R29=0,$X29,IF(AND($T29&lt;&gt;"",EDATE($D29,Milestones!$AA$185)&gt;=$T29),$W29,IF(AND($S29&lt;&gt;"",EDATE($D29,Milestones!$AA$185)&gt;=$S29),$V29,$U29)))=Milestones!$AB$185),UPPER(TEXT(EDATE($D29,Milestones!$AA$185),"dd mmm yy"))&amp;" "&amp;Milestones!$AB$185&amp;" "&amp;Milestones!$AC$185&amp;";  ","")&amp;IF(AND(EDATE($D29,Milestones!$AA$186)&lt;=AsOfDate,IF($R29=0,$X29,IF(AND($T29&lt;&gt;"",EDATE($D29,Milestones!$AA$186)&gt;=$T29),$W29,IF(AND($S29&lt;&gt;"",EDATE($D29,Milestones!$AA$186)&gt;=$S29),$V29,$U29)))=Milestones!$AB$186),UPPER(TEXT(EDATE($D29,Milestones!$AA$186),"dd mmm yy"))&amp;" "&amp;Milestones!$AB$186&amp;" "&amp;Milestones!$AC$186&amp;";  ","")&amp;IF(AND(EDATE($D29,Milestones!$AA$187)&lt;=AsOfDate,IF($R29=0,$X29,IF(AND($T29&lt;&gt;"",EDATE($D29,Milestones!$AA$187)&gt;=$T29),$W29,IF(AND($S29&lt;&gt;"",EDATE($D29,Milestones!$AA$187)&gt;=$S29),$V29,$U29)))=Milestones!$AB$187),UPPER(TEXT(EDATE($D29,Milestones!$AA$187),"dd mmm yy"))&amp;" "&amp;Milestones!$AB$187&amp;" "&amp;Milestones!$AC$187&amp;";  ","")&amp;IF(AND(EDATE($D29,Milestones!$AA$188)&lt;=AsOfDate,IF($R29=0,$X29,IF(AND($T29&lt;&gt;"",EDATE($D29,Milestones!$AA$188)&gt;=$T29),$W29,IF(AND($S29&lt;&gt;"",EDATE($D29,Milestones!$AA$188)&gt;=$S29),$V29,$U29)))=Milestones!$AB$188),UPPER(TEXT(EDATE($D29,Milestones!$AA$188),"dd mmm yy"))&amp;" "&amp;Milestones!$AB$188&amp;" "&amp;Milestones!$AC$188&amp;";  ","")&amp;IF(AND(EDATE($D29,Milestones!$AA$189)&lt;=AsOfDate,IF($R29=0,$X29,IF(AND($T29&lt;&gt;"",EDATE($D29,Milestones!$AA$189)&gt;=$T29),$W29,IF(AND($S29&lt;&gt;"",EDATE($D29,Milestones!$AA$189)&gt;=$S29),$V29,$U29)))=Milestones!$AB$189),UPPER(TEXT(EDATE($D29,Milestones!$AA$189),"dd mmm yy"))&amp;" "&amp;Milestones!$AB$189&amp;" "&amp;Milestones!$AC$189&amp;";  ","")&amp;IF(AND(EDATE($D29,Milestones!$AA$190)&lt;=AsOfDate,IF($R29=0,$X29,IF(AND($T29&lt;&gt;"",EDATE($D29,Milestones!$AA$190)&gt;=$T29),$W29,IF(AND($S29&lt;&gt;"",EDATE($D29,Milestones!$AA$190)&gt;=$S29),$V29,$U29)))=Milestones!$AB$190),UPPER(TEXT(EDATE($D29,Milestones!$AA$190),"dd mmm yy"))&amp;" "&amp;Milestones!$AB$190&amp;" "&amp;Milestones!$AC$190&amp;";  ","")&amp;IF(AND(EDATE($D29,Milestones!$AA$191)&lt;=AsOfDate,IF($R29=0,$X29,IF(AND($T29&lt;&gt;"",EDATE($D29,Milestones!$AA$191)&gt;=$T29),$W29,IF(AND($S29&lt;&gt;"",EDATE($D29,Milestones!$AA$191)&gt;=$S29),$V29,$U29)))=Milestones!$AB$191),UPPER(TEXT(EDATE($D29,Milestones!$AA$191),"dd mmm yy"))&amp;" "&amp;Milestones!$AB$191&amp;" "&amp;Milestones!$AC$191&amp;";  ","")&amp;IF(AND(EDATE($D29,Milestones!$AA$192)&lt;=AsOfDate,IF($R29=0,$X29,IF(AND($T29&lt;&gt;"",EDATE($D29,Milestones!$AA$192)&gt;=$T29),$W29,IF(AND($S29&lt;&gt;"",EDATE($D29,Milestones!$AA$192)&gt;=$S29),$V29,$U29)))=Milestones!$AB$192),UPPER(TEXT(EDATE($D29,Milestones!$AA$192),"dd mmm yy"))&amp;" "&amp;Milestones!$AB$192&amp;" "&amp;Milestones!$AC$192&amp;";  ","")&amp;IF(AND(EDATE($D29,Milestones!$AA$193)&lt;=AsOfDate,IF($R29=0,$X29,IF(AND($T29&lt;&gt;"",EDATE($D29,Milestones!$AA$193)&gt;=$T29),$W29,IF(AND($S29&lt;&gt;"",EDATE($D29,Milestones!$AA$193)&gt;=$S29),$V29,$U29)))=Milestones!$AB$193),UPPER(TEXT(EDATE($D29,Milestones!$AA$193),"dd mmm yy"))&amp;" "&amp;Milestones!$AB$193&amp;" "&amp;Milestones!$AC$193&amp;";  ","")&amp;IF(AND(EDATE($D29,Milestones!$AA$194)&lt;=AsOfDate,IF($R29=0,$X29,IF(AND($T29&lt;&gt;"",EDATE($D29,Milestones!$AA$194)&gt;=$T29),$W29,IF(AND($S29&lt;&gt;"",EDATE($D29,Milestones!$AA$194)&gt;=$S29),$V29,$U29)))=Milestones!$AB$194),UPPER(TEXT(EDATE($D29,Milestones!$AA$194),"dd mmm yy"))&amp;" "&amp;Milestones!$AB$194&amp;" "&amp;Milestones!$AC$194&amp;";  ","")&amp;IF(AND(EDATE($D29,Milestones!$AA$195)&lt;=AsOfDate,IF($R29=0,$X29,IF(AND($T29&lt;&gt;"",EDATE($D29,Milestones!$AA$195)&gt;=$T29),$W29,IF(AND($S29&lt;&gt;"",EDATE($D29,Milestones!$AA$195)&gt;=$S29),$V29,$U29)))=Milestones!$AB$195),UPPER(TEXT(EDATE($D29,Milestones!$AA$195),"dd mmm yy"))&amp;" "&amp;Milestones!$AB$195&amp;" "&amp;Milestones!$AC$195&amp;";  ","")&amp;IF(AND(EDATE($D29,Milestones!$AA$196)&lt;=AsOfDate,IF($R29=0,$X29,IF(AND($T29&lt;&gt;"",EDATE($D29,Milestones!$AA$196)&gt;=$T29),$W29,IF(AND($S29&lt;&gt;"",EDATE($D29,Milestones!$AA$196)&gt;=$S29),$V29,$U29)))=Milestones!$AB$196),UPPER(TEXT(EDATE($D29,Milestones!$AA$196),"dd mmm yy"))&amp;" "&amp;Milestones!$AB$196&amp;" "&amp;Milestones!$AC$196&amp;";  ","")&amp;IF(AND(EDATE($D29,Milestones!$AA$197)&lt;=AsOfDate,IF($R29=0,$X29,IF(AND($T29&lt;&gt;"",EDATE($D29,Milestones!$AA$197)&gt;=$T29),$W29,IF(AND($S29&lt;&gt;"",EDATE($D29,Milestones!$AA$197)&gt;=$S29),$V29,$U29)))=Milestones!$AB$197),UPPER(TEXT(EDATE($D29,Milestones!$AA$197),"dd mmm yy"))&amp;" "&amp;Milestones!$AB$197&amp;" "&amp;Milestones!$AC$197&amp;";  ","")&amp;IF(AND(EDATE($D29,Milestones!$AA$198)&lt;=AsOfDate,IF($R29=0,$X29,IF(AND($T29&lt;&gt;"",EDATE($D29,Milestones!$AA$198)&gt;=$T29),$W29,IF(AND($S29&lt;&gt;"",EDATE($D29,Milestones!$AA$198)&gt;=$S29),$V29,$U29)))=Milestones!$AB$198),UPPER(TEXT(EDATE($D29,Milestones!$AA$198),"dd mmm yy"))&amp;" "&amp;Milestones!$AB$198&amp;" "&amp;Milestones!$AC$198&amp;";  ","")&amp;IF(AND(EDATE($D29,Milestones!$AA$199)&lt;=AsOfDate,IF($R29=0,$X29,IF(AND($T29&lt;&gt;"",EDATE($D29,Milestones!$AA$199)&gt;=$T29),$W29,IF(AND($S29&lt;&gt;"",EDATE($D29,Milestones!$AA$199)&gt;=$S29),$V29,$U29)))=Milestones!$AB$199),UPPER(TEXT(EDATE($D29,Milestones!$AA$199),"dd mmm yy"))&amp;" "&amp;Milestones!$AB$199&amp;" "&amp;Milestones!$AC$199&amp;";  ",""))</f>
        <v/>
      </c>
      <c r="R29" s="33" t="n">
        <f aca="false">IF(Staff!$A29="","",Staff!$AI29)</f>
        <v>0</v>
      </c>
      <c r="S29" s="0" t="str">
        <f aca="false">IF(Staff!$A29="","",Staff!$AK29)</f>
        <v/>
      </c>
      <c r="T29" s="0" t="str">
        <f aca="false">IF(Staff!$A29="","",Staff!$AL29)</f>
        <v/>
      </c>
      <c r="U29" s="0" t="str">
        <f aca="false">IF(Staff!$A29="","",Staff!$AP29)</f>
        <v>None</v>
      </c>
      <c r="V29" s="0" t="str">
        <f aca="false">IF(Staff!$A29="","",Staff!$AQ29)</f>
        <v/>
      </c>
      <c r="W29" s="0" t="str">
        <f aca="false">IF(Staff!$A29="","",Staff!$AR29)</f>
        <v/>
      </c>
      <c r="X29" s="0" t="str">
        <f aca="false">IF(Staff!$A29="","",Staff!$AS29)</f>
        <v>None</v>
      </c>
    </row>
    <row r="30" customFormat="false" ht="15" hidden="false" customHeight="false" outlineLevel="0" collapsed="false">
      <c r="A30" s="19" t="str">
        <f aca="false">IF(Staff!$A30="","",Staff!$A30)</f>
        <v>Gabriela</v>
      </c>
      <c r="B30" s="19" t="str">
        <f aca="false">IF(Staff!$A30="","",Staff!$B30)</f>
        <v>Alchaar</v>
      </c>
      <c r="C30" s="19" t="str">
        <f aca="false">IF(Staff!$A30="","",Staff!$C30)</f>
        <v>Casual</v>
      </c>
      <c r="D30" s="17" t="n">
        <f aca="false">IF(Staff!$A30="","",Staff!$AH30)</f>
        <v>45698</v>
      </c>
      <c r="E30" s="20" t="n">
        <f aca="false">IF(Staff!$A30="","",Staff!$O30)</f>
        <v>0</v>
      </c>
      <c r="F30" s="19" t="n">
        <f aca="false">IF(E30="","",E30*HoursPerDay)</f>
        <v>0</v>
      </c>
      <c r="G30" s="20" t="n">
        <f aca="false">IF(Staff!$A30="","",Staff!$AE30)</f>
        <v>0</v>
      </c>
      <c r="H30" s="32" t="str">
        <f aca="false">IF($A30="","",I30&amp;J30&amp;K30&amp;L30&amp;M30&amp;N30&amp;O30&amp;P30&amp;Q30)</f>
        <v/>
      </c>
      <c r="I30" s="0" t="str">
        <f aca="false">IF(OR($A30="",$D30=""),"",IF(AND(EDATE($D30,Milestones!$AA$20)&lt;=AsOfDate,IF($R30=0,$X30,IF(AND($T30&lt;&gt;"",EDATE($D30,Milestones!$AA$20)&gt;=$T30),$W30,IF(AND($S30&lt;&gt;"",EDATE($D30,Milestones!$AA$20)&gt;=$S30),$V30,$U30)))=Milestones!$AB$20),UPPER(TEXT(EDATE($D30,Milestones!$AA$20),"dd mmm yy"))&amp;" "&amp;Milestones!$AB$20&amp;" "&amp;Milestones!$AC$20&amp;";  ","")&amp;IF(AND(EDATE($D30,Milestones!$AA$21)&lt;=AsOfDate,IF($R30=0,$X30,IF(AND($T30&lt;&gt;"",EDATE($D30,Milestones!$AA$21)&gt;=$T30),$W30,IF(AND($S30&lt;&gt;"",EDATE($D30,Milestones!$AA$21)&gt;=$S30),$V30,$U30)))=Milestones!$AB$21),UPPER(TEXT(EDATE($D30,Milestones!$AA$21),"dd mmm yy"))&amp;" "&amp;Milestones!$AB$21&amp;" "&amp;Milestones!$AC$21&amp;";  ","")&amp;IF(AND(EDATE($D30,Milestones!$AA$22)&lt;=AsOfDate,IF($R30=0,$X30,IF(AND($T30&lt;&gt;"",EDATE($D30,Milestones!$AA$22)&gt;=$T30),$W30,IF(AND($S30&lt;&gt;"",EDATE($D30,Milestones!$AA$22)&gt;=$S30),$V30,$U30)))=Milestones!$AB$22),UPPER(TEXT(EDATE($D30,Milestones!$AA$22),"dd mmm yy"))&amp;" "&amp;Milestones!$AB$22&amp;" "&amp;Milestones!$AC$22&amp;";  ","")&amp;IF(AND(EDATE($D30,Milestones!$AA$23)&lt;=AsOfDate,IF($R30=0,$X30,IF(AND($T30&lt;&gt;"",EDATE($D30,Milestones!$AA$23)&gt;=$T30),$W30,IF(AND($S30&lt;&gt;"",EDATE($D30,Milestones!$AA$23)&gt;=$S30),$V30,$U30)))=Milestones!$AB$23),UPPER(TEXT(EDATE($D30,Milestones!$AA$23),"dd mmm yy"))&amp;" "&amp;Milestones!$AB$23&amp;" "&amp;Milestones!$AC$23&amp;";  ","")&amp;IF(AND(EDATE($D30,Milestones!$AA$24)&lt;=AsOfDate,IF($R30=0,$X30,IF(AND($T30&lt;&gt;"",EDATE($D30,Milestones!$AA$24)&gt;=$T30),$W30,IF(AND($S30&lt;&gt;"",EDATE($D30,Milestones!$AA$24)&gt;=$S30),$V30,$U30)))=Milestones!$AB$24),UPPER(TEXT(EDATE($D30,Milestones!$AA$24),"dd mmm yy"))&amp;" "&amp;Milestones!$AB$24&amp;" "&amp;Milestones!$AC$24&amp;";  ","")&amp;IF(AND(EDATE($D30,Milestones!$AA$25)&lt;=AsOfDate,IF($R30=0,$X30,IF(AND($T30&lt;&gt;"",EDATE($D30,Milestones!$AA$25)&gt;=$T30),$W30,IF(AND($S30&lt;&gt;"",EDATE($D30,Milestones!$AA$25)&gt;=$S30),$V30,$U30)))=Milestones!$AB$25),UPPER(TEXT(EDATE($D30,Milestones!$AA$25),"dd mmm yy"))&amp;" "&amp;Milestones!$AB$25&amp;" "&amp;Milestones!$AC$25&amp;";  ","")&amp;IF(AND(EDATE($D30,Milestones!$AA$26)&lt;=AsOfDate,IF($R30=0,$X30,IF(AND($T30&lt;&gt;"",EDATE($D30,Milestones!$AA$26)&gt;=$T30),$W30,IF(AND($S30&lt;&gt;"",EDATE($D30,Milestones!$AA$26)&gt;=$S30),$V30,$U30)))=Milestones!$AB$26),UPPER(TEXT(EDATE($D30,Milestones!$AA$26),"dd mmm yy"))&amp;" "&amp;Milestones!$AB$26&amp;" "&amp;Milestones!$AC$26&amp;";  ","")&amp;IF(AND(EDATE($D30,Milestones!$AA$27)&lt;=AsOfDate,IF($R30=0,$X30,IF(AND($T30&lt;&gt;"",EDATE($D30,Milestones!$AA$27)&gt;=$T30),$W30,IF(AND($S30&lt;&gt;"",EDATE($D30,Milestones!$AA$27)&gt;=$S30),$V30,$U30)))=Milestones!$AB$27),UPPER(TEXT(EDATE($D30,Milestones!$AA$27),"dd mmm yy"))&amp;" "&amp;Milestones!$AB$27&amp;" "&amp;Milestones!$AC$27&amp;";  ","")&amp;IF(AND(EDATE($D30,Milestones!$AA$28)&lt;=AsOfDate,IF($R30=0,$X30,IF(AND($T30&lt;&gt;"",EDATE($D30,Milestones!$AA$28)&gt;=$T30),$W30,IF(AND($S30&lt;&gt;"",EDATE($D30,Milestones!$AA$28)&gt;=$S30),$V30,$U30)))=Milestones!$AB$28),UPPER(TEXT(EDATE($D30,Milestones!$AA$28),"dd mmm yy"))&amp;" "&amp;Milestones!$AB$28&amp;" "&amp;Milestones!$AC$28&amp;";  ","")&amp;IF(AND(EDATE($D30,Milestones!$AA$29)&lt;=AsOfDate,IF($R30=0,$X30,IF(AND($T30&lt;&gt;"",EDATE($D30,Milestones!$AA$29)&gt;=$T30),$W30,IF(AND($S30&lt;&gt;"",EDATE($D30,Milestones!$AA$29)&gt;=$S30),$V30,$U30)))=Milestones!$AB$29),UPPER(TEXT(EDATE($D30,Milestones!$AA$29),"dd mmm yy"))&amp;" "&amp;Milestones!$AB$29&amp;" "&amp;Milestones!$AC$29&amp;";  ","")&amp;IF(AND(EDATE($D30,Milestones!$AA$30)&lt;=AsOfDate,IF($R30=0,$X30,IF(AND($T30&lt;&gt;"",EDATE($D30,Milestones!$AA$30)&gt;=$T30),$W30,IF(AND($S30&lt;&gt;"",EDATE($D30,Milestones!$AA$30)&gt;=$S30),$V30,$U30)))=Milestones!$AB$30),UPPER(TEXT(EDATE($D30,Milestones!$AA$30),"dd mmm yy"))&amp;" "&amp;Milestones!$AB$30&amp;" "&amp;Milestones!$AC$30&amp;";  ","")&amp;IF(AND(EDATE($D30,Milestones!$AA$31)&lt;=AsOfDate,IF($R30=0,$X30,IF(AND($T30&lt;&gt;"",EDATE($D30,Milestones!$AA$31)&gt;=$T30),$W30,IF(AND($S30&lt;&gt;"",EDATE($D30,Milestones!$AA$31)&gt;=$S30),$V30,$U30)))=Milestones!$AB$31),UPPER(TEXT(EDATE($D30,Milestones!$AA$31),"dd mmm yy"))&amp;" "&amp;Milestones!$AB$31&amp;" "&amp;Milestones!$AC$31&amp;";  ","")&amp;IF(AND(EDATE($D30,Milestones!$AA$32)&lt;=AsOfDate,IF($R30=0,$X30,IF(AND($T30&lt;&gt;"",EDATE($D30,Milestones!$AA$32)&gt;=$T30),$W30,IF(AND($S30&lt;&gt;"",EDATE($D30,Milestones!$AA$32)&gt;=$S30),$V30,$U30)))=Milestones!$AB$32),UPPER(TEXT(EDATE($D30,Milestones!$AA$32),"dd mmm yy"))&amp;" "&amp;Milestones!$AB$32&amp;" "&amp;Milestones!$AC$32&amp;";  ","")&amp;IF(AND(EDATE($D30,Milestones!$AA$33)&lt;=AsOfDate,IF($R30=0,$X30,IF(AND($T30&lt;&gt;"",EDATE($D30,Milestones!$AA$33)&gt;=$T30),$W30,IF(AND($S30&lt;&gt;"",EDATE($D30,Milestones!$AA$33)&gt;=$S30),$V30,$U30)))=Milestones!$AB$33),UPPER(TEXT(EDATE($D30,Milestones!$AA$33),"dd mmm yy"))&amp;" "&amp;Milestones!$AB$33&amp;" "&amp;Milestones!$AC$33&amp;";  ","")&amp;IF(AND(EDATE($D30,Milestones!$AA$34)&lt;=AsOfDate,IF($R30=0,$X30,IF(AND($T30&lt;&gt;"",EDATE($D30,Milestones!$AA$34)&gt;=$T30),$W30,IF(AND($S30&lt;&gt;"",EDATE($D30,Milestones!$AA$34)&gt;=$S30),$V30,$U30)))=Milestones!$AB$34),UPPER(TEXT(EDATE($D30,Milestones!$AA$34),"dd mmm yy"))&amp;" "&amp;Milestones!$AB$34&amp;" "&amp;Milestones!$AC$34&amp;";  ","")&amp;IF(AND(EDATE($D30,Milestones!$AA$35)&lt;=AsOfDate,IF($R30=0,$X30,IF(AND($T30&lt;&gt;"",EDATE($D30,Milestones!$AA$35)&gt;=$T30),$W30,IF(AND($S30&lt;&gt;"",EDATE($D30,Milestones!$AA$35)&gt;=$S30),$V30,$U30)))=Milestones!$AB$35),UPPER(TEXT(EDATE($D30,Milestones!$AA$35),"dd mmm yy"))&amp;" "&amp;Milestones!$AB$35&amp;" "&amp;Milestones!$AC$35&amp;";  ","")&amp;IF(AND(EDATE($D30,Milestones!$AA$36)&lt;=AsOfDate,IF($R30=0,$X30,IF(AND($T30&lt;&gt;"",EDATE($D30,Milestones!$AA$36)&gt;=$T30),$W30,IF(AND($S30&lt;&gt;"",EDATE($D30,Milestones!$AA$36)&gt;=$S30),$V30,$U30)))=Milestones!$AB$36),UPPER(TEXT(EDATE($D30,Milestones!$AA$36),"dd mmm yy"))&amp;" "&amp;Milestones!$AB$36&amp;" "&amp;Milestones!$AC$36&amp;";  ","")&amp;IF(AND(EDATE($D30,Milestones!$AA$37)&lt;=AsOfDate,IF($R30=0,$X30,IF(AND($T30&lt;&gt;"",EDATE($D30,Milestones!$AA$37)&gt;=$T30),$W30,IF(AND($S30&lt;&gt;"",EDATE($D30,Milestones!$AA$37)&gt;=$S30),$V30,$U30)))=Milestones!$AB$37),UPPER(TEXT(EDATE($D30,Milestones!$AA$37),"dd mmm yy"))&amp;" "&amp;Milestones!$AB$37&amp;" "&amp;Milestones!$AC$37&amp;";  ","")&amp;IF(AND(EDATE($D30,Milestones!$AA$38)&lt;=AsOfDate,IF($R30=0,$X30,IF(AND($T30&lt;&gt;"",EDATE($D30,Milestones!$AA$38)&gt;=$T30),$W30,IF(AND($S30&lt;&gt;"",EDATE($D30,Milestones!$AA$38)&gt;=$S30),$V30,$U30)))=Milestones!$AB$38),UPPER(TEXT(EDATE($D30,Milestones!$AA$38),"dd mmm yy"))&amp;" "&amp;Milestones!$AB$38&amp;" "&amp;Milestones!$AC$38&amp;";  ","")&amp;IF(AND(EDATE($D30,Milestones!$AA$39)&lt;=AsOfDate,IF($R30=0,$X30,IF(AND($T30&lt;&gt;"",EDATE($D30,Milestones!$AA$39)&gt;=$T30),$W30,IF(AND($S30&lt;&gt;"",EDATE($D30,Milestones!$AA$39)&gt;=$S30),$V30,$U30)))=Milestones!$AB$39),UPPER(TEXT(EDATE($D30,Milestones!$AA$39),"dd mmm yy"))&amp;" "&amp;Milestones!$AB$39&amp;" "&amp;Milestones!$AC$39&amp;";  ",""))</f>
        <v/>
      </c>
      <c r="J30" s="0" t="str">
        <f aca="false">IF(OR($A30="",$D30=""),"",IF(AND(EDATE($D30,Milestones!$AA$40)&lt;=AsOfDate,IF($R30=0,$X30,IF(AND($T30&lt;&gt;"",EDATE($D30,Milestones!$AA$40)&gt;=$T30),$W30,IF(AND($S30&lt;&gt;"",EDATE($D30,Milestones!$AA$40)&gt;=$S30),$V30,$U30)))=Milestones!$AB$40),UPPER(TEXT(EDATE($D30,Milestones!$AA$40),"dd mmm yy"))&amp;" "&amp;Milestones!$AB$40&amp;" "&amp;Milestones!$AC$40&amp;";  ","")&amp;IF(AND(EDATE($D30,Milestones!$AA$41)&lt;=AsOfDate,IF($R30=0,$X30,IF(AND($T30&lt;&gt;"",EDATE($D30,Milestones!$AA$41)&gt;=$T30),$W30,IF(AND($S30&lt;&gt;"",EDATE($D30,Milestones!$AA$41)&gt;=$S30),$V30,$U30)))=Milestones!$AB$41),UPPER(TEXT(EDATE($D30,Milestones!$AA$41),"dd mmm yy"))&amp;" "&amp;Milestones!$AB$41&amp;" "&amp;Milestones!$AC$41&amp;";  ","")&amp;IF(AND(EDATE($D30,Milestones!$AA$42)&lt;=AsOfDate,IF($R30=0,$X30,IF(AND($T30&lt;&gt;"",EDATE($D30,Milestones!$AA$42)&gt;=$T30),$W30,IF(AND($S30&lt;&gt;"",EDATE($D30,Milestones!$AA$42)&gt;=$S30),$V30,$U30)))=Milestones!$AB$42),UPPER(TEXT(EDATE($D30,Milestones!$AA$42),"dd mmm yy"))&amp;" "&amp;Milestones!$AB$42&amp;" "&amp;Milestones!$AC$42&amp;";  ","")&amp;IF(AND(EDATE($D30,Milestones!$AA$43)&lt;=AsOfDate,IF($R30=0,$X30,IF(AND($T30&lt;&gt;"",EDATE($D30,Milestones!$AA$43)&gt;=$T30),$W30,IF(AND($S30&lt;&gt;"",EDATE($D30,Milestones!$AA$43)&gt;=$S30),$V30,$U30)))=Milestones!$AB$43),UPPER(TEXT(EDATE($D30,Milestones!$AA$43),"dd mmm yy"))&amp;" "&amp;Milestones!$AB$43&amp;" "&amp;Milestones!$AC$43&amp;";  ","")&amp;IF(AND(EDATE($D30,Milestones!$AA$44)&lt;=AsOfDate,IF($R30=0,$X30,IF(AND($T30&lt;&gt;"",EDATE($D30,Milestones!$AA$44)&gt;=$T30),$W30,IF(AND($S30&lt;&gt;"",EDATE($D30,Milestones!$AA$44)&gt;=$S30),$V30,$U30)))=Milestones!$AB$44),UPPER(TEXT(EDATE($D30,Milestones!$AA$44),"dd mmm yy"))&amp;" "&amp;Milestones!$AB$44&amp;" "&amp;Milestones!$AC$44&amp;";  ","")&amp;IF(AND(EDATE($D30,Milestones!$AA$45)&lt;=AsOfDate,IF($R30=0,$X30,IF(AND($T30&lt;&gt;"",EDATE($D30,Milestones!$AA$45)&gt;=$T30),$W30,IF(AND($S30&lt;&gt;"",EDATE($D30,Milestones!$AA$45)&gt;=$S30),$V30,$U30)))=Milestones!$AB$45),UPPER(TEXT(EDATE($D30,Milestones!$AA$45),"dd mmm yy"))&amp;" "&amp;Milestones!$AB$45&amp;" "&amp;Milestones!$AC$45&amp;";  ","")&amp;IF(AND(EDATE($D30,Milestones!$AA$46)&lt;=AsOfDate,IF($R30=0,$X30,IF(AND($T30&lt;&gt;"",EDATE($D30,Milestones!$AA$46)&gt;=$T30),$W30,IF(AND($S30&lt;&gt;"",EDATE($D30,Milestones!$AA$46)&gt;=$S30),$V30,$U30)))=Milestones!$AB$46),UPPER(TEXT(EDATE($D30,Milestones!$AA$46),"dd mmm yy"))&amp;" "&amp;Milestones!$AB$46&amp;" "&amp;Milestones!$AC$46&amp;";  ","")&amp;IF(AND(EDATE($D30,Milestones!$AA$47)&lt;=AsOfDate,IF($R30=0,$X30,IF(AND($T30&lt;&gt;"",EDATE($D30,Milestones!$AA$47)&gt;=$T30),$W30,IF(AND($S30&lt;&gt;"",EDATE($D30,Milestones!$AA$47)&gt;=$S30),$V30,$U30)))=Milestones!$AB$47),UPPER(TEXT(EDATE($D30,Milestones!$AA$47),"dd mmm yy"))&amp;" "&amp;Milestones!$AB$47&amp;" "&amp;Milestones!$AC$47&amp;";  ","")&amp;IF(AND(EDATE($D30,Milestones!$AA$48)&lt;=AsOfDate,IF($R30=0,$X30,IF(AND($T30&lt;&gt;"",EDATE($D30,Milestones!$AA$48)&gt;=$T30),$W30,IF(AND($S30&lt;&gt;"",EDATE($D30,Milestones!$AA$48)&gt;=$S30),$V30,$U30)))=Milestones!$AB$48),UPPER(TEXT(EDATE($D30,Milestones!$AA$48),"dd mmm yy"))&amp;" "&amp;Milestones!$AB$48&amp;" "&amp;Milestones!$AC$48&amp;";  ","")&amp;IF(AND(EDATE($D30,Milestones!$AA$49)&lt;=AsOfDate,IF($R30=0,$X30,IF(AND($T30&lt;&gt;"",EDATE($D30,Milestones!$AA$49)&gt;=$T30),$W30,IF(AND($S30&lt;&gt;"",EDATE($D30,Milestones!$AA$49)&gt;=$S30),$V30,$U30)))=Milestones!$AB$49),UPPER(TEXT(EDATE($D30,Milestones!$AA$49),"dd mmm yy"))&amp;" "&amp;Milestones!$AB$49&amp;" "&amp;Milestones!$AC$49&amp;";  ","")&amp;IF(AND(EDATE($D30,Milestones!$AA$50)&lt;=AsOfDate,IF($R30=0,$X30,IF(AND($T30&lt;&gt;"",EDATE($D30,Milestones!$AA$50)&gt;=$T30),$W30,IF(AND($S30&lt;&gt;"",EDATE($D30,Milestones!$AA$50)&gt;=$S30),$V30,$U30)))=Milestones!$AB$50),UPPER(TEXT(EDATE($D30,Milestones!$AA$50),"dd mmm yy"))&amp;" "&amp;Milestones!$AB$50&amp;" "&amp;Milestones!$AC$50&amp;";  ","")&amp;IF(AND(EDATE($D30,Milestones!$AA$51)&lt;=AsOfDate,IF($R30=0,$X30,IF(AND($T30&lt;&gt;"",EDATE($D30,Milestones!$AA$51)&gt;=$T30),$W30,IF(AND($S30&lt;&gt;"",EDATE($D30,Milestones!$AA$51)&gt;=$S30),$V30,$U30)))=Milestones!$AB$51),UPPER(TEXT(EDATE($D30,Milestones!$AA$51),"dd mmm yy"))&amp;" "&amp;Milestones!$AB$51&amp;" "&amp;Milestones!$AC$51&amp;";  ","")&amp;IF(AND(EDATE($D30,Milestones!$AA$52)&lt;=AsOfDate,IF($R30=0,$X30,IF(AND($T30&lt;&gt;"",EDATE($D30,Milestones!$AA$52)&gt;=$T30),$W30,IF(AND($S30&lt;&gt;"",EDATE($D30,Milestones!$AA$52)&gt;=$S30),$V30,$U30)))=Milestones!$AB$52),UPPER(TEXT(EDATE($D30,Milestones!$AA$52),"dd mmm yy"))&amp;" "&amp;Milestones!$AB$52&amp;" "&amp;Milestones!$AC$52&amp;";  ","")&amp;IF(AND(EDATE($D30,Milestones!$AA$53)&lt;=AsOfDate,IF($R30=0,$X30,IF(AND($T30&lt;&gt;"",EDATE($D30,Milestones!$AA$53)&gt;=$T30),$W30,IF(AND($S30&lt;&gt;"",EDATE($D30,Milestones!$AA$53)&gt;=$S30),$V30,$U30)))=Milestones!$AB$53),UPPER(TEXT(EDATE($D30,Milestones!$AA$53),"dd mmm yy"))&amp;" "&amp;Milestones!$AB$53&amp;" "&amp;Milestones!$AC$53&amp;";  ","")&amp;IF(AND(EDATE($D30,Milestones!$AA$54)&lt;=AsOfDate,IF($R30=0,$X30,IF(AND($T30&lt;&gt;"",EDATE($D30,Milestones!$AA$54)&gt;=$T30),$W30,IF(AND($S30&lt;&gt;"",EDATE($D30,Milestones!$AA$54)&gt;=$S30),$V30,$U30)))=Milestones!$AB$54),UPPER(TEXT(EDATE($D30,Milestones!$AA$54),"dd mmm yy"))&amp;" "&amp;Milestones!$AB$54&amp;" "&amp;Milestones!$AC$54&amp;";  ","")&amp;IF(AND(EDATE($D30,Milestones!$AA$55)&lt;=AsOfDate,IF($R30=0,$X30,IF(AND($T30&lt;&gt;"",EDATE($D30,Milestones!$AA$55)&gt;=$T30),$W30,IF(AND($S30&lt;&gt;"",EDATE($D30,Milestones!$AA$55)&gt;=$S30),$V30,$U30)))=Milestones!$AB$55),UPPER(TEXT(EDATE($D30,Milestones!$AA$55),"dd mmm yy"))&amp;" "&amp;Milestones!$AB$55&amp;" "&amp;Milestones!$AC$55&amp;";  ","")&amp;IF(AND(EDATE($D30,Milestones!$AA$56)&lt;=AsOfDate,IF($R30=0,$X30,IF(AND($T30&lt;&gt;"",EDATE($D30,Milestones!$AA$56)&gt;=$T30),$W30,IF(AND($S30&lt;&gt;"",EDATE($D30,Milestones!$AA$56)&gt;=$S30),$V30,$U30)))=Milestones!$AB$56),UPPER(TEXT(EDATE($D30,Milestones!$AA$56),"dd mmm yy"))&amp;" "&amp;Milestones!$AB$56&amp;" "&amp;Milestones!$AC$56&amp;";  ","")&amp;IF(AND(EDATE($D30,Milestones!$AA$57)&lt;=AsOfDate,IF($R30=0,$X30,IF(AND($T30&lt;&gt;"",EDATE($D30,Milestones!$AA$57)&gt;=$T30),$W30,IF(AND($S30&lt;&gt;"",EDATE($D30,Milestones!$AA$57)&gt;=$S30),$V30,$U30)))=Milestones!$AB$57),UPPER(TEXT(EDATE($D30,Milestones!$AA$57),"dd mmm yy"))&amp;" "&amp;Milestones!$AB$57&amp;" "&amp;Milestones!$AC$57&amp;";  ","")&amp;IF(AND(EDATE($D30,Milestones!$AA$58)&lt;=AsOfDate,IF($R30=0,$X30,IF(AND($T30&lt;&gt;"",EDATE($D30,Milestones!$AA$58)&gt;=$T30),$W30,IF(AND($S30&lt;&gt;"",EDATE($D30,Milestones!$AA$58)&gt;=$S30),$V30,$U30)))=Milestones!$AB$58),UPPER(TEXT(EDATE($D30,Milestones!$AA$58),"dd mmm yy"))&amp;" "&amp;Milestones!$AB$58&amp;" "&amp;Milestones!$AC$58&amp;";  ","")&amp;IF(AND(EDATE($D30,Milestones!$AA$59)&lt;=AsOfDate,IF($R30=0,$X30,IF(AND($T30&lt;&gt;"",EDATE($D30,Milestones!$AA$59)&gt;=$T30),$W30,IF(AND($S30&lt;&gt;"",EDATE($D30,Milestones!$AA$59)&gt;=$S30),$V30,$U30)))=Milestones!$AB$59),UPPER(TEXT(EDATE($D30,Milestones!$AA$59),"dd mmm yy"))&amp;" "&amp;Milestones!$AB$59&amp;" "&amp;Milestones!$AC$59&amp;";  ",""))</f>
        <v/>
      </c>
      <c r="K30" s="0" t="str">
        <f aca="false">IF(OR($A30="",$D30=""),"",IF(AND(EDATE($D30,Milestones!$AA$60)&lt;=AsOfDate,IF($R30=0,$X30,IF(AND($T30&lt;&gt;"",EDATE($D30,Milestones!$AA$60)&gt;=$T30),$W30,IF(AND($S30&lt;&gt;"",EDATE($D30,Milestones!$AA$60)&gt;=$S30),$V30,$U30)))=Milestones!$AB$60),UPPER(TEXT(EDATE($D30,Milestones!$AA$60),"dd mmm yy"))&amp;" "&amp;Milestones!$AB$60&amp;" "&amp;Milestones!$AC$60&amp;";  ","")&amp;IF(AND(EDATE($D30,Milestones!$AA$61)&lt;=AsOfDate,IF($R30=0,$X30,IF(AND($T30&lt;&gt;"",EDATE($D30,Milestones!$AA$61)&gt;=$T30),$W30,IF(AND($S30&lt;&gt;"",EDATE($D30,Milestones!$AA$61)&gt;=$S30),$V30,$U30)))=Milestones!$AB$61),UPPER(TEXT(EDATE($D30,Milestones!$AA$61),"dd mmm yy"))&amp;" "&amp;Milestones!$AB$61&amp;" "&amp;Milestones!$AC$61&amp;";  ","")&amp;IF(AND(EDATE($D30,Milestones!$AA$62)&lt;=AsOfDate,IF($R30=0,$X30,IF(AND($T30&lt;&gt;"",EDATE($D30,Milestones!$AA$62)&gt;=$T30),$W30,IF(AND($S30&lt;&gt;"",EDATE($D30,Milestones!$AA$62)&gt;=$S30),$V30,$U30)))=Milestones!$AB$62),UPPER(TEXT(EDATE($D30,Milestones!$AA$62),"dd mmm yy"))&amp;" "&amp;Milestones!$AB$62&amp;" "&amp;Milestones!$AC$62&amp;";  ","")&amp;IF(AND(EDATE($D30,Milestones!$AA$63)&lt;=AsOfDate,IF($R30=0,$X30,IF(AND($T30&lt;&gt;"",EDATE($D30,Milestones!$AA$63)&gt;=$T30),$W30,IF(AND($S30&lt;&gt;"",EDATE($D30,Milestones!$AA$63)&gt;=$S30),$V30,$U30)))=Milestones!$AB$63),UPPER(TEXT(EDATE($D30,Milestones!$AA$63),"dd mmm yy"))&amp;" "&amp;Milestones!$AB$63&amp;" "&amp;Milestones!$AC$63&amp;";  ","")&amp;IF(AND(EDATE($D30,Milestones!$AA$64)&lt;=AsOfDate,IF($R30=0,$X30,IF(AND($T30&lt;&gt;"",EDATE($D30,Milestones!$AA$64)&gt;=$T30),$W30,IF(AND($S30&lt;&gt;"",EDATE($D30,Milestones!$AA$64)&gt;=$S30),$V30,$U30)))=Milestones!$AB$64),UPPER(TEXT(EDATE($D30,Milestones!$AA$64),"dd mmm yy"))&amp;" "&amp;Milestones!$AB$64&amp;" "&amp;Milestones!$AC$64&amp;";  ","")&amp;IF(AND(EDATE($D30,Milestones!$AA$65)&lt;=AsOfDate,IF($R30=0,$X30,IF(AND($T30&lt;&gt;"",EDATE($D30,Milestones!$AA$65)&gt;=$T30),$W30,IF(AND($S30&lt;&gt;"",EDATE($D30,Milestones!$AA$65)&gt;=$S30),$V30,$U30)))=Milestones!$AB$65),UPPER(TEXT(EDATE($D30,Milestones!$AA$65),"dd mmm yy"))&amp;" "&amp;Milestones!$AB$65&amp;" "&amp;Milestones!$AC$65&amp;";  ","")&amp;IF(AND(EDATE($D30,Milestones!$AA$66)&lt;=AsOfDate,IF($R30=0,$X30,IF(AND($T30&lt;&gt;"",EDATE($D30,Milestones!$AA$66)&gt;=$T30),$W30,IF(AND($S30&lt;&gt;"",EDATE($D30,Milestones!$AA$66)&gt;=$S30),$V30,$U30)))=Milestones!$AB$66),UPPER(TEXT(EDATE($D30,Milestones!$AA$66),"dd mmm yy"))&amp;" "&amp;Milestones!$AB$66&amp;" "&amp;Milestones!$AC$66&amp;";  ","")&amp;IF(AND(EDATE($D30,Milestones!$AA$67)&lt;=AsOfDate,IF($R30=0,$X30,IF(AND($T30&lt;&gt;"",EDATE($D30,Milestones!$AA$67)&gt;=$T30),$W30,IF(AND($S30&lt;&gt;"",EDATE($D30,Milestones!$AA$67)&gt;=$S30),$V30,$U30)))=Milestones!$AB$67),UPPER(TEXT(EDATE($D30,Milestones!$AA$67),"dd mmm yy"))&amp;" "&amp;Milestones!$AB$67&amp;" "&amp;Milestones!$AC$67&amp;";  ","")&amp;IF(AND(EDATE($D30,Milestones!$AA$68)&lt;=AsOfDate,IF($R30=0,$X30,IF(AND($T30&lt;&gt;"",EDATE($D30,Milestones!$AA$68)&gt;=$T30),$W30,IF(AND($S30&lt;&gt;"",EDATE($D30,Milestones!$AA$68)&gt;=$S30),$V30,$U30)))=Milestones!$AB$68),UPPER(TEXT(EDATE($D30,Milestones!$AA$68),"dd mmm yy"))&amp;" "&amp;Milestones!$AB$68&amp;" "&amp;Milestones!$AC$68&amp;";  ","")&amp;IF(AND(EDATE($D30,Milestones!$AA$69)&lt;=AsOfDate,IF($R30=0,$X30,IF(AND($T30&lt;&gt;"",EDATE($D30,Milestones!$AA$69)&gt;=$T30),$W30,IF(AND($S30&lt;&gt;"",EDATE($D30,Milestones!$AA$69)&gt;=$S30),$V30,$U30)))=Milestones!$AB$69),UPPER(TEXT(EDATE($D30,Milestones!$AA$69),"dd mmm yy"))&amp;" "&amp;Milestones!$AB$69&amp;" "&amp;Milestones!$AC$69&amp;";  ","")&amp;IF(AND(EDATE($D30,Milestones!$AA$70)&lt;=AsOfDate,IF($R30=0,$X30,IF(AND($T30&lt;&gt;"",EDATE($D30,Milestones!$AA$70)&gt;=$T30),$W30,IF(AND($S30&lt;&gt;"",EDATE($D30,Milestones!$AA$70)&gt;=$S30),$V30,$U30)))=Milestones!$AB$70),UPPER(TEXT(EDATE($D30,Milestones!$AA$70),"dd mmm yy"))&amp;" "&amp;Milestones!$AB$70&amp;" "&amp;Milestones!$AC$70&amp;";  ","")&amp;IF(AND(EDATE($D30,Milestones!$AA$71)&lt;=AsOfDate,IF($R30=0,$X30,IF(AND($T30&lt;&gt;"",EDATE($D30,Milestones!$AA$71)&gt;=$T30),$W30,IF(AND($S30&lt;&gt;"",EDATE($D30,Milestones!$AA$71)&gt;=$S30),$V30,$U30)))=Milestones!$AB$71),UPPER(TEXT(EDATE($D30,Milestones!$AA$71),"dd mmm yy"))&amp;" "&amp;Milestones!$AB$71&amp;" "&amp;Milestones!$AC$71&amp;";  ","")&amp;IF(AND(EDATE($D30,Milestones!$AA$72)&lt;=AsOfDate,IF($R30=0,$X30,IF(AND($T30&lt;&gt;"",EDATE($D30,Milestones!$AA$72)&gt;=$T30),$W30,IF(AND($S30&lt;&gt;"",EDATE($D30,Milestones!$AA$72)&gt;=$S30),$V30,$U30)))=Milestones!$AB$72),UPPER(TEXT(EDATE($D30,Milestones!$AA$72),"dd mmm yy"))&amp;" "&amp;Milestones!$AB$72&amp;" "&amp;Milestones!$AC$72&amp;";  ","")&amp;IF(AND(EDATE($D30,Milestones!$AA$73)&lt;=AsOfDate,IF($R30=0,$X30,IF(AND($T30&lt;&gt;"",EDATE($D30,Milestones!$AA$73)&gt;=$T30),$W30,IF(AND($S30&lt;&gt;"",EDATE($D30,Milestones!$AA$73)&gt;=$S30),$V30,$U30)))=Milestones!$AB$73),UPPER(TEXT(EDATE($D30,Milestones!$AA$73),"dd mmm yy"))&amp;" "&amp;Milestones!$AB$73&amp;" "&amp;Milestones!$AC$73&amp;";  ","")&amp;IF(AND(EDATE($D30,Milestones!$AA$74)&lt;=AsOfDate,IF($R30=0,$X30,IF(AND($T30&lt;&gt;"",EDATE($D30,Milestones!$AA$74)&gt;=$T30),$W30,IF(AND($S30&lt;&gt;"",EDATE($D30,Milestones!$AA$74)&gt;=$S30),$V30,$U30)))=Milestones!$AB$74),UPPER(TEXT(EDATE($D30,Milestones!$AA$74),"dd mmm yy"))&amp;" "&amp;Milestones!$AB$74&amp;" "&amp;Milestones!$AC$74&amp;";  ","")&amp;IF(AND(EDATE($D30,Milestones!$AA$75)&lt;=AsOfDate,IF($R30=0,$X30,IF(AND($T30&lt;&gt;"",EDATE($D30,Milestones!$AA$75)&gt;=$T30),$W30,IF(AND($S30&lt;&gt;"",EDATE($D30,Milestones!$AA$75)&gt;=$S30),$V30,$U30)))=Milestones!$AB$75),UPPER(TEXT(EDATE($D30,Milestones!$AA$75),"dd mmm yy"))&amp;" "&amp;Milestones!$AB$75&amp;" "&amp;Milestones!$AC$75&amp;";  ","")&amp;IF(AND(EDATE($D30,Milestones!$AA$76)&lt;=AsOfDate,IF($R30=0,$X30,IF(AND($T30&lt;&gt;"",EDATE($D30,Milestones!$AA$76)&gt;=$T30),$W30,IF(AND($S30&lt;&gt;"",EDATE($D30,Milestones!$AA$76)&gt;=$S30),$V30,$U30)))=Milestones!$AB$76),UPPER(TEXT(EDATE($D30,Milestones!$AA$76),"dd mmm yy"))&amp;" "&amp;Milestones!$AB$76&amp;" "&amp;Milestones!$AC$76&amp;";  ","")&amp;IF(AND(EDATE($D30,Milestones!$AA$77)&lt;=AsOfDate,IF($R30=0,$X30,IF(AND($T30&lt;&gt;"",EDATE($D30,Milestones!$AA$77)&gt;=$T30),$W30,IF(AND($S30&lt;&gt;"",EDATE($D30,Milestones!$AA$77)&gt;=$S30),$V30,$U30)))=Milestones!$AB$77),UPPER(TEXT(EDATE($D30,Milestones!$AA$77),"dd mmm yy"))&amp;" "&amp;Milestones!$AB$77&amp;" "&amp;Milestones!$AC$77&amp;";  ","")&amp;IF(AND(EDATE($D30,Milestones!$AA$78)&lt;=AsOfDate,IF($R30=0,$X30,IF(AND($T30&lt;&gt;"",EDATE($D30,Milestones!$AA$78)&gt;=$T30),$W30,IF(AND($S30&lt;&gt;"",EDATE($D30,Milestones!$AA$78)&gt;=$S30),$V30,$U30)))=Milestones!$AB$78),UPPER(TEXT(EDATE($D30,Milestones!$AA$78),"dd mmm yy"))&amp;" "&amp;Milestones!$AB$78&amp;" "&amp;Milestones!$AC$78&amp;";  ","")&amp;IF(AND(EDATE($D30,Milestones!$AA$79)&lt;=AsOfDate,IF($R30=0,$X30,IF(AND($T30&lt;&gt;"",EDATE($D30,Milestones!$AA$79)&gt;=$T30),$W30,IF(AND($S30&lt;&gt;"",EDATE($D30,Milestones!$AA$79)&gt;=$S30),$V30,$U30)))=Milestones!$AB$79),UPPER(TEXT(EDATE($D30,Milestones!$AA$79),"dd mmm yy"))&amp;" "&amp;Milestones!$AB$79&amp;" "&amp;Milestones!$AC$79&amp;";  ",""))</f>
        <v/>
      </c>
      <c r="L30" s="0" t="str">
        <f aca="false">IF(OR($A30="",$D30=""),"",IF(AND(EDATE($D30,Milestones!$AA$80)&lt;=AsOfDate,IF($R30=0,$X30,IF(AND($T30&lt;&gt;"",EDATE($D30,Milestones!$AA$80)&gt;=$T30),$W30,IF(AND($S30&lt;&gt;"",EDATE($D30,Milestones!$AA$80)&gt;=$S30),$V30,$U30)))=Milestones!$AB$80),UPPER(TEXT(EDATE($D30,Milestones!$AA$80),"dd mmm yy"))&amp;" "&amp;Milestones!$AB$80&amp;" "&amp;Milestones!$AC$80&amp;";  ","")&amp;IF(AND(EDATE($D30,Milestones!$AA$81)&lt;=AsOfDate,IF($R30=0,$X30,IF(AND($T30&lt;&gt;"",EDATE($D30,Milestones!$AA$81)&gt;=$T30),$W30,IF(AND($S30&lt;&gt;"",EDATE($D30,Milestones!$AA$81)&gt;=$S30),$V30,$U30)))=Milestones!$AB$81),UPPER(TEXT(EDATE($D30,Milestones!$AA$81),"dd mmm yy"))&amp;" "&amp;Milestones!$AB$81&amp;" "&amp;Milestones!$AC$81&amp;";  ","")&amp;IF(AND(EDATE($D30,Milestones!$AA$82)&lt;=AsOfDate,IF($R30=0,$X30,IF(AND($T30&lt;&gt;"",EDATE($D30,Milestones!$AA$82)&gt;=$T30),$W30,IF(AND($S30&lt;&gt;"",EDATE($D30,Milestones!$AA$82)&gt;=$S30),$V30,$U30)))=Milestones!$AB$82),UPPER(TEXT(EDATE($D30,Milestones!$AA$82),"dd mmm yy"))&amp;" "&amp;Milestones!$AB$82&amp;" "&amp;Milestones!$AC$82&amp;";  ","")&amp;IF(AND(EDATE($D30,Milestones!$AA$83)&lt;=AsOfDate,IF($R30=0,$X30,IF(AND($T30&lt;&gt;"",EDATE($D30,Milestones!$AA$83)&gt;=$T30),$W30,IF(AND($S30&lt;&gt;"",EDATE($D30,Milestones!$AA$83)&gt;=$S30),$V30,$U30)))=Milestones!$AB$83),UPPER(TEXT(EDATE($D30,Milestones!$AA$83),"dd mmm yy"))&amp;" "&amp;Milestones!$AB$83&amp;" "&amp;Milestones!$AC$83&amp;";  ","")&amp;IF(AND(EDATE($D30,Milestones!$AA$84)&lt;=AsOfDate,IF($R30=0,$X30,IF(AND($T30&lt;&gt;"",EDATE($D30,Milestones!$AA$84)&gt;=$T30),$W30,IF(AND($S30&lt;&gt;"",EDATE($D30,Milestones!$AA$84)&gt;=$S30),$V30,$U30)))=Milestones!$AB$84),UPPER(TEXT(EDATE($D30,Milestones!$AA$84),"dd mmm yy"))&amp;" "&amp;Milestones!$AB$84&amp;" "&amp;Milestones!$AC$84&amp;";  ","")&amp;IF(AND(EDATE($D30,Milestones!$AA$85)&lt;=AsOfDate,IF($R30=0,$X30,IF(AND($T30&lt;&gt;"",EDATE($D30,Milestones!$AA$85)&gt;=$T30),$W30,IF(AND($S30&lt;&gt;"",EDATE($D30,Milestones!$AA$85)&gt;=$S30),$V30,$U30)))=Milestones!$AB$85),UPPER(TEXT(EDATE($D30,Milestones!$AA$85),"dd mmm yy"))&amp;" "&amp;Milestones!$AB$85&amp;" "&amp;Milestones!$AC$85&amp;";  ","")&amp;IF(AND(EDATE($D30,Milestones!$AA$86)&lt;=AsOfDate,IF($R30=0,$X30,IF(AND($T30&lt;&gt;"",EDATE($D30,Milestones!$AA$86)&gt;=$T30),$W30,IF(AND($S30&lt;&gt;"",EDATE($D30,Milestones!$AA$86)&gt;=$S30),$V30,$U30)))=Milestones!$AB$86),UPPER(TEXT(EDATE($D30,Milestones!$AA$86),"dd mmm yy"))&amp;" "&amp;Milestones!$AB$86&amp;" "&amp;Milestones!$AC$86&amp;";  ","")&amp;IF(AND(EDATE($D30,Milestones!$AA$87)&lt;=AsOfDate,IF($R30=0,$X30,IF(AND($T30&lt;&gt;"",EDATE($D30,Milestones!$AA$87)&gt;=$T30),$W30,IF(AND($S30&lt;&gt;"",EDATE($D30,Milestones!$AA$87)&gt;=$S30),$V30,$U30)))=Milestones!$AB$87),UPPER(TEXT(EDATE($D30,Milestones!$AA$87),"dd mmm yy"))&amp;" "&amp;Milestones!$AB$87&amp;" "&amp;Milestones!$AC$87&amp;";  ","")&amp;IF(AND(EDATE($D30,Milestones!$AA$88)&lt;=AsOfDate,IF($R30=0,$X30,IF(AND($T30&lt;&gt;"",EDATE($D30,Milestones!$AA$88)&gt;=$T30),$W30,IF(AND($S30&lt;&gt;"",EDATE($D30,Milestones!$AA$88)&gt;=$S30),$V30,$U30)))=Milestones!$AB$88),UPPER(TEXT(EDATE($D30,Milestones!$AA$88),"dd mmm yy"))&amp;" "&amp;Milestones!$AB$88&amp;" "&amp;Milestones!$AC$88&amp;";  ","")&amp;IF(AND(EDATE($D30,Milestones!$AA$89)&lt;=AsOfDate,IF($R30=0,$X30,IF(AND($T30&lt;&gt;"",EDATE($D30,Milestones!$AA$89)&gt;=$T30),$W30,IF(AND($S30&lt;&gt;"",EDATE($D30,Milestones!$AA$89)&gt;=$S30),$V30,$U30)))=Milestones!$AB$89),UPPER(TEXT(EDATE($D30,Milestones!$AA$89),"dd mmm yy"))&amp;" "&amp;Milestones!$AB$89&amp;" "&amp;Milestones!$AC$89&amp;";  ","")&amp;IF(AND(EDATE($D30,Milestones!$AA$90)&lt;=AsOfDate,IF($R30=0,$X30,IF(AND($T30&lt;&gt;"",EDATE($D30,Milestones!$AA$90)&gt;=$T30),$W30,IF(AND($S30&lt;&gt;"",EDATE($D30,Milestones!$AA$90)&gt;=$S30),$V30,$U30)))=Milestones!$AB$90),UPPER(TEXT(EDATE($D30,Milestones!$AA$90),"dd mmm yy"))&amp;" "&amp;Milestones!$AB$90&amp;" "&amp;Milestones!$AC$90&amp;";  ","")&amp;IF(AND(EDATE($D30,Milestones!$AA$91)&lt;=AsOfDate,IF($R30=0,$X30,IF(AND($T30&lt;&gt;"",EDATE($D30,Milestones!$AA$91)&gt;=$T30),$W30,IF(AND($S30&lt;&gt;"",EDATE($D30,Milestones!$AA$91)&gt;=$S30),$V30,$U30)))=Milestones!$AB$91),UPPER(TEXT(EDATE($D30,Milestones!$AA$91),"dd mmm yy"))&amp;" "&amp;Milestones!$AB$91&amp;" "&amp;Milestones!$AC$91&amp;";  ","")&amp;IF(AND(EDATE($D30,Milestones!$AA$92)&lt;=AsOfDate,IF($R30=0,$X30,IF(AND($T30&lt;&gt;"",EDATE($D30,Milestones!$AA$92)&gt;=$T30),$W30,IF(AND($S30&lt;&gt;"",EDATE($D30,Milestones!$AA$92)&gt;=$S30),$V30,$U30)))=Milestones!$AB$92),UPPER(TEXT(EDATE($D30,Milestones!$AA$92),"dd mmm yy"))&amp;" "&amp;Milestones!$AB$92&amp;" "&amp;Milestones!$AC$92&amp;";  ","")&amp;IF(AND(EDATE($D30,Milestones!$AA$93)&lt;=AsOfDate,IF($R30=0,$X30,IF(AND($T30&lt;&gt;"",EDATE($D30,Milestones!$AA$93)&gt;=$T30),$W30,IF(AND($S30&lt;&gt;"",EDATE($D30,Milestones!$AA$93)&gt;=$S30),$V30,$U30)))=Milestones!$AB$93),UPPER(TEXT(EDATE($D30,Milestones!$AA$93),"dd mmm yy"))&amp;" "&amp;Milestones!$AB$93&amp;" "&amp;Milestones!$AC$93&amp;";  ","")&amp;IF(AND(EDATE($D30,Milestones!$AA$94)&lt;=AsOfDate,IF($R30=0,$X30,IF(AND($T30&lt;&gt;"",EDATE($D30,Milestones!$AA$94)&gt;=$T30),$W30,IF(AND($S30&lt;&gt;"",EDATE($D30,Milestones!$AA$94)&gt;=$S30),$V30,$U30)))=Milestones!$AB$94),UPPER(TEXT(EDATE($D30,Milestones!$AA$94),"dd mmm yy"))&amp;" "&amp;Milestones!$AB$94&amp;" "&amp;Milestones!$AC$94&amp;";  ","")&amp;IF(AND(EDATE($D30,Milestones!$AA$95)&lt;=AsOfDate,IF($R30=0,$X30,IF(AND($T30&lt;&gt;"",EDATE($D30,Milestones!$AA$95)&gt;=$T30),$W30,IF(AND($S30&lt;&gt;"",EDATE($D30,Milestones!$AA$95)&gt;=$S30),$V30,$U30)))=Milestones!$AB$95),UPPER(TEXT(EDATE($D30,Milestones!$AA$95),"dd mmm yy"))&amp;" "&amp;Milestones!$AB$95&amp;" "&amp;Milestones!$AC$95&amp;";  ","")&amp;IF(AND(EDATE($D30,Milestones!$AA$96)&lt;=AsOfDate,IF($R30=0,$X30,IF(AND($T30&lt;&gt;"",EDATE($D30,Milestones!$AA$96)&gt;=$T30),$W30,IF(AND($S30&lt;&gt;"",EDATE($D30,Milestones!$AA$96)&gt;=$S30),$V30,$U30)))=Milestones!$AB$96),UPPER(TEXT(EDATE($D30,Milestones!$AA$96),"dd mmm yy"))&amp;" "&amp;Milestones!$AB$96&amp;" "&amp;Milestones!$AC$96&amp;";  ","")&amp;IF(AND(EDATE($D30,Milestones!$AA$97)&lt;=AsOfDate,IF($R30=0,$X30,IF(AND($T30&lt;&gt;"",EDATE($D30,Milestones!$AA$97)&gt;=$T30),$W30,IF(AND($S30&lt;&gt;"",EDATE($D30,Milestones!$AA$97)&gt;=$S30),$V30,$U30)))=Milestones!$AB$97),UPPER(TEXT(EDATE($D30,Milestones!$AA$97),"dd mmm yy"))&amp;" "&amp;Milestones!$AB$97&amp;" "&amp;Milestones!$AC$97&amp;";  ","")&amp;IF(AND(EDATE($D30,Milestones!$AA$98)&lt;=AsOfDate,IF($R30=0,$X30,IF(AND($T30&lt;&gt;"",EDATE($D30,Milestones!$AA$98)&gt;=$T30),$W30,IF(AND($S30&lt;&gt;"",EDATE($D30,Milestones!$AA$98)&gt;=$S30),$V30,$U30)))=Milestones!$AB$98),UPPER(TEXT(EDATE($D30,Milestones!$AA$98),"dd mmm yy"))&amp;" "&amp;Milestones!$AB$98&amp;" "&amp;Milestones!$AC$98&amp;";  ","")&amp;IF(AND(EDATE($D30,Milestones!$AA$99)&lt;=AsOfDate,IF($R30=0,$X30,IF(AND($T30&lt;&gt;"",EDATE($D30,Milestones!$AA$99)&gt;=$T30),$W30,IF(AND($S30&lt;&gt;"",EDATE($D30,Milestones!$AA$99)&gt;=$S30),$V30,$U30)))=Milestones!$AB$99),UPPER(TEXT(EDATE($D30,Milestones!$AA$99),"dd mmm yy"))&amp;" "&amp;Milestones!$AB$99&amp;" "&amp;Milestones!$AC$99&amp;";  ",""))</f>
        <v/>
      </c>
      <c r="M30" s="0" t="str">
        <f aca="false">IF(OR($A30="",$D30=""),"",IF(AND(EDATE($D30,Milestones!$AA$100)&lt;=AsOfDate,IF($R30=0,$X30,IF(AND($T30&lt;&gt;"",EDATE($D30,Milestones!$AA$100)&gt;=$T30),$W30,IF(AND($S30&lt;&gt;"",EDATE($D30,Milestones!$AA$100)&gt;=$S30),$V30,$U30)))=Milestones!$AB$100),UPPER(TEXT(EDATE($D30,Milestones!$AA$100),"dd mmm yy"))&amp;" "&amp;Milestones!$AB$100&amp;" "&amp;Milestones!$AC$100&amp;";  ","")&amp;IF(AND(EDATE($D30,Milestones!$AA$101)&lt;=AsOfDate,IF($R30=0,$X30,IF(AND($T30&lt;&gt;"",EDATE($D30,Milestones!$AA$101)&gt;=$T30),$W30,IF(AND($S30&lt;&gt;"",EDATE($D30,Milestones!$AA$101)&gt;=$S30),$V30,$U30)))=Milestones!$AB$101),UPPER(TEXT(EDATE($D30,Milestones!$AA$101),"dd mmm yy"))&amp;" "&amp;Milestones!$AB$101&amp;" "&amp;Milestones!$AC$101&amp;";  ","")&amp;IF(AND(EDATE($D30,Milestones!$AA$102)&lt;=AsOfDate,IF($R30=0,$X30,IF(AND($T30&lt;&gt;"",EDATE($D30,Milestones!$AA$102)&gt;=$T30),$W30,IF(AND($S30&lt;&gt;"",EDATE($D30,Milestones!$AA$102)&gt;=$S30),$V30,$U30)))=Milestones!$AB$102),UPPER(TEXT(EDATE($D30,Milestones!$AA$102),"dd mmm yy"))&amp;" "&amp;Milestones!$AB$102&amp;" "&amp;Milestones!$AC$102&amp;";  ","")&amp;IF(AND(EDATE($D30,Milestones!$AA$103)&lt;=AsOfDate,IF($R30=0,$X30,IF(AND($T30&lt;&gt;"",EDATE($D30,Milestones!$AA$103)&gt;=$T30),$W30,IF(AND($S30&lt;&gt;"",EDATE($D30,Milestones!$AA$103)&gt;=$S30),$V30,$U30)))=Milestones!$AB$103),UPPER(TEXT(EDATE($D30,Milestones!$AA$103),"dd mmm yy"))&amp;" "&amp;Milestones!$AB$103&amp;" "&amp;Milestones!$AC$103&amp;";  ","")&amp;IF(AND(EDATE($D30,Milestones!$AA$104)&lt;=AsOfDate,IF($R30=0,$X30,IF(AND($T30&lt;&gt;"",EDATE($D30,Milestones!$AA$104)&gt;=$T30),$W30,IF(AND($S30&lt;&gt;"",EDATE($D30,Milestones!$AA$104)&gt;=$S30),$V30,$U30)))=Milestones!$AB$104),UPPER(TEXT(EDATE($D30,Milestones!$AA$104),"dd mmm yy"))&amp;" "&amp;Milestones!$AB$104&amp;" "&amp;Milestones!$AC$104&amp;";  ","")&amp;IF(AND(EDATE($D30,Milestones!$AA$105)&lt;=AsOfDate,IF($R30=0,$X30,IF(AND($T30&lt;&gt;"",EDATE($D30,Milestones!$AA$105)&gt;=$T30),$W30,IF(AND($S30&lt;&gt;"",EDATE($D30,Milestones!$AA$105)&gt;=$S30),$V30,$U30)))=Milestones!$AB$105),UPPER(TEXT(EDATE($D30,Milestones!$AA$105),"dd mmm yy"))&amp;" "&amp;Milestones!$AB$105&amp;" "&amp;Milestones!$AC$105&amp;";  ","")&amp;IF(AND(EDATE($D30,Milestones!$AA$106)&lt;=AsOfDate,IF($R30=0,$X30,IF(AND($T30&lt;&gt;"",EDATE($D30,Milestones!$AA$106)&gt;=$T30),$W30,IF(AND($S30&lt;&gt;"",EDATE($D30,Milestones!$AA$106)&gt;=$S30),$V30,$U30)))=Milestones!$AB$106),UPPER(TEXT(EDATE($D30,Milestones!$AA$106),"dd mmm yy"))&amp;" "&amp;Milestones!$AB$106&amp;" "&amp;Milestones!$AC$106&amp;";  ","")&amp;IF(AND(EDATE($D30,Milestones!$AA$107)&lt;=AsOfDate,IF($R30=0,$X30,IF(AND($T30&lt;&gt;"",EDATE($D30,Milestones!$AA$107)&gt;=$T30),$W30,IF(AND($S30&lt;&gt;"",EDATE($D30,Milestones!$AA$107)&gt;=$S30),$V30,$U30)))=Milestones!$AB$107),UPPER(TEXT(EDATE($D30,Milestones!$AA$107),"dd mmm yy"))&amp;" "&amp;Milestones!$AB$107&amp;" "&amp;Milestones!$AC$107&amp;";  ","")&amp;IF(AND(EDATE($D30,Milestones!$AA$108)&lt;=AsOfDate,IF($R30=0,$X30,IF(AND($T30&lt;&gt;"",EDATE($D30,Milestones!$AA$108)&gt;=$T30),$W30,IF(AND($S30&lt;&gt;"",EDATE($D30,Milestones!$AA$108)&gt;=$S30),$V30,$U30)))=Milestones!$AB$108),UPPER(TEXT(EDATE($D30,Milestones!$AA$108),"dd mmm yy"))&amp;" "&amp;Milestones!$AB$108&amp;" "&amp;Milestones!$AC$108&amp;";  ","")&amp;IF(AND(EDATE($D30,Milestones!$AA$109)&lt;=AsOfDate,IF($R30=0,$X30,IF(AND($T30&lt;&gt;"",EDATE($D30,Milestones!$AA$109)&gt;=$T30),$W30,IF(AND($S30&lt;&gt;"",EDATE($D30,Milestones!$AA$109)&gt;=$S30),$V30,$U30)))=Milestones!$AB$109),UPPER(TEXT(EDATE($D30,Milestones!$AA$109),"dd mmm yy"))&amp;" "&amp;Milestones!$AB$109&amp;" "&amp;Milestones!$AC$109&amp;";  ","")&amp;IF(AND(EDATE($D30,Milestones!$AA$110)&lt;=AsOfDate,IF($R30=0,$X30,IF(AND($T30&lt;&gt;"",EDATE($D30,Milestones!$AA$110)&gt;=$T30),$W30,IF(AND($S30&lt;&gt;"",EDATE($D30,Milestones!$AA$110)&gt;=$S30),$V30,$U30)))=Milestones!$AB$110),UPPER(TEXT(EDATE($D30,Milestones!$AA$110),"dd mmm yy"))&amp;" "&amp;Milestones!$AB$110&amp;" "&amp;Milestones!$AC$110&amp;";  ","")&amp;IF(AND(EDATE($D30,Milestones!$AA$111)&lt;=AsOfDate,IF($R30=0,$X30,IF(AND($T30&lt;&gt;"",EDATE($D30,Milestones!$AA$111)&gt;=$T30),$W30,IF(AND($S30&lt;&gt;"",EDATE($D30,Milestones!$AA$111)&gt;=$S30),$V30,$U30)))=Milestones!$AB$111),UPPER(TEXT(EDATE($D30,Milestones!$AA$111),"dd mmm yy"))&amp;" "&amp;Milestones!$AB$111&amp;" "&amp;Milestones!$AC$111&amp;";  ","")&amp;IF(AND(EDATE($D30,Milestones!$AA$112)&lt;=AsOfDate,IF($R30=0,$X30,IF(AND($T30&lt;&gt;"",EDATE($D30,Milestones!$AA$112)&gt;=$T30),$W30,IF(AND($S30&lt;&gt;"",EDATE($D30,Milestones!$AA$112)&gt;=$S30),$V30,$U30)))=Milestones!$AB$112),UPPER(TEXT(EDATE($D30,Milestones!$AA$112),"dd mmm yy"))&amp;" "&amp;Milestones!$AB$112&amp;" "&amp;Milestones!$AC$112&amp;";  ","")&amp;IF(AND(EDATE($D30,Milestones!$AA$113)&lt;=AsOfDate,IF($R30=0,$X30,IF(AND($T30&lt;&gt;"",EDATE($D30,Milestones!$AA$113)&gt;=$T30),$W30,IF(AND($S30&lt;&gt;"",EDATE($D30,Milestones!$AA$113)&gt;=$S30),$V30,$U30)))=Milestones!$AB$113),UPPER(TEXT(EDATE($D30,Milestones!$AA$113),"dd mmm yy"))&amp;" "&amp;Milestones!$AB$113&amp;" "&amp;Milestones!$AC$113&amp;";  ","")&amp;IF(AND(EDATE($D30,Milestones!$AA$114)&lt;=AsOfDate,IF($R30=0,$X30,IF(AND($T30&lt;&gt;"",EDATE($D30,Milestones!$AA$114)&gt;=$T30),$W30,IF(AND($S30&lt;&gt;"",EDATE($D30,Milestones!$AA$114)&gt;=$S30),$V30,$U30)))=Milestones!$AB$114),UPPER(TEXT(EDATE($D30,Milestones!$AA$114),"dd mmm yy"))&amp;" "&amp;Milestones!$AB$114&amp;" "&amp;Milestones!$AC$114&amp;";  ","")&amp;IF(AND(EDATE($D30,Milestones!$AA$115)&lt;=AsOfDate,IF($R30=0,$X30,IF(AND($T30&lt;&gt;"",EDATE($D30,Milestones!$AA$115)&gt;=$T30),$W30,IF(AND($S30&lt;&gt;"",EDATE($D30,Milestones!$AA$115)&gt;=$S30),$V30,$U30)))=Milestones!$AB$115),UPPER(TEXT(EDATE($D30,Milestones!$AA$115),"dd mmm yy"))&amp;" "&amp;Milestones!$AB$115&amp;" "&amp;Milestones!$AC$115&amp;";  ","")&amp;IF(AND(EDATE($D30,Milestones!$AA$116)&lt;=AsOfDate,IF($R30=0,$X30,IF(AND($T30&lt;&gt;"",EDATE($D30,Milestones!$AA$116)&gt;=$T30),$W30,IF(AND($S30&lt;&gt;"",EDATE($D30,Milestones!$AA$116)&gt;=$S30),$V30,$U30)))=Milestones!$AB$116),UPPER(TEXT(EDATE($D30,Milestones!$AA$116),"dd mmm yy"))&amp;" "&amp;Milestones!$AB$116&amp;" "&amp;Milestones!$AC$116&amp;";  ","")&amp;IF(AND(EDATE($D30,Milestones!$AA$117)&lt;=AsOfDate,IF($R30=0,$X30,IF(AND($T30&lt;&gt;"",EDATE($D30,Milestones!$AA$117)&gt;=$T30),$W30,IF(AND($S30&lt;&gt;"",EDATE($D30,Milestones!$AA$117)&gt;=$S30),$V30,$U30)))=Milestones!$AB$117),UPPER(TEXT(EDATE($D30,Milestones!$AA$117),"dd mmm yy"))&amp;" "&amp;Milestones!$AB$117&amp;" "&amp;Milestones!$AC$117&amp;";  ","")&amp;IF(AND(EDATE($D30,Milestones!$AA$118)&lt;=AsOfDate,IF($R30=0,$X30,IF(AND($T30&lt;&gt;"",EDATE($D30,Milestones!$AA$118)&gt;=$T30),$W30,IF(AND($S30&lt;&gt;"",EDATE($D30,Milestones!$AA$118)&gt;=$S30),$V30,$U30)))=Milestones!$AB$118),UPPER(TEXT(EDATE($D30,Milestones!$AA$118),"dd mmm yy"))&amp;" "&amp;Milestones!$AB$118&amp;" "&amp;Milestones!$AC$118&amp;";  ","")&amp;IF(AND(EDATE($D30,Milestones!$AA$119)&lt;=AsOfDate,IF($R30=0,$X30,IF(AND($T30&lt;&gt;"",EDATE($D30,Milestones!$AA$119)&gt;=$T30),$W30,IF(AND($S30&lt;&gt;"",EDATE($D30,Milestones!$AA$119)&gt;=$S30),$V30,$U30)))=Milestones!$AB$119),UPPER(TEXT(EDATE($D30,Milestones!$AA$119),"dd mmm yy"))&amp;" "&amp;Milestones!$AB$119&amp;" "&amp;Milestones!$AC$119&amp;";  ",""))</f>
        <v/>
      </c>
      <c r="N30" s="0" t="str">
        <f aca="false">IF(OR($A30="",$D30=""),"",IF(AND(EDATE($D30,Milestones!$AA$120)&lt;=AsOfDate,IF($R30=0,$X30,IF(AND($T30&lt;&gt;"",EDATE($D30,Milestones!$AA$120)&gt;=$T30),$W30,IF(AND($S30&lt;&gt;"",EDATE($D30,Milestones!$AA$120)&gt;=$S30),$V30,$U30)))=Milestones!$AB$120),UPPER(TEXT(EDATE($D30,Milestones!$AA$120),"dd mmm yy"))&amp;" "&amp;Milestones!$AB$120&amp;" "&amp;Milestones!$AC$120&amp;";  ","")&amp;IF(AND(EDATE($D30,Milestones!$AA$121)&lt;=AsOfDate,IF($R30=0,$X30,IF(AND($T30&lt;&gt;"",EDATE($D30,Milestones!$AA$121)&gt;=$T30),$W30,IF(AND($S30&lt;&gt;"",EDATE($D30,Milestones!$AA$121)&gt;=$S30),$V30,$U30)))=Milestones!$AB$121),UPPER(TEXT(EDATE($D30,Milestones!$AA$121),"dd mmm yy"))&amp;" "&amp;Milestones!$AB$121&amp;" "&amp;Milestones!$AC$121&amp;";  ","")&amp;IF(AND(EDATE($D30,Milestones!$AA$122)&lt;=AsOfDate,IF($R30=0,$X30,IF(AND($T30&lt;&gt;"",EDATE($D30,Milestones!$AA$122)&gt;=$T30),$W30,IF(AND($S30&lt;&gt;"",EDATE($D30,Milestones!$AA$122)&gt;=$S30),$V30,$U30)))=Milestones!$AB$122),UPPER(TEXT(EDATE($D30,Milestones!$AA$122),"dd mmm yy"))&amp;" "&amp;Milestones!$AB$122&amp;" "&amp;Milestones!$AC$122&amp;";  ","")&amp;IF(AND(EDATE($D30,Milestones!$AA$123)&lt;=AsOfDate,IF($R30=0,$X30,IF(AND($T30&lt;&gt;"",EDATE($D30,Milestones!$AA$123)&gt;=$T30),$W30,IF(AND($S30&lt;&gt;"",EDATE($D30,Milestones!$AA$123)&gt;=$S30),$V30,$U30)))=Milestones!$AB$123),UPPER(TEXT(EDATE($D30,Milestones!$AA$123),"dd mmm yy"))&amp;" "&amp;Milestones!$AB$123&amp;" "&amp;Milestones!$AC$123&amp;";  ","")&amp;IF(AND(EDATE($D30,Milestones!$AA$124)&lt;=AsOfDate,IF($R30=0,$X30,IF(AND($T30&lt;&gt;"",EDATE($D30,Milestones!$AA$124)&gt;=$T30),$W30,IF(AND($S30&lt;&gt;"",EDATE($D30,Milestones!$AA$124)&gt;=$S30),$V30,$U30)))=Milestones!$AB$124),UPPER(TEXT(EDATE($D30,Milestones!$AA$124),"dd mmm yy"))&amp;" "&amp;Milestones!$AB$124&amp;" "&amp;Milestones!$AC$124&amp;";  ","")&amp;IF(AND(EDATE($D30,Milestones!$AA$125)&lt;=AsOfDate,IF($R30=0,$X30,IF(AND($T30&lt;&gt;"",EDATE($D30,Milestones!$AA$125)&gt;=$T30),$W30,IF(AND($S30&lt;&gt;"",EDATE($D30,Milestones!$AA$125)&gt;=$S30),$V30,$U30)))=Milestones!$AB$125),UPPER(TEXT(EDATE($D30,Milestones!$AA$125),"dd mmm yy"))&amp;" "&amp;Milestones!$AB$125&amp;" "&amp;Milestones!$AC$125&amp;";  ","")&amp;IF(AND(EDATE($D30,Milestones!$AA$126)&lt;=AsOfDate,IF($R30=0,$X30,IF(AND($T30&lt;&gt;"",EDATE($D30,Milestones!$AA$126)&gt;=$T30),$W30,IF(AND($S30&lt;&gt;"",EDATE($D30,Milestones!$AA$126)&gt;=$S30),$V30,$U30)))=Milestones!$AB$126),UPPER(TEXT(EDATE($D30,Milestones!$AA$126),"dd mmm yy"))&amp;" "&amp;Milestones!$AB$126&amp;" "&amp;Milestones!$AC$126&amp;";  ","")&amp;IF(AND(EDATE($D30,Milestones!$AA$127)&lt;=AsOfDate,IF($R30=0,$X30,IF(AND($T30&lt;&gt;"",EDATE($D30,Milestones!$AA$127)&gt;=$T30),$W30,IF(AND($S30&lt;&gt;"",EDATE($D30,Milestones!$AA$127)&gt;=$S30),$V30,$U30)))=Milestones!$AB$127),UPPER(TEXT(EDATE($D30,Milestones!$AA$127),"dd mmm yy"))&amp;" "&amp;Milestones!$AB$127&amp;" "&amp;Milestones!$AC$127&amp;";  ","")&amp;IF(AND(EDATE($D30,Milestones!$AA$128)&lt;=AsOfDate,IF($R30=0,$X30,IF(AND($T30&lt;&gt;"",EDATE($D30,Milestones!$AA$128)&gt;=$T30),$W30,IF(AND($S30&lt;&gt;"",EDATE($D30,Milestones!$AA$128)&gt;=$S30),$V30,$U30)))=Milestones!$AB$128),UPPER(TEXT(EDATE($D30,Milestones!$AA$128),"dd mmm yy"))&amp;" "&amp;Milestones!$AB$128&amp;" "&amp;Milestones!$AC$128&amp;";  ","")&amp;IF(AND(EDATE($D30,Milestones!$AA$129)&lt;=AsOfDate,IF($R30=0,$X30,IF(AND($T30&lt;&gt;"",EDATE($D30,Milestones!$AA$129)&gt;=$T30),$W30,IF(AND($S30&lt;&gt;"",EDATE($D30,Milestones!$AA$129)&gt;=$S30),$V30,$U30)))=Milestones!$AB$129),UPPER(TEXT(EDATE($D30,Milestones!$AA$129),"dd mmm yy"))&amp;" "&amp;Milestones!$AB$129&amp;" "&amp;Milestones!$AC$129&amp;";  ","")&amp;IF(AND(EDATE($D30,Milestones!$AA$130)&lt;=AsOfDate,IF($R30=0,$X30,IF(AND($T30&lt;&gt;"",EDATE($D30,Milestones!$AA$130)&gt;=$T30),$W30,IF(AND($S30&lt;&gt;"",EDATE($D30,Milestones!$AA$130)&gt;=$S30),$V30,$U30)))=Milestones!$AB$130),UPPER(TEXT(EDATE($D30,Milestones!$AA$130),"dd mmm yy"))&amp;" "&amp;Milestones!$AB$130&amp;" "&amp;Milestones!$AC$130&amp;";  ","")&amp;IF(AND(EDATE($D30,Milestones!$AA$131)&lt;=AsOfDate,IF($R30=0,$X30,IF(AND($T30&lt;&gt;"",EDATE($D30,Milestones!$AA$131)&gt;=$T30),$W30,IF(AND($S30&lt;&gt;"",EDATE($D30,Milestones!$AA$131)&gt;=$S30),$V30,$U30)))=Milestones!$AB$131),UPPER(TEXT(EDATE($D30,Milestones!$AA$131),"dd mmm yy"))&amp;" "&amp;Milestones!$AB$131&amp;" "&amp;Milestones!$AC$131&amp;";  ","")&amp;IF(AND(EDATE($D30,Milestones!$AA$132)&lt;=AsOfDate,IF($R30=0,$X30,IF(AND($T30&lt;&gt;"",EDATE($D30,Milestones!$AA$132)&gt;=$T30),$W30,IF(AND($S30&lt;&gt;"",EDATE($D30,Milestones!$AA$132)&gt;=$S30),$V30,$U30)))=Milestones!$AB$132),UPPER(TEXT(EDATE($D30,Milestones!$AA$132),"dd mmm yy"))&amp;" "&amp;Milestones!$AB$132&amp;" "&amp;Milestones!$AC$132&amp;";  ","")&amp;IF(AND(EDATE($D30,Milestones!$AA$133)&lt;=AsOfDate,IF($R30=0,$X30,IF(AND($T30&lt;&gt;"",EDATE($D30,Milestones!$AA$133)&gt;=$T30),$W30,IF(AND($S30&lt;&gt;"",EDATE($D30,Milestones!$AA$133)&gt;=$S30),$V30,$U30)))=Milestones!$AB$133),UPPER(TEXT(EDATE($D30,Milestones!$AA$133),"dd mmm yy"))&amp;" "&amp;Milestones!$AB$133&amp;" "&amp;Milestones!$AC$133&amp;";  ","")&amp;IF(AND(EDATE($D30,Milestones!$AA$134)&lt;=AsOfDate,IF($R30=0,$X30,IF(AND($T30&lt;&gt;"",EDATE($D30,Milestones!$AA$134)&gt;=$T30),$W30,IF(AND($S30&lt;&gt;"",EDATE($D30,Milestones!$AA$134)&gt;=$S30),$V30,$U30)))=Milestones!$AB$134),UPPER(TEXT(EDATE($D30,Milestones!$AA$134),"dd mmm yy"))&amp;" "&amp;Milestones!$AB$134&amp;" "&amp;Milestones!$AC$134&amp;";  ","")&amp;IF(AND(EDATE($D30,Milestones!$AA$135)&lt;=AsOfDate,IF($R30=0,$X30,IF(AND($T30&lt;&gt;"",EDATE($D30,Milestones!$AA$135)&gt;=$T30),$W30,IF(AND($S30&lt;&gt;"",EDATE($D30,Milestones!$AA$135)&gt;=$S30),$V30,$U30)))=Milestones!$AB$135),UPPER(TEXT(EDATE($D30,Milestones!$AA$135),"dd mmm yy"))&amp;" "&amp;Milestones!$AB$135&amp;" "&amp;Milestones!$AC$135&amp;";  ","")&amp;IF(AND(EDATE($D30,Milestones!$AA$136)&lt;=AsOfDate,IF($R30=0,$X30,IF(AND($T30&lt;&gt;"",EDATE($D30,Milestones!$AA$136)&gt;=$T30),$W30,IF(AND($S30&lt;&gt;"",EDATE($D30,Milestones!$AA$136)&gt;=$S30),$V30,$U30)))=Milestones!$AB$136),UPPER(TEXT(EDATE($D30,Milestones!$AA$136),"dd mmm yy"))&amp;" "&amp;Milestones!$AB$136&amp;" "&amp;Milestones!$AC$136&amp;";  ","")&amp;IF(AND(EDATE($D30,Milestones!$AA$137)&lt;=AsOfDate,IF($R30=0,$X30,IF(AND($T30&lt;&gt;"",EDATE($D30,Milestones!$AA$137)&gt;=$T30),$W30,IF(AND($S30&lt;&gt;"",EDATE($D30,Milestones!$AA$137)&gt;=$S30),$V30,$U30)))=Milestones!$AB$137),UPPER(TEXT(EDATE($D30,Milestones!$AA$137),"dd mmm yy"))&amp;" "&amp;Milestones!$AB$137&amp;" "&amp;Milestones!$AC$137&amp;";  ","")&amp;IF(AND(EDATE($D30,Milestones!$AA$138)&lt;=AsOfDate,IF($R30=0,$X30,IF(AND($T30&lt;&gt;"",EDATE($D30,Milestones!$AA$138)&gt;=$T30),$W30,IF(AND($S30&lt;&gt;"",EDATE($D30,Milestones!$AA$138)&gt;=$S30),$V30,$U30)))=Milestones!$AB$138),UPPER(TEXT(EDATE($D30,Milestones!$AA$138),"dd mmm yy"))&amp;" "&amp;Milestones!$AB$138&amp;" "&amp;Milestones!$AC$138&amp;";  ","")&amp;IF(AND(EDATE($D30,Milestones!$AA$139)&lt;=AsOfDate,IF($R30=0,$X30,IF(AND($T30&lt;&gt;"",EDATE($D30,Milestones!$AA$139)&gt;=$T30),$W30,IF(AND($S30&lt;&gt;"",EDATE($D30,Milestones!$AA$139)&gt;=$S30),$V30,$U30)))=Milestones!$AB$139),UPPER(TEXT(EDATE($D30,Milestones!$AA$139),"dd mmm yy"))&amp;" "&amp;Milestones!$AB$139&amp;" "&amp;Milestones!$AC$139&amp;";  ",""))</f>
        <v/>
      </c>
      <c r="O30" s="0" t="str">
        <f aca="false">IF(OR($A30="",$D30=""),"",IF(AND(EDATE($D30,Milestones!$AA$140)&lt;=AsOfDate,IF($R30=0,$X30,IF(AND($T30&lt;&gt;"",EDATE($D30,Milestones!$AA$140)&gt;=$T30),$W30,IF(AND($S30&lt;&gt;"",EDATE($D30,Milestones!$AA$140)&gt;=$S30),$V30,$U30)))=Milestones!$AB$140),UPPER(TEXT(EDATE($D30,Milestones!$AA$140),"dd mmm yy"))&amp;" "&amp;Milestones!$AB$140&amp;" "&amp;Milestones!$AC$140&amp;";  ","")&amp;IF(AND(EDATE($D30,Milestones!$AA$141)&lt;=AsOfDate,IF($R30=0,$X30,IF(AND($T30&lt;&gt;"",EDATE($D30,Milestones!$AA$141)&gt;=$T30),$W30,IF(AND($S30&lt;&gt;"",EDATE($D30,Milestones!$AA$141)&gt;=$S30),$V30,$U30)))=Milestones!$AB$141),UPPER(TEXT(EDATE($D30,Milestones!$AA$141),"dd mmm yy"))&amp;" "&amp;Milestones!$AB$141&amp;" "&amp;Milestones!$AC$141&amp;";  ","")&amp;IF(AND(EDATE($D30,Milestones!$AA$142)&lt;=AsOfDate,IF($R30=0,$X30,IF(AND($T30&lt;&gt;"",EDATE($D30,Milestones!$AA$142)&gt;=$T30),$W30,IF(AND($S30&lt;&gt;"",EDATE($D30,Milestones!$AA$142)&gt;=$S30),$V30,$U30)))=Milestones!$AB$142),UPPER(TEXT(EDATE($D30,Milestones!$AA$142),"dd mmm yy"))&amp;" "&amp;Milestones!$AB$142&amp;" "&amp;Milestones!$AC$142&amp;";  ","")&amp;IF(AND(EDATE($D30,Milestones!$AA$143)&lt;=AsOfDate,IF($R30=0,$X30,IF(AND($T30&lt;&gt;"",EDATE($D30,Milestones!$AA$143)&gt;=$T30),$W30,IF(AND($S30&lt;&gt;"",EDATE($D30,Milestones!$AA$143)&gt;=$S30),$V30,$U30)))=Milestones!$AB$143),UPPER(TEXT(EDATE($D30,Milestones!$AA$143),"dd mmm yy"))&amp;" "&amp;Milestones!$AB$143&amp;" "&amp;Milestones!$AC$143&amp;";  ","")&amp;IF(AND(EDATE($D30,Milestones!$AA$144)&lt;=AsOfDate,IF($R30=0,$X30,IF(AND($T30&lt;&gt;"",EDATE($D30,Milestones!$AA$144)&gt;=$T30),$W30,IF(AND($S30&lt;&gt;"",EDATE($D30,Milestones!$AA$144)&gt;=$S30),$V30,$U30)))=Milestones!$AB$144),UPPER(TEXT(EDATE($D30,Milestones!$AA$144),"dd mmm yy"))&amp;" "&amp;Milestones!$AB$144&amp;" "&amp;Milestones!$AC$144&amp;";  ","")&amp;IF(AND(EDATE($D30,Milestones!$AA$145)&lt;=AsOfDate,IF($R30=0,$X30,IF(AND($T30&lt;&gt;"",EDATE($D30,Milestones!$AA$145)&gt;=$T30),$W30,IF(AND($S30&lt;&gt;"",EDATE($D30,Milestones!$AA$145)&gt;=$S30),$V30,$U30)))=Milestones!$AB$145),UPPER(TEXT(EDATE($D30,Milestones!$AA$145),"dd mmm yy"))&amp;" "&amp;Milestones!$AB$145&amp;" "&amp;Milestones!$AC$145&amp;";  ","")&amp;IF(AND(EDATE($D30,Milestones!$AA$146)&lt;=AsOfDate,IF($R30=0,$X30,IF(AND($T30&lt;&gt;"",EDATE($D30,Milestones!$AA$146)&gt;=$T30),$W30,IF(AND($S30&lt;&gt;"",EDATE($D30,Milestones!$AA$146)&gt;=$S30),$V30,$U30)))=Milestones!$AB$146),UPPER(TEXT(EDATE($D30,Milestones!$AA$146),"dd mmm yy"))&amp;" "&amp;Milestones!$AB$146&amp;" "&amp;Milestones!$AC$146&amp;";  ","")&amp;IF(AND(EDATE($D30,Milestones!$AA$147)&lt;=AsOfDate,IF($R30=0,$X30,IF(AND($T30&lt;&gt;"",EDATE($D30,Milestones!$AA$147)&gt;=$T30),$W30,IF(AND($S30&lt;&gt;"",EDATE($D30,Milestones!$AA$147)&gt;=$S30),$V30,$U30)))=Milestones!$AB$147),UPPER(TEXT(EDATE($D30,Milestones!$AA$147),"dd mmm yy"))&amp;" "&amp;Milestones!$AB$147&amp;" "&amp;Milestones!$AC$147&amp;";  ","")&amp;IF(AND(EDATE($D30,Milestones!$AA$148)&lt;=AsOfDate,IF($R30=0,$X30,IF(AND($T30&lt;&gt;"",EDATE($D30,Milestones!$AA$148)&gt;=$T30),$W30,IF(AND($S30&lt;&gt;"",EDATE($D30,Milestones!$AA$148)&gt;=$S30),$V30,$U30)))=Milestones!$AB$148),UPPER(TEXT(EDATE($D30,Milestones!$AA$148),"dd mmm yy"))&amp;" "&amp;Milestones!$AB$148&amp;" "&amp;Milestones!$AC$148&amp;";  ","")&amp;IF(AND(EDATE($D30,Milestones!$AA$149)&lt;=AsOfDate,IF($R30=0,$X30,IF(AND($T30&lt;&gt;"",EDATE($D30,Milestones!$AA$149)&gt;=$T30),$W30,IF(AND($S30&lt;&gt;"",EDATE($D30,Milestones!$AA$149)&gt;=$S30),$V30,$U30)))=Milestones!$AB$149),UPPER(TEXT(EDATE($D30,Milestones!$AA$149),"dd mmm yy"))&amp;" "&amp;Milestones!$AB$149&amp;" "&amp;Milestones!$AC$149&amp;";  ","")&amp;IF(AND(EDATE($D30,Milestones!$AA$150)&lt;=AsOfDate,IF($R30=0,$X30,IF(AND($T30&lt;&gt;"",EDATE($D30,Milestones!$AA$150)&gt;=$T30),$W30,IF(AND($S30&lt;&gt;"",EDATE($D30,Milestones!$AA$150)&gt;=$S30),$V30,$U30)))=Milestones!$AB$150),UPPER(TEXT(EDATE($D30,Milestones!$AA$150),"dd mmm yy"))&amp;" "&amp;Milestones!$AB$150&amp;" "&amp;Milestones!$AC$150&amp;";  ","")&amp;IF(AND(EDATE($D30,Milestones!$AA$151)&lt;=AsOfDate,IF($R30=0,$X30,IF(AND($T30&lt;&gt;"",EDATE($D30,Milestones!$AA$151)&gt;=$T30),$W30,IF(AND($S30&lt;&gt;"",EDATE($D30,Milestones!$AA$151)&gt;=$S30),$V30,$U30)))=Milestones!$AB$151),UPPER(TEXT(EDATE($D30,Milestones!$AA$151),"dd mmm yy"))&amp;" "&amp;Milestones!$AB$151&amp;" "&amp;Milestones!$AC$151&amp;";  ","")&amp;IF(AND(EDATE($D30,Milestones!$AA$152)&lt;=AsOfDate,IF($R30=0,$X30,IF(AND($T30&lt;&gt;"",EDATE($D30,Milestones!$AA$152)&gt;=$T30),$W30,IF(AND($S30&lt;&gt;"",EDATE($D30,Milestones!$AA$152)&gt;=$S30),$V30,$U30)))=Milestones!$AB$152),UPPER(TEXT(EDATE($D30,Milestones!$AA$152),"dd mmm yy"))&amp;" "&amp;Milestones!$AB$152&amp;" "&amp;Milestones!$AC$152&amp;";  ","")&amp;IF(AND(EDATE($D30,Milestones!$AA$153)&lt;=AsOfDate,IF($R30=0,$X30,IF(AND($T30&lt;&gt;"",EDATE($D30,Milestones!$AA$153)&gt;=$T30),$W30,IF(AND($S30&lt;&gt;"",EDATE($D30,Milestones!$AA$153)&gt;=$S30),$V30,$U30)))=Milestones!$AB$153),UPPER(TEXT(EDATE($D30,Milestones!$AA$153),"dd mmm yy"))&amp;" "&amp;Milestones!$AB$153&amp;" "&amp;Milestones!$AC$153&amp;";  ","")&amp;IF(AND(EDATE($D30,Milestones!$AA$154)&lt;=AsOfDate,IF($R30=0,$X30,IF(AND($T30&lt;&gt;"",EDATE($D30,Milestones!$AA$154)&gt;=$T30),$W30,IF(AND($S30&lt;&gt;"",EDATE($D30,Milestones!$AA$154)&gt;=$S30),$V30,$U30)))=Milestones!$AB$154),UPPER(TEXT(EDATE($D30,Milestones!$AA$154),"dd mmm yy"))&amp;" "&amp;Milestones!$AB$154&amp;" "&amp;Milestones!$AC$154&amp;";  ","")&amp;IF(AND(EDATE($D30,Milestones!$AA$155)&lt;=AsOfDate,IF($R30=0,$X30,IF(AND($T30&lt;&gt;"",EDATE($D30,Milestones!$AA$155)&gt;=$T30),$W30,IF(AND($S30&lt;&gt;"",EDATE($D30,Milestones!$AA$155)&gt;=$S30),$V30,$U30)))=Milestones!$AB$155),UPPER(TEXT(EDATE($D30,Milestones!$AA$155),"dd mmm yy"))&amp;" "&amp;Milestones!$AB$155&amp;" "&amp;Milestones!$AC$155&amp;";  ","")&amp;IF(AND(EDATE($D30,Milestones!$AA$156)&lt;=AsOfDate,IF($R30=0,$X30,IF(AND($T30&lt;&gt;"",EDATE($D30,Milestones!$AA$156)&gt;=$T30),$W30,IF(AND($S30&lt;&gt;"",EDATE($D30,Milestones!$AA$156)&gt;=$S30),$V30,$U30)))=Milestones!$AB$156),UPPER(TEXT(EDATE($D30,Milestones!$AA$156),"dd mmm yy"))&amp;" "&amp;Milestones!$AB$156&amp;" "&amp;Milestones!$AC$156&amp;";  ","")&amp;IF(AND(EDATE($D30,Milestones!$AA$157)&lt;=AsOfDate,IF($R30=0,$X30,IF(AND($T30&lt;&gt;"",EDATE($D30,Milestones!$AA$157)&gt;=$T30),$W30,IF(AND($S30&lt;&gt;"",EDATE($D30,Milestones!$AA$157)&gt;=$S30),$V30,$U30)))=Milestones!$AB$157),UPPER(TEXT(EDATE($D30,Milestones!$AA$157),"dd mmm yy"))&amp;" "&amp;Milestones!$AB$157&amp;" "&amp;Milestones!$AC$157&amp;";  ","")&amp;IF(AND(EDATE($D30,Milestones!$AA$158)&lt;=AsOfDate,IF($R30=0,$X30,IF(AND($T30&lt;&gt;"",EDATE($D30,Milestones!$AA$158)&gt;=$T30),$W30,IF(AND($S30&lt;&gt;"",EDATE($D30,Milestones!$AA$158)&gt;=$S30),$V30,$U30)))=Milestones!$AB$158),UPPER(TEXT(EDATE($D30,Milestones!$AA$158),"dd mmm yy"))&amp;" "&amp;Milestones!$AB$158&amp;" "&amp;Milestones!$AC$158&amp;";  ","")&amp;IF(AND(EDATE($D30,Milestones!$AA$159)&lt;=AsOfDate,IF($R30=0,$X30,IF(AND($T30&lt;&gt;"",EDATE($D30,Milestones!$AA$159)&gt;=$T30),$W30,IF(AND($S30&lt;&gt;"",EDATE($D30,Milestones!$AA$159)&gt;=$S30),$V30,$U30)))=Milestones!$AB$159),UPPER(TEXT(EDATE($D30,Milestones!$AA$159),"dd mmm yy"))&amp;" "&amp;Milestones!$AB$159&amp;" "&amp;Milestones!$AC$159&amp;";  ",""))</f>
        <v/>
      </c>
      <c r="P30" s="0" t="str">
        <f aca="false">IF(OR($A30="",$D30=""),"",IF(AND(EDATE($D30,Milestones!$AA$160)&lt;=AsOfDate,IF($R30=0,$X30,IF(AND($T30&lt;&gt;"",EDATE($D30,Milestones!$AA$160)&gt;=$T30),$W30,IF(AND($S30&lt;&gt;"",EDATE($D30,Milestones!$AA$160)&gt;=$S30),$V30,$U30)))=Milestones!$AB$160),UPPER(TEXT(EDATE($D30,Milestones!$AA$160),"dd mmm yy"))&amp;" "&amp;Milestones!$AB$160&amp;" "&amp;Milestones!$AC$160&amp;";  ","")&amp;IF(AND(EDATE($D30,Milestones!$AA$161)&lt;=AsOfDate,IF($R30=0,$X30,IF(AND($T30&lt;&gt;"",EDATE($D30,Milestones!$AA$161)&gt;=$T30),$W30,IF(AND($S30&lt;&gt;"",EDATE($D30,Milestones!$AA$161)&gt;=$S30),$V30,$U30)))=Milestones!$AB$161),UPPER(TEXT(EDATE($D30,Milestones!$AA$161),"dd mmm yy"))&amp;" "&amp;Milestones!$AB$161&amp;" "&amp;Milestones!$AC$161&amp;";  ","")&amp;IF(AND(EDATE($D30,Milestones!$AA$162)&lt;=AsOfDate,IF($R30=0,$X30,IF(AND($T30&lt;&gt;"",EDATE($D30,Milestones!$AA$162)&gt;=$T30),$W30,IF(AND($S30&lt;&gt;"",EDATE($D30,Milestones!$AA$162)&gt;=$S30),$V30,$U30)))=Milestones!$AB$162),UPPER(TEXT(EDATE($D30,Milestones!$AA$162),"dd mmm yy"))&amp;" "&amp;Milestones!$AB$162&amp;" "&amp;Milestones!$AC$162&amp;";  ","")&amp;IF(AND(EDATE($D30,Milestones!$AA$163)&lt;=AsOfDate,IF($R30=0,$X30,IF(AND($T30&lt;&gt;"",EDATE($D30,Milestones!$AA$163)&gt;=$T30),$W30,IF(AND($S30&lt;&gt;"",EDATE($D30,Milestones!$AA$163)&gt;=$S30),$V30,$U30)))=Milestones!$AB$163),UPPER(TEXT(EDATE($D30,Milestones!$AA$163),"dd mmm yy"))&amp;" "&amp;Milestones!$AB$163&amp;" "&amp;Milestones!$AC$163&amp;";  ","")&amp;IF(AND(EDATE($D30,Milestones!$AA$164)&lt;=AsOfDate,IF($R30=0,$X30,IF(AND($T30&lt;&gt;"",EDATE($D30,Milestones!$AA$164)&gt;=$T30),$W30,IF(AND($S30&lt;&gt;"",EDATE($D30,Milestones!$AA$164)&gt;=$S30),$V30,$U30)))=Milestones!$AB$164),UPPER(TEXT(EDATE($D30,Milestones!$AA$164),"dd mmm yy"))&amp;" "&amp;Milestones!$AB$164&amp;" "&amp;Milestones!$AC$164&amp;";  ","")&amp;IF(AND(EDATE($D30,Milestones!$AA$165)&lt;=AsOfDate,IF($R30=0,$X30,IF(AND($T30&lt;&gt;"",EDATE($D30,Milestones!$AA$165)&gt;=$T30),$W30,IF(AND($S30&lt;&gt;"",EDATE($D30,Milestones!$AA$165)&gt;=$S30),$V30,$U30)))=Milestones!$AB$165),UPPER(TEXT(EDATE($D30,Milestones!$AA$165),"dd mmm yy"))&amp;" "&amp;Milestones!$AB$165&amp;" "&amp;Milestones!$AC$165&amp;";  ","")&amp;IF(AND(EDATE($D30,Milestones!$AA$166)&lt;=AsOfDate,IF($R30=0,$X30,IF(AND($T30&lt;&gt;"",EDATE($D30,Milestones!$AA$166)&gt;=$T30),$W30,IF(AND($S30&lt;&gt;"",EDATE($D30,Milestones!$AA$166)&gt;=$S30),$V30,$U30)))=Milestones!$AB$166),UPPER(TEXT(EDATE($D30,Milestones!$AA$166),"dd mmm yy"))&amp;" "&amp;Milestones!$AB$166&amp;" "&amp;Milestones!$AC$166&amp;";  ","")&amp;IF(AND(EDATE($D30,Milestones!$AA$167)&lt;=AsOfDate,IF($R30=0,$X30,IF(AND($T30&lt;&gt;"",EDATE($D30,Milestones!$AA$167)&gt;=$T30),$W30,IF(AND($S30&lt;&gt;"",EDATE($D30,Milestones!$AA$167)&gt;=$S30),$V30,$U30)))=Milestones!$AB$167),UPPER(TEXT(EDATE($D30,Milestones!$AA$167),"dd mmm yy"))&amp;" "&amp;Milestones!$AB$167&amp;" "&amp;Milestones!$AC$167&amp;";  ","")&amp;IF(AND(EDATE($D30,Milestones!$AA$168)&lt;=AsOfDate,IF($R30=0,$X30,IF(AND($T30&lt;&gt;"",EDATE($D30,Milestones!$AA$168)&gt;=$T30),$W30,IF(AND($S30&lt;&gt;"",EDATE($D30,Milestones!$AA$168)&gt;=$S30),$V30,$U30)))=Milestones!$AB$168),UPPER(TEXT(EDATE($D30,Milestones!$AA$168),"dd mmm yy"))&amp;" "&amp;Milestones!$AB$168&amp;" "&amp;Milestones!$AC$168&amp;";  ","")&amp;IF(AND(EDATE($D30,Milestones!$AA$169)&lt;=AsOfDate,IF($R30=0,$X30,IF(AND($T30&lt;&gt;"",EDATE($D30,Milestones!$AA$169)&gt;=$T30),$W30,IF(AND($S30&lt;&gt;"",EDATE($D30,Milestones!$AA$169)&gt;=$S30),$V30,$U30)))=Milestones!$AB$169),UPPER(TEXT(EDATE($D30,Milestones!$AA$169),"dd mmm yy"))&amp;" "&amp;Milestones!$AB$169&amp;" "&amp;Milestones!$AC$169&amp;";  ","")&amp;IF(AND(EDATE($D30,Milestones!$AA$170)&lt;=AsOfDate,IF($R30=0,$X30,IF(AND($T30&lt;&gt;"",EDATE($D30,Milestones!$AA$170)&gt;=$T30),$W30,IF(AND($S30&lt;&gt;"",EDATE($D30,Milestones!$AA$170)&gt;=$S30),$V30,$U30)))=Milestones!$AB$170),UPPER(TEXT(EDATE($D30,Milestones!$AA$170),"dd mmm yy"))&amp;" "&amp;Milestones!$AB$170&amp;" "&amp;Milestones!$AC$170&amp;";  ","")&amp;IF(AND(EDATE($D30,Milestones!$AA$171)&lt;=AsOfDate,IF($R30=0,$X30,IF(AND($T30&lt;&gt;"",EDATE($D30,Milestones!$AA$171)&gt;=$T30),$W30,IF(AND($S30&lt;&gt;"",EDATE($D30,Milestones!$AA$171)&gt;=$S30),$V30,$U30)))=Milestones!$AB$171),UPPER(TEXT(EDATE($D30,Milestones!$AA$171),"dd mmm yy"))&amp;" "&amp;Milestones!$AB$171&amp;" "&amp;Milestones!$AC$171&amp;";  ","")&amp;IF(AND(EDATE($D30,Milestones!$AA$172)&lt;=AsOfDate,IF($R30=0,$X30,IF(AND($T30&lt;&gt;"",EDATE($D30,Milestones!$AA$172)&gt;=$T30),$W30,IF(AND($S30&lt;&gt;"",EDATE($D30,Milestones!$AA$172)&gt;=$S30),$V30,$U30)))=Milestones!$AB$172),UPPER(TEXT(EDATE($D30,Milestones!$AA$172),"dd mmm yy"))&amp;" "&amp;Milestones!$AB$172&amp;" "&amp;Milestones!$AC$172&amp;";  ","")&amp;IF(AND(EDATE($D30,Milestones!$AA$173)&lt;=AsOfDate,IF($R30=0,$X30,IF(AND($T30&lt;&gt;"",EDATE($D30,Milestones!$AA$173)&gt;=$T30),$W30,IF(AND($S30&lt;&gt;"",EDATE($D30,Milestones!$AA$173)&gt;=$S30),$V30,$U30)))=Milestones!$AB$173),UPPER(TEXT(EDATE($D30,Milestones!$AA$173),"dd mmm yy"))&amp;" "&amp;Milestones!$AB$173&amp;" "&amp;Milestones!$AC$173&amp;";  ","")&amp;IF(AND(EDATE($D30,Milestones!$AA$174)&lt;=AsOfDate,IF($R30=0,$X30,IF(AND($T30&lt;&gt;"",EDATE($D30,Milestones!$AA$174)&gt;=$T30),$W30,IF(AND($S30&lt;&gt;"",EDATE($D30,Milestones!$AA$174)&gt;=$S30),$V30,$U30)))=Milestones!$AB$174),UPPER(TEXT(EDATE($D30,Milestones!$AA$174),"dd mmm yy"))&amp;" "&amp;Milestones!$AB$174&amp;" "&amp;Milestones!$AC$174&amp;";  ","")&amp;IF(AND(EDATE($D30,Milestones!$AA$175)&lt;=AsOfDate,IF($R30=0,$X30,IF(AND($T30&lt;&gt;"",EDATE($D30,Milestones!$AA$175)&gt;=$T30),$W30,IF(AND($S30&lt;&gt;"",EDATE($D30,Milestones!$AA$175)&gt;=$S30),$V30,$U30)))=Milestones!$AB$175),UPPER(TEXT(EDATE($D30,Milestones!$AA$175),"dd mmm yy"))&amp;" "&amp;Milestones!$AB$175&amp;" "&amp;Milestones!$AC$175&amp;";  ","")&amp;IF(AND(EDATE($D30,Milestones!$AA$176)&lt;=AsOfDate,IF($R30=0,$X30,IF(AND($T30&lt;&gt;"",EDATE($D30,Milestones!$AA$176)&gt;=$T30),$W30,IF(AND($S30&lt;&gt;"",EDATE($D30,Milestones!$AA$176)&gt;=$S30),$V30,$U30)))=Milestones!$AB$176),UPPER(TEXT(EDATE($D30,Milestones!$AA$176),"dd mmm yy"))&amp;" "&amp;Milestones!$AB$176&amp;" "&amp;Milestones!$AC$176&amp;";  ","")&amp;IF(AND(EDATE($D30,Milestones!$AA$177)&lt;=AsOfDate,IF($R30=0,$X30,IF(AND($T30&lt;&gt;"",EDATE($D30,Milestones!$AA$177)&gt;=$T30),$W30,IF(AND($S30&lt;&gt;"",EDATE($D30,Milestones!$AA$177)&gt;=$S30),$V30,$U30)))=Milestones!$AB$177),UPPER(TEXT(EDATE($D30,Milestones!$AA$177),"dd mmm yy"))&amp;" "&amp;Milestones!$AB$177&amp;" "&amp;Milestones!$AC$177&amp;";  ","")&amp;IF(AND(EDATE($D30,Milestones!$AA$178)&lt;=AsOfDate,IF($R30=0,$X30,IF(AND($T30&lt;&gt;"",EDATE($D30,Milestones!$AA$178)&gt;=$T30),$W30,IF(AND($S30&lt;&gt;"",EDATE($D30,Milestones!$AA$178)&gt;=$S30),$V30,$U30)))=Milestones!$AB$178),UPPER(TEXT(EDATE($D30,Milestones!$AA$178),"dd mmm yy"))&amp;" "&amp;Milestones!$AB$178&amp;" "&amp;Milestones!$AC$178&amp;";  ","")&amp;IF(AND(EDATE($D30,Milestones!$AA$179)&lt;=AsOfDate,IF($R30=0,$X30,IF(AND($T30&lt;&gt;"",EDATE($D30,Milestones!$AA$179)&gt;=$T30),$W30,IF(AND($S30&lt;&gt;"",EDATE($D30,Milestones!$AA$179)&gt;=$S30),$V30,$U30)))=Milestones!$AB$179),UPPER(TEXT(EDATE($D30,Milestones!$AA$179),"dd mmm yy"))&amp;" "&amp;Milestones!$AB$179&amp;" "&amp;Milestones!$AC$179&amp;";  ",""))</f>
        <v/>
      </c>
      <c r="Q30" s="0" t="str">
        <f aca="false">IF(OR($A30="",$D30=""),"",IF(AND(EDATE($D30,Milestones!$AA$180)&lt;=AsOfDate,IF($R30=0,$X30,IF(AND($T30&lt;&gt;"",EDATE($D30,Milestones!$AA$180)&gt;=$T30),$W30,IF(AND($S30&lt;&gt;"",EDATE($D30,Milestones!$AA$180)&gt;=$S30),$V30,$U30)))=Milestones!$AB$180),UPPER(TEXT(EDATE($D30,Milestones!$AA$180),"dd mmm yy"))&amp;" "&amp;Milestones!$AB$180&amp;" "&amp;Milestones!$AC$180&amp;";  ","")&amp;IF(AND(EDATE($D30,Milestones!$AA$181)&lt;=AsOfDate,IF($R30=0,$X30,IF(AND($T30&lt;&gt;"",EDATE($D30,Milestones!$AA$181)&gt;=$T30),$W30,IF(AND($S30&lt;&gt;"",EDATE($D30,Milestones!$AA$181)&gt;=$S30),$V30,$U30)))=Milestones!$AB$181),UPPER(TEXT(EDATE($D30,Milestones!$AA$181),"dd mmm yy"))&amp;" "&amp;Milestones!$AB$181&amp;" "&amp;Milestones!$AC$181&amp;";  ","")&amp;IF(AND(EDATE($D30,Milestones!$AA$182)&lt;=AsOfDate,IF($R30=0,$X30,IF(AND($T30&lt;&gt;"",EDATE($D30,Milestones!$AA$182)&gt;=$T30),$W30,IF(AND($S30&lt;&gt;"",EDATE($D30,Milestones!$AA$182)&gt;=$S30),$V30,$U30)))=Milestones!$AB$182),UPPER(TEXT(EDATE($D30,Milestones!$AA$182),"dd mmm yy"))&amp;" "&amp;Milestones!$AB$182&amp;" "&amp;Milestones!$AC$182&amp;";  ","")&amp;IF(AND(EDATE($D30,Milestones!$AA$183)&lt;=AsOfDate,IF($R30=0,$X30,IF(AND($T30&lt;&gt;"",EDATE($D30,Milestones!$AA$183)&gt;=$T30),$W30,IF(AND($S30&lt;&gt;"",EDATE($D30,Milestones!$AA$183)&gt;=$S30),$V30,$U30)))=Milestones!$AB$183),UPPER(TEXT(EDATE($D30,Milestones!$AA$183),"dd mmm yy"))&amp;" "&amp;Milestones!$AB$183&amp;" "&amp;Milestones!$AC$183&amp;";  ","")&amp;IF(AND(EDATE($D30,Milestones!$AA$184)&lt;=AsOfDate,IF($R30=0,$X30,IF(AND($T30&lt;&gt;"",EDATE($D30,Milestones!$AA$184)&gt;=$T30),$W30,IF(AND($S30&lt;&gt;"",EDATE($D30,Milestones!$AA$184)&gt;=$S30),$V30,$U30)))=Milestones!$AB$184),UPPER(TEXT(EDATE($D30,Milestones!$AA$184),"dd mmm yy"))&amp;" "&amp;Milestones!$AB$184&amp;" "&amp;Milestones!$AC$184&amp;";  ","")&amp;IF(AND(EDATE($D30,Milestones!$AA$185)&lt;=AsOfDate,IF($R30=0,$X30,IF(AND($T30&lt;&gt;"",EDATE($D30,Milestones!$AA$185)&gt;=$T30),$W30,IF(AND($S30&lt;&gt;"",EDATE($D30,Milestones!$AA$185)&gt;=$S30),$V30,$U30)))=Milestones!$AB$185),UPPER(TEXT(EDATE($D30,Milestones!$AA$185),"dd mmm yy"))&amp;" "&amp;Milestones!$AB$185&amp;" "&amp;Milestones!$AC$185&amp;";  ","")&amp;IF(AND(EDATE($D30,Milestones!$AA$186)&lt;=AsOfDate,IF($R30=0,$X30,IF(AND($T30&lt;&gt;"",EDATE($D30,Milestones!$AA$186)&gt;=$T30),$W30,IF(AND($S30&lt;&gt;"",EDATE($D30,Milestones!$AA$186)&gt;=$S30),$V30,$U30)))=Milestones!$AB$186),UPPER(TEXT(EDATE($D30,Milestones!$AA$186),"dd mmm yy"))&amp;" "&amp;Milestones!$AB$186&amp;" "&amp;Milestones!$AC$186&amp;";  ","")&amp;IF(AND(EDATE($D30,Milestones!$AA$187)&lt;=AsOfDate,IF($R30=0,$X30,IF(AND($T30&lt;&gt;"",EDATE($D30,Milestones!$AA$187)&gt;=$T30),$W30,IF(AND($S30&lt;&gt;"",EDATE($D30,Milestones!$AA$187)&gt;=$S30),$V30,$U30)))=Milestones!$AB$187),UPPER(TEXT(EDATE($D30,Milestones!$AA$187),"dd mmm yy"))&amp;" "&amp;Milestones!$AB$187&amp;" "&amp;Milestones!$AC$187&amp;";  ","")&amp;IF(AND(EDATE($D30,Milestones!$AA$188)&lt;=AsOfDate,IF($R30=0,$X30,IF(AND($T30&lt;&gt;"",EDATE($D30,Milestones!$AA$188)&gt;=$T30),$W30,IF(AND($S30&lt;&gt;"",EDATE($D30,Milestones!$AA$188)&gt;=$S30),$V30,$U30)))=Milestones!$AB$188),UPPER(TEXT(EDATE($D30,Milestones!$AA$188),"dd mmm yy"))&amp;" "&amp;Milestones!$AB$188&amp;" "&amp;Milestones!$AC$188&amp;";  ","")&amp;IF(AND(EDATE($D30,Milestones!$AA$189)&lt;=AsOfDate,IF($R30=0,$X30,IF(AND($T30&lt;&gt;"",EDATE($D30,Milestones!$AA$189)&gt;=$T30),$W30,IF(AND($S30&lt;&gt;"",EDATE($D30,Milestones!$AA$189)&gt;=$S30),$V30,$U30)))=Milestones!$AB$189),UPPER(TEXT(EDATE($D30,Milestones!$AA$189),"dd mmm yy"))&amp;" "&amp;Milestones!$AB$189&amp;" "&amp;Milestones!$AC$189&amp;";  ","")&amp;IF(AND(EDATE($D30,Milestones!$AA$190)&lt;=AsOfDate,IF($R30=0,$X30,IF(AND($T30&lt;&gt;"",EDATE($D30,Milestones!$AA$190)&gt;=$T30),$W30,IF(AND($S30&lt;&gt;"",EDATE($D30,Milestones!$AA$190)&gt;=$S30),$V30,$U30)))=Milestones!$AB$190),UPPER(TEXT(EDATE($D30,Milestones!$AA$190),"dd mmm yy"))&amp;" "&amp;Milestones!$AB$190&amp;" "&amp;Milestones!$AC$190&amp;";  ","")&amp;IF(AND(EDATE($D30,Milestones!$AA$191)&lt;=AsOfDate,IF($R30=0,$X30,IF(AND($T30&lt;&gt;"",EDATE($D30,Milestones!$AA$191)&gt;=$T30),$W30,IF(AND($S30&lt;&gt;"",EDATE($D30,Milestones!$AA$191)&gt;=$S30),$V30,$U30)))=Milestones!$AB$191),UPPER(TEXT(EDATE($D30,Milestones!$AA$191),"dd mmm yy"))&amp;" "&amp;Milestones!$AB$191&amp;" "&amp;Milestones!$AC$191&amp;";  ","")&amp;IF(AND(EDATE($D30,Milestones!$AA$192)&lt;=AsOfDate,IF($R30=0,$X30,IF(AND($T30&lt;&gt;"",EDATE($D30,Milestones!$AA$192)&gt;=$T30),$W30,IF(AND($S30&lt;&gt;"",EDATE($D30,Milestones!$AA$192)&gt;=$S30),$V30,$U30)))=Milestones!$AB$192),UPPER(TEXT(EDATE($D30,Milestones!$AA$192),"dd mmm yy"))&amp;" "&amp;Milestones!$AB$192&amp;" "&amp;Milestones!$AC$192&amp;";  ","")&amp;IF(AND(EDATE($D30,Milestones!$AA$193)&lt;=AsOfDate,IF($R30=0,$X30,IF(AND($T30&lt;&gt;"",EDATE($D30,Milestones!$AA$193)&gt;=$T30),$W30,IF(AND($S30&lt;&gt;"",EDATE($D30,Milestones!$AA$193)&gt;=$S30),$V30,$U30)))=Milestones!$AB$193),UPPER(TEXT(EDATE($D30,Milestones!$AA$193),"dd mmm yy"))&amp;" "&amp;Milestones!$AB$193&amp;" "&amp;Milestones!$AC$193&amp;";  ","")&amp;IF(AND(EDATE($D30,Milestones!$AA$194)&lt;=AsOfDate,IF($R30=0,$X30,IF(AND($T30&lt;&gt;"",EDATE($D30,Milestones!$AA$194)&gt;=$T30),$W30,IF(AND($S30&lt;&gt;"",EDATE($D30,Milestones!$AA$194)&gt;=$S30),$V30,$U30)))=Milestones!$AB$194),UPPER(TEXT(EDATE($D30,Milestones!$AA$194),"dd mmm yy"))&amp;" "&amp;Milestones!$AB$194&amp;" "&amp;Milestones!$AC$194&amp;";  ","")&amp;IF(AND(EDATE($D30,Milestones!$AA$195)&lt;=AsOfDate,IF($R30=0,$X30,IF(AND($T30&lt;&gt;"",EDATE($D30,Milestones!$AA$195)&gt;=$T30),$W30,IF(AND($S30&lt;&gt;"",EDATE($D30,Milestones!$AA$195)&gt;=$S30),$V30,$U30)))=Milestones!$AB$195),UPPER(TEXT(EDATE($D30,Milestones!$AA$195),"dd mmm yy"))&amp;" "&amp;Milestones!$AB$195&amp;" "&amp;Milestones!$AC$195&amp;";  ","")&amp;IF(AND(EDATE($D30,Milestones!$AA$196)&lt;=AsOfDate,IF($R30=0,$X30,IF(AND($T30&lt;&gt;"",EDATE($D30,Milestones!$AA$196)&gt;=$T30),$W30,IF(AND($S30&lt;&gt;"",EDATE($D30,Milestones!$AA$196)&gt;=$S30),$V30,$U30)))=Milestones!$AB$196),UPPER(TEXT(EDATE($D30,Milestones!$AA$196),"dd mmm yy"))&amp;" "&amp;Milestones!$AB$196&amp;" "&amp;Milestones!$AC$196&amp;";  ","")&amp;IF(AND(EDATE($D30,Milestones!$AA$197)&lt;=AsOfDate,IF($R30=0,$X30,IF(AND($T30&lt;&gt;"",EDATE($D30,Milestones!$AA$197)&gt;=$T30),$W30,IF(AND($S30&lt;&gt;"",EDATE($D30,Milestones!$AA$197)&gt;=$S30),$V30,$U30)))=Milestones!$AB$197),UPPER(TEXT(EDATE($D30,Milestones!$AA$197),"dd mmm yy"))&amp;" "&amp;Milestones!$AB$197&amp;" "&amp;Milestones!$AC$197&amp;";  ","")&amp;IF(AND(EDATE($D30,Milestones!$AA$198)&lt;=AsOfDate,IF($R30=0,$X30,IF(AND($T30&lt;&gt;"",EDATE($D30,Milestones!$AA$198)&gt;=$T30),$W30,IF(AND($S30&lt;&gt;"",EDATE($D30,Milestones!$AA$198)&gt;=$S30),$V30,$U30)))=Milestones!$AB$198),UPPER(TEXT(EDATE($D30,Milestones!$AA$198),"dd mmm yy"))&amp;" "&amp;Milestones!$AB$198&amp;" "&amp;Milestones!$AC$198&amp;";  ","")&amp;IF(AND(EDATE($D30,Milestones!$AA$199)&lt;=AsOfDate,IF($R30=0,$X30,IF(AND($T30&lt;&gt;"",EDATE($D30,Milestones!$AA$199)&gt;=$T30),$W30,IF(AND($S30&lt;&gt;"",EDATE($D30,Milestones!$AA$199)&gt;=$S30),$V30,$U30)))=Milestones!$AB$199),UPPER(TEXT(EDATE($D30,Milestones!$AA$199),"dd mmm yy"))&amp;" "&amp;Milestones!$AB$199&amp;" "&amp;Milestones!$AC$199&amp;";  ",""))</f>
        <v/>
      </c>
      <c r="R30" s="33" t="n">
        <f aca="false">IF(Staff!$A30="","",Staff!$AI30)</f>
        <v>0</v>
      </c>
      <c r="S30" s="0" t="str">
        <f aca="false">IF(Staff!$A30="","",Staff!$AK30)</f>
        <v/>
      </c>
      <c r="T30" s="0" t="str">
        <f aca="false">IF(Staff!$A30="","",Staff!$AL30)</f>
        <v/>
      </c>
      <c r="U30" s="0" t="str">
        <f aca="false">IF(Staff!$A30="","",Staff!$AP30)</f>
        <v>None</v>
      </c>
      <c r="V30" s="0" t="str">
        <f aca="false">IF(Staff!$A30="","",Staff!$AQ30)</f>
        <v/>
      </c>
      <c r="W30" s="0" t="str">
        <f aca="false">IF(Staff!$A30="","",Staff!$AR30)</f>
        <v/>
      </c>
      <c r="X30" s="0" t="str">
        <f aca="false">IF(Staff!$A30="","",Staff!$AS30)</f>
        <v>None</v>
      </c>
    </row>
    <row r="31" customFormat="false" ht="15" hidden="false" customHeight="false" outlineLevel="0" collapsed="false">
      <c r="A31" s="19" t="str">
        <f aca="false">IF(Staff!$A31="","",Staff!$A31)</f>
        <v>Gary</v>
      </c>
      <c r="B31" s="19" t="str">
        <f aca="false">IF(Staff!$A31="","",Staff!$B31)</f>
        <v>CARTER</v>
      </c>
      <c r="C31" s="19" t="str">
        <f aca="false">IF(Staff!$A31="","",Staff!$C31)</f>
        <v>Casual</v>
      </c>
      <c r="D31" s="17" t="n">
        <f aca="false">IF(Staff!$A31="","",Staff!$AH31)</f>
        <v>46140</v>
      </c>
      <c r="E31" s="20" t="n">
        <f aca="false">IF(Staff!$A31="","",Staff!$O31)</f>
        <v>0</v>
      </c>
      <c r="F31" s="19" t="n">
        <f aca="false">IF(E31="","",E31*HoursPerDay)</f>
        <v>0</v>
      </c>
      <c r="G31" s="20" t="n">
        <f aca="false">IF(Staff!$A31="","",Staff!$AE31)</f>
        <v>0</v>
      </c>
      <c r="H31" s="32" t="str">
        <f aca="false">IF($A31="","",I31&amp;J31&amp;K31&amp;L31&amp;M31&amp;N31&amp;O31&amp;P31&amp;Q31)</f>
        <v/>
      </c>
      <c r="I31" s="0" t="str">
        <f aca="false">IF(OR($A31="",$D31=""),"",IF(AND(EDATE($D31,Milestones!$AA$20)&lt;=AsOfDate,IF($R31=0,$X31,IF(AND($T31&lt;&gt;"",EDATE($D31,Milestones!$AA$20)&gt;=$T31),$W31,IF(AND($S31&lt;&gt;"",EDATE($D31,Milestones!$AA$20)&gt;=$S31),$V31,$U31)))=Milestones!$AB$20),UPPER(TEXT(EDATE($D31,Milestones!$AA$20),"dd mmm yy"))&amp;" "&amp;Milestones!$AB$20&amp;" "&amp;Milestones!$AC$20&amp;";  ","")&amp;IF(AND(EDATE($D31,Milestones!$AA$21)&lt;=AsOfDate,IF($R31=0,$X31,IF(AND($T31&lt;&gt;"",EDATE($D31,Milestones!$AA$21)&gt;=$T31),$W31,IF(AND($S31&lt;&gt;"",EDATE($D31,Milestones!$AA$21)&gt;=$S31),$V31,$U31)))=Milestones!$AB$21),UPPER(TEXT(EDATE($D31,Milestones!$AA$21),"dd mmm yy"))&amp;" "&amp;Milestones!$AB$21&amp;" "&amp;Milestones!$AC$21&amp;";  ","")&amp;IF(AND(EDATE($D31,Milestones!$AA$22)&lt;=AsOfDate,IF($R31=0,$X31,IF(AND($T31&lt;&gt;"",EDATE($D31,Milestones!$AA$22)&gt;=$T31),$W31,IF(AND($S31&lt;&gt;"",EDATE($D31,Milestones!$AA$22)&gt;=$S31),$V31,$U31)))=Milestones!$AB$22),UPPER(TEXT(EDATE($D31,Milestones!$AA$22),"dd mmm yy"))&amp;" "&amp;Milestones!$AB$22&amp;" "&amp;Milestones!$AC$22&amp;";  ","")&amp;IF(AND(EDATE($D31,Milestones!$AA$23)&lt;=AsOfDate,IF($R31=0,$X31,IF(AND($T31&lt;&gt;"",EDATE($D31,Milestones!$AA$23)&gt;=$T31),$W31,IF(AND($S31&lt;&gt;"",EDATE($D31,Milestones!$AA$23)&gt;=$S31),$V31,$U31)))=Milestones!$AB$23),UPPER(TEXT(EDATE($D31,Milestones!$AA$23),"dd mmm yy"))&amp;" "&amp;Milestones!$AB$23&amp;" "&amp;Milestones!$AC$23&amp;";  ","")&amp;IF(AND(EDATE($D31,Milestones!$AA$24)&lt;=AsOfDate,IF($R31=0,$X31,IF(AND($T31&lt;&gt;"",EDATE($D31,Milestones!$AA$24)&gt;=$T31),$W31,IF(AND($S31&lt;&gt;"",EDATE($D31,Milestones!$AA$24)&gt;=$S31),$V31,$U31)))=Milestones!$AB$24),UPPER(TEXT(EDATE($D31,Milestones!$AA$24),"dd mmm yy"))&amp;" "&amp;Milestones!$AB$24&amp;" "&amp;Milestones!$AC$24&amp;";  ","")&amp;IF(AND(EDATE($D31,Milestones!$AA$25)&lt;=AsOfDate,IF($R31=0,$X31,IF(AND($T31&lt;&gt;"",EDATE($D31,Milestones!$AA$25)&gt;=$T31),$W31,IF(AND($S31&lt;&gt;"",EDATE($D31,Milestones!$AA$25)&gt;=$S31),$V31,$U31)))=Milestones!$AB$25),UPPER(TEXT(EDATE($D31,Milestones!$AA$25),"dd mmm yy"))&amp;" "&amp;Milestones!$AB$25&amp;" "&amp;Milestones!$AC$25&amp;";  ","")&amp;IF(AND(EDATE($D31,Milestones!$AA$26)&lt;=AsOfDate,IF($R31=0,$X31,IF(AND($T31&lt;&gt;"",EDATE($D31,Milestones!$AA$26)&gt;=$T31),$W31,IF(AND($S31&lt;&gt;"",EDATE($D31,Milestones!$AA$26)&gt;=$S31),$V31,$U31)))=Milestones!$AB$26),UPPER(TEXT(EDATE($D31,Milestones!$AA$26),"dd mmm yy"))&amp;" "&amp;Milestones!$AB$26&amp;" "&amp;Milestones!$AC$26&amp;";  ","")&amp;IF(AND(EDATE($D31,Milestones!$AA$27)&lt;=AsOfDate,IF($R31=0,$X31,IF(AND($T31&lt;&gt;"",EDATE($D31,Milestones!$AA$27)&gt;=$T31),$W31,IF(AND($S31&lt;&gt;"",EDATE($D31,Milestones!$AA$27)&gt;=$S31),$V31,$U31)))=Milestones!$AB$27),UPPER(TEXT(EDATE($D31,Milestones!$AA$27),"dd mmm yy"))&amp;" "&amp;Milestones!$AB$27&amp;" "&amp;Milestones!$AC$27&amp;";  ","")&amp;IF(AND(EDATE($D31,Milestones!$AA$28)&lt;=AsOfDate,IF($R31=0,$X31,IF(AND($T31&lt;&gt;"",EDATE($D31,Milestones!$AA$28)&gt;=$T31),$W31,IF(AND($S31&lt;&gt;"",EDATE($D31,Milestones!$AA$28)&gt;=$S31),$V31,$U31)))=Milestones!$AB$28),UPPER(TEXT(EDATE($D31,Milestones!$AA$28),"dd mmm yy"))&amp;" "&amp;Milestones!$AB$28&amp;" "&amp;Milestones!$AC$28&amp;";  ","")&amp;IF(AND(EDATE($D31,Milestones!$AA$29)&lt;=AsOfDate,IF($R31=0,$X31,IF(AND($T31&lt;&gt;"",EDATE($D31,Milestones!$AA$29)&gt;=$T31),$W31,IF(AND($S31&lt;&gt;"",EDATE($D31,Milestones!$AA$29)&gt;=$S31),$V31,$U31)))=Milestones!$AB$29),UPPER(TEXT(EDATE($D31,Milestones!$AA$29),"dd mmm yy"))&amp;" "&amp;Milestones!$AB$29&amp;" "&amp;Milestones!$AC$29&amp;";  ","")&amp;IF(AND(EDATE($D31,Milestones!$AA$30)&lt;=AsOfDate,IF($R31=0,$X31,IF(AND($T31&lt;&gt;"",EDATE($D31,Milestones!$AA$30)&gt;=$T31),$W31,IF(AND($S31&lt;&gt;"",EDATE($D31,Milestones!$AA$30)&gt;=$S31),$V31,$U31)))=Milestones!$AB$30),UPPER(TEXT(EDATE($D31,Milestones!$AA$30),"dd mmm yy"))&amp;" "&amp;Milestones!$AB$30&amp;" "&amp;Milestones!$AC$30&amp;";  ","")&amp;IF(AND(EDATE($D31,Milestones!$AA$31)&lt;=AsOfDate,IF($R31=0,$X31,IF(AND($T31&lt;&gt;"",EDATE($D31,Milestones!$AA$31)&gt;=$T31),$W31,IF(AND($S31&lt;&gt;"",EDATE($D31,Milestones!$AA$31)&gt;=$S31),$V31,$U31)))=Milestones!$AB$31),UPPER(TEXT(EDATE($D31,Milestones!$AA$31),"dd mmm yy"))&amp;" "&amp;Milestones!$AB$31&amp;" "&amp;Milestones!$AC$31&amp;";  ","")&amp;IF(AND(EDATE($D31,Milestones!$AA$32)&lt;=AsOfDate,IF($R31=0,$X31,IF(AND($T31&lt;&gt;"",EDATE($D31,Milestones!$AA$32)&gt;=$T31),$W31,IF(AND($S31&lt;&gt;"",EDATE($D31,Milestones!$AA$32)&gt;=$S31),$V31,$U31)))=Milestones!$AB$32),UPPER(TEXT(EDATE($D31,Milestones!$AA$32),"dd mmm yy"))&amp;" "&amp;Milestones!$AB$32&amp;" "&amp;Milestones!$AC$32&amp;";  ","")&amp;IF(AND(EDATE($D31,Milestones!$AA$33)&lt;=AsOfDate,IF($R31=0,$X31,IF(AND($T31&lt;&gt;"",EDATE($D31,Milestones!$AA$33)&gt;=$T31),$W31,IF(AND($S31&lt;&gt;"",EDATE($D31,Milestones!$AA$33)&gt;=$S31),$V31,$U31)))=Milestones!$AB$33),UPPER(TEXT(EDATE($D31,Milestones!$AA$33),"dd mmm yy"))&amp;" "&amp;Milestones!$AB$33&amp;" "&amp;Milestones!$AC$33&amp;";  ","")&amp;IF(AND(EDATE($D31,Milestones!$AA$34)&lt;=AsOfDate,IF($R31=0,$X31,IF(AND($T31&lt;&gt;"",EDATE($D31,Milestones!$AA$34)&gt;=$T31),$W31,IF(AND($S31&lt;&gt;"",EDATE($D31,Milestones!$AA$34)&gt;=$S31),$V31,$U31)))=Milestones!$AB$34),UPPER(TEXT(EDATE($D31,Milestones!$AA$34),"dd mmm yy"))&amp;" "&amp;Milestones!$AB$34&amp;" "&amp;Milestones!$AC$34&amp;";  ","")&amp;IF(AND(EDATE($D31,Milestones!$AA$35)&lt;=AsOfDate,IF($R31=0,$X31,IF(AND($T31&lt;&gt;"",EDATE($D31,Milestones!$AA$35)&gt;=$T31),$W31,IF(AND($S31&lt;&gt;"",EDATE($D31,Milestones!$AA$35)&gt;=$S31),$V31,$U31)))=Milestones!$AB$35),UPPER(TEXT(EDATE($D31,Milestones!$AA$35),"dd mmm yy"))&amp;" "&amp;Milestones!$AB$35&amp;" "&amp;Milestones!$AC$35&amp;";  ","")&amp;IF(AND(EDATE($D31,Milestones!$AA$36)&lt;=AsOfDate,IF($R31=0,$X31,IF(AND($T31&lt;&gt;"",EDATE($D31,Milestones!$AA$36)&gt;=$T31),$W31,IF(AND($S31&lt;&gt;"",EDATE($D31,Milestones!$AA$36)&gt;=$S31),$V31,$U31)))=Milestones!$AB$36),UPPER(TEXT(EDATE($D31,Milestones!$AA$36),"dd mmm yy"))&amp;" "&amp;Milestones!$AB$36&amp;" "&amp;Milestones!$AC$36&amp;";  ","")&amp;IF(AND(EDATE($D31,Milestones!$AA$37)&lt;=AsOfDate,IF($R31=0,$X31,IF(AND($T31&lt;&gt;"",EDATE($D31,Milestones!$AA$37)&gt;=$T31),$W31,IF(AND($S31&lt;&gt;"",EDATE($D31,Milestones!$AA$37)&gt;=$S31),$V31,$U31)))=Milestones!$AB$37),UPPER(TEXT(EDATE($D31,Milestones!$AA$37),"dd mmm yy"))&amp;" "&amp;Milestones!$AB$37&amp;" "&amp;Milestones!$AC$37&amp;";  ","")&amp;IF(AND(EDATE($D31,Milestones!$AA$38)&lt;=AsOfDate,IF($R31=0,$X31,IF(AND($T31&lt;&gt;"",EDATE($D31,Milestones!$AA$38)&gt;=$T31),$W31,IF(AND($S31&lt;&gt;"",EDATE($D31,Milestones!$AA$38)&gt;=$S31),$V31,$U31)))=Milestones!$AB$38),UPPER(TEXT(EDATE($D31,Milestones!$AA$38),"dd mmm yy"))&amp;" "&amp;Milestones!$AB$38&amp;" "&amp;Milestones!$AC$38&amp;";  ","")&amp;IF(AND(EDATE($D31,Milestones!$AA$39)&lt;=AsOfDate,IF($R31=0,$X31,IF(AND($T31&lt;&gt;"",EDATE($D31,Milestones!$AA$39)&gt;=$T31),$W31,IF(AND($S31&lt;&gt;"",EDATE($D31,Milestones!$AA$39)&gt;=$S31),$V31,$U31)))=Milestones!$AB$39),UPPER(TEXT(EDATE($D31,Milestones!$AA$39),"dd mmm yy"))&amp;" "&amp;Milestones!$AB$39&amp;" "&amp;Milestones!$AC$39&amp;";  ",""))</f>
        <v/>
      </c>
      <c r="J31" s="0" t="str">
        <f aca="false">IF(OR($A31="",$D31=""),"",IF(AND(EDATE($D31,Milestones!$AA$40)&lt;=AsOfDate,IF($R31=0,$X31,IF(AND($T31&lt;&gt;"",EDATE($D31,Milestones!$AA$40)&gt;=$T31),$W31,IF(AND($S31&lt;&gt;"",EDATE($D31,Milestones!$AA$40)&gt;=$S31),$V31,$U31)))=Milestones!$AB$40),UPPER(TEXT(EDATE($D31,Milestones!$AA$40),"dd mmm yy"))&amp;" "&amp;Milestones!$AB$40&amp;" "&amp;Milestones!$AC$40&amp;";  ","")&amp;IF(AND(EDATE($D31,Milestones!$AA$41)&lt;=AsOfDate,IF($R31=0,$X31,IF(AND($T31&lt;&gt;"",EDATE($D31,Milestones!$AA$41)&gt;=$T31),$W31,IF(AND($S31&lt;&gt;"",EDATE($D31,Milestones!$AA$41)&gt;=$S31),$V31,$U31)))=Milestones!$AB$41),UPPER(TEXT(EDATE($D31,Milestones!$AA$41),"dd mmm yy"))&amp;" "&amp;Milestones!$AB$41&amp;" "&amp;Milestones!$AC$41&amp;";  ","")&amp;IF(AND(EDATE($D31,Milestones!$AA$42)&lt;=AsOfDate,IF($R31=0,$X31,IF(AND($T31&lt;&gt;"",EDATE($D31,Milestones!$AA$42)&gt;=$T31),$W31,IF(AND($S31&lt;&gt;"",EDATE($D31,Milestones!$AA$42)&gt;=$S31),$V31,$U31)))=Milestones!$AB$42),UPPER(TEXT(EDATE($D31,Milestones!$AA$42),"dd mmm yy"))&amp;" "&amp;Milestones!$AB$42&amp;" "&amp;Milestones!$AC$42&amp;";  ","")&amp;IF(AND(EDATE($D31,Milestones!$AA$43)&lt;=AsOfDate,IF($R31=0,$X31,IF(AND($T31&lt;&gt;"",EDATE($D31,Milestones!$AA$43)&gt;=$T31),$W31,IF(AND($S31&lt;&gt;"",EDATE($D31,Milestones!$AA$43)&gt;=$S31),$V31,$U31)))=Milestones!$AB$43),UPPER(TEXT(EDATE($D31,Milestones!$AA$43),"dd mmm yy"))&amp;" "&amp;Milestones!$AB$43&amp;" "&amp;Milestones!$AC$43&amp;";  ","")&amp;IF(AND(EDATE($D31,Milestones!$AA$44)&lt;=AsOfDate,IF($R31=0,$X31,IF(AND($T31&lt;&gt;"",EDATE($D31,Milestones!$AA$44)&gt;=$T31),$W31,IF(AND($S31&lt;&gt;"",EDATE($D31,Milestones!$AA$44)&gt;=$S31),$V31,$U31)))=Milestones!$AB$44),UPPER(TEXT(EDATE($D31,Milestones!$AA$44),"dd mmm yy"))&amp;" "&amp;Milestones!$AB$44&amp;" "&amp;Milestones!$AC$44&amp;";  ","")&amp;IF(AND(EDATE($D31,Milestones!$AA$45)&lt;=AsOfDate,IF($R31=0,$X31,IF(AND($T31&lt;&gt;"",EDATE($D31,Milestones!$AA$45)&gt;=$T31),$W31,IF(AND($S31&lt;&gt;"",EDATE($D31,Milestones!$AA$45)&gt;=$S31),$V31,$U31)))=Milestones!$AB$45),UPPER(TEXT(EDATE($D31,Milestones!$AA$45),"dd mmm yy"))&amp;" "&amp;Milestones!$AB$45&amp;" "&amp;Milestones!$AC$45&amp;";  ","")&amp;IF(AND(EDATE($D31,Milestones!$AA$46)&lt;=AsOfDate,IF($R31=0,$X31,IF(AND($T31&lt;&gt;"",EDATE($D31,Milestones!$AA$46)&gt;=$T31),$W31,IF(AND($S31&lt;&gt;"",EDATE($D31,Milestones!$AA$46)&gt;=$S31),$V31,$U31)))=Milestones!$AB$46),UPPER(TEXT(EDATE($D31,Milestones!$AA$46),"dd mmm yy"))&amp;" "&amp;Milestones!$AB$46&amp;" "&amp;Milestones!$AC$46&amp;";  ","")&amp;IF(AND(EDATE($D31,Milestones!$AA$47)&lt;=AsOfDate,IF($R31=0,$X31,IF(AND($T31&lt;&gt;"",EDATE($D31,Milestones!$AA$47)&gt;=$T31),$W31,IF(AND($S31&lt;&gt;"",EDATE($D31,Milestones!$AA$47)&gt;=$S31),$V31,$U31)))=Milestones!$AB$47),UPPER(TEXT(EDATE($D31,Milestones!$AA$47),"dd mmm yy"))&amp;" "&amp;Milestones!$AB$47&amp;" "&amp;Milestones!$AC$47&amp;";  ","")&amp;IF(AND(EDATE($D31,Milestones!$AA$48)&lt;=AsOfDate,IF($R31=0,$X31,IF(AND($T31&lt;&gt;"",EDATE($D31,Milestones!$AA$48)&gt;=$T31),$W31,IF(AND($S31&lt;&gt;"",EDATE($D31,Milestones!$AA$48)&gt;=$S31),$V31,$U31)))=Milestones!$AB$48),UPPER(TEXT(EDATE($D31,Milestones!$AA$48),"dd mmm yy"))&amp;" "&amp;Milestones!$AB$48&amp;" "&amp;Milestones!$AC$48&amp;";  ","")&amp;IF(AND(EDATE($D31,Milestones!$AA$49)&lt;=AsOfDate,IF($R31=0,$X31,IF(AND($T31&lt;&gt;"",EDATE($D31,Milestones!$AA$49)&gt;=$T31),$W31,IF(AND($S31&lt;&gt;"",EDATE($D31,Milestones!$AA$49)&gt;=$S31),$V31,$U31)))=Milestones!$AB$49),UPPER(TEXT(EDATE($D31,Milestones!$AA$49),"dd mmm yy"))&amp;" "&amp;Milestones!$AB$49&amp;" "&amp;Milestones!$AC$49&amp;";  ","")&amp;IF(AND(EDATE($D31,Milestones!$AA$50)&lt;=AsOfDate,IF($R31=0,$X31,IF(AND($T31&lt;&gt;"",EDATE($D31,Milestones!$AA$50)&gt;=$T31),$W31,IF(AND($S31&lt;&gt;"",EDATE($D31,Milestones!$AA$50)&gt;=$S31),$V31,$U31)))=Milestones!$AB$50),UPPER(TEXT(EDATE($D31,Milestones!$AA$50),"dd mmm yy"))&amp;" "&amp;Milestones!$AB$50&amp;" "&amp;Milestones!$AC$50&amp;";  ","")&amp;IF(AND(EDATE($D31,Milestones!$AA$51)&lt;=AsOfDate,IF($R31=0,$X31,IF(AND($T31&lt;&gt;"",EDATE($D31,Milestones!$AA$51)&gt;=$T31),$W31,IF(AND($S31&lt;&gt;"",EDATE($D31,Milestones!$AA$51)&gt;=$S31),$V31,$U31)))=Milestones!$AB$51),UPPER(TEXT(EDATE($D31,Milestones!$AA$51),"dd mmm yy"))&amp;" "&amp;Milestones!$AB$51&amp;" "&amp;Milestones!$AC$51&amp;";  ","")&amp;IF(AND(EDATE($D31,Milestones!$AA$52)&lt;=AsOfDate,IF($R31=0,$X31,IF(AND($T31&lt;&gt;"",EDATE($D31,Milestones!$AA$52)&gt;=$T31),$W31,IF(AND($S31&lt;&gt;"",EDATE($D31,Milestones!$AA$52)&gt;=$S31),$V31,$U31)))=Milestones!$AB$52),UPPER(TEXT(EDATE($D31,Milestones!$AA$52),"dd mmm yy"))&amp;" "&amp;Milestones!$AB$52&amp;" "&amp;Milestones!$AC$52&amp;";  ","")&amp;IF(AND(EDATE($D31,Milestones!$AA$53)&lt;=AsOfDate,IF($R31=0,$X31,IF(AND($T31&lt;&gt;"",EDATE($D31,Milestones!$AA$53)&gt;=$T31),$W31,IF(AND($S31&lt;&gt;"",EDATE($D31,Milestones!$AA$53)&gt;=$S31),$V31,$U31)))=Milestones!$AB$53),UPPER(TEXT(EDATE($D31,Milestones!$AA$53),"dd mmm yy"))&amp;" "&amp;Milestones!$AB$53&amp;" "&amp;Milestones!$AC$53&amp;";  ","")&amp;IF(AND(EDATE($D31,Milestones!$AA$54)&lt;=AsOfDate,IF($R31=0,$X31,IF(AND($T31&lt;&gt;"",EDATE($D31,Milestones!$AA$54)&gt;=$T31),$W31,IF(AND($S31&lt;&gt;"",EDATE($D31,Milestones!$AA$54)&gt;=$S31),$V31,$U31)))=Milestones!$AB$54),UPPER(TEXT(EDATE($D31,Milestones!$AA$54),"dd mmm yy"))&amp;" "&amp;Milestones!$AB$54&amp;" "&amp;Milestones!$AC$54&amp;";  ","")&amp;IF(AND(EDATE($D31,Milestones!$AA$55)&lt;=AsOfDate,IF($R31=0,$X31,IF(AND($T31&lt;&gt;"",EDATE($D31,Milestones!$AA$55)&gt;=$T31),$W31,IF(AND($S31&lt;&gt;"",EDATE($D31,Milestones!$AA$55)&gt;=$S31),$V31,$U31)))=Milestones!$AB$55),UPPER(TEXT(EDATE($D31,Milestones!$AA$55),"dd mmm yy"))&amp;" "&amp;Milestones!$AB$55&amp;" "&amp;Milestones!$AC$55&amp;";  ","")&amp;IF(AND(EDATE($D31,Milestones!$AA$56)&lt;=AsOfDate,IF($R31=0,$X31,IF(AND($T31&lt;&gt;"",EDATE($D31,Milestones!$AA$56)&gt;=$T31),$W31,IF(AND($S31&lt;&gt;"",EDATE($D31,Milestones!$AA$56)&gt;=$S31),$V31,$U31)))=Milestones!$AB$56),UPPER(TEXT(EDATE($D31,Milestones!$AA$56),"dd mmm yy"))&amp;" "&amp;Milestones!$AB$56&amp;" "&amp;Milestones!$AC$56&amp;";  ","")&amp;IF(AND(EDATE($D31,Milestones!$AA$57)&lt;=AsOfDate,IF($R31=0,$X31,IF(AND($T31&lt;&gt;"",EDATE($D31,Milestones!$AA$57)&gt;=$T31),$W31,IF(AND($S31&lt;&gt;"",EDATE($D31,Milestones!$AA$57)&gt;=$S31),$V31,$U31)))=Milestones!$AB$57),UPPER(TEXT(EDATE($D31,Milestones!$AA$57),"dd mmm yy"))&amp;" "&amp;Milestones!$AB$57&amp;" "&amp;Milestones!$AC$57&amp;";  ","")&amp;IF(AND(EDATE($D31,Milestones!$AA$58)&lt;=AsOfDate,IF($R31=0,$X31,IF(AND($T31&lt;&gt;"",EDATE($D31,Milestones!$AA$58)&gt;=$T31),$W31,IF(AND($S31&lt;&gt;"",EDATE($D31,Milestones!$AA$58)&gt;=$S31),$V31,$U31)))=Milestones!$AB$58),UPPER(TEXT(EDATE($D31,Milestones!$AA$58),"dd mmm yy"))&amp;" "&amp;Milestones!$AB$58&amp;" "&amp;Milestones!$AC$58&amp;";  ","")&amp;IF(AND(EDATE($D31,Milestones!$AA$59)&lt;=AsOfDate,IF($R31=0,$X31,IF(AND($T31&lt;&gt;"",EDATE($D31,Milestones!$AA$59)&gt;=$T31),$W31,IF(AND($S31&lt;&gt;"",EDATE($D31,Milestones!$AA$59)&gt;=$S31),$V31,$U31)))=Milestones!$AB$59),UPPER(TEXT(EDATE($D31,Milestones!$AA$59),"dd mmm yy"))&amp;" "&amp;Milestones!$AB$59&amp;" "&amp;Milestones!$AC$59&amp;";  ",""))</f>
        <v/>
      </c>
      <c r="K31" s="0" t="str">
        <f aca="false">IF(OR($A31="",$D31=""),"",IF(AND(EDATE($D31,Milestones!$AA$60)&lt;=AsOfDate,IF($R31=0,$X31,IF(AND($T31&lt;&gt;"",EDATE($D31,Milestones!$AA$60)&gt;=$T31),$W31,IF(AND($S31&lt;&gt;"",EDATE($D31,Milestones!$AA$60)&gt;=$S31),$V31,$U31)))=Milestones!$AB$60),UPPER(TEXT(EDATE($D31,Milestones!$AA$60),"dd mmm yy"))&amp;" "&amp;Milestones!$AB$60&amp;" "&amp;Milestones!$AC$60&amp;";  ","")&amp;IF(AND(EDATE($D31,Milestones!$AA$61)&lt;=AsOfDate,IF($R31=0,$X31,IF(AND($T31&lt;&gt;"",EDATE($D31,Milestones!$AA$61)&gt;=$T31),$W31,IF(AND($S31&lt;&gt;"",EDATE($D31,Milestones!$AA$61)&gt;=$S31),$V31,$U31)))=Milestones!$AB$61),UPPER(TEXT(EDATE($D31,Milestones!$AA$61),"dd mmm yy"))&amp;" "&amp;Milestones!$AB$61&amp;" "&amp;Milestones!$AC$61&amp;";  ","")&amp;IF(AND(EDATE($D31,Milestones!$AA$62)&lt;=AsOfDate,IF($R31=0,$X31,IF(AND($T31&lt;&gt;"",EDATE($D31,Milestones!$AA$62)&gt;=$T31),$W31,IF(AND($S31&lt;&gt;"",EDATE($D31,Milestones!$AA$62)&gt;=$S31),$V31,$U31)))=Milestones!$AB$62),UPPER(TEXT(EDATE($D31,Milestones!$AA$62),"dd mmm yy"))&amp;" "&amp;Milestones!$AB$62&amp;" "&amp;Milestones!$AC$62&amp;";  ","")&amp;IF(AND(EDATE($D31,Milestones!$AA$63)&lt;=AsOfDate,IF($R31=0,$X31,IF(AND($T31&lt;&gt;"",EDATE($D31,Milestones!$AA$63)&gt;=$T31),$W31,IF(AND($S31&lt;&gt;"",EDATE($D31,Milestones!$AA$63)&gt;=$S31),$V31,$U31)))=Milestones!$AB$63),UPPER(TEXT(EDATE($D31,Milestones!$AA$63),"dd mmm yy"))&amp;" "&amp;Milestones!$AB$63&amp;" "&amp;Milestones!$AC$63&amp;";  ","")&amp;IF(AND(EDATE($D31,Milestones!$AA$64)&lt;=AsOfDate,IF($R31=0,$X31,IF(AND($T31&lt;&gt;"",EDATE($D31,Milestones!$AA$64)&gt;=$T31),$W31,IF(AND($S31&lt;&gt;"",EDATE($D31,Milestones!$AA$64)&gt;=$S31),$V31,$U31)))=Milestones!$AB$64),UPPER(TEXT(EDATE($D31,Milestones!$AA$64),"dd mmm yy"))&amp;" "&amp;Milestones!$AB$64&amp;" "&amp;Milestones!$AC$64&amp;";  ","")&amp;IF(AND(EDATE($D31,Milestones!$AA$65)&lt;=AsOfDate,IF($R31=0,$X31,IF(AND($T31&lt;&gt;"",EDATE($D31,Milestones!$AA$65)&gt;=$T31),$W31,IF(AND($S31&lt;&gt;"",EDATE($D31,Milestones!$AA$65)&gt;=$S31),$V31,$U31)))=Milestones!$AB$65),UPPER(TEXT(EDATE($D31,Milestones!$AA$65),"dd mmm yy"))&amp;" "&amp;Milestones!$AB$65&amp;" "&amp;Milestones!$AC$65&amp;";  ","")&amp;IF(AND(EDATE($D31,Milestones!$AA$66)&lt;=AsOfDate,IF($R31=0,$X31,IF(AND($T31&lt;&gt;"",EDATE($D31,Milestones!$AA$66)&gt;=$T31),$W31,IF(AND($S31&lt;&gt;"",EDATE($D31,Milestones!$AA$66)&gt;=$S31),$V31,$U31)))=Milestones!$AB$66),UPPER(TEXT(EDATE($D31,Milestones!$AA$66),"dd mmm yy"))&amp;" "&amp;Milestones!$AB$66&amp;" "&amp;Milestones!$AC$66&amp;";  ","")&amp;IF(AND(EDATE($D31,Milestones!$AA$67)&lt;=AsOfDate,IF($R31=0,$X31,IF(AND($T31&lt;&gt;"",EDATE($D31,Milestones!$AA$67)&gt;=$T31),$W31,IF(AND($S31&lt;&gt;"",EDATE($D31,Milestones!$AA$67)&gt;=$S31),$V31,$U31)))=Milestones!$AB$67),UPPER(TEXT(EDATE($D31,Milestones!$AA$67),"dd mmm yy"))&amp;" "&amp;Milestones!$AB$67&amp;" "&amp;Milestones!$AC$67&amp;";  ","")&amp;IF(AND(EDATE($D31,Milestones!$AA$68)&lt;=AsOfDate,IF($R31=0,$X31,IF(AND($T31&lt;&gt;"",EDATE($D31,Milestones!$AA$68)&gt;=$T31),$W31,IF(AND($S31&lt;&gt;"",EDATE($D31,Milestones!$AA$68)&gt;=$S31),$V31,$U31)))=Milestones!$AB$68),UPPER(TEXT(EDATE($D31,Milestones!$AA$68),"dd mmm yy"))&amp;" "&amp;Milestones!$AB$68&amp;" "&amp;Milestones!$AC$68&amp;";  ","")&amp;IF(AND(EDATE($D31,Milestones!$AA$69)&lt;=AsOfDate,IF($R31=0,$X31,IF(AND($T31&lt;&gt;"",EDATE($D31,Milestones!$AA$69)&gt;=$T31),$W31,IF(AND($S31&lt;&gt;"",EDATE($D31,Milestones!$AA$69)&gt;=$S31),$V31,$U31)))=Milestones!$AB$69),UPPER(TEXT(EDATE($D31,Milestones!$AA$69),"dd mmm yy"))&amp;" "&amp;Milestones!$AB$69&amp;" "&amp;Milestones!$AC$69&amp;";  ","")&amp;IF(AND(EDATE($D31,Milestones!$AA$70)&lt;=AsOfDate,IF($R31=0,$X31,IF(AND($T31&lt;&gt;"",EDATE($D31,Milestones!$AA$70)&gt;=$T31),$W31,IF(AND($S31&lt;&gt;"",EDATE($D31,Milestones!$AA$70)&gt;=$S31),$V31,$U31)))=Milestones!$AB$70),UPPER(TEXT(EDATE($D31,Milestones!$AA$70),"dd mmm yy"))&amp;" "&amp;Milestones!$AB$70&amp;" "&amp;Milestones!$AC$70&amp;";  ","")&amp;IF(AND(EDATE($D31,Milestones!$AA$71)&lt;=AsOfDate,IF($R31=0,$X31,IF(AND($T31&lt;&gt;"",EDATE($D31,Milestones!$AA$71)&gt;=$T31),$W31,IF(AND($S31&lt;&gt;"",EDATE($D31,Milestones!$AA$71)&gt;=$S31),$V31,$U31)))=Milestones!$AB$71),UPPER(TEXT(EDATE($D31,Milestones!$AA$71),"dd mmm yy"))&amp;" "&amp;Milestones!$AB$71&amp;" "&amp;Milestones!$AC$71&amp;";  ","")&amp;IF(AND(EDATE($D31,Milestones!$AA$72)&lt;=AsOfDate,IF($R31=0,$X31,IF(AND($T31&lt;&gt;"",EDATE($D31,Milestones!$AA$72)&gt;=$T31),$W31,IF(AND($S31&lt;&gt;"",EDATE($D31,Milestones!$AA$72)&gt;=$S31),$V31,$U31)))=Milestones!$AB$72),UPPER(TEXT(EDATE($D31,Milestones!$AA$72),"dd mmm yy"))&amp;" "&amp;Milestones!$AB$72&amp;" "&amp;Milestones!$AC$72&amp;";  ","")&amp;IF(AND(EDATE($D31,Milestones!$AA$73)&lt;=AsOfDate,IF($R31=0,$X31,IF(AND($T31&lt;&gt;"",EDATE($D31,Milestones!$AA$73)&gt;=$T31),$W31,IF(AND($S31&lt;&gt;"",EDATE($D31,Milestones!$AA$73)&gt;=$S31),$V31,$U31)))=Milestones!$AB$73),UPPER(TEXT(EDATE($D31,Milestones!$AA$73),"dd mmm yy"))&amp;" "&amp;Milestones!$AB$73&amp;" "&amp;Milestones!$AC$73&amp;";  ","")&amp;IF(AND(EDATE($D31,Milestones!$AA$74)&lt;=AsOfDate,IF($R31=0,$X31,IF(AND($T31&lt;&gt;"",EDATE($D31,Milestones!$AA$74)&gt;=$T31),$W31,IF(AND($S31&lt;&gt;"",EDATE($D31,Milestones!$AA$74)&gt;=$S31),$V31,$U31)))=Milestones!$AB$74),UPPER(TEXT(EDATE($D31,Milestones!$AA$74),"dd mmm yy"))&amp;" "&amp;Milestones!$AB$74&amp;" "&amp;Milestones!$AC$74&amp;";  ","")&amp;IF(AND(EDATE($D31,Milestones!$AA$75)&lt;=AsOfDate,IF($R31=0,$X31,IF(AND($T31&lt;&gt;"",EDATE($D31,Milestones!$AA$75)&gt;=$T31),$W31,IF(AND($S31&lt;&gt;"",EDATE($D31,Milestones!$AA$75)&gt;=$S31),$V31,$U31)))=Milestones!$AB$75),UPPER(TEXT(EDATE($D31,Milestones!$AA$75),"dd mmm yy"))&amp;" "&amp;Milestones!$AB$75&amp;" "&amp;Milestones!$AC$75&amp;";  ","")&amp;IF(AND(EDATE($D31,Milestones!$AA$76)&lt;=AsOfDate,IF($R31=0,$X31,IF(AND($T31&lt;&gt;"",EDATE($D31,Milestones!$AA$76)&gt;=$T31),$W31,IF(AND($S31&lt;&gt;"",EDATE($D31,Milestones!$AA$76)&gt;=$S31),$V31,$U31)))=Milestones!$AB$76),UPPER(TEXT(EDATE($D31,Milestones!$AA$76),"dd mmm yy"))&amp;" "&amp;Milestones!$AB$76&amp;" "&amp;Milestones!$AC$76&amp;";  ","")&amp;IF(AND(EDATE($D31,Milestones!$AA$77)&lt;=AsOfDate,IF($R31=0,$X31,IF(AND($T31&lt;&gt;"",EDATE($D31,Milestones!$AA$77)&gt;=$T31),$W31,IF(AND($S31&lt;&gt;"",EDATE($D31,Milestones!$AA$77)&gt;=$S31),$V31,$U31)))=Milestones!$AB$77),UPPER(TEXT(EDATE($D31,Milestones!$AA$77),"dd mmm yy"))&amp;" "&amp;Milestones!$AB$77&amp;" "&amp;Milestones!$AC$77&amp;";  ","")&amp;IF(AND(EDATE($D31,Milestones!$AA$78)&lt;=AsOfDate,IF($R31=0,$X31,IF(AND($T31&lt;&gt;"",EDATE($D31,Milestones!$AA$78)&gt;=$T31),$W31,IF(AND($S31&lt;&gt;"",EDATE($D31,Milestones!$AA$78)&gt;=$S31),$V31,$U31)))=Milestones!$AB$78),UPPER(TEXT(EDATE($D31,Milestones!$AA$78),"dd mmm yy"))&amp;" "&amp;Milestones!$AB$78&amp;" "&amp;Milestones!$AC$78&amp;";  ","")&amp;IF(AND(EDATE($D31,Milestones!$AA$79)&lt;=AsOfDate,IF($R31=0,$X31,IF(AND($T31&lt;&gt;"",EDATE($D31,Milestones!$AA$79)&gt;=$T31),$W31,IF(AND($S31&lt;&gt;"",EDATE($D31,Milestones!$AA$79)&gt;=$S31),$V31,$U31)))=Milestones!$AB$79),UPPER(TEXT(EDATE($D31,Milestones!$AA$79),"dd mmm yy"))&amp;" "&amp;Milestones!$AB$79&amp;" "&amp;Milestones!$AC$79&amp;";  ",""))</f>
        <v/>
      </c>
      <c r="L31" s="0" t="str">
        <f aca="false">IF(OR($A31="",$D31=""),"",IF(AND(EDATE($D31,Milestones!$AA$80)&lt;=AsOfDate,IF($R31=0,$X31,IF(AND($T31&lt;&gt;"",EDATE($D31,Milestones!$AA$80)&gt;=$T31),$W31,IF(AND($S31&lt;&gt;"",EDATE($D31,Milestones!$AA$80)&gt;=$S31),$V31,$U31)))=Milestones!$AB$80),UPPER(TEXT(EDATE($D31,Milestones!$AA$80),"dd mmm yy"))&amp;" "&amp;Milestones!$AB$80&amp;" "&amp;Milestones!$AC$80&amp;";  ","")&amp;IF(AND(EDATE($D31,Milestones!$AA$81)&lt;=AsOfDate,IF($R31=0,$X31,IF(AND($T31&lt;&gt;"",EDATE($D31,Milestones!$AA$81)&gt;=$T31),$W31,IF(AND($S31&lt;&gt;"",EDATE($D31,Milestones!$AA$81)&gt;=$S31),$V31,$U31)))=Milestones!$AB$81),UPPER(TEXT(EDATE($D31,Milestones!$AA$81),"dd mmm yy"))&amp;" "&amp;Milestones!$AB$81&amp;" "&amp;Milestones!$AC$81&amp;";  ","")&amp;IF(AND(EDATE($D31,Milestones!$AA$82)&lt;=AsOfDate,IF($R31=0,$X31,IF(AND($T31&lt;&gt;"",EDATE($D31,Milestones!$AA$82)&gt;=$T31),$W31,IF(AND($S31&lt;&gt;"",EDATE($D31,Milestones!$AA$82)&gt;=$S31),$V31,$U31)))=Milestones!$AB$82),UPPER(TEXT(EDATE($D31,Milestones!$AA$82),"dd mmm yy"))&amp;" "&amp;Milestones!$AB$82&amp;" "&amp;Milestones!$AC$82&amp;";  ","")&amp;IF(AND(EDATE($D31,Milestones!$AA$83)&lt;=AsOfDate,IF($R31=0,$X31,IF(AND($T31&lt;&gt;"",EDATE($D31,Milestones!$AA$83)&gt;=$T31),$W31,IF(AND($S31&lt;&gt;"",EDATE($D31,Milestones!$AA$83)&gt;=$S31),$V31,$U31)))=Milestones!$AB$83),UPPER(TEXT(EDATE($D31,Milestones!$AA$83),"dd mmm yy"))&amp;" "&amp;Milestones!$AB$83&amp;" "&amp;Milestones!$AC$83&amp;";  ","")&amp;IF(AND(EDATE($D31,Milestones!$AA$84)&lt;=AsOfDate,IF($R31=0,$X31,IF(AND($T31&lt;&gt;"",EDATE($D31,Milestones!$AA$84)&gt;=$T31),$W31,IF(AND($S31&lt;&gt;"",EDATE($D31,Milestones!$AA$84)&gt;=$S31),$V31,$U31)))=Milestones!$AB$84),UPPER(TEXT(EDATE($D31,Milestones!$AA$84),"dd mmm yy"))&amp;" "&amp;Milestones!$AB$84&amp;" "&amp;Milestones!$AC$84&amp;";  ","")&amp;IF(AND(EDATE($D31,Milestones!$AA$85)&lt;=AsOfDate,IF($R31=0,$X31,IF(AND($T31&lt;&gt;"",EDATE($D31,Milestones!$AA$85)&gt;=$T31),$W31,IF(AND($S31&lt;&gt;"",EDATE($D31,Milestones!$AA$85)&gt;=$S31),$V31,$U31)))=Milestones!$AB$85),UPPER(TEXT(EDATE($D31,Milestones!$AA$85),"dd mmm yy"))&amp;" "&amp;Milestones!$AB$85&amp;" "&amp;Milestones!$AC$85&amp;";  ","")&amp;IF(AND(EDATE($D31,Milestones!$AA$86)&lt;=AsOfDate,IF($R31=0,$X31,IF(AND($T31&lt;&gt;"",EDATE($D31,Milestones!$AA$86)&gt;=$T31),$W31,IF(AND($S31&lt;&gt;"",EDATE($D31,Milestones!$AA$86)&gt;=$S31),$V31,$U31)))=Milestones!$AB$86),UPPER(TEXT(EDATE($D31,Milestones!$AA$86),"dd mmm yy"))&amp;" "&amp;Milestones!$AB$86&amp;" "&amp;Milestones!$AC$86&amp;";  ","")&amp;IF(AND(EDATE($D31,Milestones!$AA$87)&lt;=AsOfDate,IF($R31=0,$X31,IF(AND($T31&lt;&gt;"",EDATE($D31,Milestones!$AA$87)&gt;=$T31),$W31,IF(AND($S31&lt;&gt;"",EDATE($D31,Milestones!$AA$87)&gt;=$S31),$V31,$U31)))=Milestones!$AB$87),UPPER(TEXT(EDATE($D31,Milestones!$AA$87),"dd mmm yy"))&amp;" "&amp;Milestones!$AB$87&amp;" "&amp;Milestones!$AC$87&amp;";  ","")&amp;IF(AND(EDATE($D31,Milestones!$AA$88)&lt;=AsOfDate,IF($R31=0,$X31,IF(AND($T31&lt;&gt;"",EDATE($D31,Milestones!$AA$88)&gt;=$T31),$W31,IF(AND($S31&lt;&gt;"",EDATE($D31,Milestones!$AA$88)&gt;=$S31),$V31,$U31)))=Milestones!$AB$88),UPPER(TEXT(EDATE($D31,Milestones!$AA$88),"dd mmm yy"))&amp;" "&amp;Milestones!$AB$88&amp;" "&amp;Milestones!$AC$88&amp;";  ","")&amp;IF(AND(EDATE($D31,Milestones!$AA$89)&lt;=AsOfDate,IF($R31=0,$X31,IF(AND($T31&lt;&gt;"",EDATE($D31,Milestones!$AA$89)&gt;=$T31),$W31,IF(AND($S31&lt;&gt;"",EDATE($D31,Milestones!$AA$89)&gt;=$S31),$V31,$U31)))=Milestones!$AB$89),UPPER(TEXT(EDATE($D31,Milestones!$AA$89),"dd mmm yy"))&amp;" "&amp;Milestones!$AB$89&amp;" "&amp;Milestones!$AC$89&amp;";  ","")&amp;IF(AND(EDATE($D31,Milestones!$AA$90)&lt;=AsOfDate,IF($R31=0,$X31,IF(AND($T31&lt;&gt;"",EDATE($D31,Milestones!$AA$90)&gt;=$T31),$W31,IF(AND($S31&lt;&gt;"",EDATE($D31,Milestones!$AA$90)&gt;=$S31),$V31,$U31)))=Milestones!$AB$90),UPPER(TEXT(EDATE($D31,Milestones!$AA$90),"dd mmm yy"))&amp;" "&amp;Milestones!$AB$90&amp;" "&amp;Milestones!$AC$90&amp;";  ","")&amp;IF(AND(EDATE($D31,Milestones!$AA$91)&lt;=AsOfDate,IF($R31=0,$X31,IF(AND($T31&lt;&gt;"",EDATE($D31,Milestones!$AA$91)&gt;=$T31),$W31,IF(AND($S31&lt;&gt;"",EDATE($D31,Milestones!$AA$91)&gt;=$S31),$V31,$U31)))=Milestones!$AB$91),UPPER(TEXT(EDATE($D31,Milestones!$AA$91),"dd mmm yy"))&amp;" "&amp;Milestones!$AB$91&amp;" "&amp;Milestones!$AC$91&amp;";  ","")&amp;IF(AND(EDATE($D31,Milestones!$AA$92)&lt;=AsOfDate,IF($R31=0,$X31,IF(AND($T31&lt;&gt;"",EDATE($D31,Milestones!$AA$92)&gt;=$T31),$W31,IF(AND($S31&lt;&gt;"",EDATE($D31,Milestones!$AA$92)&gt;=$S31),$V31,$U31)))=Milestones!$AB$92),UPPER(TEXT(EDATE($D31,Milestones!$AA$92),"dd mmm yy"))&amp;" "&amp;Milestones!$AB$92&amp;" "&amp;Milestones!$AC$92&amp;";  ","")&amp;IF(AND(EDATE($D31,Milestones!$AA$93)&lt;=AsOfDate,IF($R31=0,$X31,IF(AND($T31&lt;&gt;"",EDATE($D31,Milestones!$AA$93)&gt;=$T31),$W31,IF(AND($S31&lt;&gt;"",EDATE($D31,Milestones!$AA$93)&gt;=$S31),$V31,$U31)))=Milestones!$AB$93),UPPER(TEXT(EDATE($D31,Milestones!$AA$93),"dd mmm yy"))&amp;" "&amp;Milestones!$AB$93&amp;" "&amp;Milestones!$AC$93&amp;";  ","")&amp;IF(AND(EDATE($D31,Milestones!$AA$94)&lt;=AsOfDate,IF($R31=0,$X31,IF(AND($T31&lt;&gt;"",EDATE($D31,Milestones!$AA$94)&gt;=$T31),$W31,IF(AND($S31&lt;&gt;"",EDATE($D31,Milestones!$AA$94)&gt;=$S31),$V31,$U31)))=Milestones!$AB$94),UPPER(TEXT(EDATE($D31,Milestones!$AA$94),"dd mmm yy"))&amp;" "&amp;Milestones!$AB$94&amp;" "&amp;Milestones!$AC$94&amp;";  ","")&amp;IF(AND(EDATE($D31,Milestones!$AA$95)&lt;=AsOfDate,IF($R31=0,$X31,IF(AND($T31&lt;&gt;"",EDATE($D31,Milestones!$AA$95)&gt;=$T31),$W31,IF(AND($S31&lt;&gt;"",EDATE($D31,Milestones!$AA$95)&gt;=$S31),$V31,$U31)))=Milestones!$AB$95),UPPER(TEXT(EDATE($D31,Milestones!$AA$95),"dd mmm yy"))&amp;" "&amp;Milestones!$AB$95&amp;" "&amp;Milestones!$AC$95&amp;";  ","")&amp;IF(AND(EDATE($D31,Milestones!$AA$96)&lt;=AsOfDate,IF($R31=0,$X31,IF(AND($T31&lt;&gt;"",EDATE($D31,Milestones!$AA$96)&gt;=$T31),$W31,IF(AND($S31&lt;&gt;"",EDATE($D31,Milestones!$AA$96)&gt;=$S31),$V31,$U31)))=Milestones!$AB$96),UPPER(TEXT(EDATE($D31,Milestones!$AA$96),"dd mmm yy"))&amp;" "&amp;Milestones!$AB$96&amp;" "&amp;Milestones!$AC$96&amp;";  ","")&amp;IF(AND(EDATE($D31,Milestones!$AA$97)&lt;=AsOfDate,IF($R31=0,$X31,IF(AND($T31&lt;&gt;"",EDATE($D31,Milestones!$AA$97)&gt;=$T31),$W31,IF(AND($S31&lt;&gt;"",EDATE($D31,Milestones!$AA$97)&gt;=$S31),$V31,$U31)))=Milestones!$AB$97),UPPER(TEXT(EDATE($D31,Milestones!$AA$97),"dd mmm yy"))&amp;" "&amp;Milestones!$AB$97&amp;" "&amp;Milestones!$AC$97&amp;";  ","")&amp;IF(AND(EDATE($D31,Milestones!$AA$98)&lt;=AsOfDate,IF($R31=0,$X31,IF(AND($T31&lt;&gt;"",EDATE($D31,Milestones!$AA$98)&gt;=$T31),$W31,IF(AND($S31&lt;&gt;"",EDATE($D31,Milestones!$AA$98)&gt;=$S31),$V31,$U31)))=Milestones!$AB$98),UPPER(TEXT(EDATE($D31,Milestones!$AA$98),"dd mmm yy"))&amp;" "&amp;Milestones!$AB$98&amp;" "&amp;Milestones!$AC$98&amp;";  ","")&amp;IF(AND(EDATE($D31,Milestones!$AA$99)&lt;=AsOfDate,IF($R31=0,$X31,IF(AND($T31&lt;&gt;"",EDATE($D31,Milestones!$AA$99)&gt;=$T31),$W31,IF(AND($S31&lt;&gt;"",EDATE($D31,Milestones!$AA$99)&gt;=$S31),$V31,$U31)))=Milestones!$AB$99),UPPER(TEXT(EDATE($D31,Milestones!$AA$99),"dd mmm yy"))&amp;" "&amp;Milestones!$AB$99&amp;" "&amp;Milestones!$AC$99&amp;";  ",""))</f>
        <v/>
      </c>
      <c r="M31" s="0" t="str">
        <f aca="false">IF(OR($A31="",$D31=""),"",IF(AND(EDATE($D31,Milestones!$AA$100)&lt;=AsOfDate,IF($R31=0,$X31,IF(AND($T31&lt;&gt;"",EDATE($D31,Milestones!$AA$100)&gt;=$T31),$W31,IF(AND($S31&lt;&gt;"",EDATE($D31,Milestones!$AA$100)&gt;=$S31),$V31,$U31)))=Milestones!$AB$100),UPPER(TEXT(EDATE($D31,Milestones!$AA$100),"dd mmm yy"))&amp;" "&amp;Milestones!$AB$100&amp;" "&amp;Milestones!$AC$100&amp;";  ","")&amp;IF(AND(EDATE($D31,Milestones!$AA$101)&lt;=AsOfDate,IF($R31=0,$X31,IF(AND($T31&lt;&gt;"",EDATE($D31,Milestones!$AA$101)&gt;=$T31),$W31,IF(AND($S31&lt;&gt;"",EDATE($D31,Milestones!$AA$101)&gt;=$S31),$V31,$U31)))=Milestones!$AB$101),UPPER(TEXT(EDATE($D31,Milestones!$AA$101),"dd mmm yy"))&amp;" "&amp;Milestones!$AB$101&amp;" "&amp;Milestones!$AC$101&amp;";  ","")&amp;IF(AND(EDATE($D31,Milestones!$AA$102)&lt;=AsOfDate,IF($R31=0,$X31,IF(AND($T31&lt;&gt;"",EDATE($D31,Milestones!$AA$102)&gt;=$T31),$W31,IF(AND($S31&lt;&gt;"",EDATE($D31,Milestones!$AA$102)&gt;=$S31),$V31,$U31)))=Milestones!$AB$102),UPPER(TEXT(EDATE($D31,Milestones!$AA$102),"dd mmm yy"))&amp;" "&amp;Milestones!$AB$102&amp;" "&amp;Milestones!$AC$102&amp;";  ","")&amp;IF(AND(EDATE($D31,Milestones!$AA$103)&lt;=AsOfDate,IF($R31=0,$X31,IF(AND($T31&lt;&gt;"",EDATE($D31,Milestones!$AA$103)&gt;=$T31),$W31,IF(AND($S31&lt;&gt;"",EDATE($D31,Milestones!$AA$103)&gt;=$S31),$V31,$U31)))=Milestones!$AB$103),UPPER(TEXT(EDATE($D31,Milestones!$AA$103),"dd mmm yy"))&amp;" "&amp;Milestones!$AB$103&amp;" "&amp;Milestones!$AC$103&amp;";  ","")&amp;IF(AND(EDATE($D31,Milestones!$AA$104)&lt;=AsOfDate,IF($R31=0,$X31,IF(AND($T31&lt;&gt;"",EDATE($D31,Milestones!$AA$104)&gt;=$T31),$W31,IF(AND($S31&lt;&gt;"",EDATE($D31,Milestones!$AA$104)&gt;=$S31),$V31,$U31)))=Milestones!$AB$104),UPPER(TEXT(EDATE($D31,Milestones!$AA$104),"dd mmm yy"))&amp;" "&amp;Milestones!$AB$104&amp;" "&amp;Milestones!$AC$104&amp;";  ","")&amp;IF(AND(EDATE($D31,Milestones!$AA$105)&lt;=AsOfDate,IF($R31=0,$X31,IF(AND($T31&lt;&gt;"",EDATE($D31,Milestones!$AA$105)&gt;=$T31),$W31,IF(AND($S31&lt;&gt;"",EDATE($D31,Milestones!$AA$105)&gt;=$S31),$V31,$U31)))=Milestones!$AB$105),UPPER(TEXT(EDATE($D31,Milestones!$AA$105),"dd mmm yy"))&amp;" "&amp;Milestones!$AB$105&amp;" "&amp;Milestones!$AC$105&amp;";  ","")&amp;IF(AND(EDATE($D31,Milestones!$AA$106)&lt;=AsOfDate,IF($R31=0,$X31,IF(AND($T31&lt;&gt;"",EDATE($D31,Milestones!$AA$106)&gt;=$T31),$W31,IF(AND($S31&lt;&gt;"",EDATE($D31,Milestones!$AA$106)&gt;=$S31),$V31,$U31)))=Milestones!$AB$106),UPPER(TEXT(EDATE($D31,Milestones!$AA$106),"dd mmm yy"))&amp;" "&amp;Milestones!$AB$106&amp;" "&amp;Milestones!$AC$106&amp;";  ","")&amp;IF(AND(EDATE($D31,Milestones!$AA$107)&lt;=AsOfDate,IF($R31=0,$X31,IF(AND($T31&lt;&gt;"",EDATE($D31,Milestones!$AA$107)&gt;=$T31),$W31,IF(AND($S31&lt;&gt;"",EDATE($D31,Milestones!$AA$107)&gt;=$S31),$V31,$U31)))=Milestones!$AB$107),UPPER(TEXT(EDATE($D31,Milestones!$AA$107),"dd mmm yy"))&amp;" "&amp;Milestones!$AB$107&amp;" "&amp;Milestones!$AC$107&amp;";  ","")&amp;IF(AND(EDATE($D31,Milestones!$AA$108)&lt;=AsOfDate,IF($R31=0,$X31,IF(AND($T31&lt;&gt;"",EDATE($D31,Milestones!$AA$108)&gt;=$T31),$W31,IF(AND($S31&lt;&gt;"",EDATE($D31,Milestones!$AA$108)&gt;=$S31),$V31,$U31)))=Milestones!$AB$108),UPPER(TEXT(EDATE($D31,Milestones!$AA$108),"dd mmm yy"))&amp;" "&amp;Milestones!$AB$108&amp;" "&amp;Milestones!$AC$108&amp;";  ","")&amp;IF(AND(EDATE($D31,Milestones!$AA$109)&lt;=AsOfDate,IF($R31=0,$X31,IF(AND($T31&lt;&gt;"",EDATE($D31,Milestones!$AA$109)&gt;=$T31),$W31,IF(AND($S31&lt;&gt;"",EDATE($D31,Milestones!$AA$109)&gt;=$S31),$V31,$U31)))=Milestones!$AB$109),UPPER(TEXT(EDATE($D31,Milestones!$AA$109),"dd mmm yy"))&amp;" "&amp;Milestones!$AB$109&amp;" "&amp;Milestones!$AC$109&amp;";  ","")&amp;IF(AND(EDATE($D31,Milestones!$AA$110)&lt;=AsOfDate,IF($R31=0,$X31,IF(AND($T31&lt;&gt;"",EDATE($D31,Milestones!$AA$110)&gt;=$T31),$W31,IF(AND($S31&lt;&gt;"",EDATE($D31,Milestones!$AA$110)&gt;=$S31),$V31,$U31)))=Milestones!$AB$110),UPPER(TEXT(EDATE($D31,Milestones!$AA$110),"dd mmm yy"))&amp;" "&amp;Milestones!$AB$110&amp;" "&amp;Milestones!$AC$110&amp;";  ","")&amp;IF(AND(EDATE($D31,Milestones!$AA$111)&lt;=AsOfDate,IF($R31=0,$X31,IF(AND($T31&lt;&gt;"",EDATE($D31,Milestones!$AA$111)&gt;=$T31),$W31,IF(AND($S31&lt;&gt;"",EDATE($D31,Milestones!$AA$111)&gt;=$S31),$V31,$U31)))=Milestones!$AB$111),UPPER(TEXT(EDATE($D31,Milestones!$AA$111),"dd mmm yy"))&amp;" "&amp;Milestones!$AB$111&amp;" "&amp;Milestones!$AC$111&amp;";  ","")&amp;IF(AND(EDATE($D31,Milestones!$AA$112)&lt;=AsOfDate,IF($R31=0,$X31,IF(AND($T31&lt;&gt;"",EDATE($D31,Milestones!$AA$112)&gt;=$T31),$W31,IF(AND($S31&lt;&gt;"",EDATE($D31,Milestones!$AA$112)&gt;=$S31),$V31,$U31)))=Milestones!$AB$112),UPPER(TEXT(EDATE($D31,Milestones!$AA$112),"dd mmm yy"))&amp;" "&amp;Milestones!$AB$112&amp;" "&amp;Milestones!$AC$112&amp;";  ","")&amp;IF(AND(EDATE($D31,Milestones!$AA$113)&lt;=AsOfDate,IF($R31=0,$X31,IF(AND($T31&lt;&gt;"",EDATE($D31,Milestones!$AA$113)&gt;=$T31),$W31,IF(AND($S31&lt;&gt;"",EDATE($D31,Milestones!$AA$113)&gt;=$S31),$V31,$U31)))=Milestones!$AB$113),UPPER(TEXT(EDATE($D31,Milestones!$AA$113),"dd mmm yy"))&amp;" "&amp;Milestones!$AB$113&amp;" "&amp;Milestones!$AC$113&amp;";  ","")&amp;IF(AND(EDATE($D31,Milestones!$AA$114)&lt;=AsOfDate,IF($R31=0,$X31,IF(AND($T31&lt;&gt;"",EDATE($D31,Milestones!$AA$114)&gt;=$T31),$W31,IF(AND($S31&lt;&gt;"",EDATE($D31,Milestones!$AA$114)&gt;=$S31),$V31,$U31)))=Milestones!$AB$114),UPPER(TEXT(EDATE($D31,Milestones!$AA$114),"dd mmm yy"))&amp;" "&amp;Milestones!$AB$114&amp;" "&amp;Milestones!$AC$114&amp;";  ","")&amp;IF(AND(EDATE($D31,Milestones!$AA$115)&lt;=AsOfDate,IF($R31=0,$X31,IF(AND($T31&lt;&gt;"",EDATE($D31,Milestones!$AA$115)&gt;=$T31),$W31,IF(AND($S31&lt;&gt;"",EDATE($D31,Milestones!$AA$115)&gt;=$S31),$V31,$U31)))=Milestones!$AB$115),UPPER(TEXT(EDATE($D31,Milestones!$AA$115),"dd mmm yy"))&amp;" "&amp;Milestones!$AB$115&amp;" "&amp;Milestones!$AC$115&amp;";  ","")&amp;IF(AND(EDATE($D31,Milestones!$AA$116)&lt;=AsOfDate,IF($R31=0,$X31,IF(AND($T31&lt;&gt;"",EDATE($D31,Milestones!$AA$116)&gt;=$T31),$W31,IF(AND($S31&lt;&gt;"",EDATE($D31,Milestones!$AA$116)&gt;=$S31),$V31,$U31)))=Milestones!$AB$116),UPPER(TEXT(EDATE($D31,Milestones!$AA$116),"dd mmm yy"))&amp;" "&amp;Milestones!$AB$116&amp;" "&amp;Milestones!$AC$116&amp;";  ","")&amp;IF(AND(EDATE($D31,Milestones!$AA$117)&lt;=AsOfDate,IF($R31=0,$X31,IF(AND($T31&lt;&gt;"",EDATE($D31,Milestones!$AA$117)&gt;=$T31),$W31,IF(AND($S31&lt;&gt;"",EDATE($D31,Milestones!$AA$117)&gt;=$S31),$V31,$U31)))=Milestones!$AB$117),UPPER(TEXT(EDATE($D31,Milestones!$AA$117),"dd mmm yy"))&amp;" "&amp;Milestones!$AB$117&amp;" "&amp;Milestones!$AC$117&amp;";  ","")&amp;IF(AND(EDATE($D31,Milestones!$AA$118)&lt;=AsOfDate,IF($R31=0,$X31,IF(AND($T31&lt;&gt;"",EDATE($D31,Milestones!$AA$118)&gt;=$T31),$W31,IF(AND($S31&lt;&gt;"",EDATE($D31,Milestones!$AA$118)&gt;=$S31),$V31,$U31)))=Milestones!$AB$118),UPPER(TEXT(EDATE($D31,Milestones!$AA$118),"dd mmm yy"))&amp;" "&amp;Milestones!$AB$118&amp;" "&amp;Milestones!$AC$118&amp;";  ","")&amp;IF(AND(EDATE($D31,Milestones!$AA$119)&lt;=AsOfDate,IF($R31=0,$X31,IF(AND($T31&lt;&gt;"",EDATE($D31,Milestones!$AA$119)&gt;=$T31),$W31,IF(AND($S31&lt;&gt;"",EDATE($D31,Milestones!$AA$119)&gt;=$S31),$V31,$U31)))=Milestones!$AB$119),UPPER(TEXT(EDATE($D31,Milestones!$AA$119),"dd mmm yy"))&amp;" "&amp;Milestones!$AB$119&amp;" "&amp;Milestones!$AC$119&amp;";  ",""))</f>
        <v/>
      </c>
      <c r="N31" s="0" t="str">
        <f aca="false">IF(OR($A31="",$D31=""),"",IF(AND(EDATE($D31,Milestones!$AA$120)&lt;=AsOfDate,IF($R31=0,$X31,IF(AND($T31&lt;&gt;"",EDATE($D31,Milestones!$AA$120)&gt;=$T31),$W31,IF(AND($S31&lt;&gt;"",EDATE($D31,Milestones!$AA$120)&gt;=$S31),$V31,$U31)))=Milestones!$AB$120),UPPER(TEXT(EDATE($D31,Milestones!$AA$120),"dd mmm yy"))&amp;" "&amp;Milestones!$AB$120&amp;" "&amp;Milestones!$AC$120&amp;";  ","")&amp;IF(AND(EDATE($D31,Milestones!$AA$121)&lt;=AsOfDate,IF($R31=0,$X31,IF(AND($T31&lt;&gt;"",EDATE($D31,Milestones!$AA$121)&gt;=$T31),$W31,IF(AND($S31&lt;&gt;"",EDATE($D31,Milestones!$AA$121)&gt;=$S31),$V31,$U31)))=Milestones!$AB$121),UPPER(TEXT(EDATE($D31,Milestones!$AA$121),"dd mmm yy"))&amp;" "&amp;Milestones!$AB$121&amp;" "&amp;Milestones!$AC$121&amp;";  ","")&amp;IF(AND(EDATE($D31,Milestones!$AA$122)&lt;=AsOfDate,IF($R31=0,$X31,IF(AND($T31&lt;&gt;"",EDATE($D31,Milestones!$AA$122)&gt;=$T31),$W31,IF(AND($S31&lt;&gt;"",EDATE($D31,Milestones!$AA$122)&gt;=$S31),$V31,$U31)))=Milestones!$AB$122),UPPER(TEXT(EDATE($D31,Milestones!$AA$122),"dd mmm yy"))&amp;" "&amp;Milestones!$AB$122&amp;" "&amp;Milestones!$AC$122&amp;";  ","")&amp;IF(AND(EDATE($D31,Milestones!$AA$123)&lt;=AsOfDate,IF($R31=0,$X31,IF(AND($T31&lt;&gt;"",EDATE($D31,Milestones!$AA$123)&gt;=$T31),$W31,IF(AND($S31&lt;&gt;"",EDATE($D31,Milestones!$AA$123)&gt;=$S31),$V31,$U31)))=Milestones!$AB$123),UPPER(TEXT(EDATE($D31,Milestones!$AA$123),"dd mmm yy"))&amp;" "&amp;Milestones!$AB$123&amp;" "&amp;Milestones!$AC$123&amp;";  ","")&amp;IF(AND(EDATE($D31,Milestones!$AA$124)&lt;=AsOfDate,IF($R31=0,$X31,IF(AND($T31&lt;&gt;"",EDATE($D31,Milestones!$AA$124)&gt;=$T31),$W31,IF(AND($S31&lt;&gt;"",EDATE($D31,Milestones!$AA$124)&gt;=$S31),$V31,$U31)))=Milestones!$AB$124),UPPER(TEXT(EDATE($D31,Milestones!$AA$124),"dd mmm yy"))&amp;" "&amp;Milestones!$AB$124&amp;" "&amp;Milestones!$AC$124&amp;";  ","")&amp;IF(AND(EDATE($D31,Milestones!$AA$125)&lt;=AsOfDate,IF($R31=0,$X31,IF(AND($T31&lt;&gt;"",EDATE($D31,Milestones!$AA$125)&gt;=$T31),$W31,IF(AND($S31&lt;&gt;"",EDATE($D31,Milestones!$AA$125)&gt;=$S31),$V31,$U31)))=Milestones!$AB$125),UPPER(TEXT(EDATE($D31,Milestones!$AA$125),"dd mmm yy"))&amp;" "&amp;Milestones!$AB$125&amp;" "&amp;Milestones!$AC$125&amp;";  ","")&amp;IF(AND(EDATE($D31,Milestones!$AA$126)&lt;=AsOfDate,IF($R31=0,$X31,IF(AND($T31&lt;&gt;"",EDATE($D31,Milestones!$AA$126)&gt;=$T31),$W31,IF(AND($S31&lt;&gt;"",EDATE($D31,Milestones!$AA$126)&gt;=$S31),$V31,$U31)))=Milestones!$AB$126),UPPER(TEXT(EDATE($D31,Milestones!$AA$126),"dd mmm yy"))&amp;" "&amp;Milestones!$AB$126&amp;" "&amp;Milestones!$AC$126&amp;";  ","")&amp;IF(AND(EDATE($D31,Milestones!$AA$127)&lt;=AsOfDate,IF($R31=0,$X31,IF(AND($T31&lt;&gt;"",EDATE($D31,Milestones!$AA$127)&gt;=$T31),$W31,IF(AND($S31&lt;&gt;"",EDATE($D31,Milestones!$AA$127)&gt;=$S31),$V31,$U31)))=Milestones!$AB$127),UPPER(TEXT(EDATE($D31,Milestones!$AA$127),"dd mmm yy"))&amp;" "&amp;Milestones!$AB$127&amp;" "&amp;Milestones!$AC$127&amp;";  ","")&amp;IF(AND(EDATE($D31,Milestones!$AA$128)&lt;=AsOfDate,IF($R31=0,$X31,IF(AND($T31&lt;&gt;"",EDATE($D31,Milestones!$AA$128)&gt;=$T31),$W31,IF(AND($S31&lt;&gt;"",EDATE($D31,Milestones!$AA$128)&gt;=$S31),$V31,$U31)))=Milestones!$AB$128),UPPER(TEXT(EDATE($D31,Milestones!$AA$128),"dd mmm yy"))&amp;" "&amp;Milestones!$AB$128&amp;" "&amp;Milestones!$AC$128&amp;";  ","")&amp;IF(AND(EDATE($D31,Milestones!$AA$129)&lt;=AsOfDate,IF($R31=0,$X31,IF(AND($T31&lt;&gt;"",EDATE($D31,Milestones!$AA$129)&gt;=$T31),$W31,IF(AND($S31&lt;&gt;"",EDATE($D31,Milestones!$AA$129)&gt;=$S31),$V31,$U31)))=Milestones!$AB$129),UPPER(TEXT(EDATE($D31,Milestones!$AA$129),"dd mmm yy"))&amp;" "&amp;Milestones!$AB$129&amp;" "&amp;Milestones!$AC$129&amp;";  ","")&amp;IF(AND(EDATE($D31,Milestones!$AA$130)&lt;=AsOfDate,IF($R31=0,$X31,IF(AND($T31&lt;&gt;"",EDATE($D31,Milestones!$AA$130)&gt;=$T31),$W31,IF(AND($S31&lt;&gt;"",EDATE($D31,Milestones!$AA$130)&gt;=$S31),$V31,$U31)))=Milestones!$AB$130),UPPER(TEXT(EDATE($D31,Milestones!$AA$130),"dd mmm yy"))&amp;" "&amp;Milestones!$AB$130&amp;" "&amp;Milestones!$AC$130&amp;";  ","")&amp;IF(AND(EDATE($D31,Milestones!$AA$131)&lt;=AsOfDate,IF($R31=0,$X31,IF(AND($T31&lt;&gt;"",EDATE($D31,Milestones!$AA$131)&gt;=$T31),$W31,IF(AND($S31&lt;&gt;"",EDATE($D31,Milestones!$AA$131)&gt;=$S31),$V31,$U31)))=Milestones!$AB$131),UPPER(TEXT(EDATE($D31,Milestones!$AA$131),"dd mmm yy"))&amp;" "&amp;Milestones!$AB$131&amp;" "&amp;Milestones!$AC$131&amp;";  ","")&amp;IF(AND(EDATE($D31,Milestones!$AA$132)&lt;=AsOfDate,IF($R31=0,$X31,IF(AND($T31&lt;&gt;"",EDATE($D31,Milestones!$AA$132)&gt;=$T31),$W31,IF(AND($S31&lt;&gt;"",EDATE($D31,Milestones!$AA$132)&gt;=$S31),$V31,$U31)))=Milestones!$AB$132),UPPER(TEXT(EDATE($D31,Milestones!$AA$132),"dd mmm yy"))&amp;" "&amp;Milestones!$AB$132&amp;" "&amp;Milestones!$AC$132&amp;";  ","")&amp;IF(AND(EDATE($D31,Milestones!$AA$133)&lt;=AsOfDate,IF($R31=0,$X31,IF(AND($T31&lt;&gt;"",EDATE($D31,Milestones!$AA$133)&gt;=$T31),$W31,IF(AND($S31&lt;&gt;"",EDATE($D31,Milestones!$AA$133)&gt;=$S31),$V31,$U31)))=Milestones!$AB$133),UPPER(TEXT(EDATE($D31,Milestones!$AA$133),"dd mmm yy"))&amp;" "&amp;Milestones!$AB$133&amp;" "&amp;Milestones!$AC$133&amp;";  ","")&amp;IF(AND(EDATE($D31,Milestones!$AA$134)&lt;=AsOfDate,IF($R31=0,$X31,IF(AND($T31&lt;&gt;"",EDATE($D31,Milestones!$AA$134)&gt;=$T31),$W31,IF(AND($S31&lt;&gt;"",EDATE($D31,Milestones!$AA$134)&gt;=$S31),$V31,$U31)))=Milestones!$AB$134),UPPER(TEXT(EDATE($D31,Milestones!$AA$134),"dd mmm yy"))&amp;" "&amp;Milestones!$AB$134&amp;" "&amp;Milestones!$AC$134&amp;";  ","")&amp;IF(AND(EDATE($D31,Milestones!$AA$135)&lt;=AsOfDate,IF($R31=0,$X31,IF(AND($T31&lt;&gt;"",EDATE($D31,Milestones!$AA$135)&gt;=$T31),$W31,IF(AND($S31&lt;&gt;"",EDATE($D31,Milestones!$AA$135)&gt;=$S31),$V31,$U31)))=Milestones!$AB$135),UPPER(TEXT(EDATE($D31,Milestones!$AA$135),"dd mmm yy"))&amp;" "&amp;Milestones!$AB$135&amp;" "&amp;Milestones!$AC$135&amp;";  ","")&amp;IF(AND(EDATE($D31,Milestones!$AA$136)&lt;=AsOfDate,IF($R31=0,$X31,IF(AND($T31&lt;&gt;"",EDATE($D31,Milestones!$AA$136)&gt;=$T31),$W31,IF(AND($S31&lt;&gt;"",EDATE($D31,Milestones!$AA$136)&gt;=$S31),$V31,$U31)))=Milestones!$AB$136),UPPER(TEXT(EDATE($D31,Milestones!$AA$136),"dd mmm yy"))&amp;" "&amp;Milestones!$AB$136&amp;" "&amp;Milestones!$AC$136&amp;";  ","")&amp;IF(AND(EDATE($D31,Milestones!$AA$137)&lt;=AsOfDate,IF($R31=0,$X31,IF(AND($T31&lt;&gt;"",EDATE($D31,Milestones!$AA$137)&gt;=$T31),$W31,IF(AND($S31&lt;&gt;"",EDATE($D31,Milestones!$AA$137)&gt;=$S31),$V31,$U31)))=Milestones!$AB$137),UPPER(TEXT(EDATE($D31,Milestones!$AA$137),"dd mmm yy"))&amp;" "&amp;Milestones!$AB$137&amp;" "&amp;Milestones!$AC$137&amp;";  ","")&amp;IF(AND(EDATE($D31,Milestones!$AA$138)&lt;=AsOfDate,IF($R31=0,$X31,IF(AND($T31&lt;&gt;"",EDATE($D31,Milestones!$AA$138)&gt;=$T31),$W31,IF(AND($S31&lt;&gt;"",EDATE($D31,Milestones!$AA$138)&gt;=$S31),$V31,$U31)))=Milestones!$AB$138),UPPER(TEXT(EDATE($D31,Milestones!$AA$138),"dd mmm yy"))&amp;" "&amp;Milestones!$AB$138&amp;" "&amp;Milestones!$AC$138&amp;";  ","")&amp;IF(AND(EDATE($D31,Milestones!$AA$139)&lt;=AsOfDate,IF($R31=0,$X31,IF(AND($T31&lt;&gt;"",EDATE($D31,Milestones!$AA$139)&gt;=$T31),$W31,IF(AND($S31&lt;&gt;"",EDATE($D31,Milestones!$AA$139)&gt;=$S31),$V31,$U31)))=Milestones!$AB$139),UPPER(TEXT(EDATE($D31,Milestones!$AA$139),"dd mmm yy"))&amp;" "&amp;Milestones!$AB$139&amp;" "&amp;Milestones!$AC$139&amp;";  ",""))</f>
        <v/>
      </c>
      <c r="O31" s="0" t="str">
        <f aca="false">IF(OR($A31="",$D31=""),"",IF(AND(EDATE($D31,Milestones!$AA$140)&lt;=AsOfDate,IF($R31=0,$X31,IF(AND($T31&lt;&gt;"",EDATE($D31,Milestones!$AA$140)&gt;=$T31),$W31,IF(AND($S31&lt;&gt;"",EDATE($D31,Milestones!$AA$140)&gt;=$S31),$V31,$U31)))=Milestones!$AB$140),UPPER(TEXT(EDATE($D31,Milestones!$AA$140),"dd mmm yy"))&amp;" "&amp;Milestones!$AB$140&amp;" "&amp;Milestones!$AC$140&amp;";  ","")&amp;IF(AND(EDATE($D31,Milestones!$AA$141)&lt;=AsOfDate,IF($R31=0,$X31,IF(AND($T31&lt;&gt;"",EDATE($D31,Milestones!$AA$141)&gt;=$T31),$W31,IF(AND($S31&lt;&gt;"",EDATE($D31,Milestones!$AA$141)&gt;=$S31),$V31,$U31)))=Milestones!$AB$141),UPPER(TEXT(EDATE($D31,Milestones!$AA$141),"dd mmm yy"))&amp;" "&amp;Milestones!$AB$141&amp;" "&amp;Milestones!$AC$141&amp;";  ","")&amp;IF(AND(EDATE($D31,Milestones!$AA$142)&lt;=AsOfDate,IF($R31=0,$X31,IF(AND($T31&lt;&gt;"",EDATE($D31,Milestones!$AA$142)&gt;=$T31),$W31,IF(AND($S31&lt;&gt;"",EDATE($D31,Milestones!$AA$142)&gt;=$S31),$V31,$U31)))=Milestones!$AB$142),UPPER(TEXT(EDATE($D31,Milestones!$AA$142),"dd mmm yy"))&amp;" "&amp;Milestones!$AB$142&amp;" "&amp;Milestones!$AC$142&amp;";  ","")&amp;IF(AND(EDATE($D31,Milestones!$AA$143)&lt;=AsOfDate,IF($R31=0,$X31,IF(AND($T31&lt;&gt;"",EDATE($D31,Milestones!$AA$143)&gt;=$T31),$W31,IF(AND($S31&lt;&gt;"",EDATE($D31,Milestones!$AA$143)&gt;=$S31),$V31,$U31)))=Milestones!$AB$143),UPPER(TEXT(EDATE($D31,Milestones!$AA$143),"dd mmm yy"))&amp;" "&amp;Milestones!$AB$143&amp;" "&amp;Milestones!$AC$143&amp;";  ","")&amp;IF(AND(EDATE($D31,Milestones!$AA$144)&lt;=AsOfDate,IF($R31=0,$X31,IF(AND($T31&lt;&gt;"",EDATE($D31,Milestones!$AA$144)&gt;=$T31),$W31,IF(AND($S31&lt;&gt;"",EDATE($D31,Milestones!$AA$144)&gt;=$S31),$V31,$U31)))=Milestones!$AB$144),UPPER(TEXT(EDATE($D31,Milestones!$AA$144),"dd mmm yy"))&amp;" "&amp;Milestones!$AB$144&amp;" "&amp;Milestones!$AC$144&amp;";  ","")&amp;IF(AND(EDATE($D31,Milestones!$AA$145)&lt;=AsOfDate,IF($R31=0,$X31,IF(AND($T31&lt;&gt;"",EDATE($D31,Milestones!$AA$145)&gt;=$T31),$W31,IF(AND($S31&lt;&gt;"",EDATE($D31,Milestones!$AA$145)&gt;=$S31),$V31,$U31)))=Milestones!$AB$145),UPPER(TEXT(EDATE($D31,Milestones!$AA$145),"dd mmm yy"))&amp;" "&amp;Milestones!$AB$145&amp;" "&amp;Milestones!$AC$145&amp;";  ","")&amp;IF(AND(EDATE($D31,Milestones!$AA$146)&lt;=AsOfDate,IF($R31=0,$X31,IF(AND($T31&lt;&gt;"",EDATE($D31,Milestones!$AA$146)&gt;=$T31),$W31,IF(AND($S31&lt;&gt;"",EDATE($D31,Milestones!$AA$146)&gt;=$S31),$V31,$U31)))=Milestones!$AB$146),UPPER(TEXT(EDATE($D31,Milestones!$AA$146),"dd mmm yy"))&amp;" "&amp;Milestones!$AB$146&amp;" "&amp;Milestones!$AC$146&amp;";  ","")&amp;IF(AND(EDATE($D31,Milestones!$AA$147)&lt;=AsOfDate,IF($R31=0,$X31,IF(AND($T31&lt;&gt;"",EDATE($D31,Milestones!$AA$147)&gt;=$T31),$W31,IF(AND($S31&lt;&gt;"",EDATE($D31,Milestones!$AA$147)&gt;=$S31),$V31,$U31)))=Milestones!$AB$147),UPPER(TEXT(EDATE($D31,Milestones!$AA$147),"dd mmm yy"))&amp;" "&amp;Milestones!$AB$147&amp;" "&amp;Milestones!$AC$147&amp;";  ","")&amp;IF(AND(EDATE($D31,Milestones!$AA$148)&lt;=AsOfDate,IF($R31=0,$X31,IF(AND($T31&lt;&gt;"",EDATE($D31,Milestones!$AA$148)&gt;=$T31),$W31,IF(AND($S31&lt;&gt;"",EDATE($D31,Milestones!$AA$148)&gt;=$S31),$V31,$U31)))=Milestones!$AB$148),UPPER(TEXT(EDATE($D31,Milestones!$AA$148),"dd mmm yy"))&amp;" "&amp;Milestones!$AB$148&amp;" "&amp;Milestones!$AC$148&amp;";  ","")&amp;IF(AND(EDATE($D31,Milestones!$AA$149)&lt;=AsOfDate,IF($R31=0,$X31,IF(AND($T31&lt;&gt;"",EDATE($D31,Milestones!$AA$149)&gt;=$T31),$W31,IF(AND($S31&lt;&gt;"",EDATE($D31,Milestones!$AA$149)&gt;=$S31),$V31,$U31)))=Milestones!$AB$149),UPPER(TEXT(EDATE($D31,Milestones!$AA$149),"dd mmm yy"))&amp;" "&amp;Milestones!$AB$149&amp;" "&amp;Milestones!$AC$149&amp;";  ","")&amp;IF(AND(EDATE($D31,Milestones!$AA$150)&lt;=AsOfDate,IF($R31=0,$X31,IF(AND($T31&lt;&gt;"",EDATE($D31,Milestones!$AA$150)&gt;=$T31),$W31,IF(AND($S31&lt;&gt;"",EDATE($D31,Milestones!$AA$150)&gt;=$S31),$V31,$U31)))=Milestones!$AB$150),UPPER(TEXT(EDATE($D31,Milestones!$AA$150),"dd mmm yy"))&amp;" "&amp;Milestones!$AB$150&amp;" "&amp;Milestones!$AC$150&amp;";  ","")&amp;IF(AND(EDATE($D31,Milestones!$AA$151)&lt;=AsOfDate,IF($R31=0,$X31,IF(AND($T31&lt;&gt;"",EDATE($D31,Milestones!$AA$151)&gt;=$T31),$W31,IF(AND($S31&lt;&gt;"",EDATE($D31,Milestones!$AA$151)&gt;=$S31),$V31,$U31)))=Milestones!$AB$151),UPPER(TEXT(EDATE($D31,Milestones!$AA$151),"dd mmm yy"))&amp;" "&amp;Milestones!$AB$151&amp;" "&amp;Milestones!$AC$151&amp;";  ","")&amp;IF(AND(EDATE($D31,Milestones!$AA$152)&lt;=AsOfDate,IF($R31=0,$X31,IF(AND($T31&lt;&gt;"",EDATE($D31,Milestones!$AA$152)&gt;=$T31),$W31,IF(AND($S31&lt;&gt;"",EDATE($D31,Milestones!$AA$152)&gt;=$S31),$V31,$U31)))=Milestones!$AB$152),UPPER(TEXT(EDATE($D31,Milestones!$AA$152),"dd mmm yy"))&amp;" "&amp;Milestones!$AB$152&amp;" "&amp;Milestones!$AC$152&amp;";  ","")&amp;IF(AND(EDATE($D31,Milestones!$AA$153)&lt;=AsOfDate,IF($R31=0,$X31,IF(AND($T31&lt;&gt;"",EDATE($D31,Milestones!$AA$153)&gt;=$T31),$W31,IF(AND($S31&lt;&gt;"",EDATE($D31,Milestones!$AA$153)&gt;=$S31),$V31,$U31)))=Milestones!$AB$153),UPPER(TEXT(EDATE($D31,Milestones!$AA$153),"dd mmm yy"))&amp;" "&amp;Milestones!$AB$153&amp;" "&amp;Milestones!$AC$153&amp;";  ","")&amp;IF(AND(EDATE($D31,Milestones!$AA$154)&lt;=AsOfDate,IF($R31=0,$X31,IF(AND($T31&lt;&gt;"",EDATE($D31,Milestones!$AA$154)&gt;=$T31),$W31,IF(AND($S31&lt;&gt;"",EDATE($D31,Milestones!$AA$154)&gt;=$S31),$V31,$U31)))=Milestones!$AB$154),UPPER(TEXT(EDATE($D31,Milestones!$AA$154),"dd mmm yy"))&amp;" "&amp;Milestones!$AB$154&amp;" "&amp;Milestones!$AC$154&amp;";  ","")&amp;IF(AND(EDATE($D31,Milestones!$AA$155)&lt;=AsOfDate,IF($R31=0,$X31,IF(AND($T31&lt;&gt;"",EDATE($D31,Milestones!$AA$155)&gt;=$T31),$W31,IF(AND($S31&lt;&gt;"",EDATE($D31,Milestones!$AA$155)&gt;=$S31),$V31,$U31)))=Milestones!$AB$155),UPPER(TEXT(EDATE($D31,Milestones!$AA$155),"dd mmm yy"))&amp;" "&amp;Milestones!$AB$155&amp;" "&amp;Milestones!$AC$155&amp;";  ","")&amp;IF(AND(EDATE($D31,Milestones!$AA$156)&lt;=AsOfDate,IF($R31=0,$X31,IF(AND($T31&lt;&gt;"",EDATE($D31,Milestones!$AA$156)&gt;=$T31),$W31,IF(AND($S31&lt;&gt;"",EDATE($D31,Milestones!$AA$156)&gt;=$S31),$V31,$U31)))=Milestones!$AB$156),UPPER(TEXT(EDATE($D31,Milestones!$AA$156),"dd mmm yy"))&amp;" "&amp;Milestones!$AB$156&amp;" "&amp;Milestones!$AC$156&amp;";  ","")&amp;IF(AND(EDATE($D31,Milestones!$AA$157)&lt;=AsOfDate,IF($R31=0,$X31,IF(AND($T31&lt;&gt;"",EDATE($D31,Milestones!$AA$157)&gt;=$T31),$W31,IF(AND($S31&lt;&gt;"",EDATE($D31,Milestones!$AA$157)&gt;=$S31),$V31,$U31)))=Milestones!$AB$157),UPPER(TEXT(EDATE($D31,Milestones!$AA$157),"dd mmm yy"))&amp;" "&amp;Milestones!$AB$157&amp;" "&amp;Milestones!$AC$157&amp;";  ","")&amp;IF(AND(EDATE($D31,Milestones!$AA$158)&lt;=AsOfDate,IF($R31=0,$X31,IF(AND($T31&lt;&gt;"",EDATE($D31,Milestones!$AA$158)&gt;=$T31),$W31,IF(AND($S31&lt;&gt;"",EDATE($D31,Milestones!$AA$158)&gt;=$S31),$V31,$U31)))=Milestones!$AB$158),UPPER(TEXT(EDATE($D31,Milestones!$AA$158),"dd mmm yy"))&amp;" "&amp;Milestones!$AB$158&amp;" "&amp;Milestones!$AC$158&amp;";  ","")&amp;IF(AND(EDATE($D31,Milestones!$AA$159)&lt;=AsOfDate,IF($R31=0,$X31,IF(AND($T31&lt;&gt;"",EDATE($D31,Milestones!$AA$159)&gt;=$T31),$W31,IF(AND($S31&lt;&gt;"",EDATE($D31,Milestones!$AA$159)&gt;=$S31),$V31,$U31)))=Milestones!$AB$159),UPPER(TEXT(EDATE($D31,Milestones!$AA$159),"dd mmm yy"))&amp;" "&amp;Milestones!$AB$159&amp;" "&amp;Milestones!$AC$159&amp;";  ",""))</f>
        <v/>
      </c>
      <c r="P31" s="0" t="str">
        <f aca="false">IF(OR($A31="",$D31=""),"",IF(AND(EDATE($D31,Milestones!$AA$160)&lt;=AsOfDate,IF($R31=0,$X31,IF(AND($T31&lt;&gt;"",EDATE($D31,Milestones!$AA$160)&gt;=$T31),$W31,IF(AND($S31&lt;&gt;"",EDATE($D31,Milestones!$AA$160)&gt;=$S31),$V31,$U31)))=Milestones!$AB$160),UPPER(TEXT(EDATE($D31,Milestones!$AA$160),"dd mmm yy"))&amp;" "&amp;Milestones!$AB$160&amp;" "&amp;Milestones!$AC$160&amp;";  ","")&amp;IF(AND(EDATE($D31,Milestones!$AA$161)&lt;=AsOfDate,IF($R31=0,$X31,IF(AND($T31&lt;&gt;"",EDATE($D31,Milestones!$AA$161)&gt;=$T31),$W31,IF(AND($S31&lt;&gt;"",EDATE($D31,Milestones!$AA$161)&gt;=$S31),$V31,$U31)))=Milestones!$AB$161),UPPER(TEXT(EDATE($D31,Milestones!$AA$161),"dd mmm yy"))&amp;" "&amp;Milestones!$AB$161&amp;" "&amp;Milestones!$AC$161&amp;";  ","")&amp;IF(AND(EDATE($D31,Milestones!$AA$162)&lt;=AsOfDate,IF($R31=0,$X31,IF(AND($T31&lt;&gt;"",EDATE($D31,Milestones!$AA$162)&gt;=$T31),$W31,IF(AND($S31&lt;&gt;"",EDATE($D31,Milestones!$AA$162)&gt;=$S31),$V31,$U31)))=Milestones!$AB$162),UPPER(TEXT(EDATE($D31,Milestones!$AA$162),"dd mmm yy"))&amp;" "&amp;Milestones!$AB$162&amp;" "&amp;Milestones!$AC$162&amp;";  ","")&amp;IF(AND(EDATE($D31,Milestones!$AA$163)&lt;=AsOfDate,IF($R31=0,$X31,IF(AND($T31&lt;&gt;"",EDATE($D31,Milestones!$AA$163)&gt;=$T31),$W31,IF(AND($S31&lt;&gt;"",EDATE($D31,Milestones!$AA$163)&gt;=$S31),$V31,$U31)))=Milestones!$AB$163),UPPER(TEXT(EDATE($D31,Milestones!$AA$163),"dd mmm yy"))&amp;" "&amp;Milestones!$AB$163&amp;" "&amp;Milestones!$AC$163&amp;";  ","")&amp;IF(AND(EDATE($D31,Milestones!$AA$164)&lt;=AsOfDate,IF($R31=0,$X31,IF(AND($T31&lt;&gt;"",EDATE($D31,Milestones!$AA$164)&gt;=$T31),$W31,IF(AND($S31&lt;&gt;"",EDATE($D31,Milestones!$AA$164)&gt;=$S31),$V31,$U31)))=Milestones!$AB$164),UPPER(TEXT(EDATE($D31,Milestones!$AA$164),"dd mmm yy"))&amp;" "&amp;Milestones!$AB$164&amp;" "&amp;Milestones!$AC$164&amp;";  ","")&amp;IF(AND(EDATE($D31,Milestones!$AA$165)&lt;=AsOfDate,IF($R31=0,$X31,IF(AND($T31&lt;&gt;"",EDATE($D31,Milestones!$AA$165)&gt;=$T31),$W31,IF(AND($S31&lt;&gt;"",EDATE($D31,Milestones!$AA$165)&gt;=$S31),$V31,$U31)))=Milestones!$AB$165),UPPER(TEXT(EDATE($D31,Milestones!$AA$165),"dd mmm yy"))&amp;" "&amp;Milestones!$AB$165&amp;" "&amp;Milestones!$AC$165&amp;";  ","")&amp;IF(AND(EDATE($D31,Milestones!$AA$166)&lt;=AsOfDate,IF($R31=0,$X31,IF(AND($T31&lt;&gt;"",EDATE($D31,Milestones!$AA$166)&gt;=$T31),$W31,IF(AND($S31&lt;&gt;"",EDATE($D31,Milestones!$AA$166)&gt;=$S31),$V31,$U31)))=Milestones!$AB$166),UPPER(TEXT(EDATE($D31,Milestones!$AA$166),"dd mmm yy"))&amp;" "&amp;Milestones!$AB$166&amp;" "&amp;Milestones!$AC$166&amp;";  ","")&amp;IF(AND(EDATE($D31,Milestones!$AA$167)&lt;=AsOfDate,IF($R31=0,$X31,IF(AND($T31&lt;&gt;"",EDATE($D31,Milestones!$AA$167)&gt;=$T31),$W31,IF(AND($S31&lt;&gt;"",EDATE($D31,Milestones!$AA$167)&gt;=$S31),$V31,$U31)))=Milestones!$AB$167),UPPER(TEXT(EDATE($D31,Milestones!$AA$167),"dd mmm yy"))&amp;" "&amp;Milestones!$AB$167&amp;" "&amp;Milestones!$AC$167&amp;";  ","")&amp;IF(AND(EDATE($D31,Milestones!$AA$168)&lt;=AsOfDate,IF($R31=0,$X31,IF(AND($T31&lt;&gt;"",EDATE($D31,Milestones!$AA$168)&gt;=$T31),$W31,IF(AND($S31&lt;&gt;"",EDATE($D31,Milestones!$AA$168)&gt;=$S31),$V31,$U31)))=Milestones!$AB$168),UPPER(TEXT(EDATE($D31,Milestones!$AA$168),"dd mmm yy"))&amp;" "&amp;Milestones!$AB$168&amp;" "&amp;Milestones!$AC$168&amp;";  ","")&amp;IF(AND(EDATE($D31,Milestones!$AA$169)&lt;=AsOfDate,IF($R31=0,$X31,IF(AND($T31&lt;&gt;"",EDATE($D31,Milestones!$AA$169)&gt;=$T31),$W31,IF(AND($S31&lt;&gt;"",EDATE($D31,Milestones!$AA$169)&gt;=$S31),$V31,$U31)))=Milestones!$AB$169),UPPER(TEXT(EDATE($D31,Milestones!$AA$169),"dd mmm yy"))&amp;" "&amp;Milestones!$AB$169&amp;" "&amp;Milestones!$AC$169&amp;";  ","")&amp;IF(AND(EDATE($D31,Milestones!$AA$170)&lt;=AsOfDate,IF($R31=0,$X31,IF(AND($T31&lt;&gt;"",EDATE($D31,Milestones!$AA$170)&gt;=$T31),$W31,IF(AND($S31&lt;&gt;"",EDATE($D31,Milestones!$AA$170)&gt;=$S31),$V31,$U31)))=Milestones!$AB$170),UPPER(TEXT(EDATE($D31,Milestones!$AA$170),"dd mmm yy"))&amp;" "&amp;Milestones!$AB$170&amp;" "&amp;Milestones!$AC$170&amp;";  ","")&amp;IF(AND(EDATE($D31,Milestones!$AA$171)&lt;=AsOfDate,IF($R31=0,$X31,IF(AND($T31&lt;&gt;"",EDATE($D31,Milestones!$AA$171)&gt;=$T31),$W31,IF(AND($S31&lt;&gt;"",EDATE($D31,Milestones!$AA$171)&gt;=$S31),$V31,$U31)))=Milestones!$AB$171),UPPER(TEXT(EDATE($D31,Milestones!$AA$171),"dd mmm yy"))&amp;" "&amp;Milestones!$AB$171&amp;" "&amp;Milestones!$AC$171&amp;";  ","")&amp;IF(AND(EDATE($D31,Milestones!$AA$172)&lt;=AsOfDate,IF($R31=0,$X31,IF(AND($T31&lt;&gt;"",EDATE($D31,Milestones!$AA$172)&gt;=$T31),$W31,IF(AND($S31&lt;&gt;"",EDATE($D31,Milestones!$AA$172)&gt;=$S31),$V31,$U31)))=Milestones!$AB$172),UPPER(TEXT(EDATE($D31,Milestones!$AA$172),"dd mmm yy"))&amp;" "&amp;Milestones!$AB$172&amp;" "&amp;Milestones!$AC$172&amp;";  ","")&amp;IF(AND(EDATE($D31,Milestones!$AA$173)&lt;=AsOfDate,IF($R31=0,$X31,IF(AND($T31&lt;&gt;"",EDATE($D31,Milestones!$AA$173)&gt;=$T31),$W31,IF(AND($S31&lt;&gt;"",EDATE($D31,Milestones!$AA$173)&gt;=$S31),$V31,$U31)))=Milestones!$AB$173),UPPER(TEXT(EDATE($D31,Milestones!$AA$173),"dd mmm yy"))&amp;" "&amp;Milestones!$AB$173&amp;" "&amp;Milestones!$AC$173&amp;";  ","")&amp;IF(AND(EDATE($D31,Milestones!$AA$174)&lt;=AsOfDate,IF($R31=0,$X31,IF(AND($T31&lt;&gt;"",EDATE($D31,Milestones!$AA$174)&gt;=$T31),$W31,IF(AND($S31&lt;&gt;"",EDATE($D31,Milestones!$AA$174)&gt;=$S31),$V31,$U31)))=Milestones!$AB$174),UPPER(TEXT(EDATE($D31,Milestones!$AA$174),"dd mmm yy"))&amp;" "&amp;Milestones!$AB$174&amp;" "&amp;Milestones!$AC$174&amp;";  ","")&amp;IF(AND(EDATE($D31,Milestones!$AA$175)&lt;=AsOfDate,IF($R31=0,$X31,IF(AND($T31&lt;&gt;"",EDATE($D31,Milestones!$AA$175)&gt;=$T31),$W31,IF(AND($S31&lt;&gt;"",EDATE($D31,Milestones!$AA$175)&gt;=$S31),$V31,$U31)))=Milestones!$AB$175),UPPER(TEXT(EDATE($D31,Milestones!$AA$175),"dd mmm yy"))&amp;" "&amp;Milestones!$AB$175&amp;" "&amp;Milestones!$AC$175&amp;";  ","")&amp;IF(AND(EDATE($D31,Milestones!$AA$176)&lt;=AsOfDate,IF($R31=0,$X31,IF(AND($T31&lt;&gt;"",EDATE($D31,Milestones!$AA$176)&gt;=$T31),$W31,IF(AND($S31&lt;&gt;"",EDATE($D31,Milestones!$AA$176)&gt;=$S31),$V31,$U31)))=Milestones!$AB$176),UPPER(TEXT(EDATE($D31,Milestones!$AA$176),"dd mmm yy"))&amp;" "&amp;Milestones!$AB$176&amp;" "&amp;Milestones!$AC$176&amp;";  ","")&amp;IF(AND(EDATE($D31,Milestones!$AA$177)&lt;=AsOfDate,IF($R31=0,$X31,IF(AND($T31&lt;&gt;"",EDATE($D31,Milestones!$AA$177)&gt;=$T31),$W31,IF(AND($S31&lt;&gt;"",EDATE($D31,Milestones!$AA$177)&gt;=$S31),$V31,$U31)))=Milestones!$AB$177),UPPER(TEXT(EDATE($D31,Milestones!$AA$177),"dd mmm yy"))&amp;" "&amp;Milestones!$AB$177&amp;" "&amp;Milestones!$AC$177&amp;";  ","")&amp;IF(AND(EDATE($D31,Milestones!$AA$178)&lt;=AsOfDate,IF($R31=0,$X31,IF(AND($T31&lt;&gt;"",EDATE($D31,Milestones!$AA$178)&gt;=$T31),$W31,IF(AND($S31&lt;&gt;"",EDATE($D31,Milestones!$AA$178)&gt;=$S31),$V31,$U31)))=Milestones!$AB$178),UPPER(TEXT(EDATE($D31,Milestones!$AA$178),"dd mmm yy"))&amp;" "&amp;Milestones!$AB$178&amp;" "&amp;Milestones!$AC$178&amp;";  ","")&amp;IF(AND(EDATE($D31,Milestones!$AA$179)&lt;=AsOfDate,IF($R31=0,$X31,IF(AND($T31&lt;&gt;"",EDATE($D31,Milestones!$AA$179)&gt;=$T31),$W31,IF(AND($S31&lt;&gt;"",EDATE($D31,Milestones!$AA$179)&gt;=$S31),$V31,$U31)))=Milestones!$AB$179),UPPER(TEXT(EDATE($D31,Milestones!$AA$179),"dd mmm yy"))&amp;" "&amp;Milestones!$AB$179&amp;" "&amp;Milestones!$AC$179&amp;";  ",""))</f>
        <v/>
      </c>
      <c r="Q31" s="0" t="str">
        <f aca="false">IF(OR($A31="",$D31=""),"",IF(AND(EDATE($D31,Milestones!$AA$180)&lt;=AsOfDate,IF($R31=0,$X31,IF(AND($T31&lt;&gt;"",EDATE($D31,Milestones!$AA$180)&gt;=$T31),$W31,IF(AND($S31&lt;&gt;"",EDATE($D31,Milestones!$AA$180)&gt;=$S31),$V31,$U31)))=Milestones!$AB$180),UPPER(TEXT(EDATE($D31,Milestones!$AA$180),"dd mmm yy"))&amp;" "&amp;Milestones!$AB$180&amp;" "&amp;Milestones!$AC$180&amp;";  ","")&amp;IF(AND(EDATE($D31,Milestones!$AA$181)&lt;=AsOfDate,IF($R31=0,$X31,IF(AND($T31&lt;&gt;"",EDATE($D31,Milestones!$AA$181)&gt;=$T31),$W31,IF(AND($S31&lt;&gt;"",EDATE($D31,Milestones!$AA$181)&gt;=$S31),$V31,$U31)))=Milestones!$AB$181),UPPER(TEXT(EDATE($D31,Milestones!$AA$181),"dd mmm yy"))&amp;" "&amp;Milestones!$AB$181&amp;" "&amp;Milestones!$AC$181&amp;";  ","")&amp;IF(AND(EDATE($D31,Milestones!$AA$182)&lt;=AsOfDate,IF($R31=0,$X31,IF(AND($T31&lt;&gt;"",EDATE($D31,Milestones!$AA$182)&gt;=$T31),$W31,IF(AND($S31&lt;&gt;"",EDATE($D31,Milestones!$AA$182)&gt;=$S31),$V31,$U31)))=Milestones!$AB$182),UPPER(TEXT(EDATE($D31,Milestones!$AA$182),"dd mmm yy"))&amp;" "&amp;Milestones!$AB$182&amp;" "&amp;Milestones!$AC$182&amp;";  ","")&amp;IF(AND(EDATE($D31,Milestones!$AA$183)&lt;=AsOfDate,IF($R31=0,$X31,IF(AND($T31&lt;&gt;"",EDATE($D31,Milestones!$AA$183)&gt;=$T31),$W31,IF(AND($S31&lt;&gt;"",EDATE($D31,Milestones!$AA$183)&gt;=$S31),$V31,$U31)))=Milestones!$AB$183),UPPER(TEXT(EDATE($D31,Milestones!$AA$183),"dd mmm yy"))&amp;" "&amp;Milestones!$AB$183&amp;" "&amp;Milestones!$AC$183&amp;";  ","")&amp;IF(AND(EDATE($D31,Milestones!$AA$184)&lt;=AsOfDate,IF($R31=0,$X31,IF(AND($T31&lt;&gt;"",EDATE($D31,Milestones!$AA$184)&gt;=$T31),$W31,IF(AND($S31&lt;&gt;"",EDATE($D31,Milestones!$AA$184)&gt;=$S31),$V31,$U31)))=Milestones!$AB$184),UPPER(TEXT(EDATE($D31,Milestones!$AA$184),"dd mmm yy"))&amp;" "&amp;Milestones!$AB$184&amp;" "&amp;Milestones!$AC$184&amp;";  ","")&amp;IF(AND(EDATE($D31,Milestones!$AA$185)&lt;=AsOfDate,IF($R31=0,$X31,IF(AND($T31&lt;&gt;"",EDATE($D31,Milestones!$AA$185)&gt;=$T31),$W31,IF(AND($S31&lt;&gt;"",EDATE($D31,Milestones!$AA$185)&gt;=$S31),$V31,$U31)))=Milestones!$AB$185),UPPER(TEXT(EDATE($D31,Milestones!$AA$185),"dd mmm yy"))&amp;" "&amp;Milestones!$AB$185&amp;" "&amp;Milestones!$AC$185&amp;";  ","")&amp;IF(AND(EDATE($D31,Milestones!$AA$186)&lt;=AsOfDate,IF($R31=0,$X31,IF(AND($T31&lt;&gt;"",EDATE($D31,Milestones!$AA$186)&gt;=$T31),$W31,IF(AND($S31&lt;&gt;"",EDATE($D31,Milestones!$AA$186)&gt;=$S31),$V31,$U31)))=Milestones!$AB$186),UPPER(TEXT(EDATE($D31,Milestones!$AA$186),"dd mmm yy"))&amp;" "&amp;Milestones!$AB$186&amp;" "&amp;Milestones!$AC$186&amp;";  ","")&amp;IF(AND(EDATE($D31,Milestones!$AA$187)&lt;=AsOfDate,IF($R31=0,$X31,IF(AND($T31&lt;&gt;"",EDATE($D31,Milestones!$AA$187)&gt;=$T31),$W31,IF(AND($S31&lt;&gt;"",EDATE($D31,Milestones!$AA$187)&gt;=$S31),$V31,$U31)))=Milestones!$AB$187),UPPER(TEXT(EDATE($D31,Milestones!$AA$187),"dd mmm yy"))&amp;" "&amp;Milestones!$AB$187&amp;" "&amp;Milestones!$AC$187&amp;";  ","")&amp;IF(AND(EDATE($D31,Milestones!$AA$188)&lt;=AsOfDate,IF($R31=0,$X31,IF(AND($T31&lt;&gt;"",EDATE($D31,Milestones!$AA$188)&gt;=$T31),$W31,IF(AND($S31&lt;&gt;"",EDATE($D31,Milestones!$AA$188)&gt;=$S31),$V31,$U31)))=Milestones!$AB$188),UPPER(TEXT(EDATE($D31,Milestones!$AA$188),"dd mmm yy"))&amp;" "&amp;Milestones!$AB$188&amp;" "&amp;Milestones!$AC$188&amp;";  ","")&amp;IF(AND(EDATE($D31,Milestones!$AA$189)&lt;=AsOfDate,IF($R31=0,$X31,IF(AND($T31&lt;&gt;"",EDATE($D31,Milestones!$AA$189)&gt;=$T31),$W31,IF(AND($S31&lt;&gt;"",EDATE($D31,Milestones!$AA$189)&gt;=$S31),$V31,$U31)))=Milestones!$AB$189),UPPER(TEXT(EDATE($D31,Milestones!$AA$189),"dd mmm yy"))&amp;" "&amp;Milestones!$AB$189&amp;" "&amp;Milestones!$AC$189&amp;";  ","")&amp;IF(AND(EDATE($D31,Milestones!$AA$190)&lt;=AsOfDate,IF($R31=0,$X31,IF(AND($T31&lt;&gt;"",EDATE($D31,Milestones!$AA$190)&gt;=$T31),$W31,IF(AND($S31&lt;&gt;"",EDATE($D31,Milestones!$AA$190)&gt;=$S31),$V31,$U31)))=Milestones!$AB$190),UPPER(TEXT(EDATE($D31,Milestones!$AA$190),"dd mmm yy"))&amp;" "&amp;Milestones!$AB$190&amp;" "&amp;Milestones!$AC$190&amp;";  ","")&amp;IF(AND(EDATE($D31,Milestones!$AA$191)&lt;=AsOfDate,IF($R31=0,$X31,IF(AND($T31&lt;&gt;"",EDATE($D31,Milestones!$AA$191)&gt;=$T31),$W31,IF(AND($S31&lt;&gt;"",EDATE($D31,Milestones!$AA$191)&gt;=$S31),$V31,$U31)))=Milestones!$AB$191),UPPER(TEXT(EDATE($D31,Milestones!$AA$191),"dd mmm yy"))&amp;" "&amp;Milestones!$AB$191&amp;" "&amp;Milestones!$AC$191&amp;";  ","")&amp;IF(AND(EDATE($D31,Milestones!$AA$192)&lt;=AsOfDate,IF($R31=0,$X31,IF(AND($T31&lt;&gt;"",EDATE($D31,Milestones!$AA$192)&gt;=$T31),$W31,IF(AND($S31&lt;&gt;"",EDATE($D31,Milestones!$AA$192)&gt;=$S31),$V31,$U31)))=Milestones!$AB$192),UPPER(TEXT(EDATE($D31,Milestones!$AA$192),"dd mmm yy"))&amp;" "&amp;Milestones!$AB$192&amp;" "&amp;Milestones!$AC$192&amp;";  ","")&amp;IF(AND(EDATE($D31,Milestones!$AA$193)&lt;=AsOfDate,IF($R31=0,$X31,IF(AND($T31&lt;&gt;"",EDATE($D31,Milestones!$AA$193)&gt;=$T31),$W31,IF(AND($S31&lt;&gt;"",EDATE($D31,Milestones!$AA$193)&gt;=$S31),$V31,$U31)))=Milestones!$AB$193),UPPER(TEXT(EDATE($D31,Milestones!$AA$193),"dd mmm yy"))&amp;" "&amp;Milestones!$AB$193&amp;" "&amp;Milestones!$AC$193&amp;";  ","")&amp;IF(AND(EDATE($D31,Milestones!$AA$194)&lt;=AsOfDate,IF($R31=0,$X31,IF(AND($T31&lt;&gt;"",EDATE($D31,Milestones!$AA$194)&gt;=$T31),$W31,IF(AND($S31&lt;&gt;"",EDATE($D31,Milestones!$AA$194)&gt;=$S31),$V31,$U31)))=Milestones!$AB$194),UPPER(TEXT(EDATE($D31,Milestones!$AA$194),"dd mmm yy"))&amp;" "&amp;Milestones!$AB$194&amp;" "&amp;Milestones!$AC$194&amp;";  ","")&amp;IF(AND(EDATE($D31,Milestones!$AA$195)&lt;=AsOfDate,IF($R31=0,$X31,IF(AND($T31&lt;&gt;"",EDATE($D31,Milestones!$AA$195)&gt;=$T31),$W31,IF(AND($S31&lt;&gt;"",EDATE($D31,Milestones!$AA$195)&gt;=$S31),$V31,$U31)))=Milestones!$AB$195),UPPER(TEXT(EDATE($D31,Milestones!$AA$195),"dd mmm yy"))&amp;" "&amp;Milestones!$AB$195&amp;" "&amp;Milestones!$AC$195&amp;";  ","")&amp;IF(AND(EDATE($D31,Milestones!$AA$196)&lt;=AsOfDate,IF($R31=0,$X31,IF(AND($T31&lt;&gt;"",EDATE($D31,Milestones!$AA$196)&gt;=$T31),$W31,IF(AND($S31&lt;&gt;"",EDATE($D31,Milestones!$AA$196)&gt;=$S31),$V31,$U31)))=Milestones!$AB$196),UPPER(TEXT(EDATE($D31,Milestones!$AA$196),"dd mmm yy"))&amp;" "&amp;Milestones!$AB$196&amp;" "&amp;Milestones!$AC$196&amp;";  ","")&amp;IF(AND(EDATE($D31,Milestones!$AA$197)&lt;=AsOfDate,IF($R31=0,$X31,IF(AND($T31&lt;&gt;"",EDATE($D31,Milestones!$AA$197)&gt;=$T31),$W31,IF(AND($S31&lt;&gt;"",EDATE($D31,Milestones!$AA$197)&gt;=$S31),$V31,$U31)))=Milestones!$AB$197),UPPER(TEXT(EDATE($D31,Milestones!$AA$197),"dd mmm yy"))&amp;" "&amp;Milestones!$AB$197&amp;" "&amp;Milestones!$AC$197&amp;";  ","")&amp;IF(AND(EDATE($D31,Milestones!$AA$198)&lt;=AsOfDate,IF($R31=0,$X31,IF(AND($T31&lt;&gt;"",EDATE($D31,Milestones!$AA$198)&gt;=$T31),$W31,IF(AND($S31&lt;&gt;"",EDATE($D31,Milestones!$AA$198)&gt;=$S31),$V31,$U31)))=Milestones!$AB$198),UPPER(TEXT(EDATE($D31,Milestones!$AA$198),"dd mmm yy"))&amp;" "&amp;Milestones!$AB$198&amp;" "&amp;Milestones!$AC$198&amp;";  ","")&amp;IF(AND(EDATE($D31,Milestones!$AA$199)&lt;=AsOfDate,IF($R31=0,$X31,IF(AND($T31&lt;&gt;"",EDATE($D31,Milestones!$AA$199)&gt;=$T31),$W31,IF(AND($S31&lt;&gt;"",EDATE($D31,Milestones!$AA$199)&gt;=$S31),$V31,$U31)))=Milestones!$AB$199),UPPER(TEXT(EDATE($D31,Milestones!$AA$199),"dd mmm yy"))&amp;" "&amp;Milestones!$AB$199&amp;" "&amp;Milestones!$AC$199&amp;";  ",""))</f>
        <v/>
      </c>
      <c r="R31" s="33" t="n">
        <f aca="false">IF(Staff!$A31="","",Staff!$AI31)</f>
        <v>0</v>
      </c>
      <c r="S31" s="0" t="str">
        <f aca="false">IF(Staff!$A31="","",Staff!$AK31)</f>
        <v/>
      </c>
      <c r="T31" s="0" t="str">
        <f aca="false">IF(Staff!$A31="","",Staff!$AL31)</f>
        <v/>
      </c>
      <c r="U31" s="0" t="str">
        <f aca="false">IF(Staff!$A31="","",Staff!$AP31)</f>
        <v>None</v>
      </c>
      <c r="V31" s="0" t="str">
        <f aca="false">IF(Staff!$A31="","",Staff!$AQ31)</f>
        <v/>
      </c>
      <c r="W31" s="0" t="str">
        <f aca="false">IF(Staff!$A31="","",Staff!$AR31)</f>
        <v/>
      </c>
      <c r="X31" s="0" t="str">
        <f aca="false">IF(Staff!$A31="","",Staff!$AS31)</f>
        <v>None</v>
      </c>
    </row>
    <row r="32" customFormat="false" ht="15" hidden="false" customHeight="false" outlineLevel="0" collapsed="false">
      <c r="A32" s="19" t="str">
        <f aca="false">IF(Staff!$A32="","",Staff!$A32)</f>
        <v>George</v>
      </c>
      <c r="B32" s="19" t="str">
        <f aca="false">IF(Staff!$A32="","",Staff!$B32)</f>
        <v>Gildon-Davis</v>
      </c>
      <c r="C32" s="19" t="str">
        <f aca="false">IF(Staff!$A32="","",Staff!$C32)</f>
        <v>Casual</v>
      </c>
      <c r="D32" s="17" t="n">
        <f aca="false">IF(Staff!$A32="","",Staff!$AH32)</f>
        <v>46258</v>
      </c>
      <c r="E32" s="20" t="n">
        <f aca="false">IF(Staff!$A32="","",Staff!$O32)</f>
        <v>0</v>
      </c>
      <c r="F32" s="19" t="n">
        <f aca="false">IF(E32="","",E32*HoursPerDay)</f>
        <v>0</v>
      </c>
      <c r="G32" s="20" t="n">
        <f aca="false">IF(Staff!$A32="","",Staff!$AE32)</f>
        <v>0</v>
      </c>
      <c r="H32" s="32" t="str">
        <f aca="false">IF($A32="","",I32&amp;J32&amp;K32&amp;L32&amp;M32&amp;N32&amp;O32&amp;P32&amp;Q32)</f>
        <v/>
      </c>
      <c r="I32" s="0" t="str">
        <f aca="false">IF(OR($A32="",$D32=""),"",IF(AND(EDATE($D32,Milestones!$AA$20)&lt;=AsOfDate,IF($R32=0,$X32,IF(AND($T32&lt;&gt;"",EDATE($D32,Milestones!$AA$20)&gt;=$T32),$W32,IF(AND($S32&lt;&gt;"",EDATE($D32,Milestones!$AA$20)&gt;=$S32),$V32,$U32)))=Milestones!$AB$20),UPPER(TEXT(EDATE($D32,Milestones!$AA$20),"dd mmm yy"))&amp;" "&amp;Milestones!$AB$20&amp;" "&amp;Milestones!$AC$20&amp;";  ","")&amp;IF(AND(EDATE($D32,Milestones!$AA$21)&lt;=AsOfDate,IF($R32=0,$X32,IF(AND($T32&lt;&gt;"",EDATE($D32,Milestones!$AA$21)&gt;=$T32),$W32,IF(AND($S32&lt;&gt;"",EDATE($D32,Milestones!$AA$21)&gt;=$S32),$V32,$U32)))=Milestones!$AB$21),UPPER(TEXT(EDATE($D32,Milestones!$AA$21),"dd mmm yy"))&amp;" "&amp;Milestones!$AB$21&amp;" "&amp;Milestones!$AC$21&amp;";  ","")&amp;IF(AND(EDATE($D32,Milestones!$AA$22)&lt;=AsOfDate,IF($R32=0,$X32,IF(AND($T32&lt;&gt;"",EDATE($D32,Milestones!$AA$22)&gt;=$T32),$W32,IF(AND($S32&lt;&gt;"",EDATE($D32,Milestones!$AA$22)&gt;=$S32),$V32,$U32)))=Milestones!$AB$22),UPPER(TEXT(EDATE($D32,Milestones!$AA$22),"dd mmm yy"))&amp;" "&amp;Milestones!$AB$22&amp;" "&amp;Milestones!$AC$22&amp;";  ","")&amp;IF(AND(EDATE($D32,Milestones!$AA$23)&lt;=AsOfDate,IF($R32=0,$X32,IF(AND($T32&lt;&gt;"",EDATE($D32,Milestones!$AA$23)&gt;=$T32),$W32,IF(AND($S32&lt;&gt;"",EDATE($D32,Milestones!$AA$23)&gt;=$S32),$V32,$U32)))=Milestones!$AB$23),UPPER(TEXT(EDATE($D32,Milestones!$AA$23),"dd mmm yy"))&amp;" "&amp;Milestones!$AB$23&amp;" "&amp;Milestones!$AC$23&amp;";  ","")&amp;IF(AND(EDATE($D32,Milestones!$AA$24)&lt;=AsOfDate,IF($R32=0,$X32,IF(AND($T32&lt;&gt;"",EDATE($D32,Milestones!$AA$24)&gt;=$T32),$W32,IF(AND($S32&lt;&gt;"",EDATE($D32,Milestones!$AA$24)&gt;=$S32),$V32,$U32)))=Milestones!$AB$24),UPPER(TEXT(EDATE($D32,Milestones!$AA$24),"dd mmm yy"))&amp;" "&amp;Milestones!$AB$24&amp;" "&amp;Milestones!$AC$24&amp;";  ","")&amp;IF(AND(EDATE($D32,Milestones!$AA$25)&lt;=AsOfDate,IF($R32=0,$X32,IF(AND($T32&lt;&gt;"",EDATE($D32,Milestones!$AA$25)&gt;=$T32),$W32,IF(AND($S32&lt;&gt;"",EDATE($D32,Milestones!$AA$25)&gt;=$S32),$V32,$U32)))=Milestones!$AB$25),UPPER(TEXT(EDATE($D32,Milestones!$AA$25),"dd mmm yy"))&amp;" "&amp;Milestones!$AB$25&amp;" "&amp;Milestones!$AC$25&amp;";  ","")&amp;IF(AND(EDATE($D32,Milestones!$AA$26)&lt;=AsOfDate,IF($R32=0,$X32,IF(AND($T32&lt;&gt;"",EDATE($D32,Milestones!$AA$26)&gt;=$T32),$W32,IF(AND($S32&lt;&gt;"",EDATE($D32,Milestones!$AA$26)&gt;=$S32),$V32,$U32)))=Milestones!$AB$26),UPPER(TEXT(EDATE($D32,Milestones!$AA$26),"dd mmm yy"))&amp;" "&amp;Milestones!$AB$26&amp;" "&amp;Milestones!$AC$26&amp;";  ","")&amp;IF(AND(EDATE($D32,Milestones!$AA$27)&lt;=AsOfDate,IF($R32=0,$X32,IF(AND($T32&lt;&gt;"",EDATE($D32,Milestones!$AA$27)&gt;=$T32),$W32,IF(AND($S32&lt;&gt;"",EDATE($D32,Milestones!$AA$27)&gt;=$S32),$V32,$U32)))=Milestones!$AB$27),UPPER(TEXT(EDATE($D32,Milestones!$AA$27),"dd mmm yy"))&amp;" "&amp;Milestones!$AB$27&amp;" "&amp;Milestones!$AC$27&amp;";  ","")&amp;IF(AND(EDATE($D32,Milestones!$AA$28)&lt;=AsOfDate,IF($R32=0,$X32,IF(AND($T32&lt;&gt;"",EDATE($D32,Milestones!$AA$28)&gt;=$T32),$W32,IF(AND($S32&lt;&gt;"",EDATE($D32,Milestones!$AA$28)&gt;=$S32),$V32,$U32)))=Milestones!$AB$28),UPPER(TEXT(EDATE($D32,Milestones!$AA$28),"dd mmm yy"))&amp;" "&amp;Milestones!$AB$28&amp;" "&amp;Milestones!$AC$28&amp;";  ","")&amp;IF(AND(EDATE($D32,Milestones!$AA$29)&lt;=AsOfDate,IF($R32=0,$X32,IF(AND($T32&lt;&gt;"",EDATE($D32,Milestones!$AA$29)&gt;=$T32),$W32,IF(AND($S32&lt;&gt;"",EDATE($D32,Milestones!$AA$29)&gt;=$S32),$V32,$U32)))=Milestones!$AB$29),UPPER(TEXT(EDATE($D32,Milestones!$AA$29),"dd mmm yy"))&amp;" "&amp;Milestones!$AB$29&amp;" "&amp;Milestones!$AC$29&amp;";  ","")&amp;IF(AND(EDATE($D32,Milestones!$AA$30)&lt;=AsOfDate,IF($R32=0,$X32,IF(AND($T32&lt;&gt;"",EDATE($D32,Milestones!$AA$30)&gt;=$T32),$W32,IF(AND($S32&lt;&gt;"",EDATE($D32,Milestones!$AA$30)&gt;=$S32),$V32,$U32)))=Milestones!$AB$30),UPPER(TEXT(EDATE($D32,Milestones!$AA$30),"dd mmm yy"))&amp;" "&amp;Milestones!$AB$30&amp;" "&amp;Milestones!$AC$30&amp;";  ","")&amp;IF(AND(EDATE($D32,Milestones!$AA$31)&lt;=AsOfDate,IF($R32=0,$X32,IF(AND($T32&lt;&gt;"",EDATE($D32,Milestones!$AA$31)&gt;=$T32),$W32,IF(AND($S32&lt;&gt;"",EDATE($D32,Milestones!$AA$31)&gt;=$S32),$V32,$U32)))=Milestones!$AB$31),UPPER(TEXT(EDATE($D32,Milestones!$AA$31),"dd mmm yy"))&amp;" "&amp;Milestones!$AB$31&amp;" "&amp;Milestones!$AC$31&amp;";  ","")&amp;IF(AND(EDATE($D32,Milestones!$AA$32)&lt;=AsOfDate,IF($R32=0,$X32,IF(AND($T32&lt;&gt;"",EDATE($D32,Milestones!$AA$32)&gt;=$T32),$W32,IF(AND($S32&lt;&gt;"",EDATE($D32,Milestones!$AA$32)&gt;=$S32),$V32,$U32)))=Milestones!$AB$32),UPPER(TEXT(EDATE($D32,Milestones!$AA$32),"dd mmm yy"))&amp;" "&amp;Milestones!$AB$32&amp;" "&amp;Milestones!$AC$32&amp;";  ","")&amp;IF(AND(EDATE($D32,Milestones!$AA$33)&lt;=AsOfDate,IF($R32=0,$X32,IF(AND($T32&lt;&gt;"",EDATE($D32,Milestones!$AA$33)&gt;=$T32),$W32,IF(AND($S32&lt;&gt;"",EDATE($D32,Milestones!$AA$33)&gt;=$S32),$V32,$U32)))=Milestones!$AB$33),UPPER(TEXT(EDATE($D32,Milestones!$AA$33),"dd mmm yy"))&amp;" "&amp;Milestones!$AB$33&amp;" "&amp;Milestones!$AC$33&amp;";  ","")&amp;IF(AND(EDATE($D32,Milestones!$AA$34)&lt;=AsOfDate,IF($R32=0,$X32,IF(AND($T32&lt;&gt;"",EDATE($D32,Milestones!$AA$34)&gt;=$T32),$W32,IF(AND($S32&lt;&gt;"",EDATE($D32,Milestones!$AA$34)&gt;=$S32),$V32,$U32)))=Milestones!$AB$34),UPPER(TEXT(EDATE($D32,Milestones!$AA$34),"dd mmm yy"))&amp;" "&amp;Milestones!$AB$34&amp;" "&amp;Milestones!$AC$34&amp;";  ","")&amp;IF(AND(EDATE($D32,Milestones!$AA$35)&lt;=AsOfDate,IF($R32=0,$X32,IF(AND($T32&lt;&gt;"",EDATE($D32,Milestones!$AA$35)&gt;=$T32),$W32,IF(AND($S32&lt;&gt;"",EDATE($D32,Milestones!$AA$35)&gt;=$S32),$V32,$U32)))=Milestones!$AB$35),UPPER(TEXT(EDATE($D32,Milestones!$AA$35),"dd mmm yy"))&amp;" "&amp;Milestones!$AB$35&amp;" "&amp;Milestones!$AC$35&amp;";  ","")&amp;IF(AND(EDATE($D32,Milestones!$AA$36)&lt;=AsOfDate,IF($R32=0,$X32,IF(AND($T32&lt;&gt;"",EDATE($D32,Milestones!$AA$36)&gt;=$T32),$W32,IF(AND($S32&lt;&gt;"",EDATE($D32,Milestones!$AA$36)&gt;=$S32),$V32,$U32)))=Milestones!$AB$36),UPPER(TEXT(EDATE($D32,Milestones!$AA$36),"dd mmm yy"))&amp;" "&amp;Milestones!$AB$36&amp;" "&amp;Milestones!$AC$36&amp;";  ","")&amp;IF(AND(EDATE($D32,Milestones!$AA$37)&lt;=AsOfDate,IF($R32=0,$X32,IF(AND($T32&lt;&gt;"",EDATE($D32,Milestones!$AA$37)&gt;=$T32),$W32,IF(AND($S32&lt;&gt;"",EDATE($D32,Milestones!$AA$37)&gt;=$S32),$V32,$U32)))=Milestones!$AB$37),UPPER(TEXT(EDATE($D32,Milestones!$AA$37),"dd mmm yy"))&amp;" "&amp;Milestones!$AB$37&amp;" "&amp;Milestones!$AC$37&amp;";  ","")&amp;IF(AND(EDATE($D32,Milestones!$AA$38)&lt;=AsOfDate,IF($R32=0,$X32,IF(AND($T32&lt;&gt;"",EDATE($D32,Milestones!$AA$38)&gt;=$T32),$W32,IF(AND($S32&lt;&gt;"",EDATE($D32,Milestones!$AA$38)&gt;=$S32),$V32,$U32)))=Milestones!$AB$38),UPPER(TEXT(EDATE($D32,Milestones!$AA$38),"dd mmm yy"))&amp;" "&amp;Milestones!$AB$38&amp;" "&amp;Milestones!$AC$38&amp;";  ","")&amp;IF(AND(EDATE($D32,Milestones!$AA$39)&lt;=AsOfDate,IF($R32=0,$X32,IF(AND($T32&lt;&gt;"",EDATE($D32,Milestones!$AA$39)&gt;=$T32),$W32,IF(AND($S32&lt;&gt;"",EDATE($D32,Milestones!$AA$39)&gt;=$S32),$V32,$U32)))=Milestones!$AB$39),UPPER(TEXT(EDATE($D32,Milestones!$AA$39),"dd mmm yy"))&amp;" "&amp;Milestones!$AB$39&amp;" "&amp;Milestones!$AC$39&amp;";  ",""))</f>
        <v/>
      </c>
      <c r="J32" s="0" t="str">
        <f aca="false">IF(OR($A32="",$D32=""),"",IF(AND(EDATE($D32,Milestones!$AA$40)&lt;=AsOfDate,IF($R32=0,$X32,IF(AND($T32&lt;&gt;"",EDATE($D32,Milestones!$AA$40)&gt;=$T32),$W32,IF(AND($S32&lt;&gt;"",EDATE($D32,Milestones!$AA$40)&gt;=$S32),$V32,$U32)))=Milestones!$AB$40),UPPER(TEXT(EDATE($D32,Milestones!$AA$40),"dd mmm yy"))&amp;" "&amp;Milestones!$AB$40&amp;" "&amp;Milestones!$AC$40&amp;";  ","")&amp;IF(AND(EDATE($D32,Milestones!$AA$41)&lt;=AsOfDate,IF($R32=0,$X32,IF(AND($T32&lt;&gt;"",EDATE($D32,Milestones!$AA$41)&gt;=$T32),$W32,IF(AND($S32&lt;&gt;"",EDATE($D32,Milestones!$AA$41)&gt;=$S32),$V32,$U32)))=Milestones!$AB$41),UPPER(TEXT(EDATE($D32,Milestones!$AA$41),"dd mmm yy"))&amp;" "&amp;Milestones!$AB$41&amp;" "&amp;Milestones!$AC$41&amp;";  ","")&amp;IF(AND(EDATE($D32,Milestones!$AA$42)&lt;=AsOfDate,IF($R32=0,$X32,IF(AND($T32&lt;&gt;"",EDATE($D32,Milestones!$AA$42)&gt;=$T32),$W32,IF(AND($S32&lt;&gt;"",EDATE($D32,Milestones!$AA$42)&gt;=$S32),$V32,$U32)))=Milestones!$AB$42),UPPER(TEXT(EDATE($D32,Milestones!$AA$42),"dd mmm yy"))&amp;" "&amp;Milestones!$AB$42&amp;" "&amp;Milestones!$AC$42&amp;";  ","")&amp;IF(AND(EDATE($D32,Milestones!$AA$43)&lt;=AsOfDate,IF($R32=0,$X32,IF(AND($T32&lt;&gt;"",EDATE($D32,Milestones!$AA$43)&gt;=$T32),$W32,IF(AND($S32&lt;&gt;"",EDATE($D32,Milestones!$AA$43)&gt;=$S32),$V32,$U32)))=Milestones!$AB$43),UPPER(TEXT(EDATE($D32,Milestones!$AA$43),"dd mmm yy"))&amp;" "&amp;Milestones!$AB$43&amp;" "&amp;Milestones!$AC$43&amp;";  ","")&amp;IF(AND(EDATE($D32,Milestones!$AA$44)&lt;=AsOfDate,IF($R32=0,$X32,IF(AND($T32&lt;&gt;"",EDATE($D32,Milestones!$AA$44)&gt;=$T32),$W32,IF(AND($S32&lt;&gt;"",EDATE($D32,Milestones!$AA$44)&gt;=$S32),$V32,$U32)))=Milestones!$AB$44),UPPER(TEXT(EDATE($D32,Milestones!$AA$44),"dd mmm yy"))&amp;" "&amp;Milestones!$AB$44&amp;" "&amp;Milestones!$AC$44&amp;";  ","")&amp;IF(AND(EDATE($D32,Milestones!$AA$45)&lt;=AsOfDate,IF($R32=0,$X32,IF(AND($T32&lt;&gt;"",EDATE($D32,Milestones!$AA$45)&gt;=$T32),$W32,IF(AND($S32&lt;&gt;"",EDATE($D32,Milestones!$AA$45)&gt;=$S32),$V32,$U32)))=Milestones!$AB$45),UPPER(TEXT(EDATE($D32,Milestones!$AA$45),"dd mmm yy"))&amp;" "&amp;Milestones!$AB$45&amp;" "&amp;Milestones!$AC$45&amp;";  ","")&amp;IF(AND(EDATE($D32,Milestones!$AA$46)&lt;=AsOfDate,IF($R32=0,$X32,IF(AND($T32&lt;&gt;"",EDATE($D32,Milestones!$AA$46)&gt;=$T32),$W32,IF(AND($S32&lt;&gt;"",EDATE($D32,Milestones!$AA$46)&gt;=$S32),$V32,$U32)))=Milestones!$AB$46),UPPER(TEXT(EDATE($D32,Milestones!$AA$46),"dd mmm yy"))&amp;" "&amp;Milestones!$AB$46&amp;" "&amp;Milestones!$AC$46&amp;";  ","")&amp;IF(AND(EDATE($D32,Milestones!$AA$47)&lt;=AsOfDate,IF($R32=0,$X32,IF(AND($T32&lt;&gt;"",EDATE($D32,Milestones!$AA$47)&gt;=$T32),$W32,IF(AND($S32&lt;&gt;"",EDATE($D32,Milestones!$AA$47)&gt;=$S32),$V32,$U32)))=Milestones!$AB$47),UPPER(TEXT(EDATE($D32,Milestones!$AA$47),"dd mmm yy"))&amp;" "&amp;Milestones!$AB$47&amp;" "&amp;Milestones!$AC$47&amp;";  ","")&amp;IF(AND(EDATE($D32,Milestones!$AA$48)&lt;=AsOfDate,IF($R32=0,$X32,IF(AND($T32&lt;&gt;"",EDATE($D32,Milestones!$AA$48)&gt;=$T32),$W32,IF(AND($S32&lt;&gt;"",EDATE($D32,Milestones!$AA$48)&gt;=$S32),$V32,$U32)))=Milestones!$AB$48),UPPER(TEXT(EDATE($D32,Milestones!$AA$48),"dd mmm yy"))&amp;" "&amp;Milestones!$AB$48&amp;" "&amp;Milestones!$AC$48&amp;";  ","")&amp;IF(AND(EDATE($D32,Milestones!$AA$49)&lt;=AsOfDate,IF($R32=0,$X32,IF(AND($T32&lt;&gt;"",EDATE($D32,Milestones!$AA$49)&gt;=$T32),$W32,IF(AND($S32&lt;&gt;"",EDATE($D32,Milestones!$AA$49)&gt;=$S32),$V32,$U32)))=Milestones!$AB$49),UPPER(TEXT(EDATE($D32,Milestones!$AA$49),"dd mmm yy"))&amp;" "&amp;Milestones!$AB$49&amp;" "&amp;Milestones!$AC$49&amp;";  ","")&amp;IF(AND(EDATE($D32,Milestones!$AA$50)&lt;=AsOfDate,IF($R32=0,$X32,IF(AND($T32&lt;&gt;"",EDATE($D32,Milestones!$AA$50)&gt;=$T32),$W32,IF(AND($S32&lt;&gt;"",EDATE($D32,Milestones!$AA$50)&gt;=$S32),$V32,$U32)))=Milestones!$AB$50),UPPER(TEXT(EDATE($D32,Milestones!$AA$50),"dd mmm yy"))&amp;" "&amp;Milestones!$AB$50&amp;" "&amp;Milestones!$AC$50&amp;";  ","")&amp;IF(AND(EDATE($D32,Milestones!$AA$51)&lt;=AsOfDate,IF($R32=0,$X32,IF(AND($T32&lt;&gt;"",EDATE($D32,Milestones!$AA$51)&gt;=$T32),$W32,IF(AND($S32&lt;&gt;"",EDATE($D32,Milestones!$AA$51)&gt;=$S32),$V32,$U32)))=Milestones!$AB$51),UPPER(TEXT(EDATE($D32,Milestones!$AA$51),"dd mmm yy"))&amp;" "&amp;Milestones!$AB$51&amp;" "&amp;Milestones!$AC$51&amp;";  ","")&amp;IF(AND(EDATE($D32,Milestones!$AA$52)&lt;=AsOfDate,IF($R32=0,$X32,IF(AND($T32&lt;&gt;"",EDATE($D32,Milestones!$AA$52)&gt;=$T32),$W32,IF(AND($S32&lt;&gt;"",EDATE($D32,Milestones!$AA$52)&gt;=$S32),$V32,$U32)))=Milestones!$AB$52),UPPER(TEXT(EDATE($D32,Milestones!$AA$52),"dd mmm yy"))&amp;" "&amp;Milestones!$AB$52&amp;" "&amp;Milestones!$AC$52&amp;";  ","")&amp;IF(AND(EDATE($D32,Milestones!$AA$53)&lt;=AsOfDate,IF($R32=0,$X32,IF(AND($T32&lt;&gt;"",EDATE($D32,Milestones!$AA$53)&gt;=$T32),$W32,IF(AND($S32&lt;&gt;"",EDATE($D32,Milestones!$AA$53)&gt;=$S32),$V32,$U32)))=Milestones!$AB$53),UPPER(TEXT(EDATE($D32,Milestones!$AA$53),"dd mmm yy"))&amp;" "&amp;Milestones!$AB$53&amp;" "&amp;Milestones!$AC$53&amp;";  ","")&amp;IF(AND(EDATE($D32,Milestones!$AA$54)&lt;=AsOfDate,IF($R32=0,$X32,IF(AND($T32&lt;&gt;"",EDATE($D32,Milestones!$AA$54)&gt;=$T32),$W32,IF(AND($S32&lt;&gt;"",EDATE($D32,Milestones!$AA$54)&gt;=$S32),$V32,$U32)))=Milestones!$AB$54),UPPER(TEXT(EDATE($D32,Milestones!$AA$54),"dd mmm yy"))&amp;" "&amp;Milestones!$AB$54&amp;" "&amp;Milestones!$AC$54&amp;";  ","")&amp;IF(AND(EDATE($D32,Milestones!$AA$55)&lt;=AsOfDate,IF($R32=0,$X32,IF(AND($T32&lt;&gt;"",EDATE($D32,Milestones!$AA$55)&gt;=$T32),$W32,IF(AND($S32&lt;&gt;"",EDATE($D32,Milestones!$AA$55)&gt;=$S32),$V32,$U32)))=Milestones!$AB$55),UPPER(TEXT(EDATE($D32,Milestones!$AA$55),"dd mmm yy"))&amp;" "&amp;Milestones!$AB$55&amp;" "&amp;Milestones!$AC$55&amp;";  ","")&amp;IF(AND(EDATE($D32,Milestones!$AA$56)&lt;=AsOfDate,IF($R32=0,$X32,IF(AND($T32&lt;&gt;"",EDATE($D32,Milestones!$AA$56)&gt;=$T32),$W32,IF(AND($S32&lt;&gt;"",EDATE($D32,Milestones!$AA$56)&gt;=$S32),$V32,$U32)))=Milestones!$AB$56),UPPER(TEXT(EDATE($D32,Milestones!$AA$56),"dd mmm yy"))&amp;" "&amp;Milestones!$AB$56&amp;" "&amp;Milestones!$AC$56&amp;";  ","")&amp;IF(AND(EDATE($D32,Milestones!$AA$57)&lt;=AsOfDate,IF($R32=0,$X32,IF(AND($T32&lt;&gt;"",EDATE($D32,Milestones!$AA$57)&gt;=$T32),$W32,IF(AND($S32&lt;&gt;"",EDATE($D32,Milestones!$AA$57)&gt;=$S32),$V32,$U32)))=Milestones!$AB$57),UPPER(TEXT(EDATE($D32,Milestones!$AA$57),"dd mmm yy"))&amp;" "&amp;Milestones!$AB$57&amp;" "&amp;Milestones!$AC$57&amp;";  ","")&amp;IF(AND(EDATE($D32,Milestones!$AA$58)&lt;=AsOfDate,IF($R32=0,$X32,IF(AND($T32&lt;&gt;"",EDATE($D32,Milestones!$AA$58)&gt;=$T32),$W32,IF(AND($S32&lt;&gt;"",EDATE($D32,Milestones!$AA$58)&gt;=$S32),$V32,$U32)))=Milestones!$AB$58),UPPER(TEXT(EDATE($D32,Milestones!$AA$58),"dd mmm yy"))&amp;" "&amp;Milestones!$AB$58&amp;" "&amp;Milestones!$AC$58&amp;";  ","")&amp;IF(AND(EDATE($D32,Milestones!$AA$59)&lt;=AsOfDate,IF($R32=0,$X32,IF(AND($T32&lt;&gt;"",EDATE($D32,Milestones!$AA$59)&gt;=$T32),$W32,IF(AND($S32&lt;&gt;"",EDATE($D32,Milestones!$AA$59)&gt;=$S32),$V32,$U32)))=Milestones!$AB$59),UPPER(TEXT(EDATE($D32,Milestones!$AA$59),"dd mmm yy"))&amp;" "&amp;Milestones!$AB$59&amp;" "&amp;Milestones!$AC$59&amp;";  ",""))</f>
        <v/>
      </c>
      <c r="K32" s="0" t="str">
        <f aca="false">IF(OR($A32="",$D32=""),"",IF(AND(EDATE($D32,Milestones!$AA$60)&lt;=AsOfDate,IF($R32=0,$X32,IF(AND($T32&lt;&gt;"",EDATE($D32,Milestones!$AA$60)&gt;=$T32),$W32,IF(AND($S32&lt;&gt;"",EDATE($D32,Milestones!$AA$60)&gt;=$S32),$V32,$U32)))=Milestones!$AB$60),UPPER(TEXT(EDATE($D32,Milestones!$AA$60),"dd mmm yy"))&amp;" "&amp;Milestones!$AB$60&amp;" "&amp;Milestones!$AC$60&amp;";  ","")&amp;IF(AND(EDATE($D32,Milestones!$AA$61)&lt;=AsOfDate,IF($R32=0,$X32,IF(AND($T32&lt;&gt;"",EDATE($D32,Milestones!$AA$61)&gt;=$T32),$W32,IF(AND($S32&lt;&gt;"",EDATE($D32,Milestones!$AA$61)&gt;=$S32),$V32,$U32)))=Milestones!$AB$61),UPPER(TEXT(EDATE($D32,Milestones!$AA$61),"dd mmm yy"))&amp;" "&amp;Milestones!$AB$61&amp;" "&amp;Milestones!$AC$61&amp;";  ","")&amp;IF(AND(EDATE($D32,Milestones!$AA$62)&lt;=AsOfDate,IF($R32=0,$X32,IF(AND($T32&lt;&gt;"",EDATE($D32,Milestones!$AA$62)&gt;=$T32),$W32,IF(AND($S32&lt;&gt;"",EDATE($D32,Milestones!$AA$62)&gt;=$S32),$V32,$U32)))=Milestones!$AB$62),UPPER(TEXT(EDATE($D32,Milestones!$AA$62),"dd mmm yy"))&amp;" "&amp;Milestones!$AB$62&amp;" "&amp;Milestones!$AC$62&amp;";  ","")&amp;IF(AND(EDATE($D32,Milestones!$AA$63)&lt;=AsOfDate,IF($R32=0,$X32,IF(AND($T32&lt;&gt;"",EDATE($D32,Milestones!$AA$63)&gt;=$T32),$W32,IF(AND($S32&lt;&gt;"",EDATE($D32,Milestones!$AA$63)&gt;=$S32),$V32,$U32)))=Milestones!$AB$63),UPPER(TEXT(EDATE($D32,Milestones!$AA$63),"dd mmm yy"))&amp;" "&amp;Milestones!$AB$63&amp;" "&amp;Milestones!$AC$63&amp;";  ","")&amp;IF(AND(EDATE($D32,Milestones!$AA$64)&lt;=AsOfDate,IF($R32=0,$X32,IF(AND($T32&lt;&gt;"",EDATE($D32,Milestones!$AA$64)&gt;=$T32),$W32,IF(AND($S32&lt;&gt;"",EDATE($D32,Milestones!$AA$64)&gt;=$S32),$V32,$U32)))=Milestones!$AB$64),UPPER(TEXT(EDATE($D32,Milestones!$AA$64),"dd mmm yy"))&amp;" "&amp;Milestones!$AB$64&amp;" "&amp;Milestones!$AC$64&amp;";  ","")&amp;IF(AND(EDATE($D32,Milestones!$AA$65)&lt;=AsOfDate,IF($R32=0,$X32,IF(AND($T32&lt;&gt;"",EDATE($D32,Milestones!$AA$65)&gt;=$T32),$W32,IF(AND($S32&lt;&gt;"",EDATE($D32,Milestones!$AA$65)&gt;=$S32),$V32,$U32)))=Milestones!$AB$65),UPPER(TEXT(EDATE($D32,Milestones!$AA$65),"dd mmm yy"))&amp;" "&amp;Milestones!$AB$65&amp;" "&amp;Milestones!$AC$65&amp;";  ","")&amp;IF(AND(EDATE($D32,Milestones!$AA$66)&lt;=AsOfDate,IF($R32=0,$X32,IF(AND($T32&lt;&gt;"",EDATE($D32,Milestones!$AA$66)&gt;=$T32),$W32,IF(AND($S32&lt;&gt;"",EDATE($D32,Milestones!$AA$66)&gt;=$S32),$V32,$U32)))=Milestones!$AB$66),UPPER(TEXT(EDATE($D32,Milestones!$AA$66),"dd mmm yy"))&amp;" "&amp;Milestones!$AB$66&amp;" "&amp;Milestones!$AC$66&amp;";  ","")&amp;IF(AND(EDATE($D32,Milestones!$AA$67)&lt;=AsOfDate,IF($R32=0,$X32,IF(AND($T32&lt;&gt;"",EDATE($D32,Milestones!$AA$67)&gt;=$T32),$W32,IF(AND($S32&lt;&gt;"",EDATE($D32,Milestones!$AA$67)&gt;=$S32),$V32,$U32)))=Milestones!$AB$67),UPPER(TEXT(EDATE($D32,Milestones!$AA$67),"dd mmm yy"))&amp;" "&amp;Milestones!$AB$67&amp;" "&amp;Milestones!$AC$67&amp;";  ","")&amp;IF(AND(EDATE($D32,Milestones!$AA$68)&lt;=AsOfDate,IF($R32=0,$X32,IF(AND($T32&lt;&gt;"",EDATE($D32,Milestones!$AA$68)&gt;=$T32),$W32,IF(AND($S32&lt;&gt;"",EDATE($D32,Milestones!$AA$68)&gt;=$S32),$V32,$U32)))=Milestones!$AB$68),UPPER(TEXT(EDATE($D32,Milestones!$AA$68),"dd mmm yy"))&amp;" "&amp;Milestones!$AB$68&amp;" "&amp;Milestones!$AC$68&amp;";  ","")&amp;IF(AND(EDATE($D32,Milestones!$AA$69)&lt;=AsOfDate,IF($R32=0,$X32,IF(AND($T32&lt;&gt;"",EDATE($D32,Milestones!$AA$69)&gt;=$T32),$W32,IF(AND($S32&lt;&gt;"",EDATE($D32,Milestones!$AA$69)&gt;=$S32),$V32,$U32)))=Milestones!$AB$69),UPPER(TEXT(EDATE($D32,Milestones!$AA$69),"dd mmm yy"))&amp;" "&amp;Milestones!$AB$69&amp;" "&amp;Milestones!$AC$69&amp;";  ","")&amp;IF(AND(EDATE($D32,Milestones!$AA$70)&lt;=AsOfDate,IF($R32=0,$X32,IF(AND($T32&lt;&gt;"",EDATE($D32,Milestones!$AA$70)&gt;=$T32),$W32,IF(AND($S32&lt;&gt;"",EDATE($D32,Milestones!$AA$70)&gt;=$S32),$V32,$U32)))=Milestones!$AB$70),UPPER(TEXT(EDATE($D32,Milestones!$AA$70),"dd mmm yy"))&amp;" "&amp;Milestones!$AB$70&amp;" "&amp;Milestones!$AC$70&amp;";  ","")&amp;IF(AND(EDATE($D32,Milestones!$AA$71)&lt;=AsOfDate,IF($R32=0,$X32,IF(AND($T32&lt;&gt;"",EDATE($D32,Milestones!$AA$71)&gt;=$T32),$W32,IF(AND($S32&lt;&gt;"",EDATE($D32,Milestones!$AA$71)&gt;=$S32),$V32,$U32)))=Milestones!$AB$71),UPPER(TEXT(EDATE($D32,Milestones!$AA$71),"dd mmm yy"))&amp;" "&amp;Milestones!$AB$71&amp;" "&amp;Milestones!$AC$71&amp;";  ","")&amp;IF(AND(EDATE($D32,Milestones!$AA$72)&lt;=AsOfDate,IF($R32=0,$X32,IF(AND($T32&lt;&gt;"",EDATE($D32,Milestones!$AA$72)&gt;=$T32),$W32,IF(AND($S32&lt;&gt;"",EDATE($D32,Milestones!$AA$72)&gt;=$S32),$V32,$U32)))=Milestones!$AB$72),UPPER(TEXT(EDATE($D32,Milestones!$AA$72),"dd mmm yy"))&amp;" "&amp;Milestones!$AB$72&amp;" "&amp;Milestones!$AC$72&amp;";  ","")&amp;IF(AND(EDATE($D32,Milestones!$AA$73)&lt;=AsOfDate,IF($R32=0,$X32,IF(AND($T32&lt;&gt;"",EDATE($D32,Milestones!$AA$73)&gt;=$T32),$W32,IF(AND($S32&lt;&gt;"",EDATE($D32,Milestones!$AA$73)&gt;=$S32),$V32,$U32)))=Milestones!$AB$73),UPPER(TEXT(EDATE($D32,Milestones!$AA$73),"dd mmm yy"))&amp;" "&amp;Milestones!$AB$73&amp;" "&amp;Milestones!$AC$73&amp;";  ","")&amp;IF(AND(EDATE($D32,Milestones!$AA$74)&lt;=AsOfDate,IF($R32=0,$X32,IF(AND($T32&lt;&gt;"",EDATE($D32,Milestones!$AA$74)&gt;=$T32),$W32,IF(AND($S32&lt;&gt;"",EDATE($D32,Milestones!$AA$74)&gt;=$S32),$V32,$U32)))=Milestones!$AB$74),UPPER(TEXT(EDATE($D32,Milestones!$AA$74),"dd mmm yy"))&amp;" "&amp;Milestones!$AB$74&amp;" "&amp;Milestones!$AC$74&amp;";  ","")&amp;IF(AND(EDATE($D32,Milestones!$AA$75)&lt;=AsOfDate,IF($R32=0,$X32,IF(AND($T32&lt;&gt;"",EDATE($D32,Milestones!$AA$75)&gt;=$T32),$W32,IF(AND($S32&lt;&gt;"",EDATE($D32,Milestones!$AA$75)&gt;=$S32),$V32,$U32)))=Milestones!$AB$75),UPPER(TEXT(EDATE($D32,Milestones!$AA$75),"dd mmm yy"))&amp;" "&amp;Milestones!$AB$75&amp;" "&amp;Milestones!$AC$75&amp;";  ","")&amp;IF(AND(EDATE($D32,Milestones!$AA$76)&lt;=AsOfDate,IF($R32=0,$X32,IF(AND($T32&lt;&gt;"",EDATE($D32,Milestones!$AA$76)&gt;=$T32),$W32,IF(AND($S32&lt;&gt;"",EDATE($D32,Milestones!$AA$76)&gt;=$S32),$V32,$U32)))=Milestones!$AB$76),UPPER(TEXT(EDATE($D32,Milestones!$AA$76),"dd mmm yy"))&amp;" "&amp;Milestones!$AB$76&amp;" "&amp;Milestones!$AC$76&amp;";  ","")&amp;IF(AND(EDATE($D32,Milestones!$AA$77)&lt;=AsOfDate,IF($R32=0,$X32,IF(AND($T32&lt;&gt;"",EDATE($D32,Milestones!$AA$77)&gt;=$T32),$W32,IF(AND($S32&lt;&gt;"",EDATE($D32,Milestones!$AA$77)&gt;=$S32),$V32,$U32)))=Milestones!$AB$77),UPPER(TEXT(EDATE($D32,Milestones!$AA$77),"dd mmm yy"))&amp;" "&amp;Milestones!$AB$77&amp;" "&amp;Milestones!$AC$77&amp;";  ","")&amp;IF(AND(EDATE($D32,Milestones!$AA$78)&lt;=AsOfDate,IF($R32=0,$X32,IF(AND($T32&lt;&gt;"",EDATE($D32,Milestones!$AA$78)&gt;=$T32),$W32,IF(AND($S32&lt;&gt;"",EDATE($D32,Milestones!$AA$78)&gt;=$S32),$V32,$U32)))=Milestones!$AB$78),UPPER(TEXT(EDATE($D32,Milestones!$AA$78),"dd mmm yy"))&amp;" "&amp;Milestones!$AB$78&amp;" "&amp;Milestones!$AC$78&amp;";  ","")&amp;IF(AND(EDATE($D32,Milestones!$AA$79)&lt;=AsOfDate,IF($R32=0,$X32,IF(AND($T32&lt;&gt;"",EDATE($D32,Milestones!$AA$79)&gt;=$T32),$W32,IF(AND($S32&lt;&gt;"",EDATE($D32,Milestones!$AA$79)&gt;=$S32),$V32,$U32)))=Milestones!$AB$79),UPPER(TEXT(EDATE($D32,Milestones!$AA$79),"dd mmm yy"))&amp;" "&amp;Milestones!$AB$79&amp;" "&amp;Milestones!$AC$79&amp;";  ",""))</f>
        <v/>
      </c>
      <c r="L32" s="0" t="str">
        <f aca="false">IF(OR($A32="",$D32=""),"",IF(AND(EDATE($D32,Milestones!$AA$80)&lt;=AsOfDate,IF($R32=0,$X32,IF(AND($T32&lt;&gt;"",EDATE($D32,Milestones!$AA$80)&gt;=$T32),$W32,IF(AND($S32&lt;&gt;"",EDATE($D32,Milestones!$AA$80)&gt;=$S32),$V32,$U32)))=Milestones!$AB$80),UPPER(TEXT(EDATE($D32,Milestones!$AA$80),"dd mmm yy"))&amp;" "&amp;Milestones!$AB$80&amp;" "&amp;Milestones!$AC$80&amp;";  ","")&amp;IF(AND(EDATE($D32,Milestones!$AA$81)&lt;=AsOfDate,IF($R32=0,$X32,IF(AND($T32&lt;&gt;"",EDATE($D32,Milestones!$AA$81)&gt;=$T32),$W32,IF(AND($S32&lt;&gt;"",EDATE($D32,Milestones!$AA$81)&gt;=$S32),$V32,$U32)))=Milestones!$AB$81),UPPER(TEXT(EDATE($D32,Milestones!$AA$81),"dd mmm yy"))&amp;" "&amp;Milestones!$AB$81&amp;" "&amp;Milestones!$AC$81&amp;";  ","")&amp;IF(AND(EDATE($D32,Milestones!$AA$82)&lt;=AsOfDate,IF($R32=0,$X32,IF(AND($T32&lt;&gt;"",EDATE($D32,Milestones!$AA$82)&gt;=$T32),$W32,IF(AND($S32&lt;&gt;"",EDATE($D32,Milestones!$AA$82)&gt;=$S32),$V32,$U32)))=Milestones!$AB$82),UPPER(TEXT(EDATE($D32,Milestones!$AA$82),"dd mmm yy"))&amp;" "&amp;Milestones!$AB$82&amp;" "&amp;Milestones!$AC$82&amp;";  ","")&amp;IF(AND(EDATE($D32,Milestones!$AA$83)&lt;=AsOfDate,IF($R32=0,$X32,IF(AND($T32&lt;&gt;"",EDATE($D32,Milestones!$AA$83)&gt;=$T32),$W32,IF(AND($S32&lt;&gt;"",EDATE($D32,Milestones!$AA$83)&gt;=$S32),$V32,$U32)))=Milestones!$AB$83),UPPER(TEXT(EDATE($D32,Milestones!$AA$83),"dd mmm yy"))&amp;" "&amp;Milestones!$AB$83&amp;" "&amp;Milestones!$AC$83&amp;";  ","")&amp;IF(AND(EDATE($D32,Milestones!$AA$84)&lt;=AsOfDate,IF($R32=0,$X32,IF(AND($T32&lt;&gt;"",EDATE($D32,Milestones!$AA$84)&gt;=$T32),$W32,IF(AND($S32&lt;&gt;"",EDATE($D32,Milestones!$AA$84)&gt;=$S32),$V32,$U32)))=Milestones!$AB$84),UPPER(TEXT(EDATE($D32,Milestones!$AA$84),"dd mmm yy"))&amp;" "&amp;Milestones!$AB$84&amp;" "&amp;Milestones!$AC$84&amp;";  ","")&amp;IF(AND(EDATE($D32,Milestones!$AA$85)&lt;=AsOfDate,IF($R32=0,$X32,IF(AND($T32&lt;&gt;"",EDATE($D32,Milestones!$AA$85)&gt;=$T32),$W32,IF(AND($S32&lt;&gt;"",EDATE($D32,Milestones!$AA$85)&gt;=$S32),$V32,$U32)))=Milestones!$AB$85),UPPER(TEXT(EDATE($D32,Milestones!$AA$85),"dd mmm yy"))&amp;" "&amp;Milestones!$AB$85&amp;" "&amp;Milestones!$AC$85&amp;";  ","")&amp;IF(AND(EDATE($D32,Milestones!$AA$86)&lt;=AsOfDate,IF($R32=0,$X32,IF(AND($T32&lt;&gt;"",EDATE($D32,Milestones!$AA$86)&gt;=$T32),$W32,IF(AND($S32&lt;&gt;"",EDATE($D32,Milestones!$AA$86)&gt;=$S32),$V32,$U32)))=Milestones!$AB$86),UPPER(TEXT(EDATE($D32,Milestones!$AA$86),"dd mmm yy"))&amp;" "&amp;Milestones!$AB$86&amp;" "&amp;Milestones!$AC$86&amp;";  ","")&amp;IF(AND(EDATE($D32,Milestones!$AA$87)&lt;=AsOfDate,IF($R32=0,$X32,IF(AND($T32&lt;&gt;"",EDATE($D32,Milestones!$AA$87)&gt;=$T32),$W32,IF(AND($S32&lt;&gt;"",EDATE($D32,Milestones!$AA$87)&gt;=$S32),$V32,$U32)))=Milestones!$AB$87),UPPER(TEXT(EDATE($D32,Milestones!$AA$87),"dd mmm yy"))&amp;" "&amp;Milestones!$AB$87&amp;" "&amp;Milestones!$AC$87&amp;";  ","")&amp;IF(AND(EDATE($D32,Milestones!$AA$88)&lt;=AsOfDate,IF($R32=0,$X32,IF(AND($T32&lt;&gt;"",EDATE($D32,Milestones!$AA$88)&gt;=$T32),$W32,IF(AND($S32&lt;&gt;"",EDATE($D32,Milestones!$AA$88)&gt;=$S32),$V32,$U32)))=Milestones!$AB$88),UPPER(TEXT(EDATE($D32,Milestones!$AA$88),"dd mmm yy"))&amp;" "&amp;Milestones!$AB$88&amp;" "&amp;Milestones!$AC$88&amp;";  ","")&amp;IF(AND(EDATE($D32,Milestones!$AA$89)&lt;=AsOfDate,IF($R32=0,$X32,IF(AND($T32&lt;&gt;"",EDATE($D32,Milestones!$AA$89)&gt;=$T32),$W32,IF(AND($S32&lt;&gt;"",EDATE($D32,Milestones!$AA$89)&gt;=$S32),$V32,$U32)))=Milestones!$AB$89),UPPER(TEXT(EDATE($D32,Milestones!$AA$89),"dd mmm yy"))&amp;" "&amp;Milestones!$AB$89&amp;" "&amp;Milestones!$AC$89&amp;";  ","")&amp;IF(AND(EDATE($D32,Milestones!$AA$90)&lt;=AsOfDate,IF($R32=0,$X32,IF(AND($T32&lt;&gt;"",EDATE($D32,Milestones!$AA$90)&gt;=$T32),$W32,IF(AND($S32&lt;&gt;"",EDATE($D32,Milestones!$AA$90)&gt;=$S32),$V32,$U32)))=Milestones!$AB$90),UPPER(TEXT(EDATE($D32,Milestones!$AA$90),"dd mmm yy"))&amp;" "&amp;Milestones!$AB$90&amp;" "&amp;Milestones!$AC$90&amp;";  ","")&amp;IF(AND(EDATE($D32,Milestones!$AA$91)&lt;=AsOfDate,IF($R32=0,$X32,IF(AND($T32&lt;&gt;"",EDATE($D32,Milestones!$AA$91)&gt;=$T32),$W32,IF(AND($S32&lt;&gt;"",EDATE($D32,Milestones!$AA$91)&gt;=$S32),$V32,$U32)))=Milestones!$AB$91),UPPER(TEXT(EDATE($D32,Milestones!$AA$91),"dd mmm yy"))&amp;" "&amp;Milestones!$AB$91&amp;" "&amp;Milestones!$AC$91&amp;";  ","")&amp;IF(AND(EDATE($D32,Milestones!$AA$92)&lt;=AsOfDate,IF($R32=0,$X32,IF(AND($T32&lt;&gt;"",EDATE($D32,Milestones!$AA$92)&gt;=$T32),$W32,IF(AND($S32&lt;&gt;"",EDATE($D32,Milestones!$AA$92)&gt;=$S32),$V32,$U32)))=Milestones!$AB$92),UPPER(TEXT(EDATE($D32,Milestones!$AA$92),"dd mmm yy"))&amp;" "&amp;Milestones!$AB$92&amp;" "&amp;Milestones!$AC$92&amp;";  ","")&amp;IF(AND(EDATE($D32,Milestones!$AA$93)&lt;=AsOfDate,IF($R32=0,$X32,IF(AND($T32&lt;&gt;"",EDATE($D32,Milestones!$AA$93)&gt;=$T32),$W32,IF(AND($S32&lt;&gt;"",EDATE($D32,Milestones!$AA$93)&gt;=$S32),$V32,$U32)))=Milestones!$AB$93),UPPER(TEXT(EDATE($D32,Milestones!$AA$93),"dd mmm yy"))&amp;" "&amp;Milestones!$AB$93&amp;" "&amp;Milestones!$AC$93&amp;";  ","")&amp;IF(AND(EDATE($D32,Milestones!$AA$94)&lt;=AsOfDate,IF($R32=0,$X32,IF(AND($T32&lt;&gt;"",EDATE($D32,Milestones!$AA$94)&gt;=$T32),$W32,IF(AND($S32&lt;&gt;"",EDATE($D32,Milestones!$AA$94)&gt;=$S32),$V32,$U32)))=Milestones!$AB$94),UPPER(TEXT(EDATE($D32,Milestones!$AA$94),"dd mmm yy"))&amp;" "&amp;Milestones!$AB$94&amp;" "&amp;Milestones!$AC$94&amp;";  ","")&amp;IF(AND(EDATE($D32,Milestones!$AA$95)&lt;=AsOfDate,IF($R32=0,$X32,IF(AND($T32&lt;&gt;"",EDATE($D32,Milestones!$AA$95)&gt;=$T32),$W32,IF(AND($S32&lt;&gt;"",EDATE($D32,Milestones!$AA$95)&gt;=$S32),$V32,$U32)))=Milestones!$AB$95),UPPER(TEXT(EDATE($D32,Milestones!$AA$95),"dd mmm yy"))&amp;" "&amp;Milestones!$AB$95&amp;" "&amp;Milestones!$AC$95&amp;";  ","")&amp;IF(AND(EDATE($D32,Milestones!$AA$96)&lt;=AsOfDate,IF($R32=0,$X32,IF(AND($T32&lt;&gt;"",EDATE($D32,Milestones!$AA$96)&gt;=$T32),$W32,IF(AND($S32&lt;&gt;"",EDATE($D32,Milestones!$AA$96)&gt;=$S32),$V32,$U32)))=Milestones!$AB$96),UPPER(TEXT(EDATE($D32,Milestones!$AA$96),"dd mmm yy"))&amp;" "&amp;Milestones!$AB$96&amp;" "&amp;Milestones!$AC$96&amp;";  ","")&amp;IF(AND(EDATE($D32,Milestones!$AA$97)&lt;=AsOfDate,IF($R32=0,$X32,IF(AND($T32&lt;&gt;"",EDATE($D32,Milestones!$AA$97)&gt;=$T32),$W32,IF(AND($S32&lt;&gt;"",EDATE($D32,Milestones!$AA$97)&gt;=$S32),$V32,$U32)))=Milestones!$AB$97),UPPER(TEXT(EDATE($D32,Milestones!$AA$97),"dd mmm yy"))&amp;" "&amp;Milestones!$AB$97&amp;" "&amp;Milestones!$AC$97&amp;";  ","")&amp;IF(AND(EDATE($D32,Milestones!$AA$98)&lt;=AsOfDate,IF($R32=0,$X32,IF(AND($T32&lt;&gt;"",EDATE($D32,Milestones!$AA$98)&gt;=$T32),$W32,IF(AND($S32&lt;&gt;"",EDATE($D32,Milestones!$AA$98)&gt;=$S32),$V32,$U32)))=Milestones!$AB$98),UPPER(TEXT(EDATE($D32,Milestones!$AA$98),"dd mmm yy"))&amp;" "&amp;Milestones!$AB$98&amp;" "&amp;Milestones!$AC$98&amp;";  ","")&amp;IF(AND(EDATE($D32,Milestones!$AA$99)&lt;=AsOfDate,IF($R32=0,$X32,IF(AND($T32&lt;&gt;"",EDATE($D32,Milestones!$AA$99)&gt;=$T32),$W32,IF(AND($S32&lt;&gt;"",EDATE($D32,Milestones!$AA$99)&gt;=$S32),$V32,$U32)))=Milestones!$AB$99),UPPER(TEXT(EDATE($D32,Milestones!$AA$99),"dd mmm yy"))&amp;" "&amp;Milestones!$AB$99&amp;" "&amp;Milestones!$AC$99&amp;";  ",""))</f>
        <v/>
      </c>
      <c r="M32" s="0" t="str">
        <f aca="false">IF(OR($A32="",$D32=""),"",IF(AND(EDATE($D32,Milestones!$AA$100)&lt;=AsOfDate,IF($R32=0,$X32,IF(AND($T32&lt;&gt;"",EDATE($D32,Milestones!$AA$100)&gt;=$T32),$W32,IF(AND($S32&lt;&gt;"",EDATE($D32,Milestones!$AA$100)&gt;=$S32),$V32,$U32)))=Milestones!$AB$100),UPPER(TEXT(EDATE($D32,Milestones!$AA$100),"dd mmm yy"))&amp;" "&amp;Milestones!$AB$100&amp;" "&amp;Milestones!$AC$100&amp;";  ","")&amp;IF(AND(EDATE($D32,Milestones!$AA$101)&lt;=AsOfDate,IF($R32=0,$X32,IF(AND($T32&lt;&gt;"",EDATE($D32,Milestones!$AA$101)&gt;=$T32),$W32,IF(AND($S32&lt;&gt;"",EDATE($D32,Milestones!$AA$101)&gt;=$S32),$V32,$U32)))=Milestones!$AB$101),UPPER(TEXT(EDATE($D32,Milestones!$AA$101),"dd mmm yy"))&amp;" "&amp;Milestones!$AB$101&amp;" "&amp;Milestones!$AC$101&amp;";  ","")&amp;IF(AND(EDATE($D32,Milestones!$AA$102)&lt;=AsOfDate,IF($R32=0,$X32,IF(AND($T32&lt;&gt;"",EDATE($D32,Milestones!$AA$102)&gt;=$T32),$W32,IF(AND($S32&lt;&gt;"",EDATE($D32,Milestones!$AA$102)&gt;=$S32),$V32,$U32)))=Milestones!$AB$102),UPPER(TEXT(EDATE($D32,Milestones!$AA$102),"dd mmm yy"))&amp;" "&amp;Milestones!$AB$102&amp;" "&amp;Milestones!$AC$102&amp;";  ","")&amp;IF(AND(EDATE($D32,Milestones!$AA$103)&lt;=AsOfDate,IF($R32=0,$X32,IF(AND($T32&lt;&gt;"",EDATE($D32,Milestones!$AA$103)&gt;=$T32),$W32,IF(AND($S32&lt;&gt;"",EDATE($D32,Milestones!$AA$103)&gt;=$S32),$V32,$U32)))=Milestones!$AB$103),UPPER(TEXT(EDATE($D32,Milestones!$AA$103),"dd mmm yy"))&amp;" "&amp;Milestones!$AB$103&amp;" "&amp;Milestones!$AC$103&amp;";  ","")&amp;IF(AND(EDATE($D32,Milestones!$AA$104)&lt;=AsOfDate,IF($R32=0,$X32,IF(AND($T32&lt;&gt;"",EDATE($D32,Milestones!$AA$104)&gt;=$T32),$W32,IF(AND($S32&lt;&gt;"",EDATE($D32,Milestones!$AA$104)&gt;=$S32),$V32,$U32)))=Milestones!$AB$104),UPPER(TEXT(EDATE($D32,Milestones!$AA$104),"dd mmm yy"))&amp;" "&amp;Milestones!$AB$104&amp;" "&amp;Milestones!$AC$104&amp;";  ","")&amp;IF(AND(EDATE($D32,Milestones!$AA$105)&lt;=AsOfDate,IF($R32=0,$X32,IF(AND($T32&lt;&gt;"",EDATE($D32,Milestones!$AA$105)&gt;=$T32),$W32,IF(AND($S32&lt;&gt;"",EDATE($D32,Milestones!$AA$105)&gt;=$S32),$V32,$U32)))=Milestones!$AB$105),UPPER(TEXT(EDATE($D32,Milestones!$AA$105),"dd mmm yy"))&amp;" "&amp;Milestones!$AB$105&amp;" "&amp;Milestones!$AC$105&amp;";  ","")&amp;IF(AND(EDATE($D32,Milestones!$AA$106)&lt;=AsOfDate,IF($R32=0,$X32,IF(AND($T32&lt;&gt;"",EDATE($D32,Milestones!$AA$106)&gt;=$T32),$W32,IF(AND($S32&lt;&gt;"",EDATE($D32,Milestones!$AA$106)&gt;=$S32),$V32,$U32)))=Milestones!$AB$106),UPPER(TEXT(EDATE($D32,Milestones!$AA$106),"dd mmm yy"))&amp;" "&amp;Milestones!$AB$106&amp;" "&amp;Milestones!$AC$106&amp;";  ","")&amp;IF(AND(EDATE($D32,Milestones!$AA$107)&lt;=AsOfDate,IF($R32=0,$X32,IF(AND($T32&lt;&gt;"",EDATE($D32,Milestones!$AA$107)&gt;=$T32),$W32,IF(AND($S32&lt;&gt;"",EDATE($D32,Milestones!$AA$107)&gt;=$S32),$V32,$U32)))=Milestones!$AB$107),UPPER(TEXT(EDATE($D32,Milestones!$AA$107),"dd mmm yy"))&amp;" "&amp;Milestones!$AB$107&amp;" "&amp;Milestones!$AC$107&amp;";  ","")&amp;IF(AND(EDATE($D32,Milestones!$AA$108)&lt;=AsOfDate,IF($R32=0,$X32,IF(AND($T32&lt;&gt;"",EDATE($D32,Milestones!$AA$108)&gt;=$T32),$W32,IF(AND($S32&lt;&gt;"",EDATE($D32,Milestones!$AA$108)&gt;=$S32),$V32,$U32)))=Milestones!$AB$108),UPPER(TEXT(EDATE($D32,Milestones!$AA$108),"dd mmm yy"))&amp;" "&amp;Milestones!$AB$108&amp;" "&amp;Milestones!$AC$108&amp;";  ","")&amp;IF(AND(EDATE($D32,Milestones!$AA$109)&lt;=AsOfDate,IF($R32=0,$X32,IF(AND($T32&lt;&gt;"",EDATE($D32,Milestones!$AA$109)&gt;=$T32),$W32,IF(AND($S32&lt;&gt;"",EDATE($D32,Milestones!$AA$109)&gt;=$S32),$V32,$U32)))=Milestones!$AB$109),UPPER(TEXT(EDATE($D32,Milestones!$AA$109),"dd mmm yy"))&amp;" "&amp;Milestones!$AB$109&amp;" "&amp;Milestones!$AC$109&amp;";  ","")&amp;IF(AND(EDATE($D32,Milestones!$AA$110)&lt;=AsOfDate,IF($R32=0,$X32,IF(AND($T32&lt;&gt;"",EDATE($D32,Milestones!$AA$110)&gt;=$T32),$W32,IF(AND($S32&lt;&gt;"",EDATE($D32,Milestones!$AA$110)&gt;=$S32),$V32,$U32)))=Milestones!$AB$110),UPPER(TEXT(EDATE($D32,Milestones!$AA$110),"dd mmm yy"))&amp;" "&amp;Milestones!$AB$110&amp;" "&amp;Milestones!$AC$110&amp;";  ","")&amp;IF(AND(EDATE($D32,Milestones!$AA$111)&lt;=AsOfDate,IF($R32=0,$X32,IF(AND($T32&lt;&gt;"",EDATE($D32,Milestones!$AA$111)&gt;=$T32),$W32,IF(AND($S32&lt;&gt;"",EDATE($D32,Milestones!$AA$111)&gt;=$S32),$V32,$U32)))=Milestones!$AB$111),UPPER(TEXT(EDATE($D32,Milestones!$AA$111),"dd mmm yy"))&amp;" "&amp;Milestones!$AB$111&amp;" "&amp;Milestones!$AC$111&amp;";  ","")&amp;IF(AND(EDATE($D32,Milestones!$AA$112)&lt;=AsOfDate,IF($R32=0,$X32,IF(AND($T32&lt;&gt;"",EDATE($D32,Milestones!$AA$112)&gt;=$T32),$W32,IF(AND($S32&lt;&gt;"",EDATE($D32,Milestones!$AA$112)&gt;=$S32),$V32,$U32)))=Milestones!$AB$112),UPPER(TEXT(EDATE($D32,Milestones!$AA$112),"dd mmm yy"))&amp;" "&amp;Milestones!$AB$112&amp;" "&amp;Milestones!$AC$112&amp;";  ","")&amp;IF(AND(EDATE($D32,Milestones!$AA$113)&lt;=AsOfDate,IF($R32=0,$X32,IF(AND($T32&lt;&gt;"",EDATE($D32,Milestones!$AA$113)&gt;=$T32),$W32,IF(AND($S32&lt;&gt;"",EDATE($D32,Milestones!$AA$113)&gt;=$S32),$V32,$U32)))=Milestones!$AB$113),UPPER(TEXT(EDATE($D32,Milestones!$AA$113),"dd mmm yy"))&amp;" "&amp;Milestones!$AB$113&amp;" "&amp;Milestones!$AC$113&amp;";  ","")&amp;IF(AND(EDATE($D32,Milestones!$AA$114)&lt;=AsOfDate,IF($R32=0,$X32,IF(AND($T32&lt;&gt;"",EDATE($D32,Milestones!$AA$114)&gt;=$T32),$W32,IF(AND($S32&lt;&gt;"",EDATE($D32,Milestones!$AA$114)&gt;=$S32),$V32,$U32)))=Milestones!$AB$114),UPPER(TEXT(EDATE($D32,Milestones!$AA$114),"dd mmm yy"))&amp;" "&amp;Milestones!$AB$114&amp;" "&amp;Milestones!$AC$114&amp;";  ","")&amp;IF(AND(EDATE($D32,Milestones!$AA$115)&lt;=AsOfDate,IF($R32=0,$X32,IF(AND($T32&lt;&gt;"",EDATE($D32,Milestones!$AA$115)&gt;=$T32),$W32,IF(AND($S32&lt;&gt;"",EDATE($D32,Milestones!$AA$115)&gt;=$S32),$V32,$U32)))=Milestones!$AB$115),UPPER(TEXT(EDATE($D32,Milestones!$AA$115),"dd mmm yy"))&amp;" "&amp;Milestones!$AB$115&amp;" "&amp;Milestones!$AC$115&amp;";  ","")&amp;IF(AND(EDATE($D32,Milestones!$AA$116)&lt;=AsOfDate,IF($R32=0,$X32,IF(AND($T32&lt;&gt;"",EDATE($D32,Milestones!$AA$116)&gt;=$T32),$W32,IF(AND($S32&lt;&gt;"",EDATE($D32,Milestones!$AA$116)&gt;=$S32),$V32,$U32)))=Milestones!$AB$116),UPPER(TEXT(EDATE($D32,Milestones!$AA$116),"dd mmm yy"))&amp;" "&amp;Milestones!$AB$116&amp;" "&amp;Milestones!$AC$116&amp;";  ","")&amp;IF(AND(EDATE($D32,Milestones!$AA$117)&lt;=AsOfDate,IF($R32=0,$X32,IF(AND($T32&lt;&gt;"",EDATE($D32,Milestones!$AA$117)&gt;=$T32),$W32,IF(AND($S32&lt;&gt;"",EDATE($D32,Milestones!$AA$117)&gt;=$S32),$V32,$U32)))=Milestones!$AB$117),UPPER(TEXT(EDATE($D32,Milestones!$AA$117),"dd mmm yy"))&amp;" "&amp;Milestones!$AB$117&amp;" "&amp;Milestones!$AC$117&amp;";  ","")&amp;IF(AND(EDATE($D32,Milestones!$AA$118)&lt;=AsOfDate,IF($R32=0,$X32,IF(AND($T32&lt;&gt;"",EDATE($D32,Milestones!$AA$118)&gt;=$T32),$W32,IF(AND($S32&lt;&gt;"",EDATE($D32,Milestones!$AA$118)&gt;=$S32),$V32,$U32)))=Milestones!$AB$118),UPPER(TEXT(EDATE($D32,Milestones!$AA$118),"dd mmm yy"))&amp;" "&amp;Milestones!$AB$118&amp;" "&amp;Milestones!$AC$118&amp;";  ","")&amp;IF(AND(EDATE($D32,Milestones!$AA$119)&lt;=AsOfDate,IF($R32=0,$X32,IF(AND($T32&lt;&gt;"",EDATE($D32,Milestones!$AA$119)&gt;=$T32),$W32,IF(AND($S32&lt;&gt;"",EDATE($D32,Milestones!$AA$119)&gt;=$S32),$V32,$U32)))=Milestones!$AB$119),UPPER(TEXT(EDATE($D32,Milestones!$AA$119),"dd mmm yy"))&amp;" "&amp;Milestones!$AB$119&amp;" "&amp;Milestones!$AC$119&amp;";  ",""))</f>
        <v/>
      </c>
      <c r="N32" s="0" t="str">
        <f aca="false">IF(OR($A32="",$D32=""),"",IF(AND(EDATE($D32,Milestones!$AA$120)&lt;=AsOfDate,IF($R32=0,$X32,IF(AND($T32&lt;&gt;"",EDATE($D32,Milestones!$AA$120)&gt;=$T32),$W32,IF(AND($S32&lt;&gt;"",EDATE($D32,Milestones!$AA$120)&gt;=$S32),$V32,$U32)))=Milestones!$AB$120),UPPER(TEXT(EDATE($D32,Milestones!$AA$120),"dd mmm yy"))&amp;" "&amp;Milestones!$AB$120&amp;" "&amp;Milestones!$AC$120&amp;";  ","")&amp;IF(AND(EDATE($D32,Milestones!$AA$121)&lt;=AsOfDate,IF($R32=0,$X32,IF(AND($T32&lt;&gt;"",EDATE($D32,Milestones!$AA$121)&gt;=$T32),$W32,IF(AND($S32&lt;&gt;"",EDATE($D32,Milestones!$AA$121)&gt;=$S32),$V32,$U32)))=Milestones!$AB$121),UPPER(TEXT(EDATE($D32,Milestones!$AA$121),"dd mmm yy"))&amp;" "&amp;Milestones!$AB$121&amp;" "&amp;Milestones!$AC$121&amp;";  ","")&amp;IF(AND(EDATE($D32,Milestones!$AA$122)&lt;=AsOfDate,IF($R32=0,$X32,IF(AND($T32&lt;&gt;"",EDATE($D32,Milestones!$AA$122)&gt;=$T32),$W32,IF(AND($S32&lt;&gt;"",EDATE($D32,Milestones!$AA$122)&gt;=$S32),$V32,$U32)))=Milestones!$AB$122),UPPER(TEXT(EDATE($D32,Milestones!$AA$122),"dd mmm yy"))&amp;" "&amp;Milestones!$AB$122&amp;" "&amp;Milestones!$AC$122&amp;";  ","")&amp;IF(AND(EDATE($D32,Milestones!$AA$123)&lt;=AsOfDate,IF($R32=0,$X32,IF(AND($T32&lt;&gt;"",EDATE($D32,Milestones!$AA$123)&gt;=$T32),$W32,IF(AND($S32&lt;&gt;"",EDATE($D32,Milestones!$AA$123)&gt;=$S32),$V32,$U32)))=Milestones!$AB$123),UPPER(TEXT(EDATE($D32,Milestones!$AA$123),"dd mmm yy"))&amp;" "&amp;Milestones!$AB$123&amp;" "&amp;Milestones!$AC$123&amp;";  ","")&amp;IF(AND(EDATE($D32,Milestones!$AA$124)&lt;=AsOfDate,IF($R32=0,$X32,IF(AND($T32&lt;&gt;"",EDATE($D32,Milestones!$AA$124)&gt;=$T32),$W32,IF(AND($S32&lt;&gt;"",EDATE($D32,Milestones!$AA$124)&gt;=$S32),$V32,$U32)))=Milestones!$AB$124),UPPER(TEXT(EDATE($D32,Milestones!$AA$124),"dd mmm yy"))&amp;" "&amp;Milestones!$AB$124&amp;" "&amp;Milestones!$AC$124&amp;";  ","")&amp;IF(AND(EDATE($D32,Milestones!$AA$125)&lt;=AsOfDate,IF($R32=0,$X32,IF(AND($T32&lt;&gt;"",EDATE($D32,Milestones!$AA$125)&gt;=$T32),$W32,IF(AND($S32&lt;&gt;"",EDATE($D32,Milestones!$AA$125)&gt;=$S32),$V32,$U32)))=Milestones!$AB$125),UPPER(TEXT(EDATE($D32,Milestones!$AA$125),"dd mmm yy"))&amp;" "&amp;Milestones!$AB$125&amp;" "&amp;Milestones!$AC$125&amp;";  ","")&amp;IF(AND(EDATE($D32,Milestones!$AA$126)&lt;=AsOfDate,IF($R32=0,$X32,IF(AND($T32&lt;&gt;"",EDATE($D32,Milestones!$AA$126)&gt;=$T32),$W32,IF(AND($S32&lt;&gt;"",EDATE($D32,Milestones!$AA$126)&gt;=$S32),$V32,$U32)))=Milestones!$AB$126),UPPER(TEXT(EDATE($D32,Milestones!$AA$126),"dd mmm yy"))&amp;" "&amp;Milestones!$AB$126&amp;" "&amp;Milestones!$AC$126&amp;";  ","")&amp;IF(AND(EDATE($D32,Milestones!$AA$127)&lt;=AsOfDate,IF($R32=0,$X32,IF(AND($T32&lt;&gt;"",EDATE($D32,Milestones!$AA$127)&gt;=$T32),$W32,IF(AND($S32&lt;&gt;"",EDATE($D32,Milestones!$AA$127)&gt;=$S32),$V32,$U32)))=Milestones!$AB$127),UPPER(TEXT(EDATE($D32,Milestones!$AA$127),"dd mmm yy"))&amp;" "&amp;Milestones!$AB$127&amp;" "&amp;Milestones!$AC$127&amp;";  ","")&amp;IF(AND(EDATE($D32,Milestones!$AA$128)&lt;=AsOfDate,IF($R32=0,$X32,IF(AND($T32&lt;&gt;"",EDATE($D32,Milestones!$AA$128)&gt;=$T32),$W32,IF(AND($S32&lt;&gt;"",EDATE($D32,Milestones!$AA$128)&gt;=$S32),$V32,$U32)))=Milestones!$AB$128),UPPER(TEXT(EDATE($D32,Milestones!$AA$128),"dd mmm yy"))&amp;" "&amp;Milestones!$AB$128&amp;" "&amp;Milestones!$AC$128&amp;";  ","")&amp;IF(AND(EDATE($D32,Milestones!$AA$129)&lt;=AsOfDate,IF($R32=0,$X32,IF(AND($T32&lt;&gt;"",EDATE($D32,Milestones!$AA$129)&gt;=$T32),$W32,IF(AND($S32&lt;&gt;"",EDATE($D32,Milestones!$AA$129)&gt;=$S32),$V32,$U32)))=Milestones!$AB$129),UPPER(TEXT(EDATE($D32,Milestones!$AA$129),"dd mmm yy"))&amp;" "&amp;Milestones!$AB$129&amp;" "&amp;Milestones!$AC$129&amp;";  ","")&amp;IF(AND(EDATE($D32,Milestones!$AA$130)&lt;=AsOfDate,IF($R32=0,$X32,IF(AND($T32&lt;&gt;"",EDATE($D32,Milestones!$AA$130)&gt;=$T32),$W32,IF(AND($S32&lt;&gt;"",EDATE($D32,Milestones!$AA$130)&gt;=$S32),$V32,$U32)))=Milestones!$AB$130),UPPER(TEXT(EDATE($D32,Milestones!$AA$130),"dd mmm yy"))&amp;" "&amp;Milestones!$AB$130&amp;" "&amp;Milestones!$AC$130&amp;";  ","")&amp;IF(AND(EDATE($D32,Milestones!$AA$131)&lt;=AsOfDate,IF($R32=0,$X32,IF(AND($T32&lt;&gt;"",EDATE($D32,Milestones!$AA$131)&gt;=$T32),$W32,IF(AND($S32&lt;&gt;"",EDATE($D32,Milestones!$AA$131)&gt;=$S32),$V32,$U32)))=Milestones!$AB$131),UPPER(TEXT(EDATE($D32,Milestones!$AA$131),"dd mmm yy"))&amp;" "&amp;Milestones!$AB$131&amp;" "&amp;Milestones!$AC$131&amp;";  ","")&amp;IF(AND(EDATE($D32,Milestones!$AA$132)&lt;=AsOfDate,IF($R32=0,$X32,IF(AND($T32&lt;&gt;"",EDATE($D32,Milestones!$AA$132)&gt;=$T32),$W32,IF(AND($S32&lt;&gt;"",EDATE($D32,Milestones!$AA$132)&gt;=$S32),$V32,$U32)))=Milestones!$AB$132),UPPER(TEXT(EDATE($D32,Milestones!$AA$132),"dd mmm yy"))&amp;" "&amp;Milestones!$AB$132&amp;" "&amp;Milestones!$AC$132&amp;";  ","")&amp;IF(AND(EDATE($D32,Milestones!$AA$133)&lt;=AsOfDate,IF($R32=0,$X32,IF(AND($T32&lt;&gt;"",EDATE($D32,Milestones!$AA$133)&gt;=$T32),$W32,IF(AND($S32&lt;&gt;"",EDATE($D32,Milestones!$AA$133)&gt;=$S32),$V32,$U32)))=Milestones!$AB$133),UPPER(TEXT(EDATE($D32,Milestones!$AA$133),"dd mmm yy"))&amp;" "&amp;Milestones!$AB$133&amp;" "&amp;Milestones!$AC$133&amp;";  ","")&amp;IF(AND(EDATE($D32,Milestones!$AA$134)&lt;=AsOfDate,IF($R32=0,$X32,IF(AND($T32&lt;&gt;"",EDATE($D32,Milestones!$AA$134)&gt;=$T32),$W32,IF(AND($S32&lt;&gt;"",EDATE($D32,Milestones!$AA$134)&gt;=$S32),$V32,$U32)))=Milestones!$AB$134),UPPER(TEXT(EDATE($D32,Milestones!$AA$134),"dd mmm yy"))&amp;" "&amp;Milestones!$AB$134&amp;" "&amp;Milestones!$AC$134&amp;";  ","")&amp;IF(AND(EDATE($D32,Milestones!$AA$135)&lt;=AsOfDate,IF($R32=0,$X32,IF(AND($T32&lt;&gt;"",EDATE($D32,Milestones!$AA$135)&gt;=$T32),$W32,IF(AND($S32&lt;&gt;"",EDATE($D32,Milestones!$AA$135)&gt;=$S32),$V32,$U32)))=Milestones!$AB$135),UPPER(TEXT(EDATE($D32,Milestones!$AA$135),"dd mmm yy"))&amp;" "&amp;Milestones!$AB$135&amp;" "&amp;Milestones!$AC$135&amp;";  ","")&amp;IF(AND(EDATE($D32,Milestones!$AA$136)&lt;=AsOfDate,IF($R32=0,$X32,IF(AND($T32&lt;&gt;"",EDATE($D32,Milestones!$AA$136)&gt;=$T32),$W32,IF(AND($S32&lt;&gt;"",EDATE($D32,Milestones!$AA$136)&gt;=$S32),$V32,$U32)))=Milestones!$AB$136),UPPER(TEXT(EDATE($D32,Milestones!$AA$136),"dd mmm yy"))&amp;" "&amp;Milestones!$AB$136&amp;" "&amp;Milestones!$AC$136&amp;";  ","")&amp;IF(AND(EDATE($D32,Milestones!$AA$137)&lt;=AsOfDate,IF($R32=0,$X32,IF(AND($T32&lt;&gt;"",EDATE($D32,Milestones!$AA$137)&gt;=$T32),$W32,IF(AND($S32&lt;&gt;"",EDATE($D32,Milestones!$AA$137)&gt;=$S32),$V32,$U32)))=Milestones!$AB$137),UPPER(TEXT(EDATE($D32,Milestones!$AA$137),"dd mmm yy"))&amp;" "&amp;Milestones!$AB$137&amp;" "&amp;Milestones!$AC$137&amp;";  ","")&amp;IF(AND(EDATE($D32,Milestones!$AA$138)&lt;=AsOfDate,IF($R32=0,$X32,IF(AND($T32&lt;&gt;"",EDATE($D32,Milestones!$AA$138)&gt;=$T32),$W32,IF(AND($S32&lt;&gt;"",EDATE($D32,Milestones!$AA$138)&gt;=$S32),$V32,$U32)))=Milestones!$AB$138),UPPER(TEXT(EDATE($D32,Milestones!$AA$138),"dd mmm yy"))&amp;" "&amp;Milestones!$AB$138&amp;" "&amp;Milestones!$AC$138&amp;";  ","")&amp;IF(AND(EDATE($D32,Milestones!$AA$139)&lt;=AsOfDate,IF($R32=0,$X32,IF(AND($T32&lt;&gt;"",EDATE($D32,Milestones!$AA$139)&gt;=$T32),$W32,IF(AND($S32&lt;&gt;"",EDATE($D32,Milestones!$AA$139)&gt;=$S32),$V32,$U32)))=Milestones!$AB$139),UPPER(TEXT(EDATE($D32,Milestones!$AA$139),"dd mmm yy"))&amp;" "&amp;Milestones!$AB$139&amp;" "&amp;Milestones!$AC$139&amp;";  ",""))</f>
        <v/>
      </c>
      <c r="O32" s="0" t="str">
        <f aca="false">IF(OR($A32="",$D32=""),"",IF(AND(EDATE($D32,Milestones!$AA$140)&lt;=AsOfDate,IF($R32=0,$X32,IF(AND($T32&lt;&gt;"",EDATE($D32,Milestones!$AA$140)&gt;=$T32),$W32,IF(AND($S32&lt;&gt;"",EDATE($D32,Milestones!$AA$140)&gt;=$S32),$V32,$U32)))=Milestones!$AB$140),UPPER(TEXT(EDATE($D32,Milestones!$AA$140),"dd mmm yy"))&amp;" "&amp;Milestones!$AB$140&amp;" "&amp;Milestones!$AC$140&amp;";  ","")&amp;IF(AND(EDATE($D32,Milestones!$AA$141)&lt;=AsOfDate,IF($R32=0,$X32,IF(AND($T32&lt;&gt;"",EDATE($D32,Milestones!$AA$141)&gt;=$T32),$W32,IF(AND($S32&lt;&gt;"",EDATE($D32,Milestones!$AA$141)&gt;=$S32),$V32,$U32)))=Milestones!$AB$141),UPPER(TEXT(EDATE($D32,Milestones!$AA$141),"dd mmm yy"))&amp;" "&amp;Milestones!$AB$141&amp;" "&amp;Milestones!$AC$141&amp;";  ","")&amp;IF(AND(EDATE($D32,Milestones!$AA$142)&lt;=AsOfDate,IF($R32=0,$X32,IF(AND($T32&lt;&gt;"",EDATE($D32,Milestones!$AA$142)&gt;=$T32),$W32,IF(AND($S32&lt;&gt;"",EDATE($D32,Milestones!$AA$142)&gt;=$S32),$V32,$U32)))=Milestones!$AB$142),UPPER(TEXT(EDATE($D32,Milestones!$AA$142),"dd mmm yy"))&amp;" "&amp;Milestones!$AB$142&amp;" "&amp;Milestones!$AC$142&amp;";  ","")&amp;IF(AND(EDATE($D32,Milestones!$AA$143)&lt;=AsOfDate,IF($R32=0,$X32,IF(AND($T32&lt;&gt;"",EDATE($D32,Milestones!$AA$143)&gt;=$T32),$W32,IF(AND($S32&lt;&gt;"",EDATE($D32,Milestones!$AA$143)&gt;=$S32),$V32,$U32)))=Milestones!$AB$143),UPPER(TEXT(EDATE($D32,Milestones!$AA$143),"dd mmm yy"))&amp;" "&amp;Milestones!$AB$143&amp;" "&amp;Milestones!$AC$143&amp;";  ","")&amp;IF(AND(EDATE($D32,Milestones!$AA$144)&lt;=AsOfDate,IF($R32=0,$X32,IF(AND($T32&lt;&gt;"",EDATE($D32,Milestones!$AA$144)&gt;=$T32),$W32,IF(AND($S32&lt;&gt;"",EDATE($D32,Milestones!$AA$144)&gt;=$S32),$V32,$U32)))=Milestones!$AB$144),UPPER(TEXT(EDATE($D32,Milestones!$AA$144),"dd mmm yy"))&amp;" "&amp;Milestones!$AB$144&amp;" "&amp;Milestones!$AC$144&amp;";  ","")&amp;IF(AND(EDATE($D32,Milestones!$AA$145)&lt;=AsOfDate,IF($R32=0,$X32,IF(AND($T32&lt;&gt;"",EDATE($D32,Milestones!$AA$145)&gt;=$T32),$W32,IF(AND($S32&lt;&gt;"",EDATE($D32,Milestones!$AA$145)&gt;=$S32),$V32,$U32)))=Milestones!$AB$145),UPPER(TEXT(EDATE($D32,Milestones!$AA$145),"dd mmm yy"))&amp;" "&amp;Milestones!$AB$145&amp;" "&amp;Milestones!$AC$145&amp;";  ","")&amp;IF(AND(EDATE($D32,Milestones!$AA$146)&lt;=AsOfDate,IF($R32=0,$X32,IF(AND($T32&lt;&gt;"",EDATE($D32,Milestones!$AA$146)&gt;=$T32),$W32,IF(AND($S32&lt;&gt;"",EDATE($D32,Milestones!$AA$146)&gt;=$S32),$V32,$U32)))=Milestones!$AB$146),UPPER(TEXT(EDATE($D32,Milestones!$AA$146),"dd mmm yy"))&amp;" "&amp;Milestones!$AB$146&amp;" "&amp;Milestones!$AC$146&amp;";  ","")&amp;IF(AND(EDATE($D32,Milestones!$AA$147)&lt;=AsOfDate,IF($R32=0,$X32,IF(AND($T32&lt;&gt;"",EDATE($D32,Milestones!$AA$147)&gt;=$T32),$W32,IF(AND($S32&lt;&gt;"",EDATE($D32,Milestones!$AA$147)&gt;=$S32),$V32,$U32)))=Milestones!$AB$147),UPPER(TEXT(EDATE($D32,Milestones!$AA$147),"dd mmm yy"))&amp;" "&amp;Milestones!$AB$147&amp;" "&amp;Milestones!$AC$147&amp;";  ","")&amp;IF(AND(EDATE($D32,Milestones!$AA$148)&lt;=AsOfDate,IF($R32=0,$X32,IF(AND($T32&lt;&gt;"",EDATE($D32,Milestones!$AA$148)&gt;=$T32),$W32,IF(AND($S32&lt;&gt;"",EDATE($D32,Milestones!$AA$148)&gt;=$S32),$V32,$U32)))=Milestones!$AB$148),UPPER(TEXT(EDATE($D32,Milestones!$AA$148),"dd mmm yy"))&amp;" "&amp;Milestones!$AB$148&amp;" "&amp;Milestones!$AC$148&amp;";  ","")&amp;IF(AND(EDATE($D32,Milestones!$AA$149)&lt;=AsOfDate,IF($R32=0,$X32,IF(AND($T32&lt;&gt;"",EDATE($D32,Milestones!$AA$149)&gt;=$T32),$W32,IF(AND($S32&lt;&gt;"",EDATE($D32,Milestones!$AA$149)&gt;=$S32),$V32,$U32)))=Milestones!$AB$149),UPPER(TEXT(EDATE($D32,Milestones!$AA$149),"dd mmm yy"))&amp;" "&amp;Milestones!$AB$149&amp;" "&amp;Milestones!$AC$149&amp;";  ","")&amp;IF(AND(EDATE($D32,Milestones!$AA$150)&lt;=AsOfDate,IF($R32=0,$X32,IF(AND($T32&lt;&gt;"",EDATE($D32,Milestones!$AA$150)&gt;=$T32),$W32,IF(AND($S32&lt;&gt;"",EDATE($D32,Milestones!$AA$150)&gt;=$S32),$V32,$U32)))=Milestones!$AB$150),UPPER(TEXT(EDATE($D32,Milestones!$AA$150),"dd mmm yy"))&amp;" "&amp;Milestones!$AB$150&amp;" "&amp;Milestones!$AC$150&amp;";  ","")&amp;IF(AND(EDATE($D32,Milestones!$AA$151)&lt;=AsOfDate,IF($R32=0,$X32,IF(AND($T32&lt;&gt;"",EDATE($D32,Milestones!$AA$151)&gt;=$T32),$W32,IF(AND($S32&lt;&gt;"",EDATE($D32,Milestones!$AA$151)&gt;=$S32),$V32,$U32)))=Milestones!$AB$151),UPPER(TEXT(EDATE($D32,Milestones!$AA$151),"dd mmm yy"))&amp;" "&amp;Milestones!$AB$151&amp;" "&amp;Milestones!$AC$151&amp;";  ","")&amp;IF(AND(EDATE($D32,Milestones!$AA$152)&lt;=AsOfDate,IF($R32=0,$X32,IF(AND($T32&lt;&gt;"",EDATE($D32,Milestones!$AA$152)&gt;=$T32),$W32,IF(AND($S32&lt;&gt;"",EDATE($D32,Milestones!$AA$152)&gt;=$S32),$V32,$U32)))=Milestones!$AB$152),UPPER(TEXT(EDATE($D32,Milestones!$AA$152),"dd mmm yy"))&amp;" "&amp;Milestones!$AB$152&amp;" "&amp;Milestones!$AC$152&amp;";  ","")&amp;IF(AND(EDATE($D32,Milestones!$AA$153)&lt;=AsOfDate,IF($R32=0,$X32,IF(AND($T32&lt;&gt;"",EDATE($D32,Milestones!$AA$153)&gt;=$T32),$W32,IF(AND($S32&lt;&gt;"",EDATE($D32,Milestones!$AA$153)&gt;=$S32),$V32,$U32)))=Milestones!$AB$153),UPPER(TEXT(EDATE($D32,Milestones!$AA$153),"dd mmm yy"))&amp;" "&amp;Milestones!$AB$153&amp;" "&amp;Milestones!$AC$153&amp;";  ","")&amp;IF(AND(EDATE($D32,Milestones!$AA$154)&lt;=AsOfDate,IF($R32=0,$X32,IF(AND($T32&lt;&gt;"",EDATE($D32,Milestones!$AA$154)&gt;=$T32),$W32,IF(AND($S32&lt;&gt;"",EDATE($D32,Milestones!$AA$154)&gt;=$S32),$V32,$U32)))=Milestones!$AB$154),UPPER(TEXT(EDATE($D32,Milestones!$AA$154),"dd mmm yy"))&amp;" "&amp;Milestones!$AB$154&amp;" "&amp;Milestones!$AC$154&amp;";  ","")&amp;IF(AND(EDATE($D32,Milestones!$AA$155)&lt;=AsOfDate,IF($R32=0,$X32,IF(AND($T32&lt;&gt;"",EDATE($D32,Milestones!$AA$155)&gt;=$T32),$W32,IF(AND($S32&lt;&gt;"",EDATE($D32,Milestones!$AA$155)&gt;=$S32),$V32,$U32)))=Milestones!$AB$155),UPPER(TEXT(EDATE($D32,Milestones!$AA$155),"dd mmm yy"))&amp;" "&amp;Milestones!$AB$155&amp;" "&amp;Milestones!$AC$155&amp;";  ","")&amp;IF(AND(EDATE($D32,Milestones!$AA$156)&lt;=AsOfDate,IF($R32=0,$X32,IF(AND($T32&lt;&gt;"",EDATE($D32,Milestones!$AA$156)&gt;=$T32),$W32,IF(AND($S32&lt;&gt;"",EDATE($D32,Milestones!$AA$156)&gt;=$S32),$V32,$U32)))=Milestones!$AB$156),UPPER(TEXT(EDATE($D32,Milestones!$AA$156),"dd mmm yy"))&amp;" "&amp;Milestones!$AB$156&amp;" "&amp;Milestones!$AC$156&amp;";  ","")&amp;IF(AND(EDATE($D32,Milestones!$AA$157)&lt;=AsOfDate,IF($R32=0,$X32,IF(AND($T32&lt;&gt;"",EDATE($D32,Milestones!$AA$157)&gt;=$T32),$W32,IF(AND($S32&lt;&gt;"",EDATE($D32,Milestones!$AA$157)&gt;=$S32),$V32,$U32)))=Milestones!$AB$157),UPPER(TEXT(EDATE($D32,Milestones!$AA$157),"dd mmm yy"))&amp;" "&amp;Milestones!$AB$157&amp;" "&amp;Milestones!$AC$157&amp;";  ","")&amp;IF(AND(EDATE($D32,Milestones!$AA$158)&lt;=AsOfDate,IF($R32=0,$X32,IF(AND($T32&lt;&gt;"",EDATE($D32,Milestones!$AA$158)&gt;=$T32),$W32,IF(AND($S32&lt;&gt;"",EDATE($D32,Milestones!$AA$158)&gt;=$S32),$V32,$U32)))=Milestones!$AB$158),UPPER(TEXT(EDATE($D32,Milestones!$AA$158),"dd mmm yy"))&amp;" "&amp;Milestones!$AB$158&amp;" "&amp;Milestones!$AC$158&amp;";  ","")&amp;IF(AND(EDATE($D32,Milestones!$AA$159)&lt;=AsOfDate,IF($R32=0,$X32,IF(AND($T32&lt;&gt;"",EDATE($D32,Milestones!$AA$159)&gt;=$T32),$W32,IF(AND($S32&lt;&gt;"",EDATE($D32,Milestones!$AA$159)&gt;=$S32),$V32,$U32)))=Milestones!$AB$159),UPPER(TEXT(EDATE($D32,Milestones!$AA$159),"dd mmm yy"))&amp;" "&amp;Milestones!$AB$159&amp;" "&amp;Milestones!$AC$159&amp;";  ",""))</f>
        <v/>
      </c>
      <c r="P32" s="0" t="str">
        <f aca="false">IF(OR($A32="",$D32=""),"",IF(AND(EDATE($D32,Milestones!$AA$160)&lt;=AsOfDate,IF($R32=0,$X32,IF(AND($T32&lt;&gt;"",EDATE($D32,Milestones!$AA$160)&gt;=$T32),$W32,IF(AND($S32&lt;&gt;"",EDATE($D32,Milestones!$AA$160)&gt;=$S32),$V32,$U32)))=Milestones!$AB$160),UPPER(TEXT(EDATE($D32,Milestones!$AA$160),"dd mmm yy"))&amp;" "&amp;Milestones!$AB$160&amp;" "&amp;Milestones!$AC$160&amp;";  ","")&amp;IF(AND(EDATE($D32,Milestones!$AA$161)&lt;=AsOfDate,IF($R32=0,$X32,IF(AND($T32&lt;&gt;"",EDATE($D32,Milestones!$AA$161)&gt;=$T32),$W32,IF(AND($S32&lt;&gt;"",EDATE($D32,Milestones!$AA$161)&gt;=$S32),$V32,$U32)))=Milestones!$AB$161),UPPER(TEXT(EDATE($D32,Milestones!$AA$161),"dd mmm yy"))&amp;" "&amp;Milestones!$AB$161&amp;" "&amp;Milestones!$AC$161&amp;";  ","")&amp;IF(AND(EDATE($D32,Milestones!$AA$162)&lt;=AsOfDate,IF($R32=0,$X32,IF(AND($T32&lt;&gt;"",EDATE($D32,Milestones!$AA$162)&gt;=$T32),$W32,IF(AND($S32&lt;&gt;"",EDATE($D32,Milestones!$AA$162)&gt;=$S32),$V32,$U32)))=Milestones!$AB$162),UPPER(TEXT(EDATE($D32,Milestones!$AA$162),"dd mmm yy"))&amp;" "&amp;Milestones!$AB$162&amp;" "&amp;Milestones!$AC$162&amp;";  ","")&amp;IF(AND(EDATE($D32,Milestones!$AA$163)&lt;=AsOfDate,IF($R32=0,$X32,IF(AND($T32&lt;&gt;"",EDATE($D32,Milestones!$AA$163)&gt;=$T32),$W32,IF(AND($S32&lt;&gt;"",EDATE($D32,Milestones!$AA$163)&gt;=$S32),$V32,$U32)))=Milestones!$AB$163),UPPER(TEXT(EDATE($D32,Milestones!$AA$163),"dd mmm yy"))&amp;" "&amp;Milestones!$AB$163&amp;" "&amp;Milestones!$AC$163&amp;";  ","")&amp;IF(AND(EDATE($D32,Milestones!$AA$164)&lt;=AsOfDate,IF($R32=0,$X32,IF(AND($T32&lt;&gt;"",EDATE($D32,Milestones!$AA$164)&gt;=$T32),$W32,IF(AND($S32&lt;&gt;"",EDATE($D32,Milestones!$AA$164)&gt;=$S32),$V32,$U32)))=Milestones!$AB$164),UPPER(TEXT(EDATE($D32,Milestones!$AA$164),"dd mmm yy"))&amp;" "&amp;Milestones!$AB$164&amp;" "&amp;Milestones!$AC$164&amp;";  ","")&amp;IF(AND(EDATE($D32,Milestones!$AA$165)&lt;=AsOfDate,IF($R32=0,$X32,IF(AND($T32&lt;&gt;"",EDATE($D32,Milestones!$AA$165)&gt;=$T32),$W32,IF(AND($S32&lt;&gt;"",EDATE($D32,Milestones!$AA$165)&gt;=$S32),$V32,$U32)))=Milestones!$AB$165),UPPER(TEXT(EDATE($D32,Milestones!$AA$165),"dd mmm yy"))&amp;" "&amp;Milestones!$AB$165&amp;" "&amp;Milestones!$AC$165&amp;";  ","")&amp;IF(AND(EDATE($D32,Milestones!$AA$166)&lt;=AsOfDate,IF($R32=0,$X32,IF(AND($T32&lt;&gt;"",EDATE($D32,Milestones!$AA$166)&gt;=$T32),$W32,IF(AND($S32&lt;&gt;"",EDATE($D32,Milestones!$AA$166)&gt;=$S32),$V32,$U32)))=Milestones!$AB$166),UPPER(TEXT(EDATE($D32,Milestones!$AA$166),"dd mmm yy"))&amp;" "&amp;Milestones!$AB$166&amp;" "&amp;Milestones!$AC$166&amp;";  ","")&amp;IF(AND(EDATE($D32,Milestones!$AA$167)&lt;=AsOfDate,IF($R32=0,$X32,IF(AND($T32&lt;&gt;"",EDATE($D32,Milestones!$AA$167)&gt;=$T32),$W32,IF(AND($S32&lt;&gt;"",EDATE($D32,Milestones!$AA$167)&gt;=$S32),$V32,$U32)))=Milestones!$AB$167),UPPER(TEXT(EDATE($D32,Milestones!$AA$167),"dd mmm yy"))&amp;" "&amp;Milestones!$AB$167&amp;" "&amp;Milestones!$AC$167&amp;";  ","")&amp;IF(AND(EDATE($D32,Milestones!$AA$168)&lt;=AsOfDate,IF($R32=0,$X32,IF(AND($T32&lt;&gt;"",EDATE($D32,Milestones!$AA$168)&gt;=$T32),$W32,IF(AND($S32&lt;&gt;"",EDATE($D32,Milestones!$AA$168)&gt;=$S32),$V32,$U32)))=Milestones!$AB$168),UPPER(TEXT(EDATE($D32,Milestones!$AA$168),"dd mmm yy"))&amp;" "&amp;Milestones!$AB$168&amp;" "&amp;Milestones!$AC$168&amp;";  ","")&amp;IF(AND(EDATE($D32,Milestones!$AA$169)&lt;=AsOfDate,IF($R32=0,$X32,IF(AND($T32&lt;&gt;"",EDATE($D32,Milestones!$AA$169)&gt;=$T32),$W32,IF(AND($S32&lt;&gt;"",EDATE($D32,Milestones!$AA$169)&gt;=$S32),$V32,$U32)))=Milestones!$AB$169),UPPER(TEXT(EDATE($D32,Milestones!$AA$169),"dd mmm yy"))&amp;" "&amp;Milestones!$AB$169&amp;" "&amp;Milestones!$AC$169&amp;";  ","")&amp;IF(AND(EDATE($D32,Milestones!$AA$170)&lt;=AsOfDate,IF($R32=0,$X32,IF(AND($T32&lt;&gt;"",EDATE($D32,Milestones!$AA$170)&gt;=$T32),$W32,IF(AND($S32&lt;&gt;"",EDATE($D32,Milestones!$AA$170)&gt;=$S32),$V32,$U32)))=Milestones!$AB$170),UPPER(TEXT(EDATE($D32,Milestones!$AA$170),"dd mmm yy"))&amp;" "&amp;Milestones!$AB$170&amp;" "&amp;Milestones!$AC$170&amp;";  ","")&amp;IF(AND(EDATE($D32,Milestones!$AA$171)&lt;=AsOfDate,IF($R32=0,$X32,IF(AND($T32&lt;&gt;"",EDATE($D32,Milestones!$AA$171)&gt;=$T32),$W32,IF(AND($S32&lt;&gt;"",EDATE($D32,Milestones!$AA$171)&gt;=$S32),$V32,$U32)))=Milestones!$AB$171),UPPER(TEXT(EDATE($D32,Milestones!$AA$171),"dd mmm yy"))&amp;" "&amp;Milestones!$AB$171&amp;" "&amp;Milestones!$AC$171&amp;";  ","")&amp;IF(AND(EDATE($D32,Milestones!$AA$172)&lt;=AsOfDate,IF($R32=0,$X32,IF(AND($T32&lt;&gt;"",EDATE($D32,Milestones!$AA$172)&gt;=$T32),$W32,IF(AND($S32&lt;&gt;"",EDATE($D32,Milestones!$AA$172)&gt;=$S32),$V32,$U32)))=Milestones!$AB$172),UPPER(TEXT(EDATE($D32,Milestones!$AA$172),"dd mmm yy"))&amp;" "&amp;Milestones!$AB$172&amp;" "&amp;Milestones!$AC$172&amp;";  ","")&amp;IF(AND(EDATE($D32,Milestones!$AA$173)&lt;=AsOfDate,IF($R32=0,$X32,IF(AND($T32&lt;&gt;"",EDATE($D32,Milestones!$AA$173)&gt;=$T32),$W32,IF(AND($S32&lt;&gt;"",EDATE($D32,Milestones!$AA$173)&gt;=$S32),$V32,$U32)))=Milestones!$AB$173),UPPER(TEXT(EDATE($D32,Milestones!$AA$173),"dd mmm yy"))&amp;" "&amp;Milestones!$AB$173&amp;" "&amp;Milestones!$AC$173&amp;";  ","")&amp;IF(AND(EDATE($D32,Milestones!$AA$174)&lt;=AsOfDate,IF($R32=0,$X32,IF(AND($T32&lt;&gt;"",EDATE($D32,Milestones!$AA$174)&gt;=$T32),$W32,IF(AND($S32&lt;&gt;"",EDATE($D32,Milestones!$AA$174)&gt;=$S32),$V32,$U32)))=Milestones!$AB$174),UPPER(TEXT(EDATE($D32,Milestones!$AA$174),"dd mmm yy"))&amp;" "&amp;Milestones!$AB$174&amp;" "&amp;Milestones!$AC$174&amp;";  ","")&amp;IF(AND(EDATE($D32,Milestones!$AA$175)&lt;=AsOfDate,IF($R32=0,$X32,IF(AND($T32&lt;&gt;"",EDATE($D32,Milestones!$AA$175)&gt;=$T32),$W32,IF(AND($S32&lt;&gt;"",EDATE($D32,Milestones!$AA$175)&gt;=$S32),$V32,$U32)))=Milestones!$AB$175),UPPER(TEXT(EDATE($D32,Milestones!$AA$175),"dd mmm yy"))&amp;" "&amp;Milestones!$AB$175&amp;" "&amp;Milestones!$AC$175&amp;";  ","")&amp;IF(AND(EDATE($D32,Milestones!$AA$176)&lt;=AsOfDate,IF($R32=0,$X32,IF(AND($T32&lt;&gt;"",EDATE($D32,Milestones!$AA$176)&gt;=$T32),$W32,IF(AND($S32&lt;&gt;"",EDATE($D32,Milestones!$AA$176)&gt;=$S32),$V32,$U32)))=Milestones!$AB$176),UPPER(TEXT(EDATE($D32,Milestones!$AA$176),"dd mmm yy"))&amp;" "&amp;Milestones!$AB$176&amp;" "&amp;Milestones!$AC$176&amp;";  ","")&amp;IF(AND(EDATE($D32,Milestones!$AA$177)&lt;=AsOfDate,IF($R32=0,$X32,IF(AND($T32&lt;&gt;"",EDATE($D32,Milestones!$AA$177)&gt;=$T32),$W32,IF(AND($S32&lt;&gt;"",EDATE($D32,Milestones!$AA$177)&gt;=$S32),$V32,$U32)))=Milestones!$AB$177),UPPER(TEXT(EDATE($D32,Milestones!$AA$177),"dd mmm yy"))&amp;" "&amp;Milestones!$AB$177&amp;" "&amp;Milestones!$AC$177&amp;";  ","")&amp;IF(AND(EDATE($D32,Milestones!$AA$178)&lt;=AsOfDate,IF($R32=0,$X32,IF(AND($T32&lt;&gt;"",EDATE($D32,Milestones!$AA$178)&gt;=$T32),$W32,IF(AND($S32&lt;&gt;"",EDATE($D32,Milestones!$AA$178)&gt;=$S32),$V32,$U32)))=Milestones!$AB$178),UPPER(TEXT(EDATE($D32,Milestones!$AA$178),"dd mmm yy"))&amp;" "&amp;Milestones!$AB$178&amp;" "&amp;Milestones!$AC$178&amp;";  ","")&amp;IF(AND(EDATE($D32,Milestones!$AA$179)&lt;=AsOfDate,IF($R32=0,$X32,IF(AND($T32&lt;&gt;"",EDATE($D32,Milestones!$AA$179)&gt;=$T32),$W32,IF(AND($S32&lt;&gt;"",EDATE($D32,Milestones!$AA$179)&gt;=$S32),$V32,$U32)))=Milestones!$AB$179),UPPER(TEXT(EDATE($D32,Milestones!$AA$179),"dd mmm yy"))&amp;" "&amp;Milestones!$AB$179&amp;" "&amp;Milestones!$AC$179&amp;";  ",""))</f>
        <v/>
      </c>
      <c r="Q32" s="0" t="str">
        <f aca="false">IF(OR($A32="",$D32=""),"",IF(AND(EDATE($D32,Milestones!$AA$180)&lt;=AsOfDate,IF($R32=0,$X32,IF(AND($T32&lt;&gt;"",EDATE($D32,Milestones!$AA$180)&gt;=$T32),$W32,IF(AND($S32&lt;&gt;"",EDATE($D32,Milestones!$AA$180)&gt;=$S32),$V32,$U32)))=Milestones!$AB$180),UPPER(TEXT(EDATE($D32,Milestones!$AA$180),"dd mmm yy"))&amp;" "&amp;Milestones!$AB$180&amp;" "&amp;Milestones!$AC$180&amp;";  ","")&amp;IF(AND(EDATE($D32,Milestones!$AA$181)&lt;=AsOfDate,IF($R32=0,$X32,IF(AND($T32&lt;&gt;"",EDATE($D32,Milestones!$AA$181)&gt;=$T32),$W32,IF(AND($S32&lt;&gt;"",EDATE($D32,Milestones!$AA$181)&gt;=$S32),$V32,$U32)))=Milestones!$AB$181),UPPER(TEXT(EDATE($D32,Milestones!$AA$181),"dd mmm yy"))&amp;" "&amp;Milestones!$AB$181&amp;" "&amp;Milestones!$AC$181&amp;";  ","")&amp;IF(AND(EDATE($D32,Milestones!$AA$182)&lt;=AsOfDate,IF($R32=0,$X32,IF(AND($T32&lt;&gt;"",EDATE($D32,Milestones!$AA$182)&gt;=$T32),$W32,IF(AND($S32&lt;&gt;"",EDATE($D32,Milestones!$AA$182)&gt;=$S32),$V32,$U32)))=Milestones!$AB$182),UPPER(TEXT(EDATE($D32,Milestones!$AA$182),"dd mmm yy"))&amp;" "&amp;Milestones!$AB$182&amp;" "&amp;Milestones!$AC$182&amp;";  ","")&amp;IF(AND(EDATE($D32,Milestones!$AA$183)&lt;=AsOfDate,IF($R32=0,$X32,IF(AND($T32&lt;&gt;"",EDATE($D32,Milestones!$AA$183)&gt;=$T32),$W32,IF(AND($S32&lt;&gt;"",EDATE($D32,Milestones!$AA$183)&gt;=$S32),$V32,$U32)))=Milestones!$AB$183),UPPER(TEXT(EDATE($D32,Milestones!$AA$183),"dd mmm yy"))&amp;" "&amp;Milestones!$AB$183&amp;" "&amp;Milestones!$AC$183&amp;";  ","")&amp;IF(AND(EDATE($D32,Milestones!$AA$184)&lt;=AsOfDate,IF($R32=0,$X32,IF(AND($T32&lt;&gt;"",EDATE($D32,Milestones!$AA$184)&gt;=$T32),$W32,IF(AND($S32&lt;&gt;"",EDATE($D32,Milestones!$AA$184)&gt;=$S32),$V32,$U32)))=Milestones!$AB$184),UPPER(TEXT(EDATE($D32,Milestones!$AA$184),"dd mmm yy"))&amp;" "&amp;Milestones!$AB$184&amp;" "&amp;Milestones!$AC$184&amp;";  ","")&amp;IF(AND(EDATE($D32,Milestones!$AA$185)&lt;=AsOfDate,IF($R32=0,$X32,IF(AND($T32&lt;&gt;"",EDATE($D32,Milestones!$AA$185)&gt;=$T32),$W32,IF(AND($S32&lt;&gt;"",EDATE($D32,Milestones!$AA$185)&gt;=$S32),$V32,$U32)))=Milestones!$AB$185),UPPER(TEXT(EDATE($D32,Milestones!$AA$185),"dd mmm yy"))&amp;" "&amp;Milestones!$AB$185&amp;" "&amp;Milestones!$AC$185&amp;";  ","")&amp;IF(AND(EDATE($D32,Milestones!$AA$186)&lt;=AsOfDate,IF($R32=0,$X32,IF(AND($T32&lt;&gt;"",EDATE($D32,Milestones!$AA$186)&gt;=$T32),$W32,IF(AND($S32&lt;&gt;"",EDATE($D32,Milestones!$AA$186)&gt;=$S32),$V32,$U32)))=Milestones!$AB$186),UPPER(TEXT(EDATE($D32,Milestones!$AA$186),"dd mmm yy"))&amp;" "&amp;Milestones!$AB$186&amp;" "&amp;Milestones!$AC$186&amp;";  ","")&amp;IF(AND(EDATE($D32,Milestones!$AA$187)&lt;=AsOfDate,IF($R32=0,$X32,IF(AND($T32&lt;&gt;"",EDATE($D32,Milestones!$AA$187)&gt;=$T32),$W32,IF(AND($S32&lt;&gt;"",EDATE($D32,Milestones!$AA$187)&gt;=$S32),$V32,$U32)))=Milestones!$AB$187),UPPER(TEXT(EDATE($D32,Milestones!$AA$187),"dd mmm yy"))&amp;" "&amp;Milestones!$AB$187&amp;" "&amp;Milestones!$AC$187&amp;";  ","")&amp;IF(AND(EDATE($D32,Milestones!$AA$188)&lt;=AsOfDate,IF($R32=0,$X32,IF(AND($T32&lt;&gt;"",EDATE($D32,Milestones!$AA$188)&gt;=$T32),$W32,IF(AND($S32&lt;&gt;"",EDATE($D32,Milestones!$AA$188)&gt;=$S32),$V32,$U32)))=Milestones!$AB$188),UPPER(TEXT(EDATE($D32,Milestones!$AA$188),"dd mmm yy"))&amp;" "&amp;Milestones!$AB$188&amp;" "&amp;Milestones!$AC$188&amp;";  ","")&amp;IF(AND(EDATE($D32,Milestones!$AA$189)&lt;=AsOfDate,IF($R32=0,$X32,IF(AND($T32&lt;&gt;"",EDATE($D32,Milestones!$AA$189)&gt;=$T32),$W32,IF(AND($S32&lt;&gt;"",EDATE($D32,Milestones!$AA$189)&gt;=$S32),$V32,$U32)))=Milestones!$AB$189),UPPER(TEXT(EDATE($D32,Milestones!$AA$189),"dd mmm yy"))&amp;" "&amp;Milestones!$AB$189&amp;" "&amp;Milestones!$AC$189&amp;";  ","")&amp;IF(AND(EDATE($D32,Milestones!$AA$190)&lt;=AsOfDate,IF($R32=0,$X32,IF(AND($T32&lt;&gt;"",EDATE($D32,Milestones!$AA$190)&gt;=$T32),$W32,IF(AND($S32&lt;&gt;"",EDATE($D32,Milestones!$AA$190)&gt;=$S32),$V32,$U32)))=Milestones!$AB$190),UPPER(TEXT(EDATE($D32,Milestones!$AA$190),"dd mmm yy"))&amp;" "&amp;Milestones!$AB$190&amp;" "&amp;Milestones!$AC$190&amp;";  ","")&amp;IF(AND(EDATE($D32,Milestones!$AA$191)&lt;=AsOfDate,IF($R32=0,$X32,IF(AND($T32&lt;&gt;"",EDATE($D32,Milestones!$AA$191)&gt;=$T32),$W32,IF(AND($S32&lt;&gt;"",EDATE($D32,Milestones!$AA$191)&gt;=$S32),$V32,$U32)))=Milestones!$AB$191),UPPER(TEXT(EDATE($D32,Milestones!$AA$191),"dd mmm yy"))&amp;" "&amp;Milestones!$AB$191&amp;" "&amp;Milestones!$AC$191&amp;";  ","")&amp;IF(AND(EDATE($D32,Milestones!$AA$192)&lt;=AsOfDate,IF($R32=0,$X32,IF(AND($T32&lt;&gt;"",EDATE($D32,Milestones!$AA$192)&gt;=$T32),$W32,IF(AND($S32&lt;&gt;"",EDATE($D32,Milestones!$AA$192)&gt;=$S32),$V32,$U32)))=Milestones!$AB$192),UPPER(TEXT(EDATE($D32,Milestones!$AA$192),"dd mmm yy"))&amp;" "&amp;Milestones!$AB$192&amp;" "&amp;Milestones!$AC$192&amp;";  ","")&amp;IF(AND(EDATE($D32,Milestones!$AA$193)&lt;=AsOfDate,IF($R32=0,$X32,IF(AND($T32&lt;&gt;"",EDATE($D32,Milestones!$AA$193)&gt;=$T32),$W32,IF(AND($S32&lt;&gt;"",EDATE($D32,Milestones!$AA$193)&gt;=$S32),$V32,$U32)))=Milestones!$AB$193),UPPER(TEXT(EDATE($D32,Milestones!$AA$193),"dd mmm yy"))&amp;" "&amp;Milestones!$AB$193&amp;" "&amp;Milestones!$AC$193&amp;";  ","")&amp;IF(AND(EDATE($D32,Milestones!$AA$194)&lt;=AsOfDate,IF($R32=0,$X32,IF(AND($T32&lt;&gt;"",EDATE($D32,Milestones!$AA$194)&gt;=$T32),$W32,IF(AND($S32&lt;&gt;"",EDATE($D32,Milestones!$AA$194)&gt;=$S32),$V32,$U32)))=Milestones!$AB$194),UPPER(TEXT(EDATE($D32,Milestones!$AA$194),"dd mmm yy"))&amp;" "&amp;Milestones!$AB$194&amp;" "&amp;Milestones!$AC$194&amp;";  ","")&amp;IF(AND(EDATE($D32,Milestones!$AA$195)&lt;=AsOfDate,IF($R32=0,$X32,IF(AND($T32&lt;&gt;"",EDATE($D32,Milestones!$AA$195)&gt;=$T32),$W32,IF(AND($S32&lt;&gt;"",EDATE($D32,Milestones!$AA$195)&gt;=$S32),$V32,$U32)))=Milestones!$AB$195),UPPER(TEXT(EDATE($D32,Milestones!$AA$195),"dd mmm yy"))&amp;" "&amp;Milestones!$AB$195&amp;" "&amp;Milestones!$AC$195&amp;";  ","")&amp;IF(AND(EDATE($D32,Milestones!$AA$196)&lt;=AsOfDate,IF($R32=0,$X32,IF(AND($T32&lt;&gt;"",EDATE($D32,Milestones!$AA$196)&gt;=$T32),$W32,IF(AND($S32&lt;&gt;"",EDATE($D32,Milestones!$AA$196)&gt;=$S32),$V32,$U32)))=Milestones!$AB$196),UPPER(TEXT(EDATE($D32,Milestones!$AA$196),"dd mmm yy"))&amp;" "&amp;Milestones!$AB$196&amp;" "&amp;Milestones!$AC$196&amp;";  ","")&amp;IF(AND(EDATE($D32,Milestones!$AA$197)&lt;=AsOfDate,IF($R32=0,$X32,IF(AND($T32&lt;&gt;"",EDATE($D32,Milestones!$AA$197)&gt;=$T32),$W32,IF(AND($S32&lt;&gt;"",EDATE($D32,Milestones!$AA$197)&gt;=$S32),$V32,$U32)))=Milestones!$AB$197),UPPER(TEXT(EDATE($D32,Milestones!$AA$197),"dd mmm yy"))&amp;" "&amp;Milestones!$AB$197&amp;" "&amp;Milestones!$AC$197&amp;";  ","")&amp;IF(AND(EDATE($D32,Milestones!$AA$198)&lt;=AsOfDate,IF($R32=0,$X32,IF(AND($T32&lt;&gt;"",EDATE($D32,Milestones!$AA$198)&gt;=$T32),$W32,IF(AND($S32&lt;&gt;"",EDATE($D32,Milestones!$AA$198)&gt;=$S32),$V32,$U32)))=Milestones!$AB$198),UPPER(TEXT(EDATE($D32,Milestones!$AA$198),"dd mmm yy"))&amp;" "&amp;Milestones!$AB$198&amp;" "&amp;Milestones!$AC$198&amp;";  ","")&amp;IF(AND(EDATE($D32,Milestones!$AA$199)&lt;=AsOfDate,IF($R32=0,$X32,IF(AND($T32&lt;&gt;"",EDATE($D32,Milestones!$AA$199)&gt;=$T32),$W32,IF(AND($S32&lt;&gt;"",EDATE($D32,Milestones!$AA$199)&gt;=$S32),$V32,$U32)))=Milestones!$AB$199),UPPER(TEXT(EDATE($D32,Milestones!$AA$199),"dd mmm yy"))&amp;" "&amp;Milestones!$AB$199&amp;" "&amp;Milestones!$AC$199&amp;";  ",""))</f>
        <v/>
      </c>
      <c r="R32" s="33" t="n">
        <f aca="false">IF(Staff!$A32="","",Staff!$AI32)</f>
        <v>0</v>
      </c>
      <c r="S32" s="0" t="str">
        <f aca="false">IF(Staff!$A32="","",Staff!$AK32)</f>
        <v/>
      </c>
      <c r="T32" s="0" t="str">
        <f aca="false">IF(Staff!$A32="","",Staff!$AL32)</f>
        <v/>
      </c>
      <c r="U32" s="0" t="str">
        <f aca="false">IF(Staff!$A32="","",Staff!$AP32)</f>
        <v>None</v>
      </c>
      <c r="V32" s="0" t="str">
        <f aca="false">IF(Staff!$A32="","",Staff!$AQ32)</f>
        <v/>
      </c>
      <c r="W32" s="0" t="str">
        <f aca="false">IF(Staff!$A32="","",Staff!$AR32)</f>
        <v/>
      </c>
      <c r="X32" s="0" t="str">
        <f aca="false">IF(Staff!$A32="","",Staff!$AS32)</f>
        <v>None</v>
      </c>
    </row>
    <row r="33" customFormat="false" ht="15" hidden="false" customHeight="false" outlineLevel="0" collapsed="false">
      <c r="A33" s="19" t="str">
        <f aca="false">IF(Staff!$A33="","",Staff!$A33)</f>
        <v>Gianmaria</v>
      </c>
      <c r="B33" s="19" t="str">
        <f aca="false">IF(Staff!$A33="","",Staff!$B33)</f>
        <v>Yao</v>
      </c>
      <c r="C33" s="19" t="str">
        <f aca="false">IF(Staff!$A33="","",Staff!$C33)</f>
        <v>Full-Time</v>
      </c>
      <c r="D33" s="17" t="n">
        <f aca="false">IF(Staff!$A33="","",Staff!$AH33)</f>
        <v>45302</v>
      </c>
      <c r="E33" s="20" t="n">
        <f aca="false">IF(Staff!$A33="","",Staff!$O33)</f>
        <v>0</v>
      </c>
      <c r="F33" s="19" t="n">
        <f aca="false">IF(E33="","",E33*HoursPerDay)</f>
        <v>0</v>
      </c>
      <c r="G33" s="20" t="n">
        <f aca="false">IF(Staff!$A33="","",Staff!$AE33)</f>
        <v>0</v>
      </c>
      <c r="H33" s="32" t="str">
        <f aca="false">IF($A33="","",I33&amp;J33&amp;K33&amp;L33&amp;M33&amp;N33&amp;O33&amp;P33&amp;Q33)</f>
        <v/>
      </c>
      <c r="I33" s="0" t="str">
        <f aca="false">IF(OR($A33="",$D33=""),"",IF(AND(EDATE($D33,Milestones!$AA$20)&lt;=AsOfDate,IF($R33=0,$X33,IF(AND($T33&lt;&gt;"",EDATE($D33,Milestones!$AA$20)&gt;=$T33),$W33,IF(AND($S33&lt;&gt;"",EDATE($D33,Milestones!$AA$20)&gt;=$S33),$V33,$U33)))=Milestones!$AB$20),UPPER(TEXT(EDATE($D33,Milestones!$AA$20),"dd mmm yy"))&amp;" "&amp;Milestones!$AB$20&amp;" "&amp;Milestones!$AC$20&amp;";  ","")&amp;IF(AND(EDATE($D33,Milestones!$AA$21)&lt;=AsOfDate,IF($R33=0,$X33,IF(AND($T33&lt;&gt;"",EDATE($D33,Milestones!$AA$21)&gt;=$T33),$W33,IF(AND($S33&lt;&gt;"",EDATE($D33,Milestones!$AA$21)&gt;=$S33),$V33,$U33)))=Milestones!$AB$21),UPPER(TEXT(EDATE($D33,Milestones!$AA$21),"dd mmm yy"))&amp;" "&amp;Milestones!$AB$21&amp;" "&amp;Milestones!$AC$21&amp;";  ","")&amp;IF(AND(EDATE($D33,Milestones!$AA$22)&lt;=AsOfDate,IF($R33=0,$X33,IF(AND($T33&lt;&gt;"",EDATE($D33,Milestones!$AA$22)&gt;=$T33),$W33,IF(AND($S33&lt;&gt;"",EDATE($D33,Milestones!$AA$22)&gt;=$S33),$V33,$U33)))=Milestones!$AB$22),UPPER(TEXT(EDATE($D33,Milestones!$AA$22),"dd mmm yy"))&amp;" "&amp;Milestones!$AB$22&amp;" "&amp;Milestones!$AC$22&amp;";  ","")&amp;IF(AND(EDATE($D33,Milestones!$AA$23)&lt;=AsOfDate,IF($R33=0,$X33,IF(AND($T33&lt;&gt;"",EDATE($D33,Milestones!$AA$23)&gt;=$T33),$W33,IF(AND($S33&lt;&gt;"",EDATE($D33,Milestones!$AA$23)&gt;=$S33),$V33,$U33)))=Milestones!$AB$23),UPPER(TEXT(EDATE($D33,Milestones!$AA$23),"dd mmm yy"))&amp;" "&amp;Milestones!$AB$23&amp;" "&amp;Milestones!$AC$23&amp;";  ","")&amp;IF(AND(EDATE($D33,Milestones!$AA$24)&lt;=AsOfDate,IF($R33=0,$X33,IF(AND($T33&lt;&gt;"",EDATE($D33,Milestones!$AA$24)&gt;=$T33),$W33,IF(AND($S33&lt;&gt;"",EDATE($D33,Milestones!$AA$24)&gt;=$S33),$V33,$U33)))=Milestones!$AB$24),UPPER(TEXT(EDATE($D33,Milestones!$AA$24),"dd mmm yy"))&amp;" "&amp;Milestones!$AB$24&amp;" "&amp;Milestones!$AC$24&amp;";  ","")&amp;IF(AND(EDATE($D33,Milestones!$AA$25)&lt;=AsOfDate,IF($R33=0,$X33,IF(AND($T33&lt;&gt;"",EDATE($D33,Milestones!$AA$25)&gt;=$T33),$W33,IF(AND($S33&lt;&gt;"",EDATE($D33,Milestones!$AA$25)&gt;=$S33),$V33,$U33)))=Milestones!$AB$25),UPPER(TEXT(EDATE($D33,Milestones!$AA$25),"dd mmm yy"))&amp;" "&amp;Milestones!$AB$25&amp;" "&amp;Milestones!$AC$25&amp;";  ","")&amp;IF(AND(EDATE($D33,Milestones!$AA$26)&lt;=AsOfDate,IF($R33=0,$X33,IF(AND($T33&lt;&gt;"",EDATE($D33,Milestones!$AA$26)&gt;=$T33),$W33,IF(AND($S33&lt;&gt;"",EDATE($D33,Milestones!$AA$26)&gt;=$S33),$V33,$U33)))=Milestones!$AB$26),UPPER(TEXT(EDATE($D33,Milestones!$AA$26),"dd mmm yy"))&amp;" "&amp;Milestones!$AB$26&amp;" "&amp;Milestones!$AC$26&amp;";  ","")&amp;IF(AND(EDATE($D33,Milestones!$AA$27)&lt;=AsOfDate,IF($R33=0,$X33,IF(AND($T33&lt;&gt;"",EDATE($D33,Milestones!$AA$27)&gt;=$T33),$W33,IF(AND($S33&lt;&gt;"",EDATE($D33,Milestones!$AA$27)&gt;=$S33),$V33,$U33)))=Milestones!$AB$27),UPPER(TEXT(EDATE($D33,Milestones!$AA$27),"dd mmm yy"))&amp;" "&amp;Milestones!$AB$27&amp;" "&amp;Milestones!$AC$27&amp;";  ","")&amp;IF(AND(EDATE($D33,Milestones!$AA$28)&lt;=AsOfDate,IF($R33=0,$X33,IF(AND($T33&lt;&gt;"",EDATE($D33,Milestones!$AA$28)&gt;=$T33),$W33,IF(AND($S33&lt;&gt;"",EDATE($D33,Milestones!$AA$28)&gt;=$S33),$V33,$U33)))=Milestones!$AB$28),UPPER(TEXT(EDATE($D33,Milestones!$AA$28),"dd mmm yy"))&amp;" "&amp;Milestones!$AB$28&amp;" "&amp;Milestones!$AC$28&amp;";  ","")&amp;IF(AND(EDATE($D33,Milestones!$AA$29)&lt;=AsOfDate,IF($R33=0,$X33,IF(AND($T33&lt;&gt;"",EDATE($D33,Milestones!$AA$29)&gt;=$T33),$W33,IF(AND($S33&lt;&gt;"",EDATE($D33,Milestones!$AA$29)&gt;=$S33),$V33,$U33)))=Milestones!$AB$29),UPPER(TEXT(EDATE($D33,Milestones!$AA$29),"dd mmm yy"))&amp;" "&amp;Milestones!$AB$29&amp;" "&amp;Milestones!$AC$29&amp;";  ","")&amp;IF(AND(EDATE($D33,Milestones!$AA$30)&lt;=AsOfDate,IF($R33=0,$X33,IF(AND($T33&lt;&gt;"",EDATE($D33,Milestones!$AA$30)&gt;=$T33),$W33,IF(AND($S33&lt;&gt;"",EDATE($D33,Milestones!$AA$30)&gt;=$S33),$V33,$U33)))=Milestones!$AB$30),UPPER(TEXT(EDATE($D33,Milestones!$AA$30),"dd mmm yy"))&amp;" "&amp;Milestones!$AB$30&amp;" "&amp;Milestones!$AC$30&amp;";  ","")&amp;IF(AND(EDATE($D33,Milestones!$AA$31)&lt;=AsOfDate,IF($R33=0,$X33,IF(AND($T33&lt;&gt;"",EDATE($D33,Milestones!$AA$31)&gt;=$T33),$W33,IF(AND($S33&lt;&gt;"",EDATE($D33,Milestones!$AA$31)&gt;=$S33),$V33,$U33)))=Milestones!$AB$31),UPPER(TEXT(EDATE($D33,Milestones!$AA$31),"dd mmm yy"))&amp;" "&amp;Milestones!$AB$31&amp;" "&amp;Milestones!$AC$31&amp;";  ","")&amp;IF(AND(EDATE($D33,Milestones!$AA$32)&lt;=AsOfDate,IF($R33=0,$X33,IF(AND($T33&lt;&gt;"",EDATE($D33,Milestones!$AA$32)&gt;=$T33),$W33,IF(AND($S33&lt;&gt;"",EDATE($D33,Milestones!$AA$32)&gt;=$S33),$V33,$U33)))=Milestones!$AB$32),UPPER(TEXT(EDATE($D33,Milestones!$AA$32),"dd mmm yy"))&amp;" "&amp;Milestones!$AB$32&amp;" "&amp;Milestones!$AC$32&amp;";  ","")&amp;IF(AND(EDATE($D33,Milestones!$AA$33)&lt;=AsOfDate,IF($R33=0,$X33,IF(AND($T33&lt;&gt;"",EDATE($D33,Milestones!$AA$33)&gt;=$T33),$W33,IF(AND($S33&lt;&gt;"",EDATE($D33,Milestones!$AA$33)&gt;=$S33),$V33,$U33)))=Milestones!$AB$33),UPPER(TEXT(EDATE($D33,Milestones!$AA$33),"dd mmm yy"))&amp;" "&amp;Milestones!$AB$33&amp;" "&amp;Milestones!$AC$33&amp;";  ","")&amp;IF(AND(EDATE($D33,Milestones!$AA$34)&lt;=AsOfDate,IF($R33=0,$X33,IF(AND($T33&lt;&gt;"",EDATE($D33,Milestones!$AA$34)&gt;=$T33),$W33,IF(AND($S33&lt;&gt;"",EDATE($D33,Milestones!$AA$34)&gt;=$S33),$V33,$U33)))=Milestones!$AB$34),UPPER(TEXT(EDATE($D33,Milestones!$AA$34),"dd mmm yy"))&amp;" "&amp;Milestones!$AB$34&amp;" "&amp;Milestones!$AC$34&amp;";  ","")&amp;IF(AND(EDATE($D33,Milestones!$AA$35)&lt;=AsOfDate,IF($R33=0,$X33,IF(AND($T33&lt;&gt;"",EDATE($D33,Milestones!$AA$35)&gt;=$T33),$W33,IF(AND($S33&lt;&gt;"",EDATE($D33,Milestones!$AA$35)&gt;=$S33),$V33,$U33)))=Milestones!$AB$35),UPPER(TEXT(EDATE($D33,Milestones!$AA$35),"dd mmm yy"))&amp;" "&amp;Milestones!$AB$35&amp;" "&amp;Milestones!$AC$35&amp;";  ","")&amp;IF(AND(EDATE($D33,Milestones!$AA$36)&lt;=AsOfDate,IF($R33=0,$X33,IF(AND($T33&lt;&gt;"",EDATE($D33,Milestones!$AA$36)&gt;=$T33),$W33,IF(AND($S33&lt;&gt;"",EDATE($D33,Milestones!$AA$36)&gt;=$S33),$V33,$U33)))=Milestones!$AB$36),UPPER(TEXT(EDATE($D33,Milestones!$AA$36),"dd mmm yy"))&amp;" "&amp;Milestones!$AB$36&amp;" "&amp;Milestones!$AC$36&amp;";  ","")&amp;IF(AND(EDATE($D33,Milestones!$AA$37)&lt;=AsOfDate,IF($R33=0,$X33,IF(AND($T33&lt;&gt;"",EDATE($D33,Milestones!$AA$37)&gt;=$T33),$W33,IF(AND($S33&lt;&gt;"",EDATE($D33,Milestones!$AA$37)&gt;=$S33),$V33,$U33)))=Milestones!$AB$37),UPPER(TEXT(EDATE($D33,Milestones!$AA$37),"dd mmm yy"))&amp;" "&amp;Milestones!$AB$37&amp;" "&amp;Milestones!$AC$37&amp;";  ","")&amp;IF(AND(EDATE($D33,Milestones!$AA$38)&lt;=AsOfDate,IF($R33=0,$X33,IF(AND($T33&lt;&gt;"",EDATE($D33,Milestones!$AA$38)&gt;=$T33),$W33,IF(AND($S33&lt;&gt;"",EDATE($D33,Milestones!$AA$38)&gt;=$S33),$V33,$U33)))=Milestones!$AB$38),UPPER(TEXT(EDATE($D33,Milestones!$AA$38),"dd mmm yy"))&amp;" "&amp;Milestones!$AB$38&amp;" "&amp;Milestones!$AC$38&amp;";  ","")&amp;IF(AND(EDATE($D33,Milestones!$AA$39)&lt;=AsOfDate,IF($R33=0,$X33,IF(AND($T33&lt;&gt;"",EDATE($D33,Milestones!$AA$39)&gt;=$T33),$W33,IF(AND($S33&lt;&gt;"",EDATE($D33,Milestones!$AA$39)&gt;=$S33),$V33,$U33)))=Milestones!$AB$39),UPPER(TEXT(EDATE($D33,Milestones!$AA$39),"dd mmm yy"))&amp;" "&amp;Milestones!$AB$39&amp;" "&amp;Milestones!$AC$39&amp;";  ",""))</f>
        <v/>
      </c>
      <c r="J33" s="0" t="str">
        <f aca="false">IF(OR($A33="",$D33=""),"",IF(AND(EDATE($D33,Milestones!$AA$40)&lt;=AsOfDate,IF($R33=0,$X33,IF(AND($T33&lt;&gt;"",EDATE($D33,Milestones!$AA$40)&gt;=$T33),$W33,IF(AND($S33&lt;&gt;"",EDATE($D33,Milestones!$AA$40)&gt;=$S33),$V33,$U33)))=Milestones!$AB$40),UPPER(TEXT(EDATE($D33,Milestones!$AA$40),"dd mmm yy"))&amp;" "&amp;Milestones!$AB$40&amp;" "&amp;Milestones!$AC$40&amp;";  ","")&amp;IF(AND(EDATE($D33,Milestones!$AA$41)&lt;=AsOfDate,IF($R33=0,$X33,IF(AND($T33&lt;&gt;"",EDATE($D33,Milestones!$AA$41)&gt;=$T33),$W33,IF(AND($S33&lt;&gt;"",EDATE($D33,Milestones!$AA$41)&gt;=$S33),$V33,$U33)))=Milestones!$AB$41),UPPER(TEXT(EDATE($D33,Milestones!$AA$41),"dd mmm yy"))&amp;" "&amp;Milestones!$AB$41&amp;" "&amp;Milestones!$AC$41&amp;";  ","")&amp;IF(AND(EDATE($D33,Milestones!$AA$42)&lt;=AsOfDate,IF($R33=0,$X33,IF(AND($T33&lt;&gt;"",EDATE($D33,Milestones!$AA$42)&gt;=$T33),$W33,IF(AND($S33&lt;&gt;"",EDATE($D33,Milestones!$AA$42)&gt;=$S33),$V33,$U33)))=Milestones!$AB$42),UPPER(TEXT(EDATE($D33,Milestones!$AA$42),"dd mmm yy"))&amp;" "&amp;Milestones!$AB$42&amp;" "&amp;Milestones!$AC$42&amp;";  ","")&amp;IF(AND(EDATE($D33,Milestones!$AA$43)&lt;=AsOfDate,IF($R33=0,$X33,IF(AND($T33&lt;&gt;"",EDATE($D33,Milestones!$AA$43)&gt;=$T33),$W33,IF(AND($S33&lt;&gt;"",EDATE($D33,Milestones!$AA$43)&gt;=$S33),$V33,$U33)))=Milestones!$AB$43),UPPER(TEXT(EDATE($D33,Milestones!$AA$43),"dd mmm yy"))&amp;" "&amp;Milestones!$AB$43&amp;" "&amp;Milestones!$AC$43&amp;";  ","")&amp;IF(AND(EDATE($D33,Milestones!$AA$44)&lt;=AsOfDate,IF($R33=0,$X33,IF(AND($T33&lt;&gt;"",EDATE($D33,Milestones!$AA$44)&gt;=$T33),$W33,IF(AND($S33&lt;&gt;"",EDATE($D33,Milestones!$AA$44)&gt;=$S33),$V33,$U33)))=Milestones!$AB$44),UPPER(TEXT(EDATE($D33,Milestones!$AA$44),"dd mmm yy"))&amp;" "&amp;Milestones!$AB$44&amp;" "&amp;Milestones!$AC$44&amp;";  ","")&amp;IF(AND(EDATE($D33,Milestones!$AA$45)&lt;=AsOfDate,IF($R33=0,$X33,IF(AND($T33&lt;&gt;"",EDATE($D33,Milestones!$AA$45)&gt;=$T33),$W33,IF(AND($S33&lt;&gt;"",EDATE($D33,Milestones!$AA$45)&gt;=$S33),$V33,$U33)))=Milestones!$AB$45),UPPER(TEXT(EDATE($D33,Milestones!$AA$45),"dd mmm yy"))&amp;" "&amp;Milestones!$AB$45&amp;" "&amp;Milestones!$AC$45&amp;";  ","")&amp;IF(AND(EDATE($D33,Milestones!$AA$46)&lt;=AsOfDate,IF($R33=0,$X33,IF(AND($T33&lt;&gt;"",EDATE($D33,Milestones!$AA$46)&gt;=$T33),$W33,IF(AND($S33&lt;&gt;"",EDATE($D33,Milestones!$AA$46)&gt;=$S33),$V33,$U33)))=Milestones!$AB$46),UPPER(TEXT(EDATE($D33,Milestones!$AA$46),"dd mmm yy"))&amp;" "&amp;Milestones!$AB$46&amp;" "&amp;Milestones!$AC$46&amp;";  ","")&amp;IF(AND(EDATE($D33,Milestones!$AA$47)&lt;=AsOfDate,IF($R33=0,$X33,IF(AND($T33&lt;&gt;"",EDATE($D33,Milestones!$AA$47)&gt;=$T33),$W33,IF(AND($S33&lt;&gt;"",EDATE($D33,Milestones!$AA$47)&gt;=$S33),$V33,$U33)))=Milestones!$AB$47),UPPER(TEXT(EDATE($D33,Milestones!$AA$47),"dd mmm yy"))&amp;" "&amp;Milestones!$AB$47&amp;" "&amp;Milestones!$AC$47&amp;";  ","")&amp;IF(AND(EDATE($D33,Milestones!$AA$48)&lt;=AsOfDate,IF($R33=0,$X33,IF(AND($T33&lt;&gt;"",EDATE($D33,Milestones!$AA$48)&gt;=$T33),$W33,IF(AND($S33&lt;&gt;"",EDATE($D33,Milestones!$AA$48)&gt;=$S33),$V33,$U33)))=Milestones!$AB$48),UPPER(TEXT(EDATE($D33,Milestones!$AA$48),"dd mmm yy"))&amp;" "&amp;Milestones!$AB$48&amp;" "&amp;Milestones!$AC$48&amp;";  ","")&amp;IF(AND(EDATE($D33,Milestones!$AA$49)&lt;=AsOfDate,IF($R33=0,$X33,IF(AND($T33&lt;&gt;"",EDATE($D33,Milestones!$AA$49)&gt;=$T33),$W33,IF(AND($S33&lt;&gt;"",EDATE($D33,Milestones!$AA$49)&gt;=$S33),$V33,$U33)))=Milestones!$AB$49),UPPER(TEXT(EDATE($D33,Milestones!$AA$49),"dd mmm yy"))&amp;" "&amp;Milestones!$AB$49&amp;" "&amp;Milestones!$AC$49&amp;";  ","")&amp;IF(AND(EDATE($D33,Milestones!$AA$50)&lt;=AsOfDate,IF($R33=0,$X33,IF(AND($T33&lt;&gt;"",EDATE($D33,Milestones!$AA$50)&gt;=$T33),$W33,IF(AND($S33&lt;&gt;"",EDATE($D33,Milestones!$AA$50)&gt;=$S33),$V33,$U33)))=Milestones!$AB$50),UPPER(TEXT(EDATE($D33,Milestones!$AA$50),"dd mmm yy"))&amp;" "&amp;Milestones!$AB$50&amp;" "&amp;Milestones!$AC$50&amp;";  ","")&amp;IF(AND(EDATE($D33,Milestones!$AA$51)&lt;=AsOfDate,IF($R33=0,$X33,IF(AND($T33&lt;&gt;"",EDATE($D33,Milestones!$AA$51)&gt;=$T33),$W33,IF(AND($S33&lt;&gt;"",EDATE($D33,Milestones!$AA$51)&gt;=$S33),$V33,$U33)))=Milestones!$AB$51),UPPER(TEXT(EDATE($D33,Milestones!$AA$51),"dd mmm yy"))&amp;" "&amp;Milestones!$AB$51&amp;" "&amp;Milestones!$AC$51&amp;";  ","")&amp;IF(AND(EDATE($D33,Milestones!$AA$52)&lt;=AsOfDate,IF($R33=0,$X33,IF(AND($T33&lt;&gt;"",EDATE($D33,Milestones!$AA$52)&gt;=$T33),$W33,IF(AND($S33&lt;&gt;"",EDATE($D33,Milestones!$AA$52)&gt;=$S33),$V33,$U33)))=Milestones!$AB$52),UPPER(TEXT(EDATE($D33,Milestones!$AA$52),"dd mmm yy"))&amp;" "&amp;Milestones!$AB$52&amp;" "&amp;Milestones!$AC$52&amp;";  ","")&amp;IF(AND(EDATE($D33,Milestones!$AA$53)&lt;=AsOfDate,IF($R33=0,$X33,IF(AND($T33&lt;&gt;"",EDATE($D33,Milestones!$AA$53)&gt;=$T33),$W33,IF(AND($S33&lt;&gt;"",EDATE($D33,Milestones!$AA$53)&gt;=$S33),$V33,$U33)))=Milestones!$AB$53),UPPER(TEXT(EDATE($D33,Milestones!$AA$53),"dd mmm yy"))&amp;" "&amp;Milestones!$AB$53&amp;" "&amp;Milestones!$AC$53&amp;";  ","")&amp;IF(AND(EDATE($D33,Milestones!$AA$54)&lt;=AsOfDate,IF($R33=0,$X33,IF(AND($T33&lt;&gt;"",EDATE($D33,Milestones!$AA$54)&gt;=$T33),$W33,IF(AND($S33&lt;&gt;"",EDATE($D33,Milestones!$AA$54)&gt;=$S33),$V33,$U33)))=Milestones!$AB$54),UPPER(TEXT(EDATE($D33,Milestones!$AA$54),"dd mmm yy"))&amp;" "&amp;Milestones!$AB$54&amp;" "&amp;Milestones!$AC$54&amp;";  ","")&amp;IF(AND(EDATE($D33,Milestones!$AA$55)&lt;=AsOfDate,IF($R33=0,$X33,IF(AND($T33&lt;&gt;"",EDATE($D33,Milestones!$AA$55)&gt;=$T33),$W33,IF(AND($S33&lt;&gt;"",EDATE($D33,Milestones!$AA$55)&gt;=$S33),$V33,$U33)))=Milestones!$AB$55),UPPER(TEXT(EDATE($D33,Milestones!$AA$55),"dd mmm yy"))&amp;" "&amp;Milestones!$AB$55&amp;" "&amp;Milestones!$AC$55&amp;";  ","")&amp;IF(AND(EDATE($D33,Milestones!$AA$56)&lt;=AsOfDate,IF($R33=0,$X33,IF(AND($T33&lt;&gt;"",EDATE($D33,Milestones!$AA$56)&gt;=$T33),$W33,IF(AND($S33&lt;&gt;"",EDATE($D33,Milestones!$AA$56)&gt;=$S33),$V33,$U33)))=Milestones!$AB$56),UPPER(TEXT(EDATE($D33,Milestones!$AA$56),"dd mmm yy"))&amp;" "&amp;Milestones!$AB$56&amp;" "&amp;Milestones!$AC$56&amp;";  ","")&amp;IF(AND(EDATE($D33,Milestones!$AA$57)&lt;=AsOfDate,IF($R33=0,$X33,IF(AND($T33&lt;&gt;"",EDATE($D33,Milestones!$AA$57)&gt;=$T33),$W33,IF(AND($S33&lt;&gt;"",EDATE($D33,Milestones!$AA$57)&gt;=$S33),$V33,$U33)))=Milestones!$AB$57),UPPER(TEXT(EDATE($D33,Milestones!$AA$57),"dd mmm yy"))&amp;" "&amp;Milestones!$AB$57&amp;" "&amp;Milestones!$AC$57&amp;";  ","")&amp;IF(AND(EDATE($D33,Milestones!$AA$58)&lt;=AsOfDate,IF($R33=0,$X33,IF(AND($T33&lt;&gt;"",EDATE($D33,Milestones!$AA$58)&gt;=$T33),$W33,IF(AND($S33&lt;&gt;"",EDATE($D33,Milestones!$AA$58)&gt;=$S33),$V33,$U33)))=Milestones!$AB$58),UPPER(TEXT(EDATE($D33,Milestones!$AA$58),"dd mmm yy"))&amp;" "&amp;Milestones!$AB$58&amp;" "&amp;Milestones!$AC$58&amp;";  ","")&amp;IF(AND(EDATE($D33,Milestones!$AA$59)&lt;=AsOfDate,IF($R33=0,$X33,IF(AND($T33&lt;&gt;"",EDATE($D33,Milestones!$AA$59)&gt;=$T33),$W33,IF(AND($S33&lt;&gt;"",EDATE($D33,Milestones!$AA$59)&gt;=$S33),$V33,$U33)))=Milestones!$AB$59),UPPER(TEXT(EDATE($D33,Milestones!$AA$59),"dd mmm yy"))&amp;" "&amp;Milestones!$AB$59&amp;" "&amp;Milestones!$AC$59&amp;";  ",""))</f>
        <v/>
      </c>
      <c r="K33" s="0" t="str">
        <f aca="false">IF(OR($A33="",$D33=""),"",IF(AND(EDATE($D33,Milestones!$AA$60)&lt;=AsOfDate,IF($R33=0,$X33,IF(AND($T33&lt;&gt;"",EDATE($D33,Milestones!$AA$60)&gt;=$T33),$W33,IF(AND($S33&lt;&gt;"",EDATE($D33,Milestones!$AA$60)&gt;=$S33),$V33,$U33)))=Milestones!$AB$60),UPPER(TEXT(EDATE($D33,Milestones!$AA$60),"dd mmm yy"))&amp;" "&amp;Milestones!$AB$60&amp;" "&amp;Milestones!$AC$60&amp;";  ","")&amp;IF(AND(EDATE($D33,Milestones!$AA$61)&lt;=AsOfDate,IF($R33=0,$X33,IF(AND($T33&lt;&gt;"",EDATE($D33,Milestones!$AA$61)&gt;=$T33),$W33,IF(AND($S33&lt;&gt;"",EDATE($D33,Milestones!$AA$61)&gt;=$S33),$V33,$U33)))=Milestones!$AB$61),UPPER(TEXT(EDATE($D33,Milestones!$AA$61),"dd mmm yy"))&amp;" "&amp;Milestones!$AB$61&amp;" "&amp;Milestones!$AC$61&amp;";  ","")&amp;IF(AND(EDATE($D33,Milestones!$AA$62)&lt;=AsOfDate,IF($R33=0,$X33,IF(AND($T33&lt;&gt;"",EDATE($D33,Milestones!$AA$62)&gt;=$T33),$W33,IF(AND($S33&lt;&gt;"",EDATE($D33,Milestones!$AA$62)&gt;=$S33),$V33,$U33)))=Milestones!$AB$62),UPPER(TEXT(EDATE($D33,Milestones!$AA$62),"dd mmm yy"))&amp;" "&amp;Milestones!$AB$62&amp;" "&amp;Milestones!$AC$62&amp;";  ","")&amp;IF(AND(EDATE($D33,Milestones!$AA$63)&lt;=AsOfDate,IF($R33=0,$X33,IF(AND($T33&lt;&gt;"",EDATE($D33,Milestones!$AA$63)&gt;=$T33),$W33,IF(AND($S33&lt;&gt;"",EDATE($D33,Milestones!$AA$63)&gt;=$S33),$V33,$U33)))=Milestones!$AB$63),UPPER(TEXT(EDATE($D33,Milestones!$AA$63),"dd mmm yy"))&amp;" "&amp;Milestones!$AB$63&amp;" "&amp;Milestones!$AC$63&amp;";  ","")&amp;IF(AND(EDATE($D33,Milestones!$AA$64)&lt;=AsOfDate,IF($R33=0,$X33,IF(AND($T33&lt;&gt;"",EDATE($D33,Milestones!$AA$64)&gt;=$T33),$W33,IF(AND($S33&lt;&gt;"",EDATE($D33,Milestones!$AA$64)&gt;=$S33),$V33,$U33)))=Milestones!$AB$64),UPPER(TEXT(EDATE($D33,Milestones!$AA$64),"dd mmm yy"))&amp;" "&amp;Milestones!$AB$64&amp;" "&amp;Milestones!$AC$64&amp;";  ","")&amp;IF(AND(EDATE($D33,Milestones!$AA$65)&lt;=AsOfDate,IF($R33=0,$X33,IF(AND($T33&lt;&gt;"",EDATE($D33,Milestones!$AA$65)&gt;=$T33),$W33,IF(AND($S33&lt;&gt;"",EDATE($D33,Milestones!$AA$65)&gt;=$S33),$V33,$U33)))=Milestones!$AB$65),UPPER(TEXT(EDATE($D33,Milestones!$AA$65),"dd mmm yy"))&amp;" "&amp;Milestones!$AB$65&amp;" "&amp;Milestones!$AC$65&amp;";  ","")&amp;IF(AND(EDATE($D33,Milestones!$AA$66)&lt;=AsOfDate,IF($R33=0,$X33,IF(AND($T33&lt;&gt;"",EDATE($D33,Milestones!$AA$66)&gt;=$T33),$W33,IF(AND($S33&lt;&gt;"",EDATE($D33,Milestones!$AA$66)&gt;=$S33),$V33,$U33)))=Milestones!$AB$66),UPPER(TEXT(EDATE($D33,Milestones!$AA$66),"dd mmm yy"))&amp;" "&amp;Milestones!$AB$66&amp;" "&amp;Milestones!$AC$66&amp;";  ","")&amp;IF(AND(EDATE($D33,Milestones!$AA$67)&lt;=AsOfDate,IF($R33=0,$X33,IF(AND($T33&lt;&gt;"",EDATE($D33,Milestones!$AA$67)&gt;=$T33),$W33,IF(AND($S33&lt;&gt;"",EDATE($D33,Milestones!$AA$67)&gt;=$S33),$V33,$U33)))=Milestones!$AB$67),UPPER(TEXT(EDATE($D33,Milestones!$AA$67),"dd mmm yy"))&amp;" "&amp;Milestones!$AB$67&amp;" "&amp;Milestones!$AC$67&amp;";  ","")&amp;IF(AND(EDATE($D33,Milestones!$AA$68)&lt;=AsOfDate,IF($R33=0,$X33,IF(AND($T33&lt;&gt;"",EDATE($D33,Milestones!$AA$68)&gt;=$T33),$W33,IF(AND($S33&lt;&gt;"",EDATE($D33,Milestones!$AA$68)&gt;=$S33),$V33,$U33)))=Milestones!$AB$68),UPPER(TEXT(EDATE($D33,Milestones!$AA$68),"dd mmm yy"))&amp;" "&amp;Milestones!$AB$68&amp;" "&amp;Milestones!$AC$68&amp;";  ","")&amp;IF(AND(EDATE($D33,Milestones!$AA$69)&lt;=AsOfDate,IF($R33=0,$X33,IF(AND($T33&lt;&gt;"",EDATE($D33,Milestones!$AA$69)&gt;=$T33),$W33,IF(AND($S33&lt;&gt;"",EDATE($D33,Milestones!$AA$69)&gt;=$S33),$V33,$U33)))=Milestones!$AB$69),UPPER(TEXT(EDATE($D33,Milestones!$AA$69),"dd mmm yy"))&amp;" "&amp;Milestones!$AB$69&amp;" "&amp;Milestones!$AC$69&amp;";  ","")&amp;IF(AND(EDATE($D33,Milestones!$AA$70)&lt;=AsOfDate,IF($R33=0,$X33,IF(AND($T33&lt;&gt;"",EDATE($D33,Milestones!$AA$70)&gt;=$T33),$W33,IF(AND($S33&lt;&gt;"",EDATE($D33,Milestones!$AA$70)&gt;=$S33),$V33,$U33)))=Milestones!$AB$70),UPPER(TEXT(EDATE($D33,Milestones!$AA$70),"dd mmm yy"))&amp;" "&amp;Milestones!$AB$70&amp;" "&amp;Milestones!$AC$70&amp;";  ","")&amp;IF(AND(EDATE($D33,Milestones!$AA$71)&lt;=AsOfDate,IF($R33=0,$X33,IF(AND($T33&lt;&gt;"",EDATE($D33,Milestones!$AA$71)&gt;=$T33),$W33,IF(AND($S33&lt;&gt;"",EDATE($D33,Milestones!$AA$71)&gt;=$S33),$V33,$U33)))=Milestones!$AB$71),UPPER(TEXT(EDATE($D33,Milestones!$AA$71),"dd mmm yy"))&amp;" "&amp;Milestones!$AB$71&amp;" "&amp;Milestones!$AC$71&amp;";  ","")&amp;IF(AND(EDATE($D33,Milestones!$AA$72)&lt;=AsOfDate,IF($R33=0,$X33,IF(AND($T33&lt;&gt;"",EDATE($D33,Milestones!$AA$72)&gt;=$T33),$W33,IF(AND($S33&lt;&gt;"",EDATE($D33,Milestones!$AA$72)&gt;=$S33),$V33,$U33)))=Milestones!$AB$72),UPPER(TEXT(EDATE($D33,Milestones!$AA$72),"dd mmm yy"))&amp;" "&amp;Milestones!$AB$72&amp;" "&amp;Milestones!$AC$72&amp;";  ","")&amp;IF(AND(EDATE($D33,Milestones!$AA$73)&lt;=AsOfDate,IF($R33=0,$X33,IF(AND($T33&lt;&gt;"",EDATE($D33,Milestones!$AA$73)&gt;=$T33),$W33,IF(AND($S33&lt;&gt;"",EDATE($D33,Milestones!$AA$73)&gt;=$S33),$V33,$U33)))=Milestones!$AB$73),UPPER(TEXT(EDATE($D33,Milestones!$AA$73),"dd mmm yy"))&amp;" "&amp;Milestones!$AB$73&amp;" "&amp;Milestones!$AC$73&amp;";  ","")&amp;IF(AND(EDATE($D33,Milestones!$AA$74)&lt;=AsOfDate,IF($R33=0,$X33,IF(AND($T33&lt;&gt;"",EDATE($D33,Milestones!$AA$74)&gt;=$T33),$W33,IF(AND($S33&lt;&gt;"",EDATE($D33,Milestones!$AA$74)&gt;=$S33),$V33,$U33)))=Milestones!$AB$74),UPPER(TEXT(EDATE($D33,Milestones!$AA$74),"dd mmm yy"))&amp;" "&amp;Milestones!$AB$74&amp;" "&amp;Milestones!$AC$74&amp;";  ","")&amp;IF(AND(EDATE($D33,Milestones!$AA$75)&lt;=AsOfDate,IF($R33=0,$X33,IF(AND($T33&lt;&gt;"",EDATE($D33,Milestones!$AA$75)&gt;=$T33),$W33,IF(AND($S33&lt;&gt;"",EDATE($D33,Milestones!$AA$75)&gt;=$S33),$V33,$U33)))=Milestones!$AB$75),UPPER(TEXT(EDATE($D33,Milestones!$AA$75),"dd mmm yy"))&amp;" "&amp;Milestones!$AB$75&amp;" "&amp;Milestones!$AC$75&amp;";  ","")&amp;IF(AND(EDATE($D33,Milestones!$AA$76)&lt;=AsOfDate,IF($R33=0,$X33,IF(AND($T33&lt;&gt;"",EDATE($D33,Milestones!$AA$76)&gt;=$T33),$W33,IF(AND($S33&lt;&gt;"",EDATE($D33,Milestones!$AA$76)&gt;=$S33),$V33,$U33)))=Milestones!$AB$76),UPPER(TEXT(EDATE($D33,Milestones!$AA$76),"dd mmm yy"))&amp;" "&amp;Milestones!$AB$76&amp;" "&amp;Milestones!$AC$76&amp;";  ","")&amp;IF(AND(EDATE($D33,Milestones!$AA$77)&lt;=AsOfDate,IF($R33=0,$X33,IF(AND($T33&lt;&gt;"",EDATE($D33,Milestones!$AA$77)&gt;=$T33),$W33,IF(AND($S33&lt;&gt;"",EDATE($D33,Milestones!$AA$77)&gt;=$S33),$V33,$U33)))=Milestones!$AB$77),UPPER(TEXT(EDATE($D33,Milestones!$AA$77),"dd mmm yy"))&amp;" "&amp;Milestones!$AB$77&amp;" "&amp;Milestones!$AC$77&amp;";  ","")&amp;IF(AND(EDATE($D33,Milestones!$AA$78)&lt;=AsOfDate,IF($R33=0,$X33,IF(AND($T33&lt;&gt;"",EDATE($D33,Milestones!$AA$78)&gt;=$T33),$W33,IF(AND($S33&lt;&gt;"",EDATE($D33,Milestones!$AA$78)&gt;=$S33),$V33,$U33)))=Milestones!$AB$78),UPPER(TEXT(EDATE($D33,Milestones!$AA$78),"dd mmm yy"))&amp;" "&amp;Milestones!$AB$78&amp;" "&amp;Milestones!$AC$78&amp;";  ","")&amp;IF(AND(EDATE($D33,Milestones!$AA$79)&lt;=AsOfDate,IF($R33=0,$X33,IF(AND($T33&lt;&gt;"",EDATE($D33,Milestones!$AA$79)&gt;=$T33),$W33,IF(AND($S33&lt;&gt;"",EDATE($D33,Milestones!$AA$79)&gt;=$S33),$V33,$U33)))=Milestones!$AB$79),UPPER(TEXT(EDATE($D33,Milestones!$AA$79),"dd mmm yy"))&amp;" "&amp;Milestones!$AB$79&amp;" "&amp;Milestones!$AC$79&amp;";  ",""))</f>
        <v/>
      </c>
      <c r="L33" s="0" t="str">
        <f aca="false">IF(OR($A33="",$D33=""),"",IF(AND(EDATE($D33,Milestones!$AA$80)&lt;=AsOfDate,IF($R33=0,$X33,IF(AND($T33&lt;&gt;"",EDATE($D33,Milestones!$AA$80)&gt;=$T33),$W33,IF(AND($S33&lt;&gt;"",EDATE($D33,Milestones!$AA$80)&gt;=$S33),$V33,$U33)))=Milestones!$AB$80),UPPER(TEXT(EDATE($D33,Milestones!$AA$80),"dd mmm yy"))&amp;" "&amp;Milestones!$AB$80&amp;" "&amp;Milestones!$AC$80&amp;";  ","")&amp;IF(AND(EDATE($D33,Milestones!$AA$81)&lt;=AsOfDate,IF($R33=0,$X33,IF(AND($T33&lt;&gt;"",EDATE($D33,Milestones!$AA$81)&gt;=$T33),$W33,IF(AND($S33&lt;&gt;"",EDATE($D33,Milestones!$AA$81)&gt;=$S33),$V33,$U33)))=Milestones!$AB$81),UPPER(TEXT(EDATE($D33,Milestones!$AA$81),"dd mmm yy"))&amp;" "&amp;Milestones!$AB$81&amp;" "&amp;Milestones!$AC$81&amp;";  ","")&amp;IF(AND(EDATE($D33,Milestones!$AA$82)&lt;=AsOfDate,IF($R33=0,$X33,IF(AND($T33&lt;&gt;"",EDATE($D33,Milestones!$AA$82)&gt;=$T33),$W33,IF(AND($S33&lt;&gt;"",EDATE($D33,Milestones!$AA$82)&gt;=$S33),$V33,$U33)))=Milestones!$AB$82),UPPER(TEXT(EDATE($D33,Milestones!$AA$82),"dd mmm yy"))&amp;" "&amp;Milestones!$AB$82&amp;" "&amp;Milestones!$AC$82&amp;";  ","")&amp;IF(AND(EDATE($D33,Milestones!$AA$83)&lt;=AsOfDate,IF($R33=0,$X33,IF(AND($T33&lt;&gt;"",EDATE($D33,Milestones!$AA$83)&gt;=$T33),$W33,IF(AND($S33&lt;&gt;"",EDATE($D33,Milestones!$AA$83)&gt;=$S33),$V33,$U33)))=Milestones!$AB$83),UPPER(TEXT(EDATE($D33,Milestones!$AA$83),"dd mmm yy"))&amp;" "&amp;Milestones!$AB$83&amp;" "&amp;Milestones!$AC$83&amp;";  ","")&amp;IF(AND(EDATE($D33,Milestones!$AA$84)&lt;=AsOfDate,IF($R33=0,$X33,IF(AND($T33&lt;&gt;"",EDATE($D33,Milestones!$AA$84)&gt;=$T33),$W33,IF(AND($S33&lt;&gt;"",EDATE($D33,Milestones!$AA$84)&gt;=$S33),$V33,$U33)))=Milestones!$AB$84),UPPER(TEXT(EDATE($D33,Milestones!$AA$84),"dd mmm yy"))&amp;" "&amp;Milestones!$AB$84&amp;" "&amp;Milestones!$AC$84&amp;";  ","")&amp;IF(AND(EDATE($D33,Milestones!$AA$85)&lt;=AsOfDate,IF($R33=0,$X33,IF(AND($T33&lt;&gt;"",EDATE($D33,Milestones!$AA$85)&gt;=$T33),$W33,IF(AND($S33&lt;&gt;"",EDATE($D33,Milestones!$AA$85)&gt;=$S33),$V33,$U33)))=Milestones!$AB$85),UPPER(TEXT(EDATE($D33,Milestones!$AA$85),"dd mmm yy"))&amp;" "&amp;Milestones!$AB$85&amp;" "&amp;Milestones!$AC$85&amp;";  ","")&amp;IF(AND(EDATE($D33,Milestones!$AA$86)&lt;=AsOfDate,IF($R33=0,$X33,IF(AND($T33&lt;&gt;"",EDATE($D33,Milestones!$AA$86)&gt;=$T33),$W33,IF(AND($S33&lt;&gt;"",EDATE($D33,Milestones!$AA$86)&gt;=$S33),$V33,$U33)))=Milestones!$AB$86),UPPER(TEXT(EDATE($D33,Milestones!$AA$86),"dd mmm yy"))&amp;" "&amp;Milestones!$AB$86&amp;" "&amp;Milestones!$AC$86&amp;";  ","")&amp;IF(AND(EDATE($D33,Milestones!$AA$87)&lt;=AsOfDate,IF($R33=0,$X33,IF(AND($T33&lt;&gt;"",EDATE($D33,Milestones!$AA$87)&gt;=$T33),$W33,IF(AND($S33&lt;&gt;"",EDATE($D33,Milestones!$AA$87)&gt;=$S33),$V33,$U33)))=Milestones!$AB$87),UPPER(TEXT(EDATE($D33,Milestones!$AA$87),"dd mmm yy"))&amp;" "&amp;Milestones!$AB$87&amp;" "&amp;Milestones!$AC$87&amp;";  ","")&amp;IF(AND(EDATE($D33,Milestones!$AA$88)&lt;=AsOfDate,IF($R33=0,$X33,IF(AND($T33&lt;&gt;"",EDATE($D33,Milestones!$AA$88)&gt;=$T33),$W33,IF(AND($S33&lt;&gt;"",EDATE($D33,Milestones!$AA$88)&gt;=$S33),$V33,$U33)))=Milestones!$AB$88),UPPER(TEXT(EDATE($D33,Milestones!$AA$88),"dd mmm yy"))&amp;" "&amp;Milestones!$AB$88&amp;" "&amp;Milestones!$AC$88&amp;";  ","")&amp;IF(AND(EDATE($D33,Milestones!$AA$89)&lt;=AsOfDate,IF($R33=0,$X33,IF(AND($T33&lt;&gt;"",EDATE($D33,Milestones!$AA$89)&gt;=$T33),$W33,IF(AND($S33&lt;&gt;"",EDATE($D33,Milestones!$AA$89)&gt;=$S33),$V33,$U33)))=Milestones!$AB$89),UPPER(TEXT(EDATE($D33,Milestones!$AA$89),"dd mmm yy"))&amp;" "&amp;Milestones!$AB$89&amp;" "&amp;Milestones!$AC$89&amp;";  ","")&amp;IF(AND(EDATE($D33,Milestones!$AA$90)&lt;=AsOfDate,IF($R33=0,$X33,IF(AND($T33&lt;&gt;"",EDATE($D33,Milestones!$AA$90)&gt;=$T33),$W33,IF(AND($S33&lt;&gt;"",EDATE($D33,Milestones!$AA$90)&gt;=$S33),$V33,$U33)))=Milestones!$AB$90),UPPER(TEXT(EDATE($D33,Milestones!$AA$90),"dd mmm yy"))&amp;" "&amp;Milestones!$AB$90&amp;" "&amp;Milestones!$AC$90&amp;";  ","")&amp;IF(AND(EDATE($D33,Milestones!$AA$91)&lt;=AsOfDate,IF($R33=0,$X33,IF(AND($T33&lt;&gt;"",EDATE($D33,Milestones!$AA$91)&gt;=$T33),$W33,IF(AND($S33&lt;&gt;"",EDATE($D33,Milestones!$AA$91)&gt;=$S33),$V33,$U33)))=Milestones!$AB$91),UPPER(TEXT(EDATE($D33,Milestones!$AA$91),"dd mmm yy"))&amp;" "&amp;Milestones!$AB$91&amp;" "&amp;Milestones!$AC$91&amp;";  ","")&amp;IF(AND(EDATE($D33,Milestones!$AA$92)&lt;=AsOfDate,IF($R33=0,$X33,IF(AND($T33&lt;&gt;"",EDATE($D33,Milestones!$AA$92)&gt;=$T33),$W33,IF(AND($S33&lt;&gt;"",EDATE($D33,Milestones!$AA$92)&gt;=$S33),$V33,$U33)))=Milestones!$AB$92),UPPER(TEXT(EDATE($D33,Milestones!$AA$92),"dd mmm yy"))&amp;" "&amp;Milestones!$AB$92&amp;" "&amp;Milestones!$AC$92&amp;";  ","")&amp;IF(AND(EDATE($D33,Milestones!$AA$93)&lt;=AsOfDate,IF($R33=0,$X33,IF(AND($T33&lt;&gt;"",EDATE($D33,Milestones!$AA$93)&gt;=$T33),$W33,IF(AND($S33&lt;&gt;"",EDATE($D33,Milestones!$AA$93)&gt;=$S33),$V33,$U33)))=Milestones!$AB$93),UPPER(TEXT(EDATE($D33,Milestones!$AA$93),"dd mmm yy"))&amp;" "&amp;Milestones!$AB$93&amp;" "&amp;Milestones!$AC$93&amp;";  ","")&amp;IF(AND(EDATE($D33,Milestones!$AA$94)&lt;=AsOfDate,IF($R33=0,$X33,IF(AND($T33&lt;&gt;"",EDATE($D33,Milestones!$AA$94)&gt;=$T33),$W33,IF(AND($S33&lt;&gt;"",EDATE($D33,Milestones!$AA$94)&gt;=$S33),$V33,$U33)))=Milestones!$AB$94),UPPER(TEXT(EDATE($D33,Milestones!$AA$94),"dd mmm yy"))&amp;" "&amp;Milestones!$AB$94&amp;" "&amp;Milestones!$AC$94&amp;";  ","")&amp;IF(AND(EDATE($D33,Milestones!$AA$95)&lt;=AsOfDate,IF($R33=0,$X33,IF(AND($T33&lt;&gt;"",EDATE($D33,Milestones!$AA$95)&gt;=$T33),$W33,IF(AND($S33&lt;&gt;"",EDATE($D33,Milestones!$AA$95)&gt;=$S33),$V33,$U33)))=Milestones!$AB$95),UPPER(TEXT(EDATE($D33,Milestones!$AA$95),"dd mmm yy"))&amp;" "&amp;Milestones!$AB$95&amp;" "&amp;Milestones!$AC$95&amp;";  ","")&amp;IF(AND(EDATE($D33,Milestones!$AA$96)&lt;=AsOfDate,IF($R33=0,$X33,IF(AND($T33&lt;&gt;"",EDATE($D33,Milestones!$AA$96)&gt;=$T33),$W33,IF(AND($S33&lt;&gt;"",EDATE($D33,Milestones!$AA$96)&gt;=$S33),$V33,$U33)))=Milestones!$AB$96),UPPER(TEXT(EDATE($D33,Milestones!$AA$96),"dd mmm yy"))&amp;" "&amp;Milestones!$AB$96&amp;" "&amp;Milestones!$AC$96&amp;";  ","")&amp;IF(AND(EDATE($D33,Milestones!$AA$97)&lt;=AsOfDate,IF($R33=0,$X33,IF(AND($T33&lt;&gt;"",EDATE($D33,Milestones!$AA$97)&gt;=$T33),$W33,IF(AND($S33&lt;&gt;"",EDATE($D33,Milestones!$AA$97)&gt;=$S33),$V33,$U33)))=Milestones!$AB$97),UPPER(TEXT(EDATE($D33,Milestones!$AA$97),"dd mmm yy"))&amp;" "&amp;Milestones!$AB$97&amp;" "&amp;Milestones!$AC$97&amp;";  ","")&amp;IF(AND(EDATE($D33,Milestones!$AA$98)&lt;=AsOfDate,IF($R33=0,$X33,IF(AND($T33&lt;&gt;"",EDATE($D33,Milestones!$AA$98)&gt;=$T33),$W33,IF(AND($S33&lt;&gt;"",EDATE($D33,Milestones!$AA$98)&gt;=$S33),$V33,$U33)))=Milestones!$AB$98),UPPER(TEXT(EDATE($D33,Milestones!$AA$98),"dd mmm yy"))&amp;" "&amp;Milestones!$AB$98&amp;" "&amp;Milestones!$AC$98&amp;";  ","")&amp;IF(AND(EDATE($D33,Milestones!$AA$99)&lt;=AsOfDate,IF($R33=0,$X33,IF(AND($T33&lt;&gt;"",EDATE($D33,Milestones!$AA$99)&gt;=$T33),$W33,IF(AND($S33&lt;&gt;"",EDATE($D33,Milestones!$AA$99)&gt;=$S33),$V33,$U33)))=Milestones!$AB$99),UPPER(TEXT(EDATE($D33,Milestones!$AA$99),"dd mmm yy"))&amp;" "&amp;Milestones!$AB$99&amp;" "&amp;Milestones!$AC$99&amp;";  ",""))</f>
        <v/>
      </c>
      <c r="M33" s="0" t="str">
        <f aca="false">IF(OR($A33="",$D33=""),"",IF(AND(EDATE($D33,Milestones!$AA$100)&lt;=AsOfDate,IF($R33=0,$X33,IF(AND($T33&lt;&gt;"",EDATE($D33,Milestones!$AA$100)&gt;=$T33),$W33,IF(AND($S33&lt;&gt;"",EDATE($D33,Milestones!$AA$100)&gt;=$S33),$V33,$U33)))=Milestones!$AB$100),UPPER(TEXT(EDATE($D33,Milestones!$AA$100),"dd mmm yy"))&amp;" "&amp;Milestones!$AB$100&amp;" "&amp;Milestones!$AC$100&amp;";  ","")&amp;IF(AND(EDATE($D33,Milestones!$AA$101)&lt;=AsOfDate,IF($R33=0,$X33,IF(AND($T33&lt;&gt;"",EDATE($D33,Milestones!$AA$101)&gt;=$T33),$W33,IF(AND($S33&lt;&gt;"",EDATE($D33,Milestones!$AA$101)&gt;=$S33),$V33,$U33)))=Milestones!$AB$101),UPPER(TEXT(EDATE($D33,Milestones!$AA$101),"dd mmm yy"))&amp;" "&amp;Milestones!$AB$101&amp;" "&amp;Milestones!$AC$101&amp;";  ","")&amp;IF(AND(EDATE($D33,Milestones!$AA$102)&lt;=AsOfDate,IF($R33=0,$X33,IF(AND($T33&lt;&gt;"",EDATE($D33,Milestones!$AA$102)&gt;=$T33),$W33,IF(AND($S33&lt;&gt;"",EDATE($D33,Milestones!$AA$102)&gt;=$S33),$V33,$U33)))=Milestones!$AB$102),UPPER(TEXT(EDATE($D33,Milestones!$AA$102),"dd mmm yy"))&amp;" "&amp;Milestones!$AB$102&amp;" "&amp;Milestones!$AC$102&amp;";  ","")&amp;IF(AND(EDATE($D33,Milestones!$AA$103)&lt;=AsOfDate,IF($R33=0,$X33,IF(AND($T33&lt;&gt;"",EDATE($D33,Milestones!$AA$103)&gt;=$T33),$W33,IF(AND($S33&lt;&gt;"",EDATE($D33,Milestones!$AA$103)&gt;=$S33),$V33,$U33)))=Milestones!$AB$103),UPPER(TEXT(EDATE($D33,Milestones!$AA$103),"dd mmm yy"))&amp;" "&amp;Milestones!$AB$103&amp;" "&amp;Milestones!$AC$103&amp;";  ","")&amp;IF(AND(EDATE($D33,Milestones!$AA$104)&lt;=AsOfDate,IF($R33=0,$X33,IF(AND($T33&lt;&gt;"",EDATE($D33,Milestones!$AA$104)&gt;=$T33),$W33,IF(AND($S33&lt;&gt;"",EDATE($D33,Milestones!$AA$104)&gt;=$S33),$V33,$U33)))=Milestones!$AB$104),UPPER(TEXT(EDATE($D33,Milestones!$AA$104),"dd mmm yy"))&amp;" "&amp;Milestones!$AB$104&amp;" "&amp;Milestones!$AC$104&amp;";  ","")&amp;IF(AND(EDATE($D33,Milestones!$AA$105)&lt;=AsOfDate,IF($R33=0,$X33,IF(AND($T33&lt;&gt;"",EDATE($D33,Milestones!$AA$105)&gt;=$T33),$W33,IF(AND($S33&lt;&gt;"",EDATE($D33,Milestones!$AA$105)&gt;=$S33),$V33,$U33)))=Milestones!$AB$105),UPPER(TEXT(EDATE($D33,Milestones!$AA$105),"dd mmm yy"))&amp;" "&amp;Milestones!$AB$105&amp;" "&amp;Milestones!$AC$105&amp;";  ","")&amp;IF(AND(EDATE($D33,Milestones!$AA$106)&lt;=AsOfDate,IF($R33=0,$X33,IF(AND($T33&lt;&gt;"",EDATE($D33,Milestones!$AA$106)&gt;=$T33),$W33,IF(AND($S33&lt;&gt;"",EDATE($D33,Milestones!$AA$106)&gt;=$S33),$V33,$U33)))=Milestones!$AB$106),UPPER(TEXT(EDATE($D33,Milestones!$AA$106),"dd mmm yy"))&amp;" "&amp;Milestones!$AB$106&amp;" "&amp;Milestones!$AC$106&amp;";  ","")&amp;IF(AND(EDATE($D33,Milestones!$AA$107)&lt;=AsOfDate,IF($R33=0,$X33,IF(AND($T33&lt;&gt;"",EDATE($D33,Milestones!$AA$107)&gt;=$T33),$W33,IF(AND($S33&lt;&gt;"",EDATE($D33,Milestones!$AA$107)&gt;=$S33),$V33,$U33)))=Milestones!$AB$107),UPPER(TEXT(EDATE($D33,Milestones!$AA$107),"dd mmm yy"))&amp;" "&amp;Milestones!$AB$107&amp;" "&amp;Milestones!$AC$107&amp;";  ","")&amp;IF(AND(EDATE($D33,Milestones!$AA$108)&lt;=AsOfDate,IF($R33=0,$X33,IF(AND($T33&lt;&gt;"",EDATE($D33,Milestones!$AA$108)&gt;=$T33),$W33,IF(AND($S33&lt;&gt;"",EDATE($D33,Milestones!$AA$108)&gt;=$S33),$V33,$U33)))=Milestones!$AB$108),UPPER(TEXT(EDATE($D33,Milestones!$AA$108),"dd mmm yy"))&amp;" "&amp;Milestones!$AB$108&amp;" "&amp;Milestones!$AC$108&amp;";  ","")&amp;IF(AND(EDATE($D33,Milestones!$AA$109)&lt;=AsOfDate,IF($R33=0,$X33,IF(AND($T33&lt;&gt;"",EDATE($D33,Milestones!$AA$109)&gt;=$T33),$W33,IF(AND($S33&lt;&gt;"",EDATE($D33,Milestones!$AA$109)&gt;=$S33),$V33,$U33)))=Milestones!$AB$109),UPPER(TEXT(EDATE($D33,Milestones!$AA$109),"dd mmm yy"))&amp;" "&amp;Milestones!$AB$109&amp;" "&amp;Milestones!$AC$109&amp;";  ","")&amp;IF(AND(EDATE($D33,Milestones!$AA$110)&lt;=AsOfDate,IF($R33=0,$X33,IF(AND($T33&lt;&gt;"",EDATE($D33,Milestones!$AA$110)&gt;=$T33),$W33,IF(AND($S33&lt;&gt;"",EDATE($D33,Milestones!$AA$110)&gt;=$S33),$V33,$U33)))=Milestones!$AB$110),UPPER(TEXT(EDATE($D33,Milestones!$AA$110),"dd mmm yy"))&amp;" "&amp;Milestones!$AB$110&amp;" "&amp;Milestones!$AC$110&amp;";  ","")&amp;IF(AND(EDATE($D33,Milestones!$AA$111)&lt;=AsOfDate,IF($R33=0,$X33,IF(AND($T33&lt;&gt;"",EDATE($D33,Milestones!$AA$111)&gt;=$T33),$W33,IF(AND($S33&lt;&gt;"",EDATE($D33,Milestones!$AA$111)&gt;=$S33),$V33,$U33)))=Milestones!$AB$111),UPPER(TEXT(EDATE($D33,Milestones!$AA$111),"dd mmm yy"))&amp;" "&amp;Milestones!$AB$111&amp;" "&amp;Milestones!$AC$111&amp;";  ","")&amp;IF(AND(EDATE($D33,Milestones!$AA$112)&lt;=AsOfDate,IF($R33=0,$X33,IF(AND($T33&lt;&gt;"",EDATE($D33,Milestones!$AA$112)&gt;=$T33),$W33,IF(AND($S33&lt;&gt;"",EDATE($D33,Milestones!$AA$112)&gt;=$S33),$V33,$U33)))=Milestones!$AB$112),UPPER(TEXT(EDATE($D33,Milestones!$AA$112),"dd mmm yy"))&amp;" "&amp;Milestones!$AB$112&amp;" "&amp;Milestones!$AC$112&amp;";  ","")&amp;IF(AND(EDATE($D33,Milestones!$AA$113)&lt;=AsOfDate,IF($R33=0,$X33,IF(AND($T33&lt;&gt;"",EDATE($D33,Milestones!$AA$113)&gt;=$T33),$W33,IF(AND($S33&lt;&gt;"",EDATE($D33,Milestones!$AA$113)&gt;=$S33),$V33,$U33)))=Milestones!$AB$113),UPPER(TEXT(EDATE($D33,Milestones!$AA$113),"dd mmm yy"))&amp;" "&amp;Milestones!$AB$113&amp;" "&amp;Milestones!$AC$113&amp;";  ","")&amp;IF(AND(EDATE($D33,Milestones!$AA$114)&lt;=AsOfDate,IF($R33=0,$X33,IF(AND($T33&lt;&gt;"",EDATE($D33,Milestones!$AA$114)&gt;=$T33),$W33,IF(AND($S33&lt;&gt;"",EDATE($D33,Milestones!$AA$114)&gt;=$S33),$V33,$U33)))=Milestones!$AB$114),UPPER(TEXT(EDATE($D33,Milestones!$AA$114),"dd mmm yy"))&amp;" "&amp;Milestones!$AB$114&amp;" "&amp;Milestones!$AC$114&amp;";  ","")&amp;IF(AND(EDATE($D33,Milestones!$AA$115)&lt;=AsOfDate,IF($R33=0,$X33,IF(AND($T33&lt;&gt;"",EDATE($D33,Milestones!$AA$115)&gt;=$T33),$W33,IF(AND($S33&lt;&gt;"",EDATE($D33,Milestones!$AA$115)&gt;=$S33),$V33,$U33)))=Milestones!$AB$115),UPPER(TEXT(EDATE($D33,Milestones!$AA$115),"dd mmm yy"))&amp;" "&amp;Milestones!$AB$115&amp;" "&amp;Milestones!$AC$115&amp;";  ","")&amp;IF(AND(EDATE($D33,Milestones!$AA$116)&lt;=AsOfDate,IF($R33=0,$X33,IF(AND($T33&lt;&gt;"",EDATE($D33,Milestones!$AA$116)&gt;=$T33),$W33,IF(AND($S33&lt;&gt;"",EDATE($D33,Milestones!$AA$116)&gt;=$S33),$V33,$U33)))=Milestones!$AB$116),UPPER(TEXT(EDATE($D33,Milestones!$AA$116),"dd mmm yy"))&amp;" "&amp;Milestones!$AB$116&amp;" "&amp;Milestones!$AC$116&amp;";  ","")&amp;IF(AND(EDATE($D33,Milestones!$AA$117)&lt;=AsOfDate,IF($R33=0,$X33,IF(AND($T33&lt;&gt;"",EDATE($D33,Milestones!$AA$117)&gt;=$T33),$W33,IF(AND($S33&lt;&gt;"",EDATE($D33,Milestones!$AA$117)&gt;=$S33),$V33,$U33)))=Milestones!$AB$117),UPPER(TEXT(EDATE($D33,Milestones!$AA$117),"dd mmm yy"))&amp;" "&amp;Milestones!$AB$117&amp;" "&amp;Milestones!$AC$117&amp;";  ","")&amp;IF(AND(EDATE($D33,Milestones!$AA$118)&lt;=AsOfDate,IF($R33=0,$X33,IF(AND($T33&lt;&gt;"",EDATE($D33,Milestones!$AA$118)&gt;=$T33),$W33,IF(AND($S33&lt;&gt;"",EDATE($D33,Milestones!$AA$118)&gt;=$S33),$V33,$U33)))=Milestones!$AB$118),UPPER(TEXT(EDATE($D33,Milestones!$AA$118),"dd mmm yy"))&amp;" "&amp;Milestones!$AB$118&amp;" "&amp;Milestones!$AC$118&amp;";  ","")&amp;IF(AND(EDATE($D33,Milestones!$AA$119)&lt;=AsOfDate,IF($R33=0,$X33,IF(AND($T33&lt;&gt;"",EDATE($D33,Milestones!$AA$119)&gt;=$T33),$W33,IF(AND($S33&lt;&gt;"",EDATE($D33,Milestones!$AA$119)&gt;=$S33),$V33,$U33)))=Milestones!$AB$119),UPPER(TEXT(EDATE($D33,Milestones!$AA$119),"dd mmm yy"))&amp;" "&amp;Milestones!$AB$119&amp;" "&amp;Milestones!$AC$119&amp;";  ",""))</f>
        <v/>
      </c>
      <c r="N33" s="0" t="str">
        <f aca="false">IF(OR($A33="",$D33=""),"",IF(AND(EDATE($D33,Milestones!$AA$120)&lt;=AsOfDate,IF($R33=0,$X33,IF(AND($T33&lt;&gt;"",EDATE($D33,Milestones!$AA$120)&gt;=$T33),$W33,IF(AND($S33&lt;&gt;"",EDATE($D33,Milestones!$AA$120)&gt;=$S33),$V33,$U33)))=Milestones!$AB$120),UPPER(TEXT(EDATE($D33,Milestones!$AA$120),"dd mmm yy"))&amp;" "&amp;Milestones!$AB$120&amp;" "&amp;Milestones!$AC$120&amp;";  ","")&amp;IF(AND(EDATE($D33,Milestones!$AA$121)&lt;=AsOfDate,IF($R33=0,$X33,IF(AND($T33&lt;&gt;"",EDATE($D33,Milestones!$AA$121)&gt;=$T33),$W33,IF(AND($S33&lt;&gt;"",EDATE($D33,Milestones!$AA$121)&gt;=$S33),$V33,$U33)))=Milestones!$AB$121),UPPER(TEXT(EDATE($D33,Milestones!$AA$121),"dd mmm yy"))&amp;" "&amp;Milestones!$AB$121&amp;" "&amp;Milestones!$AC$121&amp;";  ","")&amp;IF(AND(EDATE($D33,Milestones!$AA$122)&lt;=AsOfDate,IF($R33=0,$X33,IF(AND($T33&lt;&gt;"",EDATE($D33,Milestones!$AA$122)&gt;=$T33),$W33,IF(AND($S33&lt;&gt;"",EDATE($D33,Milestones!$AA$122)&gt;=$S33),$V33,$U33)))=Milestones!$AB$122),UPPER(TEXT(EDATE($D33,Milestones!$AA$122),"dd mmm yy"))&amp;" "&amp;Milestones!$AB$122&amp;" "&amp;Milestones!$AC$122&amp;";  ","")&amp;IF(AND(EDATE($D33,Milestones!$AA$123)&lt;=AsOfDate,IF($R33=0,$X33,IF(AND($T33&lt;&gt;"",EDATE($D33,Milestones!$AA$123)&gt;=$T33),$W33,IF(AND($S33&lt;&gt;"",EDATE($D33,Milestones!$AA$123)&gt;=$S33),$V33,$U33)))=Milestones!$AB$123),UPPER(TEXT(EDATE($D33,Milestones!$AA$123),"dd mmm yy"))&amp;" "&amp;Milestones!$AB$123&amp;" "&amp;Milestones!$AC$123&amp;";  ","")&amp;IF(AND(EDATE($D33,Milestones!$AA$124)&lt;=AsOfDate,IF($R33=0,$X33,IF(AND($T33&lt;&gt;"",EDATE($D33,Milestones!$AA$124)&gt;=$T33),$W33,IF(AND($S33&lt;&gt;"",EDATE($D33,Milestones!$AA$124)&gt;=$S33),$V33,$U33)))=Milestones!$AB$124),UPPER(TEXT(EDATE($D33,Milestones!$AA$124),"dd mmm yy"))&amp;" "&amp;Milestones!$AB$124&amp;" "&amp;Milestones!$AC$124&amp;";  ","")&amp;IF(AND(EDATE($D33,Milestones!$AA$125)&lt;=AsOfDate,IF($R33=0,$X33,IF(AND($T33&lt;&gt;"",EDATE($D33,Milestones!$AA$125)&gt;=$T33),$W33,IF(AND($S33&lt;&gt;"",EDATE($D33,Milestones!$AA$125)&gt;=$S33),$V33,$U33)))=Milestones!$AB$125),UPPER(TEXT(EDATE($D33,Milestones!$AA$125),"dd mmm yy"))&amp;" "&amp;Milestones!$AB$125&amp;" "&amp;Milestones!$AC$125&amp;";  ","")&amp;IF(AND(EDATE($D33,Milestones!$AA$126)&lt;=AsOfDate,IF($R33=0,$X33,IF(AND($T33&lt;&gt;"",EDATE($D33,Milestones!$AA$126)&gt;=$T33),$W33,IF(AND($S33&lt;&gt;"",EDATE($D33,Milestones!$AA$126)&gt;=$S33),$V33,$U33)))=Milestones!$AB$126),UPPER(TEXT(EDATE($D33,Milestones!$AA$126),"dd mmm yy"))&amp;" "&amp;Milestones!$AB$126&amp;" "&amp;Milestones!$AC$126&amp;";  ","")&amp;IF(AND(EDATE($D33,Milestones!$AA$127)&lt;=AsOfDate,IF($R33=0,$X33,IF(AND($T33&lt;&gt;"",EDATE($D33,Milestones!$AA$127)&gt;=$T33),$W33,IF(AND($S33&lt;&gt;"",EDATE($D33,Milestones!$AA$127)&gt;=$S33),$V33,$U33)))=Milestones!$AB$127),UPPER(TEXT(EDATE($D33,Milestones!$AA$127),"dd mmm yy"))&amp;" "&amp;Milestones!$AB$127&amp;" "&amp;Milestones!$AC$127&amp;";  ","")&amp;IF(AND(EDATE($D33,Milestones!$AA$128)&lt;=AsOfDate,IF($R33=0,$X33,IF(AND($T33&lt;&gt;"",EDATE($D33,Milestones!$AA$128)&gt;=$T33),$W33,IF(AND($S33&lt;&gt;"",EDATE($D33,Milestones!$AA$128)&gt;=$S33),$V33,$U33)))=Milestones!$AB$128),UPPER(TEXT(EDATE($D33,Milestones!$AA$128),"dd mmm yy"))&amp;" "&amp;Milestones!$AB$128&amp;" "&amp;Milestones!$AC$128&amp;";  ","")&amp;IF(AND(EDATE($D33,Milestones!$AA$129)&lt;=AsOfDate,IF($R33=0,$X33,IF(AND($T33&lt;&gt;"",EDATE($D33,Milestones!$AA$129)&gt;=$T33),$W33,IF(AND($S33&lt;&gt;"",EDATE($D33,Milestones!$AA$129)&gt;=$S33),$V33,$U33)))=Milestones!$AB$129),UPPER(TEXT(EDATE($D33,Milestones!$AA$129),"dd mmm yy"))&amp;" "&amp;Milestones!$AB$129&amp;" "&amp;Milestones!$AC$129&amp;";  ","")&amp;IF(AND(EDATE($D33,Milestones!$AA$130)&lt;=AsOfDate,IF($R33=0,$X33,IF(AND($T33&lt;&gt;"",EDATE($D33,Milestones!$AA$130)&gt;=$T33),$W33,IF(AND($S33&lt;&gt;"",EDATE($D33,Milestones!$AA$130)&gt;=$S33),$V33,$U33)))=Milestones!$AB$130),UPPER(TEXT(EDATE($D33,Milestones!$AA$130),"dd mmm yy"))&amp;" "&amp;Milestones!$AB$130&amp;" "&amp;Milestones!$AC$130&amp;";  ","")&amp;IF(AND(EDATE($D33,Milestones!$AA$131)&lt;=AsOfDate,IF($R33=0,$X33,IF(AND($T33&lt;&gt;"",EDATE($D33,Milestones!$AA$131)&gt;=$T33),$W33,IF(AND($S33&lt;&gt;"",EDATE($D33,Milestones!$AA$131)&gt;=$S33),$V33,$U33)))=Milestones!$AB$131),UPPER(TEXT(EDATE($D33,Milestones!$AA$131),"dd mmm yy"))&amp;" "&amp;Milestones!$AB$131&amp;" "&amp;Milestones!$AC$131&amp;";  ","")&amp;IF(AND(EDATE($D33,Milestones!$AA$132)&lt;=AsOfDate,IF($R33=0,$X33,IF(AND($T33&lt;&gt;"",EDATE($D33,Milestones!$AA$132)&gt;=$T33),$W33,IF(AND($S33&lt;&gt;"",EDATE($D33,Milestones!$AA$132)&gt;=$S33),$V33,$U33)))=Milestones!$AB$132),UPPER(TEXT(EDATE($D33,Milestones!$AA$132),"dd mmm yy"))&amp;" "&amp;Milestones!$AB$132&amp;" "&amp;Milestones!$AC$132&amp;";  ","")&amp;IF(AND(EDATE($D33,Milestones!$AA$133)&lt;=AsOfDate,IF($R33=0,$X33,IF(AND($T33&lt;&gt;"",EDATE($D33,Milestones!$AA$133)&gt;=$T33),$W33,IF(AND($S33&lt;&gt;"",EDATE($D33,Milestones!$AA$133)&gt;=$S33),$V33,$U33)))=Milestones!$AB$133),UPPER(TEXT(EDATE($D33,Milestones!$AA$133),"dd mmm yy"))&amp;" "&amp;Milestones!$AB$133&amp;" "&amp;Milestones!$AC$133&amp;";  ","")&amp;IF(AND(EDATE($D33,Milestones!$AA$134)&lt;=AsOfDate,IF($R33=0,$X33,IF(AND($T33&lt;&gt;"",EDATE($D33,Milestones!$AA$134)&gt;=$T33),$W33,IF(AND($S33&lt;&gt;"",EDATE($D33,Milestones!$AA$134)&gt;=$S33),$V33,$U33)))=Milestones!$AB$134),UPPER(TEXT(EDATE($D33,Milestones!$AA$134),"dd mmm yy"))&amp;" "&amp;Milestones!$AB$134&amp;" "&amp;Milestones!$AC$134&amp;";  ","")&amp;IF(AND(EDATE($D33,Milestones!$AA$135)&lt;=AsOfDate,IF($R33=0,$X33,IF(AND($T33&lt;&gt;"",EDATE($D33,Milestones!$AA$135)&gt;=$T33),$W33,IF(AND($S33&lt;&gt;"",EDATE($D33,Milestones!$AA$135)&gt;=$S33),$V33,$U33)))=Milestones!$AB$135),UPPER(TEXT(EDATE($D33,Milestones!$AA$135),"dd mmm yy"))&amp;" "&amp;Milestones!$AB$135&amp;" "&amp;Milestones!$AC$135&amp;";  ","")&amp;IF(AND(EDATE($D33,Milestones!$AA$136)&lt;=AsOfDate,IF($R33=0,$X33,IF(AND($T33&lt;&gt;"",EDATE($D33,Milestones!$AA$136)&gt;=$T33),$W33,IF(AND($S33&lt;&gt;"",EDATE($D33,Milestones!$AA$136)&gt;=$S33),$V33,$U33)))=Milestones!$AB$136),UPPER(TEXT(EDATE($D33,Milestones!$AA$136),"dd mmm yy"))&amp;" "&amp;Milestones!$AB$136&amp;" "&amp;Milestones!$AC$136&amp;";  ","")&amp;IF(AND(EDATE($D33,Milestones!$AA$137)&lt;=AsOfDate,IF($R33=0,$X33,IF(AND($T33&lt;&gt;"",EDATE($D33,Milestones!$AA$137)&gt;=$T33),$W33,IF(AND($S33&lt;&gt;"",EDATE($D33,Milestones!$AA$137)&gt;=$S33),$V33,$U33)))=Milestones!$AB$137),UPPER(TEXT(EDATE($D33,Milestones!$AA$137),"dd mmm yy"))&amp;" "&amp;Milestones!$AB$137&amp;" "&amp;Milestones!$AC$137&amp;";  ","")&amp;IF(AND(EDATE($D33,Milestones!$AA$138)&lt;=AsOfDate,IF($R33=0,$X33,IF(AND($T33&lt;&gt;"",EDATE($D33,Milestones!$AA$138)&gt;=$T33),$W33,IF(AND($S33&lt;&gt;"",EDATE($D33,Milestones!$AA$138)&gt;=$S33),$V33,$U33)))=Milestones!$AB$138),UPPER(TEXT(EDATE($D33,Milestones!$AA$138),"dd mmm yy"))&amp;" "&amp;Milestones!$AB$138&amp;" "&amp;Milestones!$AC$138&amp;";  ","")&amp;IF(AND(EDATE($D33,Milestones!$AA$139)&lt;=AsOfDate,IF($R33=0,$X33,IF(AND($T33&lt;&gt;"",EDATE($D33,Milestones!$AA$139)&gt;=$T33),$W33,IF(AND($S33&lt;&gt;"",EDATE($D33,Milestones!$AA$139)&gt;=$S33),$V33,$U33)))=Milestones!$AB$139),UPPER(TEXT(EDATE($D33,Milestones!$AA$139),"dd mmm yy"))&amp;" "&amp;Milestones!$AB$139&amp;" "&amp;Milestones!$AC$139&amp;";  ",""))</f>
        <v/>
      </c>
      <c r="O33" s="0" t="str">
        <f aca="false">IF(OR($A33="",$D33=""),"",IF(AND(EDATE($D33,Milestones!$AA$140)&lt;=AsOfDate,IF($R33=0,$X33,IF(AND($T33&lt;&gt;"",EDATE($D33,Milestones!$AA$140)&gt;=$T33),$W33,IF(AND($S33&lt;&gt;"",EDATE($D33,Milestones!$AA$140)&gt;=$S33),$V33,$U33)))=Milestones!$AB$140),UPPER(TEXT(EDATE($D33,Milestones!$AA$140),"dd mmm yy"))&amp;" "&amp;Milestones!$AB$140&amp;" "&amp;Milestones!$AC$140&amp;";  ","")&amp;IF(AND(EDATE($D33,Milestones!$AA$141)&lt;=AsOfDate,IF($R33=0,$X33,IF(AND($T33&lt;&gt;"",EDATE($D33,Milestones!$AA$141)&gt;=$T33),$W33,IF(AND($S33&lt;&gt;"",EDATE($D33,Milestones!$AA$141)&gt;=$S33),$V33,$U33)))=Milestones!$AB$141),UPPER(TEXT(EDATE($D33,Milestones!$AA$141),"dd mmm yy"))&amp;" "&amp;Milestones!$AB$141&amp;" "&amp;Milestones!$AC$141&amp;";  ","")&amp;IF(AND(EDATE($D33,Milestones!$AA$142)&lt;=AsOfDate,IF($R33=0,$X33,IF(AND($T33&lt;&gt;"",EDATE($D33,Milestones!$AA$142)&gt;=$T33),$W33,IF(AND($S33&lt;&gt;"",EDATE($D33,Milestones!$AA$142)&gt;=$S33),$V33,$U33)))=Milestones!$AB$142),UPPER(TEXT(EDATE($D33,Milestones!$AA$142),"dd mmm yy"))&amp;" "&amp;Milestones!$AB$142&amp;" "&amp;Milestones!$AC$142&amp;";  ","")&amp;IF(AND(EDATE($D33,Milestones!$AA$143)&lt;=AsOfDate,IF($R33=0,$X33,IF(AND($T33&lt;&gt;"",EDATE($D33,Milestones!$AA$143)&gt;=$T33),$W33,IF(AND($S33&lt;&gt;"",EDATE($D33,Milestones!$AA$143)&gt;=$S33),$V33,$U33)))=Milestones!$AB$143),UPPER(TEXT(EDATE($D33,Milestones!$AA$143),"dd mmm yy"))&amp;" "&amp;Milestones!$AB$143&amp;" "&amp;Milestones!$AC$143&amp;";  ","")&amp;IF(AND(EDATE($D33,Milestones!$AA$144)&lt;=AsOfDate,IF($R33=0,$X33,IF(AND($T33&lt;&gt;"",EDATE($D33,Milestones!$AA$144)&gt;=$T33),$W33,IF(AND($S33&lt;&gt;"",EDATE($D33,Milestones!$AA$144)&gt;=$S33),$V33,$U33)))=Milestones!$AB$144),UPPER(TEXT(EDATE($D33,Milestones!$AA$144),"dd mmm yy"))&amp;" "&amp;Milestones!$AB$144&amp;" "&amp;Milestones!$AC$144&amp;";  ","")&amp;IF(AND(EDATE($D33,Milestones!$AA$145)&lt;=AsOfDate,IF($R33=0,$X33,IF(AND($T33&lt;&gt;"",EDATE($D33,Milestones!$AA$145)&gt;=$T33),$W33,IF(AND($S33&lt;&gt;"",EDATE($D33,Milestones!$AA$145)&gt;=$S33),$V33,$U33)))=Milestones!$AB$145),UPPER(TEXT(EDATE($D33,Milestones!$AA$145),"dd mmm yy"))&amp;" "&amp;Milestones!$AB$145&amp;" "&amp;Milestones!$AC$145&amp;";  ","")&amp;IF(AND(EDATE($D33,Milestones!$AA$146)&lt;=AsOfDate,IF($R33=0,$X33,IF(AND($T33&lt;&gt;"",EDATE($D33,Milestones!$AA$146)&gt;=$T33),$W33,IF(AND($S33&lt;&gt;"",EDATE($D33,Milestones!$AA$146)&gt;=$S33),$V33,$U33)))=Milestones!$AB$146),UPPER(TEXT(EDATE($D33,Milestones!$AA$146),"dd mmm yy"))&amp;" "&amp;Milestones!$AB$146&amp;" "&amp;Milestones!$AC$146&amp;";  ","")&amp;IF(AND(EDATE($D33,Milestones!$AA$147)&lt;=AsOfDate,IF($R33=0,$X33,IF(AND($T33&lt;&gt;"",EDATE($D33,Milestones!$AA$147)&gt;=$T33),$W33,IF(AND($S33&lt;&gt;"",EDATE($D33,Milestones!$AA$147)&gt;=$S33),$V33,$U33)))=Milestones!$AB$147),UPPER(TEXT(EDATE($D33,Milestones!$AA$147),"dd mmm yy"))&amp;" "&amp;Milestones!$AB$147&amp;" "&amp;Milestones!$AC$147&amp;";  ","")&amp;IF(AND(EDATE($D33,Milestones!$AA$148)&lt;=AsOfDate,IF($R33=0,$X33,IF(AND($T33&lt;&gt;"",EDATE($D33,Milestones!$AA$148)&gt;=$T33),$W33,IF(AND($S33&lt;&gt;"",EDATE($D33,Milestones!$AA$148)&gt;=$S33),$V33,$U33)))=Milestones!$AB$148),UPPER(TEXT(EDATE($D33,Milestones!$AA$148),"dd mmm yy"))&amp;" "&amp;Milestones!$AB$148&amp;" "&amp;Milestones!$AC$148&amp;";  ","")&amp;IF(AND(EDATE($D33,Milestones!$AA$149)&lt;=AsOfDate,IF($R33=0,$X33,IF(AND($T33&lt;&gt;"",EDATE($D33,Milestones!$AA$149)&gt;=$T33),$W33,IF(AND($S33&lt;&gt;"",EDATE($D33,Milestones!$AA$149)&gt;=$S33),$V33,$U33)))=Milestones!$AB$149),UPPER(TEXT(EDATE($D33,Milestones!$AA$149),"dd mmm yy"))&amp;" "&amp;Milestones!$AB$149&amp;" "&amp;Milestones!$AC$149&amp;";  ","")&amp;IF(AND(EDATE($D33,Milestones!$AA$150)&lt;=AsOfDate,IF($R33=0,$X33,IF(AND($T33&lt;&gt;"",EDATE($D33,Milestones!$AA$150)&gt;=$T33),$W33,IF(AND($S33&lt;&gt;"",EDATE($D33,Milestones!$AA$150)&gt;=$S33),$V33,$U33)))=Milestones!$AB$150),UPPER(TEXT(EDATE($D33,Milestones!$AA$150),"dd mmm yy"))&amp;" "&amp;Milestones!$AB$150&amp;" "&amp;Milestones!$AC$150&amp;";  ","")&amp;IF(AND(EDATE($D33,Milestones!$AA$151)&lt;=AsOfDate,IF($R33=0,$X33,IF(AND($T33&lt;&gt;"",EDATE($D33,Milestones!$AA$151)&gt;=$T33),$W33,IF(AND($S33&lt;&gt;"",EDATE($D33,Milestones!$AA$151)&gt;=$S33),$V33,$U33)))=Milestones!$AB$151),UPPER(TEXT(EDATE($D33,Milestones!$AA$151),"dd mmm yy"))&amp;" "&amp;Milestones!$AB$151&amp;" "&amp;Milestones!$AC$151&amp;";  ","")&amp;IF(AND(EDATE($D33,Milestones!$AA$152)&lt;=AsOfDate,IF($R33=0,$X33,IF(AND($T33&lt;&gt;"",EDATE($D33,Milestones!$AA$152)&gt;=$T33),$W33,IF(AND($S33&lt;&gt;"",EDATE($D33,Milestones!$AA$152)&gt;=$S33),$V33,$U33)))=Milestones!$AB$152),UPPER(TEXT(EDATE($D33,Milestones!$AA$152),"dd mmm yy"))&amp;" "&amp;Milestones!$AB$152&amp;" "&amp;Milestones!$AC$152&amp;";  ","")&amp;IF(AND(EDATE($D33,Milestones!$AA$153)&lt;=AsOfDate,IF($R33=0,$X33,IF(AND($T33&lt;&gt;"",EDATE($D33,Milestones!$AA$153)&gt;=$T33),$W33,IF(AND($S33&lt;&gt;"",EDATE($D33,Milestones!$AA$153)&gt;=$S33),$V33,$U33)))=Milestones!$AB$153),UPPER(TEXT(EDATE($D33,Milestones!$AA$153),"dd mmm yy"))&amp;" "&amp;Milestones!$AB$153&amp;" "&amp;Milestones!$AC$153&amp;";  ","")&amp;IF(AND(EDATE($D33,Milestones!$AA$154)&lt;=AsOfDate,IF($R33=0,$X33,IF(AND($T33&lt;&gt;"",EDATE($D33,Milestones!$AA$154)&gt;=$T33),$W33,IF(AND($S33&lt;&gt;"",EDATE($D33,Milestones!$AA$154)&gt;=$S33),$V33,$U33)))=Milestones!$AB$154),UPPER(TEXT(EDATE($D33,Milestones!$AA$154),"dd mmm yy"))&amp;" "&amp;Milestones!$AB$154&amp;" "&amp;Milestones!$AC$154&amp;";  ","")&amp;IF(AND(EDATE($D33,Milestones!$AA$155)&lt;=AsOfDate,IF($R33=0,$X33,IF(AND($T33&lt;&gt;"",EDATE($D33,Milestones!$AA$155)&gt;=$T33),$W33,IF(AND($S33&lt;&gt;"",EDATE($D33,Milestones!$AA$155)&gt;=$S33),$V33,$U33)))=Milestones!$AB$155),UPPER(TEXT(EDATE($D33,Milestones!$AA$155),"dd mmm yy"))&amp;" "&amp;Milestones!$AB$155&amp;" "&amp;Milestones!$AC$155&amp;";  ","")&amp;IF(AND(EDATE($D33,Milestones!$AA$156)&lt;=AsOfDate,IF($R33=0,$X33,IF(AND($T33&lt;&gt;"",EDATE($D33,Milestones!$AA$156)&gt;=$T33),$W33,IF(AND($S33&lt;&gt;"",EDATE($D33,Milestones!$AA$156)&gt;=$S33),$V33,$U33)))=Milestones!$AB$156),UPPER(TEXT(EDATE($D33,Milestones!$AA$156),"dd mmm yy"))&amp;" "&amp;Milestones!$AB$156&amp;" "&amp;Milestones!$AC$156&amp;";  ","")&amp;IF(AND(EDATE($D33,Milestones!$AA$157)&lt;=AsOfDate,IF($R33=0,$X33,IF(AND($T33&lt;&gt;"",EDATE($D33,Milestones!$AA$157)&gt;=$T33),$W33,IF(AND($S33&lt;&gt;"",EDATE($D33,Milestones!$AA$157)&gt;=$S33),$V33,$U33)))=Milestones!$AB$157),UPPER(TEXT(EDATE($D33,Milestones!$AA$157),"dd mmm yy"))&amp;" "&amp;Milestones!$AB$157&amp;" "&amp;Milestones!$AC$157&amp;";  ","")&amp;IF(AND(EDATE($D33,Milestones!$AA$158)&lt;=AsOfDate,IF($R33=0,$X33,IF(AND($T33&lt;&gt;"",EDATE($D33,Milestones!$AA$158)&gt;=$T33),$W33,IF(AND($S33&lt;&gt;"",EDATE($D33,Milestones!$AA$158)&gt;=$S33),$V33,$U33)))=Milestones!$AB$158),UPPER(TEXT(EDATE($D33,Milestones!$AA$158),"dd mmm yy"))&amp;" "&amp;Milestones!$AB$158&amp;" "&amp;Milestones!$AC$158&amp;";  ","")&amp;IF(AND(EDATE($D33,Milestones!$AA$159)&lt;=AsOfDate,IF($R33=0,$X33,IF(AND($T33&lt;&gt;"",EDATE($D33,Milestones!$AA$159)&gt;=$T33),$W33,IF(AND($S33&lt;&gt;"",EDATE($D33,Milestones!$AA$159)&gt;=$S33),$V33,$U33)))=Milestones!$AB$159),UPPER(TEXT(EDATE($D33,Milestones!$AA$159),"dd mmm yy"))&amp;" "&amp;Milestones!$AB$159&amp;" "&amp;Milestones!$AC$159&amp;";  ",""))</f>
        <v/>
      </c>
      <c r="P33" s="0" t="str">
        <f aca="false">IF(OR($A33="",$D33=""),"",IF(AND(EDATE($D33,Milestones!$AA$160)&lt;=AsOfDate,IF($R33=0,$X33,IF(AND($T33&lt;&gt;"",EDATE($D33,Milestones!$AA$160)&gt;=$T33),$W33,IF(AND($S33&lt;&gt;"",EDATE($D33,Milestones!$AA$160)&gt;=$S33),$V33,$U33)))=Milestones!$AB$160),UPPER(TEXT(EDATE($D33,Milestones!$AA$160),"dd mmm yy"))&amp;" "&amp;Milestones!$AB$160&amp;" "&amp;Milestones!$AC$160&amp;";  ","")&amp;IF(AND(EDATE($D33,Milestones!$AA$161)&lt;=AsOfDate,IF($R33=0,$X33,IF(AND($T33&lt;&gt;"",EDATE($D33,Milestones!$AA$161)&gt;=$T33),$W33,IF(AND($S33&lt;&gt;"",EDATE($D33,Milestones!$AA$161)&gt;=$S33),$V33,$U33)))=Milestones!$AB$161),UPPER(TEXT(EDATE($D33,Milestones!$AA$161),"dd mmm yy"))&amp;" "&amp;Milestones!$AB$161&amp;" "&amp;Milestones!$AC$161&amp;";  ","")&amp;IF(AND(EDATE($D33,Milestones!$AA$162)&lt;=AsOfDate,IF($R33=0,$X33,IF(AND($T33&lt;&gt;"",EDATE($D33,Milestones!$AA$162)&gt;=$T33),$W33,IF(AND($S33&lt;&gt;"",EDATE($D33,Milestones!$AA$162)&gt;=$S33),$V33,$U33)))=Milestones!$AB$162),UPPER(TEXT(EDATE($D33,Milestones!$AA$162),"dd mmm yy"))&amp;" "&amp;Milestones!$AB$162&amp;" "&amp;Milestones!$AC$162&amp;";  ","")&amp;IF(AND(EDATE($D33,Milestones!$AA$163)&lt;=AsOfDate,IF($R33=0,$X33,IF(AND($T33&lt;&gt;"",EDATE($D33,Milestones!$AA$163)&gt;=$T33),$W33,IF(AND($S33&lt;&gt;"",EDATE($D33,Milestones!$AA$163)&gt;=$S33),$V33,$U33)))=Milestones!$AB$163),UPPER(TEXT(EDATE($D33,Milestones!$AA$163),"dd mmm yy"))&amp;" "&amp;Milestones!$AB$163&amp;" "&amp;Milestones!$AC$163&amp;";  ","")&amp;IF(AND(EDATE($D33,Milestones!$AA$164)&lt;=AsOfDate,IF($R33=0,$X33,IF(AND($T33&lt;&gt;"",EDATE($D33,Milestones!$AA$164)&gt;=$T33),$W33,IF(AND($S33&lt;&gt;"",EDATE($D33,Milestones!$AA$164)&gt;=$S33),$V33,$U33)))=Milestones!$AB$164),UPPER(TEXT(EDATE($D33,Milestones!$AA$164),"dd mmm yy"))&amp;" "&amp;Milestones!$AB$164&amp;" "&amp;Milestones!$AC$164&amp;";  ","")&amp;IF(AND(EDATE($D33,Milestones!$AA$165)&lt;=AsOfDate,IF($R33=0,$X33,IF(AND($T33&lt;&gt;"",EDATE($D33,Milestones!$AA$165)&gt;=$T33),$W33,IF(AND($S33&lt;&gt;"",EDATE($D33,Milestones!$AA$165)&gt;=$S33),$V33,$U33)))=Milestones!$AB$165),UPPER(TEXT(EDATE($D33,Milestones!$AA$165),"dd mmm yy"))&amp;" "&amp;Milestones!$AB$165&amp;" "&amp;Milestones!$AC$165&amp;";  ","")&amp;IF(AND(EDATE($D33,Milestones!$AA$166)&lt;=AsOfDate,IF($R33=0,$X33,IF(AND($T33&lt;&gt;"",EDATE($D33,Milestones!$AA$166)&gt;=$T33),$W33,IF(AND($S33&lt;&gt;"",EDATE($D33,Milestones!$AA$166)&gt;=$S33),$V33,$U33)))=Milestones!$AB$166),UPPER(TEXT(EDATE($D33,Milestones!$AA$166),"dd mmm yy"))&amp;" "&amp;Milestones!$AB$166&amp;" "&amp;Milestones!$AC$166&amp;";  ","")&amp;IF(AND(EDATE($D33,Milestones!$AA$167)&lt;=AsOfDate,IF($R33=0,$X33,IF(AND($T33&lt;&gt;"",EDATE($D33,Milestones!$AA$167)&gt;=$T33),$W33,IF(AND($S33&lt;&gt;"",EDATE($D33,Milestones!$AA$167)&gt;=$S33),$V33,$U33)))=Milestones!$AB$167),UPPER(TEXT(EDATE($D33,Milestones!$AA$167),"dd mmm yy"))&amp;" "&amp;Milestones!$AB$167&amp;" "&amp;Milestones!$AC$167&amp;";  ","")&amp;IF(AND(EDATE($D33,Milestones!$AA$168)&lt;=AsOfDate,IF($R33=0,$X33,IF(AND($T33&lt;&gt;"",EDATE($D33,Milestones!$AA$168)&gt;=$T33),$W33,IF(AND($S33&lt;&gt;"",EDATE($D33,Milestones!$AA$168)&gt;=$S33),$V33,$U33)))=Milestones!$AB$168),UPPER(TEXT(EDATE($D33,Milestones!$AA$168),"dd mmm yy"))&amp;" "&amp;Milestones!$AB$168&amp;" "&amp;Milestones!$AC$168&amp;";  ","")&amp;IF(AND(EDATE($D33,Milestones!$AA$169)&lt;=AsOfDate,IF($R33=0,$X33,IF(AND($T33&lt;&gt;"",EDATE($D33,Milestones!$AA$169)&gt;=$T33),$W33,IF(AND($S33&lt;&gt;"",EDATE($D33,Milestones!$AA$169)&gt;=$S33),$V33,$U33)))=Milestones!$AB$169),UPPER(TEXT(EDATE($D33,Milestones!$AA$169),"dd mmm yy"))&amp;" "&amp;Milestones!$AB$169&amp;" "&amp;Milestones!$AC$169&amp;";  ","")&amp;IF(AND(EDATE($D33,Milestones!$AA$170)&lt;=AsOfDate,IF($R33=0,$X33,IF(AND($T33&lt;&gt;"",EDATE($D33,Milestones!$AA$170)&gt;=$T33),$W33,IF(AND($S33&lt;&gt;"",EDATE($D33,Milestones!$AA$170)&gt;=$S33),$V33,$U33)))=Milestones!$AB$170),UPPER(TEXT(EDATE($D33,Milestones!$AA$170),"dd mmm yy"))&amp;" "&amp;Milestones!$AB$170&amp;" "&amp;Milestones!$AC$170&amp;";  ","")&amp;IF(AND(EDATE($D33,Milestones!$AA$171)&lt;=AsOfDate,IF($R33=0,$X33,IF(AND($T33&lt;&gt;"",EDATE($D33,Milestones!$AA$171)&gt;=$T33),$W33,IF(AND($S33&lt;&gt;"",EDATE($D33,Milestones!$AA$171)&gt;=$S33),$V33,$U33)))=Milestones!$AB$171),UPPER(TEXT(EDATE($D33,Milestones!$AA$171),"dd mmm yy"))&amp;" "&amp;Milestones!$AB$171&amp;" "&amp;Milestones!$AC$171&amp;";  ","")&amp;IF(AND(EDATE($D33,Milestones!$AA$172)&lt;=AsOfDate,IF($R33=0,$X33,IF(AND($T33&lt;&gt;"",EDATE($D33,Milestones!$AA$172)&gt;=$T33),$W33,IF(AND($S33&lt;&gt;"",EDATE($D33,Milestones!$AA$172)&gt;=$S33),$V33,$U33)))=Milestones!$AB$172),UPPER(TEXT(EDATE($D33,Milestones!$AA$172),"dd mmm yy"))&amp;" "&amp;Milestones!$AB$172&amp;" "&amp;Milestones!$AC$172&amp;";  ","")&amp;IF(AND(EDATE($D33,Milestones!$AA$173)&lt;=AsOfDate,IF($R33=0,$X33,IF(AND($T33&lt;&gt;"",EDATE($D33,Milestones!$AA$173)&gt;=$T33),$W33,IF(AND($S33&lt;&gt;"",EDATE($D33,Milestones!$AA$173)&gt;=$S33),$V33,$U33)))=Milestones!$AB$173),UPPER(TEXT(EDATE($D33,Milestones!$AA$173),"dd mmm yy"))&amp;" "&amp;Milestones!$AB$173&amp;" "&amp;Milestones!$AC$173&amp;";  ","")&amp;IF(AND(EDATE($D33,Milestones!$AA$174)&lt;=AsOfDate,IF($R33=0,$X33,IF(AND($T33&lt;&gt;"",EDATE($D33,Milestones!$AA$174)&gt;=$T33),$W33,IF(AND($S33&lt;&gt;"",EDATE($D33,Milestones!$AA$174)&gt;=$S33),$V33,$U33)))=Milestones!$AB$174),UPPER(TEXT(EDATE($D33,Milestones!$AA$174),"dd mmm yy"))&amp;" "&amp;Milestones!$AB$174&amp;" "&amp;Milestones!$AC$174&amp;";  ","")&amp;IF(AND(EDATE($D33,Milestones!$AA$175)&lt;=AsOfDate,IF($R33=0,$X33,IF(AND($T33&lt;&gt;"",EDATE($D33,Milestones!$AA$175)&gt;=$T33),$W33,IF(AND($S33&lt;&gt;"",EDATE($D33,Milestones!$AA$175)&gt;=$S33),$V33,$U33)))=Milestones!$AB$175),UPPER(TEXT(EDATE($D33,Milestones!$AA$175),"dd mmm yy"))&amp;" "&amp;Milestones!$AB$175&amp;" "&amp;Milestones!$AC$175&amp;";  ","")&amp;IF(AND(EDATE($D33,Milestones!$AA$176)&lt;=AsOfDate,IF($R33=0,$X33,IF(AND($T33&lt;&gt;"",EDATE($D33,Milestones!$AA$176)&gt;=$T33),$W33,IF(AND($S33&lt;&gt;"",EDATE($D33,Milestones!$AA$176)&gt;=$S33),$V33,$U33)))=Milestones!$AB$176),UPPER(TEXT(EDATE($D33,Milestones!$AA$176),"dd mmm yy"))&amp;" "&amp;Milestones!$AB$176&amp;" "&amp;Milestones!$AC$176&amp;";  ","")&amp;IF(AND(EDATE($D33,Milestones!$AA$177)&lt;=AsOfDate,IF($R33=0,$X33,IF(AND($T33&lt;&gt;"",EDATE($D33,Milestones!$AA$177)&gt;=$T33),$W33,IF(AND($S33&lt;&gt;"",EDATE($D33,Milestones!$AA$177)&gt;=$S33),$V33,$U33)))=Milestones!$AB$177),UPPER(TEXT(EDATE($D33,Milestones!$AA$177),"dd mmm yy"))&amp;" "&amp;Milestones!$AB$177&amp;" "&amp;Milestones!$AC$177&amp;";  ","")&amp;IF(AND(EDATE($D33,Milestones!$AA$178)&lt;=AsOfDate,IF($R33=0,$X33,IF(AND($T33&lt;&gt;"",EDATE($D33,Milestones!$AA$178)&gt;=$T33),$W33,IF(AND($S33&lt;&gt;"",EDATE($D33,Milestones!$AA$178)&gt;=$S33),$V33,$U33)))=Milestones!$AB$178),UPPER(TEXT(EDATE($D33,Milestones!$AA$178),"dd mmm yy"))&amp;" "&amp;Milestones!$AB$178&amp;" "&amp;Milestones!$AC$178&amp;";  ","")&amp;IF(AND(EDATE($D33,Milestones!$AA$179)&lt;=AsOfDate,IF($R33=0,$X33,IF(AND($T33&lt;&gt;"",EDATE($D33,Milestones!$AA$179)&gt;=$T33),$W33,IF(AND($S33&lt;&gt;"",EDATE($D33,Milestones!$AA$179)&gt;=$S33),$V33,$U33)))=Milestones!$AB$179),UPPER(TEXT(EDATE($D33,Milestones!$AA$179),"dd mmm yy"))&amp;" "&amp;Milestones!$AB$179&amp;" "&amp;Milestones!$AC$179&amp;";  ",""))</f>
        <v/>
      </c>
      <c r="Q33" s="0" t="str">
        <f aca="false">IF(OR($A33="",$D33=""),"",IF(AND(EDATE($D33,Milestones!$AA$180)&lt;=AsOfDate,IF($R33=0,$X33,IF(AND($T33&lt;&gt;"",EDATE($D33,Milestones!$AA$180)&gt;=$T33),$W33,IF(AND($S33&lt;&gt;"",EDATE($D33,Milestones!$AA$180)&gt;=$S33),$V33,$U33)))=Milestones!$AB$180),UPPER(TEXT(EDATE($D33,Milestones!$AA$180),"dd mmm yy"))&amp;" "&amp;Milestones!$AB$180&amp;" "&amp;Milestones!$AC$180&amp;";  ","")&amp;IF(AND(EDATE($D33,Milestones!$AA$181)&lt;=AsOfDate,IF($R33=0,$X33,IF(AND($T33&lt;&gt;"",EDATE($D33,Milestones!$AA$181)&gt;=$T33),$W33,IF(AND($S33&lt;&gt;"",EDATE($D33,Milestones!$AA$181)&gt;=$S33),$V33,$U33)))=Milestones!$AB$181),UPPER(TEXT(EDATE($D33,Milestones!$AA$181),"dd mmm yy"))&amp;" "&amp;Milestones!$AB$181&amp;" "&amp;Milestones!$AC$181&amp;";  ","")&amp;IF(AND(EDATE($D33,Milestones!$AA$182)&lt;=AsOfDate,IF($R33=0,$X33,IF(AND($T33&lt;&gt;"",EDATE($D33,Milestones!$AA$182)&gt;=$T33),$W33,IF(AND($S33&lt;&gt;"",EDATE($D33,Milestones!$AA$182)&gt;=$S33),$V33,$U33)))=Milestones!$AB$182),UPPER(TEXT(EDATE($D33,Milestones!$AA$182),"dd mmm yy"))&amp;" "&amp;Milestones!$AB$182&amp;" "&amp;Milestones!$AC$182&amp;";  ","")&amp;IF(AND(EDATE($D33,Milestones!$AA$183)&lt;=AsOfDate,IF($R33=0,$X33,IF(AND($T33&lt;&gt;"",EDATE($D33,Milestones!$AA$183)&gt;=$T33),$W33,IF(AND($S33&lt;&gt;"",EDATE($D33,Milestones!$AA$183)&gt;=$S33),$V33,$U33)))=Milestones!$AB$183),UPPER(TEXT(EDATE($D33,Milestones!$AA$183),"dd mmm yy"))&amp;" "&amp;Milestones!$AB$183&amp;" "&amp;Milestones!$AC$183&amp;";  ","")&amp;IF(AND(EDATE($D33,Milestones!$AA$184)&lt;=AsOfDate,IF($R33=0,$X33,IF(AND($T33&lt;&gt;"",EDATE($D33,Milestones!$AA$184)&gt;=$T33),$W33,IF(AND($S33&lt;&gt;"",EDATE($D33,Milestones!$AA$184)&gt;=$S33),$V33,$U33)))=Milestones!$AB$184),UPPER(TEXT(EDATE($D33,Milestones!$AA$184),"dd mmm yy"))&amp;" "&amp;Milestones!$AB$184&amp;" "&amp;Milestones!$AC$184&amp;";  ","")&amp;IF(AND(EDATE($D33,Milestones!$AA$185)&lt;=AsOfDate,IF($R33=0,$X33,IF(AND($T33&lt;&gt;"",EDATE($D33,Milestones!$AA$185)&gt;=$T33),$W33,IF(AND($S33&lt;&gt;"",EDATE($D33,Milestones!$AA$185)&gt;=$S33),$V33,$U33)))=Milestones!$AB$185),UPPER(TEXT(EDATE($D33,Milestones!$AA$185),"dd mmm yy"))&amp;" "&amp;Milestones!$AB$185&amp;" "&amp;Milestones!$AC$185&amp;";  ","")&amp;IF(AND(EDATE($D33,Milestones!$AA$186)&lt;=AsOfDate,IF($R33=0,$X33,IF(AND($T33&lt;&gt;"",EDATE($D33,Milestones!$AA$186)&gt;=$T33),$W33,IF(AND($S33&lt;&gt;"",EDATE($D33,Milestones!$AA$186)&gt;=$S33),$V33,$U33)))=Milestones!$AB$186),UPPER(TEXT(EDATE($D33,Milestones!$AA$186),"dd mmm yy"))&amp;" "&amp;Milestones!$AB$186&amp;" "&amp;Milestones!$AC$186&amp;";  ","")&amp;IF(AND(EDATE($D33,Milestones!$AA$187)&lt;=AsOfDate,IF($R33=0,$X33,IF(AND($T33&lt;&gt;"",EDATE($D33,Milestones!$AA$187)&gt;=$T33),$W33,IF(AND($S33&lt;&gt;"",EDATE($D33,Milestones!$AA$187)&gt;=$S33),$V33,$U33)))=Milestones!$AB$187),UPPER(TEXT(EDATE($D33,Milestones!$AA$187),"dd mmm yy"))&amp;" "&amp;Milestones!$AB$187&amp;" "&amp;Milestones!$AC$187&amp;";  ","")&amp;IF(AND(EDATE($D33,Milestones!$AA$188)&lt;=AsOfDate,IF($R33=0,$X33,IF(AND($T33&lt;&gt;"",EDATE($D33,Milestones!$AA$188)&gt;=$T33),$W33,IF(AND($S33&lt;&gt;"",EDATE($D33,Milestones!$AA$188)&gt;=$S33),$V33,$U33)))=Milestones!$AB$188),UPPER(TEXT(EDATE($D33,Milestones!$AA$188),"dd mmm yy"))&amp;" "&amp;Milestones!$AB$188&amp;" "&amp;Milestones!$AC$188&amp;";  ","")&amp;IF(AND(EDATE($D33,Milestones!$AA$189)&lt;=AsOfDate,IF($R33=0,$X33,IF(AND($T33&lt;&gt;"",EDATE($D33,Milestones!$AA$189)&gt;=$T33),$W33,IF(AND($S33&lt;&gt;"",EDATE($D33,Milestones!$AA$189)&gt;=$S33),$V33,$U33)))=Milestones!$AB$189),UPPER(TEXT(EDATE($D33,Milestones!$AA$189),"dd mmm yy"))&amp;" "&amp;Milestones!$AB$189&amp;" "&amp;Milestones!$AC$189&amp;";  ","")&amp;IF(AND(EDATE($D33,Milestones!$AA$190)&lt;=AsOfDate,IF($R33=0,$X33,IF(AND($T33&lt;&gt;"",EDATE($D33,Milestones!$AA$190)&gt;=$T33),$W33,IF(AND($S33&lt;&gt;"",EDATE($D33,Milestones!$AA$190)&gt;=$S33),$V33,$U33)))=Milestones!$AB$190),UPPER(TEXT(EDATE($D33,Milestones!$AA$190),"dd mmm yy"))&amp;" "&amp;Milestones!$AB$190&amp;" "&amp;Milestones!$AC$190&amp;";  ","")&amp;IF(AND(EDATE($D33,Milestones!$AA$191)&lt;=AsOfDate,IF($R33=0,$X33,IF(AND($T33&lt;&gt;"",EDATE($D33,Milestones!$AA$191)&gt;=$T33),$W33,IF(AND($S33&lt;&gt;"",EDATE($D33,Milestones!$AA$191)&gt;=$S33),$V33,$U33)))=Milestones!$AB$191),UPPER(TEXT(EDATE($D33,Milestones!$AA$191),"dd mmm yy"))&amp;" "&amp;Milestones!$AB$191&amp;" "&amp;Milestones!$AC$191&amp;";  ","")&amp;IF(AND(EDATE($D33,Milestones!$AA$192)&lt;=AsOfDate,IF($R33=0,$X33,IF(AND($T33&lt;&gt;"",EDATE($D33,Milestones!$AA$192)&gt;=$T33),$W33,IF(AND($S33&lt;&gt;"",EDATE($D33,Milestones!$AA$192)&gt;=$S33),$V33,$U33)))=Milestones!$AB$192),UPPER(TEXT(EDATE($D33,Milestones!$AA$192),"dd mmm yy"))&amp;" "&amp;Milestones!$AB$192&amp;" "&amp;Milestones!$AC$192&amp;";  ","")&amp;IF(AND(EDATE($D33,Milestones!$AA$193)&lt;=AsOfDate,IF($R33=0,$X33,IF(AND($T33&lt;&gt;"",EDATE($D33,Milestones!$AA$193)&gt;=$T33),$W33,IF(AND($S33&lt;&gt;"",EDATE($D33,Milestones!$AA$193)&gt;=$S33),$V33,$U33)))=Milestones!$AB$193),UPPER(TEXT(EDATE($D33,Milestones!$AA$193),"dd mmm yy"))&amp;" "&amp;Milestones!$AB$193&amp;" "&amp;Milestones!$AC$193&amp;";  ","")&amp;IF(AND(EDATE($D33,Milestones!$AA$194)&lt;=AsOfDate,IF($R33=0,$X33,IF(AND($T33&lt;&gt;"",EDATE($D33,Milestones!$AA$194)&gt;=$T33),$W33,IF(AND($S33&lt;&gt;"",EDATE($D33,Milestones!$AA$194)&gt;=$S33),$V33,$U33)))=Milestones!$AB$194),UPPER(TEXT(EDATE($D33,Milestones!$AA$194),"dd mmm yy"))&amp;" "&amp;Milestones!$AB$194&amp;" "&amp;Milestones!$AC$194&amp;";  ","")&amp;IF(AND(EDATE($D33,Milestones!$AA$195)&lt;=AsOfDate,IF($R33=0,$X33,IF(AND($T33&lt;&gt;"",EDATE($D33,Milestones!$AA$195)&gt;=$T33),$W33,IF(AND($S33&lt;&gt;"",EDATE($D33,Milestones!$AA$195)&gt;=$S33),$V33,$U33)))=Milestones!$AB$195),UPPER(TEXT(EDATE($D33,Milestones!$AA$195),"dd mmm yy"))&amp;" "&amp;Milestones!$AB$195&amp;" "&amp;Milestones!$AC$195&amp;";  ","")&amp;IF(AND(EDATE($D33,Milestones!$AA$196)&lt;=AsOfDate,IF($R33=0,$X33,IF(AND($T33&lt;&gt;"",EDATE($D33,Milestones!$AA$196)&gt;=$T33),$W33,IF(AND($S33&lt;&gt;"",EDATE($D33,Milestones!$AA$196)&gt;=$S33),$V33,$U33)))=Milestones!$AB$196),UPPER(TEXT(EDATE($D33,Milestones!$AA$196),"dd mmm yy"))&amp;" "&amp;Milestones!$AB$196&amp;" "&amp;Milestones!$AC$196&amp;";  ","")&amp;IF(AND(EDATE($D33,Milestones!$AA$197)&lt;=AsOfDate,IF($R33=0,$X33,IF(AND($T33&lt;&gt;"",EDATE($D33,Milestones!$AA$197)&gt;=$T33),$W33,IF(AND($S33&lt;&gt;"",EDATE($D33,Milestones!$AA$197)&gt;=$S33),$V33,$U33)))=Milestones!$AB$197),UPPER(TEXT(EDATE($D33,Milestones!$AA$197),"dd mmm yy"))&amp;" "&amp;Milestones!$AB$197&amp;" "&amp;Milestones!$AC$197&amp;";  ","")&amp;IF(AND(EDATE($D33,Milestones!$AA$198)&lt;=AsOfDate,IF($R33=0,$X33,IF(AND($T33&lt;&gt;"",EDATE($D33,Milestones!$AA$198)&gt;=$T33),$W33,IF(AND($S33&lt;&gt;"",EDATE($D33,Milestones!$AA$198)&gt;=$S33),$V33,$U33)))=Milestones!$AB$198),UPPER(TEXT(EDATE($D33,Milestones!$AA$198),"dd mmm yy"))&amp;" "&amp;Milestones!$AB$198&amp;" "&amp;Milestones!$AC$198&amp;";  ","")&amp;IF(AND(EDATE($D33,Milestones!$AA$199)&lt;=AsOfDate,IF($R33=0,$X33,IF(AND($T33&lt;&gt;"",EDATE($D33,Milestones!$AA$199)&gt;=$T33),$W33,IF(AND($S33&lt;&gt;"",EDATE($D33,Milestones!$AA$199)&gt;=$S33),$V33,$U33)))=Milestones!$AB$199),UPPER(TEXT(EDATE($D33,Milestones!$AA$199),"dd mmm yy"))&amp;" "&amp;Milestones!$AB$199&amp;" "&amp;Milestones!$AC$199&amp;";  ",""))</f>
        <v/>
      </c>
      <c r="R33" s="33" t="n">
        <f aca="false">IF(Staff!$A33="","",Staff!$AI33)</f>
        <v>1</v>
      </c>
      <c r="S33" s="0" t="str">
        <f aca="false">IF(Staff!$A33="","",Staff!$AK33)</f>
        <v/>
      </c>
      <c r="T33" s="0" t="str">
        <f aca="false">IF(Staff!$A33="","",Staff!$AL33)</f>
        <v/>
      </c>
      <c r="U33" s="0" t="str">
        <f aca="false">IF(Staff!$A33="","",Staff!$AP33)</f>
        <v>FT</v>
      </c>
      <c r="V33" s="0" t="str">
        <f aca="false">IF(Staff!$A33="","",Staff!$AQ33)</f>
        <v/>
      </c>
      <c r="W33" s="0" t="str">
        <f aca="false">IF(Staff!$A33="","",Staff!$AR33)</f>
        <v/>
      </c>
      <c r="X33" s="0" t="str">
        <f aca="false">IF(Staff!$A33="","",Staff!$AS33)</f>
        <v>FT</v>
      </c>
    </row>
    <row r="34" customFormat="false" ht="15" hidden="false" customHeight="false" outlineLevel="0" collapsed="false">
      <c r="A34" s="19" t="str">
        <f aca="false">IF(Staff!$A34="","",Staff!$A34)</f>
        <v>Graham</v>
      </c>
      <c r="B34" s="19" t="str">
        <f aca="false">IF(Staff!$A34="","",Staff!$B34)</f>
        <v>Cherry</v>
      </c>
      <c r="C34" s="19" t="str">
        <f aca="false">IF(Staff!$A34="","",Staff!$C34)</f>
        <v>Full-Time</v>
      </c>
      <c r="D34" s="17" t="n">
        <f aca="false">IF(Staff!$A34="","",Staff!$AH34)</f>
        <v>46041</v>
      </c>
      <c r="E34" s="20" t="n">
        <f aca="false">IF(Staff!$A34="","",Staff!$O34)</f>
        <v>0</v>
      </c>
      <c r="F34" s="19" t="n">
        <f aca="false">IF(E34="","",E34*HoursPerDay)</f>
        <v>0</v>
      </c>
      <c r="G34" s="20" t="n">
        <f aca="false">IF(Staff!$A34="","",Staff!$AE34)</f>
        <v>0</v>
      </c>
      <c r="H34" s="32" t="str">
        <f aca="false">IF($A34="","",I34&amp;J34&amp;K34&amp;L34&amp;M34&amp;N34&amp;O34&amp;P34&amp;Q34)</f>
        <v/>
      </c>
      <c r="I34" s="0" t="str">
        <f aca="false">IF(OR($A34="",$D34=""),"",IF(AND(EDATE($D34,Milestones!$AA$20)&lt;=AsOfDate,IF($R34=0,$X34,IF(AND($T34&lt;&gt;"",EDATE($D34,Milestones!$AA$20)&gt;=$T34),$W34,IF(AND($S34&lt;&gt;"",EDATE($D34,Milestones!$AA$20)&gt;=$S34),$V34,$U34)))=Milestones!$AB$20),UPPER(TEXT(EDATE($D34,Milestones!$AA$20),"dd mmm yy"))&amp;" "&amp;Milestones!$AB$20&amp;" "&amp;Milestones!$AC$20&amp;";  ","")&amp;IF(AND(EDATE($D34,Milestones!$AA$21)&lt;=AsOfDate,IF($R34=0,$X34,IF(AND($T34&lt;&gt;"",EDATE($D34,Milestones!$AA$21)&gt;=$T34),$W34,IF(AND($S34&lt;&gt;"",EDATE($D34,Milestones!$AA$21)&gt;=$S34),$V34,$U34)))=Milestones!$AB$21),UPPER(TEXT(EDATE($D34,Milestones!$AA$21),"dd mmm yy"))&amp;" "&amp;Milestones!$AB$21&amp;" "&amp;Milestones!$AC$21&amp;";  ","")&amp;IF(AND(EDATE($D34,Milestones!$AA$22)&lt;=AsOfDate,IF($R34=0,$X34,IF(AND($T34&lt;&gt;"",EDATE($D34,Milestones!$AA$22)&gt;=$T34),$W34,IF(AND($S34&lt;&gt;"",EDATE($D34,Milestones!$AA$22)&gt;=$S34),$V34,$U34)))=Milestones!$AB$22),UPPER(TEXT(EDATE($D34,Milestones!$AA$22),"dd mmm yy"))&amp;" "&amp;Milestones!$AB$22&amp;" "&amp;Milestones!$AC$22&amp;";  ","")&amp;IF(AND(EDATE($D34,Milestones!$AA$23)&lt;=AsOfDate,IF($R34=0,$X34,IF(AND($T34&lt;&gt;"",EDATE($D34,Milestones!$AA$23)&gt;=$T34),$W34,IF(AND($S34&lt;&gt;"",EDATE($D34,Milestones!$AA$23)&gt;=$S34),$V34,$U34)))=Milestones!$AB$23),UPPER(TEXT(EDATE($D34,Milestones!$AA$23),"dd mmm yy"))&amp;" "&amp;Milestones!$AB$23&amp;" "&amp;Milestones!$AC$23&amp;";  ","")&amp;IF(AND(EDATE($D34,Milestones!$AA$24)&lt;=AsOfDate,IF($R34=0,$X34,IF(AND($T34&lt;&gt;"",EDATE($D34,Milestones!$AA$24)&gt;=$T34),$W34,IF(AND($S34&lt;&gt;"",EDATE($D34,Milestones!$AA$24)&gt;=$S34),$V34,$U34)))=Milestones!$AB$24),UPPER(TEXT(EDATE($D34,Milestones!$AA$24),"dd mmm yy"))&amp;" "&amp;Milestones!$AB$24&amp;" "&amp;Milestones!$AC$24&amp;";  ","")&amp;IF(AND(EDATE($D34,Milestones!$AA$25)&lt;=AsOfDate,IF($R34=0,$X34,IF(AND($T34&lt;&gt;"",EDATE($D34,Milestones!$AA$25)&gt;=$T34),$W34,IF(AND($S34&lt;&gt;"",EDATE($D34,Milestones!$AA$25)&gt;=$S34),$V34,$U34)))=Milestones!$AB$25),UPPER(TEXT(EDATE($D34,Milestones!$AA$25),"dd mmm yy"))&amp;" "&amp;Milestones!$AB$25&amp;" "&amp;Milestones!$AC$25&amp;";  ","")&amp;IF(AND(EDATE($D34,Milestones!$AA$26)&lt;=AsOfDate,IF($R34=0,$X34,IF(AND($T34&lt;&gt;"",EDATE($D34,Milestones!$AA$26)&gt;=$T34),$W34,IF(AND($S34&lt;&gt;"",EDATE($D34,Milestones!$AA$26)&gt;=$S34),$V34,$U34)))=Milestones!$AB$26),UPPER(TEXT(EDATE($D34,Milestones!$AA$26),"dd mmm yy"))&amp;" "&amp;Milestones!$AB$26&amp;" "&amp;Milestones!$AC$26&amp;";  ","")&amp;IF(AND(EDATE($D34,Milestones!$AA$27)&lt;=AsOfDate,IF($R34=0,$X34,IF(AND($T34&lt;&gt;"",EDATE($D34,Milestones!$AA$27)&gt;=$T34),$W34,IF(AND($S34&lt;&gt;"",EDATE($D34,Milestones!$AA$27)&gt;=$S34),$V34,$U34)))=Milestones!$AB$27),UPPER(TEXT(EDATE($D34,Milestones!$AA$27),"dd mmm yy"))&amp;" "&amp;Milestones!$AB$27&amp;" "&amp;Milestones!$AC$27&amp;";  ","")&amp;IF(AND(EDATE($D34,Milestones!$AA$28)&lt;=AsOfDate,IF($R34=0,$X34,IF(AND($T34&lt;&gt;"",EDATE($D34,Milestones!$AA$28)&gt;=$T34),$W34,IF(AND($S34&lt;&gt;"",EDATE($D34,Milestones!$AA$28)&gt;=$S34),$V34,$U34)))=Milestones!$AB$28),UPPER(TEXT(EDATE($D34,Milestones!$AA$28),"dd mmm yy"))&amp;" "&amp;Milestones!$AB$28&amp;" "&amp;Milestones!$AC$28&amp;";  ","")&amp;IF(AND(EDATE($D34,Milestones!$AA$29)&lt;=AsOfDate,IF($R34=0,$X34,IF(AND($T34&lt;&gt;"",EDATE($D34,Milestones!$AA$29)&gt;=$T34),$W34,IF(AND($S34&lt;&gt;"",EDATE($D34,Milestones!$AA$29)&gt;=$S34),$V34,$U34)))=Milestones!$AB$29),UPPER(TEXT(EDATE($D34,Milestones!$AA$29),"dd mmm yy"))&amp;" "&amp;Milestones!$AB$29&amp;" "&amp;Milestones!$AC$29&amp;";  ","")&amp;IF(AND(EDATE($D34,Milestones!$AA$30)&lt;=AsOfDate,IF($R34=0,$X34,IF(AND($T34&lt;&gt;"",EDATE($D34,Milestones!$AA$30)&gt;=$T34),$W34,IF(AND($S34&lt;&gt;"",EDATE($D34,Milestones!$AA$30)&gt;=$S34),$V34,$U34)))=Milestones!$AB$30),UPPER(TEXT(EDATE($D34,Milestones!$AA$30),"dd mmm yy"))&amp;" "&amp;Milestones!$AB$30&amp;" "&amp;Milestones!$AC$30&amp;";  ","")&amp;IF(AND(EDATE($D34,Milestones!$AA$31)&lt;=AsOfDate,IF($R34=0,$X34,IF(AND($T34&lt;&gt;"",EDATE($D34,Milestones!$AA$31)&gt;=$T34),$W34,IF(AND($S34&lt;&gt;"",EDATE($D34,Milestones!$AA$31)&gt;=$S34),$V34,$U34)))=Milestones!$AB$31),UPPER(TEXT(EDATE($D34,Milestones!$AA$31),"dd mmm yy"))&amp;" "&amp;Milestones!$AB$31&amp;" "&amp;Milestones!$AC$31&amp;";  ","")&amp;IF(AND(EDATE($D34,Milestones!$AA$32)&lt;=AsOfDate,IF($R34=0,$X34,IF(AND($T34&lt;&gt;"",EDATE($D34,Milestones!$AA$32)&gt;=$T34),$W34,IF(AND($S34&lt;&gt;"",EDATE($D34,Milestones!$AA$32)&gt;=$S34),$V34,$U34)))=Milestones!$AB$32),UPPER(TEXT(EDATE($D34,Milestones!$AA$32),"dd mmm yy"))&amp;" "&amp;Milestones!$AB$32&amp;" "&amp;Milestones!$AC$32&amp;";  ","")&amp;IF(AND(EDATE($D34,Milestones!$AA$33)&lt;=AsOfDate,IF($R34=0,$X34,IF(AND($T34&lt;&gt;"",EDATE($D34,Milestones!$AA$33)&gt;=$T34),$W34,IF(AND($S34&lt;&gt;"",EDATE($D34,Milestones!$AA$33)&gt;=$S34),$V34,$U34)))=Milestones!$AB$33),UPPER(TEXT(EDATE($D34,Milestones!$AA$33),"dd mmm yy"))&amp;" "&amp;Milestones!$AB$33&amp;" "&amp;Milestones!$AC$33&amp;";  ","")&amp;IF(AND(EDATE($D34,Milestones!$AA$34)&lt;=AsOfDate,IF($R34=0,$X34,IF(AND($T34&lt;&gt;"",EDATE($D34,Milestones!$AA$34)&gt;=$T34),$W34,IF(AND($S34&lt;&gt;"",EDATE($D34,Milestones!$AA$34)&gt;=$S34),$V34,$U34)))=Milestones!$AB$34),UPPER(TEXT(EDATE($D34,Milestones!$AA$34),"dd mmm yy"))&amp;" "&amp;Milestones!$AB$34&amp;" "&amp;Milestones!$AC$34&amp;";  ","")&amp;IF(AND(EDATE($D34,Milestones!$AA$35)&lt;=AsOfDate,IF($R34=0,$X34,IF(AND($T34&lt;&gt;"",EDATE($D34,Milestones!$AA$35)&gt;=$T34),$W34,IF(AND($S34&lt;&gt;"",EDATE($D34,Milestones!$AA$35)&gt;=$S34),$V34,$U34)))=Milestones!$AB$35),UPPER(TEXT(EDATE($D34,Milestones!$AA$35),"dd mmm yy"))&amp;" "&amp;Milestones!$AB$35&amp;" "&amp;Milestones!$AC$35&amp;";  ","")&amp;IF(AND(EDATE($D34,Milestones!$AA$36)&lt;=AsOfDate,IF($R34=0,$X34,IF(AND($T34&lt;&gt;"",EDATE($D34,Milestones!$AA$36)&gt;=$T34),$W34,IF(AND($S34&lt;&gt;"",EDATE($D34,Milestones!$AA$36)&gt;=$S34),$V34,$U34)))=Milestones!$AB$36),UPPER(TEXT(EDATE($D34,Milestones!$AA$36),"dd mmm yy"))&amp;" "&amp;Milestones!$AB$36&amp;" "&amp;Milestones!$AC$36&amp;";  ","")&amp;IF(AND(EDATE($D34,Milestones!$AA$37)&lt;=AsOfDate,IF($R34=0,$X34,IF(AND($T34&lt;&gt;"",EDATE($D34,Milestones!$AA$37)&gt;=$T34),$W34,IF(AND($S34&lt;&gt;"",EDATE($D34,Milestones!$AA$37)&gt;=$S34),$V34,$U34)))=Milestones!$AB$37),UPPER(TEXT(EDATE($D34,Milestones!$AA$37),"dd mmm yy"))&amp;" "&amp;Milestones!$AB$37&amp;" "&amp;Milestones!$AC$37&amp;";  ","")&amp;IF(AND(EDATE($D34,Milestones!$AA$38)&lt;=AsOfDate,IF($R34=0,$X34,IF(AND($T34&lt;&gt;"",EDATE($D34,Milestones!$AA$38)&gt;=$T34),$W34,IF(AND($S34&lt;&gt;"",EDATE($D34,Milestones!$AA$38)&gt;=$S34),$V34,$U34)))=Milestones!$AB$38),UPPER(TEXT(EDATE($D34,Milestones!$AA$38),"dd mmm yy"))&amp;" "&amp;Milestones!$AB$38&amp;" "&amp;Milestones!$AC$38&amp;";  ","")&amp;IF(AND(EDATE($D34,Milestones!$AA$39)&lt;=AsOfDate,IF($R34=0,$X34,IF(AND($T34&lt;&gt;"",EDATE($D34,Milestones!$AA$39)&gt;=$T34),$W34,IF(AND($S34&lt;&gt;"",EDATE($D34,Milestones!$AA$39)&gt;=$S34),$V34,$U34)))=Milestones!$AB$39),UPPER(TEXT(EDATE($D34,Milestones!$AA$39),"dd mmm yy"))&amp;" "&amp;Milestones!$AB$39&amp;" "&amp;Milestones!$AC$39&amp;";  ",""))</f>
        <v/>
      </c>
      <c r="J34" s="0" t="str">
        <f aca="false">IF(OR($A34="",$D34=""),"",IF(AND(EDATE($D34,Milestones!$AA$40)&lt;=AsOfDate,IF($R34=0,$X34,IF(AND($T34&lt;&gt;"",EDATE($D34,Milestones!$AA$40)&gt;=$T34),$W34,IF(AND($S34&lt;&gt;"",EDATE($D34,Milestones!$AA$40)&gt;=$S34),$V34,$U34)))=Milestones!$AB$40),UPPER(TEXT(EDATE($D34,Milestones!$AA$40),"dd mmm yy"))&amp;" "&amp;Milestones!$AB$40&amp;" "&amp;Milestones!$AC$40&amp;";  ","")&amp;IF(AND(EDATE($D34,Milestones!$AA$41)&lt;=AsOfDate,IF($R34=0,$X34,IF(AND($T34&lt;&gt;"",EDATE($D34,Milestones!$AA$41)&gt;=$T34),$W34,IF(AND($S34&lt;&gt;"",EDATE($D34,Milestones!$AA$41)&gt;=$S34),$V34,$U34)))=Milestones!$AB$41),UPPER(TEXT(EDATE($D34,Milestones!$AA$41),"dd mmm yy"))&amp;" "&amp;Milestones!$AB$41&amp;" "&amp;Milestones!$AC$41&amp;";  ","")&amp;IF(AND(EDATE($D34,Milestones!$AA$42)&lt;=AsOfDate,IF($R34=0,$X34,IF(AND($T34&lt;&gt;"",EDATE($D34,Milestones!$AA$42)&gt;=$T34),$W34,IF(AND($S34&lt;&gt;"",EDATE($D34,Milestones!$AA$42)&gt;=$S34),$V34,$U34)))=Milestones!$AB$42),UPPER(TEXT(EDATE($D34,Milestones!$AA$42),"dd mmm yy"))&amp;" "&amp;Milestones!$AB$42&amp;" "&amp;Milestones!$AC$42&amp;";  ","")&amp;IF(AND(EDATE($D34,Milestones!$AA$43)&lt;=AsOfDate,IF($R34=0,$X34,IF(AND($T34&lt;&gt;"",EDATE($D34,Milestones!$AA$43)&gt;=$T34),$W34,IF(AND($S34&lt;&gt;"",EDATE($D34,Milestones!$AA$43)&gt;=$S34),$V34,$U34)))=Milestones!$AB$43),UPPER(TEXT(EDATE($D34,Milestones!$AA$43),"dd mmm yy"))&amp;" "&amp;Milestones!$AB$43&amp;" "&amp;Milestones!$AC$43&amp;";  ","")&amp;IF(AND(EDATE($D34,Milestones!$AA$44)&lt;=AsOfDate,IF($R34=0,$X34,IF(AND($T34&lt;&gt;"",EDATE($D34,Milestones!$AA$44)&gt;=$T34),$W34,IF(AND($S34&lt;&gt;"",EDATE($D34,Milestones!$AA$44)&gt;=$S34),$V34,$U34)))=Milestones!$AB$44),UPPER(TEXT(EDATE($D34,Milestones!$AA$44),"dd mmm yy"))&amp;" "&amp;Milestones!$AB$44&amp;" "&amp;Milestones!$AC$44&amp;";  ","")&amp;IF(AND(EDATE($D34,Milestones!$AA$45)&lt;=AsOfDate,IF($R34=0,$X34,IF(AND($T34&lt;&gt;"",EDATE($D34,Milestones!$AA$45)&gt;=$T34),$W34,IF(AND($S34&lt;&gt;"",EDATE($D34,Milestones!$AA$45)&gt;=$S34),$V34,$U34)))=Milestones!$AB$45),UPPER(TEXT(EDATE($D34,Milestones!$AA$45),"dd mmm yy"))&amp;" "&amp;Milestones!$AB$45&amp;" "&amp;Milestones!$AC$45&amp;";  ","")&amp;IF(AND(EDATE($D34,Milestones!$AA$46)&lt;=AsOfDate,IF($R34=0,$X34,IF(AND($T34&lt;&gt;"",EDATE($D34,Milestones!$AA$46)&gt;=$T34),$W34,IF(AND($S34&lt;&gt;"",EDATE($D34,Milestones!$AA$46)&gt;=$S34),$V34,$U34)))=Milestones!$AB$46),UPPER(TEXT(EDATE($D34,Milestones!$AA$46),"dd mmm yy"))&amp;" "&amp;Milestones!$AB$46&amp;" "&amp;Milestones!$AC$46&amp;";  ","")&amp;IF(AND(EDATE($D34,Milestones!$AA$47)&lt;=AsOfDate,IF($R34=0,$X34,IF(AND($T34&lt;&gt;"",EDATE($D34,Milestones!$AA$47)&gt;=$T34),$W34,IF(AND($S34&lt;&gt;"",EDATE($D34,Milestones!$AA$47)&gt;=$S34),$V34,$U34)))=Milestones!$AB$47),UPPER(TEXT(EDATE($D34,Milestones!$AA$47),"dd mmm yy"))&amp;" "&amp;Milestones!$AB$47&amp;" "&amp;Milestones!$AC$47&amp;";  ","")&amp;IF(AND(EDATE($D34,Milestones!$AA$48)&lt;=AsOfDate,IF($R34=0,$X34,IF(AND($T34&lt;&gt;"",EDATE($D34,Milestones!$AA$48)&gt;=$T34),$W34,IF(AND($S34&lt;&gt;"",EDATE($D34,Milestones!$AA$48)&gt;=$S34),$V34,$U34)))=Milestones!$AB$48),UPPER(TEXT(EDATE($D34,Milestones!$AA$48),"dd mmm yy"))&amp;" "&amp;Milestones!$AB$48&amp;" "&amp;Milestones!$AC$48&amp;";  ","")&amp;IF(AND(EDATE($D34,Milestones!$AA$49)&lt;=AsOfDate,IF($R34=0,$X34,IF(AND($T34&lt;&gt;"",EDATE($D34,Milestones!$AA$49)&gt;=$T34),$W34,IF(AND($S34&lt;&gt;"",EDATE($D34,Milestones!$AA$49)&gt;=$S34),$V34,$U34)))=Milestones!$AB$49),UPPER(TEXT(EDATE($D34,Milestones!$AA$49),"dd mmm yy"))&amp;" "&amp;Milestones!$AB$49&amp;" "&amp;Milestones!$AC$49&amp;";  ","")&amp;IF(AND(EDATE($D34,Milestones!$AA$50)&lt;=AsOfDate,IF($R34=0,$X34,IF(AND($T34&lt;&gt;"",EDATE($D34,Milestones!$AA$50)&gt;=$T34),$W34,IF(AND($S34&lt;&gt;"",EDATE($D34,Milestones!$AA$50)&gt;=$S34),$V34,$U34)))=Milestones!$AB$50),UPPER(TEXT(EDATE($D34,Milestones!$AA$50),"dd mmm yy"))&amp;" "&amp;Milestones!$AB$50&amp;" "&amp;Milestones!$AC$50&amp;";  ","")&amp;IF(AND(EDATE($D34,Milestones!$AA$51)&lt;=AsOfDate,IF($R34=0,$X34,IF(AND($T34&lt;&gt;"",EDATE($D34,Milestones!$AA$51)&gt;=$T34),$W34,IF(AND($S34&lt;&gt;"",EDATE($D34,Milestones!$AA$51)&gt;=$S34),$V34,$U34)))=Milestones!$AB$51),UPPER(TEXT(EDATE($D34,Milestones!$AA$51),"dd mmm yy"))&amp;" "&amp;Milestones!$AB$51&amp;" "&amp;Milestones!$AC$51&amp;";  ","")&amp;IF(AND(EDATE($D34,Milestones!$AA$52)&lt;=AsOfDate,IF($R34=0,$X34,IF(AND($T34&lt;&gt;"",EDATE($D34,Milestones!$AA$52)&gt;=$T34),$W34,IF(AND($S34&lt;&gt;"",EDATE($D34,Milestones!$AA$52)&gt;=$S34),$V34,$U34)))=Milestones!$AB$52),UPPER(TEXT(EDATE($D34,Milestones!$AA$52),"dd mmm yy"))&amp;" "&amp;Milestones!$AB$52&amp;" "&amp;Milestones!$AC$52&amp;";  ","")&amp;IF(AND(EDATE($D34,Milestones!$AA$53)&lt;=AsOfDate,IF($R34=0,$X34,IF(AND($T34&lt;&gt;"",EDATE($D34,Milestones!$AA$53)&gt;=$T34),$W34,IF(AND($S34&lt;&gt;"",EDATE($D34,Milestones!$AA$53)&gt;=$S34),$V34,$U34)))=Milestones!$AB$53),UPPER(TEXT(EDATE($D34,Milestones!$AA$53),"dd mmm yy"))&amp;" "&amp;Milestones!$AB$53&amp;" "&amp;Milestones!$AC$53&amp;";  ","")&amp;IF(AND(EDATE($D34,Milestones!$AA$54)&lt;=AsOfDate,IF($R34=0,$X34,IF(AND($T34&lt;&gt;"",EDATE($D34,Milestones!$AA$54)&gt;=$T34),$W34,IF(AND($S34&lt;&gt;"",EDATE($D34,Milestones!$AA$54)&gt;=$S34),$V34,$U34)))=Milestones!$AB$54),UPPER(TEXT(EDATE($D34,Milestones!$AA$54),"dd mmm yy"))&amp;" "&amp;Milestones!$AB$54&amp;" "&amp;Milestones!$AC$54&amp;";  ","")&amp;IF(AND(EDATE($D34,Milestones!$AA$55)&lt;=AsOfDate,IF($R34=0,$X34,IF(AND($T34&lt;&gt;"",EDATE($D34,Milestones!$AA$55)&gt;=$T34),$W34,IF(AND($S34&lt;&gt;"",EDATE($D34,Milestones!$AA$55)&gt;=$S34),$V34,$U34)))=Milestones!$AB$55),UPPER(TEXT(EDATE($D34,Milestones!$AA$55),"dd mmm yy"))&amp;" "&amp;Milestones!$AB$55&amp;" "&amp;Milestones!$AC$55&amp;";  ","")&amp;IF(AND(EDATE($D34,Milestones!$AA$56)&lt;=AsOfDate,IF($R34=0,$X34,IF(AND($T34&lt;&gt;"",EDATE($D34,Milestones!$AA$56)&gt;=$T34),$W34,IF(AND($S34&lt;&gt;"",EDATE($D34,Milestones!$AA$56)&gt;=$S34),$V34,$U34)))=Milestones!$AB$56),UPPER(TEXT(EDATE($D34,Milestones!$AA$56),"dd mmm yy"))&amp;" "&amp;Milestones!$AB$56&amp;" "&amp;Milestones!$AC$56&amp;";  ","")&amp;IF(AND(EDATE($D34,Milestones!$AA$57)&lt;=AsOfDate,IF($R34=0,$X34,IF(AND($T34&lt;&gt;"",EDATE($D34,Milestones!$AA$57)&gt;=$T34),$W34,IF(AND($S34&lt;&gt;"",EDATE($D34,Milestones!$AA$57)&gt;=$S34),$V34,$U34)))=Milestones!$AB$57),UPPER(TEXT(EDATE($D34,Milestones!$AA$57),"dd mmm yy"))&amp;" "&amp;Milestones!$AB$57&amp;" "&amp;Milestones!$AC$57&amp;";  ","")&amp;IF(AND(EDATE($D34,Milestones!$AA$58)&lt;=AsOfDate,IF($R34=0,$X34,IF(AND($T34&lt;&gt;"",EDATE($D34,Milestones!$AA$58)&gt;=$T34),$W34,IF(AND($S34&lt;&gt;"",EDATE($D34,Milestones!$AA$58)&gt;=$S34),$V34,$U34)))=Milestones!$AB$58),UPPER(TEXT(EDATE($D34,Milestones!$AA$58),"dd mmm yy"))&amp;" "&amp;Milestones!$AB$58&amp;" "&amp;Milestones!$AC$58&amp;";  ","")&amp;IF(AND(EDATE($D34,Milestones!$AA$59)&lt;=AsOfDate,IF($R34=0,$X34,IF(AND($T34&lt;&gt;"",EDATE($D34,Milestones!$AA$59)&gt;=$T34),$W34,IF(AND($S34&lt;&gt;"",EDATE($D34,Milestones!$AA$59)&gt;=$S34),$V34,$U34)))=Milestones!$AB$59),UPPER(TEXT(EDATE($D34,Milestones!$AA$59),"dd mmm yy"))&amp;" "&amp;Milestones!$AB$59&amp;" "&amp;Milestones!$AC$59&amp;";  ",""))</f>
        <v/>
      </c>
      <c r="K34" s="0" t="str">
        <f aca="false">IF(OR($A34="",$D34=""),"",IF(AND(EDATE($D34,Milestones!$AA$60)&lt;=AsOfDate,IF($R34=0,$X34,IF(AND($T34&lt;&gt;"",EDATE($D34,Milestones!$AA$60)&gt;=$T34),$W34,IF(AND($S34&lt;&gt;"",EDATE($D34,Milestones!$AA$60)&gt;=$S34),$V34,$U34)))=Milestones!$AB$60),UPPER(TEXT(EDATE($D34,Milestones!$AA$60),"dd mmm yy"))&amp;" "&amp;Milestones!$AB$60&amp;" "&amp;Milestones!$AC$60&amp;";  ","")&amp;IF(AND(EDATE($D34,Milestones!$AA$61)&lt;=AsOfDate,IF($R34=0,$X34,IF(AND($T34&lt;&gt;"",EDATE($D34,Milestones!$AA$61)&gt;=$T34),$W34,IF(AND($S34&lt;&gt;"",EDATE($D34,Milestones!$AA$61)&gt;=$S34),$V34,$U34)))=Milestones!$AB$61),UPPER(TEXT(EDATE($D34,Milestones!$AA$61),"dd mmm yy"))&amp;" "&amp;Milestones!$AB$61&amp;" "&amp;Milestones!$AC$61&amp;";  ","")&amp;IF(AND(EDATE($D34,Milestones!$AA$62)&lt;=AsOfDate,IF($R34=0,$X34,IF(AND($T34&lt;&gt;"",EDATE($D34,Milestones!$AA$62)&gt;=$T34),$W34,IF(AND($S34&lt;&gt;"",EDATE($D34,Milestones!$AA$62)&gt;=$S34),$V34,$U34)))=Milestones!$AB$62),UPPER(TEXT(EDATE($D34,Milestones!$AA$62),"dd mmm yy"))&amp;" "&amp;Milestones!$AB$62&amp;" "&amp;Milestones!$AC$62&amp;";  ","")&amp;IF(AND(EDATE($D34,Milestones!$AA$63)&lt;=AsOfDate,IF($R34=0,$X34,IF(AND($T34&lt;&gt;"",EDATE($D34,Milestones!$AA$63)&gt;=$T34),$W34,IF(AND($S34&lt;&gt;"",EDATE($D34,Milestones!$AA$63)&gt;=$S34),$V34,$U34)))=Milestones!$AB$63),UPPER(TEXT(EDATE($D34,Milestones!$AA$63),"dd mmm yy"))&amp;" "&amp;Milestones!$AB$63&amp;" "&amp;Milestones!$AC$63&amp;";  ","")&amp;IF(AND(EDATE($D34,Milestones!$AA$64)&lt;=AsOfDate,IF($R34=0,$X34,IF(AND($T34&lt;&gt;"",EDATE($D34,Milestones!$AA$64)&gt;=$T34),$W34,IF(AND($S34&lt;&gt;"",EDATE($D34,Milestones!$AA$64)&gt;=$S34),$V34,$U34)))=Milestones!$AB$64),UPPER(TEXT(EDATE($D34,Milestones!$AA$64),"dd mmm yy"))&amp;" "&amp;Milestones!$AB$64&amp;" "&amp;Milestones!$AC$64&amp;";  ","")&amp;IF(AND(EDATE($D34,Milestones!$AA$65)&lt;=AsOfDate,IF($R34=0,$X34,IF(AND($T34&lt;&gt;"",EDATE($D34,Milestones!$AA$65)&gt;=$T34),$W34,IF(AND($S34&lt;&gt;"",EDATE($D34,Milestones!$AA$65)&gt;=$S34),$V34,$U34)))=Milestones!$AB$65),UPPER(TEXT(EDATE($D34,Milestones!$AA$65),"dd mmm yy"))&amp;" "&amp;Milestones!$AB$65&amp;" "&amp;Milestones!$AC$65&amp;";  ","")&amp;IF(AND(EDATE($D34,Milestones!$AA$66)&lt;=AsOfDate,IF($R34=0,$X34,IF(AND($T34&lt;&gt;"",EDATE($D34,Milestones!$AA$66)&gt;=$T34),$W34,IF(AND($S34&lt;&gt;"",EDATE($D34,Milestones!$AA$66)&gt;=$S34),$V34,$U34)))=Milestones!$AB$66),UPPER(TEXT(EDATE($D34,Milestones!$AA$66),"dd mmm yy"))&amp;" "&amp;Milestones!$AB$66&amp;" "&amp;Milestones!$AC$66&amp;";  ","")&amp;IF(AND(EDATE($D34,Milestones!$AA$67)&lt;=AsOfDate,IF($R34=0,$X34,IF(AND($T34&lt;&gt;"",EDATE($D34,Milestones!$AA$67)&gt;=$T34),$W34,IF(AND($S34&lt;&gt;"",EDATE($D34,Milestones!$AA$67)&gt;=$S34),$V34,$U34)))=Milestones!$AB$67),UPPER(TEXT(EDATE($D34,Milestones!$AA$67),"dd mmm yy"))&amp;" "&amp;Milestones!$AB$67&amp;" "&amp;Milestones!$AC$67&amp;";  ","")&amp;IF(AND(EDATE($D34,Milestones!$AA$68)&lt;=AsOfDate,IF($R34=0,$X34,IF(AND($T34&lt;&gt;"",EDATE($D34,Milestones!$AA$68)&gt;=$T34),$W34,IF(AND($S34&lt;&gt;"",EDATE($D34,Milestones!$AA$68)&gt;=$S34),$V34,$U34)))=Milestones!$AB$68),UPPER(TEXT(EDATE($D34,Milestones!$AA$68),"dd mmm yy"))&amp;" "&amp;Milestones!$AB$68&amp;" "&amp;Milestones!$AC$68&amp;";  ","")&amp;IF(AND(EDATE($D34,Milestones!$AA$69)&lt;=AsOfDate,IF($R34=0,$X34,IF(AND($T34&lt;&gt;"",EDATE($D34,Milestones!$AA$69)&gt;=$T34),$W34,IF(AND($S34&lt;&gt;"",EDATE($D34,Milestones!$AA$69)&gt;=$S34),$V34,$U34)))=Milestones!$AB$69),UPPER(TEXT(EDATE($D34,Milestones!$AA$69),"dd mmm yy"))&amp;" "&amp;Milestones!$AB$69&amp;" "&amp;Milestones!$AC$69&amp;";  ","")&amp;IF(AND(EDATE($D34,Milestones!$AA$70)&lt;=AsOfDate,IF($R34=0,$X34,IF(AND($T34&lt;&gt;"",EDATE($D34,Milestones!$AA$70)&gt;=$T34),$W34,IF(AND($S34&lt;&gt;"",EDATE($D34,Milestones!$AA$70)&gt;=$S34),$V34,$U34)))=Milestones!$AB$70),UPPER(TEXT(EDATE($D34,Milestones!$AA$70),"dd mmm yy"))&amp;" "&amp;Milestones!$AB$70&amp;" "&amp;Milestones!$AC$70&amp;";  ","")&amp;IF(AND(EDATE($D34,Milestones!$AA$71)&lt;=AsOfDate,IF($R34=0,$X34,IF(AND($T34&lt;&gt;"",EDATE($D34,Milestones!$AA$71)&gt;=$T34),$W34,IF(AND($S34&lt;&gt;"",EDATE($D34,Milestones!$AA$71)&gt;=$S34),$V34,$U34)))=Milestones!$AB$71),UPPER(TEXT(EDATE($D34,Milestones!$AA$71),"dd mmm yy"))&amp;" "&amp;Milestones!$AB$71&amp;" "&amp;Milestones!$AC$71&amp;";  ","")&amp;IF(AND(EDATE($D34,Milestones!$AA$72)&lt;=AsOfDate,IF($R34=0,$X34,IF(AND($T34&lt;&gt;"",EDATE($D34,Milestones!$AA$72)&gt;=$T34),$W34,IF(AND($S34&lt;&gt;"",EDATE($D34,Milestones!$AA$72)&gt;=$S34),$V34,$U34)))=Milestones!$AB$72),UPPER(TEXT(EDATE($D34,Milestones!$AA$72),"dd mmm yy"))&amp;" "&amp;Milestones!$AB$72&amp;" "&amp;Milestones!$AC$72&amp;";  ","")&amp;IF(AND(EDATE($D34,Milestones!$AA$73)&lt;=AsOfDate,IF($R34=0,$X34,IF(AND($T34&lt;&gt;"",EDATE($D34,Milestones!$AA$73)&gt;=$T34),$W34,IF(AND($S34&lt;&gt;"",EDATE($D34,Milestones!$AA$73)&gt;=$S34),$V34,$U34)))=Milestones!$AB$73),UPPER(TEXT(EDATE($D34,Milestones!$AA$73),"dd mmm yy"))&amp;" "&amp;Milestones!$AB$73&amp;" "&amp;Milestones!$AC$73&amp;";  ","")&amp;IF(AND(EDATE($D34,Milestones!$AA$74)&lt;=AsOfDate,IF($R34=0,$X34,IF(AND($T34&lt;&gt;"",EDATE($D34,Milestones!$AA$74)&gt;=$T34),$W34,IF(AND($S34&lt;&gt;"",EDATE($D34,Milestones!$AA$74)&gt;=$S34),$V34,$U34)))=Milestones!$AB$74),UPPER(TEXT(EDATE($D34,Milestones!$AA$74),"dd mmm yy"))&amp;" "&amp;Milestones!$AB$74&amp;" "&amp;Milestones!$AC$74&amp;";  ","")&amp;IF(AND(EDATE($D34,Milestones!$AA$75)&lt;=AsOfDate,IF($R34=0,$X34,IF(AND($T34&lt;&gt;"",EDATE($D34,Milestones!$AA$75)&gt;=$T34),$W34,IF(AND($S34&lt;&gt;"",EDATE($D34,Milestones!$AA$75)&gt;=$S34),$V34,$U34)))=Milestones!$AB$75),UPPER(TEXT(EDATE($D34,Milestones!$AA$75),"dd mmm yy"))&amp;" "&amp;Milestones!$AB$75&amp;" "&amp;Milestones!$AC$75&amp;";  ","")&amp;IF(AND(EDATE($D34,Milestones!$AA$76)&lt;=AsOfDate,IF($R34=0,$X34,IF(AND($T34&lt;&gt;"",EDATE($D34,Milestones!$AA$76)&gt;=$T34),$W34,IF(AND($S34&lt;&gt;"",EDATE($D34,Milestones!$AA$76)&gt;=$S34),$V34,$U34)))=Milestones!$AB$76),UPPER(TEXT(EDATE($D34,Milestones!$AA$76),"dd mmm yy"))&amp;" "&amp;Milestones!$AB$76&amp;" "&amp;Milestones!$AC$76&amp;";  ","")&amp;IF(AND(EDATE($D34,Milestones!$AA$77)&lt;=AsOfDate,IF($R34=0,$X34,IF(AND($T34&lt;&gt;"",EDATE($D34,Milestones!$AA$77)&gt;=$T34),$W34,IF(AND($S34&lt;&gt;"",EDATE($D34,Milestones!$AA$77)&gt;=$S34),$V34,$U34)))=Milestones!$AB$77),UPPER(TEXT(EDATE($D34,Milestones!$AA$77),"dd mmm yy"))&amp;" "&amp;Milestones!$AB$77&amp;" "&amp;Milestones!$AC$77&amp;";  ","")&amp;IF(AND(EDATE($D34,Milestones!$AA$78)&lt;=AsOfDate,IF($R34=0,$X34,IF(AND($T34&lt;&gt;"",EDATE($D34,Milestones!$AA$78)&gt;=$T34),$W34,IF(AND($S34&lt;&gt;"",EDATE($D34,Milestones!$AA$78)&gt;=$S34),$V34,$U34)))=Milestones!$AB$78),UPPER(TEXT(EDATE($D34,Milestones!$AA$78),"dd mmm yy"))&amp;" "&amp;Milestones!$AB$78&amp;" "&amp;Milestones!$AC$78&amp;";  ","")&amp;IF(AND(EDATE($D34,Milestones!$AA$79)&lt;=AsOfDate,IF($R34=0,$X34,IF(AND($T34&lt;&gt;"",EDATE($D34,Milestones!$AA$79)&gt;=$T34),$W34,IF(AND($S34&lt;&gt;"",EDATE($D34,Milestones!$AA$79)&gt;=$S34),$V34,$U34)))=Milestones!$AB$79),UPPER(TEXT(EDATE($D34,Milestones!$AA$79),"dd mmm yy"))&amp;" "&amp;Milestones!$AB$79&amp;" "&amp;Milestones!$AC$79&amp;";  ",""))</f>
        <v/>
      </c>
      <c r="L34" s="0" t="str">
        <f aca="false">IF(OR($A34="",$D34=""),"",IF(AND(EDATE($D34,Milestones!$AA$80)&lt;=AsOfDate,IF($R34=0,$X34,IF(AND($T34&lt;&gt;"",EDATE($D34,Milestones!$AA$80)&gt;=$T34),$W34,IF(AND($S34&lt;&gt;"",EDATE($D34,Milestones!$AA$80)&gt;=$S34),$V34,$U34)))=Milestones!$AB$80),UPPER(TEXT(EDATE($D34,Milestones!$AA$80),"dd mmm yy"))&amp;" "&amp;Milestones!$AB$80&amp;" "&amp;Milestones!$AC$80&amp;";  ","")&amp;IF(AND(EDATE($D34,Milestones!$AA$81)&lt;=AsOfDate,IF($R34=0,$X34,IF(AND($T34&lt;&gt;"",EDATE($D34,Milestones!$AA$81)&gt;=$T34),$W34,IF(AND($S34&lt;&gt;"",EDATE($D34,Milestones!$AA$81)&gt;=$S34),$V34,$U34)))=Milestones!$AB$81),UPPER(TEXT(EDATE($D34,Milestones!$AA$81),"dd mmm yy"))&amp;" "&amp;Milestones!$AB$81&amp;" "&amp;Milestones!$AC$81&amp;";  ","")&amp;IF(AND(EDATE($D34,Milestones!$AA$82)&lt;=AsOfDate,IF($R34=0,$X34,IF(AND($T34&lt;&gt;"",EDATE($D34,Milestones!$AA$82)&gt;=$T34),$W34,IF(AND($S34&lt;&gt;"",EDATE($D34,Milestones!$AA$82)&gt;=$S34),$V34,$U34)))=Milestones!$AB$82),UPPER(TEXT(EDATE($D34,Milestones!$AA$82),"dd mmm yy"))&amp;" "&amp;Milestones!$AB$82&amp;" "&amp;Milestones!$AC$82&amp;";  ","")&amp;IF(AND(EDATE($D34,Milestones!$AA$83)&lt;=AsOfDate,IF($R34=0,$X34,IF(AND($T34&lt;&gt;"",EDATE($D34,Milestones!$AA$83)&gt;=$T34),$W34,IF(AND($S34&lt;&gt;"",EDATE($D34,Milestones!$AA$83)&gt;=$S34),$V34,$U34)))=Milestones!$AB$83),UPPER(TEXT(EDATE($D34,Milestones!$AA$83),"dd mmm yy"))&amp;" "&amp;Milestones!$AB$83&amp;" "&amp;Milestones!$AC$83&amp;";  ","")&amp;IF(AND(EDATE($D34,Milestones!$AA$84)&lt;=AsOfDate,IF($R34=0,$X34,IF(AND($T34&lt;&gt;"",EDATE($D34,Milestones!$AA$84)&gt;=$T34),$W34,IF(AND($S34&lt;&gt;"",EDATE($D34,Milestones!$AA$84)&gt;=$S34),$V34,$U34)))=Milestones!$AB$84),UPPER(TEXT(EDATE($D34,Milestones!$AA$84),"dd mmm yy"))&amp;" "&amp;Milestones!$AB$84&amp;" "&amp;Milestones!$AC$84&amp;";  ","")&amp;IF(AND(EDATE($D34,Milestones!$AA$85)&lt;=AsOfDate,IF($R34=0,$X34,IF(AND($T34&lt;&gt;"",EDATE($D34,Milestones!$AA$85)&gt;=$T34),$W34,IF(AND($S34&lt;&gt;"",EDATE($D34,Milestones!$AA$85)&gt;=$S34),$V34,$U34)))=Milestones!$AB$85),UPPER(TEXT(EDATE($D34,Milestones!$AA$85),"dd mmm yy"))&amp;" "&amp;Milestones!$AB$85&amp;" "&amp;Milestones!$AC$85&amp;";  ","")&amp;IF(AND(EDATE($D34,Milestones!$AA$86)&lt;=AsOfDate,IF($R34=0,$X34,IF(AND($T34&lt;&gt;"",EDATE($D34,Milestones!$AA$86)&gt;=$T34),$W34,IF(AND($S34&lt;&gt;"",EDATE($D34,Milestones!$AA$86)&gt;=$S34),$V34,$U34)))=Milestones!$AB$86),UPPER(TEXT(EDATE($D34,Milestones!$AA$86),"dd mmm yy"))&amp;" "&amp;Milestones!$AB$86&amp;" "&amp;Milestones!$AC$86&amp;";  ","")&amp;IF(AND(EDATE($D34,Milestones!$AA$87)&lt;=AsOfDate,IF($R34=0,$X34,IF(AND($T34&lt;&gt;"",EDATE($D34,Milestones!$AA$87)&gt;=$T34),$W34,IF(AND($S34&lt;&gt;"",EDATE($D34,Milestones!$AA$87)&gt;=$S34),$V34,$U34)))=Milestones!$AB$87),UPPER(TEXT(EDATE($D34,Milestones!$AA$87),"dd mmm yy"))&amp;" "&amp;Milestones!$AB$87&amp;" "&amp;Milestones!$AC$87&amp;";  ","")&amp;IF(AND(EDATE($D34,Milestones!$AA$88)&lt;=AsOfDate,IF($R34=0,$X34,IF(AND($T34&lt;&gt;"",EDATE($D34,Milestones!$AA$88)&gt;=$T34),$W34,IF(AND($S34&lt;&gt;"",EDATE($D34,Milestones!$AA$88)&gt;=$S34),$V34,$U34)))=Milestones!$AB$88),UPPER(TEXT(EDATE($D34,Milestones!$AA$88),"dd mmm yy"))&amp;" "&amp;Milestones!$AB$88&amp;" "&amp;Milestones!$AC$88&amp;";  ","")&amp;IF(AND(EDATE($D34,Milestones!$AA$89)&lt;=AsOfDate,IF($R34=0,$X34,IF(AND($T34&lt;&gt;"",EDATE($D34,Milestones!$AA$89)&gt;=$T34),$W34,IF(AND($S34&lt;&gt;"",EDATE($D34,Milestones!$AA$89)&gt;=$S34),$V34,$U34)))=Milestones!$AB$89),UPPER(TEXT(EDATE($D34,Milestones!$AA$89),"dd mmm yy"))&amp;" "&amp;Milestones!$AB$89&amp;" "&amp;Milestones!$AC$89&amp;";  ","")&amp;IF(AND(EDATE($D34,Milestones!$AA$90)&lt;=AsOfDate,IF($R34=0,$X34,IF(AND($T34&lt;&gt;"",EDATE($D34,Milestones!$AA$90)&gt;=$T34),$W34,IF(AND($S34&lt;&gt;"",EDATE($D34,Milestones!$AA$90)&gt;=$S34),$V34,$U34)))=Milestones!$AB$90),UPPER(TEXT(EDATE($D34,Milestones!$AA$90),"dd mmm yy"))&amp;" "&amp;Milestones!$AB$90&amp;" "&amp;Milestones!$AC$90&amp;";  ","")&amp;IF(AND(EDATE($D34,Milestones!$AA$91)&lt;=AsOfDate,IF($R34=0,$X34,IF(AND($T34&lt;&gt;"",EDATE($D34,Milestones!$AA$91)&gt;=$T34),$W34,IF(AND($S34&lt;&gt;"",EDATE($D34,Milestones!$AA$91)&gt;=$S34),$V34,$U34)))=Milestones!$AB$91),UPPER(TEXT(EDATE($D34,Milestones!$AA$91),"dd mmm yy"))&amp;" "&amp;Milestones!$AB$91&amp;" "&amp;Milestones!$AC$91&amp;";  ","")&amp;IF(AND(EDATE($D34,Milestones!$AA$92)&lt;=AsOfDate,IF($R34=0,$X34,IF(AND($T34&lt;&gt;"",EDATE($D34,Milestones!$AA$92)&gt;=$T34),$W34,IF(AND($S34&lt;&gt;"",EDATE($D34,Milestones!$AA$92)&gt;=$S34),$V34,$U34)))=Milestones!$AB$92),UPPER(TEXT(EDATE($D34,Milestones!$AA$92),"dd mmm yy"))&amp;" "&amp;Milestones!$AB$92&amp;" "&amp;Milestones!$AC$92&amp;";  ","")&amp;IF(AND(EDATE($D34,Milestones!$AA$93)&lt;=AsOfDate,IF($R34=0,$X34,IF(AND($T34&lt;&gt;"",EDATE($D34,Milestones!$AA$93)&gt;=$T34),$W34,IF(AND($S34&lt;&gt;"",EDATE($D34,Milestones!$AA$93)&gt;=$S34),$V34,$U34)))=Milestones!$AB$93),UPPER(TEXT(EDATE($D34,Milestones!$AA$93),"dd mmm yy"))&amp;" "&amp;Milestones!$AB$93&amp;" "&amp;Milestones!$AC$93&amp;";  ","")&amp;IF(AND(EDATE($D34,Milestones!$AA$94)&lt;=AsOfDate,IF($R34=0,$X34,IF(AND($T34&lt;&gt;"",EDATE($D34,Milestones!$AA$94)&gt;=$T34),$W34,IF(AND($S34&lt;&gt;"",EDATE($D34,Milestones!$AA$94)&gt;=$S34),$V34,$U34)))=Milestones!$AB$94),UPPER(TEXT(EDATE($D34,Milestones!$AA$94),"dd mmm yy"))&amp;" "&amp;Milestones!$AB$94&amp;" "&amp;Milestones!$AC$94&amp;";  ","")&amp;IF(AND(EDATE($D34,Milestones!$AA$95)&lt;=AsOfDate,IF($R34=0,$X34,IF(AND($T34&lt;&gt;"",EDATE($D34,Milestones!$AA$95)&gt;=$T34),$W34,IF(AND($S34&lt;&gt;"",EDATE($D34,Milestones!$AA$95)&gt;=$S34),$V34,$U34)))=Milestones!$AB$95),UPPER(TEXT(EDATE($D34,Milestones!$AA$95),"dd mmm yy"))&amp;" "&amp;Milestones!$AB$95&amp;" "&amp;Milestones!$AC$95&amp;";  ","")&amp;IF(AND(EDATE($D34,Milestones!$AA$96)&lt;=AsOfDate,IF($R34=0,$X34,IF(AND($T34&lt;&gt;"",EDATE($D34,Milestones!$AA$96)&gt;=$T34),$W34,IF(AND($S34&lt;&gt;"",EDATE($D34,Milestones!$AA$96)&gt;=$S34),$V34,$U34)))=Milestones!$AB$96),UPPER(TEXT(EDATE($D34,Milestones!$AA$96),"dd mmm yy"))&amp;" "&amp;Milestones!$AB$96&amp;" "&amp;Milestones!$AC$96&amp;";  ","")&amp;IF(AND(EDATE($D34,Milestones!$AA$97)&lt;=AsOfDate,IF($R34=0,$X34,IF(AND($T34&lt;&gt;"",EDATE($D34,Milestones!$AA$97)&gt;=$T34),$W34,IF(AND($S34&lt;&gt;"",EDATE($D34,Milestones!$AA$97)&gt;=$S34),$V34,$U34)))=Milestones!$AB$97),UPPER(TEXT(EDATE($D34,Milestones!$AA$97),"dd mmm yy"))&amp;" "&amp;Milestones!$AB$97&amp;" "&amp;Milestones!$AC$97&amp;";  ","")&amp;IF(AND(EDATE($D34,Milestones!$AA$98)&lt;=AsOfDate,IF($R34=0,$X34,IF(AND($T34&lt;&gt;"",EDATE($D34,Milestones!$AA$98)&gt;=$T34),$W34,IF(AND($S34&lt;&gt;"",EDATE($D34,Milestones!$AA$98)&gt;=$S34),$V34,$U34)))=Milestones!$AB$98),UPPER(TEXT(EDATE($D34,Milestones!$AA$98),"dd mmm yy"))&amp;" "&amp;Milestones!$AB$98&amp;" "&amp;Milestones!$AC$98&amp;";  ","")&amp;IF(AND(EDATE($D34,Milestones!$AA$99)&lt;=AsOfDate,IF($R34=0,$X34,IF(AND($T34&lt;&gt;"",EDATE($D34,Milestones!$AA$99)&gt;=$T34),$W34,IF(AND($S34&lt;&gt;"",EDATE($D34,Milestones!$AA$99)&gt;=$S34),$V34,$U34)))=Milestones!$AB$99),UPPER(TEXT(EDATE($D34,Milestones!$AA$99),"dd mmm yy"))&amp;" "&amp;Milestones!$AB$99&amp;" "&amp;Milestones!$AC$99&amp;";  ",""))</f>
        <v/>
      </c>
      <c r="M34" s="0" t="str">
        <f aca="false">IF(OR($A34="",$D34=""),"",IF(AND(EDATE($D34,Milestones!$AA$100)&lt;=AsOfDate,IF($R34=0,$X34,IF(AND($T34&lt;&gt;"",EDATE($D34,Milestones!$AA$100)&gt;=$T34),$W34,IF(AND($S34&lt;&gt;"",EDATE($D34,Milestones!$AA$100)&gt;=$S34),$V34,$U34)))=Milestones!$AB$100),UPPER(TEXT(EDATE($D34,Milestones!$AA$100),"dd mmm yy"))&amp;" "&amp;Milestones!$AB$100&amp;" "&amp;Milestones!$AC$100&amp;";  ","")&amp;IF(AND(EDATE($D34,Milestones!$AA$101)&lt;=AsOfDate,IF($R34=0,$X34,IF(AND($T34&lt;&gt;"",EDATE($D34,Milestones!$AA$101)&gt;=$T34),$W34,IF(AND($S34&lt;&gt;"",EDATE($D34,Milestones!$AA$101)&gt;=$S34),$V34,$U34)))=Milestones!$AB$101),UPPER(TEXT(EDATE($D34,Milestones!$AA$101),"dd mmm yy"))&amp;" "&amp;Milestones!$AB$101&amp;" "&amp;Milestones!$AC$101&amp;";  ","")&amp;IF(AND(EDATE($D34,Milestones!$AA$102)&lt;=AsOfDate,IF($R34=0,$X34,IF(AND($T34&lt;&gt;"",EDATE($D34,Milestones!$AA$102)&gt;=$T34),$W34,IF(AND($S34&lt;&gt;"",EDATE($D34,Milestones!$AA$102)&gt;=$S34),$V34,$U34)))=Milestones!$AB$102),UPPER(TEXT(EDATE($D34,Milestones!$AA$102),"dd mmm yy"))&amp;" "&amp;Milestones!$AB$102&amp;" "&amp;Milestones!$AC$102&amp;";  ","")&amp;IF(AND(EDATE($D34,Milestones!$AA$103)&lt;=AsOfDate,IF($R34=0,$X34,IF(AND($T34&lt;&gt;"",EDATE($D34,Milestones!$AA$103)&gt;=$T34),$W34,IF(AND($S34&lt;&gt;"",EDATE($D34,Milestones!$AA$103)&gt;=$S34),$V34,$U34)))=Milestones!$AB$103),UPPER(TEXT(EDATE($D34,Milestones!$AA$103),"dd mmm yy"))&amp;" "&amp;Milestones!$AB$103&amp;" "&amp;Milestones!$AC$103&amp;";  ","")&amp;IF(AND(EDATE($D34,Milestones!$AA$104)&lt;=AsOfDate,IF($R34=0,$X34,IF(AND($T34&lt;&gt;"",EDATE($D34,Milestones!$AA$104)&gt;=$T34),$W34,IF(AND($S34&lt;&gt;"",EDATE($D34,Milestones!$AA$104)&gt;=$S34),$V34,$U34)))=Milestones!$AB$104),UPPER(TEXT(EDATE($D34,Milestones!$AA$104),"dd mmm yy"))&amp;" "&amp;Milestones!$AB$104&amp;" "&amp;Milestones!$AC$104&amp;";  ","")&amp;IF(AND(EDATE($D34,Milestones!$AA$105)&lt;=AsOfDate,IF($R34=0,$X34,IF(AND($T34&lt;&gt;"",EDATE($D34,Milestones!$AA$105)&gt;=$T34),$W34,IF(AND($S34&lt;&gt;"",EDATE($D34,Milestones!$AA$105)&gt;=$S34),$V34,$U34)))=Milestones!$AB$105),UPPER(TEXT(EDATE($D34,Milestones!$AA$105),"dd mmm yy"))&amp;" "&amp;Milestones!$AB$105&amp;" "&amp;Milestones!$AC$105&amp;";  ","")&amp;IF(AND(EDATE($D34,Milestones!$AA$106)&lt;=AsOfDate,IF($R34=0,$X34,IF(AND($T34&lt;&gt;"",EDATE($D34,Milestones!$AA$106)&gt;=$T34),$W34,IF(AND($S34&lt;&gt;"",EDATE($D34,Milestones!$AA$106)&gt;=$S34),$V34,$U34)))=Milestones!$AB$106),UPPER(TEXT(EDATE($D34,Milestones!$AA$106),"dd mmm yy"))&amp;" "&amp;Milestones!$AB$106&amp;" "&amp;Milestones!$AC$106&amp;";  ","")&amp;IF(AND(EDATE($D34,Milestones!$AA$107)&lt;=AsOfDate,IF($R34=0,$X34,IF(AND($T34&lt;&gt;"",EDATE($D34,Milestones!$AA$107)&gt;=$T34),$W34,IF(AND($S34&lt;&gt;"",EDATE($D34,Milestones!$AA$107)&gt;=$S34),$V34,$U34)))=Milestones!$AB$107),UPPER(TEXT(EDATE($D34,Milestones!$AA$107),"dd mmm yy"))&amp;" "&amp;Milestones!$AB$107&amp;" "&amp;Milestones!$AC$107&amp;";  ","")&amp;IF(AND(EDATE($D34,Milestones!$AA$108)&lt;=AsOfDate,IF($R34=0,$X34,IF(AND($T34&lt;&gt;"",EDATE($D34,Milestones!$AA$108)&gt;=$T34),$W34,IF(AND($S34&lt;&gt;"",EDATE($D34,Milestones!$AA$108)&gt;=$S34),$V34,$U34)))=Milestones!$AB$108),UPPER(TEXT(EDATE($D34,Milestones!$AA$108),"dd mmm yy"))&amp;" "&amp;Milestones!$AB$108&amp;" "&amp;Milestones!$AC$108&amp;";  ","")&amp;IF(AND(EDATE($D34,Milestones!$AA$109)&lt;=AsOfDate,IF($R34=0,$X34,IF(AND($T34&lt;&gt;"",EDATE($D34,Milestones!$AA$109)&gt;=$T34),$W34,IF(AND($S34&lt;&gt;"",EDATE($D34,Milestones!$AA$109)&gt;=$S34),$V34,$U34)))=Milestones!$AB$109),UPPER(TEXT(EDATE($D34,Milestones!$AA$109),"dd mmm yy"))&amp;" "&amp;Milestones!$AB$109&amp;" "&amp;Milestones!$AC$109&amp;";  ","")&amp;IF(AND(EDATE($D34,Milestones!$AA$110)&lt;=AsOfDate,IF($R34=0,$X34,IF(AND($T34&lt;&gt;"",EDATE($D34,Milestones!$AA$110)&gt;=$T34),$W34,IF(AND($S34&lt;&gt;"",EDATE($D34,Milestones!$AA$110)&gt;=$S34),$V34,$U34)))=Milestones!$AB$110),UPPER(TEXT(EDATE($D34,Milestones!$AA$110),"dd mmm yy"))&amp;" "&amp;Milestones!$AB$110&amp;" "&amp;Milestones!$AC$110&amp;";  ","")&amp;IF(AND(EDATE($D34,Milestones!$AA$111)&lt;=AsOfDate,IF($R34=0,$X34,IF(AND($T34&lt;&gt;"",EDATE($D34,Milestones!$AA$111)&gt;=$T34),$W34,IF(AND($S34&lt;&gt;"",EDATE($D34,Milestones!$AA$111)&gt;=$S34),$V34,$U34)))=Milestones!$AB$111),UPPER(TEXT(EDATE($D34,Milestones!$AA$111),"dd mmm yy"))&amp;" "&amp;Milestones!$AB$111&amp;" "&amp;Milestones!$AC$111&amp;";  ","")&amp;IF(AND(EDATE($D34,Milestones!$AA$112)&lt;=AsOfDate,IF($R34=0,$X34,IF(AND($T34&lt;&gt;"",EDATE($D34,Milestones!$AA$112)&gt;=$T34),$W34,IF(AND($S34&lt;&gt;"",EDATE($D34,Milestones!$AA$112)&gt;=$S34),$V34,$U34)))=Milestones!$AB$112),UPPER(TEXT(EDATE($D34,Milestones!$AA$112),"dd mmm yy"))&amp;" "&amp;Milestones!$AB$112&amp;" "&amp;Milestones!$AC$112&amp;";  ","")&amp;IF(AND(EDATE($D34,Milestones!$AA$113)&lt;=AsOfDate,IF($R34=0,$X34,IF(AND($T34&lt;&gt;"",EDATE($D34,Milestones!$AA$113)&gt;=$T34),$W34,IF(AND($S34&lt;&gt;"",EDATE($D34,Milestones!$AA$113)&gt;=$S34),$V34,$U34)))=Milestones!$AB$113),UPPER(TEXT(EDATE($D34,Milestones!$AA$113),"dd mmm yy"))&amp;" "&amp;Milestones!$AB$113&amp;" "&amp;Milestones!$AC$113&amp;";  ","")&amp;IF(AND(EDATE($D34,Milestones!$AA$114)&lt;=AsOfDate,IF($R34=0,$X34,IF(AND($T34&lt;&gt;"",EDATE($D34,Milestones!$AA$114)&gt;=$T34),$W34,IF(AND($S34&lt;&gt;"",EDATE($D34,Milestones!$AA$114)&gt;=$S34),$V34,$U34)))=Milestones!$AB$114),UPPER(TEXT(EDATE($D34,Milestones!$AA$114),"dd mmm yy"))&amp;" "&amp;Milestones!$AB$114&amp;" "&amp;Milestones!$AC$114&amp;";  ","")&amp;IF(AND(EDATE($D34,Milestones!$AA$115)&lt;=AsOfDate,IF($R34=0,$X34,IF(AND($T34&lt;&gt;"",EDATE($D34,Milestones!$AA$115)&gt;=$T34),$W34,IF(AND($S34&lt;&gt;"",EDATE($D34,Milestones!$AA$115)&gt;=$S34),$V34,$U34)))=Milestones!$AB$115),UPPER(TEXT(EDATE($D34,Milestones!$AA$115),"dd mmm yy"))&amp;" "&amp;Milestones!$AB$115&amp;" "&amp;Milestones!$AC$115&amp;";  ","")&amp;IF(AND(EDATE($D34,Milestones!$AA$116)&lt;=AsOfDate,IF($R34=0,$X34,IF(AND($T34&lt;&gt;"",EDATE($D34,Milestones!$AA$116)&gt;=$T34),$W34,IF(AND($S34&lt;&gt;"",EDATE($D34,Milestones!$AA$116)&gt;=$S34),$V34,$U34)))=Milestones!$AB$116),UPPER(TEXT(EDATE($D34,Milestones!$AA$116),"dd mmm yy"))&amp;" "&amp;Milestones!$AB$116&amp;" "&amp;Milestones!$AC$116&amp;";  ","")&amp;IF(AND(EDATE($D34,Milestones!$AA$117)&lt;=AsOfDate,IF($R34=0,$X34,IF(AND($T34&lt;&gt;"",EDATE($D34,Milestones!$AA$117)&gt;=$T34),$W34,IF(AND($S34&lt;&gt;"",EDATE($D34,Milestones!$AA$117)&gt;=$S34),$V34,$U34)))=Milestones!$AB$117),UPPER(TEXT(EDATE($D34,Milestones!$AA$117),"dd mmm yy"))&amp;" "&amp;Milestones!$AB$117&amp;" "&amp;Milestones!$AC$117&amp;";  ","")&amp;IF(AND(EDATE($D34,Milestones!$AA$118)&lt;=AsOfDate,IF($R34=0,$X34,IF(AND($T34&lt;&gt;"",EDATE($D34,Milestones!$AA$118)&gt;=$T34),$W34,IF(AND($S34&lt;&gt;"",EDATE($D34,Milestones!$AA$118)&gt;=$S34),$V34,$U34)))=Milestones!$AB$118),UPPER(TEXT(EDATE($D34,Milestones!$AA$118),"dd mmm yy"))&amp;" "&amp;Milestones!$AB$118&amp;" "&amp;Milestones!$AC$118&amp;";  ","")&amp;IF(AND(EDATE($D34,Milestones!$AA$119)&lt;=AsOfDate,IF($R34=0,$X34,IF(AND($T34&lt;&gt;"",EDATE($D34,Milestones!$AA$119)&gt;=$T34),$W34,IF(AND($S34&lt;&gt;"",EDATE($D34,Milestones!$AA$119)&gt;=$S34),$V34,$U34)))=Milestones!$AB$119),UPPER(TEXT(EDATE($D34,Milestones!$AA$119),"dd mmm yy"))&amp;" "&amp;Milestones!$AB$119&amp;" "&amp;Milestones!$AC$119&amp;";  ",""))</f>
        <v/>
      </c>
      <c r="N34" s="0" t="str">
        <f aca="false">IF(OR($A34="",$D34=""),"",IF(AND(EDATE($D34,Milestones!$AA$120)&lt;=AsOfDate,IF($R34=0,$X34,IF(AND($T34&lt;&gt;"",EDATE($D34,Milestones!$AA$120)&gt;=$T34),$W34,IF(AND($S34&lt;&gt;"",EDATE($D34,Milestones!$AA$120)&gt;=$S34),$V34,$U34)))=Milestones!$AB$120),UPPER(TEXT(EDATE($D34,Milestones!$AA$120),"dd mmm yy"))&amp;" "&amp;Milestones!$AB$120&amp;" "&amp;Milestones!$AC$120&amp;";  ","")&amp;IF(AND(EDATE($D34,Milestones!$AA$121)&lt;=AsOfDate,IF($R34=0,$X34,IF(AND($T34&lt;&gt;"",EDATE($D34,Milestones!$AA$121)&gt;=$T34),$W34,IF(AND($S34&lt;&gt;"",EDATE($D34,Milestones!$AA$121)&gt;=$S34),$V34,$U34)))=Milestones!$AB$121),UPPER(TEXT(EDATE($D34,Milestones!$AA$121),"dd mmm yy"))&amp;" "&amp;Milestones!$AB$121&amp;" "&amp;Milestones!$AC$121&amp;";  ","")&amp;IF(AND(EDATE($D34,Milestones!$AA$122)&lt;=AsOfDate,IF($R34=0,$X34,IF(AND($T34&lt;&gt;"",EDATE($D34,Milestones!$AA$122)&gt;=$T34),$W34,IF(AND($S34&lt;&gt;"",EDATE($D34,Milestones!$AA$122)&gt;=$S34),$V34,$U34)))=Milestones!$AB$122),UPPER(TEXT(EDATE($D34,Milestones!$AA$122),"dd mmm yy"))&amp;" "&amp;Milestones!$AB$122&amp;" "&amp;Milestones!$AC$122&amp;";  ","")&amp;IF(AND(EDATE($D34,Milestones!$AA$123)&lt;=AsOfDate,IF($R34=0,$X34,IF(AND($T34&lt;&gt;"",EDATE($D34,Milestones!$AA$123)&gt;=$T34),$W34,IF(AND($S34&lt;&gt;"",EDATE($D34,Milestones!$AA$123)&gt;=$S34),$V34,$U34)))=Milestones!$AB$123),UPPER(TEXT(EDATE($D34,Milestones!$AA$123),"dd mmm yy"))&amp;" "&amp;Milestones!$AB$123&amp;" "&amp;Milestones!$AC$123&amp;";  ","")&amp;IF(AND(EDATE($D34,Milestones!$AA$124)&lt;=AsOfDate,IF($R34=0,$X34,IF(AND($T34&lt;&gt;"",EDATE($D34,Milestones!$AA$124)&gt;=$T34),$W34,IF(AND($S34&lt;&gt;"",EDATE($D34,Milestones!$AA$124)&gt;=$S34),$V34,$U34)))=Milestones!$AB$124),UPPER(TEXT(EDATE($D34,Milestones!$AA$124),"dd mmm yy"))&amp;" "&amp;Milestones!$AB$124&amp;" "&amp;Milestones!$AC$124&amp;";  ","")&amp;IF(AND(EDATE($D34,Milestones!$AA$125)&lt;=AsOfDate,IF($R34=0,$X34,IF(AND($T34&lt;&gt;"",EDATE($D34,Milestones!$AA$125)&gt;=$T34),$W34,IF(AND($S34&lt;&gt;"",EDATE($D34,Milestones!$AA$125)&gt;=$S34),$V34,$U34)))=Milestones!$AB$125),UPPER(TEXT(EDATE($D34,Milestones!$AA$125),"dd mmm yy"))&amp;" "&amp;Milestones!$AB$125&amp;" "&amp;Milestones!$AC$125&amp;";  ","")&amp;IF(AND(EDATE($D34,Milestones!$AA$126)&lt;=AsOfDate,IF($R34=0,$X34,IF(AND($T34&lt;&gt;"",EDATE($D34,Milestones!$AA$126)&gt;=$T34),$W34,IF(AND($S34&lt;&gt;"",EDATE($D34,Milestones!$AA$126)&gt;=$S34),$V34,$U34)))=Milestones!$AB$126),UPPER(TEXT(EDATE($D34,Milestones!$AA$126),"dd mmm yy"))&amp;" "&amp;Milestones!$AB$126&amp;" "&amp;Milestones!$AC$126&amp;";  ","")&amp;IF(AND(EDATE($D34,Milestones!$AA$127)&lt;=AsOfDate,IF($R34=0,$X34,IF(AND($T34&lt;&gt;"",EDATE($D34,Milestones!$AA$127)&gt;=$T34),$W34,IF(AND($S34&lt;&gt;"",EDATE($D34,Milestones!$AA$127)&gt;=$S34),$V34,$U34)))=Milestones!$AB$127),UPPER(TEXT(EDATE($D34,Milestones!$AA$127),"dd mmm yy"))&amp;" "&amp;Milestones!$AB$127&amp;" "&amp;Milestones!$AC$127&amp;";  ","")&amp;IF(AND(EDATE($D34,Milestones!$AA$128)&lt;=AsOfDate,IF($R34=0,$X34,IF(AND($T34&lt;&gt;"",EDATE($D34,Milestones!$AA$128)&gt;=$T34),$W34,IF(AND($S34&lt;&gt;"",EDATE($D34,Milestones!$AA$128)&gt;=$S34),$V34,$U34)))=Milestones!$AB$128),UPPER(TEXT(EDATE($D34,Milestones!$AA$128),"dd mmm yy"))&amp;" "&amp;Milestones!$AB$128&amp;" "&amp;Milestones!$AC$128&amp;";  ","")&amp;IF(AND(EDATE($D34,Milestones!$AA$129)&lt;=AsOfDate,IF($R34=0,$X34,IF(AND($T34&lt;&gt;"",EDATE($D34,Milestones!$AA$129)&gt;=$T34),$W34,IF(AND($S34&lt;&gt;"",EDATE($D34,Milestones!$AA$129)&gt;=$S34),$V34,$U34)))=Milestones!$AB$129),UPPER(TEXT(EDATE($D34,Milestones!$AA$129),"dd mmm yy"))&amp;" "&amp;Milestones!$AB$129&amp;" "&amp;Milestones!$AC$129&amp;";  ","")&amp;IF(AND(EDATE($D34,Milestones!$AA$130)&lt;=AsOfDate,IF($R34=0,$X34,IF(AND($T34&lt;&gt;"",EDATE($D34,Milestones!$AA$130)&gt;=$T34),$W34,IF(AND($S34&lt;&gt;"",EDATE($D34,Milestones!$AA$130)&gt;=$S34),$V34,$U34)))=Milestones!$AB$130),UPPER(TEXT(EDATE($D34,Milestones!$AA$130),"dd mmm yy"))&amp;" "&amp;Milestones!$AB$130&amp;" "&amp;Milestones!$AC$130&amp;";  ","")&amp;IF(AND(EDATE($D34,Milestones!$AA$131)&lt;=AsOfDate,IF($R34=0,$X34,IF(AND($T34&lt;&gt;"",EDATE($D34,Milestones!$AA$131)&gt;=$T34),$W34,IF(AND($S34&lt;&gt;"",EDATE($D34,Milestones!$AA$131)&gt;=$S34),$V34,$U34)))=Milestones!$AB$131),UPPER(TEXT(EDATE($D34,Milestones!$AA$131),"dd mmm yy"))&amp;" "&amp;Milestones!$AB$131&amp;" "&amp;Milestones!$AC$131&amp;";  ","")&amp;IF(AND(EDATE($D34,Milestones!$AA$132)&lt;=AsOfDate,IF($R34=0,$X34,IF(AND($T34&lt;&gt;"",EDATE($D34,Milestones!$AA$132)&gt;=$T34),$W34,IF(AND($S34&lt;&gt;"",EDATE($D34,Milestones!$AA$132)&gt;=$S34),$V34,$U34)))=Milestones!$AB$132),UPPER(TEXT(EDATE($D34,Milestones!$AA$132),"dd mmm yy"))&amp;" "&amp;Milestones!$AB$132&amp;" "&amp;Milestones!$AC$132&amp;";  ","")&amp;IF(AND(EDATE($D34,Milestones!$AA$133)&lt;=AsOfDate,IF($R34=0,$X34,IF(AND($T34&lt;&gt;"",EDATE($D34,Milestones!$AA$133)&gt;=$T34),$W34,IF(AND($S34&lt;&gt;"",EDATE($D34,Milestones!$AA$133)&gt;=$S34),$V34,$U34)))=Milestones!$AB$133),UPPER(TEXT(EDATE($D34,Milestones!$AA$133),"dd mmm yy"))&amp;" "&amp;Milestones!$AB$133&amp;" "&amp;Milestones!$AC$133&amp;";  ","")&amp;IF(AND(EDATE($D34,Milestones!$AA$134)&lt;=AsOfDate,IF($R34=0,$X34,IF(AND($T34&lt;&gt;"",EDATE($D34,Milestones!$AA$134)&gt;=$T34),$W34,IF(AND($S34&lt;&gt;"",EDATE($D34,Milestones!$AA$134)&gt;=$S34),$V34,$U34)))=Milestones!$AB$134),UPPER(TEXT(EDATE($D34,Milestones!$AA$134),"dd mmm yy"))&amp;" "&amp;Milestones!$AB$134&amp;" "&amp;Milestones!$AC$134&amp;";  ","")&amp;IF(AND(EDATE($D34,Milestones!$AA$135)&lt;=AsOfDate,IF($R34=0,$X34,IF(AND($T34&lt;&gt;"",EDATE($D34,Milestones!$AA$135)&gt;=$T34),$W34,IF(AND($S34&lt;&gt;"",EDATE($D34,Milestones!$AA$135)&gt;=$S34),$V34,$U34)))=Milestones!$AB$135),UPPER(TEXT(EDATE($D34,Milestones!$AA$135),"dd mmm yy"))&amp;" "&amp;Milestones!$AB$135&amp;" "&amp;Milestones!$AC$135&amp;";  ","")&amp;IF(AND(EDATE($D34,Milestones!$AA$136)&lt;=AsOfDate,IF($R34=0,$X34,IF(AND($T34&lt;&gt;"",EDATE($D34,Milestones!$AA$136)&gt;=$T34),$W34,IF(AND($S34&lt;&gt;"",EDATE($D34,Milestones!$AA$136)&gt;=$S34),$V34,$U34)))=Milestones!$AB$136),UPPER(TEXT(EDATE($D34,Milestones!$AA$136),"dd mmm yy"))&amp;" "&amp;Milestones!$AB$136&amp;" "&amp;Milestones!$AC$136&amp;";  ","")&amp;IF(AND(EDATE($D34,Milestones!$AA$137)&lt;=AsOfDate,IF($R34=0,$X34,IF(AND($T34&lt;&gt;"",EDATE($D34,Milestones!$AA$137)&gt;=$T34),$W34,IF(AND($S34&lt;&gt;"",EDATE($D34,Milestones!$AA$137)&gt;=$S34),$V34,$U34)))=Milestones!$AB$137),UPPER(TEXT(EDATE($D34,Milestones!$AA$137),"dd mmm yy"))&amp;" "&amp;Milestones!$AB$137&amp;" "&amp;Milestones!$AC$137&amp;";  ","")&amp;IF(AND(EDATE($D34,Milestones!$AA$138)&lt;=AsOfDate,IF($R34=0,$X34,IF(AND($T34&lt;&gt;"",EDATE($D34,Milestones!$AA$138)&gt;=$T34),$W34,IF(AND($S34&lt;&gt;"",EDATE($D34,Milestones!$AA$138)&gt;=$S34),$V34,$U34)))=Milestones!$AB$138),UPPER(TEXT(EDATE($D34,Milestones!$AA$138),"dd mmm yy"))&amp;" "&amp;Milestones!$AB$138&amp;" "&amp;Milestones!$AC$138&amp;";  ","")&amp;IF(AND(EDATE($D34,Milestones!$AA$139)&lt;=AsOfDate,IF($R34=0,$X34,IF(AND($T34&lt;&gt;"",EDATE($D34,Milestones!$AA$139)&gt;=$T34),$W34,IF(AND($S34&lt;&gt;"",EDATE($D34,Milestones!$AA$139)&gt;=$S34),$V34,$U34)))=Milestones!$AB$139),UPPER(TEXT(EDATE($D34,Milestones!$AA$139),"dd mmm yy"))&amp;" "&amp;Milestones!$AB$139&amp;" "&amp;Milestones!$AC$139&amp;";  ",""))</f>
        <v/>
      </c>
      <c r="O34" s="0" t="str">
        <f aca="false">IF(OR($A34="",$D34=""),"",IF(AND(EDATE($D34,Milestones!$AA$140)&lt;=AsOfDate,IF($R34=0,$X34,IF(AND($T34&lt;&gt;"",EDATE($D34,Milestones!$AA$140)&gt;=$T34),$W34,IF(AND($S34&lt;&gt;"",EDATE($D34,Milestones!$AA$140)&gt;=$S34),$V34,$U34)))=Milestones!$AB$140),UPPER(TEXT(EDATE($D34,Milestones!$AA$140),"dd mmm yy"))&amp;" "&amp;Milestones!$AB$140&amp;" "&amp;Milestones!$AC$140&amp;";  ","")&amp;IF(AND(EDATE($D34,Milestones!$AA$141)&lt;=AsOfDate,IF($R34=0,$X34,IF(AND($T34&lt;&gt;"",EDATE($D34,Milestones!$AA$141)&gt;=$T34),$W34,IF(AND($S34&lt;&gt;"",EDATE($D34,Milestones!$AA$141)&gt;=$S34),$V34,$U34)))=Milestones!$AB$141),UPPER(TEXT(EDATE($D34,Milestones!$AA$141),"dd mmm yy"))&amp;" "&amp;Milestones!$AB$141&amp;" "&amp;Milestones!$AC$141&amp;";  ","")&amp;IF(AND(EDATE($D34,Milestones!$AA$142)&lt;=AsOfDate,IF($R34=0,$X34,IF(AND($T34&lt;&gt;"",EDATE($D34,Milestones!$AA$142)&gt;=$T34),$W34,IF(AND($S34&lt;&gt;"",EDATE($D34,Milestones!$AA$142)&gt;=$S34),$V34,$U34)))=Milestones!$AB$142),UPPER(TEXT(EDATE($D34,Milestones!$AA$142),"dd mmm yy"))&amp;" "&amp;Milestones!$AB$142&amp;" "&amp;Milestones!$AC$142&amp;";  ","")&amp;IF(AND(EDATE($D34,Milestones!$AA$143)&lt;=AsOfDate,IF($R34=0,$X34,IF(AND($T34&lt;&gt;"",EDATE($D34,Milestones!$AA$143)&gt;=$T34),$W34,IF(AND($S34&lt;&gt;"",EDATE($D34,Milestones!$AA$143)&gt;=$S34),$V34,$U34)))=Milestones!$AB$143),UPPER(TEXT(EDATE($D34,Milestones!$AA$143),"dd mmm yy"))&amp;" "&amp;Milestones!$AB$143&amp;" "&amp;Milestones!$AC$143&amp;";  ","")&amp;IF(AND(EDATE($D34,Milestones!$AA$144)&lt;=AsOfDate,IF($R34=0,$X34,IF(AND($T34&lt;&gt;"",EDATE($D34,Milestones!$AA$144)&gt;=$T34),$W34,IF(AND($S34&lt;&gt;"",EDATE($D34,Milestones!$AA$144)&gt;=$S34),$V34,$U34)))=Milestones!$AB$144),UPPER(TEXT(EDATE($D34,Milestones!$AA$144),"dd mmm yy"))&amp;" "&amp;Milestones!$AB$144&amp;" "&amp;Milestones!$AC$144&amp;";  ","")&amp;IF(AND(EDATE($D34,Milestones!$AA$145)&lt;=AsOfDate,IF($R34=0,$X34,IF(AND($T34&lt;&gt;"",EDATE($D34,Milestones!$AA$145)&gt;=$T34),$W34,IF(AND($S34&lt;&gt;"",EDATE($D34,Milestones!$AA$145)&gt;=$S34),$V34,$U34)))=Milestones!$AB$145),UPPER(TEXT(EDATE($D34,Milestones!$AA$145),"dd mmm yy"))&amp;" "&amp;Milestones!$AB$145&amp;" "&amp;Milestones!$AC$145&amp;";  ","")&amp;IF(AND(EDATE($D34,Milestones!$AA$146)&lt;=AsOfDate,IF($R34=0,$X34,IF(AND($T34&lt;&gt;"",EDATE($D34,Milestones!$AA$146)&gt;=$T34),$W34,IF(AND($S34&lt;&gt;"",EDATE($D34,Milestones!$AA$146)&gt;=$S34),$V34,$U34)))=Milestones!$AB$146),UPPER(TEXT(EDATE($D34,Milestones!$AA$146),"dd mmm yy"))&amp;" "&amp;Milestones!$AB$146&amp;" "&amp;Milestones!$AC$146&amp;";  ","")&amp;IF(AND(EDATE($D34,Milestones!$AA$147)&lt;=AsOfDate,IF($R34=0,$X34,IF(AND($T34&lt;&gt;"",EDATE($D34,Milestones!$AA$147)&gt;=$T34),$W34,IF(AND($S34&lt;&gt;"",EDATE($D34,Milestones!$AA$147)&gt;=$S34),$V34,$U34)))=Milestones!$AB$147),UPPER(TEXT(EDATE($D34,Milestones!$AA$147),"dd mmm yy"))&amp;" "&amp;Milestones!$AB$147&amp;" "&amp;Milestones!$AC$147&amp;";  ","")&amp;IF(AND(EDATE($D34,Milestones!$AA$148)&lt;=AsOfDate,IF($R34=0,$X34,IF(AND($T34&lt;&gt;"",EDATE($D34,Milestones!$AA$148)&gt;=$T34),$W34,IF(AND($S34&lt;&gt;"",EDATE($D34,Milestones!$AA$148)&gt;=$S34),$V34,$U34)))=Milestones!$AB$148),UPPER(TEXT(EDATE($D34,Milestones!$AA$148),"dd mmm yy"))&amp;" "&amp;Milestones!$AB$148&amp;" "&amp;Milestones!$AC$148&amp;";  ","")&amp;IF(AND(EDATE($D34,Milestones!$AA$149)&lt;=AsOfDate,IF($R34=0,$X34,IF(AND($T34&lt;&gt;"",EDATE($D34,Milestones!$AA$149)&gt;=$T34),$W34,IF(AND($S34&lt;&gt;"",EDATE($D34,Milestones!$AA$149)&gt;=$S34),$V34,$U34)))=Milestones!$AB$149),UPPER(TEXT(EDATE($D34,Milestones!$AA$149),"dd mmm yy"))&amp;" "&amp;Milestones!$AB$149&amp;" "&amp;Milestones!$AC$149&amp;";  ","")&amp;IF(AND(EDATE($D34,Milestones!$AA$150)&lt;=AsOfDate,IF($R34=0,$X34,IF(AND($T34&lt;&gt;"",EDATE($D34,Milestones!$AA$150)&gt;=$T34),$W34,IF(AND($S34&lt;&gt;"",EDATE($D34,Milestones!$AA$150)&gt;=$S34),$V34,$U34)))=Milestones!$AB$150),UPPER(TEXT(EDATE($D34,Milestones!$AA$150),"dd mmm yy"))&amp;" "&amp;Milestones!$AB$150&amp;" "&amp;Milestones!$AC$150&amp;";  ","")&amp;IF(AND(EDATE($D34,Milestones!$AA$151)&lt;=AsOfDate,IF($R34=0,$X34,IF(AND($T34&lt;&gt;"",EDATE($D34,Milestones!$AA$151)&gt;=$T34),$W34,IF(AND($S34&lt;&gt;"",EDATE($D34,Milestones!$AA$151)&gt;=$S34),$V34,$U34)))=Milestones!$AB$151),UPPER(TEXT(EDATE($D34,Milestones!$AA$151),"dd mmm yy"))&amp;" "&amp;Milestones!$AB$151&amp;" "&amp;Milestones!$AC$151&amp;";  ","")&amp;IF(AND(EDATE($D34,Milestones!$AA$152)&lt;=AsOfDate,IF($R34=0,$X34,IF(AND($T34&lt;&gt;"",EDATE($D34,Milestones!$AA$152)&gt;=$T34),$W34,IF(AND($S34&lt;&gt;"",EDATE($D34,Milestones!$AA$152)&gt;=$S34),$V34,$U34)))=Milestones!$AB$152),UPPER(TEXT(EDATE($D34,Milestones!$AA$152),"dd mmm yy"))&amp;" "&amp;Milestones!$AB$152&amp;" "&amp;Milestones!$AC$152&amp;";  ","")&amp;IF(AND(EDATE($D34,Milestones!$AA$153)&lt;=AsOfDate,IF($R34=0,$X34,IF(AND($T34&lt;&gt;"",EDATE($D34,Milestones!$AA$153)&gt;=$T34),$W34,IF(AND($S34&lt;&gt;"",EDATE($D34,Milestones!$AA$153)&gt;=$S34),$V34,$U34)))=Milestones!$AB$153),UPPER(TEXT(EDATE($D34,Milestones!$AA$153),"dd mmm yy"))&amp;" "&amp;Milestones!$AB$153&amp;" "&amp;Milestones!$AC$153&amp;";  ","")&amp;IF(AND(EDATE($D34,Milestones!$AA$154)&lt;=AsOfDate,IF($R34=0,$X34,IF(AND($T34&lt;&gt;"",EDATE($D34,Milestones!$AA$154)&gt;=$T34),$W34,IF(AND($S34&lt;&gt;"",EDATE($D34,Milestones!$AA$154)&gt;=$S34),$V34,$U34)))=Milestones!$AB$154),UPPER(TEXT(EDATE($D34,Milestones!$AA$154),"dd mmm yy"))&amp;" "&amp;Milestones!$AB$154&amp;" "&amp;Milestones!$AC$154&amp;";  ","")&amp;IF(AND(EDATE($D34,Milestones!$AA$155)&lt;=AsOfDate,IF($R34=0,$X34,IF(AND($T34&lt;&gt;"",EDATE($D34,Milestones!$AA$155)&gt;=$T34),$W34,IF(AND($S34&lt;&gt;"",EDATE($D34,Milestones!$AA$155)&gt;=$S34),$V34,$U34)))=Milestones!$AB$155),UPPER(TEXT(EDATE($D34,Milestones!$AA$155),"dd mmm yy"))&amp;" "&amp;Milestones!$AB$155&amp;" "&amp;Milestones!$AC$155&amp;";  ","")&amp;IF(AND(EDATE($D34,Milestones!$AA$156)&lt;=AsOfDate,IF($R34=0,$X34,IF(AND($T34&lt;&gt;"",EDATE($D34,Milestones!$AA$156)&gt;=$T34),$W34,IF(AND($S34&lt;&gt;"",EDATE($D34,Milestones!$AA$156)&gt;=$S34),$V34,$U34)))=Milestones!$AB$156),UPPER(TEXT(EDATE($D34,Milestones!$AA$156),"dd mmm yy"))&amp;" "&amp;Milestones!$AB$156&amp;" "&amp;Milestones!$AC$156&amp;";  ","")&amp;IF(AND(EDATE($D34,Milestones!$AA$157)&lt;=AsOfDate,IF($R34=0,$X34,IF(AND($T34&lt;&gt;"",EDATE($D34,Milestones!$AA$157)&gt;=$T34),$W34,IF(AND($S34&lt;&gt;"",EDATE($D34,Milestones!$AA$157)&gt;=$S34),$V34,$U34)))=Milestones!$AB$157),UPPER(TEXT(EDATE($D34,Milestones!$AA$157),"dd mmm yy"))&amp;" "&amp;Milestones!$AB$157&amp;" "&amp;Milestones!$AC$157&amp;";  ","")&amp;IF(AND(EDATE($D34,Milestones!$AA$158)&lt;=AsOfDate,IF($R34=0,$X34,IF(AND($T34&lt;&gt;"",EDATE($D34,Milestones!$AA$158)&gt;=$T34),$W34,IF(AND($S34&lt;&gt;"",EDATE($D34,Milestones!$AA$158)&gt;=$S34),$V34,$U34)))=Milestones!$AB$158),UPPER(TEXT(EDATE($D34,Milestones!$AA$158),"dd mmm yy"))&amp;" "&amp;Milestones!$AB$158&amp;" "&amp;Milestones!$AC$158&amp;";  ","")&amp;IF(AND(EDATE($D34,Milestones!$AA$159)&lt;=AsOfDate,IF($R34=0,$X34,IF(AND($T34&lt;&gt;"",EDATE($D34,Milestones!$AA$159)&gt;=$T34),$W34,IF(AND($S34&lt;&gt;"",EDATE($D34,Milestones!$AA$159)&gt;=$S34),$V34,$U34)))=Milestones!$AB$159),UPPER(TEXT(EDATE($D34,Milestones!$AA$159),"dd mmm yy"))&amp;" "&amp;Milestones!$AB$159&amp;" "&amp;Milestones!$AC$159&amp;";  ",""))</f>
        <v/>
      </c>
      <c r="P34" s="0" t="str">
        <f aca="false">IF(OR($A34="",$D34=""),"",IF(AND(EDATE($D34,Milestones!$AA$160)&lt;=AsOfDate,IF($R34=0,$X34,IF(AND($T34&lt;&gt;"",EDATE($D34,Milestones!$AA$160)&gt;=$T34),$W34,IF(AND($S34&lt;&gt;"",EDATE($D34,Milestones!$AA$160)&gt;=$S34),$V34,$U34)))=Milestones!$AB$160),UPPER(TEXT(EDATE($D34,Milestones!$AA$160),"dd mmm yy"))&amp;" "&amp;Milestones!$AB$160&amp;" "&amp;Milestones!$AC$160&amp;";  ","")&amp;IF(AND(EDATE($D34,Milestones!$AA$161)&lt;=AsOfDate,IF($R34=0,$X34,IF(AND($T34&lt;&gt;"",EDATE($D34,Milestones!$AA$161)&gt;=$T34),$W34,IF(AND($S34&lt;&gt;"",EDATE($D34,Milestones!$AA$161)&gt;=$S34),$V34,$U34)))=Milestones!$AB$161),UPPER(TEXT(EDATE($D34,Milestones!$AA$161),"dd mmm yy"))&amp;" "&amp;Milestones!$AB$161&amp;" "&amp;Milestones!$AC$161&amp;";  ","")&amp;IF(AND(EDATE($D34,Milestones!$AA$162)&lt;=AsOfDate,IF($R34=0,$X34,IF(AND($T34&lt;&gt;"",EDATE($D34,Milestones!$AA$162)&gt;=$T34),$W34,IF(AND($S34&lt;&gt;"",EDATE($D34,Milestones!$AA$162)&gt;=$S34),$V34,$U34)))=Milestones!$AB$162),UPPER(TEXT(EDATE($D34,Milestones!$AA$162),"dd mmm yy"))&amp;" "&amp;Milestones!$AB$162&amp;" "&amp;Milestones!$AC$162&amp;";  ","")&amp;IF(AND(EDATE($D34,Milestones!$AA$163)&lt;=AsOfDate,IF($R34=0,$X34,IF(AND($T34&lt;&gt;"",EDATE($D34,Milestones!$AA$163)&gt;=$T34),$W34,IF(AND($S34&lt;&gt;"",EDATE($D34,Milestones!$AA$163)&gt;=$S34),$V34,$U34)))=Milestones!$AB$163),UPPER(TEXT(EDATE($D34,Milestones!$AA$163),"dd mmm yy"))&amp;" "&amp;Milestones!$AB$163&amp;" "&amp;Milestones!$AC$163&amp;";  ","")&amp;IF(AND(EDATE($D34,Milestones!$AA$164)&lt;=AsOfDate,IF($R34=0,$X34,IF(AND($T34&lt;&gt;"",EDATE($D34,Milestones!$AA$164)&gt;=$T34),$W34,IF(AND($S34&lt;&gt;"",EDATE($D34,Milestones!$AA$164)&gt;=$S34),$V34,$U34)))=Milestones!$AB$164),UPPER(TEXT(EDATE($D34,Milestones!$AA$164),"dd mmm yy"))&amp;" "&amp;Milestones!$AB$164&amp;" "&amp;Milestones!$AC$164&amp;";  ","")&amp;IF(AND(EDATE($D34,Milestones!$AA$165)&lt;=AsOfDate,IF($R34=0,$X34,IF(AND($T34&lt;&gt;"",EDATE($D34,Milestones!$AA$165)&gt;=$T34),$W34,IF(AND($S34&lt;&gt;"",EDATE($D34,Milestones!$AA$165)&gt;=$S34),$V34,$U34)))=Milestones!$AB$165),UPPER(TEXT(EDATE($D34,Milestones!$AA$165),"dd mmm yy"))&amp;" "&amp;Milestones!$AB$165&amp;" "&amp;Milestones!$AC$165&amp;";  ","")&amp;IF(AND(EDATE($D34,Milestones!$AA$166)&lt;=AsOfDate,IF($R34=0,$X34,IF(AND($T34&lt;&gt;"",EDATE($D34,Milestones!$AA$166)&gt;=$T34),$W34,IF(AND($S34&lt;&gt;"",EDATE($D34,Milestones!$AA$166)&gt;=$S34),$V34,$U34)))=Milestones!$AB$166),UPPER(TEXT(EDATE($D34,Milestones!$AA$166),"dd mmm yy"))&amp;" "&amp;Milestones!$AB$166&amp;" "&amp;Milestones!$AC$166&amp;";  ","")&amp;IF(AND(EDATE($D34,Milestones!$AA$167)&lt;=AsOfDate,IF($R34=0,$X34,IF(AND($T34&lt;&gt;"",EDATE($D34,Milestones!$AA$167)&gt;=$T34),$W34,IF(AND($S34&lt;&gt;"",EDATE($D34,Milestones!$AA$167)&gt;=$S34),$V34,$U34)))=Milestones!$AB$167),UPPER(TEXT(EDATE($D34,Milestones!$AA$167),"dd mmm yy"))&amp;" "&amp;Milestones!$AB$167&amp;" "&amp;Milestones!$AC$167&amp;";  ","")&amp;IF(AND(EDATE($D34,Milestones!$AA$168)&lt;=AsOfDate,IF($R34=0,$X34,IF(AND($T34&lt;&gt;"",EDATE($D34,Milestones!$AA$168)&gt;=$T34),$W34,IF(AND($S34&lt;&gt;"",EDATE($D34,Milestones!$AA$168)&gt;=$S34),$V34,$U34)))=Milestones!$AB$168),UPPER(TEXT(EDATE($D34,Milestones!$AA$168),"dd mmm yy"))&amp;" "&amp;Milestones!$AB$168&amp;" "&amp;Milestones!$AC$168&amp;";  ","")&amp;IF(AND(EDATE($D34,Milestones!$AA$169)&lt;=AsOfDate,IF($R34=0,$X34,IF(AND($T34&lt;&gt;"",EDATE($D34,Milestones!$AA$169)&gt;=$T34),$W34,IF(AND($S34&lt;&gt;"",EDATE($D34,Milestones!$AA$169)&gt;=$S34),$V34,$U34)))=Milestones!$AB$169),UPPER(TEXT(EDATE($D34,Milestones!$AA$169),"dd mmm yy"))&amp;" "&amp;Milestones!$AB$169&amp;" "&amp;Milestones!$AC$169&amp;";  ","")&amp;IF(AND(EDATE($D34,Milestones!$AA$170)&lt;=AsOfDate,IF($R34=0,$X34,IF(AND($T34&lt;&gt;"",EDATE($D34,Milestones!$AA$170)&gt;=$T34),$W34,IF(AND($S34&lt;&gt;"",EDATE($D34,Milestones!$AA$170)&gt;=$S34),$V34,$U34)))=Milestones!$AB$170),UPPER(TEXT(EDATE($D34,Milestones!$AA$170),"dd mmm yy"))&amp;" "&amp;Milestones!$AB$170&amp;" "&amp;Milestones!$AC$170&amp;";  ","")&amp;IF(AND(EDATE($D34,Milestones!$AA$171)&lt;=AsOfDate,IF($R34=0,$X34,IF(AND($T34&lt;&gt;"",EDATE($D34,Milestones!$AA$171)&gt;=$T34),$W34,IF(AND($S34&lt;&gt;"",EDATE($D34,Milestones!$AA$171)&gt;=$S34),$V34,$U34)))=Milestones!$AB$171),UPPER(TEXT(EDATE($D34,Milestones!$AA$171),"dd mmm yy"))&amp;" "&amp;Milestones!$AB$171&amp;" "&amp;Milestones!$AC$171&amp;";  ","")&amp;IF(AND(EDATE($D34,Milestones!$AA$172)&lt;=AsOfDate,IF($R34=0,$X34,IF(AND($T34&lt;&gt;"",EDATE($D34,Milestones!$AA$172)&gt;=$T34),$W34,IF(AND($S34&lt;&gt;"",EDATE($D34,Milestones!$AA$172)&gt;=$S34),$V34,$U34)))=Milestones!$AB$172),UPPER(TEXT(EDATE($D34,Milestones!$AA$172),"dd mmm yy"))&amp;" "&amp;Milestones!$AB$172&amp;" "&amp;Milestones!$AC$172&amp;";  ","")&amp;IF(AND(EDATE($D34,Milestones!$AA$173)&lt;=AsOfDate,IF($R34=0,$X34,IF(AND($T34&lt;&gt;"",EDATE($D34,Milestones!$AA$173)&gt;=$T34),$W34,IF(AND($S34&lt;&gt;"",EDATE($D34,Milestones!$AA$173)&gt;=$S34),$V34,$U34)))=Milestones!$AB$173),UPPER(TEXT(EDATE($D34,Milestones!$AA$173),"dd mmm yy"))&amp;" "&amp;Milestones!$AB$173&amp;" "&amp;Milestones!$AC$173&amp;";  ","")&amp;IF(AND(EDATE($D34,Milestones!$AA$174)&lt;=AsOfDate,IF($R34=0,$X34,IF(AND($T34&lt;&gt;"",EDATE($D34,Milestones!$AA$174)&gt;=$T34),$W34,IF(AND($S34&lt;&gt;"",EDATE($D34,Milestones!$AA$174)&gt;=$S34),$V34,$U34)))=Milestones!$AB$174),UPPER(TEXT(EDATE($D34,Milestones!$AA$174),"dd mmm yy"))&amp;" "&amp;Milestones!$AB$174&amp;" "&amp;Milestones!$AC$174&amp;";  ","")&amp;IF(AND(EDATE($D34,Milestones!$AA$175)&lt;=AsOfDate,IF($R34=0,$X34,IF(AND($T34&lt;&gt;"",EDATE($D34,Milestones!$AA$175)&gt;=$T34),$W34,IF(AND($S34&lt;&gt;"",EDATE($D34,Milestones!$AA$175)&gt;=$S34),$V34,$U34)))=Milestones!$AB$175),UPPER(TEXT(EDATE($D34,Milestones!$AA$175),"dd mmm yy"))&amp;" "&amp;Milestones!$AB$175&amp;" "&amp;Milestones!$AC$175&amp;";  ","")&amp;IF(AND(EDATE($D34,Milestones!$AA$176)&lt;=AsOfDate,IF($R34=0,$X34,IF(AND($T34&lt;&gt;"",EDATE($D34,Milestones!$AA$176)&gt;=$T34),$W34,IF(AND($S34&lt;&gt;"",EDATE($D34,Milestones!$AA$176)&gt;=$S34),$V34,$U34)))=Milestones!$AB$176),UPPER(TEXT(EDATE($D34,Milestones!$AA$176),"dd mmm yy"))&amp;" "&amp;Milestones!$AB$176&amp;" "&amp;Milestones!$AC$176&amp;";  ","")&amp;IF(AND(EDATE($D34,Milestones!$AA$177)&lt;=AsOfDate,IF($R34=0,$X34,IF(AND($T34&lt;&gt;"",EDATE($D34,Milestones!$AA$177)&gt;=$T34),$W34,IF(AND($S34&lt;&gt;"",EDATE($D34,Milestones!$AA$177)&gt;=$S34),$V34,$U34)))=Milestones!$AB$177),UPPER(TEXT(EDATE($D34,Milestones!$AA$177),"dd mmm yy"))&amp;" "&amp;Milestones!$AB$177&amp;" "&amp;Milestones!$AC$177&amp;";  ","")&amp;IF(AND(EDATE($D34,Milestones!$AA$178)&lt;=AsOfDate,IF($R34=0,$X34,IF(AND($T34&lt;&gt;"",EDATE($D34,Milestones!$AA$178)&gt;=$T34),$W34,IF(AND($S34&lt;&gt;"",EDATE($D34,Milestones!$AA$178)&gt;=$S34),$V34,$U34)))=Milestones!$AB$178),UPPER(TEXT(EDATE($D34,Milestones!$AA$178),"dd mmm yy"))&amp;" "&amp;Milestones!$AB$178&amp;" "&amp;Milestones!$AC$178&amp;";  ","")&amp;IF(AND(EDATE($D34,Milestones!$AA$179)&lt;=AsOfDate,IF($R34=0,$X34,IF(AND($T34&lt;&gt;"",EDATE($D34,Milestones!$AA$179)&gt;=$T34),$W34,IF(AND($S34&lt;&gt;"",EDATE($D34,Milestones!$AA$179)&gt;=$S34),$V34,$U34)))=Milestones!$AB$179),UPPER(TEXT(EDATE($D34,Milestones!$AA$179),"dd mmm yy"))&amp;" "&amp;Milestones!$AB$179&amp;" "&amp;Milestones!$AC$179&amp;";  ",""))</f>
        <v/>
      </c>
      <c r="Q34" s="0" t="str">
        <f aca="false">IF(OR($A34="",$D34=""),"",IF(AND(EDATE($D34,Milestones!$AA$180)&lt;=AsOfDate,IF($R34=0,$X34,IF(AND($T34&lt;&gt;"",EDATE($D34,Milestones!$AA$180)&gt;=$T34),$W34,IF(AND($S34&lt;&gt;"",EDATE($D34,Milestones!$AA$180)&gt;=$S34),$V34,$U34)))=Milestones!$AB$180),UPPER(TEXT(EDATE($D34,Milestones!$AA$180),"dd mmm yy"))&amp;" "&amp;Milestones!$AB$180&amp;" "&amp;Milestones!$AC$180&amp;";  ","")&amp;IF(AND(EDATE($D34,Milestones!$AA$181)&lt;=AsOfDate,IF($R34=0,$X34,IF(AND($T34&lt;&gt;"",EDATE($D34,Milestones!$AA$181)&gt;=$T34),$W34,IF(AND($S34&lt;&gt;"",EDATE($D34,Milestones!$AA$181)&gt;=$S34),$V34,$U34)))=Milestones!$AB$181),UPPER(TEXT(EDATE($D34,Milestones!$AA$181),"dd mmm yy"))&amp;" "&amp;Milestones!$AB$181&amp;" "&amp;Milestones!$AC$181&amp;";  ","")&amp;IF(AND(EDATE($D34,Milestones!$AA$182)&lt;=AsOfDate,IF($R34=0,$X34,IF(AND($T34&lt;&gt;"",EDATE($D34,Milestones!$AA$182)&gt;=$T34),$W34,IF(AND($S34&lt;&gt;"",EDATE($D34,Milestones!$AA$182)&gt;=$S34),$V34,$U34)))=Milestones!$AB$182),UPPER(TEXT(EDATE($D34,Milestones!$AA$182),"dd mmm yy"))&amp;" "&amp;Milestones!$AB$182&amp;" "&amp;Milestones!$AC$182&amp;";  ","")&amp;IF(AND(EDATE($D34,Milestones!$AA$183)&lt;=AsOfDate,IF($R34=0,$X34,IF(AND($T34&lt;&gt;"",EDATE($D34,Milestones!$AA$183)&gt;=$T34),$W34,IF(AND($S34&lt;&gt;"",EDATE($D34,Milestones!$AA$183)&gt;=$S34),$V34,$U34)))=Milestones!$AB$183),UPPER(TEXT(EDATE($D34,Milestones!$AA$183),"dd mmm yy"))&amp;" "&amp;Milestones!$AB$183&amp;" "&amp;Milestones!$AC$183&amp;";  ","")&amp;IF(AND(EDATE($D34,Milestones!$AA$184)&lt;=AsOfDate,IF($R34=0,$X34,IF(AND($T34&lt;&gt;"",EDATE($D34,Milestones!$AA$184)&gt;=$T34),$W34,IF(AND($S34&lt;&gt;"",EDATE($D34,Milestones!$AA$184)&gt;=$S34),$V34,$U34)))=Milestones!$AB$184),UPPER(TEXT(EDATE($D34,Milestones!$AA$184),"dd mmm yy"))&amp;" "&amp;Milestones!$AB$184&amp;" "&amp;Milestones!$AC$184&amp;";  ","")&amp;IF(AND(EDATE($D34,Milestones!$AA$185)&lt;=AsOfDate,IF($R34=0,$X34,IF(AND($T34&lt;&gt;"",EDATE($D34,Milestones!$AA$185)&gt;=$T34),$W34,IF(AND($S34&lt;&gt;"",EDATE($D34,Milestones!$AA$185)&gt;=$S34),$V34,$U34)))=Milestones!$AB$185),UPPER(TEXT(EDATE($D34,Milestones!$AA$185),"dd mmm yy"))&amp;" "&amp;Milestones!$AB$185&amp;" "&amp;Milestones!$AC$185&amp;";  ","")&amp;IF(AND(EDATE($D34,Milestones!$AA$186)&lt;=AsOfDate,IF($R34=0,$X34,IF(AND($T34&lt;&gt;"",EDATE($D34,Milestones!$AA$186)&gt;=$T34),$W34,IF(AND($S34&lt;&gt;"",EDATE($D34,Milestones!$AA$186)&gt;=$S34),$V34,$U34)))=Milestones!$AB$186),UPPER(TEXT(EDATE($D34,Milestones!$AA$186),"dd mmm yy"))&amp;" "&amp;Milestones!$AB$186&amp;" "&amp;Milestones!$AC$186&amp;";  ","")&amp;IF(AND(EDATE($D34,Milestones!$AA$187)&lt;=AsOfDate,IF($R34=0,$X34,IF(AND($T34&lt;&gt;"",EDATE($D34,Milestones!$AA$187)&gt;=$T34),$W34,IF(AND($S34&lt;&gt;"",EDATE($D34,Milestones!$AA$187)&gt;=$S34),$V34,$U34)))=Milestones!$AB$187),UPPER(TEXT(EDATE($D34,Milestones!$AA$187),"dd mmm yy"))&amp;" "&amp;Milestones!$AB$187&amp;" "&amp;Milestones!$AC$187&amp;";  ","")&amp;IF(AND(EDATE($D34,Milestones!$AA$188)&lt;=AsOfDate,IF($R34=0,$X34,IF(AND($T34&lt;&gt;"",EDATE($D34,Milestones!$AA$188)&gt;=$T34),$W34,IF(AND($S34&lt;&gt;"",EDATE($D34,Milestones!$AA$188)&gt;=$S34),$V34,$U34)))=Milestones!$AB$188),UPPER(TEXT(EDATE($D34,Milestones!$AA$188),"dd mmm yy"))&amp;" "&amp;Milestones!$AB$188&amp;" "&amp;Milestones!$AC$188&amp;";  ","")&amp;IF(AND(EDATE($D34,Milestones!$AA$189)&lt;=AsOfDate,IF($R34=0,$X34,IF(AND($T34&lt;&gt;"",EDATE($D34,Milestones!$AA$189)&gt;=$T34),$W34,IF(AND($S34&lt;&gt;"",EDATE($D34,Milestones!$AA$189)&gt;=$S34),$V34,$U34)))=Milestones!$AB$189),UPPER(TEXT(EDATE($D34,Milestones!$AA$189),"dd mmm yy"))&amp;" "&amp;Milestones!$AB$189&amp;" "&amp;Milestones!$AC$189&amp;";  ","")&amp;IF(AND(EDATE($D34,Milestones!$AA$190)&lt;=AsOfDate,IF($R34=0,$X34,IF(AND($T34&lt;&gt;"",EDATE($D34,Milestones!$AA$190)&gt;=$T34),$W34,IF(AND($S34&lt;&gt;"",EDATE($D34,Milestones!$AA$190)&gt;=$S34),$V34,$U34)))=Milestones!$AB$190),UPPER(TEXT(EDATE($D34,Milestones!$AA$190),"dd mmm yy"))&amp;" "&amp;Milestones!$AB$190&amp;" "&amp;Milestones!$AC$190&amp;";  ","")&amp;IF(AND(EDATE($D34,Milestones!$AA$191)&lt;=AsOfDate,IF($R34=0,$X34,IF(AND($T34&lt;&gt;"",EDATE($D34,Milestones!$AA$191)&gt;=$T34),$W34,IF(AND($S34&lt;&gt;"",EDATE($D34,Milestones!$AA$191)&gt;=$S34),$V34,$U34)))=Milestones!$AB$191),UPPER(TEXT(EDATE($D34,Milestones!$AA$191),"dd mmm yy"))&amp;" "&amp;Milestones!$AB$191&amp;" "&amp;Milestones!$AC$191&amp;";  ","")&amp;IF(AND(EDATE($D34,Milestones!$AA$192)&lt;=AsOfDate,IF($R34=0,$X34,IF(AND($T34&lt;&gt;"",EDATE($D34,Milestones!$AA$192)&gt;=$T34),$W34,IF(AND($S34&lt;&gt;"",EDATE($D34,Milestones!$AA$192)&gt;=$S34),$V34,$U34)))=Milestones!$AB$192),UPPER(TEXT(EDATE($D34,Milestones!$AA$192),"dd mmm yy"))&amp;" "&amp;Milestones!$AB$192&amp;" "&amp;Milestones!$AC$192&amp;";  ","")&amp;IF(AND(EDATE($D34,Milestones!$AA$193)&lt;=AsOfDate,IF($R34=0,$X34,IF(AND($T34&lt;&gt;"",EDATE($D34,Milestones!$AA$193)&gt;=$T34),$W34,IF(AND($S34&lt;&gt;"",EDATE($D34,Milestones!$AA$193)&gt;=$S34),$V34,$U34)))=Milestones!$AB$193),UPPER(TEXT(EDATE($D34,Milestones!$AA$193),"dd mmm yy"))&amp;" "&amp;Milestones!$AB$193&amp;" "&amp;Milestones!$AC$193&amp;";  ","")&amp;IF(AND(EDATE($D34,Milestones!$AA$194)&lt;=AsOfDate,IF($R34=0,$X34,IF(AND($T34&lt;&gt;"",EDATE($D34,Milestones!$AA$194)&gt;=$T34),$W34,IF(AND($S34&lt;&gt;"",EDATE($D34,Milestones!$AA$194)&gt;=$S34),$V34,$U34)))=Milestones!$AB$194),UPPER(TEXT(EDATE($D34,Milestones!$AA$194),"dd mmm yy"))&amp;" "&amp;Milestones!$AB$194&amp;" "&amp;Milestones!$AC$194&amp;";  ","")&amp;IF(AND(EDATE($D34,Milestones!$AA$195)&lt;=AsOfDate,IF($R34=0,$X34,IF(AND($T34&lt;&gt;"",EDATE($D34,Milestones!$AA$195)&gt;=$T34),$W34,IF(AND($S34&lt;&gt;"",EDATE($D34,Milestones!$AA$195)&gt;=$S34),$V34,$U34)))=Milestones!$AB$195),UPPER(TEXT(EDATE($D34,Milestones!$AA$195),"dd mmm yy"))&amp;" "&amp;Milestones!$AB$195&amp;" "&amp;Milestones!$AC$195&amp;";  ","")&amp;IF(AND(EDATE($D34,Milestones!$AA$196)&lt;=AsOfDate,IF($R34=0,$X34,IF(AND($T34&lt;&gt;"",EDATE($D34,Milestones!$AA$196)&gt;=$T34),$W34,IF(AND($S34&lt;&gt;"",EDATE($D34,Milestones!$AA$196)&gt;=$S34),$V34,$U34)))=Milestones!$AB$196),UPPER(TEXT(EDATE($D34,Milestones!$AA$196),"dd mmm yy"))&amp;" "&amp;Milestones!$AB$196&amp;" "&amp;Milestones!$AC$196&amp;";  ","")&amp;IF(AND(EDATE($D34,Milestones!$AA$197)&lt;=AsOfDate,IF($R34=0,$X34,IF(AND($T34&lt;&gt;"",EDATE($D34,Milestones!$AA$197)&gt;=$T34),$W34,IF(AND($S34&lt;&gt;"",EDATE($D34,Milestones!$AA$197)&gt;=$S34),$V34,$U34)))=Milestones!$AB$197),UPPER(TEXT(EDATE($D34,Milestones!$AA$197),"dd mmm yy"))&amp;" "&amp;Milestones!$AB$197&amp;" "&amp;Milestones!$AC$197&amp;";  ","")&amp;IF(AND(EDATE($D34,Milestones!$AA$198)&lt;=AsOfDate,IF($R34=0,$X34,IF(AND($T34&lt;&gt;"",EDATE($D34,Milestones!$AA$198)&gt;=$T34),$W34,IF(AND($S34&lt;&gt;"",EDATE($D34,Milestones!$AA$198)&gt;=$S34),$V34,$U34)))=Milestones!$AB$198),UPPER(TEXT(EDATE($D34,Milestones!$AA$198),"dd mmm yy"))&amp;" "&amp;Milestones!$AB$198&amp;" "&amp;Milestones!$AC$198&amp;";  ","")&amp;IF(AND(EDATE($D34,Milestones!$AA$199)&lt;=AsOfDate,IF($R34=0,$X34,IF(AND($T34&lt;&gt;"",EDATE($D34,Milestones!$AA$199)&gt;=$T34),$W34,IF(AND($S34&lt;&gt;"",EDATE($D34,Milestones!$AA$199)&gt;=$S34),$V34,$U34)))=Milestones!$AB$199),UPPER(TEXT(EDATE($D34,Milestones!$AA$199),"dd mmm yy"))&amp;" "&amp;Milestones!$AB$199&amp;" "&amp;Milestones!$AC$199&amp;";  ",""))</f>
        <v/>
      </c>
      <c r="R34" s="33" t="n">
        <f aca="false">IF(Staff!$A34="","",Staff!$AI34)</f>
        <v>1</v>
      </c>
      <c r="S34" s="0" t="str">
        <f aca="false">IF(Staff!$A34="","",Staff!$AK34)</f>
        <v/>
      </c>
      <c r="T34" s="0" t="str">
        <f aca="false">IF(Staff!$A34="","",Staff!$AL34)</f>
        <v/>
      </c>
      <c r="U34" s="0" t="str">
        <f aca="false">IF(Staff!$A34="","",Staff!$AP34)</f>
        <v>FT</v>
      </c>
      <c r="V34" s="0" t="str">
        <f aca="false">IF(Staff!$A34="","",Staff!$AQ34)</f>
        <v/>
      </c>
      <c r="W34" s="0" t="str">
        <f aca="false">IF(Staff!$A34="","",Staff!$AR34)</f>
        <v/>
      </c>
      <c r="X34" s="0" t="str">
        <f aca="false">IF(Staff!$A34="","",Staff!$AS34)</f>
        <v>FT</v>
      </c>
    </row>
    <row r="35" customFormat="false" ht="15" hidden="false" customHeight="false" outlineLevel="0" collapsed="false">
      <c r="A35" s="19" t="str">
        <f aca="false">IF(Staff!$A35="","",Staff!$A35)</f>
        <v>Isaac</v>
      </c>
      <c r="B35" s="19" t="str">
        <f aca="false">IF(Staff!$A35="","",Staff!$B35)</f>
        <v>BUTTERWORTH</v>
      </c>
      <c r="C35" s="19" t="str">
        <f aca="false">IF(Staff!$A35="","",Staff!$C35)</f>
        <v>Full-Time</v>
      </c>
      <c r="D35" s="17" t="n">
        <f aca="false">IF(Staff!$A35="","",Staff!$AH35)</f>
        <v>43725</v>
      </c>
      <c r="E35" s="20" t="n">
        <f aca="false">IF(Staff!$A35="","",Staff!$O35)</f>
        <v>9</v>
      </c>
      <c r="F35" s="19" t="n">
        <f aca="false">IF(E35="","",E35*HoursPerDay)</f>
        <v>72</v>
      </c>
      <c r="G35" s="20" t="n">
        <f aca="false">IF(Staff!$A35="","",Staff!$AE35)</f>
        <v>0</v>
      </c>
      <c r="H35" s="32" t="str">
        <f aca="false">IF($A35="","",I35&amp;J35&amp;K35&amp;L35&amp;M35&amp;N35&amp;O35&amp;P35&amp;Q35)</f>
        <v>17 SEP 24 PT 1;  17 JAN 25 PT 1;  17 MAY 25 PT 1;  17 SEP 25 PT 1;  17 JAN 26 PT 1;  17 MAR 26 FT 1;  17 JUN 26 FT 1;  17 SEP 26 FT 2;  </v>
      </c>
      <c r="I35" s="0" t="str">
        <f aca="false">IF(OR($A35="",$D35=""),"",IF(AND(EDATE($D35,Milestones!$AA$20)&lt;=AsOfDate,IF($R35=0,$X35,IF(AND($T35&lt;&gt;"",EDATE($D35,Milestones!$AA$20)&gt;=$T35),$W35,IF(AND($S35&lt;&gt;"",EDATE($D35,Milestones!$AA$20)&gt;=$S35),$V35,$U35)))=Milestones!$AB$20),UPPER(TEXT(EDATE($D35,Milestones!$AA$20),"dd mmm yy"))&amp;" "&amp;Milestones!$AB$20&amp;" "&amp;Milestones!$AC$20&amp;";  ","")&amp;IF(AND(EDATE($D35,Milestones!$AA$21)&lt;=AsOfDate,IF($R35=0,$X35,IF(AND($T35&lt;&gt;"",EDATE($D35,Milestones!$AA$21)&gt;=$T35),$W35,IF(AND($S35&lt;&gt;"",EDATE($D35,Milestones!$AA$21)&gt;=$S35),$V35,$U35)))=Milestones!$AB$21),UPPER(TEXT(EDATE($D35,Milestones!$AA$21),"dd mmm yy"))&amp;" "&amp;Milestones!$AB$21&amp;" "&amp;Milestones!$AC$21&amp;";  ","")&amp;IF(AND(EDATE($D35,Milestones!$AA$22)&lt;=AsOfDate,IF($R35=0,$X35,IF(AND($T35&lt;&gt;"",EDATE($D35,Milestones!$AA$22)&gt;=$T35),$W35,IF(AND($S35&lt;&gt;"",EDATE($D35,Milestones!$AA$22)&gt;=$S35),$V35,$U35)))=Milestones!$AB$22),UPPER(TEXT(EDATE($D35,Milestones!$AA$22),"dd mmm yy"))&amp;" "&amp;Milestones!$AB$22&amp;" "&amp;Milestones!$AC$22&amp;";  ","")&amp;IF(AND(EDATE($D35,Milestones!$AA$23)&lt;=AsOfDate,IF($R35=0,$X35,IF(AND($T35&lt;&gt;"",EDATE($D35,Milestones!$AA$23)&gt;=$T35),$W35,IF(AND($S35&lt;&gt;"",EDATE($D35,Milestones!$AA$23)&gt;=$S35),$V35,$U35)))=Milestones!$AB$23),UPPER(TEXT(EDATE($D35,Milestones!$AA$23),"dd mmm yy"))&amp;" "&amp;Milestones!$AB$23&amp;" "&amp;Milestones!$AC$23&amp;";  ","")&amp;IF(AND(EDATE($D35,Milestones!$AA$24)&lt;=AsOfDate,IF($R35=0,$X35,IF(AND($T35&lt;&gt;"",EDATE($D35,Milestones!$AA$24)&gt;=$T35),$W35,IF(AND($S35&lt;&gt;"",EDATE($D35,Milestones!$AA$24)&gt;=$S35),$V35,$U35)))=Milestones!$AB$24),UPPER(TEXT(EDATE($D35,Milestones!$AA$24),"dd mmm yy"))&amp;" "&amp;Milestones!$AB$24&amp;" "&amp;Milestones!$AC$24&amp;";  ","")&amp;IF(AND(EDATE($D35,Milestones!$AA$25)&lt;=AsOfDate,IF($R35=0,$X35,IF(AND($T35&lt;&gt;"",EDATE($D35,Milestones!$AA$25)&gt;=$T35),$W35,IF(AND($S35&lt;&gt;"",EDATE($D35,Milestones!$AA$25)&gt;=$S35),$V35,$U35)))=Milestones!$AB$25),UPPER(TEXT(EDATE($D35,Milestones!$AA$25),"dd mmm yy"))&amp;" "&amp;Milestones!$AB$25&amp;" "&amp;Milestones!$AC$25&amp;";  ","")&amp;IF(AND(EDATE($D35,Milestones!$AA$26)&lt;=AsOfDate,IF($R35=0,$X35,IF(AND($T35&lt;&gt;"",EDATE($D35,Milestones!$AA$26)&gt;=$T35),$W35,IF(AND($S35&lt;&gt;"",EDATE($D35,Milestones!$AA$26)&gt;=$S35),$V35,$U35)))=Milestones!$AB$26),UPPER(TEXT(EDATE($D35,Milestones!$AA$26),"dd mmm yy"))&amp;" "&amp;Milestones!$AB$26&amp;" "&amp;Milestones!$AC$26&amp;";  ","")&amp;IF(AND(EDATE($D35,Milestones!$AA$27)&lt;=AsOfDate,IF($R35=0,$X35,IF(AND($T35&lt;&gt;"",EDATE($D35,Milestones!$AA$27)&gt;=$T35),$W35,IF(AND($S35&lt;&gt;"",EDATE($D35,Milestones!$AA$27)&gt;=$S35),$V35,$U35)))=Milestones!$AB$27),UPPER(TEXT(EDATE($D35,Milestones!$AA$27),"dd mmm yy"))&amp;" "&amp;Milestones!$AB$27&amp;" "&amp;Milestones!$AC$27&amp;";  ","")&amp;IF(AND(EDATE($D35,Milestones!$AA$28)&lt;=AsOfDate,IF($R35=0,$X35,IF(AND($T35&lt;&gt;"",EDATE($D35,Milestones!$AA$28)&gt;=$T35),$W35,IF(AND($S35&lt;&gt;"",EDATE($D35,Milestones!$AA$28)&gt;=$S35),$V35,$U35)))=Milestones!$AB$28),UPPER(TEXT(EDATE($D35,Milestones!$AA$28),"dd mmm yy"))&amp;" "&amp;Milestones!$AB$28&amp;" "&amp;Milestones!$AC$28&amp;";  ","")&amp;IF(AND(EDATE($D35,Milestones!$AA$29)&lt;=AsOfDate,IF($R35=0,$X35,IF(AND($T35&lt;&gt;"",EDATE($D35,Milestones!$AA$29)&gt;=$T35),$W35,IF(AND($S35&lt;&gt;"",EDATE($D35,Milestones!$AA$29)&gt;=$S35),$V35,$U35)))=Milestones!$AB$29),UPPER(TEXT(EDATE($D35,Milestones!$AA$29),"dd mmm yy"))&amp;" "&amp;Milestones!$AB$29&amp;" "&amp;Milestones!$AC$29&amp;";  ","")&amp;IF(AND(EDATE($D35,Milestones!$AA$30)&lt;=AsOfDate,IF($R35=0,$X35,IF(AND($T35&lt;&gt;"",EDATE($D35,Milestones!$AA$30)&gt;=$T35),$W35,IF(AND($S35&lt;&gt;"",EDATE($D35,Milestones!$AA$30)&gt;=$S35),$V35,$U35)))=Milestones!$AB$30),UPPER(TEXT(EDATE($D35,Milestones!$AA$30),"dd mmm yy"))&amp;" "&amp;Milestones!$AB$30&amp;" "&amp;Milestones!$AC$30&amp;";  ","")&amp;IF(AND(EDATE($D35,Milestones!$AA$31)&lt;=AsOfDate,IF($R35=0,$X35,IF(AND($T35&lt;&gt;"",EDATE($D35,Milestones!$AA$31)&gt;=$T35),$W35,IF(AND($S35&lt;&gt;"",EDATE($D35,Milestones!$AA$31)&gt;=$S35),$V35,$U35)))=Milestones!$AB$31),UPPER(TEXT(EDATE($D35,Milestones!$AA$31),"dd mmm yy"))&amp;" "&amp;Milestones!$AB$31&amp;" "&amp;Milestones!$AC$31&amp;";  ","")&amp;IF(AND(EDATE($D35,Milestones!$AA$32)&lt;=AsOfDate,IF($R35=0,$X35,IF(AND($T35&lt;&gt;"",EDATE($D35,Milestones!$AA$32)&gt;=$T35),$W35,IF(AND($S35&lt;&gt;"",EDATE($D35,Milestones!$AA$32)&gt;=$S35),$V35,$U35)))=Milestones!$AB$32),UPPER(TEXT(EDATE($D35,Milestones!$AA$32),"dd mmm yy"))&amp;" "&amp;Milestones!$AB$32&amp;" "&amp;Milestones!$AC$32&amp;";  ","")&amp;IF(AND(EDATE($D35,Milestones!$AA$33)&lt;=AsOfDate,IF($R35=0,$X35,IF(AND($T35&lt;&gt;"",EDATE($D35,Milestones!$AA$33)&gt;=$T35),$W35,IF(AND($S35&lt;&gt;"",EDATE($D35,Milestones!$AA$33)&gt;=$S35),$V35,$U35)))=Milestones!$AB$33),UPPER(TEXT(EDATE($D35,Milestones!$AA$33),"dd mmm yy"))&amp;" "&amp;Milestones!$AB$33&amp;" "&amp;Milestones!$AC$33&amp;";  ","")&amp;IF(AND(EDATE($D35,Milestones!$AA$34)&lt;=AsOfDate,IF($R35=0,$X35,IF(AND($T35&lt;&gt;"",EDATE($D35,Milestones!$AA$34)&gt;=$T35),$W35,IF(AND($S35&lt;&gt;"",EDATE($D35,Milestones!$AA$34)&gt;=$S35),$V35,$U35)))=Milestones!$AB$34),UPPER(TEXT(EDATE($D35,Milestones!$AA$34),"dd mmm yy"))&amp;" "&amp;Milestones!$AB$34&amp;" "&amp;Milestones!$AC$34&amp;";  ","")&amp;IF(AND(EDATE($D35,Milestones!$AA$35)&lt;=AsOfDate,IF($R35=0,$X35,IF(AND($T35&lt;&gt;"",EDATE($D35,Milestones!$AA$35)&gt;=$T35),$W35,IF(AND($S35&lt;&gt;"",EDATE($D35,Milestones!$AA$35)&gt;=$S35),$V35,$U35)))=Milestones!$AB$35),UPPER(TEXT(EDATE($D35,Milestones!$AA$35),"dd mmm yy"))&amp;" "&amp;Milestones!$AB$35&amp;" "&amp;Milestones!$AC$35&amp;";  ","")&amp;IF(AND(EDATE($D35,Milestones!$AA$36)&lt;=AsOfDate,IF($R35=0,$X35,IF(AND($T35&lt;&gt;"",EDATE($D35,Milestones!$AA$36)&gt;=$T35),$W35,IF(AND($S35&lt;&gt;"",EDATE($D35,Milestones!$AA$36)&gt;=$S35),$V35,$U35)))=Milestones!$AB$36),UPPER(TEXT(EDATE($D35,Milestones!$AA$36),"dd mmm yy"))&amp;" "&amp;Milestones!$AB$36&amp;" "&amp;Milestones!$AC$36&amp;";  ","")&amp;IF(AND(EDATE($D35,Milestones!$AA$37)&lt;=AsOfDate,IF($R35=0,$X35,IF(AND($T35&lt;&gt;"",EDATE($D35,Milestones!$AA$37)&gt;=$T35),$W35,IF(AND($S35&lt;&gt;"",EDATE($D35,Milestones!$AA$37)&gt;=$S35),$V35,$U35)))=Milestones!$AB$37),UPPER(TEXT(EDATE($D35,Milestones!$AA$37),"dd mmm yy"))&amp;" "&amp;Milestones!$AB$37&amp;" "&amp;Milestones!$AC$37&amp;";  ","")&amp;IF(AND(EDATE($D35,Milestones!$AA$38)&lt;=AsOfDate,IF($R35=0,$X35,IF(AND($T35&lt;&gt;"",EDATE($D35,Milestones!$AA$38)&gt;=$T35),$W35,IF(AND($S35&lt;&gt;"",EDATE($D35,Milestones!$AA$38)&gt;=$S35),$V35,$U35)))=Milestones!$AB$38),UPPER(TEXT(EDATE($D35,Milestones!$AA$38),"dd mmm yy"))&amp;" "&amp;Milestones!$AB$38&amp;" "&amp;Milestones!$AC$38&amp;";  ","")&amp;IF(AND(EDATE($D35,Milestones!$AA$39)&lt;=AsOfDate,IF($R35=0,$X35,IF(AND($T35&lt;&gt;"",EDATE($D35,Milestones!$AA$39)&gt;=$T35),$W35,IF(AND($S35&lt;&gt;"",EDATE($D35,Milestones!$AA$39)&gt;=$S35),$V35,$U35)))=Milestones!$AB$39),UPPER(TEXT(EDATE($D35,Milestones!$AA$39),"dd mmm yy"))&amp;" "&amp;Milestones!$AB$39&amp;" "&amp;Milestones!$AC$39&amp;";  ",""))</f>
        <v>17 SEP 24 PT 1;  17 JAN 25 PT 1;  17 MAY 25 PT 1;  17 SEP 25 PT 1;  17 JAN 26 PT 1;  17 MAR 26 FT 1;  17 JUN 26 FT 1;  </v>
      </c>
      <c r="J35" s="0" t="str">
        <f aca="false">IF(OR($A35="",$D35=""),"",IF(AND(EDATE($D35,Milestones!$AA$40)&lt;=AsOfDate,IF($R35=0,$X35,IF(AND($T35&lt;&gt;"",EDATE($D35,Milestones!$AA$40)&gt;=$T35),$W35,IF(AND($S35&lt;&gt;"",EDATE($D35,Milestones!$AA$40)&gt;=$S35),$V35,$U35)))=Milestones!$AB$40),UPPER(TEXT(EDATE($D35,Milestones!$AA$40),"dd mmm yy"))&amp;" "&amp;Milestones!$AB$40&amp;" "&amp;Milestones!$AC$40&amp;";  ","")&amp;IF(AND(EDATE($D35,Milestones!$AA$41)&lt;=AsOfDate,IF($R35=0,$X35,IF(AND($T35&lt;&gt;"",EDATE($D35,Milestones!$AA$41)&gt;=$T35),$W35,IF(AND($S35&lt;&gt;"",EDATE($D35,Milestones!$AA$41)&gt;=$S35),$V35,$U35)))=Milestones!$AB$41),UPPER(TEXT(EDATE($D35,Milestones!$AA$41),"dd mmm yy"))&amp;" "&amp;Milestones!$AB$41&amp;" "&amp;Milestones!$AC$41&amp;";  ","")&amp;IF(AND(EDATE($D35,Milestones!$AA$42)&lt;=AsOfDate,IF($R35=0,$X35,IF(AND($T35&lt;&gt;"",EDATE($D35,Milestones!$AA$42)&gt;=$T35),$W35,IF(AND($S35&lt;&gt;"",EDATE($D35,Milestones!$AA$42)&gt;=$S35),$V35,$U35)))=Milestones!$AB$42),UPPER(TEXT(EDATE($D35,Milestones!$AA$42),"dd mmm yy"))&amp;" "&amp;Milestones!$AB$42&amp;" "&amp;Milestones!$AC$42&amp;";  ","")&amp;IF(AND(EDATE($D35,Milestones!$AA$43)&lt;=AsOfDate,IF($R35=0,$X35,IF(AND($T35&lt;&gt;"",EDATE($D35,Milestones!$AA$43)&gt;=$T35),$W35,IF(AND($S35&lt;&gt;"",EDATE($D35,Milestones!$AA$43)&gt;=$S35),$V35,$U35)))=Milestones!$AB$43),UPPER(TEXT(EDATE($D35,Milestones!$AA$43),"dd mmm yy"))&amp;" "&amp;Milestones!$AB$43&amp;" "&amp;Milestones!$AC$43&amp;";  ","")&amp;IF(AND(EDATE($D35,Milestones!$AA$44)&lt;=AsOfDate,IF($R35=0,$X35,IF(AND($T35&lt;&gt;"",EDATE($D35,Milestones!$AA$44)&gt;=$T35),$W35,IF(AND($S35&lt;&gt;"",EDATE($D35,Milestones!$AA$44)&gt;=$S35),$V35,$U35)))=Milestones!$AB$44),UPPER(TEXT(EDATE($D35,Milestones!$AA$44),"dd mmm yy"))&amp;" "&amp;Milestones!$AB$44&amp;" "&amp;Milestones!$AC$44&amp;";  ","")&amp;IF(AND(EDATE($D35,Milestones!$AA$45)&lt;=AsOfDate,IF($R35=0,$X35,IF(AND($T35&lt;&gt;"",EDATE($D35,Milestones!$AA$45)&gt;=$T35),$W35,IF(AND($S35&lt;&gt;"",EDATE($D35,Milestones!$AA$45)&gt;=$S35),$V35,$U35)))=Milestones!$AB$45),UPPER(TEXT(EDATE($D35,Milestones!$AA$45),"dd mmm yy"))&amp;" "&amp;Milestones!$AB$45&amp;" "&amp;Milestones!$AC$45&amp;";  ","")&amp;IF(AND(EDATE($D35,Milestones!$AA$46)&lt;=AsOfDate,IF($R35=0,$X35,IF(AND($T35&lt;&gt;"",EDATE($D35,Milestones!$AA$46)&gt;=$T35),$W35,IF(AND($S35&lt;&gt;"",EDATE($D35,Milestones!$AA$46)&gt;=$S35),$V35,$U35)))=Milestones!$AB$46),UPPER(TEXT(EDATE($D35,Milestones!$AA$46),"dd mmm yy"))&amp;" "&amp;Milestones!$AB$46&amp;" "&amp;Milestones!$AC$46&amp;";  ","")&amp;IF(AND(EDATE($D35,Milestones!$AA$47)&lt;=AsOfDate,IF($R35=0,$X35,IF(AND($T35&lt;&gt;"",EDATE($D35,Milestones!$AA$47)&gt;=$T35),$W35,IF(AND($S35&lt;&gt;"",EDATE($D35,Milestones!$AA$47)&gt;=$S35),$V35,$U35)))=Milestones!$AB$47),UPPER(TEXT(EDATE($D35,Milestones!$AA$47),"dd mmm yy"))&amp;" "&amp;Milestones!$AB$47&amp;" "&amp;Milestones!$AC$47&amp;";  ","")&amp;IF(AND(EDATE($D35,Milestones!$AA$48)&lt;=AsOfDate,IF($R35=0,$X35,IF(AND($T35&lt;&gt;"",EDATE($D35,Milestones!$AA$48)&gt;=$T35),$W35,IF(AND($S35&lt;&gt;"",EDATE($D35,Milestones!$AA$48)&gt;=$S35),$V35,$U35)))=Milestones!$AB$48),UPPER(TEXT(EDATE($D35,Milestones!$AA$48),"dd mmm yy"))&amp;" "&amp;Milestones!$AB$48&amp;" "&amp;Milestones!$AC$48&amp;";  ","")&amp;IF(AND(EDATE($D35,Milestones!$AA$49)&lt;=AsOfDate,IF($R35=0,$X35,IF(AND($T35&lt;&gt;"",EDATE($D35,Milestones!$AA$49)&gt;=$T35),$W35,IF(AND($S35&lt;&gt;"",EDATE($D35,Milestones!$AA$49)&gt;=$S35),$V35,$U35)))=Milestones!$AB$49),UPPER(TEXT(EDATE($D35,Milestones!$AA$49),"dd mmm yy"))&amp;" "&amp;Milestones!$AB$49&amp;" "&amp;Milestones!$AC$49&amp;";  ","")&amp;IF(AND(EDATE($D35,Milestones!$AA$50)&lt;=AsOfDate,IF($R35=0,$X35,IF(AND($T35&lt;&gt;"",EDATE($D35,Milestones!$AA$50)&gt;=$T35),$W35,IF(AND($S35&lt;&gt;"",EDATE($D35,Milestones!$AA$50)&gt;=$S35),$V35,$U35)))=Milestones!$AB$50),UPPER(TEXT(EDATE($D35,Milestones!$AA$50),"dd mmm yy"))&amp;" "&amp;Milestones!$AB$50&amp;" "&amp;Milestones!$AC$50&amp;";  ","")&amp;IF(AND(EDATE($D35,Milestones!$AA$51)&lt;=AsOfDate,IF($R35=0,$X35,IF(AND($T35&lt;&gt;"",EDATE($D35,Milestones!$AA$51)&gt;=$T35),$W35,IF(AND($S35&lt;&gt;"",EDATE($D35,Milestones!$AA$51)&gt;=$S35),$V35,$U35)))=Milestones!$AB$51),UPPER(TEXT(EDATE($D35,Milestones!$AA$51),"dd mmm yy"))&amp;" "&amp;Milestones!$AB$51&amp;" "&amp;Milestones!$AC$51&amp;";  ","")&amp;IF(AND(EDATE($D35,Milestones!$AA$52)&lt;=AsOfDate,IF($R35=0,$X35,IF(AND($T35&lt;&gt;"",EDATE($D35,Milestones!$AA$52)&gt;=$T35),$W35,IF(AND($S35&lt;&gt;"",EDATE($D35,Milestones!$AA$52)&gt;=$S35),$V35,$U35)))=Milestones!$AB$52),UPPER(TEXT(EDATE($D35,Milestones!$AA$52),"dd mmm yy"))&amp;" "&amp;Milestones!$AB$52&amp;" "&amp;Milestones!$AC$52&amp;";  ","")&amp;IF(AND(EDATE($D35,Milestones!$AA$53)&lt;=AsOfDate,IF($R35=0,$X35,IF(AND($T35&lt;&gt;"",EDATE($D35,Milestones!$AA$53)&gt;=$T35),$W35,IF(AND($S35&lt;&gt;"",EDATE($D35,Milestones!$AA$53)&gt;=$S35),$V35,$U35)))=Milestones!$AB$53),UPPER(TEXT(EDATE($D35,Milestones!$AA$53),"dd mmm yy"))&amp;" "&amp;Milestones!$AB$53&amp;" "&amp;Milestones!$AC$53&amp;";  ","")&amp;IF(AND(EDATE($D35,Milestones!$AA$54)&lt;=AsOfDate,IF($R35=0,$X35,IF(AND($T35&lt;&gt;"",EDATE($D35,Milestones!$AA$54)&gt;=$T35),$W35,IF(AND($S35&lt;&gt;"",EDATE($D35,Milestones!$AA$54)&gt;=$S35),$V35,$U35)))=Milestones!$AB$54),UPPER(TEXT(EDATE($D35,Milestones!$AA$54),"dd mmm yy"))&amp;" "&amp;Milestones!$AB$54&amp;" "&amp;Milestones!$AC$54&amp;";  ","")&amp;IF(AND(EDATE($D35,Milestones!$AA$55)&lt;=AsOfDate,IF($R35=0,$X35,IF(AND($T35&lt;&gt;"",EDATE($D35,Milestones!$AA$55)&gt;=$T35),$W35,IF(AND($S35&lt;&gt;"",EDATE($D35,Milestones!$AA$55)&gt;=$S35),$V35,$U35)))=Milestones!$AB$55),UPPER(TEXT(EDATE($D35,Milestones!$AA$55),"dd mmm yy"))&amp;" "&amp;Milestones!$AB$55&amp;" "&amp;Milestones!$AC$55&amp;";  ","")&amp;IF(AND(EDATE($D35,Milestones!$AA$56)&lt;=AsOfDate,IF($R35=0,$X35,IF(AND($T35&lt;&gt;"",EDATE($D35,Milestones!$AA$56)&gt;=$T35),$W35,IF(AND($S35&lt;&gt;"",EDATE($D35,Milestones!$AA$56)&gt;=$S35),$V35,$U35)))=Milestones!$AB$56),UPPER(TEXT(EDATE($D35,Milestones!$AA$56),"dd mmm yy"))&amp;" "&amp;Milestones!$AB$56&amp;" "&amp;Milestones!$AC$56&amp;";  ","")&amp;IF(AND(EDATE($D35,Milestones!$AA$57)&lt;=AsOfDate,IF($R35=0,$X35,IF(AND($T35&lt;&gt;"",EDATE($D35,Milestones!$AA$57)&gt;=$T35),$W35,IF(AND($S35&lt;&gt;"",EDATE($D35,Milestones!$AA$57)&gt;=$S35),$V35,$U35)))=Milestones!$AB$57),UPPER(TEXT(EDATE($D35,Milestones!$AA$57),"dd mmm yy"))&amp;" "&amp;Milestones!$AB$57&amp;" "&amp;Milestones!$AC$57&amp;";  ","")&amp;IF(AND(EDATE($D35,Milestones!$AA$58)&lt;=AsOfDate,IF($R35=0,$X35,IF(AND($T35&lt;&gt;"",EDATE($D35,Milestones!$AA$58)&gt;=$T35),$W35,IF(AND($S35&lt;&gt;"",EDATE($D35,Milestones!$AA$58)&gt;=$S35),$V35,$U35)))=Milestones!$AB$58),UPPER(TEXT(EDATE($D35,Milestones!$AA$58),"dd mmm yy"))&amp;" "&amp;Milestones!$AB$58&amp;" "&amp;Milestones!$AC$58&amp;";  ","")&amp;IF(AND(EDATE($D35,Milestones!$AA$59)&lt;=AsOfDate,IF($R35=0,$X35,IF(AND($T35&lt;&gt;"",EDATE($D35,Milestones!$AA$59)&gt;=$T35),$W35,IF(AND($S35&lt;&gt;"",EDATE($D35,Milestones!$AA$59)&gt;=$S35),$V35,$U35)))=Milestones!$AB$59),UPPER(TEXT(EDATE($D35,Milestones!$AA$59),"dd mmm yy"))&amp;" "&amp;Milestones!$AB$59&amp;" "&amp;Milestones!$AC$59&amp;";  ",""))</f>
        <v>17 SEP 26 FT 2;  </v>
      </c>
      <c r="K35" s="0" t="str">
        <f aca="false">IF(OR($A35="",$D35=""),"",IF(AND(EDATE($D35,Milestones!$AA$60)&lt;=AsOfDate,IF($R35=0,$X35,IF(AND($T35&lt;&gt;"",EDATE($D35,Milestones!$AA$60)&gt;=$T35),$W35,IF(AND($S35&lt;&gt;"",EDATE($D35,Milestones!$AA$60)&gt;=$S35),$V35,$U35)))=Milestones!$AB$60),UPPER(TEXT(EDATE($D35,Milestones!$AA$60),"dd mmm yy"))&amp;" "&amp;Milestones!$AB$60&amp;" "&amp;Milestones!$AC$60&amp;";  ","")&amp;IF(AND(EDATE($D35,Milestones!$AA$61)&lt;=AsOfDate,IF($R35=0,$X35,IF(AND($T35&lt;&gt;"",EDATE($D35,Milestones!$AA$61)&gt;=$T35),$W35,IF(AND($S35&lt;&gt;"",EDATE($D35,Milestones!$AA$61)&gt;=$S35),$V35,$U35)))=Milestones!$AB$61),UPPER(TEXT(EDATE($D35,Milestones!$AA$61),"dd mmm yy"))&amp;" "&amp;Milestones!$AB$61&amp;" "&amp;Milestones!$AC$61&amp;";  ","")&amp;IF(AND(EDATE($D35,Milestones!$AA$62)&lt;=AsOfDate,IF($R35=0,$X35,IF(AND($T35&lt;&gt;"",EDATE($D35,Milestones!$AA$62)&gt;=$T35),$W35,IF(AND($S35&lt;&gt;"",EDATE($D35,Milestones!$AA$62)&gt;=$S35),$V35,$U35)))=Milestones!$AB$62),UPPER(TEXT(EDATE($D35,Milestones!$AA$62),"dd mmm yy"))&amp;" "&amp;Milestones!$AB$62&amp;" "&amp;Milestones!$AC$62&amp;";  ","")&amp;IF(AND(EDATE($D35,Milestones!$AA$63)&lt;=AsOfDate,IF($R35=0,$X35,IF(AND($T35&lt;&gt;"",EDATE($D35,Milestones!$AA$63)&gt;=$T35),$W35,IF(AND($S35&lt;&gt;"",EDATE($D35,Milestones!$AA$63)&gt;=$S35),$V35,$U35)))=Milestones!$AB$63),UPPER(TEXT(EDATE($D35,Milestones!$AA$63),"dd mmm yy"))&amp;" "&amp;Milestones!$AB$63&amp;" "&amp;Milestones!$AC$63&amp;";  ","")&amp;IF(AND(EDATE($D35,Milestones!$AA$64)&lt;=AsOfDate,IF($R35=0,$X35,IF(AND($T35&lt;&gt;"",EDATE($D35,Milestones!$AA$64)&gt;=$T35),$W35,IF(AND($S35&lt;&gt;"",EDATE($D35,Milestones!$AA$64)&gt;=$S35),$V35,$U35)))=Milestones!$AB$64),UPPER(TEXT(EDATE($D35,Milestones!$AA$64),"dd mmm yy"))&amp;" "&amp;Milestones!$AB$64&amp;" "&amp;Milestones!$AC$64&amp;";  ","")&amp;IF(AND(EDATE($D35,Milestones!$AA$65)&lt;=AsOfDate,IF($R35=0,$X35,IF(AND($T35&lt;&gt;"",EDATE($D35,Milestones!$AA$65)&gt;=$T35),$W35,IF(AND($S35&lt;&gt;"",EDATE($D35,Milestones!$AA$65)&gt;=$S35),$V35,$U35)))=Milestones!$AB$65),UPPER(TEXT(EDATE($D35,Milestones!$AA$65),"dd mmm yy"))&amp;" "&amp;Milestones!$AB$65&amp;" "&amp;Milestones!$AC$65&amp;";  ","")&amp;IF(AND(EDATE($D35,Milestones!$AA$66)&lt;=AsOfDate,IF($R35=0,$X35,IF(AND($T35&lt;&gt;"",EDATE($D35,Milestones!$AA$66)&gt;=$T35),$W35,IF(AND($S35&lt;&gt;"",EDATE($D35,Milestones!$AA$66)&gt;=$S35),$V35,$U35)))=Milestones!$AB$66),UPPER(TEXT(EDATE($D35,Milestones!$AA$66),"dd mmm yy"))&amp;" "&amp;Milestones!$AB$66&amp;" "&amp;Milestones!$AC$66&amp;";  ","")&amp;IF(AND(EDATE($D35,Milestones!$AA$67)&lt;=AsOfDate,IF($R35=0,$X35,IF(AND($T35&lt;&gt;"",EDATE($D35,Milestones!$AA$67)&gt;=$T35),$W35,IF(AND($S35&lt;&gt;"",EDATE($D35,Milestones!$AA$67)&gt;=$S35),$V35,$U35)))=Milestones!$AB$67),UPPER(TEXT(EDATE($D35,Milestones!$AA$67),"dd mmm yy"))&amp;" "&amp;Milestones!$AB$67&amp;" "&amp;Milestones!$AC$67&amp;";  ","")&amp;IF(AND(EDATE($D35,Milestones!$AA$68)&lt;=AsOfDate,IF($R35=0,$X35,IF(AND($T35&lt;&gt;"",EDATE($D35,Milestones!$AA$68)&gt;=$T35),$W35,IF(AND($S35&lt;&gt;"",EDATE($D35,Milestones!$AA$68)&gt;=$S35),$V35,$U35)))=Milestones!$AB$68),UPPER(TEXT(EDATE($D35,Milestones!$AA$68),"dd mmm yy"))&amp;" "&amp;Milestones!$AB$68&amp;" "&amp;Milestones!$AC$68&amp;";  ","")&amp;IF(AND(EDATE($D35,Milestones!$AA$69)&lt;=AsOfDate,IF($R35=0,$X35,IF(AND($T35&lt;&gt;"",EDATE($D35,Milestones!$AA$69)&gt;=$T35),$W35,IF(AND($S35&lt;&gt;"",EDATE($D35,Milestones!$AA$69)&gt;=$S35),$V35,$U35)))=Milestones!$AB$69),UPPER(TEXT(EDATE($D35,Milestones!$AA$69),"dd mmm yy"))&amp;" "&amp;Milestones!$AB$69&amp;" "&amp;Milestones!$AC$69&amp;";  ","")&amp;IF(AND(EDATE($D35,Milestones!$AA$70)&lt;=AsOfDate,IF($R35=0,$X35,IF(AND($T35&lt;&gt;"",EDATE($D35,Milestones!$AA$70)&gt;=$T35),$W35,IF(AND($S35&lt;&gt;"",EDATE($D35,Milestones!$AA$70)&gt;=$S35),$V35,$U35)))=Milestones!$AB$70),UPPER(TEXT(EDATE($D35,Milestones!$AA$70),"dd mmm yy"))&amp;" "&amp;Milestones!$AB$70&amp;" "&amp;Milestones!$AC$70&amp;";  ","")&amp;IF(AND(EDATE($D35,Milestones!$AA$71)&lt;=AsOfDate,IF($R35=0,$X35,IF(AND($T35&lt;&gt;"",EDATE($D35,Milestones!$AA$71)&gt;=$T35),$W35,IF(AND($S35&lt;&gt;"",EDATE($D35,Milestones!$AA$71)&gt;=$S35),$V35,$U35)))=Milestones!$AB$71),UPPER(TEXT(EDATE($D35,Milestones!$AA$71),"dd mmm yy"))&amp;" "&amp;Milestones!$AB$71&amp;" "&amp;Milestones!$AC$71&amp;";  ","")&amp;IF(AND(EDATE($D35,Milestones!$AA$72)&lt;=AsOfDate,IF($R35=0,$X35,IF(AND($T35&lt;&gt;"",EDATE($D35,Milestones!$AA$72)&gt;=$T35),$W35,IF(AND($S35&lt;&gt;"",EDATE($D35,Milestones!$AA$72)&gt;=$S35),$V35,$U35)))=Milestones!$AB$72),UPPER(TEXT(EDATE($D35,Milestones!$AA$72),"dd mmm yy"))&amp;" "&amp;Milestones!$AB$72&amp;" "&amp;Milestones!$AC$72&amp;";  ","")&amp;IF(AND(EDATE($D35,Milestones!$AA$73)&lt;=AsOfDate,IF($R35=0,$X35,IF(AND($T35&lt;&gt;"",EDATE($D35,Milestones!$AA$73)&gt;=$T35),$W35,IF(AND($S35&lt;&gt;"",EDATE($D35,Milestones!$AA$73)&gt;=$S35),$V35,$U35)))=Milestones!$AB$73),UPPER(TEXT(EDATE($D35,Milestones!$AA$73),"dd mmm yy"))&amp;" "&amp;Milestones!$AB$73&amp;" "&amp;Milestones!$AC$73&amp;";  ","")&amp;IF(AND(EDATE($D35,Milestones!$AA$74)&lt;=AsOfDate,IF($R35=0,$X35,IF(AND($T35&lt;&gt;"",EDATE($D35,Milestones!$AA$74)&gt;=$T35),$W35,IF(AND($S35&lt;&gt;"",EDATE($D35,Milestones!$AA$74)&gt;=$S35),$V35,$U35)))=Milestones!$AB$74),UPPER(TEXT(EDATE($D35,Milestones!$AA$74),"dd mmm yy"))&amp;" "&amp;Milestones!$AB$74&amp;" "&amp;Milestones!$AC$74&amp;";  ","")&amp;IF(AND(EDATE($D35,Milestones!$AA$75)&lt;=AsOfDate,IF($R35=0,$X35,IF(AND($T35&lt;&gt;"",EDATE($D35,Milestones!$AA$75)&gt;=$T35),$W35,IF(AND($S35&lt;&gt;"",EDATE($D35,Milestones!$AA$75)&gt;=$S35),$V35,$U35)))=Milestones!$AB$75),UPPER(TEXT(EDATE($D35,Milestones!$AA$75),"dd mmm yy"))&amp;" "&amp;Milestones!$AB$75&amp;" "&amp;Milestones!$AC$75&amp;";  ","")&amp;IF(AND(EDATE($D35,Milestones!$AA$76)&lt;=AsOfDate,IF($R35=0,$X35,IF(AND($T35&lt;&gt;"",EDATE($D35,Milestones!$AA$76)&gt;=$T35),$W35,IF(AND($S35&lt;&gt;"",EDATE($D35,Milestones!$AA$76)&gt;=$S35),$V35,$U35)))=Milestones!$AB$76),UPPER(TEXT(EDATE($D35,Milestones!$AA$76),"dd mmm yy"))&amp;" "&amp;Milestones!$AB$76&amp;" "&amp;Milestones!$AC$76&amp;";  ","")&amp;IF(AND(EDATE($D35,Milestones!$AA$77)&lt;=AsOfDate,IF($R35=0,$X35,IF(AND($T35&lt;&gt;"",EDATE($D35,Milestones!$AA$77)&gt;=$T35),$W35,IF(AND($S35&lt;&gt;"",EDATE($D35,Milestones!$AA$77)&gt;=$S35),$V35,$U35)))=Milestones!$AB$77),UPPER(TEXT(EDATE($D35,Milestones!$AA$77),"dd mmm yy"))&amp;" "&amp;Milestones!$AB$77&amp;" "&amp;Milestones!$AC$77&amp;";  ","")&amp;IF(AND(EDATE($D35,Milestones!$AA$78)&lt;=AsOfDate,IF($R35=0,$X35,IF(AND($T35&lt;&gt;"",EDATE($D35,Milestones!$AA$78)&gt;=$T35),$W35,IF(AND($S35&lt;&gt;"",EDATE($D35,Milestones!$AA$78)&gt;=$S35),$V35,$U35)))=Milestones!$AB$78),UPPER(TEXT(EDATE($D35,Milestones!$AA$78),"dd mmm yy"))&amp;" "&amp;Milestones!$AB$78&amp;" "&amp;Milestones!$AC$78&amp;";  ","")&amp;IF(AND(EDATE($D35,Milestones!$AA$79)&lt;=AsOfDate,IF($R35=0,$X35,IF(AND($T35&lt;&gt;"",EDATE($D35,Milestones!$AA$79)&gt;=$T35),$W35,IF(AND($S35&lt;&gt;"",EDATE($D35,Milestones!$AA$79)&gt;=$S35),$V35,$U35)))=Milestones!$AB$79),UPPER(TEXT(EDATE($D35,Milestones!$AA$79),"dd mmm yy"))&amp;" "&amp;Milestones!$AB$79&amp;" "&amp;Milestones!$AC$79&amp;";  ",""))</f>
        <v/>
      </c>
      <c r="L35" s="0" t="str">
        <f aca="false">IF(OR($A35="",$D35=""),"",IF(AND(EDATE($D35,Milestones!$AA$80)&lt;=AsOfDate,IF($R35=0,$X35,IF(AND($T35&lt;&gt;"",EDATE($D35,Milestones!$AA$80)&gt;=$T35),$W35,IF(AND($S35&lt;&gt;"",EDATE($D35,Milestones!$AA$80)&gt;=$S35),$V35,$U35)))=Milestones!$AB$80),UPPER(TEXT(EDATE($D35,Milestones!$AA$80),"dd mmm yy"))&amp;" "&amp;Milestones!$AB$80&amp;" "&amp;Milestones!$AC$80&amp;";  ","")&amp;IF(AND(EDATE($D35,Milestones!$AA$81)&lt;=AsOfDate,IF($R35=0,$X35,IF(AND($T35&lt;&gt;"",EDATE($D35,Milestones!$AA$81)&gt;=$T35),$W35,IF(AND($S35&lt;&gt;"",EDATE($D35,Milestones!$AA$81)&gt;=$S35),$V35,$U35)))=Milestones!$AB$81),UPPER(TEXT(EDATE($D35,Milestones!$AA$81),"dd mmm yy"))&amp;" "&amp;Milestones!$AB$81&amp;" "&amp;Milestones!$AC$81&amp;";  ","")&amp;IF(AND(EDATE($D35,Milestones!$AA$82)&lt;=AsOfDate,IF($R35=0,$X35,IF(AND($T35&lt;&gt;"",EDATE($D35,Milestones!$AA$82)&gt;=$T35),$W35,IF(AND($S35&lt;&gt;"",EDATE($D35,Milestones!$AA$82)&gt;=$S35),$V35,$U35)))=Milestones!$AB$82),UPPER(TEXT(EDATE($D35,Milestones!$AA$82),"dd mmm yy"))&amp;" "&amp;Milestones!$AB$82&amp;" "&amp;Milestones!$AC$82&amp;";  ","")&amp;IF(AND(EDATE($D35,Milestones!$AA$83)&lt;=AsOfDate,IF($R35=0,$X35,IF(AND($T35&lt;&gt;"",EDATE($D35,Milestones!$AA$83)&gt;=$T35),$W35,IF(AND($S35&lt;&gt;"",EDATE($D35,Milestones!$AA$83)&gt;=$S35),$V35,$U35)))=Milestones!$AB$83),UPPER(TEXT(EDATE($D35,Milestones!$AA$83),"dd mmm yy"))&amp;" "&amp;Milestones!$AB$83&amp;" "&amp;Milestones!$AC$83&amp;";  ","")&amp;IF(AND(EDATE($D35,Milestones!$AA$84)&lt;=AsOfDate,IF($R35=0,$X35,IF(AND($T35&lt;&gt;"",EDATE($D35,Milestones!$AA$84)&gt;=$T35),$W35,IF(AND($S35&lt;&gt;"",EDATE($D35,Milestones!$AA$84)&gt;=$S35),$V35,$U35)))=Milestones!$AB$84),UPPER(TEXT(EDATE($D35,Milestones!$AA$84),"dd mmm yy"))&amp;" "&amp;Milestones!$AB$84&amp;" "&amp;Milestones!$AC$84&amp;";  ","")&amp;IF(AND(EDATE($D35,Milestones!$AA$85)&lt;=AsOfDate,IF($R35=0,$X35,IF(AND($T35&lt;&gt;"",EDATE($D35,Milestones!$AA$85)&gt;=$T35),$W35,IF(AND($S35&lt;&gt;"",EDATE($D35,Milestones!$AA$85)&gt;=$S35),$V35,$U35)))=Milestones!$AB$85),UPPER(TEXT(EDATE($D35,Milestones!$AA$85),"dd mmm yy"))&amp;" "&amp;Milestones!$AB$85&amp;" "&amp;Milestones!$AC$85&amp;";  ","")&amp;IF(AND(EDATE($D35,Milestones!$AA$86)&lt;=AsOfDate,IF($R35=0,$X35,IF(AND($T35&lt;&gt;"",EDATE($D35,Milestones!$AA$86)&gt;=$T35),$W35,IF(AND($S35&lt;&gt;"",EDATE($D35,Milestones!$AA$86)&gt;=$S35),$V35,$U35)))=Milestones!$AB$86),UPPER(TEXT(EDATE($D35,Milestones!$AA$86),"dd mmm yy"))&amp;" "&amp;Milestones!$AB$86&amp;" "&amp;Milestones!$AC$86&amp;";  ","")&amp;IF(AND(EDATE($D35,Milestones!$AA$87)&lt;=AsOfDate,IF($R35=0,$X35,IF(AND($T35&lt;&gt;"",EDATE($D35,Milestones!$AA$87)&gt;=$T35),$W35,IF(AND($S35&lt;&gt;"",EDATE($D35,Milestones!$AA$87)&gt;=$S35),$V35,$U35)))=Milestones!$AB$87),UPPER(TEXT(EDATE($D35,Milestones!$AA$87),"dd mmm yy"))&amp;" "&amp;Milestones!$AB$87&amp;" "&amp;Milestones!$AC$87&amp;";  ","")&amp;IF(AND(EDATE($D35,Milestones!$AA$88)&lt;=AsOfDate,IF($R35=0,$X35,IF(AND($T35&lt;&gt;"",EDATE($D35,Milestones!$AA$88)&gt;=$T35),$W35,IF(AND($S35&lt;&gt;"",EDATE($D35,Milestones!$AA$88)&gt;=$S35),$V35,$U35)))=Milestones!$AB$88),UPPER(TEXT(EDATE($D35,Milestones!$AA$88),"dd mmm yy"))&amp;" "&amp;Milestones!$AB$88&amp;" "&amp;Milestones!$AC$88&amp;";  ","")&amp;IF(AND(EDATE($D35,Milestones!$AA$89)&lt;=AsOfDate,IF($R35=0,$X35,IF(AND($T35&lt;&gt;"",EDATE($D35,Milestones!$AA$89)&gt;=$T35),$W35,IF(AND($S35&lt;&gt;"",EDATE($D35,Milestones!$AA$89)&gt;=$S35),$V35,$U35)))=Milestones!$AB$89),UPPER(TEXT(EDATE($D35,Milestones!$AA$89),"dd mmm yy"))&amp;" "&amp;Milestones!$AB$89&amp;" "&amp;Milestones!$AC$89&amp;";  ","")&amp;IF(AND(EDATE($D35,Milestones!$AA$90)&lt;=AsOfDate,IF($R35=0,$X35,IF(AND($T35&lt;&gt;"",EDATE($D35,Milestones!$AA$90)&gt;=$T35),$W35,IF(AND($S35&lt;&gt;"",EDATE($D35,Milestones!$AA$90)&gt;=$S35),$V35,$U35)))=Milestones!$AB$90),UPPER(TEXT(EDATE($D35,Milestones!$AA$90),"dd mmm yy"))&amp;" "&amp;Milestones!$AB$90&amp;" "&amp;Milestones!$AC$90&amp;";  ","")&amp;IF(AND(EDATE($D35,Milestones!$AA$91)&lt;=AsOfDate,IF($R35=0,$X35,IF(AND($T35&lt;&gt;"",EDATE($D35,Milestones!$AA$91)&gt;=$T35),$W35,IF(AND($S35&lt;&gt;"",EDATE($D35,Milestones!$AA$91)&gt;=$S35),$V35,$U35)))=Milestones!$AB$91),UPPER(TEXT(EDATE($D35,Milestones!$AA$91),"dd mmm yy"))&amp;" "&amp;Milestones!$AB$91&amp;" "&amp;Milestones!$AC$91&amp;";  ","")&amp;IF(AND(EDATE($D35,Milestones!$AA$92)&lt;=AsOfDate,IF($R35=0,$X35,IF(AND($T35&lt;&gt;"",EDATE($D35,Milestones!$AA$92)&gt;=$T35),$W35,IF(AND($S35&lt;&gt;"",EDATE($D35,Milestones!$AA$92)&gt;=$S35),$V35,$U35)))=Milestones!$AB$92),UPPER(TEXT(EDATE($D35,Milestones!$AA$92),"dd mmm yy"))&amp;" "&amp;Milestones!$AB$92&amp;" "&amp;Milestones!$AC$92&amp;";  ","")&amp;IF(AND(EDATE($D35,Milestones!$AA$93)&lt;=AsOfDate,IF($R35=0,$X35,IF(AND($T35&lt;&gt;"",EDATE($D35,Milestones!$AA$93)&gt;=$T35),$W35,IF(AND($S35&lt;&gt;"",EDATE($D35,Milestones!$AA$93)&gt;=$S35),$V35,$U35)))=Milestones!$AB$93),UPPER(TEXT(EDATE($D35,Milestones!$AA$93),"dd mmm yy"))&amp;" "&amp;Milestones!$AB$93&amp;" "&amp;Milestones!$AC$93&amp;";  ","")&amp;IF(AND(EDATE($D35,Milestones!$AA$94)&lt;=AsOfDate,IF($R35=0,$X35,IF(AND($T35&lt;&gt;"",EDATE($D35,Milestones!$AA$94)&gt;=$T35),$W35,IF(AND($S35&lt;&gt;"",EDATE($D35,Milestones!$AA$94)&gt;=$S35),$V35,$U35)))=Milestones!$AB$94),UPPER(TEXT(EDATE($D35,Milestones!$AA$94),"dd mmm yy"))&amp;" "&amp;Milestones!$AB$94&amp;" "&amp;Milestones!$AC$94&amp;";  ","")&amp;IF(AND(EDATE($D35,Milestones!$AA$95)&lt;=AsOfDate,IF($R35=0,$X35,IF(AND($T35&lt;&gt;"",EDATE($D35,Milestones!$AA$95)&gt;=$T35),$W35,IF(AND($S35&lt;&gt;"",EDATE($D35,Milestones!$AA$95)&gt;=$S35),$V35,$U35)))=Milestones!$AB$95),UPPER(TEXT(EDATE($D35,Milestones!$AA$95),"dd mmm yy"))&amp;" "&amp;Milestones!$AB$95&amp;" "&amp;Milestones!$AC$95&amp;";  ","")&amp;IF(AND(EDATE($D35,Milestones!$AA$96)&lt;=AsOfDate,IF($R35=0,$X35,IF(AND($T35&lt;&gt;"",EDATE($D35,Milestones!$AA$96)&gt;=$T35),$W35,IF(AND($S35&lt;&gt;"",EDATE($D35,Milestones!$AA$96)&gt;=$S35),$V35,$U35)))=Milestones!$AB$96),UPPER(TEXT(EDATE($D35,Milestones!$AA$96),"dd mmm yy"))&amp;" "&amp;Milestones!$AB$96&amp;" "&amp;Milestones!$AC$96&amp;";  ","")&amp;IF(AND(EDATE($D35,Milestones!$AA$97)&lt;=AsOfDate,IF($R35=0,$X35,IF(AND($T35&lt;&gt;"",EDATE($D35,Milestones!$AA$97)&gt;=$T35),$W35,IF(AND($S35&lt;&gt;"",EDATE($D35,Milestones!$AA$97)&gt;=$S35),$V35,$U35)))=Milestones!$AB$97),UPPER(TEXT(EDATE($D35,Milestones!$AA$97),"dd mmm yy"))&amp;" "&amp;Milestones!$AB$97&amp;" "&amp;Milestones!$AC$97&amp;";  ","")&amp;IF(AND(EDATE($D35,Milestones!$AA$98)&lt;=AsOfDate,IF($R35=0,$X35,IF(AND($T35&lt;&gt;"",EDATE($D35,Milestones!$AA$98)&gt;=$T35),$W35,IF(AND($S35&lt;&gt;"",EDATE($D35,Milestones!$AA$98)&gt;=$S35),$V35,$U35)))=Milestones!$AB$98),UPPER(TEXT(EDATE($D35,Milestones!$AA$98),"dd mmm yy"))&amp;" "&amp;Milestones!$AB$98&amp;" "&amp;Milestones!$AC$98&amp;";  ","")&amp;IF(AND(EDATE($D35,Milestones!$AA$99)&lt;=AsOfDate,IF($R35=0,$X35,IF(AND($T35&lt;&gt;"",EDATE($D35,Milestones!$AA$99)&gt;=$T35),$W35,IF(AND($S35&lt;&gt;"",EDATE($D35,Milestones!$AA$99)&gt;=$S35),$V35,$U35)))=Milestones!$AB$99),UPPER(TEXT(EDATE($D35,Milestones!$AA$99),"dd mmm yy"))&amp;" "&amp;Milestones!$AB$99&amp;" "&amp;Milestones!$AC$99&amp;";  ",""))</f>
        <v/>
      </c>
      <c r="M35" s="0" t="str">
        <f aca="false">IF(OR($A35="",$D35=""),"",IF(AND(EDATE($D35,Milestones!$AA$100)&lt;=AsOfDate,IF($R35=0,$X35,IF(AND($T35&lt;&gt;"",EDATE($D35,Milestones!$AA$100)&gt;=$T35),$W35,IF(AND($S35&lt;&gt;"",EDATE($D35,Milestones!$AA$100)&gt;=$S35),$V35,$U35)))=Milestones!$AB$100),UPPER(TEXT(EDATE($D35,Milestones!$AA$100),"dd mmm yy"))&amp;" "&amp;Milestones!$AB$100&amp;" "&amp;Milestones!$AC$100&amp;";  ","")&amp;IF(AND(EDATE($D35,Milestones!$AA$101)&lt;=AsOfDate,IF($R35=0,$X35,IF(AND($T35&lt;&gt;"",EDATE($D35,Milestones!$AA$101)&gt;=$T35),$W35,IF(AND($S35&lt;&gt;"",EDATE($D35,Milestones!$AA$101)&gt;=$S35),$V35,$U35)))=Milestones!$AB$101),UPPER(TEXT(EDATE($D35,Milestones!$AA$101),"dd mmm yy"))&amp;" "&amp;Milestones!$AB$101&amp;" "&amp;Milestones!$AC$101&amp;";  ","")&amp;IF(AND(EDATE($D35,Milestones!$AA$102)&lt;=AsOfDate,IF($R35=0,$X35,IF(AND($T35&lt;&gt;"",EDATE($D35,Milestones!$AA$102)&gt;=$T35),$W35,IF(AND($S35&lt;&gt;"",EDATE($D35,Milestones!$AA$102)&gt;=$S35),$V35,$U35)))=Milestones!$AB$102),UPPER(TEXT(EDATE($D35,Milestones!$AA$102),"dd mmm yy"))&amp;" "&amp;Milestones!$AB$102&amp;" "&amp;Milestones!$AC$102&amp;";  ","")&amp;IF(AND(EDATE($D35,Milestones!$AA$103)&lt;=AsOfDate,IF($R35=0,$X35,IF(AND($T35&lt;&gt;"",EDATE($D35,Milestones!$AA$103)&gt;=$T35),$W35,IF(AND($S35&lt;&gt;"",EDATE($D35,Milestones!$AA$103)&gt;=$S35),$V35,$U35)))=Milestones!$AB$103),UPPER(TEXT(EDATE($D35,Milestones!$AA$103),"dd mmm yy"))&amp;" "&amp;Milestones!$AB$103&amp;" "&amp;Milestones!$AC$103&amp;";  ","")&amp;IF(AND(EDATE($D35,Milestones!$AA$104)&lt;=AsOfDate,IF($R35=0,$X35,IF(AND($T35&lt;&gt;"",EDATE($D35,Milestones!$AA$104)&gt;=$T35),$W35,IF(AND($S35&lt;&gt;"",EDATE($D35,Milestones!$AA$104)&gt;=$S35),$V35,$U35)))=Milestones!$AB$104),UPPER(TEXT(EDATE($D35,Milestones!$AA$104),"dd mmm yy"))&amp;" "&amp;Milestones!$AB$104&amp;" "&amp;Milestones!$AC$104&amp;";  ","")&amp;IF(AND(EDATE($D35,Milestones!$AA$105)&lt;=AsOfDate,IF($R35=0,$X35,IF(AND($T35&lt;&gt;"",EDATE($D35,Milestones!$AA$105)&gt;=$T35),$W35,IF(AND($S35&lt;&gt;"",EDATE($D35,Milestones!$AA$105)&gt;=$S35),$V35,$U35)))=Milestones!$AB$105),UPPER(TEXT(EDATE($D35,Milestones!$AA$105),"dd mmm yy"))&amp;" "&amp;Milestones!$AB$105&amp;" "&amp;Milestones!$AC$105&amp;";  ","")&amp;IF(AND(EDATE($D35,Milestones!$AA$106)&lt;=AsOfDate,IF($R35=0,$X35,IF(AND($T35&lt;&gt;"",EDATE($D35,Milestones!$AA$106)&gt;=$T35),$W35,IF(AND($S35&lt;&gt;"",EDATE($D35,Milestones!$AA$106)&gt;=$S35),$V35,$U35)))=Milestones!$AB$106),UPPER(TEXT(EDATE($D35,Milestones!$AA$106),"dd mmm yy"))&amp;" "&amp;Milestones!$AB$106&amp;" "&amp;Milestones!$AC$106&amp;";  ","")&amp;IF(AND(EDATE($D35,Milestones!$AA$107)&lt;=AsOfDate,IF($R35=0,$X35,IF(AND($T35&lt;&gt;"",EDATE($D35,Milestones!$AA$107)&gt;=$T35),$W35,IF(AND($S35&lt;&gt;"",EDATE($D35,Milestones!$AA$107)&gt;=$S35),$V35,$U35)))=Milestones!$AB$107),UPPER(TEXT(EDATE($D35,Milestones!$AA$107),"dd mmm yy"))&amp;" "&amp;Milestones!$AB$107&amp;" "&amp;Milestones!$AC$107&amp;";  ","")&amp;IF(AND(EDATE($D35,Milestones!$AA$108)&lt;=AsOfDate,IF($R35=0,$X35,IF(AND($T35&lt;&gt;"",EDATE($D35,Milestones!$AA$108)&gt;=$T35),$W35,IF(AND($S35&lt;&gt;"",EDATE($D35,Milestones!$AA$108)&gt;=$S35),$V35,$U35)))=Milestones!$AB$108),UPPER(TEXT(EDATE($D35,Milestones!$AA$108),"dd mmm yy"))&amp;" "&amp;Milestones!$AB$108&amp;" "&amp;Milestones!$AC$108&amp;";  ","")&amp;IF(AND(EDATE($D35,Milestones!$AA$109)&lt;=AsOfDate,IF($R35=0,$X35,IF(AND($T35&lt;&gt;"",EDATE($D35,Milestones!$AA$109)&gt;=$T35),$W35,IF(AND($S35&lt;&gt;"",EDATE($D35,Milestones!$AA$109)&gt;=$S35),$V35,$U35)))=Milestones!$AB$109),UPPER(TEXT(EDATE($D35,Milestones!$AA$109),"dd mmm yy"))&amp;" "&amp;Milestones!$AB$109&amp;" "&amp;Milestones!$AC$109&amp;";  ","")&amp;IF(AND(EDATE($D35,Milestones!$AA$110)&lt;=AsOfDate,IF($R35=0,$X35,IF(AND($T35&lt;&gt;"",EDATE($D35,Milestones!$AA$110)&gt;=$T35),$W35,IF(AND($S35&lt;&gt;"",EDATE($D35,Milestones!$AA$110)&gt;=$S35),$V35,$U35)))=Milestones!$AB$110),UPPER(TEXT(EDATE($D35,Milestones!$AA$110),"dd mmm yy"))&amp;" "&amp;Milestones!$AB$110&amp;" "&amp;Milestones!$AC$110&amp;";  ","")&amp;IF(AND(EDATE($D35,Milestones!$AA$111)&lt;=AsOfDate,IF($R35=0,$X35,IF(AND($T35&lt;&gt;"",EDATE($D35,Milestones!$AA$111)&gt;=$T35),$W35,IF(AND($S35&lt;&gt;"",EDATE($D35,Milestones!$AA$111)&gt;=$S35),$V35,$U35)))=Milestones!$AB$111),UPPER(TEXT(EDATE($D35,Milestones!$AA$111),"dd mmm yy"))&amp;" "&amp;Milestones!$AB$111&amp;" "&amp;Milestones!$AC$111&amp;";  ","")&amp;IF(AND(EDATE($D35,Milestones!$AA$112)&lt;=AsOfDate,IF($R35=0,$X35,IF(AND($T35&lt;&gt;"",EDATE($D35,Milestones!$AA$112)&gt;=$T35),$W35,IF(AND($S35&lt;&gt;"",EDATE($D35,Milestones!$AA$112)&gt;=$S35),$V35,$U35)))=Milestones!$AB$112),UPPER(TEXT(EDATE($D35,Milestones!$AA$112),"dd mmm yy"))&amp;" "&amp;Milestones!$AB$112&amp;" "&amp;Milestones!$AC$112&amp;";  ","")&amp;IF(AND(EDATE($D35,Milestones!$AA$113)&lt;=AsOfDate,IF($R35=0,$X35,IF(AND($T35&lt;&gt;"",EDATE($D35,Milestones!$AA$113)&gt;=$T35),$W35,IF(AND($S35&lt;&gt;"",EDATE($D35,Milestones!$AA$113)&gt;=$S35),$V35,$U35)))=Milestones!$AB$113),UPPER(TEXT(EDATE($D35,Milestones!$AA$113),"dd mmm yy"))&amp;" "&amp;Milestones!$AB$113&amp;" "&amp;Milestones!$AC$113&amp;";  ","")&amp;IF(AND(EDATE($D35,Milestones!$AA$114)&lt;=AsOfDate,IF($R35=0,$X35,IF(AND($T35&lt;&gt;"",EDATE($D35,Milestones!$AA$114)&gt;=$T35),$W35,IF(AND($S35&lt;&gt;"",EDATE($D35,Milestones!$AA$114)&gt;=$S35),$V35,$U35)))=Milestones!$AB$114),UPPER(TEXT(EDATE($D35,Milestones!$AA$114),"dd mmm yy"))&amp;" "&amp;Milestones!$AB$114&amp;" "&amp;Milestones!$AC$114&amp;";  ","")&amp;IF(AND(EDATE($D35,Milestones!$AA$115)&lt;=AsOfDate,IF($R35=0,$X35,IF(AND($T35&lt;&gt;"",EDATE($D35,Milestones!$AA$115)&gt;=$T35),$W35,IF(AND($S35&lt;&gt;"",EDATE($D35,Milestones!$AA$115)&gt;=$S35),$V35,$U35)))=Milestones!$AB$115),UPPER(TEXT(EDATE($D35,Milestones!$AA$115),"dd mmm yy"))&amp;" "&amp;Milestones!$AB$115&amp;" "&amp;Milestones!$AC$115&amp;";  ","")&amp;IF(AND(EDATE($D35,Milestones!$AA$116)&lt;=AsOfDate,IF($R35=0,$X35,IF(AND($T35&lt;&gt;"",EDATE($D35,Milestones!$AA$116)&gt;=$T35),$W35,IF(AND($S35&lt;&gt;"",EDATE($D35,Milestones!$AA$116)&gt;=$S35),$V35,$U35)))=Milestones!$AB$116),UPPER(TEXT(EDATE($D35,Milestones!$AA$116),"dd mmm yy"))&amp;" "&amp;Milestones!$AB$116&amp;" "&amp;Milestones!$AC$116&amp;";  ","")&amp;IF(AND(EDATE($D35,Milestones!$AA$117)&lt;=AsOfDate,IF($R35=0,$X35,IF(AND($T35&lt;&gt;"",EDATE($D35,Milestones!$AA$117)&gt;=$T35),$W35,IF(AND($S35&lt;&gt;"",EDATE($D35,Milestones!$AA$117)&gt;=$S35),$V35,$U35)))=Milestones!$AB$117),UPPER(TEXT(EDATE($D35,Milestones!$AA$117),"dd mmm yy"))&amp;" "&amp;Milestones!$AB$117&amp;" "&amp;Milestones!$AC$117&amp;";  ","")&amp;IF(AND(EDATE($D35,Milestones!$AA$118)&lt;=AsOfDate,IF($R35=0,$X35,IF(AND($T35&lt;&gt;"",EDATE($D35,Milestones!$AA$118)&gt;=$T35),$W35,IF(AND($S35&lt;&gt;"",EDATE($D35,Milestones!$AA$118)&gt;=$S35),$V35,$U35)))=Milestones!$AB$118),UPPER(TEXT(EDATE($D35,Milestones!$AA$118),"dd mmm yy"))&amp;" "&amp;Milestones!$AB$118&amp;" "&amp;Milestones!$AC$118&amp;";  ","")&amp;IF(AND(EDATE($D35,Milestones!$AA$119)&lt;=AsOfDate,IF($R35=0,$X35,IF(AND($T35&lt;&gt;"",EDATE($D35,Milestones!$AA$119)&gt;=$T35),$W35,IF(AND($S35&lt;&gt;"",EDATE($D35,Milestones!$AA$119)&gt;=$S35),$V35,$U35)))=Milestones!$AB$119),UPPER(TEXT(EDATE($D35,Milestones!$AA$119),"dd mmm yy"))&amp;" "&amp;Milestones!$AB$119&amp;" "&amp;Milestones!$AC$119&amp;";  ",""))</f>
        <v/>
      </c>
      <c r="N35" s="0" t="str">
        <f aca="false">IF(OR($A35="",$D35=""),"",IF(AND(EDATE($D35,Milestones!$AA$120)&lt;=AsOfDate,IF($R35=0,$X35,IF(AND($T35&lt;&gt;"",EDATE($D35,Milestones!$AA$120)&gt;=$T35),$W35,IF(AND($S35&lt;&gt;"",EDATE($D35,Milestones!$AA$120)&gt;=$S35),$V35,$U35)))=Milestones!$AB$120),UPPER(TEXT(EDATE($D35,Milestones!$AA$120),"dd mmm yy"))&amp;" "&amp;Milestones!$AB$120&amp;" "&amp;Milestones!$AC$120&amp;";  ","")&amp;IF(AND(EDATE($D35,Milestones!$AA$121)&lt;=AsOfDate,IF($R35=0,$X35,IF(AND($T35&lt;&gt;"",EDATE($D35,Milestones!$AA$121)&gt;=$T35),$W35,IF(AND($S35&lt;&gt;"",EDATE($D35,Milestones!$AA$121)&gt;=$S35),$V35,$U35)))=Milestones!$AB$121),UPPER(TEXT(EDATE($D35,Milestones!$AA$121),"dd mmm yy"))&amp;" "&amp;Milestones!$AB$121&amp;" "&amp;Milestones!$AC$121&amp;";  ","")&amp;IF(AND(EDATE($D35,Milestones!$AA$122)&lt;=AsOfDate,IF($R35=0,$X35,IF(AND($T35&lt;&gt;"",EDATE($D35,Milestones!$AA$122)&gt;=$T35),$W35,IF(AND($S35&lt;&gt;"",EDATE($D35,Milestones!$AA$122)&gt;=$S35),$V35,$U35)))=Milestones!$AB$122),UPPER(TEXT(EDATE($D35,Milestones!$AA$122),"dd mmm yy"))&amp;" "&amp;Milestones!$AB$122&amp;" "&amp;Milestones!$AC$122&amp;";  ","")&amp;IF(AND(EDATE($D35,Milestones!$AA$123)&lt;=AsOfDate,IF($R35=0,$X35,IF(AND($T35&lt;&gt;"",EDATE($D35,Milestones!$AA$123)&gt;=$T35),$W35,IF(AND($S35&lt;&gt;"",EDATE($D35,Milestones!$AA$123)&gt;=$S35),$V35,$U35)))=Milestones!$AB$123),UPPER(TEXT(EDATE($D35,Milestones!$AA$123),"dd mmm yy"))&amp;" "&amp;Milestones!$AB$123&amp;" "&amp;Milestones!$AC$123&amp;";  ","")&amp;IF(AND(EDATE($D35,Milestones!$AA$124)&lt;=AsOfDate,IF($R35=0,$X35,IF(AND($T35&lt;&gt;"",EDATE($D35,Milestones!$AA$124)&gt;=$T35),$W35,IF(AND($S35&lt;&gt;"",EDATE($D35,Milestones!$AA$124)&gt;=$S35),$V35,$U35)))=Milestones!$AB$124),UPPER(TEXT(EDATE($D35,Milestones!$AA$124),"dd mmm yy"))&amp;" "&amp;Milestones!$AB$124&amp;" "&amp;Milestones!$AC$124&amp;";  ","")&amp;IF(AND(EDATE($D35,Milestones!$AA$125)&lt;=AsOfDate,IF($R35=0,$X35,IF(AND($T35&lt;&gt;"",EDATE($D35,Milestones!$AA$125)&gt;=$T35),$W35,IF(AND($S35&lt;&gt;"",EDATE($D35,Milestones!$AA$125)&gt;=$S35),$V35,$U35)))=Milestones!$AB$125),UPPER(TEXT(EDATE($D35,Milestones!$AA$125),"dd mmm yy"))&amp;" "&amp;Milestones!$AB$125&amp;" "&amp;Milestones!$AC$125&amp;";  ","")&amp;IF(AND(EDATE($D35,Milestones!$AA$126)&lt;=AsOfDate,IF($R35=0,$X35,IF(AND($T35&lt;&gt;"",EDATE($D35,Milestones!$AA$126)&gt;=$T35),$W35,IF(AND($S35&lt;&gt;"",EDATE($D35,Milestones!$AA$126)&gt;=$S35),$V35,$U35)))=Milestones!$AB$126),UPPER(TEXT(EDATE($D35,Milestones!$AA$126),"dd mmm yy"))&amp;" "&amp;Milestones!$AB$126&amp;" "&amp;Milestones!$AC$126&amp;";  ","")&amp;IF(AND(EDATE($D35,Milestones!$AA$127)&lt;=AsOfDate,IF($R35=0,$X35,IF(AND($T35&lt;&gt;"",EDATE($D35,Milestones!$AA$127)&gt;=$T35),$W35,IF(AND($S35&lt;&gt;"",EDATE($D35,Milestones!$AA$127)&gt;=$S35),$V35,$U35)))=Milestones!$AB$127),UPPER(TEXT(EDATE($D35,Milestones!$AA$127),"dd mmm yy"))&amp;" "&amp;Milestones!$AB$127&amp;" "&amp;Milestones!$AC$127&amp;";  ","")&amp;IF(AND(EDATE($D35,Milestones!$AA$128)&lt;=AsOfDate,IF($R35=0,$X35,IF(AND($T35&lt;&gt;"",EDATE($D35,Milestones!$AA$128)&gt;=$T35),$W35,IF(AND($S35&lt;&gt;"",EDATE($D35,Milestones!$AA$128)&gt;=$S35),$V35,$U35)))=Milestones!$AB$128),UPPER(TEXT(EDATE($D35,Milestones!$AA$128),"dd mmm yy"))&amp;" "&amp;Milestones!$AB$128&amp;" "&amp;Milestones!$AC$128&amp;";  ","")&amp;IF(AND(EDATE($D35,Milestones!$AA$129)&lt;=AsOfDate,IF($R35=0,$X35,IF(AND($T35&lt;&gt;"",EDATE($D35,Milestones!$AA$129)&gt;=$T35),$W35,IF(AND($S35&lt;&gt;"",EDATE($D35,Milestones!$AA$129)&gt;=$S35),$V35,$U35)))=Milestones!$AB$129),UPPER(TEXT(EDATE($D35,Milestones!$AA$129),"dd mmm yy"))&amp;" "&amp;Milestones!$AB$129&amp;" "&amp;Milestones!$AC$129&amp;";  ","")&amp;IF(AND(EDATE($D35,Milestones!$AA$130)&lt;=AsOfDate,IF($R35=0,$X35,IF(AND($T35&lt;&gt;"",EDATE($D35,Milestones!$AA$130)&gt;=$T35),$W35,IF(AND($S35&lt;&gt;"",EDATE($D35,Milestones!$AA$130)&gt;=$S35),$V35,$U35)))=Milestones!$AB$130),UPPER(TEXT(EDATE($D35,Milestones!$AA$130),"dd mmm yy"))&amp;" "&amp;Milestones!$AB$130&amp;" "&amp;Milestones!$AC$130&amp;";  ","")&amp;IF(AND(EDATE($D35,Milestones!$AA$131)&lt;=AsOfDate,IF($R35=0,$X35,IF(AND($T35&lt;&gt;"",EDATE($D35,Milestones!$AA$131)&gt;=$T35),$W35,IF(AND($S35&lt;&gt;"",EDATE($D35,Milestones!$AA$131)&gt;=$S35),$V35,$U35)))=Milestones!$AB$131),UPPER(TEXT(EDATE($D35,Milestones!$AA$131),"dd mmm yy"))&amp;" "&amp;Milestones!$AB$131&amp;" "&amp;Milestones!$AC$131&amp;";  ","")&amp;IF(AND(EDATE($D35,Milestones!$AA$132)&lt;=AsOfDate,IF($R35=0,$X35,IF(AND($T35&lt;&gt;"",EDATE($D35,Milestones!$AA$132)&gt;=$T35),$W35,IF(AND($S35&lt;&gt;"",EDATE($D35,Milestones!$AA$132)&gt;=$S35),$V35,$U35)))=Milestones!$AB$132),UPPER(TEXT(EDATE($D35,Milestones!$AA$132),"dd mmm yy"))&amp;" "&amp;Milestones!$AB$132&amp;" "&amp;Milestones!$AC$132&amp;";  ","")&amp;IF(AND(EDATE($D35,Milestones!$AA$133)&lt;=AsOfDate,IF($R35=0,$X35,IF(AND($T35&lt;&gt;"",EDATE($D35,Milestones!$AA$133)&gt;=$T35),$W35,IF(AND($S35&lt;&gt;"",EDATE($D35,Milestones!$AA$133)&gt;=$S35),$V35,$U35)))=Milestones!$AB$133),UPPER(TEXT(EDATE($D35,Milestones!$AA$133),"dd mmm yy"))&amp;" "&amp;Milestones!$AB$133&amp;" "&amp;Milestones!$AC$133&amp;";  ","")&amp;IF(AND(EDATE($D35,Milestones!$AA$134)&lt;=AsOfDate,IF($R35=0,$X35,IF(AND($T35&lt;&gt;"",EDATE($D35,Milestones!$AA$134)&gt;=$T35),$W35,IF(AND($S35&lt;&gt;"",EDATE($D35,Milestones!$AA$134)&gt;=$S35),$V35,$U35)))=Milestones!$AB$134),UPPER(TEXT(EDATE($D35,Milestones!$AA$134),"dd mmm yy"))&amp;" "&amp;Milestones!$AB$134&amp;" "&amp;Milestones!$AC$134&amp;";  ","")&amp;IF(AND(EDATE($D35,Milestones!$AA$135)&lt;=AsOfDate,IF($R35=0,$X35,IF(AND($T35&lt;&gt;"",EDATE($D35,Milestones!$AA$135)&gt;=$T35),$W35,IF(AND($S35&lt;&gt;"",EDATE($D35,Milestones!$AA$135)&gt;=$S35),$V35,$U35)))=Milestones!$AB$135),UPPER(TEXT(EDATE($D35,Milestones!$AA$135),"dd mmm yy"))&amp;" "&amp;Milestones!$AB$135&amp;" "&amp;Milestones!$AC$135&amp;";  ","")&amp;IF(AND(EDATE($D35,Milestones!$AA$136)&lt;=AsOfDate,IF($R35=0,$X35,IF(AND($T35&lt;&gt;"",EDATE($D35,Milestones!$AA$136)&gt;=$T35),$W35,IF(AND($S35&lt;&gt;"",EDATE($D35,Milestones!$AA$136)&gt;=$S35),$V35,$U35)))=Milestones!$AB$136),UPPER(TEXT(EDATE($D35,Milestones!$AA$136),"dd mmm yy"))&amp;" "&amp;Milestones!$AB$136&amp;" "&amp;Milestones!$AC$136&amp;";  ","")&amp;IF(AND(EDATE($D35,Milestones!$AA$137)&lt;=AsOfDate,IF($R35=0,$X35,IF(AND($T35&lt;&gt;"",EDATE($D35,Milestones!$AA$137)&gt;=$T35),$W35,IF(AND($S35&lt;&gt;"",EDATE($D35,Milestones!$AA$137)&gt;=$S35),$V35,$U35)))=Milestones!$AB$137),UPPER(TEXT(EDATE($D35,Milestones!$AA$137),"dd mmm yy"))&amp;" "&amp;Milestones!$AB$137&amp;" "&amp;Milestones!$AC$137&amp;";  ","")&amp;IF(AND(EDATE($D35,Milestones!$AA$138)&lt;=AsOfDate,IF($R35=0,$X35,IF(AND($T35&lt;&gt;"",EDATE($D35,Milestones!$AA$138)&gt;=$T35),$W35,IF(AND($S35&lt;&gt;"",EDATE($D35,Milestones!$AA$138)&gt;=$S35),$V35,$U35)))=Milestones!$AB$138),UPPER(TEXT(EDATE($D35,Milestones!$AA$138),"dd mmm yy"))&amp;" "&amp;Milestones!$AB$138&amp;" "&amp;Milestones!$AC$138&amp;";  ","")&amp;IF(AND(EDATE($D35,Milestones!$AA$139)&lt;=AsOfDate,IF($R35=0,$X35,IF(AND($T35&lt;&gt;"",EDATE($D35,Milestones!$AA$139)&gt;=$T35),$W35,IF(AND($S35&lt;&gt;"",EDATE($D35,Milestones!$AA$139)&gt;=$S35),$V35,$U35)))=Milestones!$AB$139),UPPER(TEXT(EDATE($D35,Milestones!$AA$139),"dd mmm yy"))&amp;" "&amp;Milestones!$AB$139&amp;" "&amp;Milestones!$AC$139&amp;";  ",""))</f>
        <v/>
      </c>
      <c r="O35" s="0" t="str">
        <f aca="false">IF(OR($A35="",$D35=""),"",IF(AND(EDATE($D35,Milestones!$AA$140)&lt;=AsOfDate,IF($R35=0,$X35,IF(AND($T35&lt;&gt;"",EDATE($D35,Milestones!$AA$140)&gt;=$T35),$W35,IF(AND($S35&lt;&gt;"",EDATE($D35,Milestones!$AA$140)&gt;=$S35),$V35,$U35)))=Milestones!$AB$140),UPPER(TEXT(EDATE($D35,Milestones!$AA$140),"dd mmm yy"))&amp;" "&amp;Milestones!$AB$140&amp;" "&amp;Milestones!$AC$140&amp;";  ","")&amp;IF(AND(EDATE($D35,Milestones!$AA$141)&lt;=AsOfDate,IF($R35=0,$X35,IF(AND($T35&lt;&gt;"",EDATE($D35,Milestones!$AA$141)&gt;=$T35),$W35,IF(AND($S35&lt;&gt;"",EDATE($D35,Milestones!$AA$141)&gt;=$S35),$V35,$U35)))=Milestones!$AB$141),UPPER(TEXT(EDATE($D35,Milestones!$AA$141),"dd mmm yy"))&amp;" "&amp;Milestones!$AB$141&amp;" "&amp;Milestones!$AC$141&amp;";  ","")&amp;IF(AND(EDATE($D35,Milestones!$AA$142)&lt;=AsOfDate,IF($R35=0,$X35,IF(AND($T35&lt;&gt;"",EDATE($D35,Milestones!$AA$142)&gt;=$T35),$W35,IF(AND($S35&lt;&gt;"",EDATE($D35,Milestones!$AA$142)&gt;=$S35),$V35,$U35)))=Milestones!$AB$142),UPPER(TEXT(EDATE($D35,Milestones!$AA$142),"dd mmm yy"))&amp;" "&amp;Milestones!$AB$142&amp;" "&amp;Milestones!$AC$142&amp;";  ","")&amp;IF(AND(EDATE($D35,Milestones!$AA$143)&lt;=AsOfDate,IF($R35=0,$X35,IF(AND($T35&lt;&gt;"",EDATE($D35,Milestones!$AA$143)&gt;=$T35),$W35,IF(AND($S35&lt;&gt;"",EDATE($D35,Milestones!$AA$143)&gt;=$S35),$V35,$U35)))=Milestones!$AB$143),UPPER(TEXT(EDATE($D35,Milestones!$AA$143),"dd mmm yy"))&amp;" "&amp;Milestones!$AB$143&amp;" "&amp;Milestones!$AC$143&amp;";  ","")&amp;IF(AND(EDATE($D35,Milestones!$AA$144)&lt;=AsOfDate,IF($R35=0,$X35,IF(AND($T35&lt;&gt;"",EDATE($D35,Milestones!$AA$144)&gt;=$T35),$W35,IF(AND($S35&lt;&gt;"",EDATE($D35,Milestones!$AA$144)&gt;=$S35),$V35,$U35)))=Milestones!$AB$144),UPPER(TEXT(EDATE($D35,Milestones!$AA$144),"dd mmm yy"))&amp;" "&amp;Milestones!$AB$144&amp;" "&amp;Milestones!$AC$144&amp;";  ","")&amp;IF(AND(EDATE($D35,Milestones!$AA$145)&lt;=AsOfDate,IF($R35=0,$X35,IF(AND($T35&lt;&gt;"",EDATE($D35,Milestones!$AA$145)&gt;=$T35),$W35,IF(AND($S35&lt;&gt;"",EDATE($D35,Milestones!$AA$145)&gt;=$S35),$V35,$U35)))=Milestones!$AB$145),UPPER(TEXT(EDATE($D35,Milestones!$AA$145),"dd mmm yy"))&amp;" "&amp;Milestones!$AB$145&amp;" "&amp;Milestones!$AC$145&amp;";  ","")&amp;IF(AND(EDATE($D35,Milestones!$AA$146)&lt;=AsOfDate,IF($R35=0,$X35,IF(AND($T35&lt;&gt;"",EDATE($D35,Milestones!$AA$146)&gt;=$T35),$W35,IF(AND($S35&lt;&gt;"",EDATE($D35,Milestones!$AA$146)&gt;=$S35),$V35,$U35)))=Milestones!$AB$146),UPPER(TEXT(EDATE($D35,Milestones!$AA$146),"dd mmm yy"))&amp;" "&amp;Milestones!$AB$146&amp;" "&amp;Milestones!$AC$146&amp;";  ","")&amp;IF(AND(EDATE($D35,Milestones!$AA$147)&lt;=AsOfDate,IF($R35=0,$X35,IF(AND($T35&lt;&gt;"",EDATE($D35,Milestones!$AA$147)&gt;=$T35),$W35,IF(AND($S35&lt;&gt;"",EDATE($D35,Milestones!$AA$147)&gt;=$S35),$V35,$U35)))=Milestones!$AB$147),UPPER(TEXT(EDATE($D35,Milestones!$AA$147),"dd mmm yy"))&amp;" "&amp;Milestones!$AB$147&amp;" "&amp;Milestones!$AC$147&amp;";  ","")&amp;IF(AND(EDATE($D35,Milestones!$AA$148)&lt;=AsOfDate,IF($R35=0,$X35,IF(AND($T35&lt;&gt;"",EDATE($D35,Milestones!$AA$148)&gt;=$T35),$W35,IF(AND($S35&lt;&gt;"",EDATE($D35,Milestones!$AA$148)&gt;=$S35),$V35,$U35)))=Milestones!$AB$148),UPPER(TEXT(EDATE($D35,Milestones!$AA$148),"dd mmm yy"))&amp;" "&amp;Milestones!$AB$148&amp;" "&amp;Milestones!$AC$148&amp;";  ","")&amp;IF(AND(EDATE($D35,Milestones!$AA$149)&lt;=AsOfDate,IF($R35=0,$X35,IF(AND($T35&lt;&gt;"",EDATE($D35,Milestones!$AA$149)&gt;=$T35),$W35,IF(AND($S35&lt;&gt;"",EDATE($D35,Milestones!$AA$149)&gt;=$S35),$V35,$U35)))=Milestones!$AB$149),UPPER(TEXT(EDATE($D35,Milestones!$AA$149),"dd mmm yy"))&amp;" "&amp;Milestones!$AB$149&amp;" "&amp;Milestones!$AC$149&amp;";  ","")&amp;IF(AND(EDATE($D35,Milestones!$AA$150)&lt;=AsOfDate,IF($R35=0,$X35,IF(AND($T35&lt;&gt;"",EDATE($D35,Milestones!$AA$150)&gt;=$T35),$W35,IF(AND($S35&lt;&gt;"",EDATE($D35,Milestones!$AA$150)&gt;=$S35),$V35,$U35)))=Milestones!$AB$150),UPPER(TEXT(EDATE($D35,Milestones!$AA$150),"dd mmm yy"))&amp;" "&amp;Milestones!$AB$150&amp;" "&amp;Milestones!$AC$150&amp;";  ","")&amp;IF(AND(EDATE($D35,Milestones!$AA$151)&lt;=AsOfDate,IF($R35=0,$X35,IF(AND($T35&lt;&gt;"",EDATE($D35,Milestones!$AA$151)&gt;=$T35),$W35,IF(AND($S35&lt;&gt;"",EDATE($D35,Milestones!$AA$151)&gt;=$S35),$V35,$U35)))=Milestones!$AB$151),UPPER(TEXT(EDATE($D35,Milestones!$AA$151),"dd mmm yy"))&amp;" "&amp;Milestones!$AB$151&amp;" "&amp;Milestones!$AC$151&amp;";  ","")&amp;IF(AND(EDATE($D35,Milestones!$AA$152)&lt;=AsOfDate,IF($R35=0,$X35,IF(AND($T35&lt;&gt;"",EDATE($D35,Milestones!$AA$152)&gt;=$T35),$W35,IF(AND($S35&lt;&gt;"",EDATE($D35,Milestones!$AA$152)&gt;=$S35),$V35,$U35)))=Milestones!$AB$152),UPPER(TEXT(EDATE($D35,Milestones!$AA$152),"dd mmm yy"))&amp;" "&amp;Milestones!$AB$152&amp;" "&amp;Milestones!$AC$152&amp;";  ","")&amp;IF(AND(EDATE($D35,Milestones!$AA$153)&lt;=AsOfDate,IF($R35=0,$X35,IF(AND($T35&lt;&gt;"",EDATE($D35,Milestones!$AA$153)&gt;=$T35),$W35,IF(AND($S35&lt;&gt;"",EDATE($D35,Milestones!$AA$153)&gt;=$S35),$V35,$U35)))=Milestones!$AB$153),UPPER(TEXT(EDATE($D35,Milestones!$AA$153),"dd mmm yy"))&amp;" "&amp;Milestones!$AB$153&amp;" "&amp;Milestones!$AC$153&amp;";  ","")&amp;IF(AND(EDATE($D35,Milestones!$AA$154)&lt;=AsOfDate,IF($R35=0,$X35,IF(AND($T35&lt;&gt;"",EDATE($D35,Milestones!$AA$154)&gt;=$T35),$W35,IF(AND($S35&lt;&gt;"",EDATE($D35,Milestones!$AA$154)&gt;=$S35),$V35,$U35)))=Milestones!$AB$154),UPPER(TEXT(EDATE($D35,Milestones!$AA$154),"dd mmm yy"))&amp;" "&amp;Milestones!$AB$154&amp;" "&amp;Milestones!$AC$154&amp;";  ","")&amp;IF(AND(EDATE($D35,Milestones!$AA$155)&lt;=AsOfDate,IF($R35=0,$X35,IF(AND($T35&lt;&gt;"",EDATE($D35,Milestones!$AA$155)&gt;=$T35),$W35,IF(AND($S35&lt;&gt;"",EDATE($D35,Milestones!$AA$155)&gt;=$S35),$V35,$U35)))=Milestones!$AB$155),UPPER(TEXT(EDATE($D35,Milestones!$AA$155),"dd mmm yy"))&amp;" "&amp;Milestones!$AB$155&amp;" "&amp;Milestones!$AC$155&amp;";  ","")&amp;IF(AND(EDATE($D35,Milestones!$AA$156)&lt;=AsOfDate,IF($R35=0,$X35,IF(AND($T35&lt;&gt;"",EDATE($D35,Milestones!$AA$156)&gt;=$T35),$W35,IF(AND($S35&lt;&gt;"",EDATE($D35,Milestones!$AA$156)&gt;=$S35),$V35,$U35)))=Milestones!$AB$156),UPPER(TEXT(EDATE($D35,Milestones!$AA$156),"dd mmm yy"))&amp;" "&amp;Milestones!$AB$156&amp;" "&amp;Milestones!$AC$156&amp;";  ","")&amp;IF(AND(EDATE($D35,Milestones!$AA$157)&lt;=AsOfDate,IF($R35=0,$X35,IF(AND($T35&lt;&gt;"",EDATE($D35,Milestones!$AA$157)&gt;=$T35),$W35,IF(AND($S35&lt;&gt;"",EDATE($D35,Milestones!$AA$157)&gt;=$S35),$V35,$U35)))=Milestones!$AB$157),UPPER(TEXT(EDATE($D35,Milestones!$AA$157),"dd mmm yy"))&amp;" "&amp;Milestones!$AB$157&amp;" "&amp;Milestones!$AC$157&amp;";  ","")&amp;IF(AND(EDATE($D35,Milestones!$AA$158)&lt;=AsOfDate,IF($R35=0,$X35,IF(AND($T35&lt;&gt;"",EDATE($D35,Milestones!$AA$158)&gt;=$T35),$W35,IF(AND($S35&lt;&gt;"",EDATE($D35,Milestones!$AA$158)&gt;=$S35),$V35,$U35)))=Milestones!$AB$158),UPPER(TEXT(EDATE($D35,Milestones!$AA$158),"dd mmm yy"))&amp;" "&amp;Milestones!$AB$158&amp;" "&amp;Milestones!$AC$158&amp;";  ","")&amp;IF(AND(EDATE($D35,Milestones!$AA$159)&lt;=AsOfDate,IF($R35=0,$X35,IF(AND($T35&lt;&gt;"",EDATE($D35,Milestones!$AA$159)&gt;=$T35),$W35,IF(AND($S35&lt;&gt;"",EDATE($D35,Milestones!$AA$159)&gt;=$S35),$V35,$U35)))=Milestones!$AB$159),UPPER(TEXT(EDATE($D35,Milestones!$AA$159),"dd mmm yy"))&amp;" "&amp;Milestones!$AB$159&amp;" "&amp;Milestones!$AC$159&amp;";  ",""))</f>
        <v/>
      </c>
      <c r="P35" s="0" t="str">
        <f aca="false">IF(OR($A35="",$D35=""),"",IF(AND(EDATE($D35,Milestones!$AA$160)&lt;=AsOfDate,IF($R35=0,$X35,IF(AND($T35&lt;&gt;"",EDATE($D35,Milestones!$AA$160)&gt;=$T35),$W35,IF(AND($S35&lt;&gt;"",EDATE($D35,Milestones!$AA$160)&gt;=$S35),$V35,$U35)))=Milestones!$AB$160),UPPER(TEXT(EDATE($D35,Milestones!$AA$160),"dd mmm yy"))&amp;" "&amp;Milestones!$AB$160&amp;" "&amp;Milestones!$AC$160&amp;";  ","")&amp;IF(AND(EDATE($D35,Milestones!$AA$161)&lt;=AsOfDate,IF($R35=0,$X35,IF(AND($T35&lt;&gt;"",EDATE($D35,Milestones!$AA$161)&gt;=$T35),$W35,IF(AND($S35&lt;&gt;"",EDATE($D35,Milestones!$AA$161)&gt;=$S35),$V35,$U35)))=Milestones!$AB$161),UPPER(TEXT(EDATE($D35,Milestones!$AA$161),"dd mmm yy"))&amp;" "&amp;Milestones!$AB$161&amp;" "&amp;Milestones!$AC$161&amp;";  ","")&amp;IF(AND(EDATE($D35,Milestones!$AA$162)&lt;=AsOfDate,IF($R35=0,$X35,IF(AND($T35&lt;&gt;"",EDATE($D35,Milestones!$AA$162)&gt;=$T35),$W35,IF(AND($S35&lt;&gt;"",EDATE($D35,Milestones!$AA$162)&gt;=$S35),$V35,$U35)))=Milestones!$AB$162),UPPER(TEXT(EDATE($D35,Milestones!$AA$162),"dd mmm yy"))&amp;" "&amp;Milestones!$AB$162&amp;" "&amp;Milestones!$AC$162&amp;";  ","")&amp;IF(AND(EDATE($D35,Milestones!$AA$163)&lt;=AsOfDate,IF($R35=0,$X35,IF(AND($T35&lt;&gt;"",EDATE($D35,Milestones!$AA$163)&gt;=$T35),$W35,IF(AND($S35&lt;&gt;"",EDATE($D35,Milestones!$AA$163)&gt;=$S35),$V35,$U35)))=Milestones!$AB$163),UPPER(TEXT(EDATE($D35,Milestones!$AA$163),"dd mmm yy"))&amp;" "&amp;Milestones!$AB$163&amp;" "&amp;Milestones!$AC$163&amp;";  ","")&amp;IF(AND(EDATE($D35,Milestones!$AA$164)&lt;=AsOfDate,IF($R35=0,$X35,IF(AND($T35&lt;&gt;"",EDATE($D35,Milestones!$AA$164)&gt;=$T35),$W35,IF(AND($S35&lt;&gt;"",EDATE($D35,Milestones!$AA$164)&gt;=$S35),$V35,$U35)))=Milestones!$AB$164),UPPER(TEXT(EDATE($D35,Milestones!$AA$164),"dd mmm yy"))&amp;" "&amp;Milestones!$AB$164&amp;" "&amp;Milestones!$AC$164&amp;";  ","")&amp;IF(AND(EDATE($D35,Milestones!$AA$165)&lt;=AsOfDate,IF($R35=0,$X35,IF(AND($T35&lt;&gt;"",EDATE($D35,Milestones!$AA$165)&gt;=$T35),$W35,IF(AND($S35&lt;&gt;"",EDATE($D35,Milestones!$AA$165)&gt;=$S35),$V35,$U35)))=Milestones!$AB$165),UPPER(TEXT(EDATE($D35,Milestones!$AA$165),"dd mmm yy"))&amp;" "&amp;Milestones!$AB$165&amp;" "&amp;Milestones!$AC$165&amp;";  ","")&amp;IF(AND(EDATE($D35,Milestones!$AA$166)&lt;=AsOfDate,IF($R35=0,$X35,IF(AND($T35&lt;&gt;"",EDATE($D35,Milestones!$AA$166)&gt;=$T35),$W35,IF(AND($S35&lt;&gt;"",EDATE($D35,Milestones!$AA$166)&gt;=$S35),$V35,$U35)))=Milestones!$AB$166),UPPER(TEXT(EDATE($D35,Milestones!$AA$166),"dd mmm yy"))&amp;" "&amp;Milestones!$AB$166&amp;" "&amp;Milestones!$AC$166&amp;";  ","")&amp;IF(AND(EDATE($D35,Milestones!$AA$167)&lt;=AsOfDate,IF($R35=0,$X35,IF(AND($T35&lt;&gt;"",EDATE($D35,Milestones!$AA$167)&gt;=$T35),$W35,IF(AND($S35&lt;&gt;"",EDATE($D35,Milestones!$AA$167)&gt;=$S35),$V35,$U35)))=Milestones!$AB$167),UPPER(TEXT(EDATE($D35,Milestones!$AA$167),"dd mmm yy"))&amp;" "&amp;Milestones!$AB$167&amp;" "&amp;Milestones!$AC$167&amp;";  ","")&amp;IF(AND(EDATE($D35,Milestones!$AA$168)&lt;=AsOfDate,IF($R35=0,$X35,IF(AND($T35&lt;&gt;"",EDATE($D35,Milestones!$AA$168)&gt;=$T35),$W35,IF(AND($S35&lt;&gt;"",EDATE($D35,Milestones!$AA$168)&gt;=$S35),$V35,$U35)))=Milestones!$AB$168),UPPER(TEXT(EDATE($D35,Milestones!$AA$168),"dd mmm yy"))&amp;" "&amp;Milestones!$AB$168&amp;" "&amp;Milestones!$AC$168&amp;";  ","")&amp;IF(AND(EDATE($D35,Milestones!$AA$169)&lt;=AsOfDate,IF($R35=0,$X35,IF(AND($T35&lt;&gt;"",EDATE($D35,Milestones!$AA$169)&gt;=$T35),$W35,IF(AND($S35&lt;&gt;"",EDATE($D35,Milestones!$AA$169)&gt;=$S35),$V35,$U35)))=Milestones!$AB$169),UPPER(TEXT(EDATE($D35,Milestones!$AA$169),"dd mmm yy"))&amp;" "&amp;Milestones!$AB$169&amp;" "&amp;Milestones!$AC$169&amp;";  ","")&amp;IF(AND(EDATE($D35,Milestones!$AA$170)&lt;=AsOfDate,IF($R35=0,$X35,IF(AND($T35&lt;&gt;"",EDATE($D35,Milestones!$AA$170)&gt;=$T35),$W35,IF(AND($S35&lt;&gt;"",EDATE($D35,Milestones!$AA$170)&gt;=$S35),$V35,$U35)))=Milestones!$AB$170),UPPER(TEXT(EDATE($D35,Milestones!$AA$170),"dd mmm yy"))&amp;" "&amp;Milestones!$AB$170&amp;" "&amp;Milestones!$AC$170&amp;";  ","")&amp;IF(AND(EDATE($D35,Milestones!$AA$171)&lt;=AsOfDate,IF($R35=0,$X35,IF(AND($T35&lt;&gt;"",EDATE($D35,Milestones!$AA$171)&gt;=$T35),$W35,IF(AND($S35&lt;&gt;"",EDATE($D35,Milestones!$AA$171)&gt;=$S35),$V35,$U35)))=Milestones!$AB$171),UPPER(TEXT(EDATE($D35,Milestones!$AA$171),"dd mmm yy"))&amp;" "&amp;Milestones!$AB$171&amp;" "&amp;Milestones!$AC$171&amp;";  ","")&amp;IF(AND(EDATE($D35,Milestones!$AA$172)&lt;=AsOfDate,IF($R35=0,$X35,IF(AND($T35&lt;&gt;"",EDATE($D35,Milestones!$AA$172)&gt;=$T35),$W35,IF(AND($S35&lt;&gt;"",EDATE($D35,Milestones!$AA$172)&gt;=$S35),$V35,$U35)))=Milestones!$AB$172),UPPER(TEXT(EDATE($D35,Milestones!$AA$172),"dd mmm yy"))&amp;" "&amp;Milestones!$AB$172&amp;" "&amp;Milestones!$AC$172&amp;";  ","")&amp;IF(AND(EDATE($D35,Milestones!$AA$173)&lt;=AsOfDate,IF($R35=0,$X35,IF(AND($T35&lt;&gt;"",EDATE($D35,Milestones!$AA$173)&gt;=$T35),$W35,IF(AND($S35&lt;&gt;"",EDATE($D35,Milestones!$AA$173)&gt;=$S35),$V35,$U35)))=Milestones!$AB$173),UPPER(TEXT(EDATE($D35,Milestones!$AA$173),"dd mmm yy"))&amp;" "&amp;Milestones!$AB$173&amp;" "&amp;Milestones!$AC$173&amp;";  ","")&amp;IF(AND(EDATE($D35,Milestones!$AA$174)&lt;=AsOfDate,IF($R35=0,$X35,IF(AND($T35&lt;&gt;"",EDATE($D35,Milestones!$AA$174)&gt;=$T35),$W35,IF(AND($S35&lt;&gt;"",EDATE($D35,Milestones!$AA$174)&gt;=$S35),$V35,$U35)))=Milestones!$AB$174),UPPER(TEXT(EDATE($D35,Milestones!$AA$174),"dd mmm yy"))&amp;" "&amp;Milestones!$AB$174&amp;" "&amp;Milestones!$AC$174&amp;";  ","")&amp;IF(AND(EDATE($D35,Milestones!$AA$175)&lt;=AsOfDate,IF($R35=0,$X35,IF(AND($T35&lt;&gt;"",EDATE($D35,Milestones!$AA$175)&gt;=$T35),$W35,IF(AND($S35&lt;&gt;"",EDATE($D35,Milestones!$AA$175)&gt;=$S35),$V35,$U35)))=Milestones!$AB$175),UPPER(TEXT(EDATE($D35,Milestones!$AA$175),"dd mmm yy"))&amp;" "&amp;Milestones!$AB$175&amp;" "&amp;Milestones!$AC$175&amp;";  ","")&amp;IF(AND(EDATE($D35,Milestones!$AA$176)&lt;=AsOfDate,IF($R35=0,$X35,IF(AND($T35&lt;&gt;"",EDATE($D35,Milestones!$AA$176)&gt;=$T35),$W35,IF(AND($S35&lt;&gt;"",EDATE($D35,Milestones!$AA$176)&gt;=$S35),$V35,$U35)))=Milestones!$AB$176),UPPER(TEXT(EDATE($D35,Milestones!$AA$176),"dd mmm yy"))&amp;" "&amp;Milestones!$AB$176&amp;" "&amp;Milestones!$AC$176&amp;";  ","")&amp;IF(AND(EDATE($D35,Milestones!$AA$177)&lt;=AsOfDate,IF($R35=0,$X35,IF(AND($T35&lt;&gt;"",EDATE($D35,Milestones!$AA$177)&gt;=$T35),$W35,IF(AND($S35&lt;&gt;"",EDATE($D35,Milestones!$AA$177)&gt;=$S35),$V35,$U35)))=Milestones!$AB$177),UPPER(TEXT(EDATE($D35,Milestones!$AA$177),"dd mmm yy"))&amp;" "&amp;Milestones!$AB$177&amp;" "&amp;Milestones!$AC$177&amp;";  ","")&amp;IF(AND(EDATE($D35,Milestones!$AA$178)&lt;=AsOfDate,IF($R35=0,$X35,IF(AND($T35&lt;&gt;"",EDATE($D35,Milestones!$AA$178)&gt;=$T35),$W35,IF(AND($S35&lt;&gt;"",EDATE($D35,Milestones!$AA$178)&gt;=$S35),$V35,$U35)))=Milestones!$AB$178),UPPER(TEXT(EDATE($D35,Milestones!$AA$178),"dd mmm yy"))&amp;" "&amp;Milestones!$AB$178&amp;" "&amp;Milestones!$AC$178&amp;";  ","")&amp;IF(AND(EDATE($D35,Milestones!$AA$179)&lt;=AsOfDate,IF($R35=0,$X35,IF(AND($T35&lt;&gt;"",EDATE($D35,Milestones!$AA$179)&gt;=$T35),$W35,IF(AND($S35&lt;&gt;"",EDATE($D35,Milestones!$AA$179)&gt;=$S35),$V35,$U35)))=Milestones!$AB$179),UPPER(TEXT(EDATE($D35,Milestones!$AA$179),"dd mmm yy"))&amp;" "&amp;Milestones!$AB$179&amp;" "&amp;Milestones!$AC$179&amp;";  ",""))</f>
        <v/>
      </c>
      <c r="Q35" s="0" t="str">
        <f aca="false">IF(OR($A35="",$D35=""),"",IF(AND(EDATE($D35,Milestones!$AA$180)&lt;=AsOfDate,IF($R35=0,$X35,IF(AND($T35&lt;&gt;"",EDATE($D35,Milestones!$AA$180)&gt;=$T35),$W35,IF(AND($S35&lt;&gt;"",EDATE($D35,Milestones!$AA$180)&gt;=$S35),$V35,$U35)))=Milestones!$AB$180),UPPER(TEXT(EDATE($D35,Milestones!$AA$180),"dd mmm yy"))&amp;" "&amp;Milestones!$AB$180&amp;" "&amp;Milestones!$AC$180&amp;";  ","")&amp;IF(AND(EDATE($D35,Milestones!$AA$181)&lt;=AsOfDate,IF($R35=0,$X35,IF(AND($T35&lt;&gt;"",EDATE($D35,Milestones!$AA$181)&gt;=$T35),$W35,IF(AND($S35&lt;&gt;"",EDATE($D35,Milestones!$AA$181)&gt;=$S35),$V35,$U35)))=Milestones!$AB$181),UPPER(TEXT(EDATE($D35,Milestones!$AA$181),"dd mmm yy"))&amp;" "&amp;Milestones!$AB$181&amp;" "&amp;Milestones!$AC$181&amp;";  ","")&amp;IF(AND(EDATE($D35,Milestones!$AA$182)&lt;=AsOfDate,IF($R35=0,$X35,IF(AND($T35&lt;&gt;"",EDATE($D35,Milestones!$AA$182)&gt;=$T35),$W35,IF(AND($S35&lt;&gt;"",EDATE($D35,Milestones!$AA$182)&gt;=$S35),$V35,$U35)))=Milestones!$AB$182),UPPER(TEXT(EDATE($D35,Milestones!$AA$182),"dd mmm yy"))&amp;" "&amp;Milestones!$AB$182&amp;" "&amp;Milestones!$AC$182&amp;";  ","")&amp;IF(AND(EDATE($D35,Milestones!$AA$183)&lt;=AsOfDate,IF($R35=0,$X35,IF(AND($T35&lt;&gt;"",EDATE($D35,Milestones!$AA$183)&gt;=$T35),$W35,IF(AND($S35&lt;&gt;"",EDATE($D35,Milestones!$AA$183)&gt;=$S35),$V35,$U35)))=Milestones!$AB$183),UPPER(TEXT(EDATE($D35,Milestones!$AA$183),"dd mmm yy"))&amp;" "&amp;Milestones!$AB$183&amp;" "&amp;Milestones!$AC$183&amp;";  ","")&amp;IF(AND(EDATE($D35,Milestones!$AA$184)&lt;=AsOfDate,IF($R35=0,$X35,IF(AND($T35&lt;&gt;"",EDATE($D35,Milestones!$AA$184)&gt;=$T35),$W35,IF(AND($S35&lt;&gt;"",EDATE($D35,Milestones!$AA$184)&gt;=$S35),$V35,$U35)))=Milestones!$AB$184),UPPER(TEXT(EDATE($D35,Milestones!$AA$184),"dd mmm yy"))&amp;" "&amp;Milestones!$AB$184&amp;" "&amp;Milestones!$AC$184&amp;";  ","")&amp;IF(AND(EDATE($D35,Milestones!$AA$185)&lt;=AsOfDate,IF($R35=0,$X35,IF(AND($T35&lt;&gt;"",EDATE($D35,Milestones!$AA$185)&gt;=$T35),$W35,IF(AND($S35&lt;&gt;"",EDATE($D35,Milestones!$AA$185)&gt;=$S35),$V35,$U35)))=Milestones!$AB$185),UPPER(TEXT(EDATE($D35,Milestones!$AA$185),"dd mmm yy"))&amp;" "&amp;Milestones!$AB$185&amp;" "&amp;Milestones!$AC$185&amp;";  ","")&amp;IF(AND(EDATE($D35,Milestones!$AA$186)&lt;=AsOfDate,IF($R35=0,$X35,IF(AND($T35&lt;&gt;"",EDATE($D35,Milestones!$AA$186)&gt;=$T35),$W35,IF(AND($S35&lt;&gt;"",EDATE($D35,Milestones!$AA$186)&gt;=$S35),$V35,$U35)))=Milestones!$AB$186),UPPER(TEXT(EDATE($D35,Milestones!$AA$186),"dd mmm yy"))&amp;" "&amp;Milestones!$AB$186&amp;" "&amp;Milestones!$AC$186&amp;";  ","")&amp;IF(AND(EDATE($D35,Milestones!$AA$187)&lt;=AsOfDate,IF($R35=0,$X35,IF(AND($T35&lt;&gt;"",EDATE($D35,Milestones!$AA$187)&gt;=$T35),$W35,IF(AND($S35&lt;&gt;"",EDATE($D35,Milestones!$AA$187)&gt;=$S35),$V35,$U35)))=Milestones!$AB$187),UPPER(TEXT(EDATE($D35,Milestones!$AA$187),"dd mmm yy"))&amp;" "&amp;Milestones!$AB$187&amp;" "&amp;Milestones!$AC$187&amp;";  ","")&amp;IF(AND(EDATE($D35,Milestones!$AA$188)&lt;=AsOfDate,IF($R35=0,$X35,IF(AND($T35&lt;&gt;"",EDATE($D35,Milestones!$AA$188)&gt;=$T35),$W35,IF(AND($S35&lt;&gt;"",EDATE($D35,Milestones!$AA$188)&gt;=$S35),$V35,$U35)))=Milestones!$AB$188),UPPER(TEXT(EDATE($D35,Milestones!$AA$188),"dd mmm yy"))&amp;" "&amp;Milestones!$AB$188&amp;" "&amp;Milestones!$AC$188&amp;";  ","")&amp;IF(AND(EDATE($D35,Milestones!$AA$189)&lt;=AsOfDate,IF($R35=0,$X35,IF(AND($T35&lt;&gt;"",EDATE($D35,Milestones!$AA$189)&gt;=$T35),$W35,IF(AND($S35&lt;&gt;"",EDATE($D35,Milestones!$AA$189)&gt;=$S35),$V35,$U35)))=Milestones!$AB$189),UPPER(TEXT(EDATE($D35,Milestones!$AA$189),"dd mmm yy"))&amp;" "&amp;Milestones!$AB$189&amp;" "&amp;Milestones!$AC$189&amp;";  ","")&amp;IF(AND(EDATE($D35,Milestones!$AA$190)&lt;=AsOfDate,IF($R35=0,$X35,IF(AND($T35&lt;&gt;"",EDATE($D35,Milestones!$AA$190)&gt;=$T35),$W35,IF(AND($S35&lt;&gt;"",EDATE($D35,Milestones!$AA$190)&gt;=$S35),$V35,$U35)))=Milestones!$AB$190),UPPER(TEXT(EDATE($D35,Milestones!$AA$190),"dd mmm yy"))&amp;" "&amp;Milestones!$AB$190&amp;" "&amp;Milestones!$AC$190&amp;";  ","")&amp;IF(AND(EDATE($D35,Milestones!$AA$191)&lt;=AsOfDate,IF($R35=0,$X35,IF(AND($T35&lt;&gt;"",EDATE($D35,Milestones!$AA$191)&gt;=$T35),$W35,IF(AND($S35&lt;&gt;"",EDATE($D35,Milestones!$AA$191)&gt;=$S35),$V35,$U35)))=Milestones!$AB$191),UPPER(TEXT(EDATE($D35,Milestones!$AA$191),"dd mmm yy"))&amp;" "&amp;Milestones!$AB$191&amp;" "&amp;Milestones!$AC$191&amp;";  ","")&amp;IF(AND(EDATE($D35,Milestones!$AA$192)&lt;=AsOfDate,IF($R35=0,$X35,IF(AND($T35&lt;&gt;"",EDATE($D35,Milestones!$AA$192)&gt;=$T35),$W35,IF(AND($S35&lt;&gt;"",EDATE($D35,Milestones!$AA$192)&gt;=$S35),$V35,$U35)))=Milestones!$AB$192),UPPER(TEXT(EDATE($D35,Milestones!$AA$192),"dd mmm yy"))&amp;" "&amp;Milestones!$AB$192&amp;" "&amp;Milestones!$AC$192&amp;";  ","")&amp;IF(AND(EDATE($D35,Milestones!$AA$193)&lt;=AsOfDate,IF($R35=0,$X35,IF(AND($T35&lt;&gt;"",EDATE($D35,Milestones!$AA$193)&gt;=$T35),$W35,IF(AND($S35&lt;&gt;"",EDATE($D35,Milestones!$AA$193)&gt;=$S35),$V35,$U35)))=Milestones!$AB$193),UPPER(TEXT(EDATE($D35,Milestones!$AA$193),"dd mmm yy"))&amp;" "&amp;Milestones!$AB$193&amp;" "&amp;Milestones!$AC$193&amp;";  ","")&amp;IF(AND(EDATE($D35,Milestones!$AA$194)&lt;=AsOfDate,IF($R35=0,$X35,IF(AND($T35&lt;&gt;"",EDATE($D35,Milestones!$AA$194)&gt;=$T35),$W35,IF(AND($S35&lt;&gt;"",EDATE($D35,Milestones!$AA$194)&gt;=$S35),$V35,$U35)))=Milestones!$AB$194),UPPER(TEXT(EDATE($D35,Milestones!$AA$194),"dd mmm yy"))&amp;" "&amp;Milestones!$AB$194&amp;" "&amp;Milestones!$AC$194&amp;";  ","")&amp;IF(AND(EDATE($D35,Milestones!$AA$195)&lt;=AsOfDate,IF($R35=0,$X35,IF(AND($T35&lt;&gt;"",EDATE($D35,Milestones!$AA$195)&gt;=$T35),$W35,IF(AND($S35&lt;&gt;"",EDATE($D35,Milestones!$AA$195)&gt;=$S35),$V35,$U35)))=Milestones!$AB$195),UPPER(TEXT(EDATE($D35,Milestones!$AA$195),"dd mmm yy"))&amp;" "&amp;Milestones!$AB$195&amp;" "&amp;Milestones!$AC$195&amp;";  ","")&amp;IF(AND(EDATE($D35,Milestones!$AA$196)&lt;=AsOfDate,IF($R35=0,$X35,IF(AND($T35&lt;&gt;"",EDATE($D35,Milestones!$AA$196)&gt;=$T35),$W35,IF(AND($S35&lt;&gt;"",EDATE($D35,Milestones!$AA$196)&gt;=$S35),$V35,$U35)))=Milestones!$AB$196),UPPER(TEXT(EDATE($D35,Milestones!$AA$196),"dd mmm yy"))&amp;" "&amp;Milestones!$AB$196&amp;" "&amp;Milestones!$AC$196&amp;";  ","")&amp;IF(AND(EDATE($D35,Milestones!$AA$197)&lt;=AsOfDate,IF($R35=0,$X35,IF(AND($T35&lt;&gt;"",EDATE($D35,Milestones!$AA$197)&gt;=$T35),$W35,IF(AND($S35&lt;&gt;"",EDATE($D35,Milestones!$AA$197)&gt;=$S35),$V35,$U35)))=Milestones!$AB$197),UPPER(TEXT(EDATE($D35,Milestones!$AA$197),"dd mmm yy"))&amp;" "&amp;Milestones!$AB$197&amp;" "&amp;Milestones!$AC$197&amp;";  ","")&amp;IF(AND(EDATE($D35,Milestones!$AA$198)&lt;=AsOfDate,IF($R35=0,$X35,IF(AND($T35&lt;&gt;"",EDATE($D35,Milestones!$AA$198)&gt;=$T35),$W35,IF(AND($S35&lt;&gt;"",EDATE($D35,Milestones!$AA$198)&gt;=$S35),$V35,$U35)))=Milestones!$AB$198),UPPER(TEXT(EDATE($D35,Milestones!$AA$198),"dd mmm yy"))&amp;" "&amp;Milestones!$AB$198&amp;" "&amp;Milestones!$AC$198&amp;";  ","")&amp;IF(AND(EDATE($D35,Milestones!$AA$199)&lt;=AsOfDate,IF($R35=0,$X35,IF(AND($T35&lt;&gt;"",EDATE($D35,Milestones!$AA$199)&gt;=$T35),$W35,IF(AND($S35&lt;&gt;"",EDATE($D35,Milestones!$AA$199)&gt;=$S35),$V35,$U35)))=Milestones!$AB$199),UPPER(TEXT(EDATE($D35,Milestones!$AA$199),"dd mmm yy"))&amp;" "&amp;Milestones!$AB$199&amp;" "&amp;Milestones!$AC$199&amp;";  ",""))</f>
        <v/>
      </c>
      <c r="R35" s="33" t="n">
        <f aca="false">IF(Staff!$A35="","",Staff!$AI35)</f>
        <v>2</v>
      </c>
      <c r="S35" s="23" t="n">
        <f aca="false">IF(Staff!$A35="","",Staff!$AK35)</f>
        <v>46041</v>
      </c>
      <c r="T35" s="0" t="str">
        <f aca="false">IF(Staff!$A35="","",Staff!$AL35)</f>
        <v/>
      </c>
      <c r="U35" s="0" t="str">
        <f aca="false">IF(Staff!$A35="","",Staff!$AP35)</f>
        <v>PT</v>
      </c>
      <c r="V35" s="0" t="str">
        <f aca="false">IF(Staff!$A35="","",Staff!$AQ35)</f>
        <v>FT</v>
      </c>
      <c r="W35" s="0" t="str">
        <f aca="false">IF(Staff!$A35="","",Staff!$AR35)</f>
        <v/>
      </c>
      <c r="X35" s="0" t="str">
        <f aca="false">IF(Staff!$A35="","",Staff!$AS35)</f>
        <v>FT</v>
      </c>
    </row>
    <row r="36" customFormat="false" ht="15" hidden="false" customHeight="false" outlineLevel="0" collapsed="false">
      <c r="A36" s="19" t="str">
        <f aca="false">IF(Staff!$A36="","",Staff!$A36)</f>
        <v>Isabella</v>
      </c>
      <c r="B36" s="19" t="str">
        <f aca="false">IF(Staff!$A36="","",Staff!$B36)</f>
        <v>NIKODINOVSKI</v>
      </c>
      <c r="C36" s="19" t="str">
        <f aca="false">IF(Staff!$A36="","",Staff!$C36)</f>
        <v>Casual</v>
      </c>
      <c r="D36" s="17" t="n">
        <f aca="false">IF(Staff!$A36="","",Staff!$AH36)</f>
        <v>43921</v>
      </c>
      <c r="E36" s="20" t="n">
        <f aca="false">IF(Staff!$A36="","",Staff!$O36)</f>
        <v>0</v>
      </c>
      <c r="F36" s="19" t="n">
        <f aca="false">IF(E36="","",E36*HoursPerDay)</f>
        <v>0</v>
      </c>
      <c r="G36" s="20" t="n">
        <f aca="false">IF(Staff!$A36="","",Staff!$AE36)</f>
        <v>0</v>
      </c>
      <c r="H36" s="32" t="str">
        <f aca="false">IF($A36="","",I36&amp;J36&amp;K36&amp;L36&amp;M36&amp;N36&amp;O36&amp;P36&amp;Q36)</f>
        <v/>
      </c>
      <c r="I36" s="0" t="str">
        <f aca="false">IF(OR($A36="",$D36=""),"",IF(AND(EDATE($D36,Milestones!$AA$20)&lt;=AsOfDate,IF($R36=0,$X36,IF(AND($T36&lt;&gt;"",EDATE($D36,Milestones!$AA$20)&gt;=$T36),$W36,IF(AND($S36&lt;&gt;"",EDATE($D36,Milestones!$AA$20)&gt;=$S36),$V36,$U36)))=Milestones!$AB$20),UPPER(TEXT(EDATE($D36,Milestones!$AA$20),"dd mmm yy"))&amp;" "&amp;Milestones!$AB$20&amp;" "&amp;Milestones!$AC$20&amp;";  ","")&amp;IF(AND(EDATE($D36,Milestones!$AA$21)&lt;=AsOfDate,IF($R36=0,$X36,IF(AND($T36&lt;&gt;"",EDATE($D36,Milestones!$AA$21)&gt;=$T36),$W36,IF(AND($S36&lt;&gt;"",EDATE($D36,Milestones!$AA$21)&gt;=$S36),$V36,$U36)))=Milestones!$AB$21),UPPER(TEXT(EDATE($D36,Milestones!$AA$21),"dd mmm yy"))&amp;" "&amp;Milestones!$AB$21&amp;" "&amp;Milestones!$AC$21&amp;";  ","")&amp;IF(AND(EDATE($D36,Milestones!$AA$22)&lt;=AsOfDate,IF($R36=0,$X36,IF(AND($T36&lt;&gt;"",EDATE($D36,Milestones!$AA$22)&gt;=$T36),$W36,IF(AND($S36&lt;&gt;"",EDATE($D36,Milestones!$AA$22)&gt;=$S36),$V36,$U36)))=Milestones!$AB$22),UPPER(TEXT(EDATE($D36,Milestones!$AA$22),"dd mmm yy"))&amp;" "&amp;Milestones!$AB$22&amp;" "&amp;Milestones!$AC$22&amp;";  ","")&amp;IF(AND(EDATE($D36,Milestones!$AA$23)&lt;=AsOfDate,IF($R36=0,$X36,IF(AND($T36&lt;&gt;"",EDATE($D36,Milestones!$AA$23)&gt;=$T36),$W36,IF(AND($S36&lt;&gt;"",EDATE($D36,Milestones!$AA$23)&gt;=$S36),$V36,$U36)))=Milestones!$AB$23),UPPER(TEXT(EDATE($D36,Milestones!$AA$23),"dd mmm yy"))&amp;" "&amp;Milestones!$AB$23&amp;" "&amp;Milestones!$AC$23&amp;";  ","")&amp;IF(AND(EDATE($D36,Milestones!$AA$24)&lt;=AsOfDate,IF($R36=0,$X36,IF(AND($T36&lt;&gt;"",EDATE($D36,Milestones!$AA$24)&gt;=$T36),$W36,IF(AND($S36&lt;&gt;"",EDATE($D36,Milestones!$AA$24)&gt;=$S36),$V36,$U36)))=Milestones!$AB$24),UPPER(TEXT(EDATE($D36,Milestones!$AA$24),"dd mmm yy"))&amp;" "&amp;Milestones!$AB$24&amp;" "&amp;Milestones!$AC$24&amp;";  ","")&amp;IF(AND(EDATE($D36,Milestones!$AA$25)&lt;=AsOfDate,IF($R36=0,$X36,IF(AND($T36&lt;&gt;"",EDATE($D36,Milestones!$AA$25)&gt;=$T36),$W36,IF(AND($S36&lt;&gt;"",EDATE($D36,Milestones!$AA$25)&gt;=$S36),$V36,$U36)))=Milestones!$AB$25),UPPER(TEXT(EDATE($D36,Milestones!$AA$25),"dd mmm yy"))&amp;" "&amp;Milestones!$AB$25&amp;" "&amp;Milestones!$AC$25&amp;";  ","")&amp;IF(AND(EDATE($D36,Milestones!$AA$26)&lt;=AsOfDate,IF($R36=0,$X36,IF(AND($T36&lt;&gt;"",EDATE($D36,Milestones!$AA$26)&gt;=$T36),$W36,IF(AND($S36&lt;&gt;"",EDATE($D36,Milestones!$AA$26)&gt;=$S36),$V36,$U36)))=Milestones!$AB$26),UPPER(TEXT(EDATE($D36,Milestones!$AA$26),"dd mmm yy"))&amp;" "&amp;Milestones!$AB$26&amp;" "&amp;Milestones!$AC$26&amp;";  ","")&amp;IF(AND(EDATE($D36,Milestones!$AA$27)&lt;=AsOfDate,IF($R36=0,$X36,IF(AND($T36&lt;&gt;"",EDATE($D36,Milestones!$AA$27)&gt;=$T36),$W36,IF(AND($S36&lt;&gt;"",EDATE($D36,Milestones!$AA$27)&gt;=$S36),$V36,$U36)))=Milestones!$AB$27),UPPER(TEXT(EDATE($D36,Milestones!$AA$27),"dd mmm yy"))&amp;" "&amp;Milestones!$AB$27&amp;" "&amp;Milestones!$AC$27&amp;";  ","")&amp;IF(AND(EDATE($D36,Milestones!$AA$28)&lt;=AsOfDate,IF($R36=0,$X36,IF(AND($T36&lt;&gt;"",EDATE($D36,Milestones!$AA$28)&gt;=$T36),$W36,IF(AND($S36&lt;&gt;"",EDATE($D36,Milestones!$AA$28)&gt;=$S36),$V36,$U36)))=Milestones!$AB$28),UPPER(TEXT(EDATE($D36,Milestones!$AA$28),"dd mmm yy"))&amp;" "&amp;Milestones!$AB$28&amp;" "&amp;Milestones!$AC$28&amp;";  ","")&amp;IF(AND(EDATE($D36,Milestones!$AA$29)&lt;=AsOfDate,IF($R36=0,$X36,IF(AND($T36&lt;&gt;"",EDATE($D36,Milestones!$AA$29)&gt;=$T36),$W36,IF(AND($S36&lt;&gt;"",EDATE($D36,Milestones!$AA$29)&gt;=$S36),$V36,$U36)))=Milestones!$AB$29),UPPER(TEXT(EDATE($D36,Milestones!$AA$29),"dd mmm yy"))&amp;" "&amp;Milestones!$AB$29&amp;" "&amp;Milestones!$AC$29&amp;";  ","")&amp;IF(AND(EDATE($D36,Milestones!$AA$30)&lt;=AsOfDate,IF($R36=0,$X36,IF(AND($T36&lt;&gt;"",EDATE($D36,Milestones!$AA$30)&gt;=$T36),$W36,IF(AND($S36&lt;&gt;"",EDATE($D36,Milestones!$AA$30)&gt;=$S36),$V36,$U36)))=Milestones!$AB$30),UPPER(TEXT(EDATE($D36,Milestones!$AA$30),"dd mmm yy"))&amp;" "&amp;Milestones!$AB$30&amp;" "&amp;Milestones!$AC$30&amp;";  ","")&amp;IF(AND(EDATE($D36,Milestones!$AA$31)&lt;=AsOfDate,IF($R36=0,$X36,IF(AND($T36&lt;&gt;"",EDATE($D36,Milestones!$AA$31)&gt;=$T36),$W36,IF(AND($S36&lt;&gt;"",EDATE($D36,Milestones!$AA$31)&gt;=$S36),$V36,$U36)))=Milestones!$AB$31),UPPER(TEXT(EDATE($D36,Milestones!$AA$31),"dd mmm yy"))&amp;" "&amp;Milestones!$AB$31&amp;" "&amp;Milestones!$AC$31&amp;";  ","")&amp;IF(AND(EDATE($D36,Milestones!$AA$32)&lt;=AsOfDate,IF($R36=0,$X36,IF(AND($T36&lt;&gt;"",EDATE($D36,Milestones!$AA$32)&gt;=$T36),$W36,IF(AND($S36&lt;&gt;"",EDATE($D36,Milestones!$AA$32)&gt;=$S36),$V36,$U36)))=Milestones!$AB$32),UPPER(TEXT(EDATE($D36,Milestones!$AA$32),"dd mmm yy"))&amp;" "&amp;Milestones!$AB$32&amp;" "&amp;Milestones!$AC$32&amp;";  ","")&amp;IF(AND(EDATE($D36,Milestones!$AA$33)&lt;=AsOfDate,IF($R36=0,$X36,IF(AND($T36&lt;&gt;"",EDATE($D36,Milestones!$AA$33)&gt;=$T36),$W36,IF(AND($S36&lt;&gt;"",EDATE($D36,Milestones!$AA$33)&gt;=$S36),$V36,$U36)))=Milestones!$AB$33),UPPER(TEXT(EDATE($D36,Milestones!$AA$33),"dd mmm yy"))&amp;" "&amp;Milestones!$AB$33&amp;" "&amp;Milestones!$AC$33&amp;";  ","")&amp;IF(AND(EDATE($D36,Milestones!$AA$34)&lt;=AsOfDate,IF($R36=0,$X36,IF(AND($T36&lt;&gt;"",EDATE($D36,Milestones!$AA$34)&gt;=$T36),$W36,IF(AND($S36&lt;&gt;"",EDATE($D36,Milestones!$AA$34)&gt;=$S36),$V36,$U36)))=Milestones!$AB$34),UPPER(TEXT(EDATE($D36,Milestones!$AA$34),"dd mmm yy"))&amp;" "&amp;Milestones!$AB$34&amp;" "&amp;Milestones!$AC$34&amp;";  ","")&amp;IF(AND(EDATE($D36,Milestones!$AA$35)&lt;=AsOfDate,IF($R36=0,$X36,IF(AND($T36&lt;&gt;"",EDATE($D36,Milestones!$AA$35)&gt;=$T36),$W36,IF(AND($S36&lt;&gt;"",EDATE($D36,Milestones!$AA$35)&gt;=$S36),$V36,$U36)))=Milestones!$AB$35),UPPER(TEXT(EDATE($D36,Milestones!$AA$35),"dd mmm yy"))&amp;" "&amp;Milestones!$AB$35&amp;" "&amp;Milestones!$AC$35&amp;";  ","")&amp;IF(AND(EDATE($D36,Milestones!$AA$36)&lt;=AsOfDate,IF($R36=0,$X36,IF(AND($T36&lt;&gt;"",EDATE($D36,Milestones!$AA$36)&gt;=$T36),$W36,IF(AND($S36&lt;&gt;"",EDATE($D36,Milestones!$AA$36)&gt;=$S36),$V36,$U36)))=Milestones!$AB$36),UPPER(TEXT(EDATE($D36,Milestones!$AA$36),"dd mmm yy"))&amp;" "&amp;Milestones!$AB$36&amp;" "&amp;Milestones!$AC$36&amp;";  ","")&amp;IF(AND(EDATE($D36,Milestones!$AA$37)&lt;=AsOfDate,IF($R36=0,$X36,IF(AND($T36&lt;&gt;"",EDATE($D36,Milestones!$AA$37)&gt;=$T36),$W36,IF(AND($S36&lt;&gt;"",EDATE($D36,Milestones!$AA$37)&gt;=$S36),$V36,$U36)))=Milestones!$AB$37),UPPER(TEXT(EDATE($D36,Milestones!$AA$37),"dd mmm yy"))&amp;" "&amp;Milestones!$AB$37&amp;" "&amp;Milestones!$AC$37&amp;";  ","")&amp;IF(AND(EDATE($D36,Milestones!$AA$38)&lt;=AsOfDate,IF($R36=0,$X36,IF(AND($T36&lt;&gt;"",EDATE($D36,Milestones!$AA$38)&gt;=$T36),$W36,IF(AND($S36&lt;&gt;"",EDATE($D36,Milestones!$AA$38)&gt;=$S36),$V36,$U36)))=Milestones!$AB$38),UPPER(TEXT(EDATE($D36,Milestones!$AA$38),"dd mmm yy"))&amp;" "&amp;Milestones!$AB$38&amp;" "&amp;Milestones!$AC$38&amp;";  ","")&amp;IF(AND(EDATE($D36,Milestones!$AA$39)&lt;=AsOfDate,IF($R36=0,$X36,IF(AND($T36&lt;&gt;"",EDATE($D36,Milestones!$AA$39)&gt;=$T36),$W36,IF(AND($S36&lt;&gt;"",EDATE($D36,Milestones!$AA$39)&gt;=$S36),$V36,$U36)))=Milestones!$AB$39),UPPER(TEXT(EDATE($D36,Milestones!$AA$39),"dd mmm yy"))&amp;" "&amp;Milestones!$AB$39&amp;" "&amp;Milestones!$AC$39&amp;";  ",""))</f>
        <v/>
      </c>
      <c r="J36" s="0" t="str">
        <f aca="false">IF(OR($A36="",$D36=""),"",IF(AND(EDATE($D36,Milestones!$AA$40)&lt;=AsOfDate,IF($R36=0,$X36,IF(AND($T36&lt;&gt;"",EDATE($D36,Milestones!$AA$40)&gt;=$T36),$W36,IF(AND($S36&lt;&gt;"",EDATE($D36,Milestones!$AA$40)&gt;=$S36),$V36,$U36)))=Milestones!$AB$40),UPPER(TEXT(EDATE($D36,Milestones!$AA$40),"dd mmm yy"))&amp;" "&amp;Milestones!$AB$40&amp;" "&amp;Milestones!$AC$40&amp;";  ","")&amp;IF(AND(EDATE($D36,Milestones!$AA$41)&lt;=AsOfDate,IF($R36=0,$X36,IF(AND($T36&lt;&gt;"",EDATE($D36,Milestones!$AA$41)&gt;=$T36),$W36,IF(AND($S36&lt;&gt;"",EDATE($D36,Milestones!$AA$41)&gt;=$S36),$V36,$U36)))=Milestones!$AB$41),UPPER(TEXT(EDATE($D36,Milestones!$AA$41),"dd mmm yy"))&amp;" "&amp;Milestones!$AB$41&amp;" "&amp;Milestones!$AC$41&amp;";  ","")&amp;IF(AND(EDATE($D36,Milestones!$AA$42)&lt;=AsOfDate,IF($R36=0,$X36,IF(AND($T36&lt;&gt;"",EDATE($D36,Milestones!$AA$42)&gt;=$T36),$W36,IF(AND($S36&lt;&gt;"",EDATE($D36,Milestones!$AA$42)&gt;=$S36),$V36,$U36)))=Milestones!$AB$42),UPPER(TEXT(EDATE($D36,Milestones!$AA$42),"dd mmm yy"))&amp;" "&amp;Milestones!$AB$42&amp;" "&amp;Milestones!$AC$42&amp;";  ","")&amp;IF(AND(EDATE($D36,Milestones!$AA$43)&lt;=AsOfDate,IF($R36=0,$X36,IF(AND($T36&lt;&gt;"",EDATE($D36,Milestones!$AA$43)&gt;=$T36),$W36,IF(AND($S36&lt;&gt;"",EDATE($D36,Milestones!$AA$43)&gt;=$S36),$V36,$U36)))=Milestones!$AB$43),UPPER(TEXT(EDATE($D36,Milestones!$AA$43),"dd mmm yy"))&amp;" "&amp;Milestones!$AB$43&amp;" "&amp;Milestones!$AC$43&amp;";  ","")&amp;IF(AND(EDATE($D36,Milestones!$AA$44)&lt;=AsOfDate,IF($R36=0,$X36,IF(AND($T36&lt;&gt;"",EDATE($D36,Milestones!$AA$44)&gt;=$T36),$W36,IF(AND($S36&lt;&gt;"",EDATE($D36,Milestones!$AA$44)&gt;=$S36),$V36,$U36)))=Milestones!$AB$44),UPPER(TEXT(EDATE($D36,Milestones!$AA$44),"dd mmm yy"))&amp;" "&amp;Milestones!$AB$44&amp;" "&amp;Milestones!$AC$44&amp;";  ","")&amp;IF(AND(EDATE($D36,Milestones!$AA$45)&lt;=AsOfDate,IF($R36=0,$X36,IF(AND($T36&lt;&gt;"",EDATE($D36,Milestones!$AA$45)&gt;=$T36),$W36,IF(AND($S36&lt;&gt;"",EDATE($D36,Milestones!$AA$45)&gt;=$S36),$V36,$U36)))=Milestones!$AB$45),UPPER(TEXT(EDATE($D36,Milestones!$AA$45),"dd mmm yy"))&amp;" "&amp;Milestones!$AB$45&amp;" "&amp;Milestones!$AC$45&amp;";  ","")&amp;IF(AND(EDATE($D36,Milestones!$AA$46)&lt;=AsOfDate,IF($R36=0,$X36,IF(AND($T36&lt;&gt;"",EDATE($D36,Milestones!$AA$46)&gt;=$T36),$W36,IF(AND($S36&lt;&gt;"",EDATE($D36,Milestones!$AA$46)&gt;=$S36),$V36,$U36)))=Milestones!$AB$46),UPPER(TEXT(EDATE($D36,Milestones!$AA$46),"dd mmm yy"))&amp;" "&amp;Milestones!$AB$46&amp;" "&amp;Milestones!$AC$46&amp;";  ","")&amp;IF(AND(EDATE($D36,Milestones!$AA$47)&lt;=AsOfDate,IF($R36=0,$X36,IF(AND($T36&lt;&gt;"",EDATE($D36,Milestones!$AA$47)&gt;=$T36),$W36,IF(AND($S36&lt;&gt;"",EDATE($D36,Milestones!$AA$47)&gt;=$S36),$V36,$U36)))=Milestones!$AB$47),UPPER(TEXT(EDATE($D36,Milestones!$AA$47),"dd mmm yy"))&amp;" "&amp;Milestones!$AB$47&amp;" "&amp;Milestones!$AC$47&amp;";  ","")&amp;IF(AND(EDATE($D36,Milestones!$AA$48)&lt;=AsOfDate,IF($R36=0,$X36,IF(AND($T36&lt;&gt;"",EDATE($D36,Milestones!$AA$48)&gt;=$T36),$W36,IF(AND($S36&lt;&gt;"",EDATE($D36,Milestones!$AA$48)&gt;=$S36),$V36,$U36)))=Milestones!$AB$48),UPPER(TEXT(EDATE($D36,Milestones!$AA$48),"dd mmm yy"))&amp;" "&amp;Milestones!$AB$48&amp;" "&amp;Milestones!$AC$48&amp;";  ","")&amp;IF(AND(EDATE($D36,Milestones!$AA$49)&lt;=AsOfDate,IF($R36=0,$X36,IF(AND($T36&lt;&gt;"",EDATE($D36,Milestones!$AA$49)&gt;=$T36),$W36,IF(AND($S36&lt;&gt;"",EDATE($D36,Milestones!$AA$49)&gt;=$S36),$V36,$U36)))=Milestones!$AB$49),UPPER(TEXT(EDATE($D36,Milestones!$AA$49),"dd mmm yy"))&amp;" "&amp;Milestones!$AB$49&amp;" "&amp;Milestones!$AC$49&amp;";  ","")&amp;IF(AND(EDATE($D36,Milestones!$AA$50)&lt;=AsOfDate,IF($R36=0,$X36,IF(AND($T36&lt;&gt;"",EDATE($D36,Milestones!$AA$50)&gt;=$T36),$W36,IF(AND($S36&lt;&gt;"",EDATE($D36,Milestones!$AA$50)&gt;=$S36),$V36,$U36)))=Milestones!$AB$50),UPPER(TEXT(EDATE($D36,Milestones!$AA$50),"dd mmm yy"))&amp;" "&amp;Milestones!$AB$50&amp;" "&amp;Milestones!$AC$50&amp;";  ","")&amp;IF(AND(EDATE($D36,Milestones!$AA$51)&lt;=AsOfDate,IF($R36=0,$X36,IF(AND($T36&lt;&gt;"",EDATE($D36,Milestones!$AA$51)&gt;=$T36),$W36,IF(AND($S36&lt;&gt;"",EDATE($D36,Milestones!$AA$51)&gt;=$S36),$V36,$U36)))=Milestones!$AB$51),UPPER(TEXT(EDATE($D36,Milestones!$AA$51),"dd mmm yy"))&amp;" "&amp;Milestones!$AB$51&amp;" "&amp;Milestones!$AC$51&amp;";  ","")&amp;IF(AND(EDATE($D36,Milestones!$AA$52)&lt;=AsOfDate,IF($R36=0,$X36,IF(AND($T36&lt;&gt;"",EDATE($D36,Milestones!$AA$52)&gt;=$T36),$W36,IF(AND($S36&lt;&gt;"",EDATE($D36,Milestones!$AA$52)&gt;=$S36),$V36,$U36)))=Milestones!$AB$52),UPPER(TEXT(EDATE($D36,Milestones!$AA$52),"dd mmm yy"))&amp;" "&amp;Milestones!$AB$52&amp;" "&amp;Milestones!$AC$52&amp;";  ","")&amp;IF(AND(EDATE($D36,Milestones!$AA$53)&lt;=AsOfDate,IF($R36=0,$X36,IF(AND($T36&lt;&gt;"",EDATE($D36,Milestones!$AA$53)&gt;=$T36),$W36,IF(AND($S36&lt;&gt;"",EDATE($D36,Milestones!$AA$53)&gt;=$S36),$V36,$U36)))=Milestones!$AB$53),UPPER(TEXT(EDATE($D36,Milestones!$AA$53),"dd mmm yy"))&amp;" "&amp;Milestones!$AB$53&amp;" "&amp;Milestones!$AC$53&amp;";  ","")&amp;IF(AND(EDATE($D36,Milestones!$AA$54)&lt;=AsOfDate,IF($R36=0,$X36,IF(AND($T36&lt;&gt;"",EDATE($D36,Milestones!$AA$54)&gt;=$T36),$W36,IF(AND($S36&lt;&gt;"",EDATE($D36,Milestones!$AA$54)&gt;=$S36),$V36,$U36)))=Milestones!$AB$54),UPPER(TEXT(EDATE($D36,Milestones!$AA$54),"dd mmm yy"))&amp;" "&amp;Milestones!$AB$54&amp;" "&amp;Milestones!$AC$54&amp;";  ","")&amp;IF(AND(EDATE($D36,Milestones!$AA$55)&lt;=AsOfDate,IF($R36=0,$X36,IF(AND($T36&lt;&gt;"",EDATE($D36,Milestones!$AA$55)&gt;=$T36),$W36,IF(AND($S36&lt;&gt;"",EDATE($D36,Milestones!$AA$55)&gt;=$S36),$V36,$U36)))=Milestones!$AB$55),UPPER(TEXT(EDATE($D36,Milestones!$AA$55),"dd mmm yy"))&amp;" "&amp;Milestones!$AB$55&amp;" "&amp;Milestones!$AC$55&amp;";  ","")&amp;IF(AND(EDATE($D36,Milestones!$AA$56)&lt;=AsOfDate,IF($R36=0,$X36,IF(AND($T36&lt;&gt;"",EDATE($D36,Milestones!$AA$56)&gt;=$T36),$W36,IF(AND($S36&lt;&gt;"",EDATE($D36,Milestones!$AA$56)&gt;=$S36),$V36,$U36)))=Milestones!$AB$56),UPPER(TEXT(EDATE($D36,Milestones!$AA$56),"dd mmm yy"))&amp;" "&amp;Milestones!$AB$56&amp;" "&amp;Milestones!$AC$56&amp;";  ","")&amp;IF(AND(EDATE($D36,Milestones!$AA$57)&lt;=AsOfDate,IF($R36=0,$X36,IF(AND($T36&lt;&gt;"",EDATE($D36,Milestones!$AA$57)&gt;=$T36),$W36,IF(AND($S36&lt;&gt;"",EDATE($D36,Milestones!$AA$57)&gt;=$S36),$V36,$U36)))=Milestones!$AB$57),UPPER(TEXT(EDATE($D36,Milestones!$AA$57),"dd mmm yy"))&amp;" "&amp;Milestones!$AB$57&amp;" "&amp;Milestones!$AC$57&amp;";  ","")&amp;IF(AND(EDATE($D36,Milestones!$AA$58)&lt;=AsOfDate,IF($R36=0,$X36,IF(AND($T36&lt;&gt;"",EDATE($D36,Milestones!$AA$58)&gt;=$T36),$W36,IF(AND($S36&lt;&gt;"",EDATE($D36,Milestones!$AA$58)&gt;=$S36),$V36,$U36)))=Milestones!$AB$58),UPPER(TEXT(EDATE($D36,Milestones!$AA$58),"dd mmm yy"))&amp;" "&amp;Milestones!$AB$58&amp;" "&amp;Milestones!$AC$58&amp;";  ","")&amp;IF(AND(EDATE($D36,Milestones!$AA$59)&lt;=AsOfDate,IF($R36=0,$X36,IF(AND($T36&lt;&gt;"",EDATE($D36,Milestones!$AA$59)&gt;=$T36),$W36,IF(AND($S36&lt;&gt;"",EDATE($D36,Milestones!$AA$59)&gt;=$S36),$V36,$U36)))=Milestones!$AB$59),UPPER(TEXT(EDATE($D36,Milestones!$AA$59),"dd mmm yy"))&amp;" "&amp;Milestones!$AB$59&amp;" "&amp;Milestones!$AC$59&amp;";  ",""))</f>
        <v/>
      </c>
      <c r="K36" s="0" t="str">
        <f aca="false">IF(OR($A36="",$D36=""),"",IF(AND(EDATE($D36,Milestones!$AA$60)&lt;=AsOfDate,IF($R36=0,$X36,IF(AND($T36&lt;&gt;"",EDATE($D36,Milestones!$AA$60)&gt;=$T36),$W36,IF(AND($S36&lt;&gt;"",EDATE($D36,Milestones!$AA$60)&gt;=$S36),$V36,$U36)))=Milestones!$AB$60),UPPER(TEXT(EDATE($D36,Milestones!$AA$60),"dd mmm yy"))&amp;" "&amp;Milestones!$AB$60&amp;" "&amp;Milestones!$AC$60&amp;";  ","")&amp;IF(AND(EDATE($D36,Milestones!$AA$61)&lt;=AsOfDate,IF($R36=0,$X36,IF(AND($T36&lt;&gt;"",EDATE($D36,Milestones!$AA$61)&gt;=$T36),$W36,IF(AND($S36&lt;&gt;"",EDATE($D36,Milestones!$AA$61)&gt;=$S36),$V36,$U36)))=Milestones!$AB$61),UPPER(TEXT(EDATE($D36,Milestones!$AA$61),"dd mmm yy"))&amp;" "&amp;Milestones!$AB$61&amp;" "&amp;Milestones!$AC$61&amp;";  ","")&amp;IF(AND(EDATE($D36,Milestones!$AA$62)&lt;=AsOfDate,IF($R36=0,$X36,IF(AND($T36&lt;&gt;"",EDATE($D36,Milestones!$AA$62)&gt;=$T36),$W36,IF(AND($S36&lt;&gt;"",EDATE($D36,Milestones!$AA$62)&gt;=$S36),$V36,$U36)))=Milestones!$AB$62),UPPER(TEXT(EDATE($D36,Milestones!$AA$62),"dd mmm yy"))&amp;" "&amp;Milestones!$AB$62&amp;" "&amp;Milestones!$AC$62&amp;";  ","")&amp;IF(AND(EDATE($D36,Milestones!$AA$63)&lt;=AsOfDate,IF($R36=0,$X36,IF(AND($T36&lt;&gt;"",EDATE($D36,Milestones!$AA$63)&gt;=$T36),$W36,IF(AND($S36&lt;&gt;"",EDATE($D36,Milestones!$AA$63)&gt;=$S36),$V36,$U36)))=Milestones!$AB$63),UPPER(TEXT(EDATE($D36,Milestones!$AA$63),"dd mmm yy"))&amp;" "&amp;Milestones!$AB$63&amp;" "&amp;Milestones!$AC$63&amp;";  ","")&amp;IF(AND(EDATE($D36,Milestones!$AA$64)&lt;=AsOfDate,IF($R36=0,$X36,IF(AND($T36&lt;&gt;"",EDATE($D36,Milestones!$AA$64)&gt;=$T36),$W36,IF(AND($S36&lt;&gt;"",EDATE($D36,Milestones!$AA$64)&gt;=$S36),$V36,$U36)))=Milestones!$AB$64),UPPER(TEXT(EDATE($D36,Milestones!$AA$64),"dd mmm yy"))&amp;" "&amp;Milestones!$AB$64&amp;" "&amp;Milestones!$AC$64&amp;";  ","")&amp;IF(AND(EDATE($D36,Milestones!$AA$65)&lt;=AsOfDate,IF($R36=0,$X36,IF(AND($T36&lt;&gt;"",EDATE($D36,Milestones!$AA$65)&gt;=$T36),$W36,IF(AND($S36&lt;&gt;"",EDATE($D36,Milestones!$AA$65)&gt;=$S36),$V36,$U36)))=Milestones!$AB$65),UPPER(TEXT(EDATE($D36,Milestones!$AA$65),"dd mmm yy"))&amp;" "&amp;Milestones!$AB$65&amp;" "&amp;Milestones!$AC$65&amp;";  ","")&amp;IF(AND(EDATE($D36,Milestones!$AA$66)&lt;=AsOfDate,IF($R36=0,$X36,IF(AND($T36&lt;&gt;"",EDATE($D36,Milestones!$AA$66)&gt;=$T36),$W36,IF(AND($S36&lt;&gt;"",EDATE($D36,Milestones!$AA$66)&gt;=$S36),$V36,$U36)))=Milestones!$AB$66),UPPER(TEXT(EDATE($D36,Milestones!$AA$66),"dd mmm yy"))&amp;" "&amp;Milestones!$AB$66&amp;" "&amp;Milestones!$AC$66&amp;";  ","")&amp;IF(AND(EDATE($D36,Milestones!$AA$67)&lt;=AsOfDate,IF($R36=0,$X36,IF(AND($T36&lt;&gt;"",EDATE($D36,Milestones!$AA$67)&gt;=$T36),$W36,IF(AND($S36&lt;&gt;"",EDATE($D36,Milestones!$AA$67)&gt;=$S36),$V36,$U36)))=Milestones!$AB$67),UPPER(TEXT(EDATE($D36,Milestones!$AA$67),"dd mmm yy"))&amp;" "&amp;Milestones!$AB$67&amp;" "&amp;Milestones!$AC$67&amp;";  ","")&amp;IF(AND(EDATE($D36,Milestones!$AA$68)&lt;=AsOfDate,IF($R36=0,$X36,IF(AND($T36&lt;&gt;"",EDATE($D36,Milestones!$AA$68)&gt;=$T36),$W36,IF(AND($S36&lt;&gt;"",EDATE($D36,Milestones!$AA$68)&gt;=$S36),$V36,$U36)))=Milestones!$AB$68),UPPER(TEXT(EDATE($D36,Milestones!$AA$68),"dd mmm yy"))&amp;" "&amp;Milestones!$AB$68&amp;" "&amp;Milestones!$AC$68&amp;";  ","")&amp;IF(AND(EDATE($D36,Milestones!$AA$69)&lt;=AsOfDate,IF($R36=0,$X36,IF(AND($T36&lt;&gt;"",EDATE($D36,Milestones!$AA$69)&gt;=$T36),$W36,IF(AND($S36&lt;&gt;"",EDATE($D36,Milestones!$AA$69)&gt;=$S36),$V36,$U36)))=Milestones!$AB$69),UPPER(TEXT(EDATE($D36,Milestones!$AA$69),"dd mmm yy"))&amp;" "&amp;Milestones!$AB$69&amp;" "&amp;Milestones!$AC$69&amp;";  ","")&amp;IF(AND(EDATE($D36,Milestones!$AA$70)&lt;=AsOfDate,IF($R36=0,$X36,IF(AND($T36&lt;&gt;"",EDATE($D36,Milestones!$AA$70)&gt;=$T36),$W36,IF(AND($S36&lt;&gt;"",EDATE($D36,Milestones!$AA$70)&gt;=$S36),$V36,$U36)))=Milestones!$AB$70),UPPER(TEXT(EDATE($D36,Milestones!$AA$70),"dd mmm yy"))&amp;" "&amp;Milestones!$AB$70&amp;" "&amp;Milestones!$AC$70&amp;";  ","")&amp;IF(AND(EDATE($D36,Milestones!$AA$71)&lt;=AsOfDate,IF($R36=0,$X36,IF(AND($T36&lt;&gt;"",EDATE($D36,Milestones!$AA$71)&gt;=$T36),$W36,IF(AND($S36&lt;&gt;"",EDATE($D36,Milestones!$AA$71)&gt;=$S36),$V36,$U36)))=Milestones!$AB$71),UPPER(TEXT(EDATE($D36,Milestones!$AA$71),"dd mmm yy"))&amp;" "&amp;Milestones!$AB$71&amp;" "&amp;Milestones!$AC$71&amp;";  ","")&amp;IF(AND(EDATE($D36,Milestones!$AA$72)&lt;=AsOfDate,IF($R36=0,$X36,IF(AND($T36&lt;&gt;"",EDATE($D36,Milestones!$AA$72)&gt;=$T36),$W36,IF(AND($S36&lt;&gt;"",EDATE($D36,Milestones!$AA$72)&gt;=$S36),$V36,$U36)))=Milestones!$AB$72),UPPER(TEXT(EDATE($D36,Milestones!$AA$72),"dd mmm yy"))&amp;" "&amp;Milestones!$AB$72&amp;" "&amp;Milestones!$AC$72&amp;";  ","")&amp;IF(AND(EDATE($D36,Milestones!$AA$73)&lt;=AsOfDate,IF($R36=0,$X36,IF(AND($T36&lt;&gt;"",EDATE($D36,Milestones!$AA$73)&gt;=$T36),$W36,IF(AND($S36&lt;&gt;"",EDATE($D36,Milestones!$AA$73)&gt;=$S36),$V36,$U36)))=Milestones!$AB$73),UPPER(TEXT(EDATE($D36,Milestones!$AA$73),"dd mmm yy"))&amp;" "&amp;Milestones!$AB$73&amp;" "&amp;Milestones!$AC$73&amp;";  ","")&amp;IF(AND(EDATE($D36,Milestones!$AA$74)&lt;=AsOfDate,IF($R36=0,$X36,IF(AND($T36&lt;&gt;"",EDATE($D36,Milestones!$AA$74)&gt;=$T36),$W36,IF(AND($S36&lt;&gt;"",EDATE($D36,Milestones!$AA$74)&gt;=$S36),$V36,$U36)))=Milestones!$AB$74),UPPER(TEXT(EDATE($D36,Milestones!$AA$74),"dd mmm yy"))&amp;" "&amp;Milestones!$AB$74&amp;" "&amp;Milestones!$AC$74&amp;";  ","")&amp;IF(AND(EDATE($D36,Milestones!$AA$75)&lt;=AsOfDate,IF($R36=0,$X36,IF(AND($T36&lt;&gt;"",EDATE($D36,Milestones!$AA$75)&gt;=$T36),$W36,IF(AND($S36&lt;&gt;"",EDATE($D36,Milestones!$AA$75)&gt;=$S36),$V36,$U36)))=Milestones!$AB$75),UPPER(TEXT(EDATE($D36,Milestones!$AA$75),"dd mmm yy"))&amp;" "&amp;Milestones!$AB$75&amp;" "&amp;Milestones!$AC$75&amp;";  ","")&amp;IF(AND(EDATE($D36,Milestones!$AA$76)&lt;=AsOfDate,IF($R36=0,$X36,IF(AND($T36&lt;&gt;"",EDATE($D36,Milestones!$AA$76)&gt;=$T36),$W36,IF(AND($S36&lt;&gt;"",EDATE($D36,Milestones!$AA$76)&gt;=$S36),$V36,$U36)))=Milestones!$AB$76),UPPER(TEXT(EDATE($D36,Milestones!$AA$76),"dd mmm yy"))&amp;" "&amp;Milestones!$AB$76&amp;" "&amp;Milestones!$AC$76&amp;";  ","")&amp;IF(AND(EDATE($D36,Milestones!$AA$77)&lt;=AsOfDate,IF($R36=0,$X36,IF(AND($T36&lt;&gt;"",EDATE($D36,Milestones!$AA$77)&gt;=$T36),$W36,IF(AND($S36&lt;&gt;"",EDATE($D36,Milestones!$AA$77)&gt;=$S36),$V36,$U36)))=Milestones!$AB$77),UPPER(TEXT(EDATE($D36,Milestones!$AA$77),"dd mmm yy"))&amp;" "&amp;Milestones!$AB$77&amp;" "&amp;Milestones!$AC$77&amp;";  ","")&amp;IF(AND(EDATE($D36,Milestones!$AA$78)&lt;=AsOfDate,IF($R36=0,$X36,IF(AND($T36&lt;&gt;"",EDATE($D36,Milestones!$AA$78)&gt;=$T36),$W36,IF(AND($S36&lt;&gt;"",EDATE($D36,Milestones!$AA$78)&gt;=$S36),$V36,$U36)))=Milestones!$AB$78),UPPER(TEXT(EDATE($D36,Milestones!$AA$78),"dd mmm yy"))&amp;" "&amp;Milestones!$AB$78&amp;" "&amp;Milestones!$AC$78&amp;";  ","")&amp;IF(AND(EDATE($D36,Milestones!$AA$79)&lt;=AsOfDate,IF($R36=0,$X36,IF(AND($T36&lt;&gt;"",EDATE($D36,Milestones!$AA$79)&gt;=$T36),$W36,IF(AND($S36&lt;&gt;"",EDATE($D36,Milestones!$AA$79)&gt;=$S36),$V36,$U36)))=Milestones!$AB$79),UPPER(TEXT(EDATE($D36,Milestones!$AA$79),"dd mmm yy"))&amp;" "&amp;Milestones!$AB$79&amp;" "&amp;Milestones!$AC$79&amp;";  ",""))</f>
        <v/>
      </c>
      <c r="L36" s="0" t="str">
        <f aca="false">IF(OR($A36="",$D36=""),"",IF(AND(EDATE($D36,Milestones!$AA$80)&lt;=AsOfDate,IF($R36=0,$X36,IF(AND($T36&lt;&gt;"",EDATE($D36,Milestones!$AA$80)&gt;=$T36),$W36,IF(AND($S36&lt;&gt;"",EDATE($D36,Milestones!$AA$80)&gt;=$S36),$V36,$U36)))=Milestones!$AB$80),UPPER(TEXT(EDATE($D36,Milestones!$AA$80),"dd mmm yy"))&amp;" "&amp;Milestones!$AB$80&amp;" "&amp;Milestones!$AC$80&amp;";  ","")&amp;IF(AND(EDATE($D36,Milestones!$AA$81)&lt;=AsOfDate,IF($R36=0,$X36,IF(AND($T36&lt;&gt;"",EDATE($D36,Milestones!$AA$81)&gt;=$T36),$W36,IF(AND($S36&lt;&gt;"",EDATE($D36,Milestones!$AA$81)&gt;=$S36),$V36,$U36)))=Milestones!$AB$81),UPPER(TEXT(EDATE($D36,Milestones!$AA$81),"dd mmm yy"))&amp;" "&amp;Milestones!$AB$81&amp;" "&amp;Milestones!$AC$81&amp;";  ","")&amp;IF(AND(EDATE($D36,Milestones!$AA$82)&lt;=AsOfDate,IF($R36=0,$X36,IF(AND($T36&lt;&gt;"",EDATE($D36,Milestones!$AA$82)&gt;=$T36),$W36,IF(AND($S36&lt;&gt;"",EDATE($D36,Milestones!$AA$82)&gt;=$S36),$V36,$U36)))=Milestones!$AB$82),UPPER(TEXT(EDATE($D36,Milestones!$AA$82),"dd mmm yy"))&amp;" "&amp;Milestones!$AB$82&amp;" "&amp;Milestones!$AC$82&amp;";  ","")&amp;IF(AND(EDATE($D36,Milestones!$AA$83)&lt;=AsOfDate,IF($R36=0,$X36,IF(AND($T36&lt;&gt;"",EDATE($D36,Milestones!$AA$83)&gt;=$T36),$W36,IF(AND($S36&lt;&gt;"",EDATE($D36,Milestones!$AA$83)&gt;=$S36),$V36,$U36)))=Milestones!$AB$83),UPPER(TEXT(EDATE($D36,Milestones!$AA$83),"dd mmm yy"))&amp;" "&amp;Milestones!$AB$83&amp;" "&amp;Milestones!$AC$83&amp;";  ","")&amp;IF(AND(EDATE($D36,Milestones!$AA$84)&lt;=AsOfDate,IF($R36=0,$X36,IF(AND($T36&lt;&gt;"",EDATE($D36,Milestones!$AA$84)&gt;=$T36),$W36,IF(AND($S36&lt;&gt;"",EDATE($D36,Milestones!$AA$84)&gt;=$S36),$V36,$U36)))=Milestones!$AB$84),UPPER(TEXT(EDATE($D36,Milestones!$AA$84),"dd mmm yy"))&amp;" "&amp;Milestones!$AB$84&amp;" "&amp;Milestones!$AC$84&amp;";  ","")&amp;IF(AND(EDATE($D36,Milestones!$AA$85)&lt;=AsOfDate,IF($R36=0,$X36,IF(AND($T36&lt;&gt;"",EDATE($D36,Milestones!$AA$85)&gt;=$T36),$W36,IF(AND($S36&lt;&gt;"",EDATE($D36,Milestones!$AA$85)&gt;=$S36),$V36,$U36)))=Milestones!$AB$85),UPPER(TEXT(EDATE($D36,Milestones!$AA$85),"dd mmm yy"))&amp;" "&amp;Milestones!$AB$85&amp;" "&amp;Milestones!$AC$85&amp;";  ","")&amp;IF(AND(EDATE($D36,Milestones!$AA$86)&lt;=AsOfDate,IF($R36=0,$X36,IF(AND($T36&lt;&gt;"",EDATE($D36,Milestones!$AA$86)&gt;=$T36),$W36,IF(AND($S36&lt;&gt;"",EDATE($D36,Milestones!$AA$86)&gt;=$S36),$V36,$U36)))=Milestones!$AB$86),UPPER(TEXT(EDATE($D36,Milestones!$AA$86),"dd mmm yy"))&amp;" "&amp;Milestones!$AB$86&amp;" "&amp;Milestones!$AC$86&amp;";  ","")&amp;IF(AND(EDATE($D36,Milestones!$AA$87)&lt;=AsOfDate,IF($R36=0,$X36,IF(AND($T36&lt;&gt;"",EDATE($D36,Milestones!$AA$87)&gt;=$T36),$W36,IF(AND($S36&lt;&gt;"",EDATE($D36,Milestones!$AA$87)&gt;=$S36),$V36,$U36)))=Milestones!$AB$87),UPPER(TEXT(EDATE($D36,Milestones!$AA$87),"dd mmm yy"))&amp;" "&amp;Milestones!$AB$87&amp;" "&amp;Milestones!$AC$87&amp;";  ","")&amp;IF(AND(EDATE($D36,Milestones!$AA$88)&lt;=AsOfDate,IF($R36=0,$X36,IF(AND($T36&lt;&gt;"",EDATE($D36,Milestones!$AA$88)&gt;=$T36),$W36,IF(AND($S36&lt;&gt;"",EDATE($D36,Milestones!$AA$88)&gt;=$S36),$V36,$U36)))=Milestones!$AB$88),UPPER(TEXT(EDATE($D36,Milestones!$AA$88),"dd mmm yy"))&amp;" "&amp;Milestones!$AB$88&amp;" "&amp;Milestones!$AC$88&amp;";  ","")&amp;IF(AND(EDATE($D36,Milestones!$AA$89)&lt;=AsOfDate,IF($R36=0,$X36,IF(AND($T36&lt;&gt;"",EDATE($D36,Milestones!$AA$89)&gt;=$T36),$W36,IF(AND($S36&lt;&gt;"",EDATE($D36,Milestones!$AA$89)&gt;=$S36),$V36,$U36)))=Milestones!$AB$89),UPPER(TEXT(EDATE($D36,Milestones!$AA$89),"dd mmm yy"))&amp;" "&amp;Milestones!$AB$89&amp;" "&amp;Milestones!$AC$89&amp;";  ","")&amp;IF(AND(EDATE($D36,Milestones!$AA$90)&lt;=AsOfDate,IF($R36=0,$X36,IF(AND($T36&lt;&gt;"",EDATE($D36,Milestones!$AA$90)&gt;=$T36),$W36,IF(AND($S36&lt;&gt;"",EDATE($D36,Milestones!$AA$90)&gt;=$S36),$V36,$U36)))=Milestones!$AB$90),UPPER(TEXT(EDATE($D36,Milestones!$AA$90),"dd mmm yy"))&amp;" "&amp;Milestones!$AB$90&amp;" "&amp;Milestones!$AC$90&amp;";  ","")&amp;IF(AND(EDATE($D36,Milestones!$AA$91)&lt;=AsOfDate,IF($R36=0,$X36,IF(AND($T36&lt;&gt;"",EDATE($D36,Milestones!$AA$91)&gt;=$T36),$W36,IF(AND($S36&lt;&gt;"",EDATE($D36,Milestones!$AA$91)&gt;=$S36),$V36,$U36)))=Milestones!$AB$91),UPPER(TEXT(EDATE($D36,Milestones!$AA$91),"dd mmm yy"))&amp;" "&amp;Milestones!$AB$91&amp;" "&amp;Milestones!$AC$91&amp;";  ","")&amp;IF(AND(EDATE($D36,Milestones!$AA$92)&lt;=AsOfDate,IF($R36=0,$X36,IF(AND($T36&lt;&gt;"",EDATE($D36,Milestones!$AA$92)&gt;=$T36),$W36,IF(AND($S36&lt;&gt;"",EDATE($D36,Milestones!$AA$92)&gt;=$S36),$V36,$U36)))=Milestones!$AB$92),UPPER(TEXT(EDATE($D36,Milestones!$AA$92),"dd mmm yy"))&amp;" "&amp;Milestones!$AB$92&amp;" "&amp;Milestones!$AC$92&amp;";  ","")&amp;IF(AND(EDATE($D36,Milestones!$AA$93)&lt;=AsOfDate,IF($R36=0,$X36,IF(AND($T36&lt;&gt;"",EDATE($D36,Milestones!$AA$93)&gt;=$T36),$W36,IF(AND($S36&lt;&gt;"",EDATE($D36,Milestones!$AA$93)&gt;=$S36),$V36,$U36)))=Milestones!$AB$93),UPPER(TEXT(EDATE($D36,Milestones!$AA$93),"dd mmm yy"))&amp;" "&amp;Milestones!$AB$93&amp;" "&amp;Milestones!$AC$93&amp;";  ","")&amp;IF(AND(EDATE($D36,Milestones!$AA$94)&lt;=AsOfDate,IF($R36=0,$X36,IF(AND($T36&lt;&gt;"",EDATE($D36,Milestones!$AA$94)&gt;=$T36),$W36,IF(AND($S36&lt;&gt;"",EDATE($D36,Milestones!$AA$94)&gt;=$S36),$V36,$U36)))=Milestones!$AB$94),UPPER(TEXT(EDATE($D36,Milestones!$AA$94),"dd mmm yy"))&amp;" "&amp;Milestones!$AB$94&amp;" "&amp;Milestones!$AC$94&amp;";  ","")&amp;IF(AND(EDATE($D36,Milestones!$AA$95)&lt;=AsOfDate,IF($R36=0,$X36,IF(AND($T36&lt;&gt;"",EDATE($D36,Milestones!$AA$95)&gt;=$T36),$W36,IF(AND($S36&lt;&gt;"",EDATE($D36,Milestones!$AA$95)&gt;=$S36),$V36,$U36)))=Milestones!$AB$95),UPPER(TEXT(EDATE($D36,Milestones!$AA$95),"dd mmm yy"))&amp;" "&amp;Milestones!$AB$95&amp;" "&amp;Milestones!$AC$95&amp;";  ","")&amp;IF(AND(EDATE($D36,Milestones!$AA$96)&lt;=AsOfDate,IF($R36=0,$X36,IF(AND($T36&lt;&gt;"",EDATE($D36,Milestones!$AA$96)&gt;=$T36),$W36,IF(AND($S36&lt;&gt;"",EDATE($D36,Milestones!$AA$96)&gt;=$S36),$V36,$U36)))=Milestones!$AB$96),UPPER(TEXT(EDATE($D36,Milestones!$AA$96),"dd mmm yy"))&amp;" "&amp;Milestones!$AB$96&amp;" "&amp;Milestones!$AC$96&amp;";  ","")&amp;IF(AND(EDATE($D36,Milestones!$AA$97)&lt;=AsOfDate,IF($R36=0,$X36,IF(AND($T36&lt;&gt;"",EDATE($D36,Milestones!$AA$97)&gt;=$T36),$W36,IF(AND($S36&lt;&gt;"",EDATE($D36,Milestones!$AA$97)&gt;=$S36),$V36,$U36)))=Milestones!$AB$97),UPPER(TEXT(EDATE($D36,Milestones!$AA$97),"dd mmm yy"))&amp;" "&amp;Milestones!$AB$97&amp;" "&amp;Milestones!$AC$97&amp;";  ","")&amp;IF(AND(EDATE($D36,Milestones!$AA$98)&lt;=AsOfDate,IF($R36=0,$X36,IF(AND($T36&lt;&gt;"",EDATE($D36,Milestones!$AA$98)&gt;=$T36),$W36,IF(AND($S36&lt;&gt;"",EDATE($D36,Milestones!$AA$98)&gt;=$S36),$V36,$U36)))=Milestones!$AB$98),UPPER(TEXT(EDATE($D36,Milestones!$AA$98),"dd mmm yy"))&amp;" "&amp;Milestones!$AB$98&amp;" "&amp;Milestones!$AC$98&amp;";  ","")&amp;IF(AND(EDATE($D36,Milestones!$AA$99)&lt;=AsOfDate,IF($R36=0,$X36,IF(AND($T36&lt;&gt;"",EDATE($D36,Milestones!$AA$99)&gt;=$T36),$W36,IF(AND($S36&lt;&gt;"",EDATE($D36,Milestones!$AA$99)&gt;=$S36),$V36,$U36)))=Milestones!$AB$99),UPPER(TEXT(EDATE($D36,Milestones!$AA$99),"dd mmm yy"))&amp;" "&amp;Milestones!$AB$99&amp;" "&amp;Milestones!$AC$99&amp;";  ",""))</f>
        <v/>
      </c>
      <c r="M36" s="0" t="str">
        <f aca="false">IF(OR($A36="",$D36=""),"",IF(AND(EDATE($D36,Milestones!$AA$100)&lt;=AsOfDate,IF($R36=0,$X36,IF(AND($T36&lt;&gt;"",EDATE($D36,Milestones!$AA$100)&gt;=$T36),$W36,IF(AND($S36&lt;&gt;"",EDATE($D36,Milestones!$AA$100)&gt;=$S36),$V36,$U36)))=Milestones!$AB$100),UPPER(TEXT(EDATE($D36,Milestones!$AA$100),"dd mmm yy"))&amp;" "&amp;Milestones!$AB$100&amp;" "&amp;Milestones!$AC$100&amp;";  ","")&amp;IF(AND(EDATE($D36,Milestones!$AA$101)&lt;=AsOfDate,IF($R36=0,$X36,IF(AND($T36&lt;&gt;"",EDATE($D36,Milestones!$AA$101)&gt;=$T36),$W36,IF(AND($S36&lt;&gt;"",EDATE($D36,Milestones!$AA$101)&gt;=$S36),$V36,$U36)))=Milestones!$AB$101),UPPER(TEXT(EDATE($D36,Milestones!$AA$101),"dd mmm yy"))&amp;" "&amp;Milestones!$AB$101&amp;" "&amp;Milestones!$AC$101&amp;";  ","")&amp;IF(AND(EDATE($D36,Milestones!$AA$102)&lt;=AsOfDate,IF($R36=0,$X36,IF(AND($T36&lt;&gt;"",EDATE($D36,Milestones!$AA$102)&gt;=$T36),$W36,IF(AND($S36&lt;&gt;"",EDATE($D36,Milestones!$AA$102)&gt;=$S36),$V36,$U36)))=Milestones!$AB$102),UPPER(TEXT(EDATE($D36,Milestones!$AA$102),"dd mmm yy"))&amp;" "&amp;Milestones!$AB$102&amp;" "&amp;Milestones!$AC$102&amp;";  ","")&amp;IF(AND(EDATE($D36,Milestones!$AA$103)&lt;=AsOfDate,IF($R36=0,$X36,IF(AND($T36&lt;&gt;"",EDATE($D36,Milestones!$AA$103)&gt;=$T36),$W36,IF(AND($S36&lt;&gt;"",EDATE($D36,Milestones!$AA$103)&gt;=$S36),$V36,$U36)))=Milestones!$AB$103),UPPER(TEXT(EDATE($D36,Milestones!$AA$103),"dd mmm yy"))&amp;" "&amp;Milestones!$AB$103&amp;" "&amp;Milestones!$AC$103&amp;";  ","")&amp;IF(AND(EDATE($D36,Milestones!$AA$104)&lt;=AsOfDate,IF($R36=0,$X36,IF(AND($T36&lt;&gt;"",EDATE($D36,Milestones!$AA$104)&gt;=$T36),$W36,IF(AND($S36&lt;&gt;"",EDATE($D36,Milestones!$AA$104)&gt;=$S36),$V36,$U36)))=Milestones!$AB$104),UPPER(TEXT(EDATE($D36,Milestones!$AA$104),"dd mmm yy"))&amp;" "&amp;Milestones!$AB$104&amp;" "&amp;Milestones!$AC$104&amp;";  ","")&amp;IF(AND(EDATE($D36,Milestones!$AA$105)&lt;=AsOfDate,IF($R36=0,$X36,IF(AND($T36&lt;&gt;"",EDATE($D36,Milestones!$AA$105)&gt;=$T36),$W36,IF(AND($S36&lt;&gt;"",EDATE($D36,Milestones!$AA$105)&gt;=$S36),$V36,$U36)))=Milestones!$AB$105),UPPER(TEXT(EDATE($D36,Milestones!$AA$105),"dd mmm yy"))&amp;" "&amp;Milestones!$AB$105&amp;" "&amp;Milestones!$AC$105&amp;";  ","")&amp;IF(AND(EDATE($D36,Milestones!$AA$106)&lt;=AsOfDate,IF($R36=0,$X36,IF(AND($T36&lt;&gt;"",EDATE($D36,Milestones!$AA$106)&gt;=$T36),$W36,IF(AND($S36&lt;&gt;"",EDATE($D36,Milestones!$AA$106)&gt;=$S36),$V36,$U36)))=Milestones!$AB$106),UPPER(TEXT(EDATE($D36,Milestones!$AA$106),"dd mmm yy"))&amp;" "&amp;Milestones!$AB$106&amp;" "&amp;Milestones!$AC$106&amp;";  ","")&amp;IF(AND(EDATE($D36,Milestones!$AA$107)&lt;=AsOfDate,IF($R36=0,$X36,IF(AND($T36&lt;&gt;"",EDATE($D36,Milestones!$AA$107)&gt;=$T36),$W36,IF(AND($S36&lt;&gt;"",EDATE($D36,Milestones!$AA$107)&gt;=$S36),$V36,$U36)))=Milestones!$AB$107),UPPER(TEXT(EDATE($D36,Milestones!$AA$107),"dd mmm yy"))&amp;" "&amp;Milestones!$AB$107&amp;" "&amp;Milestones!$AC$107&amp;";  ","")&amp;IF(AND(EDATE($D36,Milestones!$AA$108)&lt;=AsOfDate,IF($R36=0,$X36,IF(AND($T36&lt;&gt;"",EDATE($D36,Milestones!$AA$108)&gt;=$T36),$W36,IF(AND($S36&lt;&gt;"",EDATE($D36,Milestones!$AA$108)&gt;=$S36),$V36,$U36)))=Milestones!$AB$108),UPPER(TEXT(EDATE($D36,Milestones!$AA$108),"dd mmm yy"))&amp;" "&amp;Milestones!$AB$108&amp;" "&amp;Milestones!$AC$108&amp;";  ","")&amp;IF(AND(EDATE($D36,Milestones!$AA$109)&lt;=AsOfDate,IF($R36=0,$X36,IF(AND($T36&lt;&gt;"",EDATE($D36,Milestones!$AA$109)&gt;=$T36),$W36,IF(AND($S36&lt;&gt;"",EDATE($D36,Milestones!$AA$109)&gt;=$S36),$V36,$U36)))=Milestones!$AB$109),UPPER(TEXT(EDATE($D36,Milestones!$AA$109),"dd mmm yy"))&amp;" "&amp;Milestones!$AB$109&amp;" "&amp;Milestones!$AC$109&amp;";  ","")&amp;IF(AND(EDATE($D36,Milestones!$AA$110)&lt;=AsOfDate,IF($R36=0,$X36,IF(AND($T36&lt;&gt;"",EDATE($D36,Milestones!$AA$110)&gt;=$T36),$W36,IF(AND($S36&lt;&gt;"",EDATE($D36,Milestones!$AA$110)&gt;=$S36),$V36,$U36)))=Milestones!$AB$110),UPPER(TEXT(EDATE($D36,Milestones!$AA$110),"dd mmm yy"))&amp;" "&amp;Milestones!$AB$110&amp;" "&amp;Milestones!$AC$110&amp;";  ","")&amp;IF(AND(EDATE($D36,Milestones!$AA$111)&lt;=AsOfDate,IF($R36=0,$X36,IF(AND($T36&lt;&gt;"",EDATE($D36,Milestones!$AA$111)&gt;=$T36),$W36,IF(AND($S36&lt;&gt;"",EDATE($D36,Milestones!$AA$111)&gt;=$S36),$V36,$U36)))=Milestones!$AB$111),UPPER(TEXT(EDATE($D36,Milestones!$AA$111),"dd mmm yy"))&amp;" "&amp;Milestones!$AB$111&amp;" "&amp;Milestones!$AC$111&amp;";  ","")&amp;IF(AND(EDATE($D36,Milestones!$AA$112)&lt;=AsOfDate,IF($R36=0,$X36,IF(AND($T36&lt;&gt;"",EDATE($D36,Milestones!$AA$112)&gt;=$T36),$W36,IF(AND($S36&lt;&gt;"",EDATE($D36,Milestones!$AA$112)&gt;=$S36),$V36,$U36)))=Milestones!$AB$112),UPPER(TEXT(EDATE($D36,Milestones!$AA$112),"dd mmm yy"))&amp;" "&amp;Milestones!$AB$112&amp;" "&amp;Milestones!$AC$112&amp;";  ","")&amp;IF(AND(EDATE($D36,Milestones!$AA$113)&lt;=AsOfDate,IF($R36=0,$X36,IF(AND($T36&lt;&gt;"",EDATE($D36,Milestones!$AA$113)&gt;=$T36),$W36,IF(AND($S36&lt;&gt;"",EDATE($D36,Milestones!$AA$113)&gt;=$S36),$V36,$U36)))=Milestones!$AB$113),UPPER(TEXT(EDATE($D36,Milestones!$AA$113),"dd mmm yy"))&amp;" "&amp;Milestones!$AB$113&amp;" "&amp;Milestones!$AC$113&amp;";  ","")&amp;IF(AND(EDATE($D36,Milestones!$AA$114)&lt;=AsOfDate,IF($R36=0,$X36,IF(AND($T36&lt;&gt;"",EDATE($D36,Milestones!$AA$114)&gt;=$T36),$W36,IF(AND($S36&lt;&gt;"",EDATE($D36,Milestones!$AA$114)&gt;=$S36),$V36,$U36)))=Milestones!$AB$114),UPPER(TEXT(EDATE($D36,Milestones!$AA$114),"dd mmm yy"))&amp;" "&amp;Milestones!$AB$114&amp;" "&amp;Milestones!$AC$114&amp;";  ","")&amp;IF(AND(EDATE($D36,Milestones!$AA$115)&lt;=AsOfDate,IF($R36=0,$X36,IF(AND($T36&lt;&gt;"",EDATE($D36,Milestones!$AA$115)&gt;=$T36),$W36,IF(AND($S36&lt;&gt;"",EDATE($D36,Milestones!$AA$115)&gt;=$S36),$V36,$U36)))=Milestones!$AB$115),UPPER(TEXT(EDATE($D36,Milestones!$AA$115),"dd mmm yy"))&amp;" "&amp;Milestones!$AB$115&amp;" "&amp;Milestones!$AC$115&amp;";  ","")&amp;IF(AND(EDATE($D36,Milestones!$AA$116)&lt;=AsOfDate,IF($R36=0,$X36,IF(AND($T36&lt;&gt;"",EDATE($D36,Milestones!$AA$116)&gt;=$T36),$W36,IF(AND($S36&lt;&gt;"",EDATE($D36,Milestones!$AA$116)&gt;=$S36),$V36,$U36)))=Milestones!$AB$116),UPPER(TEXT(EDATE($D36,Milestones!$AA$116),"dd mmm yy"))&amp;" "&amp;Milestones!$AB$116&amp;" "&amp;Milestones!$AC$116&amp;";  ","")&amp;IF(AND(EDATE($D36,Milestones!$AA$117)&lt;=AsOfDate,IF($R36=0,$X36,IF(AND($T36&lt;&gt;"",EDATE($D36,Milestones!$AA$117)&gt;=$T36),$W36,IF(AND($S36&lt;&gt;"",EDATE($D36,Milestones!$AA$117)&gt;=$S36),$V36,$U36)))=Milestones!$AB$117),UPPER(TEXT(EDATE($D36,Milestones!$AA$117),"dd mmm yy"))&amp;" "&amp;Milestones!$AB$117&amp;" "&amp;Milestones!$AC$117&amp;";  ","")&amp;IF(AND(EDATE($D36,Milestones!$AA$118)&lt;=AsOfDate,IF($R36=0,$X36,IF(AND($T36&lt;&gt;"",EDATE($D36,Milestones!$AA$118)&gt;=$T36),$W36,IF(AND($S36&lt;&gt;"",EDATE($D36,Milestones!$AA$118)&gt;=$S36),$V36,$U36)))=Milestones!$AB$118),UPPER(TEXT(EDATE($D36,Milestones!$AA$118),"dd mmm yy"))&amp;" "&amp;Milestones!$AB$118&amp;" "&amp;Milestones!$AC$118&amp;";  ","")&amp;IF(AND(EDATE($D36,Milestones!$AA$119)&lt;=AsOfDate,IF($R36=0,$X36,IF(AND($T36&lt;&gt;"",EDATE($D36,Milestones!$AA$119)&gt;=$T36),$W36,IF(AND($S36&lt;&gt;"",EDATE($D36,Milestones!$AA$119)&gt;=$S36),$V36,$U36)))=Milestones!$AB$119),UPPER(TEXT(EDATE($D36,Milestones!$AA$119),"dd mmm yy"))&amp;" "&amp;Milestones!$AB$119&amp;" "&amp;Milestones!$AC$119&amp;";  ",""))</f>
        <v/>
      </c>
      <c r="N36" s="0" t="str">
        <f aca="false">IF(OR($A36="",$D36=""),"",IF(AND(EDATE($D36,Milestones!$AA$120)&lt;=AsOfDate,IF($R36=0,$X36,IF(AND($T36&lt;&gt;"",EDATE($D36,Milestones!$AA$120)&gt;=$T36),$W36,IF(AND($S36&lt;&gt;"",EDATE($D36,Milestones!$AA$120)&gt;=$S36),$V36,$U36)))=Milestones!$AB$120),UPPER(TEXT(EDATE($D36,Milestones!$AA$120),"dd mmm yy"))&amp;" "&amp;Milestones!$AB$120&amp;" "&amp;Milestones!$AC$120&amp;";  ","")&amp;IF(AND(EDATE($D36,Milestones!$AA$121)&lt;=AsOfDate,IF($R36=0,$X36,IF(AND($T36&lt;&gt;"",EDATE($D36,Milestones!$AA$121)&gt;=$T36),$W36,IF(AND($S36&lt;&gt;"",EDATE($D36,Milestones!$AA$121)&gt;=$S36),$V36,$U36)))=Milestones!$AB$121),UPPER(TEXT(EDATE($D36,Milestones!$AA$121),"dd mmm yy"))&amp;" "&amp;Milestones!$AB$121&amp;" "&amp;Milestones!$AC$121&amp;";  ","")&amp;IF(AND(EDATE($D36,Milestones!$AA$122)&lt;=AsOfDate,IF($R36=0,$X36,IF(AND($T36&lt;&gt;"",EDATE($D36,Milestones!$AA$122)&gt;=$T36),$W36,IF(AND($S36&lt;&gt;"",EDATE($D36,Milestones!$AA$122)&gt;=$S36),$V36,$U36)))=Milestones!$AB$122),UPPER(TEXT(EDATE($D36,Milestones!$AA$122),"dd mmm yy"))&amp;" "&amp;Milestones!$AB$122&amp;" "&amp;Milestones!$AC$122&amp;";  ","")&amp;IF(AND(EDATE($D36,Milestones!$AA$123)&lt;=AsOfDate,IF($R36=0,$X36,IF(AND($T36&lt;&gt;"",EDATE($D36,Milestones!$AA$123)&gt;=$T36),$W36,IF(AND($S36&lt;&gt;"",EDATE($D36,Milestones!$AA$123)&gt;=$S36),$V36,$U36)))=Milestones!$AB$123),UPPER(TEXT(EDATE($D36,Milestones!$AA$123),"dd mmm yy"))&amp;" "&amp;Milestones!$AB$123&amp;" "&amp;Milestones!$AC$123&amp;";  ","")&amp;IF(AND(EDATE($D36,Milestones!$AA$124)&lt;=AsOfDate,IF($R36=0,$X36,IF(AND($T36&lt;&gt;"",EDATE($D36,Milestones!$AA$124)&gt;=$T36),$W36,IF(AND($S36&lt;&gt;"",EDATE($D36,Milestones!$AA$124)&gt;=$S36),$V36,$U36)))=Milestones!$AB$124),UPPER(TEXT(EDATE($D36,Milestones!$AA$124),"dd mmm yy"))&amp;" "&amp;Milestones!$AB$124&amp;" "&amp;Milestones!$AC$124&amp;";  ","")&amp;IF(AND(EDATE($D36,Milestones!$AA$125)&lt;=AsOfDate,IF($R36=0,$X36,IF(AND($T36&lt;&gt;"",EDATE($D36,Milestones!$AA$125)&gt;=$T36),$W36,IF(AND($S36&lt;&gt;"",EDATE($D36,Milestones!$AA$125)&gt;=$S36),$V36,$U36)))=Milestones!$AB$125),UPPER(TEXT(EDATE($D36,Milestones!$AA$125),"dd mmm yy"))&amp;" "&amp;Milestones!$AB$125&amp;" "&amp;Milestones!$AC$125&amp;";  ","")&amp;IF(AND(EDATE($D36,Milestones!$AA$126)&lt;=AsOfDate,IF($R36=0,$X36,IF(AND($T36&lt;&gt;"",EDATE($D36,Milestones!$AA$126)&gt;=$T36),$W36,IF(AND($S36&lt;&gt;"",EDATE($D36,Milestones!$AA$126)&gt;=$S36),$V36,$U36)))=Milestones!$AB$126),UPPER(TEXT(EDATE($D36,Milestones!$AA$126),"dd mmm yy"))&amp;" "&amp;Milestones!$AB$126&amp;" "&amp;Milestones!$AC$126&amp;";  ","")&amp;IF(AND(EDATE($D36,Milestones!$AA$127)&lt;=AsOfDate,IF($R36=0,$X36,IF(AND($T36&lt;&gt;"",EDATE($D36,Milestones!$AA$127)&gt;=$T36),$W36,IF(AND($S36&lt;&gt;"",EDATE($D36,Milestones!$AA$127)&gt;=$S36),$V36,$U36)))=Milestones!$AB$127),UPPER(TEXT(EDATE($D36,Milestones!$AA$127),"dd mmm yy"))&amp;" "&amp;Milestones!$AB$127&amp;" "&amp;Milestones!$AC$127&amp;";  ","")&amp;IF(AND(EDATE($D36,Milestones!$AA$128)&lt;=AsOfDate,IF($R36=0,$X36,IF(AND($T36&lt;&gt;"",EDATE($D36,Milestones!$AA$128)&gt;=$T36),$W36,IF(AND($S36&lt;&gt;"",EDATE($D36,Milestones!$AA$128)&gt;=$S36),$V36,$U36)))=Milestones!$AB$128),UPPER(TEXT(EDATE($D36,Milestones!$AA$128),"dd mmm yy"))&amp;" "&amp;Milestones!$AB$128&amp;" "&amp;Milestones!$AC$128&amp;";  ","")&amp;IF(AND(EDATE($D36,Milestones!$AA$129)&lt;=AsOfDate,IF($R36=0,$X36,IF(AND($T36&lt;&gt;"",EDATE($D36,Milestones!$AA$129)&gt;=$T36),$W36,IF(AND($S36&lt;&gt;"",EDATE($D36,Milestones!$AA$129)&gt;=$S36),$V36,$U36)))=Milestones!$AB$129),UPPER(TEXT(EDATE($D36,Milestones!$AA$129),"dd mmm yy"))&amp;" "&amp;Milestones!$AB$129&amp;" "&amp;Milestones!$AC$129&amp;";  ","")&amp;IF(AND(EDATE($D36,Milestones!$AA$130)&lt;=AsOfDate,IF($R36=0,$X36,IF(AND($T36&lt;&gt;"",EDATE($D36,Milestones!$AA$130)&gt;=$T36),$W36,IF(AND($S36&lt;&gt;"",EDATE($D36,Milestones!$AA$130)&gt;=$S36),$V36,$U36)))=Milestones!$AB$130),UPPER(TEXT(EDATE($D36,Milestones!$AA$130),"dd mmm yy"))&amp;" "&amp;Milestones!$AB$130&amp;" "&amp;Milestones!$AC$130&amp;";  ","")&amp;IF(AND(EDATE($D36,Milestones!$AA$131)&lt;=AsOfDate,IF($R36=0,$X36,IF(AND($T36&lt;&gt;"",EDATE($D36,Milestones!$AA$131)&gt;=$T36),$W36,IF(AND($S36&lt;&gt;"",EDATE($D36,Milestones!$AA$131)&gt;=$S36),$V36,$U36)))=Milestones!$AB$131),UPPER(TEXT(EDATE($D36,Milestones!$AA$131),"dd mmm yy"))&amp;" "&amp;Milestones!$AB$131&amp;" "&amp;Milestones!$AC$131&amp;";  ","")&amp;IF(AND(EDATE($D36,Milestones!$AA$132)&lt;=AsOfDate,IF($R36=0,$X36,IF(AND($T36&lt;&gt;"",EDATE($D36,Milestones!$AA$132)&gt;=$T36),$W36,IF(AND($S36&lt;&gt;"",EDATE($D36,Milestones!$AA$132)&gt;=$S36),$V36,$U36)))=Milestones!$AB$132),UPPER(TEXT(EDATE($D36,Milestones!$AA$132),"dd mmm yy"))&amp;" "&amp;Milestones!$AB$132&amp;" "&amp;Milestones!$AC$132&amp;";  ","")&amp;IF(AND(EDATE($D36,Milestones!$AA$133)&lt;=AsOfDate,IF($R36=0,$X36,IF(AND($T36&lt;&gt;"",EDATE($D36,Milestones!$AA$133)&gt;=$T36),$W36,IF(AND($S36&lt;&gt;"",EDATE($D36,Milestones!$AA$133)&gt;=$S36),$V36,$U36)))=Milestones!$AB$133),UPPER(TEXT(EDATE($D36,Milestones!$AA$133),"dd mmm yy"))&amp;" "&amp;Milestones!$AB$133&amp;" "&amp;Milestones!$AC$133&amp;";  ","")&amp;IF(AND(EDATE($D36,Milestones!$AA$134)&lt;=AsOfDate,IF($R36=0,$X36,IF(AND($T36&lt;&gt;"",EDATE($D36,Milestones!$AA$134)&gt;=$T36),$W36,IF(AND($S36&lt;&gt;"",EDATE($D36,Milestones!$AA$134)&gt;=$S36),$V36,$U36)))=Milestones!$AB$134),UPPER(TEXT(EDATE($D36,Milestones!$AA$134),"dd mmm yy"))&amp;" "&amp;Milestones!$AB$134&amp;" "&amp;Milestones!$AC$134&amp;";  ","")&amp;IF(AND(EDATE($D36,Milestones!$AA$135)&lt;=AsOfDate,IF($R36=0,$X36,IF(AND($T36&lt;&gt;"",EDATE($D36,Milestones!$AA$135)&gt;=$T36),$W36,IF(AND($S36&lt;&gt;"",EDATE($D36,Milestones!$AA$135)&gt;=$S36),$V36,$U36)))=Milestones!$AB$135),UPPER(TEXT(EDATE($D36,Milestones!$AA$135),"dd mmm yy"))&amp;" "&amp;Milestones!$AB$135&amp;" "&amp;Milestones!$AC$135&amp;";  ","")&amp;IF(AND(EDATE($D36,Milestones!$AA$136)&lt;=AsOfDate,IF($R36=0,$X36,IF(AND($T36&lt;&gt;"",EDATE($D36,Milestones!$AA$136)&gt;=$T36),$W36,IF(AND($S36&lt;&gt;"",EDATE($D36,Milestones!$AA$136)&gt;=$S36),$V36,$U36)))=Milestones!$AB$136),UPPER(TEXT(EDATE($D36,Milestones!$AA$136),"dd mmm yy"))&amp;" "&amp;Milestones!$AB$136&amp;" "&amp;Milestones!$AC$136&amp;";  ","")&amp;IF(AND(EDATE($D36,Milestones!$AA$137)&lt;=AsOfDate,IF($R36=0,$X36,IF(AND($T36&lt;&gt;"",EDATE($D36,Milestones!$AA$137)&gt;=$T36),$W36,IF(AND($S36&lt;&gt;"",EDATE($D36,Milestones!$AA$137)&gt;=$S36),$V36,$U36)))=Milestones!$AB$137),UPPER(TEXT(EDATE($D36,Milestones!$AA$137),"dd mmm yy"))&amp;" "&amp;Milestones!$AB$137&amp;" "&amp;Milestones!$AC$137&amp;";  ","")&amp;IF(AND(EDATE($D36,Milestones!$AA$138)&lt;=AsOfDate,IF($R36=0,$X36,IF(AND($T36&lt;&gt;"",EDATE($D36,Milestones!$AA$138)&gt;=$T36),$W36,IF(AND($S36&lt;&gt;"",EDATE($D36,Milestones!$AA$138)&gt;=$S36),$V36,$U36)))=Milestones!$AB$138),UPPER(TEXT(EDATE($D36,Milestones!$AA$138),"dd mmm yy"))&amp;" "&amp;Milestones!$AB$138&amp;" "&amp;Milestones!$AC$138&amp;";  ","")&amp;IF(AND(EDATE($D36,Milestones!$AA$139)&lt;=AsOfDate,IF($R36=0,$X36,IF(AND($T36&lt;&gt;"",EDATE($D36,Milestones!$AA$139)&gt;=$T36),$W36,IF(AND($S36&lt;&gt;"",EDATE($D36,Milestones!$AA$139)&gt;=$S36),$V36,$U36)))=Milestones!$AB$139),UPPER(TEXT(EDATE($D36,Milestones!$AA$139),"dd mmm yy"))&amp;" "&amp;Milestones!$AB$139&amp;" "&amp;Milestones!$AC$139&amp;";  ",""))</f>
        <v/>
      </c>
      <c r="O36" s="0" t="str">
        <f aca="false">IF(OR($A36="",$D36=""),"",IF(AND(EDATE($D36,Milestones!$AA$140)&lt;=AsOfDate,IF($R36=0,$X36,IF(AND($T36&lt;&gt;"",EDATE($D36,Milestones!$AA$140)&gt;=$T36),$W36,IF(AND($S36&lt;&gt;"",EDATE($D36,Milestones!$AA$140)&gt;=$S36),$V36,$U36)))=Milestones!$AB$140),UPPER(TEXT(EDATE($D36,Milestones!$AA$140),"dd mmm yy"))&amp;" "&amp;Milestones!$AB$140&amp;" "&amp;Milestones!$AC$140&amp;";  ","")&amp;IF(AND(EDATE($D36,Milestones!$AA$141)&lt;=AsOfDate,IF($R36=0,$X36,IF(AND($T36&lt;&gt;"",EDATE($D36,Milestones!$AA$141)&gt;=$T36),$W36,IF(AND($S36&lt;&gt;"",EDATE($D36,Milestones!$AA$141)&gt;=$S36),$V36,$U36)))=Milestones!$AB$141),UPPER(TEXT(EDATE($D36,Milestones!$AA$141),"dd mmm yy"))&amp;" "&amp;Milestones!$AB$141&amp;" "&amp;Milestones!$AC$141&amp;";  ","")&amp;IF(AND(EDATE($D36,Milestones!$AA$142)&lt;=AsOfDate,IF($R36=0,$X36,IF(AND($T36&lt;&gt;"",EDATE($D36,Milestones!$AA$142)&gt;=$T36),$W36,IF(AND($S36&lt;&gt;"",EDATE($D36,Milestones!$AA$142)&gt;=$S36),$V36,$U36)))=Milestones!$AB$142),UPPER(TEXT(EDATE($D36,Milestones!$AA$142),"dd mmm yy"))&amp;" "&amp;Milestones!$AB$142&amp;" "&amp;Milestones!$AC$142&amp;";  ","")&amp;IF(AND(EDATE($D36,Milestones!$AA$143)&lt;=AsOfDate,IF($R36=0,$X36,IF(AND($T36&lt;&gt;"",EDATE($D36,Milestones!$AA$143)&gt;=$T36),$W36,IF(AND($S36&lt;&gt;"",EDATE($D36,Milestones!$AA$143)&gt;=$S36),$V36,$U36)))=Milestones!$AB$143),UPPER(TEXT(EDATE($D36,Milestones!$AA$143),"dd mmm yy"))&amp;" "&amp;Milestones!$AB$143&amp;" "&amp;Milestones!$AC$143&amp;";  ","")&amp;IF(AND(EDATE($D36,Milestones!$AA$144)&lt;=AsOfDate,IF($R36=0,$X36,IF(AND($T36&lt;&gt;"",EDATE($D36,Milestones!$AA$144)&gt;=$T36),$W36,IF(AND($S36&lt;&gt;"",EDATE($D36,Milestones!$AA$144)&gt;=$S36),$V36,$U36)))=Milestones!$AB$144),UPPER(TEXT(EDATE($D36,Milestones!$AA$144),"dd mmm yy"))&amp;" "&amp;Milestones!$AB$144&amp;" "&amp;Milestones!$AC$144&amp;";  ","")&amp;IF(AND(EDATE($D36,Milestones!$AA$145)&lt;=AsOfDate,IF($R36=0,$X36,IF(AND($T36&lt;&gt;"",EDATE($D36,Milestones!$AA$145)&gt;=$T36),$W36,IF(AND($S36&lt;&gt;"",EDATE($D36,Milestones!$AA$145)&gt;=$S36),$V36,$U36)))=Milestones!$AB$145),UPPER(TEXT(EDATE($D36,Milestones!$AA$145),"dd mmm yy"))&amp;" "&amp;Milestones!$AB$145&amp;" "&amp;Milestones!$AC$145&amp;";  ","")&amp;IF(AND(EDATE($D36,Milestones!$AA$146)&lt;=AsOfDate,IF($R36=0,$X36,IF(AND($T36&lt;&gt;"",EDATE($D36,Milestones!$AA$146)&gt;=$T36),$W36,IF(AND($S36&lt;&gt;"",EDATE($D36,Milestones!$AA$146)&gt;=$S36),$V36,$U36)))=Milestones!$AB$146),UPPER(TEXT(EDATE($D36,Milestones!$AA$146),"dd mmm yy"))&amp;" "&amp;Milestones!$AB$146&amp;" "&amp;Milestones!$AC$146&amp;";  ","")&amp;IF(AND(EDATE($D36,Milestones!$AA$147)&lt;=AsOfDate,IF($R36=0,$X36,IF(AND($T36&lt;&gt;"",EDATE($D36,Milestones!$AA$147)&gt;=$T36),$W36,IF(AND($S36&lt;&gt;"",EDATE($D36,Milestones!$AA$147)&gt;=$S36),$V36,$U36)))=Milestones!$AB$147),UPPER(TEXT(EDATE($D36,Milestones!$AA$147),"dd mmm yy"))&amp;" "&amp;Milestones!$AB$147&amp;" "&amp;Milestones!$AC$147&amp;";  ","")&amp;IF(AND(EDATE($D36,Milestones!$AA$148)&lt;=AsOfDate,IF($R36=0,$X36,IF(AND($T36&lt;&gt;"",EDATE($D36,Milestones!$AA$148)&gt;=$T36),$W36,IF(AND($S36&lt;&gt;"",EDATE($D36,Milestones!$AA$148)&gt;=$S36),$V36,$U36)))=Milestones!$AB$148),UPPER(TEXT(EDATE($D36,Milestones!$AA$148),"dd mmm yy"))&amp;" "&amp;Milestones!$AB$148&amp;" "&amp;Milestones!$AC$148&amp;";  ","")&amp;IF(AND(EDATE($D36,Milestones!$AA$149)&lt;=AsOfDate,IF($R36=0,$X36,IF(AND($T36&lt;&gt;"",EDATE($D36,Milestones!$AA$149)&gt;=$T36),$W36,IF(AND($S36&lt;&gt;"",EDATE($D36,Milestones!$AA$149)&gt;=$S36),$V36,$U36)))=Milestones!$AB$149),UPPER(TEXT(EDATE($D36,Milestones!$AA$149),"dd mmm yy"))&amp;" "&amp;Milestones!$AB$149&amp;" "&amp;Milestones!$AC$149&amp;";  ","")&amp;IF(AND(EDATE($D36,Milestones!$AA$150)&lt;=AsOfDate,IF($R36=0,$X36,IF(AND($T36&lt;&gt;"",EDATE($D36,Milestones!$AA$150)&gt;=$T36),$W36,IF(AND($S36&lt;&gt;"",EDATE($D36,Milestones!$AA$150)&gt;=$S36),$V36,$U36)))=Milestones!$AB$150),UPPER(TEXT(EDATE($D36,Milestones!$AA$150),"dd mmm yy"))&amp;" "&amp;Milestones!$AB$150&amp;" "&amp;Milestones!$AC$150&amp;";  ","")&amp;IF(AND(EDATE($D36,Milestones!$AA$151)&lt;=AsOfDate,IF($R36=0,$X36,IF(AND($T36&lt;&gt;"",EDATE($D36,Milestones!$AA$151)&gt;=$T36),$W36,IF(AND($S36&lt;&gt;"",EDATE($D36,Milestones!$AA$151)&gt;=$S36),$V36,$U36)))=Milestones!$AB$151),UPPER(TEXT(EDATE($D36,Milestones!$AA$151),"dd mmm yy"))&amp;" "&amp;Milestones!$AB$151&amp;" "&amp;Milestones!$AC$151&amp;";  ","")&amp;IF(AND(EDATE($D36,Milestones!$AA$152)&lt;=AsOfDate,IF($R36=0,$X36,IF(AND($T36&lt;&gt;"",EDATE($D36,Milestones!$AA$152)&gt;=$T36),$W36,IF(AND($S36&lt;&gt;"",EDATE($D36,Milestones!$AA$152)&gt;=$S36),$V36,$U36)))=Milestones!$AB$152),UPPER(TEXT(EDATE($D36,Milestones!$AA$152),"dd mmm yy"))&amp;" "&amp;Milestones!$AB$152&amp;" "&amp;Milestones!$AC$152&amp;";  ","")&amp;IF(AND(EDATE($D36,Milestones!$AA$153)&lt;=AsOfDate,IF($R36=0,$X36,IF(AND($T36&lt;&gt;"",EDATE($D36,Milestones!$AA$153)&gt;=$T36),$W36,IF(AND($S36&lt;&gt;"",EDATE($D36,Milestones!$AA$153)&gt;=$S36),$V36,$U36)))=Milestones!$AB$153),UPPER(TEXT(EDATE($D36,Milestones!$AA$153),"dd mmm yy"))&amp;" "&amp;Milestones!$AB$153&amp;" "&amp;Milestones!$AC$153&amp;";  ","")&amp;IF(AND(EDATE($D36,Milestones!$AA$154)&lt;=AsOfDate,IF($R36=0,$X36,IF(AND($T36&lt;&gt;"",EDATE($D36,Milestones!$AA$154)&gt;=$T36),$W36,IF(AND($S36&lt;&gt;"",EDATE($D36,Milestones!$AA$154)&gt;=$S36),$V36,$U36)))=Milestones!$AB$154),UPPER(TEXT(EDATE($D36,Milestones!$AA$154),"dd mmm yy"))&amp;" "&amp;Milestones!$AB$154&amp;" "&amp;Milestones!$AC$154&amp;";  ","")&amp;IF(AND(EDATE($D36,Milestones!$AA$155)&lt;=AsOfDate,IF($R36=0,$X36,IF(AND($T36&lt;&gt;"",EDATE($D36,Milestones!$AA$155)&gt;=$T36),$W36,IF(AND($S36&lt;&gt;"",EDATE($D36,Milestones!$AA$155)&gt;=$S36),$V36,$U36)))=Milestones!$AB$155),UPPER(TEXT(EDATE($D36,Milestones!$AA$155),"dd mmm yy"))&amp;" "&amp;Milestones!$AB$155&amp;" "&amp;Milestones!$AC$155&amp;";  ","")&amp;IF(AND(EDATE($D36,Milestones!$AA$156)&lt;=AsOfDate,IF($R36=0,$X36,IF(AND($T36&lt;&gt;"",EDATE($D36,Milestones!$AA$156)&gt;=$T36),$W36,IF(AND($S36&lt;&gt;"",EDATE($D36,Milestones!$AA$156)&gt;=$S36),$V36,$U36)))=Milestones!$AB$156),UPPER(TEXT(EDATE($D36,Milestones!$AA$156),"dd mmm yy"))&amp;" "&amp;Milestones!$AB$156&amp;" "&amp;Milestones!$AC$156&amp;";  ","")&amp;IF(AND(EDATE($D36,Milestones!$AA$157)&lt;=AsOfDate,IF($R36=0,$X36,IF(AND($T36&lt;&gt;"",EDATE($D36,Milestones!$AA$157)&gt;=$T36),$W36,IF(AND($S36&lt;&gt;"",EDATE($D36,Milestones!$AA$157)&gt;=$S36),$V36,$U36)))=Milestones!$AB$157),UPPER(TEXT(EDATE($D36,Milestones!$AA$157),"dd mmm yy"))&amp;" "&amp;Milestones!$AB$157&amp;" "&amp;Milestones!$AC$157&amp;";  ","")&amp;IF(AND(EDATE($D36,Milestones!$AA$158)&lt;=AsOfDate,IF($R36=0,$X36,IF(AND($T36&lt;&gt;"",EDATE($D36,Milestones!$AA$158)&gt;=$T36),$W36,IF(AND($S36&lt;&gt;"",EDATE($D36,Milestones!$AA$158)&gt;=$S36),$V36,$U36)))=Milestones!$AB$158),UPPER(TEXT(EDATE($D36,Milestones!$AA$158),"dd mmm yy"))&amp;" "&amp;Milestones!$AB$158&amp;" "&amp;Milestones!$AC$158&amp;";  ","")&amp;IF(AND(EDATE($D36,Milestones!$AA$159)&lt;=AsOfDate,IF($R36=0,$X36,IF(AND($T36&lt;&gt;"",EDATE($D36,Milestones!$AA$159)&gt;=$T36),$W36,IF(AND($S36&lt;&gt;"",EDATE($D36,Milestones!$AA$159)&gt;=$S36),$V36,$U36)))=Milestones!$AB$159),UPPER(TEXT(EDATE($D36,Milestones!$AA$159),"dd mmm yy"))&amp;" "&amp;Milestones!$AB$159&amp;" "&amp;Milestones!$AC$159&amp;";  ",""))</f>
        <v/>
      </c>
      <c r="P36" s="0" t="str">
        <f aca="false">IF(OR($A36="",$D36=""),"",IF(AND(EDATE($D36,Milestones!$AA$160)&lt;=AsOfDate,IF($R36=0,$X36,IF(AND($T36&lt;&gt;"",EDATE($D36,Milestones!$AA$160)&gt;=$T36),$W36,IF(AND($S36&lt;&gt;"",EDATE($D36,Milestones!$AA$160)&gt;=$S36),$V36,$U36)))=Milestones!$AB$160),UPPER(TEXT(EDATE($D36,Milestones!$AA$160),"dd mmm yy"))&amp;" "&amp;Milestones!$AB$160&amp;" "&amp;Milestones!$AC$160&amp;";  ","")&amp;IF(AND(EDATE($D36,Milestones!$AA$161)&lt;=AsOfDate,IF($R36=0,$X36,IF(AND($T36&lt;&gt;"",EDATE($D36,Milestones!$AA$161)&gt;=$T36),$W36,IF(AND($S36&lt;&gt;"",EDATE($D36,Milestones!$AA$161)&gt;=$S36),$V36,$U36)))=Milestones!$AB$161),UPPER(TEXT(EDATE($D36,Milestones!$AA$161),"dd mmm yy"))&amp;" "&amp;Milestones!$AB$161&amp;" "&amp;Milestones!$AC$161&amp;";  ","")&amp;IF(AND(EDATE($D36,Milestones!$AA$162)&lt;=AsOfDate,IF($R36=0,$X36,IF(AND($T36&lt;&gt;"",EDATE($D36,Milestones!$AA$162)&gt;=$T36),$W36,IF(AND($S36&lt;&gt;"",EDATE($D36,Milestones!$AA$162)&gt;=$S36),$V36,$U36)))=Milestones!$AB$162),UPPER(TEXT(EDATE($D36,Milestones!$AA$162),"dd mmm yy"))&amp;" "&amp;Milestones!$AB$162&amp;" "&amp;Milestones!$AC$162&amp;";  ","")&amp;IF(AND(EDATE($D36,Milestones!$AA$163)&lt;=AsOfDate,IF($R36=0,$X36,IF(AND($T36&lt;&gt;"",EDATE($D36,Milestones!$AA$163)&gt;=$T36),$W36,IF(AND($S36&lt;&gt;"",EDATE($D36,Milestones!$AA$163)&gt;=$S36),$V36,$U36)))=Milestones!$AB$163),UPPER(TEXT(EDATE($D36,Milestones!$AA$163),"dd mmm yy"))&amp;" "&amp;Milestones!$AB$163&amp;" "&amp;Milestones!$AC$163&amp;";  ","")&amp;IF(AND(EDATE($D36,Milestones!$AA$164)&lt;=AsOfDate,IF($R36=0,$X36,IF(AND($T36&lt;&gt;"",EDATE($D36,Milestones!$AA$164)&gt;=$T36),$W36,IF(AND($S36&lt;&gt;"",EDATE($D36,Milestones!$AA$164)&gt;=$S36),$V36,$U36)))=Milestones!$AB$164),UPPER(TEXT(EDATE($D36,Milestones!$AA$164),"dd mmm yy"))&amp;" "&amp;Milestones!$AB$164&amp;" "&amp;Milestones!$AC$164&amp;";  ","")&amp;IF(AND(EDATE($D36,Milestones!$AA$165)&lt;=AsOfDate,IF($R36=0,$X36,IF(AND($T36&lt;&gt;"",EDATE($D36,Milestones!$AA$165)&gt;=$T36),$W36,IF(AND($S36&lt;&gt;"",EDATE($D36,Milestones!$AA$165)&gt;=$S36),$V36,$U36)))=Milestones!$AB$165),UPPER(TEXT(EDATE($D36,Milestones!$AA$165),"dd mmm yy"))&amp;" "&amp;Milestones!$AB$165&amp;" "&amp;Milestones!$AC$165&amp;";  ","")&amp;IF(AND(EDATE($D36,Milestones!$AA$166)&lt;=AsOfDate,IF($R36=0,$X36,IF(AND($T36&lt;&gt;"",EDATE($D36,Milestones!$AA$166)&gt;=$T36),$W36,IF(AND($S36&lt;&gt;"",EDATE($D36,Milestones!$AA$166)&gt;=$S36),$V36,$U36)))=Milestones!$AB$166),UPPER(TEXT(EDATE($D36,Milestones!$AA$166),"dd mmm yy"))&amp;" "&amp;Milestones!$AB$166&amp;" "&amp;Milestones!$AC$166&amp;";  ","")&amp;IF(AND(EDATE($D36,Milestones!$AA$167)&lt;=AsOfDate,IF($R36=0,$X36,IF(AND($T36&lt;&gt;"",EDATE($D36,Milestones!$AA$167)&gt;=$T36),$W36,IF(AND($S36&lt;&gt;"",EDATE($D36,Milestones!$AA$167)&gt;=$S36),$V36,$U36)))=Milestones!$AB$167),UPPER(TEXT(EDATE($D36,Milestones!$AA$167),"dd mmm yy"))&amp;" "&amp;Milestones!$AB$167&amp;" "&amp;Milestones!$AC$167&amp;";  ","")&amp;IF(AND(EDATE($D36,Milestones!$AA$168)&lt;=AsOfDate,IF($R36=0,$X36,IF(AND($T36&lt;&gt;"",EDATE($D36,Milestones!$AA$168)&gt;=$T36),$W36,IF(AND($S36&lt;&gt;"",EDATE($D36,Milestones!$AA$168)&gt;=$S36),$V36,$U36)))=Milestones!$AB$168),UPPER(TEXT(EDATE($D36,Milestones!$AA$168),"dd mmm yy"))&amp;" "&amp;Milestones!$AB$168&amp;" "&amp;Milestones!$AC$168&amp;";  ","")&amp;IF(AND(EDATE($D36,Milestones!$AA$169)&lt;=AsOfDate,IF($R36=0,$X36,IF(AND($T36&lt;&gt;"",EDATE($D36,Milestones!$AA$169)&gt;=$T36),$W36,IF(AND($S36&lt;&gt;"",EDATE($D36,Milestones!$AA$169)&gt;=$S36),$V36,$U36)))=Milestones!$AB$169),UPPER(TEXT(EDATE($D36,Milestones!$AA$169),"dd mmm yy"))&amp;" "&amp;Milestones!$AB$169&amp;" "&amp;Milestones!$AC$169&amp;";  ","")&amp;IF(AND(EDATE($D36,Milestones!$AA$170)&lt;=AsOfDate,IF($R36=0,$X36,IF(AND($T36&lt;&gt;"",EDATE($D36,Milestones!$AA$170)&gt;=$T36),$W36,IF(AND($S36&lt;&gt;"",EDATE($D36,Milestones!$AA$170)&gt;=$S36),$V36,$U36)))=Milestones!$AB$170),UPPER(TEXT(EDATE($D36,Milestones!$AA$170),"dd mmm yy"))&amp;" "&amp;Milestones!$AB$170&amp;" "&amp;Milestones!$AC$170&amp;";  ","")&amp;IF(AND(EDATE($D36,Milestones!$AA$171)&lt;=AsOfDate,IF($R36=0,$X36,IF(AND($T36&lt;&gt;"",EDATE($D36,Milestones!$AA$171)&gt;=$T36),$W36,IF(AND($S36&lt;&gt;"",EDATE($D36,Milestones!$AA$171)&gt;=$S36),$V36,$U36)))=Milestones!$AB$171),UPPER(TEXT(EDATE($D36,Milestones!$AA$171),"dd mmm yy"))&amp;" "&amp;Milestones!$AB$171&amp;" "&amp;Milestones!$AC$171&amp;";  ","")&amp;IF(AND(EDATE($D36,Milestones!$AA$172)&lt;=AsOfDate,IF($R36=0,$X36,IF(AND($T36&lt;&gt;"",EDATE($D36,Milestones!$AA$172)&gt;=$T36),$W36,IF(AND($S36&lt;&gt;"",EDATE($D36,Milestones!$AA$172)&gt;=$S36),$V36,$U36)))=Milestones!$AB$172),UPPER(TEXT(EDATE($D36,Milestones!$AA$172),"dd mmm yy"))&amp;" "&amp;Milestones!$AB$172&amp;" "&amp;Milestones!$AC$172&amp;";  ","")&amp;IF(AND(EDATE($D36,Milestones!$AA$173)&lt;=AsOfDate,IF($R36=0,$X36,IF(AND($T36&lt;&gt;"",EDATE($D36,Milestones!$AA$173)&gt;=$T36),$W36,IF(AND($S36&lt;&gt;"",EDATE($D36,Milestones!$AA$173)&gt;=$S36),$V36,$U36)))=Milestones!$AB$173),UPPER(TEXT(EDATE($D36,Milestones!$AA$173),"dd mmm yy"))&amp;" "&amp;Milestones!$AB$173&amp;" "&amp;Milestones!$AC$173&amp;";  ","")&amp;IF(AND(EDATE($D36,Milestones!$AA$174)&lt;=AsOfDate,IF($R36=0,$X36,IF(AND($T36&lt;&gt;"",EDATE($D36,Milestones!$AA$174)&gt;=$T36),$W36,IF(AND($S36&lt;&gt;"",EDATE($D36,Milestones!$AA$174)&gt;=$S36),$V36,$U36)))=Milestones!$AB$174),UPPER(TEXT(EDATE($D36,Milestones!$AA$174),"dd mmm yy"))&amp;" "&amp;Milestones!$AB$174&amp;" "&amp;Milestones!$AC$174&amp;";  ","")&amp;IF(AND(EDATE($D36,Milestones!$AA$175)&lt;=AsOfDate,IF($R36=0,$X36,IF(AND($T36&lt;&gt;"",EDATE($D36,Milestones!$AA$175)&gt;=$T36),$W36,IF(AND($S36&lt;&gt;"",EDATE($D36,Milestones!$AA$175)&gt;=$S36),$V36,$U36)))=Milestones!$AB$175),UPPER(TEXT(EDATE($D36,Milestones!$AA$175),"dd mmm yy"))&amp;" "&amp;Milestones!$AB$175&amp;" "&amp;Milestones!$AC$175&amp;";  ","")&amp;IF(AND(EDATE($D36,Milestones!$AA$176)&lt;=AsOfDate,IF($R36=0,$X36,IF(AND($T36&lt;&gt;"",EDATE($D36,Milestones!$AA$176)&gt;=$T36),$W36,IF(AND($S36&lt;&gt;"",EDATE($D36,Milestones!$AA$176)&gt;=$S36),$V36,$U36)))=Milestones!$AB$176),UPPER(TEXT(EDATE($D36,Milestones!$AA$176),"dd mmm yy"))&amp;" "&amp;Milestones!$AB$176&amp;" "&amp;Milestones!$AC$176&amp;";  ","")&amp;IF(AND(EDATE($D36,Milestones!$AA$177)&lt;=AsOfDate,IF($R36=0,$X36,IF(AND($T36&lt;&gt;"",EDATE($D36,Milestones!$AA$177)&gt;=$T36),$W36,IF(AND($S36&lt;&gt;"",EDATE($D36,Milestones!$AA$177)&gt;=$S36),$V36,$U36)))=Milestones!$AB$177),UPPER(TEXT(EDATE($D36,Milestones!$AA$177),"dd mmm yy"))&amp;" "&amp;Milestones!$AB$177&amp;" "&amp;Milestones!$AC$177&amp;";  ","")&amp;IF(AND(EDATE($D36,Milestones!$AA$178)&lt;=AsOfDate,IF($R36=0,$X36,IF(AND($T36&lt;&gt;"",EDATE($D36,Milestones!$AA$178)&gt;=$T36),$W36,IF(AND($S36&lt;&gt;"",EDATE($D36,Milestones!$AA$178)&gt;=$S36),$V36,$U36)))=Milestones!$AB$178),UPPER(TEXT(EDATE($D36,Milestones!$AA$178),"dd mmm yy"))&amp;" "&amp;Milestones!$AB$178&amp;" "&amp;Milestones!$AC$178&amp;";  ","")&amp;IF(AND(EDATE($D36,Milestones!$AA$179)&lt;=AsOfDate,IF($R36=0,$X36,IF(AND($T36&lt;&gt;"",EDATE($D36,Milestones!$AA$179)&gt;=$T36),$W36,IF(AND($S36&lt;&gt;"",EDATE($D36,Milestones!$AA$179)&gt;=$S36),$V36,$U36)))=Milestones!$AB$179),UPPER(TEXT(EDATE($D36,Milestones!$AA$179),"dd mmm yy"))&amp;" "&amp;Milestones!$AB$179&amp;" "&amp;Milestones!$AC$179&amp;";  ",""))</f>
        <v/>
      </c>
      <c r="Q36" s="0" t="str">
        <f aca="false">IF(OR($A36="",$D36=""),"",IF(AND(EDATE($D36,Milestones!$AA$180)&lt;=AsOfDate,IF($R36=0,$X36,IF(AND($T36&lt;&gt;"",EDATE($D36,Milestones!$AA$180)&gt;=$T36),$W36,IF(AND($S36&lt;&gt;"",EDATE($D36,Milestones!$AA$180)&gt;=$S36),$V36,$U36)))=Milestones!$AB$180),UPPER(TEXT(EDATE($D36,Milestones!$AA$180),"dd mmm yy"))&amp;" "&amp;Milestones!$AB$180&amp;" "&amp;Milestones!$AC$180&amp;";  ","")&amp;IF(AND(EDATE($D36,Milestones!$AA$181)&lt;=AsOfDate,IF($R36=0,$X36,IF(AND($T36&lt;&gt;"",EDATE($D36,Milestones!$AA$181)&gt;=$T36),$W36,IF(AND($S36&lt;&gt;"",EDATE($D36,Milestones!$AA$181)&gt;=$S36),$V36,$U36)))=Milestones!$AB$181),UPPER(TEXT(EDATE($D36,Milestones!$AA$181),"dd mmm yy"))&amp;" "&amp;Milestones!$AB$181&amp;" "&amp;Milestones!$AC$181&amp;";  ","")&amp;IF(AND(EDATE($D36,Milestones!$AA$182)&lt;=AsOfDate,IF($R36=0,$X36,IF(AND($T36&lt;&gt;"",EDATE($D36,Milestones!$AA$182)&gt;=$T36),$W36,IF(AND($S36&lt;&gt;"",EDATE($D36,Milestones!$AA$182)&gt;=$S36),$V36,$U36)))=Milestones!$AB$182),UPPER(TEXT(EDATE($D36,Milestones!$AA$182),"dd mmm yy"))&amp;" "&amp;Milestones!$AB$182&amp;" "&amp;Milestones!$AC$182&amp;";  ","")&amp;IF(AND(EDATE($D36,Milestones!$AA$183)&lt;=AsOfDate,IF($R36=0,$X36,IF(AND($T36&lt;&gt;"",EDATE($D36,Milestones!$AA$183)&gt;=$T36),$W36,IF(AND($S36&lt;&gt;"",EDATE($D36,Milestones!$AA$183)&gt;=$S36),$V36,$U36)))=Milestones!$AB$183),UPPER(TEXT(EDATE($D36,Milestones!$AA$183),"dd mmm yy"))&amp;" "&amp;Milestones!$AB$183&amp;" "&amp;Milestones!$AC$183&amp;";  ","")&amp;IF(AND(EDATE($D36,Milestones!$AA$184)&lt;=AsOfDate,IF($R36=0,$X36,IF(AND($T36&lt;&gt;"",EDATE($D36,Milestones!$AA$184)&gt;=$T36),$W36,IF(AND($S36&lt;&gt;"",EDATE($D36,Milestones!$AA$184)&gt;=$S36),$V36,$U36)))=Milestones!$AB$184),UPPER(TEXT(EDATE($D36,Milestones!$AA$184),"dd mmm yy"))&amp;" "&amp;Milestones!$AB$184&amp;" "&amp;Milestones!$AC$184&amp;";  ","")&amp;IF(AND(EDATE($D36,Milestones!$AA$185)&lt;=AsOfDate,IF($R36=0,$X36,IF(AND($T36&lt;&gt;"",EDATE($D36,Milestones!$AA$185)&gt;=$T36),$W36,IF(AND($S36&lt;&gt;"",EDATE($D36,Milestones!$AA$185)&gt;=$S36),$V36,$U36)))=Milestones!$AB$185),UPPER(TEXT(EDATE($D36,Milestones!$AA$185),"dd mmm yy"))&amp;" "&amp;Milestones!$AB$185&amp;" "&amp;Milestones!$AC$185&amp;";  ","")&amp;IF(AND(EDATE($D36,Milestones!$AA$186)&lt;=AsOfDate,IF($R36=0,$X36,IF(AND($T36&lt;&gt;"",EDATE($D36,Milestones!$AA$186)&gt;=$T36),$W36,IF(AND($S36&lt;&gt;"",EDATE($D36,Milestones!$AA$186)&gt;=$S36),$V36,$U36)))=Milestones!$AB$186),UPPER(TEXT(EDATE($D36,Milestones!$AA$186),"dd mmm yy"))&amp;" "&amp;Milestones!$AB$186&amp;" "&amp;Milestones!$AC$186&amp;";  ","")&amp;IF(AND(EDATE($D36,Milestones!$AA$187)&lt;=AsOfDate,IF($R36=0,$X36,IF(AND($T36&lt;&gt;"",EDATE($D36,Milestones!$AA$187)&gt;=$T36),$W36,IF(AND($S36&lt;&gt;"",EDATE($D36,Milestones!$AA$187)&gt;=$S36),$V36,$U36)))=Milestones!$AB$187),UPPER(TEXT(EDATE($D36,Milestones!$AA$187),"dd mmm yy"))&amp;" "&amp;Milestones!$AB$187&amp;" "&amp;Milestones!$AC$187&amp;";  ","")&amp;IF(AND(EDATE($D36,Milestones!$AA$188)&lt;=AsOfDate,IF($R36=0,$X36,IF(AND($T36&lt;&gt;"",EDATE($D36,Milestones!$AA$188)&gt;=$T36),$W36,IF(AND($S36&lt;&gt;"",EDATE($D36,Milestones!$AA$188)&gt;=$S36),$V36,$U36)))=Milestones!$AB$188),UPPER(TEXT(EDATE($D36,Milestones!$AA$188),"dd mmm yy"))&amp;" "&amp;Milestones!$AB$188&amp;" "&amp;Milestones!$AC$188&amp;";  ","")&amp;IF(AND(EDATE($D36,Milestones!$AA$189)&lt;=AsOfDate,IF($R36=0,$X36,IF(AND($T36&lt;&gt;"",EDATE($D36,Milestones!$AA$189)&gt;=$T36),$W36,IF(AND($S36&lt;&gt;"",EDATE($D36,Milestones!$AA$189)&gt;=$S36),$V36,$U36)))=Milestones!$AB$189),UPPER(TEXT(EDATE($D36,Milestones!$AA$189),"dd mmm yy"))&amp;" "&amp;Milestones!$AB$189&amp;" "&amp;Milestones!$AC$189&amp;";  ","")&amp;IF(AND(EDATE($D36,Milestones!$AA$190)&lt;=AsOfDate,IF($R36=0,$X36,IF(AND($T36&lt;&gt;"",EDATE($D36,Milestones!$AA$190)&gt;=$T36),$W36,IF(AND($S36&lt;&gt;"",EDATE($D36,Milestones!$AA$190)&gt;=$S36),$V36,$U36)))=Milestones!$AB$190),UPPER(TEXT(EDATE($D36,Milestones!$AA$190),"dd mmm yy"))&amp;" "&amp;Milestones!$AB$190&amp;" "&amp;Milestones!$AC$190&amp;";  ","")&amp;IF(AND(EDATE($D36,Milestones!$AA$191)&lt;=AsOfDate,IF($R36=0,$X36,IF(AND($T36&lt;&gt;"",EDATE($D36,Milestones!$AA$191)&gt;=$T36),$W36,IF(AND($S36&lt;&gt;"",EDATE($D36,Milestones!$AA$191)&gt;=$S36),$V36,$U36)))=Milestones!$AB$191),UPPER(TEXT(EDATE($D36,Milestones!$AA$191),"dd mmm yy"))&amp;" "&amp;Milestones!$AB$191&amp;" "&amp;Milestones!$AC$191&amp;";  ","")&amp;IF(AND(EDATE($D36,Milestones!$AA$192)&lt;=AsOfDate,IF($R36=0,$X36,IF(AND($T36&lt;&gt;"",EDATE($D36,Milestones!$AA$192)&gt;=$T36),$W36,IF(AND($S36&lt;&gt;"",EDATE($D36,Milestones!$AA$192)&gt;=$S36),$V36,$U36)))=Milestones!$AB$192),UPPER(TEXT(EDATE($D36,Milestones!$AA$192),"dd mmm yy"))&amp;" "&amp;Milestones!$AB$192&amp;" "&amp;Milestones!$AC$192&amp;";  ","")&amp;IF(AND(EDATE($D36,Milestones!$AA$193)&lt;=AsOfDate,IF($R36=0,$X36,IF(AND($T36&lt;&gt;"",EDATE($D36,Milestones!$AA$193)&gt;=$T36),$W36,IF(AND($S36&lt;&gt;"",EDATE($D36,Milestones!$AA$193)&gt;=$S36),$V36,$U36)))=Milestones!$AB$193),UPPER(TEXT(EDATE($D36,Milestones!$AA$193),"dd mmm yy"))&amp;" "&amp;Milestones!$AB$193&amp;" "&amp;Milestones!$AC$193&amp;";  ","")&amp;IF(AND(EDATE($D36,Milestones!$AA$194)&lt;=AsOfDate,IF($R36=0,$X36,IF(AND($T36&lt;&gt;"",EDATE($D36,Milestones!$AA$194)&gt;=$T36),$W36,IF(AND($S36&lt;&gt;"",EDATE($D36,Milestones!$AA$194)&gt;=$S36),$V36,$U36)))=Milestones!$AB$194),UPPER(TEXT(EDATE($D36,Milestones!$AA$194),"dd mmm yy"))&amp;" "&amp;Milestones!$AB$194&amp;" "&amp;Milestones!$AC$194&amp;";  ","")&amp;IF(AND(EDATE($D36,Milestones!$AA$195)&lt;=AsOfDate,IF($R36=0,$X36,IF(AND($T36&lt;&gt;"",EDATE($D36,Milestones!$AA$195)&gt;=$T36),$W36,IF(AND($S36&lt;&gt;"",EDATE($D36,Milestones!$AA$195)&gt;=$S36),$V36,$U36)))=Milestones!$AB$195),UPPER(TEXT(EDATE($D36,Milestones!$AA$195),"dd mmm yy"))&amp;" "&amp;Milestones!$AB$195&amp;" "&amp;Milestones!$AC$195&amp;";  ","")&amp;IF(AND(EDATE($D36,Milestones!$AA$196)&lt;=AsOfDate,IF($R36=0,$X36,IF(AND($T36&lt;&gt;"",EDATE($D36,Milestones!$AA$196)&gt;=$T36),$W36,IF(AND($S36&lt;&gt;"",EDATE($D36,Milestones!$AA$196)&gt;=$S36),$V36,$U36)))=Milestones!$AB$196),UPPER(TEXT(EDATE($D36,Milestones!$AA$196),"dd mmm yy"))&amp;" "&amp;Milestones!$AB$196&amp;" "&amp;Milestones!$AC$196&amp;";  ","")&amp;IF(AND(EDATE($D36,Milestones!$AA$197)&lt;=AsOfDate,IF($R36=0,$X36,IF(AND($T36&lt;&gt;"",EDATE($D36,Milestones!$AA$197)&gt;=$T36),$W36,IF(AND($S36&lt;&gt;"",EDATE($D36,Milestones!$AA$197)&gt;=$S36),$V36,$U36)))=Milestones!$AB$197),UPPER(TEXT(EDATE($D36,Milestones!$AA$197),"dd mmm yy"))&amp;" "&amp;Milestones!$AB$197&amp;" "&amp;Milestones!$AC$197&amp;";  ","")&amp;IF(AND(EDATE($D36,Milestones!$AA$198)&lt;=AsOfDate,IF($R36=0,$X36,IF(AND($T36&lt;&gt;"",EDATE($D36,Milestones!$AA$198)&gt;=$T36),$W36,IF(AND($S36&lt;&gt;"",EDATE($D36,Milestones!$AA$198)&gt;=$S36),$V36,$U36)))=Milestones!$AB$198),UPPER(TEXT(EDATE($D36,Milestones!$AA$198),"dd mmm yy"))&amp;" "&amp;Milestones!$AB$198&amp;" "&amp;Milestones!$AC$198&amp;";  ","")&amp;IF(AND(EDATE($D36,Milestones!$AA$199)&lt;=AsOfDate,IF($R36=0,$X36,IF(AND($T36&lt;&gt;"",EDATE($D36,Milestones!$AA$199)&gt;=$T36),$W36,IF(AND($S36&lt;&gt;"",EDATE($D36,Milestones!$AA$199)&gt;=$S36),$V36,$U36)))=Milestones!$AB$199),UPPER(TEXT(EDATE($D36,Milestones!$AA$199),"dd mmm yy"))&amp;" "&amp;Milestones!$AB$199&amp;" "&amp;Milestones!$AC$199&amp;";  ",""))</f>
        <v/>
      </c>
      <c r="R36" s="33" t="n">
        <f aca="false">IF(Staff!$A36="","",Staff!$AI36)</f>
        <v>0</v>
      </c>
      <c r="S36" s="0" t="str">
        <f aca="false">IF(Staff!$A36="","",Staff!$AK36)</f>
        <v/>
      </c>
      <c r="T36" s="0" t="str">
        <f aca="false">IF(Staff!$A36="","",Staff!$AL36)</f>
        <v/>
      </c>
      <c r="U36" s="0" t="str">
        <f aca="false">IF(Staff!$A36="","",Staff!$AP36)</f>
        <v>None</v>
      </c>
      <c r="V36" s="0" t="str">
        <f aca="false">IF(Staff!$A36="","",Staff!$AQ36)</f>
        <v/>
      </c>
      <c r="W36" s="0" t="str">
        <f aca="false">IF(Staff!$A36="","",Staff!$AR36)</f>
        <v/>
      </c>
      <c r="X36" s="0" t="str">
        <f aca="false">IF(Staff!$A36="","",Staff!$AS36)</f>
        <v>None</v>
      </c>
    </row>
    <row r="37" customFormat="false" ht="15" hidden="false" customHeight="false" outlineLevel="0" collapsed="false">
      <c r="A37" s="19" t="str">
        <f aca="false">IF(Staff!$A37="","",Staff!$A37)</f>
        <v>Jaazaniah</v>
      </c>
      <c r="B37" s="19" t="str">
        <f aca="false">IF(Staff!$A37="","",Staff!$B37)</f>
        <v>SALANOA</v>
      </c>
      <c r="C37" s="19" t="str">
        <f aca="false">IF(Staff!$A37="","",Staff!$C37)</f>
        <v>Full-Time</v>
      </c>
      <c r="D37" s="17" t="n">
        <f aca="false">IF(Staff!$A37="","",Staff!$AH37)</f>
        <v>46062</v>
      </c>
      <c r="E37" s="20" t="n">
        <f aca="false">IF(Staff!$A37="","",Staff!$O37)</f>
        <v>0</v>
      </c>
      <c r="F37" s="19" t="n">
        <f aca="false">IF(E37="","",E37*HoursPerDay)</f>
        <v>0</v>
      </c>
      <c r="G37" s="20" t="n">
        <f aca="false">IF(Staff!$A37="","",Staff!$AE37)</f>
        <v>0</v>
      </c>
      <c r="H37" s="32" t="str">
        <f aca="false">IF($A37="","",I37&amp;J37&amp;K37&amp;L37&amp;M37&amp;N37&amp;O37&amp;P37&amp;Q37)</f>
        <v/>
      </c>
      <c r="I37" s="0" t="str">
        <f aca="false">IF(OR($A37="",$D37=""),"",IF(AND(EDATE($D37,Milestones!$AA$20)&lt;=AsOfDate,IF($R37=0,$X37,IF(AND($T37&lt;&gt;"",EDATE($D37,Milestones!$AA$20)&gt;=$T37),$W37,IF(AND($S37&lt;&gt;"",EDATE($D37,Milestones!$AA$20)&gt;=$S37),$V37,$U37)))=Milestones!$AB$20),UPPER(TEXT(EDATE($D37,Milestones!$AA$20),"dd mmm yy"))&amp;" "&amp;Milestones!$AB$20&amp;" "&amp;Milestones!$AC$20&amp;";  ","")&amp;IF(AND(EDATE($D37,Milestones!$AA$21)&lt;=AsOfDate,IF($R37=0,$X37,IF(AND($T37&lt;&gt;"",EDATE($D37,Milestones!$AA$21)&gt;=$T37),$W37,IF(AND($S37&lt;&gt;"",EDATE($D37,Milestones!$AA$21)&gt;=$S37),$V37,$U37)))=Milestones!$AB$21),UPPER(TEXT(EDATE($D37,Milestones!$AA$21),"dd mmm yy"))&amp;" "&amp;Milestones!$AB$21&amp;" "&amp;Milestones!$AC$21&amp;";  ","")&amp;IF(AND(EDATE($D37,Milestones!$AA$22)&lt;=AsOfDate,IF($R37=0,$X37,IF(AND($T37&lt;&gt;"",EDATE($D37,Milestones!$AA$22)&gt;=$T37),$W37,IF(AND($S37&lt;&gt;"",EDATE($D37,Milestones!$AA$22)&gt;=$S37),$V37,$U37)))=Milestones!$AB$22),UPPER(TEXT(EDATE($D37,Milestones!$AA$22),"dd mmm yy"))&amp;" "&amp;Milestones!$AB$22&amp;" "&amp;Milestones!$AC$22&amp;";  ","")&amp;IF(AND(EDATE($D37,Milestones!$AA$23)&lt;=AsOfDate,IF($R37=0,$X37,IF(AND($T37&lt;&gt;"",EDATE($D37,Milestones!$AA$23)&gt;=$T37),$W37,IF(AND($S37&lt;&gt;"",EDATE($D37,Milestones!$AA$23)&gt;=$S37),$V37,$U37)))=Milestones!$AB$23),UPPER(TEXT(EDATE($D37,Milestones!$AA$23),"dd mmm yy"))&amp;" "&amp;Milestones!$AB$23&amp;" "&amp;Milestones!$AC$23&amp;";  ","")&amp;IF(AND(EDATE($D37,Milestones!$AA$24)&lt;=AsOfDate,IF($R37=0,$X37,IF(AND($T37&lt;&gt;"",EDATE($D37,Milestones!$AA$24)&gt;=$T37),$W37,IF(AND($S37&lt;&gt;"",EDATE($D37,Milestones!$AA$24)&gt;=$S37),$V37,$U37)))=Milestones!$AB$24),UPPER(TEXT(EDATE($D37,Milestones!$AA$24),"dd mmm yy"))&amp;" "&amp;Milestones!$AB$24&amp;" "&amp;Milestones!$AC$24&amp;";  ","")&amp;IF(AND(EDATE($D37,Milestones!$AA$25)&lt;=AsOfDate,IF($R37=0,$X37,IF(AND($T37&lt;&gt;"",EDATE($D37,Milestones!$AA$25)&gt;=$T37),$W37,IF(AND($S37&lt;&gt;"",EDATE($D37,Milestones!$AA$25)&gt;=$S37),$V37,$U37)))=Milestones!$AB$25),UPPER(TEXT(EDATE($D37,Milestones!$AA$25),"dd mmm yy"))&amp;" "&amp;Milestones!$AB$25&amp;" "&amp;Milestones!$AC$25&amp;";  ","")&amp;IF(AND(EDATE($D37,Milestones!$AA$26)&lt;=AsOfDate,IF($R37=0,$X37,IF(AND($T37&lt;&gt;"",EDATE($D37,Milestones!$AA$26)&gt;=$T37),$W37,IF(AND($S37&lt;&gt;"",EDATE($D37,Milestones!$AA$26)&gt;=$S37),$V37,$U37)))=Milestones!$AB$26),UPPER(TEXT(EDATE($D37,Milestones!$AA$26),"dd mmm yy"))&amp;" "&amp;Milestones!$AB$26&amp;" "&amp;Milestones!$AC$26&amp;";  ","")&amp;IF(AND(EDATE($D37,Milestones!$AA$27)&lt;=AsOfDate,IF($R37=0,$X37,IF(AND($T37&lt;&gt;"",EDATE($D37,Milestones!$AA$27)&gt;=$T37),$W37,IF(AND($S37&lt;&gt;"",EDATE($D37,Milestones!$AA$27)&gt;=$S37),$V37,$U37)))=Milestones!$AB$27),UPPER(TEXT(EDATE($D37,Milestones!$AA$27),"dd mmm yy"))&amp;" "&amp;Milestones!$AB$27&amp;" "&amp;Milestones!$AC$27&amp;";  ","")&amp;IF(AND(EDATE($D37,Milestones!$AA$28)&lt;=AsOfDate,IF($R37=0,$X37,IF(AND($T37&lt;&gt;"",EDATE($D37,Milestones!$AA$28)&gt;=$T37),$W37,IF(AND($S37&lt;&gt;"",EDATE($D37,Milestones!$AA$28)&gt;=$S37),$V37,$U37)))=Milestones!$AB$28),UPPER(TEXT(EDATE($D37,Milestones!$AA$28),"dd mmm yy"))&amp;" "&amp;Milestones!$AB$28&amp;" "&amp;Milestones!$AC$28&amp;";  ","")&amp;IF(AND(EDATE($D37,Milestones!$AA$29)&lt;=AsOfDate,IF($R37=0,$X37,IF(AND($T37&lt;&gt;"",EDATE($D37,Milestones!$AA$29)&gt;=$T37),$W37,IF(AND($S37&lt;&gt;"",EDATE($D37,Milestones!$AA$29)&gt;=$S37),$V37,$U37)))=Milestones!$AB$29),UPPER(TEXT(EDATE($D37,Milestones!$AA$29),"dd mmm yy"))&amp;" "&amp;Milestones!$AB$29&amp;" "&amp;Milestones!$AC$29&amp;";  ","")&amp;IF(AND(EDATE($D37,Milestones!$AA$30)&lt;=AsOfDate,IF($R37=0,$X37,IF(AND($T37&lt;&gt;"",EDATE($D37,Milestones!$AA$30)&gt;=$T37),$W37,IF(AND($S37&lt;&gt;"",EDATE($D37,Milestones!$AA$30)&gt;=$S37),$V37,$U37)))=Milestones!$AB$30),UPPER(TEXT(EDATE($D37,Milestones!$AA$30),"dd mmm yy"))&amp;" "&amp;Milestones!$AB$30&amp;" "&amp;Milestones!$AC$30&amp;";  ","")&amp;IF(AND(EDATE($D37,Milestones!$AA$31)&lt;=AsOfDate,IF($R37=0,$X37,IF(AND($T37&lt;&gt;"",EDATE($D37,Milestones!$AA$31)&gt;=$T37),$W37,IF(AND($S37&lt;&gt;"",EDATE($D37,Milestones!$AA$31)&gt;=$S37),$V37,$U37)))=Milestones!$AB$31),UPPER(TEXT(EDATE($D37,Milestones!$AA$31),"dd mmm yy"))&amp;" "&amp;Milestones!$AB$31&amp;" "&amp;Milestones!$AC$31&amp;";  ","")&amp;IF(AND(EDATE($D37,Milestones!$AA$32)&lt;=AsOfDate,IF($R37=0,$X37,IF(AND($T37&lt;&gt;"",EDATE($D37,Milestones!$AA$32)&gt;=$T37),$W37,IF(AND($S37&lt;&gt;"",EDATE($D37,Milestones!$AA$32)&gt;=$S37),$V37,$U37)))=Milestones!$AB$32),UPPER(TEXT(EDATE($D37,Milestones!$AA$32),"dd mmm yy"))&amp;" "&amp;Milestones!$AB$32&amp;" "&amp;Milestones!$AC$32&amp;";  ","")&amp;IF(AND(EDATE($D37,Milestones!$AA$33)&lt;=AsOfDate,IF($R37=0,$X37,IF(AND($T37&lt;&gt;"",EDATE($D37,Milestones!$AA$33)&gt;=$T37),$W37,IF(AND($S37&lt;&gt;"",EDATE($D37,Milestones!$AA$33)&gt;=$S37),$V37,$U37)))=Milestones!$AB$33),UPPER(TEXT(EDATE($D37,Milestones!$AA$33),"dd mmm yy"))&amp;" "&amp;Milestones!$AB$33&amp;" "&amp;Milestones!$AC$33&amp;";  ","")&amp;IF(AND(EDATE($D37,Milestones!$AA$34)&lt;=AsOfDate,IF($R37=0,$X37,IF(AND($T37&lt;&gt;"",EDATE($D37,Milestones!$AA$34)&gt;=$T37),$W37,IF(AND($S37&lt;&gt;"",EDATE($D37,Milestones!$AA$34)&gt;=$S37),$V37,$U37)))=Milestones!$AB$34),UPPER(TEXT(EDATE($D37,Milestones!$AA$34),"dd mmm yy"))&amp;" "&amp;Milestones!$AB$34&amp;" "&amp;Milestones!$AC$34&amp;";  ","")&amp;IF(AND(EDATE($D37,Milestones!$AA$35)&lt;=AsOfDate,IF($R37=0,$X37,IF(AND($T37&lt;&gt;"",EDATE($D37,Milestones!$AA$35)&gt;=$T37),$W37,IF(AND($S37&lt;&gt;"",EDATE($D37,Milestones!$AA$35)&gt;=$S37),$V37,$U37)))=Milestones!$AB$35),UPPER(TEXT(EDATE($D37,Milestones!$AA$35),"dd mmm yy"))&amp;" "&amp;Milestones!$AB$35&amp;" "&amp;Milestones!$AC$35&amp;";  ","")&amp;IF(AND(EDATE($D37,Milestones!$AA$36)&lt;=AsOfDate,IF($R37=0,$X37,IF(AND($T37&lt;&gt;"",EDATE($D37,Milestones!$AA$36)&gt;=$T37),$W37,IF(AND($S37&lt;&gt;"",EDATE($D37,Milestones!$AA$36)&gt;=$S37),$V37,$U37)))=Milestones!$AB$36),UPPER(TEXT(EDATE($D37,Milestones!$AA$36),"dd mmm yy"))&amp;" "&amp;Milestones!$AB$36&amp;" "&amp;Milestones!$AC$36&amp;";  ","")&amp;IF(AND(EDATE($D37,Milestones!$AA$37)&lt;=AsOfDate,IF($R37=0,$X37,IF(AND($T37&lt;&gt;"",EDATE($D37,Milestones!$AA$37)&gt;=$T37),$W37,IF(AND($S37&lt;&gt;"",EDATE($D37,Milestones!$AA$37)&gt;=$S37),$V37,$U37)))=Milestones!$AB$37),UPPER(TEXT(EDATE($D37,Milestones!$AA$37),"dd mmm yy"))&amp;" "&amp;Milestones!$AB$37&amp;" "&amp;Milestones!$AC$37&amp;";  ","")&amp;IF(AND(EDATE($D37,Milestones!$AA$38)&lt;=AsOfDate,IF($R37=0,$X37,IF(AND($T37&lt;&gt;"",EDATE($D37,Milestones!$AA$38)&gt;=$T37),$W37,IF(AND($S37&lt;&gt;"",EDATE($D37,Milestones!$AA$38)&gt;=$S37),$V37,$U37)))=Milestones!$AB$38),UPPER(TEXT(EDATE($D37,Milestones!$AA$38),"dd mmm yy"))&amp;" "&amp;Milestones!$AB$38&amp;" "&amp;Milestones!$AC$38&amp;";  ","")&amp;IF(AND(EDATE($D37,Milestones!$AA$39)&lt;=AsOfDate,IF($R37=0,$X37,IF(AND($T37&lt;&gt;"",EDATE($D37,Milestones!$AA$39)&gt;=$T37),$W37,IF(AND($S37&lt;&gt;"",EDATE($D37,Milestones!$AA$39)&gt;=$S37),$V37,$U37)))=Milestones!$AB$39),UPPER(TEXT(EDATE($D37,Milestones!$AA$39),"dd mmm yy"))&amp;" "&amp;Milestones!$AB$39&amp;" "&amp;Milestones!$AC$39&amp;";  ",""))</f>
        <v/>
      </c>
      <c r="J37" s="0" t="str">
        <f aca="false">IF(OR($A37="",$D37=""),"",IF(AND(EDATE($D37,Milestones!$AA$40)&lt;=AsOfDate,IF($R37=0,$X37,IF(AND($T37&lt;&gt;"",EDATE($D37,Milestones!$AA$40)&gt;=$T37),$W37,IF(AND($S37&lt;&gt;"",EDATE($D37,Milestones!$AA$40)&gt;=$S37),$V37,$U37)))=Milestones!$AB$40),UPPER(TEXT(EDATE($D37,Milestones!$AA$40),"dd mmm yy"))&amp;" "&amp;Milestones!$AB$40&amp;" "&amp;Milestones!$AC$40&amp;";  ","")&amp;IF(AND(EDATE($D37,Milestones!$AA$41)&lt;=AsOfDate,IF($R37=0,$X37,IF(AND($T37&lt;&gt;"",EDATE($D37,Milestones!$AA$41)&gt;=$T37),$W37,IF(AND($S37&lt;&gt;"",EDATE($D37,Milestones!$AA$41)&gt;=$S37),$V37,$U37)))=Milestones!$AB$41),UPPER(TEXT(EDATE($D37,Milestones!$AA$41),"dd mmm yy"))&amp;" "&amp;Milestones!$AB$41&amp;" "&amp;Milestones!$AC$41&amp;";  ","")&amp;IF(AND(EDATE($D37,Milestones!$AA$42)&lt;=AsOfDate,IF($R37=0,$X37,IF(AND($T37&lt;&gt;"",EDATE($D37,Milestones!$AA$42)&gt;=$T37),$W37,IF(AND($S37&lt;&gt;"",EDATE($D37,Milestones!$AA$42)&gt;=$S37),$V37,$U37)))=Milestones!$AB$42),UPPER(TEXT(EDATE($D37,Milestones!$AA$42),"dd mmm yy"))&amp;" "&amp;Milestones!$AB$42&amp;" "&amp;Milestones!$AC$42&amp;";  ","")&amp;IF(AND(EDATE($D37,Milestones!$AA$43)&lt;=AsOfDate,IF($R37=0,$X37,IF(AND($T37&lt;&gt;"",EDATE($D37,Milestones!$AA$43)&gt;=$T37),$W37,IF(AND($S37&lt;&gt;"",EDATE($D37,Milestones!$AA$43)&gt;=$S37),$V37,$U37)))=Milestones!$AB$43),UPPER(TEXT(EDATE($D37,Milestones!$AA$43),"dd mmm yy"))&amp;" "&amp;Milestones!$AB$43&amp;" "&amp;Milestones!$AC$43&amp;";  ","")&amp;IF(AND(EDATE($D37,Milestones!$AA$44)&lt;=AsOfDate,IF($R37=0,$X37,IF(AND($T37&lt;&gt;"",EDATE($D37,Milestones!$AA$44)&gt;=$T37),$W37,IF(AND($S37&lt;&gt;"",EDATE($D37,Milestones!$AA$44)&gt;=$S37),$V37,$U37)))=Milestones!$AB$44),UPPER(TEXT(EDATE($D37,Milestones!$AA$44),"dd mmm yy"))&amp;" "&amp;Milestones!$AB$44&amp;" "&amp;Milestones!$AC$44&amp;";  ","")&amp;IF(AND(EDATE($D37,Milestones!$AA$45)&lt;=AsOfDate,IF($R37=0,$X37,IF(AND($T37&lt;&gt;"",EDATE($D37,Milestones!$AA$45)&gt;=$T37),$W37,IF(AND($S37&lt;&gt;"",EDATE($D37,Milestones!$AA$45)&gt;=$S37),$V37,$U37)))=Milestones!$AB$45),UPPER(TEXT(EDATE($D37,Milestones!$AA$45),"dd mmm yy"))&amp;" "&amp;Milestones!$AB$45&amp;" "&amp;Milestones!$AC$45&amp;";  ","")&amp;IF(AND(EDATE($D37,Milestones!$AA$46)&lt;=AsOfDate,IF($R37=0,$X37,IF(AND($T37&lt;&gt;"",EDATE($D37,Milestones!$AA$46)&gt;=$T37),$W37,IF(AND($S37&lt;&gt;"",EDATE($D37,Milestones!$AA$46)&gt;=$S37),$V37,$U37)))=Milestones!$AB$46),UPPER(TEXT(EDATE($D37,Milestones!$AA$46),"dd mmm yy"))&amp;" "&amp;Milestones!$AB$46&amp;" "&amp;Milestones!$AC$46&amp;";  ","")&amp;IF(AND(EDATE($D37,Milestones!$AA$47)&lt;=AsOfDate,IF($R37=0,$X37,IF(AND($T37&lt;&gt;"",EDATE($D37,Milestones!$AA$47)&gt;=$T37),$W37,IF(AND($S37&lt;&gt;"",EDATE($D37,Milestones!$AA$47)&gt;=$S37),$V37,$U37)))=Milestones!$AB$47),UPPER(TEXT(EDATE($D37,Milestones!$AA$47),"dd mmm yy"))&amp;" "&amp;Milestones!$AB$47&amp;" "&amp;Milestones!$AC$47&amp;";  ","")&amp;IF(AND(EDATE($D37,Milestones!$AA$48)&lt;=AsOfDate,IF($R37=0,$X37,IF(AND($T37&lt;&gt;"",EDATE($D37,Milestones!$AA$48)&gt;=$T37),$W37,IF(AND($S37&lt;&gt;"",EDATE($D37,Milestones!$AA$48)&gt;=$S37),$V37,$U37)))=Milestones!$AB$48),UPPER(TEXT(EDATE($D37,Milestones!$AA$48),"dd mmm yy"))&amp;" "&amp;Milestones!$AB$48&amp;" "&amp;Milestones!$AC$48&amp;";  ","")&amp;IF(AND(EDATE($D37,Milestones!$AA$49)&lt;=AsOfDate,IF($R37=0,$X37,IF(AND($T37&lt;&gt;"",EDATE($D37,Milestones!$AA$49)&gt;=$T37),$W37,IF(AND($S37&lt;&gt;"",EDATE($D37,Milestones!$AA$49)&gt;=$S37),$V37,$U37)))=Milestones!$AB$49),UPPER(TEXT(EDATE($D37,Milestones!$AA$49),"dd mmm yy"))&amp;" "&amp;Milestones!$AB$49&amp;" "&amp;Milestones!$AC$49&amp;";  ","")&amp;IF(AND(EDATE($D37,Milestones!$AA$50)&lt;=AsOfDate,IF($R37=0,$X37,IF(AND($T37&lt;&gt;"",EDATE($D37,Milestones!$AA$50)&gt;=$T37),$W37,IF(AND($S37&lt;&gt;"",EDATE($D37,Milestones!$AA$50)&gt;=$S37),$V37,$U37)))=Milestones!$AB$50),UPPER(TEXT(EDATE($D37,Milestones!$AA$50),"dd mmm yy"))&amp;" "&amp;Milestones!$AB$50&amp;" "&amp;Milestones!$AC$50&amp;";  ","")&amp;IF(AND(EDATE($D37,Milestones!$AA$51)&lt;=AsOfDate,IF($R37=0,$X37,IF(AND($T37&lt;&gt;"",EDATE($D37,Milestones!$AA$51)&gt;=$T37),$W37,IF(AND($S37&lt;&gt;"",EDATE($D37,Milestones!$AA$51)&gt;=$S37),$V37,$U37)))=Milestones!$AB$51),UPPER(TEXT(EDATE($D37,Milestones!$AA$51),"dd mmm yy"))&amp;" "&amp;Milestones!$AB$51&amp;" "&amp;Milestones!$AC$51&amp;";  ","")&amp;IF(AND(EDATE($D37,Milestones!$AA$52)&lt;=AsOfDate,IF($R37=0,$X37,IF(AND($T37&lt;&gt;"",EDATE($D37,Milestones!$AA$52)&gt;=$T37),$W37,IF(AND($S37&lt;&gt;"",EDATE($D37,Milestones!$AA$52)&gt;=$S37),$V37,$U37)))=Milestones!$AB$52),UPPER(TEXT(EDATE($D37,Milestones!$AA$52),"dd mmm yy"))&amp;" "&amp;Milestones!$AB$52&amp;" "&amp;Milestones!$AC$52&amp;";  ","")&amp;IF(AND(EDATE($D37,Milestones!$AA$53)&lt;=AsOfDate,IF($R37=0,$X37,IF(AND($T37&lt;&gt;"",EDATE($D37,Milestones!$AA$53)&gt;=$T37),$W37,IF(AND($S37&lt;&gt;"",EDATE($D37,Milestones!$AA$53)&gt;=$S37),$V37,$U37)))=Milestones!$AB$53),UPPER(TEXT(EDATE($D37,Milestones!$AA$53),"dd mmm yy"))&amp;" "&amp;Milestones!$AB$53&amp;" "&amp;Milestones!$AC$53&amp;";  ","")&amp;IF(AND(EDATE($D37,Milestones!$AA$54)&lt;=AsOfDate,IF($R37=0,$X37,IF(AND($T37&lt;&gt;"",EDATE($D37,Milestones!$AA$54)&gt;=$T37),$W37,IF(AND($S37&lt;&gt;"",EDATE($D37,Milestones!$AA$54)&gt;=$S37),$V37,$U37)))=Milestones!$AB$54),UPPER(TEXT(EDATE($D37,Milestones!$AA$54),"dd mmm yy"))&amp;" "&amp;Milestones!$AB$54&amp;" "&amp;Milestones!$AC$54&amp;";  ","")&amp;IF(AND(EDATE($D37,Milestones!$AA$55)&lt;=AsOfDate,IF($R37=0,$X37,IF(AND($T37&lt;&gt;"",EDATE($D37,Milestones!$AA$55)&gt;=$T37),$W37,IF(AND($S37&lt;&gt;"",EDATE($D37,Milestones!$AA$55)&gt;=$S37),$V37,$U37)))=Milestones!$AB$55),UPPER(TEXT(EDATE($D37,Milestones!$AA$55),"dd mmm yy"))&amp;" "&amp;Milestones!$AB$55&amp;" "&amp;Milestones!$AC$55&amp;";  ","")&amp;IF(AND(EDATE($D37,Milestones!$AA$56)&lt;=AsOfDate,IF($R37=0,$X37,IF(AND($T37&lt;&gt;"",EDATE($D37,Milestones!$AA$56)&gt;=$T37),$W37,IF(AND($S37&lt;&gt;"",EDATE($D37,Milestones!$AA$56)&gt;=$S37),$V37,$U37)))=Milestones!$AB$56),UPPER(TEXT(EDATE($D37,Milestones!$AA$56),"dd mmm yy"))&amp;" "&amp;Milestones!$AB$56&amp;" "&amp;Milestones!$AC$56&amp;";  ","")&amp;IF(AND(EDATE($D37,Milestones!$AA$57)&lt;=AsOfDate,IF($R37=0,$X37,IF(AND($T37&lt;&gt;"",EDATE($D37,Milestones!$AA$57)&gt;=$T37),$W37,IF(AND($S37&lt;&gt;"",EDATE($D37,Milestones!$AA$57)&gt;=$S37),$V37,$U37)))=Milestones!$AB$57),UPPER(TEXT(EDATE($D37,Milestones!$AA$57),"dd mmm yy"))&amp;" "&amp;Milestones!$AB$57&amp;" "&amp;Milestones!$AC$57&amp;";  ","")&amp;IF(AND(EDATE($D37,Milestones!$AA$58)&lt;=AsOfDate,IF($R37=0,$X37,IF(AND($T37&lt;&gt;"",EDATE($D37,Milestones!$AA$58)&gt;=$T37),$W37,IF(AND($S37&lt;&gt;"",EDATE($D37,Milestones!$AA$58)&gt;=$S37),$V37,$U37)))=Milestones!$AB$58),UPPER(TEXT(EDATE($D37,Milestones!$AA$58),"dd mmm yy"))&amp;" "&amp;Milestones!$AB$58&amp;" "&amp;Milestones!$AC$58&amp;";  ","")&amp;IF(AND(EDATE($D37,Milestones!$AA$59)&lt;=AsOfDate,IF($R37=0,$X37,IF(AND($T37&lt;&gt;"",EDATE($D37,Milestones!$AA$59)&gt;=$T37),$W37,IF(AND($S37&lt;&gt;"",EDATE($D37,Milestones!$AA$59)&gt;=$S37),$V37,$U37)))=Milestones!$AB$59),UPPER(TEXT(EDATE($D37,Milestones!$AA$59),"dd mmm yy"))&amp;" "&amp;Milestones!$AB$59&amp;" "&amp;Milestones!$AC$59&amp;";  ",""))</f>
        <v/>
      </c>
      <c r="K37" s="0" t="str">
        <f aca="false">IF(OR($A37="",$D37=""),"",IF(AND(EDATE($D37,Milestones!$AA$60)&lt;=AsOfDate,IF($R37=0,$X37,IF(AND($T37&lt;&gt;"",EDATE($D37,Milestones!$AA$60)&gt;=$T37),$W37,IF(AND($S37&lt;&gt;"",EDATE($D37,Milestones!$AA$60)&gt;=$S37),$V37,$U37)))=Milestones!$AB$60),UPPER(TEXT(EDATE($D37,Milestones!$AA$60),"dd mmm yy"))&amp;" "&amp;Milestones!$AB$60&amp;" "&amp;Milestones!$AC$60&amp;";  ","")&amp;IF(AND(EDATE($D37,Milestones!$AA$61)&lt;=AsOfDate,IF($R37=0,$X37,IF(AND($T37&lt;&gt;"",EDATE($D37,Milestones!$AA$61)&gt;=$T37),$W37,IF(AND($S37&lt;&gt;"",EDATE($D37,Milestones!$AA$61)&gt;=$S37),$V37,$U37)))=Milestones!$AB$61),UPPER(TEXT(EDATE($D37,Milestones!$AA$61),"dd mmm yy"))&amp;" "&amp;Milestones!$AB$61&amp;" "&amp;Milestones!$AC$61&amp;";  ","")&amp;IF(AND(EDATE($D37,Milestones!$AA$62)&lt;=AsOfDate,IF($R37=0,$X37,IF(AND($T37&lt;&gt;"",EDATE($D37,Milestones!$AA$62)&gt;=$T37),$W37,IF(AND($S37&lt;&gt;"",EDATE($D37,Milestones!$AA$62)&gt;=$S37),$V37,$U37)))=Milestones!$AB$62),UPPER(TEXT(EDATE($D37,Milestones!$AA$62),"dd mmm yy"))&amp;" "&amp;Milestones!$AB$62&amp;" "&amp;Milestones!$AC$62&amp;";  ","")&amp;IF(AND(EDATE($D37,Milestones!$AA$63)&lt;=AsOfDate,IF($R37=0,$X37,IF(AND($T37&lt;&gt;"",EDATE($D37,Milestones!$AA$63)&gt;=$T37),$W37,IF(AND($S37&lt;&gt;"",EDATE($D37,Milestones!$AA$63)&gt;=$S37),$V37,$U37)))=Milestones!$AB$63),UPPER(TEXT(EDATE($D37,Milestones!$AA$63),"dd mmm yy"))&amp;" "&amp;Milestones!$AB$63&amp;" "&amp;Milestones!$AC$63&amp;";  ","")&amp;IF(AND(EDATE($D37,Milestones!$AA$64)&lt;=AsOfDate,IF($R37=0,$X37,IF(AND($T37&lt;&gt;"",EDATE($D37,Milestones!$AA$64)&gt;=$T37),$W37,IF(AND($S37&lt;&gt;"",EDATE($D37,Milestones!$AA$64)&gt;=$S37),$V37,$U37)))=Milestones!$AB$64),UPPER(TEXT(EDATE($D37,Milestones!$AA$64),"dd mmm yy"))&amp;" "&amp;Milestones!$AB$64&amp;" "&amp;Milestones!$AC$64&amp;";  ","")&amp;IF(AND(EDATE($D37,Milestones!$AA$65)&lt;=AsOfDate,IF($R37=0,$X37,IF(AND($T37&lt;&gt;"",EDATE($D37,Milestones!$AA$65)&gt;=$T37),$W37,IF(AND($S37&lt;&gt;"",EDATE($D37,Milestones!$AA$65)&gt;=$S37),$V37,$U37)))=Milestones!$AB$65),UPPER(TEXT(EDATE($D37,Milestones!$AA$65),"dd mmm yy"))&amp;" "&amp;Milestones!$AB$65&amp;" "&amp;Milestones!$AC$65&amp;";  ","")&amp;IF(AND(EDATE($D37,Milestones!$AA$66)&lt;=AsOfDate,IF($R37=0,$X37,IF(AND($T37&lt;&gt;"",EDATE($D37,Milestones!$AA$66)&gt;=$T37),$W37,IF(AND($S37&lt;&gt;"",EDATE($D37,Milestones!$AA$66)&gt;=$S37),$V37,$U37)))=Milestones!$AB$66),UPPER(TEXT(EDATE($D37,Milestones!$AA$66),"dd mmm yy"))&amp;" "&amp;Milestones!$AB$66&amp;" "&amp;Milestones!$AC$66&amp;";  ","")&amp;IF(AND(EDATE($D37,Milestones!$AA$67)&lt;=AsOfDate,IF($R37=0,$X37,IF(AND($T37&lt;&gt;"",EDATE($D37,Milestones!$AA$67)&gt;=$T37),$W37,IF(AND($S37&lt;&gt;"",EDATE($D37,Milestones!$AA$67)&gt;=$S37),$V37,$U37)))=Milestones!$AB$67),UPPER(TEXT(EDATE($D37,Milestones!$AA$67),"dd mmm yy"))&amp;" "&amp;Milestones!$AB$67&amp;" "&amp;Milestones!$AC$67&amp;";  ","")&amp;IF(AND(EDATE($D37,Milestones!$AA$68)&lt;=AsOfDate,IF($R37=0,$X37,IF(AND($T37&lt;&gt;"",EDATE($D37,Milestones!$AA$68)&gt;=$T37),$W37,IF(AND($S37&lt;&gt;"",EDATE($D37,Milestones!$AA$68)&gt;=$S37),$V37,$U37)))=Milestones!$AB$68),UPPER(TEXT(EDATE($D37,Milestones!$AA$68),"dd mmm yy"))&amp;" "&amp;Milestones!$AB$68&amp;" "&amp;Milestones!$AC$68&amp;";  ","")&amp;IF(AND(EDATE($D37,Milestones!$AA$69)&lt;=AsOfDate,IF($R37=0,$X37,IF(AND($T37&lt;&gt;"",EDATE($D37,Milestones!$AA$69)&gt;=$T37),$W37,IF(AND($S37&lt;&gt;"",EDATE($D37,Milestones!$AA$69)&gt;=$S37),$V37,$U37)))=Milestones!$AB$69),UPPER(TEXT(EDATE($D37,Milestones!$AA$69),"dd mmm yy"))&amp;" "&amp;Milestones!$AB$69&amp;" "&amp;Milestones!$AC$69&amp;";  ","")&amp;IF(AND(EDATE($D37,Milestones!$AA$70)&lt;=AsOfDate,IF($R37=0,$X37,IF(AND($T37&lt;&gt;"",EDATE($D37,Milestones!$AA$70)&gt;=$T37),$W37,IF(AND($S37&lt;&gt;"",EDATE($D37,Milestones!$AA$70)&gt;=$S37),$V37,$U37)))=Milestones!$AB$70),UPPER(TEXT(EDATE($D37,Milestones!$AA$70),"dd mmm yy"))&amp;" "&amp;Milestones!$AB$70&amp;" "&amp;Milestones!$AC$70&amp;";  ","")&amp;IF(AND(EDATE($D37,Milestones!$AA$71)&lt;=AsOfDate,IF($R37=0,$X37,IF(AND($T37&lt;&gt;"",EDATE($D37,Milestones!$AA$71)&gt;=$T37),$W37,IF(AND($S37&lt;&gt;"",EDATE($D37,Milestones!$AA$71)&gt;=$S37),$V37,$U37)))=Milestones!$AB$71),UPPER(TEXT(EDATE($D37,Milestones!$AA$71),"dd mmm yy"))&amp;" "&amp;Milestones!$AB$71&amp;" "&amp;Milestones!$AC$71&amp;";  ","")&amp;IF(AND(EDATE($D37,Milestones!$AA$72)&lt;=AsOfDate,IF($R37=0,$X37,IF(AND($T37&lt;&gt;"",EDATE($D37,Milestones!$AA$72)&gt;=$T37),$W37,IF(AND($S37&lt;&gt;"",EDATE($D37,Milestones!$AA$72)&gt;=$S37),$V37,$U37)))=Milestones!$AB$72),UPPER(TEXT(EDATE($D37,Milestones!$AA$72),"dd mmm yy"))&amp;" "&amp;Milestones!$AB$72&amp;" "&amp;Milestones!$AC$72&amp;";  ","")&amp;IF(AND(EDATE($D37,Milestones!$AA$73)&lt;=AsOfDate,IF($R37=0,$X37,IF(AND($T37&lt;&gt;"",EDATE($D37,Milestones!$AA$73)&gt;=$T37),$W37,IF(AND($S37&lt;&gt;"",EDATE($D37,Milestones!$AA$73)&gt;=$S37),$V37,$U37)))=Milestones!$AB$73),UPPER(TEXT(EDATE($D37,Milestones!$AA$73),"dd mmm yy"))&amp;" "&amp;Milestones!$AB$73&amp;" "&amp;Milestones!$AC$73&amp;";  ","")&amp;IF(AND(EDATE($D37,Milestones!$AA$74)&lt;=AsOfDate,IF($R37=0,$X37,IF(AND($T37&lt;&gt;"",EDATE($D37,Milestones!$AA$74)&gt;=$T37),$W37,IF(AND($S37&lt;&gt;"",EDATE($D37,Milestones!$AA$74)&gt;=$S37),$V37,$U37)))=Milestones!$AB$74),UPPER(TEXT(EDATE($D37,Milestones!$AA$74),"dd mmm yy"))&amp;" "&amp;Milestones!$AB$74&amp;" "&amp;Milestones!$AC$74&amp;";  ","")&amp;IF(AND(EDATE($D37,Milestones!$AA$75)&lt;=AsOfDate,IF($R37=0,$X37,IF(AND($T37&lt;&gt;"",EDATE($D37,Milestones!$AA$75)&gt;=$T37),$W37,IF(AND($S37&lt;&gt;"",EDATE($D37,Milestones!$AA$75)&gt;=$S37),$V37,$U37)))=Milestones!$AB$75),UPPER(TEXT(EDATE($D37,Milestones!$AA$75),"dd mmm yy"))&amp;" "&amp;Milestones!$AB$75&amp;" "&amp;Milestones!$AC$75&amp;";  ","")&amp;IF(AND(EDATE($D37,Milestones!$AA$76)&lt;=AsOfDate,IF($R37=0,$X37,IF(AND($T37&lt;&gt;"",EDATE($D37,Milestones!$AA$76)&gt;=$T37),$W37,IF(AND($S37&lt;&gt;"",EDATE($D37,Milestones!$AA$76)&gt;=$S37),$V37,$U37)))=Milestones!$AB$76),UPPER(TEXT(EDATE($D37,Milestones!$AA$76),"dd mmm yy"))&amp;" "&amp;Milestones!$AB$76&amp;" "&amp;Milestones!$AC$76&amp;";  ","")&amp;IF(AND(EDATE($D37,Milestones!$AA$77)&lt;=AsOfDate,IF($R37=0,$X37,IF(AND($T37&lt;&gt;"",EDATE($D37,Milestones!$AA$77)&gt;=$T37),$W37,IF(AND($S37&lt;&gt;"",EDATE($D37,Milestones!$AA$77)&gt;=$S37),$V37,$U37)))=Milestones!$AB$77),UPPER(TEXT(EDATE($D37,Milestones!$AA$77),"dd mmm yy"))&amp;" "&amp;Milestones!$AB$77&amp;" "&amp;Milestones!$AC$77&amp;";  ","")&amp;IF(AND(EDATE($D37,Milestones!$AA$78)&lt;=AsOfDate,IF($R37=0,$X37,IF(AND($T37&lt;&gt;"",EDATE($D37,Milestones!$AA$78)&gt;=$T37),$W37,IF(AND($S37&lt;&gt;"",EDATE($D37,Milestones!$AA$78)&gt;=$S37),$V37,$U37)))=Milestones!$AB$78),UPPER(TEXT(EDATE($D37,Milestones!$AA$78),"dd mmm yy"))&amp;" "&amp;Milestones!$AB$78&amp;" "&amp;Milestones!$AC$78&amp;";  ","")&amp;IF(AND(EDATE($D37,Milestones!$AA$79)&lt;=AsOfDate,IF($R37=0,$X37,IF(AND($T37&lt;&gt;"",EDATE($D37,Milestones!$AA$79)&gt;=$T37),$W37,IF(AND($S37&lt;&gt;"",EDATE($D37,Milestones!$AA$79)&gt;=$S37),$V37,$U37)))=Milestones!$AB$79),UPPER(TEXT(EDATE($D37,Milestones!$AA$79),"dd mmm yy"))&amp;" "&amp;Milestones!$AB$79&amp;" "&amp;Milestones!$AC$79&amp;";  ",""))</f>
        <v/>
      </c>
      <c r="L37" s="0" t="str">
        <f aca="false">IF(OR($A37="",$D37=""),"",IF(AND(EDATE($D37,Milestones!$AA$80)&lt;=AsOfDate,IF($R37=0,$X37,IF(AND($T37&lt;&gt;"",EDATE($D37,Milestones!$AA$80)&gt;=$T37),$W37,IF(AND($S37&lt;&gt;"",EDATE($D37,Milestones!$AA$80)&gt;=$S37),$V37,$U37)))=Milestones!$AB$80),UPPER(TEXT(EDATE($D37,Milestones!$AA$80),"dd mmm yy"))&amp;" "&amp;Milestones!$AB$80&amp;" "&amp;Milestones!$AC$80&amp;";  ","")&amp;IF(AND(EDATE($D37,Milestones!$AA$81)&lt;=AsOfDate,IF($R37=0,$X37,IF(AND($T37&lt;&gt;"",EDATE($D37,Milestones!$AA$81)&gt;=$T37),$W37,IF(AND($S37&lt;&gt;"",EDATE($D37,Milestones!$AA$81)&gt;=$S37),$V37,$U37)))=Milestones!$AB$81),UPPER(TEXT(EDATE($D37,Milestones!$AA$81),"dd mmm yy"))&amp;" "&amp;Milestones!$AB$81&amp;" "&amp;Milestones!$AC$81&amp;";  ","")&amp;IF(AND(EDATE($D37,Milestones!$AA$82)&lt;=AsOfDate,IF($R37=0,$X37,IF(AND($T37&lt;&gt;"",EDATE($D37,Milestones!$AA$82)&gt;=$T37),$W37,IF(AND($S37&lt;&gt;"",EDATE($D37,Milestones!$AA$82)&gt;=$S37),$V37,$U37)))=Milestones!$AB$82),UPPER(TEXT(EDATE($D37,Milestones!$AA$82),"dd mmm yy"))&amp;" "&amp;Milestones!$AB$82&amp;" "&amp;Milestones!$AC$82&amp;";  ","")&amp;IF(AND(EDATE($D37,Milestones!$AA$83)&lt;=AsOfDate,IF($R37=0,$X37,IF(AND($T37&lt;&gt;"",EDATE($D37,Milestones!$AA$83)&gt;=$T37),$W37,IF(AND($S37&lt;&gt;"",EDATE($D37,Milestones!$AA$83)&gt;=$S37),$V37,$U37)))=Milestones!$AB$83),UPPER(TEXT(EDATE($D37,Milestones!$AA$83),"dd mmm yy"))&amp;" "&amp;Milestones!$AB$83&amp;" "&amp;Milestones!$AC$83&amp;";  ","")&amp;IF(AND(EDATE($D37,Milestones!$AA$84)&lt;=AsOfDate,IF($R37=0,$X37,IF(AND($T37&lt;&gt;"",EDATE($D37,Milestones!$AA$84)&gt;=$T37),$W37,IF(AND($S37&lt;&gt;"",EDATE($D37,Milestones!$AA$84)&gt;=$S37),$V37,$U37)))=Milestones!$AB$84),UPPER(TEXT(EDATE($D37,Milestones!$AA$84),"dd mmm yy"))&amp;" "&amp;Milestones!$AB$84&amp;" "&amp;Milestones!$AC$84&amp;";  ","")&amp;IF(AND(EDATE($D37,Milestones!$AA$85)&lt;=AsOfDate,IF($R37=0,$X37,IF(AND($T37&lt;&gt;"",EDATE($D37,Milestones!$AA$85)&gt;=$T37),$W37,IF(AND($S37&lt;&gt;"",EDATE($D37,Milestones!$AA$85)&gt;=$S37),$V37,$U37)))=Milestones!$AB$85),UPPER(TEXT(EDATE($D37,Milestones!$AA$85),"dd mmm yy"))&amp;" "&amp;Milestones!$AB$85&amp;" "&amp;Milestones!$AC$85&amp;";  ","")&amp;IF(AND(EDATE($D37,Milestones!$AA$86)&lt;=AsOfDate,IF($R37=0,$X37,IF(AND($T37&lt;&gt;"",EDATE($D37,Milestones!$AA$86)&gt;=$T37),$W37,IF(AND($S37&lt;&gt;"",EDATE($D37,Milestones!$AA$86)&gt;=$S37),$V37,$U37)))=Milestones!$AB$86),UPPER(TEXT(EDATE($D37,Milestones!$AA$86),"dd mmm yy"))&amp;" "&amp;Milestones!$AB$86&amp;" "&amp;Milestones!$AC$86&amp;";  ","")&amp;IF(AND(EDATE($D37,Milestones!$AA$87)&lt;=AsOfDate,IF($R37=0,$X37,IF(AND($T37&lt;&gt;"",EDATE($D37,Milestones!$AA$87)&gt;=$T37),$W37,IF(AND($S37&lt;&gt;"",EDATE($D37,Milestones!$AA$87)&gt;=$S37),$V37,$U37)))=Milestones!$AB$87),UPPER(TEXT(EDATE($D37,Milestones!$AA$87),"dd mmm yy"))&amp;" "&amp;Milestones!$AB$87&amp;" "&amp;Milestones!$AC$87&amp;";  ","")&amp;IF(AND(EDATE($D37,Milestones!$AA$88)&lt;=AsOfDate,IF($R37=0,$X37,IF(AND($T37&lt;&gt;"",EDATE($D37,Milestones!$AA$88)&gt;=$T37),$W37,IF(AND($S37&lt;&gt;"",EDATE($D37,Milestones!$AA$88)&gt;=$S37),$V37,$U37)))=Milestones!$AB$88),UPPER(TEXT(EDATE($D37,Milestones!$AA$88),"dd mmm yy"))&amp;" "&amp;Milestones!$AB$88&amp;" "&amp;Milestones!$AC$88&amp;";  ","")&amp;IF(AND(EDATE($D37,Milestones!$AA$89)&lt;=AsOfDate,IF($R37=0,$X37,IF(AND($T37&lt;&gt;"",EDATE($D37,Milestones!$AA$89)&gt;=$T37),$W37,IF(AND($S37&lt;&gt;"",EDATE($D37,Milestones!$AA$89)&gt;=$S37),$V37,$U37)))=Milestones!$AB$89),UPPER(TEXT(EDATE($D37,Milestones!$AA$89),"dd mmm yy"))&amp;" "&amp;Milestones!$AB$89&amp;" "&amp;Milestones!$AC$89&amp;";  ","")&amp;IF(AND(EDATE($D37,Milestones!$AA$90)&lt;=AsOfDate,IF($R37=0,$X37,IF(AND($T37&lt;&gt;"",EDATE($D37,Milestones!$AA$90)&gt;=$T37),$W37,IF(AND($S37&lt;&gt;"",EDATE($D37,Milestones!$AA$90)&gt;=$S37),$V37,$U37)))=Milestones!$AB$90),UPPER(TEXT(EDATE($D37,Milestones!$AA$90),"dd mmm yy"))&amp;" "&amp;Milestones!$AB$90&amp;" "&amp;Milestones!$AC$90&amp;";  ","")&amp;IF(AND(EDATE($D37,Milestones!$AA$91)&lt;=AsOfDate,IF($R37=0,$X37,IF(AND($T37&lt;&gt;"",EDATE($D37,Milestones!$AA$91)&gt;=$T37),$W37,IF(AND($S37&lt;&gt;"",EDATE($D37,Milestones!$AA$91)&gt;=$S37),$V37,$U37)))=Milestones!$AB$91),UPPER(TEXT(EDATE($D37,Milestones!$AA$91),"dd mmm yy"))&amp;" "&amp;Milestones!$AB$91&amp;" "&amp;Milestones!$AC$91&amp;";  ","")&amp;IF(AND(EDATE($D37,Milestones!$AA$92)&lt;=AsOfDate,IF($R37=0,$X37,IF(AND($T37&lt;&gt;"",EDATE($D37,Milestones!$AA$92)&gt;=$T37),$W37,IF(AND($S37&lt;&gt;"",EDATE($D37,Milestones!$AA$92)&gt;=$S37),$V37,$U37)))=Milestones!$AB$92),UPPER(TEXT(EDATE($D37,Milestones!$AA$92),"dd mmm yy"))&amp;" "&amp;Milestones!$AB$92&amp;" "&amp;Milestones!$AC$92&amp;";  ","")&amp;IF(AND(EDATE($D37,Milestones!$AA$93)&lt;=AsOfDate,IF($R37=0,$X37,IF(AND($T37&lt;&gt;"",EDATE($D37,Milestones!$AA$93)&gt;=$T37),$W37,IF(AND($S37&lt;&gt;"",EDATE($D37,Milestones!$AA$93)&gt;=$S37),$V37,$U37)))=Milestones!$AB$93),UPPER(TEXT(EDATE($D37,Milestones!$AA$93),"dd mmm yy"))&amp;" "&amp;Milestones!$AB$93&amp;" "&amp;Milestones!$AC$93&amp;";  ","")&amp;IF(AND(EDATE($D37,Milestones!$AA$94)&lt;=AsOfDate,IF($R37=0,$X37,IF(AND($T37&lt;&gt;"",EDATE($D37,Milestones!$AA$94)&gt;=$T37),$W37,IF(AND($S37&lt;&gt;"",EDATE($D37,Milestones!$AA$94)&gt;=$S37),$V37,$U37)))=Milestones!$AB$94),UPPER(TEXT(EDATE($D37,Milestones!$AA$94),"dd mmm yy"))&amp;" "&amp;Milestones!$AB$94&amp;" "&amp;Milestones!$AC$94&amp;";  ","")&amp;IF(AND(EDATE($D37,Milestones!$AA$95)&lt;=AsOfDate,IF($R37=0,$X37,IF(AND($T37&lt;&gt;"",EDATE($D37,Milestones!$AA$95)&gt;=$T37),$W37,IF(AND($S37&lt;&gt;"",EDATE($D37,Milestones!$AA$95)&gt;=$S37),$V37,$U37)))=Milestones!$AB$95),UPPER(TEXT(EDATE($D37,Milestones!$AA$95),"dd mmm yy"))&amp;" "&amp;Milestones!$AB$95&amp;" "&amp;Milestones!$AC$95&amp;";  ","")&amp;IF(AND(EDATE($D37,Milestones!$AA$96)&lt;=AsOfDate,IF($R37=0,$X37,IF(AND($T37&lt;&gt;"",EDATE($D37,Milestones!$AA$96)&gt;=$T37),$W37,IF(AND($S37&lt;&gt;"",EDATE($D37,Milestones!$AA$96)&gt;=$S37),$V37,$U37)))=Milestones!$AB$96),UPPER(TEXT(EDATE($D37,Milestones!$AA$96),"dd mmm yy"))&amp;" "&amp;Milestones!$AB$96&amp;" "&amp;Milestones!$AC$96&amp;";  ","")&amp;IF(AND(EDATE($D37,Milestones!$AA$97)&lt;=AsOfDate,IF($R37=0,$X37,IF(AND($T37&lt;&gt;"",EDATE($D37,Milestones!$AA$97)&gt;=$T37),$W37,IF(AND($S37&lt;&gt;"",EDATE($D37,Milestones!$AA$97)&gt;=$S37),$V37,$U37)))=Milestones!$AB$97),UPPER(TEXT(EDATE($D37,Milestones!$AA$97),"dd mmm yy"))&amp;" "&amp;Milestones!$AB$97&amp;" "&amp;Milestones!$AC$97&amp;";  ","")&amp;IF(AND(EDATE($D37,Milestones!$AA$98)&lt;=AsOfDate,IF($R37=0,$X37,IF(AND($T37&lt;&gt;"",EDATE($D37,Milestones!$AA$98)&gt;=$T37),$W37,IF(AND($S37&lt;&gt;"",EDATE($D37,Milestones!$AA$98)&gt;=$S37),$V37,$U37)))=Milestones!$AB$98),UPPER(TEXT(EDATE($D37,Milestones!$AA$98),"dd mmm yy"))&amp;" "&amp;Milestones!$AB$98&amp;" "&amp;Milestones!$AC$98&amp;";  ","")&amp;IF(AND(EDATE($D37,Milestones!$AA$99)&lt;=AsOfDate,IF($R37=0,$X37,IF(AND($T37&lt;&gt;"",EDATE($D37,Milestones!$AA$99)&gt;=$T37),$W37,IF(AND($S37&lt;&gt;"",EDATE($D37,Milestones!$AA$99)&gt;=$S37),$V37,$U37)))=Milestones!$AB$99),UPPER(TEXT(EDATE($D37,Milestones!$AA$99),"dd mmm yy"))&amp;" "&amp;Milestones!$AB$99&amp;" "&amp;Milestones!$AC$99&amp;";  ",""))</f>
        <v/>
      </c>
      <c r="M37" s="0" t="str">
        <f aca="false">IF(OR($A37="",$D37=""),"",IF(AND(EDATE($D37,Milestones!$AA$100)&lt;=AsOfDate,IF($R37=0,$X37,IF(AND($T37&lt;&gt;"",EDATE($D37,Milestones!$AA$100)&gt;=$T37),$W37,IF(AND($S37&lt;&gt;"",EDATE($D37,Milestones!$AA$100)&gt;=$S37),$V37,$U37)))=Milestones!$AB$100),UPPER(TEXT(EDATE($D37,Milestones!$AA$100),"dd mmm yy"))&amp;" "&amp;Milestones!$AB$100&amp;" "&amp;Milestones!$AC$100&amp;";  ","")&amp;IF(AND(EDATE($D37,Milestones!$AA$101)&lt;=AsOfDate,IF($R37=0,$X37,IF(AND($T37&lt;&gt;"",EDATE($D37,Milestones!$AA$101)&gt;=$T37),$W37,IF(AND($S37&lt;&gt;"",EDATE($D37,Milestones!$AA$101)&gt;=$S37),$V37,$U37)))=Milestones!$AB$101),UPPER(TEXT(EDATE($D37,Milestones!$AA$101),"dd mmm yy"))&amp;" "&amp;Milestones!$AB$101&amp;" "&amp;Milestones!$AC$101&amp;";  ","")&amp;IF(AND(EDATE($D37,Milestones!$AA$102)&lt;=AsOfDate,IF($R37=0,$X37,IF(AND($T37&lt;&gt;"",EDATE($D37,Milestones!$AA$102)&gt;=$T37),$W37,IF(AND($S37&lt;&gt;"",EDATE($D37,Milestones!$AA$102)&gt;=$S37),$V37,$U37)))=Milestones!$AB$102),UPPER(TEXT(EDATE($D37,Milestones!$AA$102),"dd mmm yy"))&amp;" "&amp;Milestones!$AB$102&amp;" "&amp;Milestones!$AC$102&amp;";  ","")&amp;IF(AND(EDATE($D37,Milestones!$AA$103)&lt;=AsOfDate,IF($R37=0,$X37,IF(AND($T37&lt;&gt;"",EDATE($D37,Milestones!$AA$103)&gt;=$T37),$W37,IF(AND($S37&lt;&gt;"",EDATE($D37,Milestones!$AA$103)&gt;=$S37),$V37,$U37)))=Milestones!$AB$103),UPPER(TEXT(EDATE($D37,Milestones!$AA$103),"dd mmm yy"))&amp;" "&amp;Milestones!$AB$103&amp;" "&amp;Milestones!$AC$103&amp;";  ","")&amp;IF(AND(EDATE($D37,Milestones!$AA$104)&lt;=AsOfDate,IF($R37=0,$X37,IF(AND($T37&lt;&gt;"",EDATE($D37,Milestones!$AA$104)&gt;=$T37),$W37,IF(AND($S37&lt;&gt;"",EDATE($D37,Milestones!$AA$104)&gt;=$S37),$V37,$U37)))=Milestones!$AB$104),UPPER(TEXT(EDATE($D37,Milestones!$AA$104),"dd mmm yy"))&amp;" "&amp;Milestones!$AB$104&amp;" "&amp;Milestones!$AC$104&amp;";  ","")&amp;IF(AND(EDATE($D37,Milestones!$AA$105)&lt;=AsOfDate,IF($R37=0,$X37,IF(AND($T37&lt;&gt;"",EDATE($D37,Milestones!$AA$105)&gt;=$T37),$W37,IF(AND($S37&lt;&gt;"",EDATE($D37,Milestones!$AA$105)&gt;=$S37),$V37,$U37)))=Milestones!$AB$105),UPPER(TEXT(EDATE($D37,Milestones!$AA$105),"dd mmm yy"))&amp;" "&amp;Milestones!$AB$105&amp;" "&amp;Milestones!$AC$105&amp;";  ","")&amp;IF(AND(EDATE($D37,Milestones!$AA$106)&lt;=AsOfDate,IF($R37=0,$X37,IF(AND($T37&lt;&gt;"",EDATE($D37,Milestones!$AA$106)&gt;=$T37),$W37,IF(AND($S37&lt;&gt;"",EDATE($D37,Milestones!$AA$106)&gt;=$S37),$V37,$U37)))=Milestones!$AB$106),UPPER(TEXT(EDATE($D37,Milestones!$AA$106),"dd mmm yy"))&amp;" "&amp;Milestones!$AB$106&amp;" "&amp;Milestones!$AC$106&amp;";  ","")&amp;IF(AND(EDATE($D37,Milestones!$AA$107)&lt;=AsOfDate,IF($R37=0,$X37,IF(AND($T37&lt;&gt;"",EDATE($D37,Milestones!$AA$107)&gt;=$T37),$W37,IF(AND($S37&lt;&gt;"",EDATE($D37,Milestones!$AA$107)&gt;=$S37),$V37,$U37)))=Milestones!$AB$107),UPPER(TEXT(EDATE($D37,Milestones!$AA$107),"dd mmm yy"))&amp;" "&amp;Milestones!$AB$107&amp;" "&amp;Milestones!$AC$107&amp;";  ","")&amp;IF(AND(EDATE($D37,Milestones!$AA$108)&lt;=AsOfDate,IF($R37=0,$X37,IF(AND($T37&lt;&gt;"",EDATE($D37,Milestones!$AA$108)&gt;=$T37),$W37,IF(AND($S37&lt;&gt;"",EDATE($D37,Milestones!$AA$108)&gt;=$S37),$V37,$U37)))=Milestones!$AB$108),UPPER(TEXT(EDATE($D37,Milestones!$AA$108),"dd mmm yy"))&amp;" "&amp;Milestones!$AB$108&amp;" "&amp;Milestones!$AC$108&amp;";  ","")&amp;IF(AND(EDATE($D37,Milestones!$AA$109)&lt;=AsOfDate,IF($R37=0,$X37,IF(AND($T37&lt;&gt;"",EDATE($D37,Milestones!$AA$109)&gt;=$T37),$W37,IF(AND($S37&lt;&gt;"",EDATE($D37,Milestones!$AA$109)&gt;=$S37),$V37,$U37)))=Milestones!$AB$109),UPPER(TEXT(EDATE($D37,Milestones!$AA$109),"dd mmm yy"))&amp;" "&amp;Milestones!$AB$109&amp;" "&amp;Milestones!$AC$109&amp;";  ","")&amp;IF(AND(EDATE($D37,Milestones!$AA$110)&lt;=AsOfDate,IF($R37=0,$X37,IF(AND($T37&lt;&gt;"",EDATE($D37,Milestones!$AA$110)&gt;=$T37),$W37,IF(AND($S37&lt;&gt;"",EDATE($D37,Milestones!$AA$110)&gt;=$S37),$V37,$U37)))=Milestones!$AB$110),UPPER(TEXT(EDATE($D37,Milestones!$AA$110),"dd mmm yy"))&amp;" "&amp;Milestones!$AB$110&amp;" "&amp;Milestones!$AC$110&amp;";  ","")&amp;IF(AND(EDATE($D37,Milestones!$AA$111)&lt;=AsOfDate,IF($R37=0,$X37,IF(AND($T37&lt;&gt;"",EDATE($D37,Milestones!$AA$111)&gt;=$T37),$W37,IF(AND($S37&lt;&gt;"",EDATE($D37,Milestones!$AA$111)&gt;=$S37),$V37,$U37)))=Milestones!$AB$111),UPPER(TEXT(EDATE($D37,Milestones!$AA$111),"dd mmm yy"))&amp;" "&amp;Milestones!$AB$111&amp;" "&amp;Milestones!$AC$111&amp;";  ","")&amp;IF(AND(EDATE($D37,Milestones!$AA$112)&lt;=AsOfDate,IF($R37=0,$X37,IF(AND($T37&lt;&gt;"",EDATE($D37,Milestones!$AA$112)&gt;=$T37),$W37,IF(AND($S37&lt;&gt;"",EDATE($D37,Milestones!$AA$112)&gt;=$S37),$V37,$U37)))=Milestones!$AB$112),UPPER(TEXT(EDATE($D37,Milestones!$AA$112),"dd mmm yy"))&amp;" "&amp;Milestones!$AB$112&amp;" "&amp;Milestones!$AC$112&amp;";  ","")&amp;IF(AND(EDATE($D37,Milestones!$AA$113)&lt;=AsOfDate,IF($R37=0,$X37,IF(AND($T37&lt;&gt;"",EDATE($D37,Milestones!$AA$113)&gt;=$T37),$W37,IF(AND($S37&lt;&gt;"",EDATE($D37,Milestones!$AA$113)&gt;=$S37),$V37,$U37)))=Milestones!$AB$113),UPPER(TEXT(EDATE($D37,Milestones!$AA$113),"dd mmm yy"))&amp;" "&amp;Milestones!$AB$113&amp;" "&amp;Milestones!$AC$113&amp;";  ","")&amp;IF(AND(EDATE($D37,Milestones!$AA$114)&lt;=AsOfDate,IF($R37=0,$X37,IF(AND($T37&lt;&gt;"",EDATE($D37,Milestones!$AA$114)&gt;=$T37),$W37,IF(AND($S37&lt;&gt;"",EDATE($D37,Milestones!$AA$114)&gt;=$S37),$V37,$U37)))=Milestones!$AB$114),UPPER(TEXT(EDATE($D37,Milestones!$AA$114),"dd mmm yy"))&amp;" "&amp;Milestones!$AB$114&amp;" "&amp;Milestones!$AC$114&amp;";  ","")&amp;IF(AND(EDATE($D37,Milestones!$AA$115)&lt;=AsOfDate,IF($R37=0,$X37,IF(AND($T37&lt;&gt;"",EDATE($D37,Milestones!$AA$115)&gt;=$T37),$W37,IF(AND($S37&lt;&gt;"",EDATE($D37,Milestones!$AA$115)&gt;=$S37),$V37,$U37)))=Milestones!$AB$115),UPPER(TEXT(EDATE($D37,Milestones!$AA$115),"dd mmm yy"))&amp;" "&amp;Milestones!$AB$115&amp;" "&amp;Milestones!$AC$115&amp;";  ","")&amp;IF(AND(EDATE($D37,Milestones!$AA$116)&lt;=AsOfDate,IF($R37=0,$X37,IF(AND($T37&lt;&gt;"",EDATE($D37,Milestones!$AA$116)&gt;=$T37),$W37,IF(AND($S37&lt;&gt;"",EDATE($D37,Milestones!$AA$116)&gt;=$S37),$V37,$U37)))=Milestones!$AB$116),UPPER(TEXT(EDATE($D37,Milestones!$AA$116),"dd mmm yy"))&amp;" "&amp;Milestones!$AB$116&amp;" "&amp;Milestones!$AC$116&amp;";  ","")&amp;IF(AND(EDATE($D37,Milestones!$AA$117)&lt;=AsOfDate,IF($R37=0,$X37,IF(AND($T37&lt;&gt;"",EDATE($D37,Milestones!$AA$117)&gt;=$T37),$W37,IF(AND($S37&lt;&gt;"",EDATE($D37,Milestones!$AA$117)&gt;=$S37),$V37,$U37)))=Milestones!$AB$117),UPPER(TEXT(EDATE($D37,Milestones!$AA$117),"dd mmm yy"))&amp;" "&amp;Milestones!$AB$117&amp;" "&amp;Milestones!$AC$117&amp;";  ","")&amp;IF(AND(EDATE($D37,Milestones!$AA$118)&lt;=AsOfDate,IF($R37=0,$X37,IF(AND($T37&lt;&gt;"",EDATE($D37,Milestones!$AA$118)&gt;=$T37),$W37,IF(AND($S37&lt;&gt;"",EDATE($D37,Milestones!$AA$118)&gt;=$S37),$V37,$U37)))=Milestones!$AB$118),UPPER(TEXT(EDATE($D37,Milestones!$AA$118),"dd mmm yy"))&amp;" "&amp;Milestones!$AB$118&amp;" "&amp;Milestones!$AC$118&amp;";  ","")&amp;IF(AND(EDATE($D37,Milestones!$AA$119)&lt;=AsOfDate,IF($R37=0,$X37,IF(AND($T37&lt;&gt;"",EDATE($D37,Milestones!$AA$119)&gt;=$T37),$W37,IF(AND($S37&lt;&gt;"",EDATE($D37,Milestones!$AA$119)&gt;=$S37),$V37,$U37)))=Milestones!$AB$119),UPPER(TEXT(EDATE($D37,Milestones!$AA$119),"dd mmm yy"))&amp;" "&amp;Milestones!$AB$119&amp;" "&amp;Milestones!$AC$119&amp;";  ",""))</f>
        <v/>
      </c>
      <c r="N37" s="0" t="str">
        <f aca="false">IF(OR($A37="",$D37=""),"",IF(AND(EDATE($D37,Milestones!$AA$120)&lt;=AsOfDate,IF($R37=0,$X37,IF(AND($T37&lt;&gt;"",EDATE($D37,Milestones!$AA$120)&gt;=$T37),$W37,IF(AND($S37&lt;&gt;"",EDATE($D37,Milestones!$AA$120)&gt;=$S37),$V37,$U37)))=Milestones!$AB$120),UPPER(TEXT(EDATE($D37,Milestones!$AA$120),"dd mmm yy"))&amp;" "&amp;Milestones!$AB$120&amp;" "&amp;Milestones!$AC$120&amp;";  ","")&amp;IF(AND(EDATE($D37,Milestones!$AA$121)&lt;=AsOfDate,IF($R37=0,$X37,IF(AND($T37&lt;&gt;"",EDATE($D37,Milestones!$AA$121)&gt;=$T37),$W37,IF(AND($S37&lt;&gt;"",EDATE($D37,Milestones!$AA$121)&gt;=$S37),$V37,$U37)))=Milestones!$AB$121),UPPER(TEXT(EDATE($D37,Milestones!$AA$121),"dd mmm yy"))&amp;" "&amp;Milestones!$AB$121&amp;" "&amp;Milestones!$AC$121&amp;";  ","")&amp;IF(AND(EDATE($D37,Milestones!$AA$122)&lt;=AsOfDate,IF($R37=0,$X37,IF(AND($T37&lt;&gt;"",EDATE($D37,Milestones!$AA$122)&gt;=$T37),$W37,IF(AND($S37&lt;&gt;"",EDATE($D37,Milestones!$AA$122)&gt;=$S37),$V37,$U37)))=Milestones!$AB$122),UPPER(TEXT(EDATE($D37,Milestones!$AA$122),"dd mmm yy"))&amp;" "&amp;Milestones!$AB$122&amp;" "&amp;Milestones!$AC$122&amp;";  ","")&amp;IF(AND(EDATE($D37,Milestones!$AA$123)&lt;=AsOfDate,IF($R37=0,$X37,IF(AND($T37&lt;&gt;"",EDATE($D37,Milestones!$AA$123)&gt;=$T37),$W37,IF(AND($S37&lt;&gt;"",EDATE($D37,Milestones!$AA$123)&gt;=$S37),$V37,$U37)))=Milestones!$AB$123),UPPER(TEXT(EDATE($D37,Milestones!$AA$123),"dd mmm yy"))&amp;" "&amp;Milestones!$AB$123&amp;" "&amp;Milestones!$AC$123&amp;";  ","")&amp;IF(AND(EDATE($D37,Milestones!$AA$124)&lt;=AsOfDate,IF($R37=0,$X37,IF(AND($T37&lt;&gt;"",EDATE($D37,Milestones!$AA$124)&gt;=$T37),$W37,IF(AND($S37&lt;&gt;"",EDATE($D37,Milestones!$AA$124)&gt;=$S37),$V37,$U37)))=Milestones!$AB$124),UPPER(TEXT(EDATE($D37,Milestones!$AA$124),"dd mmm yy"))&amp;" "&amp;Milestones!$AB$124&amp;" "&amp;Milestones!$AC$124&amp;";  ","")&amp;IF(AND(EDATE($D37,Milestones!$AA$125)&lt;=AsOfDate,IF($R37=0,$X37,IF(AND($T37&lt;&gt;"",EDATE($D37,Milestones!$AA$125)&gt;=$T37),$W37,IF(AND($S37&lt;&gt;"",EDATE($D37,Milestones!$AA$125)&gt;=$S37),$V37,$U37)))=Milestones!$AB$125),UPPER(TEXT(EDATE($D37,Milestones!$AA$125),"dd mmm yy"))&amp;" "&amp;Milestones!$AB$125&amp;" "&amp;Milestones!$AC$125&amp;";  ","")&amp;IF(AND(EDATE($D37,Milestones!$AA$126)&lt;=AsOfDate,IF($R37=0,$X37,IF(AND($T37&lt;&gt;"",EDATE($D37,Milestones!$AA$126)&gt;=$T37),$W37,IF(AND($S37&lt;&gt;"",EDATE($D37,Milestones!$AA$126)&gt;=$S37),$V37,$U37)))=Milestones!$AB$126),UPPER(TEXT(EDATE($D37,Milestones!$AA$126),"dd mmm yy"))&amp;" "&amp;Milestones!$AB$126&amp;" "&amp;Milestones!$AC$126&amp;";  ","")&amp;IF(AND(EDATE($D37,Milestones!$AA$127)&lt;=AsOfDate,IF($R37=0,$X37,IF(AND($T37&lt;&gt;"",EDATE($D37,Milestones!$AA$127)&gt;=$T37),$W37,IF(AND($S37&lt;&gt;"",EDATE($D37,Milestones!$AA$127)&gt;=$S37),$V37,$U37)))=Milestones!$AB$127),UPPER(TEXT(EDATE($D37,Milestones!$AA$127),"dd mmm yy"))&amp;" "&amp;Milestones!$AB$127&amp;" "&amp;Milestones!$AC$127&amp;";  ","")&amp;IF(AND(EDATE($D37,Milestones!$AA$128)&lt;=AsOfDate,IF($R37=0,$X37,IF(AND($T37&lt;&gt;"",EDATE($D37,Milestones!$AA$128)&gt;=$T37),$W37,IF(AND($S37&lt;&gt;"",EDATE($D37,Milestones!$AA$128)&gt;=$S37),$V37,$U37)))=Milestones!$AB$128),UPPER(TEXT(EDATE($D37,Milestones!$AA$128),"dd mmm yy"))&amp;" "&amp;Milestones!$AB$128&amp;" "&amp;Milestones!$AC$128&amp;";  ","")&amp;IF(AND(EDATE($D37,Milestones!$AA$129)&lt;=AsOfDate,IF($R37=0,$X37,IF(AND($T37&lt;&gt;"",EDATE($D37,Milestones!$AA$129)&gt;=$T37),$W37,IF(AND($S37&lt;&gt;"",EDATE($D37,Milestones!$AA$129)&gt;=$S37),$V37,$U37)))=Milestones!$AB$129),UPPER(TEXT(EDATE($D37,Milestones!$AA$129),"dd mmm yy"))&amp;" "&amp;Milestones!$AB$129&amp;" "&amp;Milestones!$AC$129&amp;";  ","")&amp;IF(AND(EDATE($D37,Milestones!$AA$130)&lt;=AsOfDate,IF($R37=0,$X37,IF(AND($T37&lt;&gt;"",EDATE($D37,Milestones!$AA$130)&gt;=$T37),$W37,IF(AND($S37&lt;&gt;"",EDATE($D37,Milestones!$AA$130)&gt;=$S37),$V37,$U37)))=Milestones!$AB$130),UPPER(TEXT(EDATE($D37,Milestones!$AA$130),"dd mmm yy"))&amp;" "&amp;Milestones!$AB$130&amp;" "&amp;Milestones!$AC$130&amp;";  ","")&amp;IF(AND(EDATE($D37,Milestones!$AA$131)&lt;=AsOfDate,IF($R37=0,$X37,IF(AND($T37&lt;&gt;"",EDATE($D37,Milestones!$AA$131)&gt;=$T37),$W37,IF(AND($S37&lt;&gt;"",EDATE($D37,Milestones!$AA$131)&gt;=$S37),$V37,$U37)))=Milestones!$AB$131),UPPER(TEXT(EDATE($D37,Milestones!$AA$131),"dd mmm yy"))&amp;" "&amp;Milestones!$AB$131&amp;" "&amp;Milestones!$AC$131&amp;";  ","")&amp;IF(AND(EDATE($D37,Milestones!$AA$132)&lt;=AsOfDate,IF($R37=0,$X37,IF(AND($T37&lt;&gt;"",EDATE($D37,Milestones!$AA$132)&gt;=$T37),$W37,IF(AND($S37&lt;&gt;"",EDATE($D37,Milestones!$AA$132)&gt;=$S37),$V37,$U37)))=Milestones!$AB$132),UPPER(TEXT(EDATE($D37,Milestones!$AA$132),"dd mmm yy"))&amp;" "&amp;Milestones!$AB$132&amp;" "&amp;Milestones!$AC$132&amp;";  ","")&amp;IF(AND(EDATE($D37,Milestones!$AA$133)&lt;=AsOfDate,IF($R37=0,$X37,IF(AND($T37&lt;&gt;"",EDATE($D37,Milestones!$AA$133)&gt;=$T37),$W37,IF(AND($S37&lt;&gt;"",EDATE($D37,Milestones!$AA$133)&gt;=$S37),$V37,$U37)))=Milestones!$AB$133),UPPER(TEXT(EDATE($D37,Milestones!$AA$133),"dd mmm yy"))&amp;" "&amp;Milestones!$AB$133&amp;" "&amp;Milestones!$AC$133&amp;";  ","")&amp;IF(AND(EDATE($D37,Milestones!$AA$134)&lt;=AsOfDate,IF($R37=0,$X37,IF(AND($T37&lt;&gt;"",EDATE($D37,Milestones!$AA$134)&gt;=$T37),$W37,IF(AND($S37&lt;&gt;"",EDATE($D37,Milestones!$AA$134)&gt;=$S37),$V37,$U37)))=Milestones!$AB$134),UPPER(TEXT(EDATE($D37,Milestones!$AA$134),"dd mmm yy"))&amp;" "&amp;Milestones!$AB$134&amp;" "&amp;Milestones!$AC$134&amp;";  ","")&amp;IF(AND(EDATE($D37,Milestones!$AA$135)&lt;=AsOfDate,IF($R37=0,$X37,IF(AND($T37&lt;&gt;"",EDATE($D37,Milestones!$AA$135)&gt;=$T37),$W37,IF(AND($S37&lt;&gt;"",EDATE($D37,Milestones!$AA$135)&gt;=$S37),$V37,$U37)))=Milestones!$AB$135),UPPER(TEXT(EDATE($D37,Milestones!$AA$135),"dd mmm yy"))&amp;" "&amp;Milestones!$AB$135&amp;" "&amp;Milestones!$AC$135&amp;";  ","")&amp;IF(AND(EDATE($D37,Milestones!$AA$136)&lt;=AsOfDate,IF($R37=0,$X37,IF(AND($T37&lt;&gt;"",EDATE($D37,Milestones!$AA$136)&gt;=$T37),$W37,IF(AND($S37&lt;&gt;"",EDATE($D37,Milestones!$AA$136)&gt;=$S37),$V37,$U37)))=Milestones!$AB$136),UPPER(TEXT(EDATE($D37,Milestones!$AA$136),"dd mmm yy"))&amp;" "&amp;Milestones!$AB$136&amp;" "&amp;Milestones!$AC$136&amp;";  ","")&amp;IF(AND(EDATE($D37,Milestones!$AA$137)&lt;=AsOfDate,IF($R37=0,$X37,IF(AND($T37&lt;&gt;"",EDATE($D37,Milestones!$AA$137)&gt;=$T37),$W37,IF(AND($S37&lt;&gt;"",EDATE($D37,Milestones!$AA$137)&gt;=$S37),$V37,$U37)))=Milestones!$AB$137),UPPER(TEXT(EDATE($D37,Milestones!$AA$137),"dd mmm yy"))&amp;" "&amp;Milestones!$AB$137&amp;" "&amp;Milestones!$AC$137&amp;";  ","")&amp;IF(AND(EDATE($D37,Milestones!$AA$138)&lt;=AsOfDate,IF($R37=0,$X37,IF(AND($T37&lt;&gt;"",EDATE($D37,Milestones!$AA$138)&gt;=$T37),$W37,IF(AND($S37&lt;&gt;"",EDATE($D37,Milestones!$AA$138)&gt;=$S37),$V37,$U37)))=Milestones!$AB$138),UPPER(TEXT(EDATE($D37,Milestones!$AA$138),"dd mmm yy"))&amp;" "&amp;Milestones!$AB$138&amp;" "&amp;Milestones!$AC$138&amp;";  ","")&amp;IF(AND(EDATE($D37,Milestones!$AA$139)&lt;=AsOfDate,IF($R37=0,$X37,IF(AND($T37&lt;&gt;"",EDATE($D37,Milestones!$AA$139)&gt;=$T37),$W37,IF(AND($S37&lt;&gt;"",EDATE($D37,Milestones!$AA$139)&gt;=$S37),$V37,$U37)))=Milestones!$AB$139),UPPER(TEXT(EDATE($D37,Milestones!$AA$139),"dd mmm yy"))&amp;" "&amp;Milestones!$AB$139&amp;" "&amp;Milestones!$AC$139&amp;";  ",""))</f>
        <v/>
      </c>
      <c r="O37" s="0" t="str">
        <f aca="false">IF(OR($A37="",$D37=""),"",IF(AND(EDATE($D37,Milestones!$AA$140)&lt;=AsOfDate,IF($R37=0,$X37,IF(AND($T37&lt;&gt;"",EDATE($D37,Milestones!$AA$140)&gt;=$T37),$W37,IF(AND($S37&lt;&gt;"",EDATE($D37,Milestones!$AA$140)&gt;=$S37),$V37,$U37)))=Milestones!$AB$140),UPPER(TEXT(EDATE($D37,Milestones!$AA$140),"dd mmm yy"))&amp;" "&amp;Milestones!$AB$140&amp;" "&amp;Milestones!$AC$140&amp;";  ","")&amp;IF(AND(EDATE($D37,Milestones!$AA$141)&lt;=AsOfDate,IF($R37=0,$X37,IF(AND($T37&lt;&gt;"",EDATE($D37,Milestones!$AA$141)&gt;=$T37),$W37,IF(AND($S37&lt;&gt;"",EDATE($D37,Milestones!$AA$141)&gt;=$S37),$V37,$U37)))=Milestones!$AB$141),UPPER(TEXT(EDATE($D37,Milestones!$AA$141),"dd mmm yy"))&amp;" "&amp;Milestones!$AB$141&amp;" "&amp;Milestones!$AC$141&amp;";  ","")&amp;IF(AND(EDATE($D37,Milestones!$AA$142)&lt;=AsOfDate,IF($R37=0,$X37,IF(AND($T37&lt;&gt;"",EDATE($D37,Milestones!$AA$142)&gt;=$T37),$W37,IF(AND($S37&lt;&gt;"",EDATE($D37,Milestones!$AA$142)&gt;=$S37),$V37,$U37)))=Milestones!$AB$142),UPPER(TEXT(EDATE($D37,Milestones!$AA$142),"dd mmm yy"))&amp;" "&amp;Milestones!$AB$142&amp;" "&amp;Milestones!$AC$142&amp;";  ","")&amp;IF(AND(EDATE($D37,Milestones!$AA$143)&lt;=AsOfDate,IF($R37=0,$X37,IF(AND($T37&lt;&gt;"",EDATE($D37,Milestones!$AA$143)&gt;=$T37),$W37,IF(AND($S37&lt;&gt;"",EDATE($D37,Milestones!$AA$143)&gt;=$S37),$V37,$U37)))=Milestones!$AB$143),UPPER(TEXT(EDATE($D37,Milestones!$AA$143),"dd mmm yy"))&amp;" "&amp;Milestones!$AB$143&amp;" "&amp;Milestones!$AC$143&amp;";  ","")&amp;IF(AND(EDATE($D37,Milestones!$AA$144)&lt;=AsOfDate,IF($R37=0,$X37,IF(AND($T37&lt;&gt;"",EDATE($D37,Milestones!$AA$144)&gt;=$T37),$W37,IF(AND($S37&lt;&gt;"",EDATE($D37,Milestones!$AA$144)&gt;=$S37),$V37,$U37)))=Milestones!$AB$144),UPPER(TEXT(EDATE($D37,Milestones!$AA$144),"dd mmm yy"))&amp;" "&amp;Milestones!$AB$144&amp;" "&amp;Milestones!$AC$144&amp;";  ","")&amp;IF(AND(EDATE($D37,Milestones!$AA$145)&lt;=AsOfDate,IF($R37=0,$X37,IF(AND($T37&lt;&gt;"",EDATE($D37,Milestones!$AA$145)&gt;=$T37),$W37,IF(AND($S37&lt;&gt;"",EDATE($D37,Milestones!$AA$145)&gt;=$S37),$V37,$U37)))=Milestones!$AB$145),UPPER(TEXT(EDATE($D37,Milestones!$AA$145),"dd mmm yy"))&amp;" "&amp;Milestones!$AB$145&amp;" "&amp;Milestones!$AC$145&amp;";  ","")&amp;IF(AND(EDATE($D37,Milestones!$AA$146)&lt;=AsOfDate,IF($R37=0,$X37,IF(AND($T37&lt;&gt;"",EDATE($D37,Milestones!$AA$146)&gt;=$T37),$W37,IF(AND($S37&lt;&gt;"",EDATE($D37,Milestones!$AA$146)&gt;=$S37),$V37,$U37)))=Milestones!$AB$146),UPPER(TEXT(EDATE($D37,Milestones!$AA$146),"dd mmm yy"))&amp;" "&amp;Milestones!$AB$146&amp;" "&amp;Milestones!$AC$146&amp;";  ","")&amp;IF(AND(EDATE($D37,Milestones!$AA$147)&lt;=AsOfDate,IF($R37=0,$X37,IF(AND($T37&lt;&gt;"",EDATE($D37,Milestones!$AA$147)&gt;=$T37),$W37,IF(AND($S37&lt;&gt;"",EDATE($D37,Milestones!$AA$147)&gt;=$S37),$V37,$U37)))=Milestones!$AB$147),UPPER(TEXT(EDATE($D37,Milestones!$AA$147),"dd mmm yy"))&amp;" "&amp;Milestones!$AB$147&amp;" "&amp;Milestones!$AC$147&amp;";  ","")&amp;IF(AND(EDATE($D37,Milestones!$AA$148)&lt;=AsOfDate,IF($R37=0,$X37,IF(AND($T37&lt;&gt;"",EDATE($D37,Milestones!$AA$148)&gt;=$T37),$W37,IF(AND($S37&lt;&gt;"",EDATE($D37,Milestones!$AA$148)&gt;=$S37),$V37,$U37)))=Milestones!$AB$148),UPPER(TEXT(EDATE($D37,Milestones!$AA$148),"dd mmm yy"))&amp;" "&amp;Milestones!$AB$148&amp;" "&amp;Milestones!$AC$148&amp;";  ","")&amp;IF(AND(EDATE($D37,Milestones!$AA$149)&lt;=AsOfDate,IF($R37=0,$X37,IF(AND($T37&lt;&gt;"",EDATE($D37,Milestones!$AA$149)&gt;=$T37),$W37,IF(AND($S37&lt;&gt;"",EDATE($D37,Milestones!$AA$149)&gt;=$S37),$V37,$U37)))=Milestones!$AB$149),UPPER(TEXT(EDATE($D37,Milestones!$AA$149),"dd mmm yy"))&amp;" "&amp;Milestones!$AB$149&amp;" "&amp;Milestones!$AC$149&amp;";  ","")&amp;IF(AND(EDATE($D37,Milestones!$AA$150)&lt;=AsOfDate,IF($R37=0,$X37,IF(AND($T37&lt;&gt;"",EDATE($D37,Milestones!$AA$150)&gt;=$T37),$W37,IF(AND($S37&lt;&gt;"",EDATE($D37,Milestones!$AA$150)&gt;=$S37),$V37,$U37)))=Milestones!$AB$150),UPPER(TEXT(EDATE($D37,Milestones!$AA$150),"dd mmm yy"))&amp;" "&amp;Milestones!$AB$150&amp;" "&amp;Milestones!$AC$150&amp;";  ","")&amp;IF(AND(EDATE($D37,Milestones!$AA$151)&lt;=AsOfDate,IF($R37=0,$X37,IF(AND($T37&lt;&gt;"",EDATE($D37,Milestones!$AA$151)&gt;=$T37),$W37,IF(AND($S37&lt;&gt;"",EDATE($D37,Milestones!$AA$151)&gt;=$S37),$V37,$U37)))=Milestones!$AB$151),UPPER(TEXT(EDATE($D37,Milestones!$AA$151),"dd mmm yy"))&amp;" "&amp;Milestones!$AB$151&amp;" "&amp;Milestones!$AC$151&amp;";  ","")&amp;IF(AND(EDATE($D37,Milestones!$AA$152)&lt;=AsOfDate,IF($R37=0,$X37,IF(AND($T37&lt;&gt;"",EDATE($D37,Milestones!$AA$152)&gt;=$T37),$W37,IF(AND($S37&lt;&gt;"",EDATE($D37,Milestones!$AA$152)&gt;=$S37),$V37,$U37)))=Milestones!$AB$152),UPPER(TEXT(EDATE($D37,Milestones!$AA$152),"dd mmm yy"))&amp;" "&amp;Milestones!$AB$152&amp;" "&amp;Milestones!$AC$152&amp;";  ","")&amp;IF(AND(EDATE($D37,Milestones!$AA$153)&lt;=AsOfDate,IF($R37=0,$X37,IF(AND($T37&lt;&gt;"",EDATE($D37,Milestones!$AA$153)&gt;=$T37),$W37,IF(AND($S37&lt;&gt;"",EDATE($D37,Milestones!$AA$153)&gt;=$S37),$V37,$U37)))=Milestones!$AB$153),UPPER(TEXT(EDATE($D37,Milestones!$AA$153),"dd mmm yy"))&amp;" "&amp;Milestones!$AB$153&amp;" "&amp;Milestones!$AC$153&amp;";  ","")&amp;IF(AND(EDATE($D37,Milestones!$AA$154)&lt;=AsOfDate,IF($R37=0,$X37,IF(AND($T37&lt;&gt;"",EDATE($D37,Milestones!$AA$154)&gt;=$T37),$W37,IF(AND($S37&lt;&gt;"",EDATE($D37,Milestones!$AA$154)&gt;=$S37),$V37,$U37)))=Milestones!$AB$154),UPPER(TEXT(EDATE($D37,Milestones!$AA$154),"dd mmm yy"))&amp;" "&amp;Milestones!$AB$154&amp;" "&amp;Milestones!$AC$154&amp;";  ","")&amp;IF(AND(EDATE($D37,Milestones!$AA$155)&lt;=AsOfDate,IF($R37=0,$X37,IF(AND($T37&lt;&gt;"",EDATE($D37,Milestones!$AA$155)&gt;=$T37),$W37,IF(AND($S37&lt;&gt;"",EDATE($D37,Milestones!$AA$155)&gt;=$S37),$V37,$U37)))=Milestones!$AB$155),UPPER(TEXT(EDATE($D37,Milestones!$AA$155),"dd mmm yy"))&amp;" "&amp;Milestones!$AB$155&amp;" "&amp;Milestones!$AC$155&amp;";  ","")&amp;IF(AND(EDATE($D37,Milestones!$AA$156)&lt;=AsOfDate,IF($R37=0,$X37,IF(AND($T37&lt;&gt;"",EDATE($D37,Milestones!$AA$156)&gt;=$T37),$W37,IF(AND($S37&lt;&gt;"",EDATE($D37,Milestones!$AA$156)&gt;=$S37),$V37,$U37)))=Milestones!$AB$156),UPPER(TEXT(EDATE($D37,Milestones!$AA$156),"dd mmm yy"))&amp;" "&amp;Milestones!$AB$156&amp;" "&amp;Milestones!$AC$156&amp;";  ","")&amp;IF(AND(EDATE($D37,Milestones!$AA$157)&lt;=AsOfDate,IF($R37=0,$X37,IF(AND($T37&lt;&gt;"",EDATE($D37,Milestones!$AA$157)&gt;=$T37),$W37,IF(AND($S37&lt;&gt;"",EDATE($D37,Milestones!$AA$157)&gt;=$S37),$V37,$U37)))=Milestones!$AB$157),UPPER(TEXT(EDATE($D37,Milestones!$AA$157),"dd mmm yy"))&amp;" "&amp;Milestones!$AB$157&amp;" "&amp;Milestones!$AC$157&amp;";  ","")&amp;IF(AND(EDATE($D37,Milestones!$AA$158)&lt;=AsOfDate,IF($R37=0,$X37,IF(AND($T37&lt;&gt;"",EDATE($D37,Milestones!$AA$158)&gt;=$T37),$W37,IF(AND($S37&lt;&gt;"",EDATE($D37,Milestones!$AA$158)&gt;=$S37),$V37,$U37)))=Milestones!$AB$158),UPPER(TEXT(EDATE($D37,Milestones!$AA$158),"dd mmm yy"))&amp;" "&amp;Milestones!$AB$158&amp;" "&amp;Milestones!$AC$158&amp;";  ","")&amp;IF(AND(EDATE($D37,Milestones!$AA$159)&lt;=AsOfDate,IF($R37=0,$X37,IF(AND($T37&lt;&gt;"",EDATE($D37,Milestones!$AA$159)&gt;=$T37),$W37,IF(AND($S37&lt;&gt;"",EDATE($D37,Milestones!$AA$159)&gt;=$S37),$V37,$U37)))=Milestones!$AB$159),UPPER(TEXT(EDATE($D37,Milestones!$AA$159),"dd mmm yy"))&amp;" "&amp;Milestones!$AB$159&amp;" "&amp;Milestones!$AC$159&amp;";  ",""))</f>
        <v/>
      </c>
      <c r="P37" s="0" t="str">
        <f aca="false">IF(OR($A37="",$D37=""),"",IF(AND(EDATE($D37,Milestones!$AA$160)&lt;=AsOfDate,IF($R37=0,$X37,IF(AND($T37&lt;&gt;"",EDATE($D37,Milestones!$AA$160)&gt;=$T37),$W37,IF(AND($S37&lt;&gt;"",EDATE($D37,Milestones!$AA$160)&gt;=$S37),$V37,$U37)))=Milestones!$AB$160),UPPER(TEXT(EDATE($D37,Milestones!$AA$160),"dd mmm yy"))&amp;" "&amp;Milestones!$AB$160&amp;" "&amp;Milestones!$AC$160&amp;";  ","")&amp;IF(AND(EDATE($D37,Milestones!$AA$161)&lt;=AsOfDate,IF($R37=0,$X37,IF(AND($T37&lt;&gt;"",EDATE($D37,Milestones!$AA$161)&gt;=$T37),$W37,IF(AND($S37&lt;&gt;"",EDATE($D37,Milestones!$AA$161)&gt;=$S37),$V37,$U37)))=Milestones!$AB$161),UPPER(TEXT(EDATE($D37,Milestones!$AA$161),"dd mmm yy"))&amp;" "&amp;Milestones!$AB$161&amp;" "&amp;Milestones!$AC$161&amp;";  ","")&amp;IF(AND(EDATE($D37,Milestones!$AA$162)&lt;=AsOfDate,IF($R37=0,$X37,IF(AND($T37&lt;&gt;"",EDATE($D37,Milestones!$AA$162)&gt;=$T37),$W37,IF(AND($S37&lt;&gt;"",EDATE($D37,Milestones!$AA$162)&gt;=$S37),$V37,$U37)))=Milestones!$AB$162),UPPER(TEXT(EDATE($D37,Milestones!$AA$162),"dd mmm yy"))&amp;" "&amp;Milestones!$AB$162&amp;" "&amp;Milestones!$AC$162&amp;";  ","")&amp;IF(AND(EDATE($D37,Milestones!$AA$163)&lt;=AsOfDate,IF($R37=0,$X37,IF(AND($T37&lt;&gt;"",EDATE($D37,Milestones!$AA$163)&gt;=$T37),$W37,IF(AND($S37&lt;&gt;"",EDATE($D37,Milestones!$AA$163)&gt;=$S37),$V37,$U37)))=Milestones!$AB$163),UPPER(TEXT(EDATE($D37,Milestones!$AA$163),"dd mmm yy"))&amp;" "&amp;Milestones!$AB$163&amp;" "&amp;Milestones!$AC$163&amp;";  ","")&amp;IF(AND(EDATE($D37,Milestones!$AA$164)&lt;=AsOfDate,IF($R37=0,$X37,IF(AND($T37&lt;&gt;"",EDATE($D37,Milestones!$AA$164)&gt;=$T37),$W37,IF(AND($S37&lt;&gt;"",EDATE($D37,Milestones!$AA$164)&gt;=$S37),$V37,$U37)))=Milestones!$AB$164),UPPER(TEXT(EDATE($D37,Milestones!$AA$164),"dd mmm yy"))&amp;" "&amp;Milestones!$AB$164&amp;" "&amp;Milestones!$AC$164&amp;";  ","")&amp;IF(AND(EDATE($D37,Milestones!$AA$165)&lt;=AsOfDate,IF($R37=0,$X37,IF(AND($T37&lt;&gt;"",EDATE($D37,Milestones!$AA$165)&gt;=$T37),$W37,IF(AND($S37&lt;&gt;"",EDATE($D37,Milestones!$AA$165)&gt;=$S37),$V37,$U37)))=Milestones!$AB$165),UPPER(TEXT(EDATE($D37,Milestones!$AA$165),"dd mmm yy"))&amp;" "&amp;Milestones!$AB$165&amp;" "&amp;Milestones!$AC$165&amp;";  ","")&amp;IF(AND(EDATE($D37,Milestones!$AA$166)&lt;=AsOfDate,IF($R37=0,$X37,IF(AND($T37&lt;&gt;"",EDATE($D37,Milestones!$AA$166)&gt;=$T37),$W37,IF(AND($S37&lt;&gt;"",EDATE($D37,Milestones!$AA$166)&gt;=$S37),$V37,$U37)))=Milestones!$AB$166),UPPER(TEXT(EDATE($D37,Milestones!$AA$166),"dd mmm yy"))&amp;" "&amp;Milestones!$AB$166&amp;" "&amp;Milestones!$AC$166&amp;";  ","")&amp;IF(AND(EDATE($D37,Milestones!$AA$167)&lt;=AsOfDate,IF($R37=0,$X37,IF(AND($T37&lt;&gt;"",EDATE($D37,Milestones!$AA$167)&gt;=$T37),$W37,IF(AND($S37&lt;&gt;"",EDATE($D37,Milestones!$AA$167)&gt;=$S37),$V37,$U37)))=Milestones!$AB$167),UPPER(TEXT(EDATE($D37,Milestones!$AA$167),"dd mmm yy"))&amp;" "&amp;Milestones!$AB$167&amp;" "&amp;Milestones!$AC$167&amp;";  ","")&amp;IF(AND(EDATE($D37,Milestones!$AA$168)&lt;=AsOfDate,IF($R37=0,$X37,IF(AND($T37&lt;&gt;"",EDATE($D37,Milestones!$AA$168)&gt;=$T37),$W37,IF(AND($S37&lt;&gt;"",EDATE($D37,Milestones!$AA$168)&gt;=$S37),$V37,$U37)))=Milestones!$AB$168),UPPER(TEXT(EDATE($D37,Milestones!$AA$168),"dd mmm yy"))&amp;" "&amp;Milestones!$AB$168&amp;" "&amp;Milestones!$AC$168&amp;";  ","")&amp;IF(AND(EDATE($D37,Milestones!$AA$169)&lt;=AsOfDate,IF($R37=0,$X37,IF(AND($T37&lt;&gt;"",EDATE($D37,Milestones!$AA$169)&gt;=$T37),$W37,IF(AND($S37&lt;&gt;"",EDATE($D37,Milestones!$AA$169)&gt;=$S37),$V37,$U37)))=Milestones!$AB$169),UPPER(TEXT(EDATE($D37,Milestones!$AA$169),"dd mmm yy"))&amp;" "&amp;Milestones!$AB$169&amp;" "&amp;Milestones!$AC$169&amp;";  ","")&amp;IF(AND(EDATE($D37,Milestones!$AA$170)&lt;=AsOfDate,IF($R37=0,$X37,IF(AND($T37&lt;&gt;"",EDATE($D37,Milestones!$AA$170)&gt;=$T37),$W37,IF(AND($S37&lt;&gt;"",EDATE($D37,Milestones!$AA$170)&gt;=$S37),$V37,$U37)))=Milestones!$AB$170),UPPER(TEXT(EDATE($D37,Milestones!$AA$170),"dd mmm yy"))&amp;" "&amp;Milestones!$AB$170&amp;" "&amp;Milestones!$AC$170&amp;";  ","")&amp;IF(AND(EDATE($D37,Milestones!$AA$171)&lt;=AsOfDate,IF($R37=0,$X37,IF(AND($T37&lt;&gt;"",EDATE($D37,Milestones!$AA$171)&gt;=$T37),$W37,IF(AND($S37&lt;&gt;"",EDATE($D37,Milestones!$AA$171)&gt;=$S37),$V37,$U37)))=Milestones!$AB$171),UPPER(TEXT(EDATE($D37,Milestones!$AA$171),"dd mmm yy"))&amp;" "&amp;Milestones!$AB$171&amp;" "&amp;Milestones!$AC$171&amp;";  ","")&amp;IF(AND(EDATE($D37,Milestones!$AA$172)&lt;=AsOfDate,IF($R37=0,$X37,IF(AND($T37&lt;&gt;"",EDATE($D37,Milestones!$AA$172)&gt;=$T37),$W37,IF(AND($S37&lt;&gt;"",EDATE($D37,Milestones!$AA$172)&gt;=$S37),$V37,$U37)))=Milestones!$AB$172),UPPER(TEXT(EDATE($D37,Milestones!$AA$172),"dd mmm yy"))&amp;" "&amp;Milestones!$AB$172&amp;" "&amp;Milestones!$AC$172&amp;";  ","")&amp;IF(AND(EDATE($D37,Milestones!$AA$173)&lt;=AsOfDate,IF($R37=0,$X37,IF(AND($T37&lt;&gt;"",EDATE($D37,Milestones!$AA$173)&gt;=$T37),$W37,IF(AND($S37&lt;&gt;"",EDATE($D37,Milestones!$AA$173)&gt;=$S37),$V37,$U37)))=Milestones!$AB$173),UPPER(TEXT(EDATE($D37,Milestones!$AA$173),"dd mmm yy"))&amp;" "&amp;Milestones!$AB$173&amp;" "&amp;Milestones!$AC$173&amp;";  ","")&amp;IF(AND(EDATE($D37,Milestones!$AA$174)&lt;=AsOfDate,IF($R37=0,$X37,IF(AND($T37&lt;&gt;"",EDATE($D37,Milestones!$AA$174)&gt;=$T37),$W37,IF(AND($S37&lt;&gt;"",EDATE($D37,Milestones!$AA$174)&gt;=$S37),$V37,$U37)))=Milestones!$AB$174),UPPER(TEXT(EDATE($D37,Milestones!$AA$174),"dd mmm yy"))&amp;" "&amp;Milestones!$AB$174&amp;" "&amp;Milestones!$AC$174&amp;";  ","")&amp;IF(AND(EDATE($D37,Milestones!$AA$175)&lt;=AsOfDate,IF($R37=0,$X37,IF(AND($T37&lt;&gt;"",EDATE($D37,Milestones!$AA$175)&gt;=$T37),$W37,IF(AND($S37&lt;&gt;"",EDATE($D37,Milestones!$AA$175)&gt;=$S37),$V37,$U37)))=Milestones!$AB$175),UPPER(TEXT(EDATE($D37,Milestones!$AA$175),"dd mmm yy"))&amp;" "&amp;Milestones!$AB$175&amp;" "&amp;Milestones!$AC$175&amp;";  ","")&amp;IF(AND(EDATE($D37,Milestones!$AA$176)&lt;=AsOfDate,IF($R37=0,$X37,IF(AND($T37&lt;&gt;"",EDATE($D37,Milestones!$AA$176)&gt;=$T37),$W37,IF(AND($S37&lt;&gt;"",EDATE($D37,Milestones!$AA$176)&gt;=$S37),$V37,$U37)))=Milestones!$AB$176),UPPER(TEXT(EDATE($D37,Milestones!$AA$176),"dd mmm yy"))&amp;" "&amp;Milestones!$AB$176&amp;" "&amp;Milestones!$AC$176&amp;";  ","")&amp;IF(AND(EDATE($D37,Milestones!$AA$177)&lt;=AsOfDate,IF($R37=0,$X37,IF(AND($T37&lt;&gt;"",EDATE($D37,Milestones!$AA$177)&gt;=$T37),$W37,IF(AND($S37&lt;&gt;"",EDATE($D37,Milestones!$AA$177)&gt;=$S37),$V37,$U37)))=Milestones!$AB$177),UPPER(TEXT(EDATE($D37,Milestones!$AA$177),"dd mmm yy"))&amp;" "&amp;Milestones!$AB$177&amp;" "&amp;Milestones!$AC$177&amp;";  ","")&amp;IF(AND(EDATE($D37,Milestones!$AA$178)&lt;=AsOfDate,IF($R37=0,$X37,IF(AND($T37&lt;&gt;"",EDATE($D37,Milestones!$AA$178)&gt;=$T37),$W37,IF(AND($S37&lt;&gt;"",EDATE($D37,Milestones!$AA$178)&gt;=$S37),$V37,$U37)))=Milestones!$AB$178),UPPER(TEXT(EDATE($D37,Milestones!$AA$178),"dd mmm yy"))&amp;" "&amp;Milestones!$AB$178&amp;" "&amp;Milestones!$AC$178&amp;";  ","")&amp;IF(AND(EDATE($D37,Milestones!$AA$179)&lt;=AsOfDate,IF($R37=0,$X37,IF(AND($T37&lt;&gt;"",EDATE($D37,Milestones!$AA$179)&gt;=$T37),$W37,IF(AND($S37&lt;&gt;"",EDATE($D37,Milestones!$AA$179)&gt;=$S37),$V37,$U37)))=Milestones!$AB$179),UPPER(TEXT(EDATE($D37,Milestones!$AA$179),"dd mmm yy"))&amp;" "&amp;Milestones!$AB$179&amp;" "&amp;Milestones!$AC$179&amp;";  ",""))</f>
        <v/>
      </c>
      <c r="Q37" s="0" t="str">
        <f aca="false">IF(OR($A37="",$D37=""),"",IF(AND(EDATE($D37,Milestones!$AA$180)&lt;=AsOfDate,IF($R37=0,$X37,IF(AND($T37&lt;&gt;"",EDATE($D37,Milestones!$AA$180)&gt;=$T37),$W37,IF(AND($S37&lt;&gt;"",EDATE($D37,Milestones!$AA$180)&gt;=$S37),$V37,$U37)))=Milestones!$AB$180),UPPER(TEXT(EDATE($D37,Milestones!$AA$180),"dd mmm yy"))&amp;" "&amp;Milestones!$AB$180&amp;" "&amp;Milestones!$AC$180&amp;";  ","")&amp;IF(AND(EDATE($D37,Milestones!$AA$181)&lt;=AsOfDate,IF($R37=0,$X37,IF(AND($T37&lt;&gt;"",EDATE($D37,Milestones!$AA$181)&gt;=$T37),$W37,IF(AND($S37&lt;&gt;"",EDATE($D37,Milestones!$AA$181)&gt;=$S37),$V37,$U37)))=Milestones!$AB$181),UPPER(TEXT(EDATE($D37,Milestones!$AA$181),"dd mmm yy"))&amp;" "&amp;Milestones!$AB$181&amp;" "&amp;Milestones!$AC$181&amp;";  ","")&amp;IF(AND(EDATE($D37,Milestones!$AA$182)&lt;=AsOfDate,IF($R37=0,$X37,IF(AND($T37&lt;&gt;"",EDATE($D37,Milestones!$AA$182)&gt;=$T37),$W37,IF(AND($S37&lt;&gt;"",EDATE($D37,Milestones!$AA$182)&gt;=$S37),$V37,$U37)))=Milestones!$AB$182),UPPER(TEXT(EDATE($D37,Milestones!$AA$182),"dd mmm yy"))&amp;" "&amp;Milestones!$AB$182&amp;" "&amp;Milestones!$AC$182&amp;";  ","")&amp;IF(AND(EDATE($D37,Milestones!$AA$183)&lt;=AsOfDate,IF($R37=0,$X37,IF(AND($T37&lt;&gt;"",EDATE($D37,Milestones!$AA$183)&gt;=$T37),$W37,IF(AND($S37&lt;&gt;"",EDATE($D37,Milestones!$AA$183)&gt;=$S37),$V37,$U37)))=Milestones!$AB$183),UPPER(TEXT(EDATE($D37,Milestones!$AA$183),"dd mmm yy"))&amp;" "&amp;Milestones!$AB$183&amp;" "&amp;Milestones!$AC$183&amp;";  ","")&amp;IF(AND(EDATE($D37,Milestones!$AA$184)&lt;=AsOfDate,IF($R37=0,$X37,IF(AND($T37&lt;&gt;"",EDATE($D37,Milestones!$AA$184)&gt;=$T37),$W37,IF(AND($S37&lt;&gt;"",EDATE($D37,Milestones!$AA$184)&gt;=$S37),$V37,$U37)))=Milestones!$AB$184),UPPER(TEXT(EDATE($D37,Milestones!$AA$184),"dd mmm yy"))&amp;" "&amp;Milestones!$AB$184&amp;" "&amp;Milestones!$AC$184&amp;";  ","")&amp;IF(AND(EDATE($D37,Milestones!$AA$185)&lt;=AsOfDate,IF($R37=0,$X37,IF(AND($T37&lt;&gt;"",EDATE($D37,Milestones!$AA$185)&gt;=$T37),$W37,IF(AND($S37&lt;&gt;"",EDATE($D37,Milestones!$AA$185)&gt;=$S37),$V37,$U37)))=Milestones!$AB$185),UPPER(TEXT(EDATE($D37,Milestones!$AA$185),"dd mmm yy"))&amp;" "&amp;Milestones!$AB$185&amp;" "&amp;Milestones!$AC$185&amp;";  ","")&amp;IF(AND(EDATE($D37,Milestones!$AA$186)&lt;=AsOfDate,IF($R37=0,$X37,IF(AND($T37&lt;&gt;"",EDATE($D37,Milestones!$AA$186)&gt;=$T37),$W37,IF(AND($S37&lt;&gt;"",EDATE($D37,Milestones!$AA$186)&gt;=$S37),$V37,$U37)))=Milestones!$AB$186),UPPER(TEXT(EDATE($D37,Milestones!$AA$186),"dd mmm yy"))&amp;" "&amp;Milestones!$AB$186&amp;" "&amp;Milestones!$AC$186&amp;";  ","")&amp;IF(AND(EDATE($D37,Milestones!$AA$187)&lt;=AsOfDate,IF($R37=0,$X37,IF(AND($T37&lt;&gt;"",EDATE($D37,Milestones!$AA$187)&gt;=$T37),$W37,IF(AND($S37&lt;&gt;"",EDATE($D37,Milestones!$AA$187)&gt;=$S37),$V37,$U37)))=Milestones!$AB$187),UPPER(TEXT(EDATE($D37,Milestones!$AA$187),"dd mmm yy"))&amp;" "&amp;Milestones!$AB$187&amp;" "&amp;Milestones!$AC$187&amp;";  ","")&amp;IF(AND(EDATE($D37,Milestones!$AA$188)&lt;=AsOfDate,IF($R37=0,$X37,IF(AND($T37&lt;&gt;"",EDATE($D37,Milestones!$AA$188)&gt;=$T37),$W37,IF(AND($S37&lt;&gt;"",EDATE($D37,Milestones!$AA$188)&gt;=$S37),$V37,$U37)))=Milestones!$AB$188),UPPER(TEXT(EDATE($D37,Milestones!$AA$188),"dd mmm yy"))&amp;" "&amp;Milestones!$AB$188&amp;" "&amp;Milestones!$AC$188&amp;";  ","")&amp;IF(AND(EDATE($D37,Milestones!$AA$189)&lt;=AsOfDate,IF($R37=0,$X37,IF(AND($T37&lt;&gt;"",EDATE($D37,Milestones!$AA$189)&gt;=$T37),$W37,IF(AND($S37&lt;&gt;"",EDATE($D37,Milestones!$AA$189)&gt;=$S37),$V37,$U37)))=Milestones!$AB$189),UPPER(TEXT(EDATE($D37,Milestones!$AA$189),"dd mmm yy"))&amp;" "&amp;Milestones!$AB$189&amp;" "&amp;Milestones!$AC$189&amp;";  ","")&amp;IF(AND(EDATE($D37,Milestones!$AA$190)&lt;=AsOfDate,IF($R37=0,$X37,IF(AND($T37&lt;&gt;"",EDATE($D37,Milestones!$AA$190)&gt;=$T37),$W37,IF(AND($S37&lt;&gt;"",EDATE($D37,Milestones!$AA$190)&gt;=$S37),$V37,$U37)))=Milestones!$AB$190),UPPER(TEXT(EDATE($D37,Milestones!$AA$190),"dd mmm yy"))&amp;" "&amp;Milestones!$AB$190&amp;" "&amp;Milestones!$AC$190&amp;";  ","")&amp;IF(AND(EDATE($D37,Milestones!$AA$191)&lt;=AsOfDate,IF($R37=0,$X37,IF(AND($T37&lt;&gt;"",EDATE($D37,Milestones!$AA$191)&gt;=$T37),$W37,IF(AND($S37&lt;&gt;"",EDATE($D37,Milestones!$AA$191)&gt;=$S37),$V37,$U37)))=Milestones!$AB$191),UPPER(TEXT(EDATE($D37,Milestones!$AA$191),"dd mmm yy"))&amp;" "&amp;Milestones!$AB$191&amp;" "&amp;Milestones!$AC$191&amp;";  ","")&amp;IF(AND(EDATE($D37,Milestones!$AA$192)&lt;=AsOfDate,IF($R37=0,$X37,IF(AND($T37&lt;&gt;"",EDATE($D37,Milestones!$AA$192)&gt;=$T37),$W37,IF(AND($S37&lt;&gt;"",EDATE($D37,Milestones!$AA$192)&gt;=$S37),$V37,$U37)))=Milestones!$AB$192),UPPER(TEXT(EDATE($D37,Milestones!$AA$192),"dd mmm yy"))&amp;" "&amp;Milestones!$AB$192&amp;" "&amp;Milestones!$AC$192&amp;";  ","")&amp;IF(AND(EDATE($D37,Milestones!$AA$193)&lt;=AsOfDate,IF($R37=0,$X37,IF(AND($T37&lt;&gt;"",EDATE($D37,Milestones!$AA$193)&gt;=$T37),$W37,IF(AND($S37&lt;&gt;"",EDATE($D37,Milestones!$AA$193)&gt;=$S37),$V37,$U37)))=Milestones!$AB$193),UPPER(TEXT(EDATE($D37,Milestones!$AA$193),"dd mmm yy"))&amp;" "&amp;Milestones!$AB$193&amp;" "&amp;Milestones!$AC$193&amp;";  ","")&amp;IF(AND(EDATE($D37,Milestones!$AA$194)&lt;=AsOfDate,IF($R37=0,$X37,IF(AND($T37&lt;&gt;"",EDATE($D37,Milestones!$AA$194)&gt;=$T37),$W37,IF(AND($S37&lt;&gt;"",EDATE($D37,Milestones!$AA$194)&gt;=$S37),$V37,$U37)))=Milestones!$AB$194),UPPER(TEXT(EDATE($D37,Milestones!$AA$194),"dd mmm yy"))&amp;" "&amp;Milestones!$AB$194&amp;" "&amp;Milestones!$AC$194&amp;";  ","")&amp;IF(AND(EDATE($D37,Milestones!$AA$195)&lt;=AsOfDate,IF($R37=0,$X37,IF(AND($T37&lt;&gt;"",EDATE($D37,Milestones!$AA$195)&gt;=$T37),$W37,IF(AND($S37&lt;&gt;"",EDATE($D37,Milestones!$AA$195)&gt;=$S37),$V37,$U37)))=Milestones!$AB$195),UPPER(TEXT(EDATE($D37,Milestones!$AA$195),"dd mmm yy"))&amp;" "&amp;Milestones!$AB$195&amp;" "&amp;Milestones!$AC$195&amp;";  ","")&amp;IF(AND(EDATE($D37,Milestones!$AA$196)&lt;=AsOfDate,IF($R37=0,$X37,IF(AND($T37&lt;&gt;"",EDATE($D37,Milestones!$AA$196)&gt;=$T37),$W37,IF(AND($S37&lt;&gt;"",EDATE($D37,Milestones!$AA$196)&gt;=$S37),$V37,$U37)))=Milestones!$AB$196),UPPER(TEXT(EDATE($D37,Milestones!$AA$196),"dd mmm yy"))&amp;" "&amp;Milestones!$AB$196&amp;" "&amp;Milestones!$AC$196&amp;";  ","")&amp;IF(AND(EDATE($D37,Milestones!$AA$197)&lt;=AsOfDate,IF($R37=0,$X37,IF(AND($T37&lt;&gt;"",EDATE($D37,Milestones!$AA$197)&gt;=$T37),$W37,IF(AND($S37&lt;&gt;"",EDATE($D37,Milestones!$AA$197)&gt;=$S37),$V37,$U37)))=Milestones!$AB$197),UPPER(TEXT(EDATE($D37,Milestones!$AA$197),"dd mmm yy"))&amp;" "&amp;Milestones!$AB$197&amp;" "&amp;Milestones!$AC$197&amp;";  ","")&amp;IF(AND(EDATE($D37,Milestones!$AA$198)&lt;=AsOfDate,IF($R37=0,$X37,IF(AND($T37&lt;&gt;"",EDATE($D37,Milestones!$AA$198)&gt;=$T37),$W37,IF(AND($S37&lt;&gt;"",EDATE($D37,Milestones!$AA$198)&gt;=$S37),$V37,$U37)))=Milestones!$AB$198),UPPER(TEXT(EDATE($D37,Milestones!$AA$198),"dd mmm yy"))&amp;" "&amp;Milestones!$AB$198&amp;" "&amp;Milestones!$AC$198&amp;";  ","")&amp;IF(AND(EDATE($D37,Milestones!$AA$199)&lt;=AsOfDate,IF($R37=0,$X37,IF(AND($T37&lt;&gt;"",EDATE($D37,Milestones!$AA$199)&gt;=$T37),$W37,IF(AND($S37&lt;&gt;"",EDATE($D37,Milestones!$AA$199)&gt;=$S37),$V37,$U37)))=Milestones!$AB$199),UPPER(TEXT(EDATE($D37,Milestones!$AA$199),"dd mmm yy"))&amp;" "&amp;Milestones!$AB$199&amp;" "&amp;Milestones!$AC$199&amp;";  ",""))</f>
        <v/>
      </c>
      <c r="R37" s="33" t="n">
        <f aca="false">IF(Staff!$A37="","",Staff!$AI37)</f>
        <v>1</v>
      </c>
      <c r="S37" s="0" t="str">
        <f aca="false">IF(Staff!$A37="","",Staff!$AK37)</f>
        <v/>
      </c>
      <c r="T37" s="0" t="str">
        <f aca="false">IF(Staff!$A37="","",Staff!$AL37)</f>
        <v/>
      </c>
      <c r="U37" s="0" t="str">
        <f aca="false">IF(Staff!$A37="","",Staff!$AP37)</f>
        <v>FT</v>
      </c>
      <c r="V37" s="0" t="str">
        <f aca="false">IF(Staff!$A37="","",Staff!$AQ37)</f>
        <v/>
      </c>
      <c r="W37" s="0" t="str">
        <f aca="false">IF(Staff!$A37="","",Staff!$AR37)</f>
        <v/>
      </c>
      <c r="X37" s="0" t="str">
        <f aca="false">IF(Staff!$A37="","",Staff!$AS37)</f>
        <v>FT</v>
      </c>
    </row>
    <row r="38" customFormat="false" ht="15" hidden="false" customHeight="false" outlineLevel="0" collapsed="false">
      <c r="A38" s="19" t="str">
        <f aca="false">IF(Staff!$A38="","",Staff!$A38)</f>
        <v>Jack</v>
      </c>
      <c r="B38" s="19" t="str">
        <f aca="false">IF(Staff!$A38="","",Staff!$B38)</f>
        <v>Sankey</v>
      </c>
      <c r="C38" s="19" t="str">
        <f aca="false">IF(Staff!$A38="","",Staff!$C38)</f>
        <v>Casual</v>
      </c>
      <c r="D38" s="17" t="n">
        <f aca="false">IF(Staff!$A38="","",Staff!$AH38)</f>
        <v>45222</v>
      </c>
      <c r="E38" s="20" t="n">
        <f aca="false">IF(Staff!$A38="","",Staff!$O38)</f>
        <v>0</v>
      </c>
      <c r="F38" s="19" t="n">
        <f aca="false">IF(E38="","",E38*HoursPerDay)</f>
        <v>0</v>
      </c>
      <c r="G38" s="20" t="n">
        <f aca="false">IF(Staff!$A38="","",Staff!$AE38)</f>
        <v>0</v>
      </c>
      <c r="H38" s="32" t="str">
        <f aca="false">IF($A38="","",I38&amp;J38&amp;K38&amp;L38&amp;M38&amp;N38&amp;O38&amp;P38&amp;Q38)</f>
        <v/>
      </c>
      <c r="I38" s="0" t="str">
        <f aca="false">IF(OR($A38="",$D38=""),"",IF(AND(EDATE($D38,Milestones!$AA$20)&lt;=AsOfDate,IF($R38=0,$X38,IF(AND($T38&lt;&gt;"",EDATE($D38,Milestones!$AA$20)&gt;=$T38),$W38,IF(AND($S38&lt;&gt;"",EDATE($D38,Milestones!$AA$20)&gt;=$S38),$V38,$U38)))=Milestones!$AB$20),UPPER(TEXT(EDATE($D38,Milestones!$AA$20),"dd mmm yy"))&amp;" "&amp;Milestones!$AB$20&amp;" "&amp;Milestones!$AC$20&amp;";  ","")&amp;IF(AND(EDATE($D38,Milestones!$AA$21)&lt;=AsOfDate,IF($R38=0,$X38,IF(AND($T38&lt;&gt;"",EDATE($D38,Milestones!$AA$21)&gt;=$T38),$W38,IF(AND($S38&lt;&gt;"",EDATE($D38,Milestones!$AA$21)&gt;=$S38),$V38,$U38)))=Milestones!$AB$21),UPPER(TEXT(EDATE($D38,Milestones!$AA$21),"dd mmm yy"))&amp;" "&amp;Milestones!$AB$21&amp;" "&amp;Milestones!$AC$21&amp;";  ","")&amp;IF(AND(EDATE($D38,Milestones!$AA$22)&lt;=AsOfDate,IF($R38=0,$X38,IF(AND($T38&lt;&gt;"",EDATE($D38,Milestones!$AA$22)&gt;=$T38),$W38,IF(AND($S38&lt;&gt;"",EDATE($D38,Milestones!$AA$22)&gt;=$S38),$V38,$U38)))=Milestones!$AB$22),UPPER(TEXT(EDATE($D38,Milestones!$AA$22),"dd mmm yy"))&amp;" "&amp;Milestones!$AB$22&amp;" "&amp;Milestones!$AC$22&amp;";  ","")&amp;IF(AND(EDATE($D38,Milestones!$AA$23)&lt;=AsOfDate,IF($R38=0,$X38,IF(AND($T38&lt;&gt;"",EDATE($D38,Milestones!$AA$23)&gt;=$T38),$W38,IF(AND($S38&lt;&gt;"",EDATE($D38,Milestones!$AA$23)&gt;=$S38),$V38,$U38)))=Milestones!$AB$23),UPPER(TEXT(EDATE($D38,Milestones!$AA$23),"dd mmm yy"))&amp;" "&amp;Milestones!$AB$23&amp;" "&amp;Milestones!$AC$23&amp;";  ","")&amp;IF(AND(EDATE($D38,Milestones!$AA$24)&lt;=AsOfDate,IF($R38=0,$X38,IF(AND($T38&lt;&gt;"",EDATE($D38,Milestones!$AA$24)&gt;=$T38),$W38,IF(AND($S38&lt;&gt;"",EDATE($D38,Milestones!$AA$24)&gt;=$S38),$V38,$U38)))=Milestones!$AB$24),UPPER(TEXT(EDATE($D38,Milestones!$AA$24),"dd mmm yy"))&amp;" "&amp;Milestones!$AB$24&amp;" "&amp;Milestones!$AC$24&amp;";  ","")&amp;IF(AND(EDATE($D38,Milestones!$AA$25)&lt;=AsOfDate,IF($R38=0,$X38,IF(AND($T38&lt;&gt;"",EDATE($D38,Milestones!$AA$25)&gt;=$T38),$W38,IF(AND($S38&lt;&gt;"",EDATE($D38,Milestones!$AA$25)&gt;=$S38),$V38,$U38)))=Milestones!$AB$25),UPPER(TEXT(EDATE($D38,Milestones!$AA$25),"dd mmm yy"))&amp;" "&amp;Milestones!$AB$25&amp;" "&amp;Milestones!$AC$25&amp;";  ","")&amp;IF(AND(EDATE($D38,Milestones!$AA$26)&lt;=AsOfDate,IF($R38=0,$X38,IF(AND($T38&lt;&gt;"",EDATE($D38,Milestones!$AA$26)&gt;=$T38),$W38,IF(AND($S38&lt;&gt;"",EDATE($D38,Milestones!$AA$26)&gt;=$S38),$V38,$U38)))=Milestones!$AB$26),UPPER(TEXT(EDATE($D38,Milestones!$AA$26),"dd mmm yy"))&amp;" "&amp;Milestones!$AB$26&amp;" "&amp;Milestones!$AC$26&amp;";  ","")&amp;IF(AND(EDATE($D38,Milestones!$AA$27)&lt;=AsOfDate,IF($R38=0,$X38,IF(AND($T38&lt;&gt;"",EDATE($D38,Milestones!$AA$27)&gt;=$T38),$W38,IF(AND($S38&lt;&gt;"",EDATE($D38,Milestones!$AA$27)&gt;=$S38),$V38,$U38)))=Milestones!$AB$27),UPPER(TEXT(EDATE($D38,Milestones!$AA$27),"dd mmm yy"))&amp;" "&amp;Milestones!$AB$27&amp;" "&amp;Milestones!$AC$27&amp;";  ","")&amp;IF(AND(EDATE($D38,Milestones!$AA$28)&lt;=AsOfDate,IF($R38=0,$X38,IF(AND($T38&lt;&gt;"",EDATE($D38,Milestones!$AA$28)&gt;=$T38),$W38,IF(AND($S38&lt;&gt;"",EDATE($D38,Milestones!$AA$28)&gt;=$S38),$V38,$U38)))=Milestones!$AB$28),UPPER(TEXT(EDATE($D38,Milestones!$AA$28),"dd mmm yy"))&amp;" "&amp;Milestones!$AB$28&amp;" "&amp;Milestones!$AC$28&amp;";  ","")&amp;IF(AND(EDATE($D38,Milestones!$AA$29)&lt;=AsOfDate,IF($R38=0,$X38,IF(AND($T38&lt;&gt;"",EDATE($D38,Milestones!$AA$29)&gt;=$T38),$W38,IF(AND($S38&lt;&gt;"",EDATE($D38,Milestones!$AA$29)&gt;=$S38),$V38,$U38)))=Milestones!$AB$29),UPPER(TEXT(EDATE($D38,Milestones!$AA$29),"dd mmm yy"))&amp;" "&amp;Milestones!$AB$29&amp;" "&amp;Milestones!$AC$29&amp;";  ","")&amp;IF(AND(EDATE($D38,Milestones!$AA$30)&lt;=AsOfDate,IF($R38=0,$X38,IF(AND($T38&lt;&gt;"",EDATE($D38,Milestones!$AA$30)&gt;=$T38),$W38,IF(AND($S38&lt;&gt;"",EDATE($D38,Milestones!$AA$30)&gt;=$S38),$V38,$U38)))=Milestones!$AB$30),UPPER(TEXT(EDATE($D38,Milestones!$AA$30),"dd mmm yy"))&amp;" "&amp;Milestones!$AB$30&amp;" "&amp;Milestones!$AC$30&amp;";  ","")&amp;IF(AND(EDATE($D38,Milestones!$AA$31)&lt;=AsOfDate,IF($R38=0,$X38,IF(AND($T38&lt;&gt;"",EDATE($D38,Milestones!$AA$31)&gt;=$T38),$W38,IF(AND($S38&lt;&gt;"",EDATE($D38,Milestones!$AA$31)&gt;=$S38),$V38,$U38)))=Milestones!$AB$31),UPPER(TEXT(EDATE($D38,Milestones!$AA$31),"dd mmm yy"))&amp;" "&amp;Milestones!$AB$31&amp;" "&amp;Milestones!$AC$31&amp;";  ","")&amp;IF(AND(EDATE($D38,Milestones!$AA$32)&lt;=AsOfDate,IF($R38=0,$X38,IF(AND($T38&lt;&gt;"",EDATE($D38,Milestones!$AA$32)&gt;=$T38),$W38,IF(AND($S38&lt;&gt;"",EDATE($D38,Milestones!$AA$32)&gt;=$S38),$V38,$U38)))=Milestones!$AB$32),UPPER(TEXT(EDATE($D38,Milestones!$AA$32),"dd mmm yy"))&amp;" "&amp;Milestones!$AB$32&amp;" "&amp;Milestones!$AC$32&amp;";  ","")&amp;IF(AND(EDATE($D38,Milestones!$AA$33)&lt;=AsOfDate,IF($R38=0,$X38,IF(AND($T38&lt;&gt;"",EDATE($D38,Milestones!$AA$33)&gt;=$T38),$W38,IF(AND($S38&lt;&gt;"",EDATE($D38,Milestones!$AA$33)&gt;=$S38),$V38,$U38)))=Milestones!$AB$33),UPPER(TEXT(EDATE($D38,Milestones!$AA$33),"dd mmm yy"))&amp;" "&amp;Milestones!$AB$33&amp;" "&amp;Milestones!$AC$33&amp;";  ","")&amp;IF(AND(EDATE($D38,Milestones!$AA$34)&lt;=AsOfDate,IF($R38=0,$X38,IF(AND($T38&lt;&gt;"",EDATE($D38,Milestones!$AA$34)&gt;=$T38),$W38,IF(AND($S38&lt;&gt;"",EDATE($D38,Milestones!$AA$34)&gt;=$S38),$V38,$U38)))=Milestones!$AB$34),UPPER(TEXT(EDATE($D38,Milestones!$AA$34),"dd mmm yy"))&amp;" "&amp;Milestones!$AB$34&amp;" "&amp;Milestones!$AC$34&amp;";  ","")&amp;IF(AND(EDATE($D38,Milestones!$AA$35)&lt;=AsOfDate,IF($R38=0,$X38,IF(AND($T38&lt;&gt;"",EDATE($D38,Milestones!$AA$35)&gt;=$T38),$W38,IF(AND($S38&lt;&gt;"",EDATE($D38,Milestones!$AA$35)&gt;=$S38),$V38,$U38)))=Milestones!$AB$35),UPPER(TEXT(EDATE($D38,Milestones!$AA$35),"dd mmm yy"))&amp;" "&amp;Milestones!$AB$35&amp;" "&amp;Milestones!$AC$35&amp;";  ","")&amp;IF(AND(EDATE($D38,Milestones!$AA$36)&lt;=AsOfDate,IF($R38=0,$X38,IF(AND($T38&lt;&gt;"",EDATE($D38,Milestones!$AA$36)&gt;=$T38),$W38,IF(AND($S38&lt;&gt;"",EDATE($D38,Milestones!$AA$36)&gt;=$S38),$V38,$U38)))=Milestones!$AB$36),UPPER(TEXT(EDATE($D38,Milestones!$AA$36),"dd mmm yy"))&amp;" "&amp;Milestones!$AB$36&amp;" "&amp;Milestones!$AC$36&amp;";  ","")&amp;IF(AND(EDATE($D38,Milestones!$AA$37)&lt;=AsOfDate,IF($R38=0,$X38,IF(AND($T38&lt;&gt;"",EDATE($D38,Milestones!$AA$37)&gt;=$T38),$W38,IF(AND($S38&lt;&gt;"",EDATE($D38,Milestones!$AA$37)&gt;=$S38),$V38,$U38)))=Milestones!$AB$37),UPPER(TEXT(EDATE($D38,Milestones!$AA$37),"dd mmm yy"))&amp;" "&amp;Milestones!$AB$37&amp;" "&amp;Milestones!$AC$37&amp;";  ","")&amp;IF(AND(EDATE($D38,Milestones!$AA$38)&lt;=AsOfDate,IF($R38=0,$X38,IF(AND($T38&lt;&gt;"",EDATE($D38,Milestones!$AA$38)&gt;=$T38),$W38,IF(AND($S38&lt;&gt;"",EDATE($D38,Milestones!$AA$38)&gt;=$S38),$V38,$U38)))=Milestones!$AB$38),UPPER(TEXT(EDATE($D38,Milestones!$AA$38),"dd mmm yy"))&amp;" "&amp;Milestones!$AB$38&amp;" "&amp;Milestones!$AC$38&amp;";  ","")&amp;IF(AND(EDATE($D38,Milestones!$AA$39)&lt;=AsOfDate,IF($R38=0,$X38,IF(AND($T38&lt;&gt;"",EDATE($D38,Milestones!$AA$39)&gt;=$T38),$W38,IF(AND($S38&lt;&gt;"",EDATE($D38,Milestones!$AA$39)&gt;=$S38),$V38,$U38)))=Milestones!$AB$39),UPPER(TEXT(EDATE($D38,Milestones!$AA$39),"dd mmm yy"))&amp;" "&amp;Milestones!$AB$39&amp;" "&amp;Milestones!$AC$39&amp;";  ",""))</f>
        <v/>
      </c>
      <c r="J38" s="0" t="str">
        <f aca="false">IF(OR($A38="",$D38=""),"",IF(AND(EDATE($D38,Milestones!$AA$40)&lt;=AsOfDate,IF($R38=0,$X38,IF(AND($T38&lt;&gt;"",EDATE($D38,Milestones!$AA$40)&gt;=$T38),$W38,IF(AND($S38&lt;&gt;"",EDATE($D38,Milestones!$AA$40)&gt;=$S38),$V38,$U38)))=Milestones!$AB$40),UPPER(TEXT(EDATE($D38,Milestones!$AA$40),"dd mmm yy"))&amp;" "&amp;Milestones!$AB$40&amp;" "&amp;Milestones!$AC$40&amp;";  ","")&amp;IF(AND(EDATE($D38,Milestones!$AA$41)&lt;=AsOfDate,IF($R38=0,$X38,IF(AND($T38&lt;&gt;"",EDATE($D38,Milestones!$AA$41)&gt;=$T38),$W38,IF(AND($S38&lt;&gt;"",EDATE($D38,Milestones!$AA$41)&gt;=$S38),$V38,$U38)))=Milestones!$AB$41),UPPER(TEXT(EDATE($D38,Milestones!$AA$41),"dd mmm yy"))&amp;" "&amp;Milestones!$AB$41&amp;" "&amp;Milestones!$AC$41&amp;";  ","")&amp;IF(AND(EDATE($D38,Milestones!$AA$42)&lt;=AsOfDate,IF($R38=0,$X38,IF(AND($T38&lt;&gt;"",EDATE($D38,Milestones!$AA$42)&gt;=$T38),$W38,IF(AND($S38&lt;&gt;"",EDATE($D38,Milestones!$AA$42)&gt;=$S38),$V38,$U38)))=Milestones!$AB$42),UPPER(TEXT(EDATE($D38,Milestones!$AA$42),"dd mmm yy"))&amp;" "&amp;Milestones!$AB$42&amp;" "&amp;Milestones!$AC$42&amp;";  ","")&amp;IF(AND(EDATE($D38,Milestones!$AA$43)&lt;=AsOfDate,IF($R38=0,$X38,IF(AND($T38&lt;&gt;"",EDATE($D38,Milestones!$AA$43)&gt;=$T38),$W38,IF(AND($S38&lt;&gt;"",EDATE($D38,Milestones!$AA$43)&gt;=$S38),$V38,$U38)))=Milestones!$AB$43),UPPER(TEXT(EDATE($D38,Milestones!$AA$43),"dd mmm yy"))&amp;" "&amp;Milestones!$AB$43&amp;" "&amp;Milestones!$AC$43&amp;";  ","")&amp;IF(AND(EDATE($D38,Milestones!$AA$44)&lt;=AsOfDate,IF($R38=0,$X38,IF(AND($T38&lt;&gt;"",EDATE($D38,Milestones!$AA$44)&gt;=$T38),$W38,IF(AND($S38&lt;&gt;"",EDATE($D38,Milestones!$AA$44)&gt;=$S38),$V38,$U38)))=Milestones!$AB$44),UPPER(TEXT(EDATE($D38,Milestones!$AA$44),"dd mmm yy"))&amp;" "&amp;Milestones!$AB$44&amp;" "&amp;Milestones!$AC$44&amp;";  ","")&amp;IF(AND(EDATE($D38,Milestones!$AA$45)&lt;=AsOfDate,IF($R38=0,$X38,IF(AND($T38&lt;&gt;"",EDATE($D38,Milestones!$AA$45)&gt;=$T38),$W38,IF(AND($S38&lt;&gt;"",EDATE($D38,Milestones!$AA$45)&gt;=$S38),$V38,$U38)))=Milestones!$AB$45),UPPER(TEXT(EDATE($D38,Milestones!$AA$45),"dd mmm yy"))&amp;" "&amp;Milestones!$AB$45&amp;" "&amp;Milestones!$AC$45&amp;";  ","")&amp;IF(AND(EDATE($D38,Milestones!$AA$46)&lt;=AsOfDate,IF($R38=0,$X38,IF(AND($T38&lt;&gt;"",EDATE($D38,Milestones!$AA$46)&gt;=$T38),$W38,IF(AND($S38&lt;&gt;"",EDATE($D38,Milestones!$AA$46)&gt;=$S38),$V38,$U38)))=Milestones!$AB$46),UPPER(TEXT(EDATE($D38,Milestones!$AA$46),"dd mmm yy"))&amp;" "&amp;Milestones!$AB$46&amp;" "&amp;Milestones!$AC$46&amp;";  ","")&amp;IF(AND(EDATE($D38,Milestones!$AA$47)&lt;=AsOfDate,IF($R38=0,$X38,IF(AND($T38&lt;&gt;"",EDATE($D38,Milestones!$AA$47)&gt;=$T38),$W38,IF(AND($S38&lt;&gt;"",EDATE($D38,Milestones!$AA$47)&gt;=$S38),$V38,$U38)))=Milestones!$AB$47),UPPER(TEXT(EDATE($D38,Milestones!$AA$47),"dd mmm yy"))&amp;" "&amp;Milestones!$AB$47&amp;" "&amp;Milestones!$AC$47&amp;";  ","")&amp;IF(AND(EDATE($D38,Milestones!$AA$48)&lt;=AsOfDate,IF($R38=0,$X38,IF(AND($T38&lt;&gt;"",EDATE($D38,Milestones!$AA$48)&gt;=$T38),$W38,IF(AND($S38&lt;&gt;"",EDATE($D38,Milestones!$AA$48)&gt;=$S38),$V38,$U38)))=Milestones!$AB$48),UPPER(TEXT(EDATE($D38,Milestones!$AA$48),"dd mmm yy"))&amp;" "&amp;Milestones!$AB$48&amp;" "&amp;Milestones!$AC$48&amp;";  ","")&amp;IF(AND(EDATE($D38,Milestones!$AA$49)&lt;=AsOfDate,IF($R38=0,$X38,IF(AND($T38&lt;&gt;"",EDATE($D38,Milestones!$AA$49)&gt;=$T38),$W38,IF(AND($S38&lt;&gt;"",EDATE($D38,Milestones!$AA$49)&gt;=$S38),$V38,$U38)))=Milestones!$AB$49),UPPER(TEXT(EDATE($D38,Milestones!$AA$49),"dd mmm yy"))&amp;" "&amp;Milestones!$AB$49&amp;" "&amp;Milestones!$AC$49&amp;";  ","")&amp;IF(AND(EDATE($D38,Milestones!$AA$50)&lt;=AsOfDate,IF($R38=0,$X38,IF(AND($T38&lt;&gt;"",EDATE($D38,Milestones!$AA$50)&gt;=$T38),$W38,IF(AND($S38&lt;&gt;"",EDATE($D38,Milestones!$AA$50)&gt;=$S38),$V38,$U38)))=Milestones!$AB$50),UPPER(TEXT(EDATE($D38,Milestones!$AA$50),"dd mmm yy"))&amp;" "&amp;Milestones!$AB$50&amp;" "&amp;Milestones!$AC$50&amp;";  ","")&amp;IF(AND(EDATE($D38,Milestones!$AA$51)&lt;=AsOfDate,IF($R38=0,$X38,IF(AND($T38&lt;&gt;"",EDATE($D38,Milestones!$AA$51)&gt;=$T38),$W38,IF(AND($S38&lt;&gt;"",EDATE($D38,Milestones!$AA$51)&gt;=$S38),$V38,$U38)))=Milestones!$AB$51),UPPER(TEXT(EDATE($D38,Milestones!$AA$51),"dd mmm yy"))&amp;" "&amp;Milestones!$AB$51&amp;" "&amp;Milestones!$AC$51&amp;";  ","")&amp;IF(AND(EDATE($D38,Milestones!$AA$52)&lt;=AsOfDate,IF($R38=0,$X38,IF(AND($T38&lt;&gt;"",EDATE($D38,Milestones!$AA$52)&gt;=$T38),$W38,IF(AND($S38&lt;&gt;"",EDATE($D38,Milestones!$AA$52)&gt;=$S38),$V38,$U38)))=Milestones!$AB$52),UPPER(TEXT(EDATE($D38,Milestones!$AA$52),"dd mmm yy"))&amp;" "&amp;Milestones!$AB$52&amp;" "&amp;Milestones!$AC$52&amp;";  ","")&amp;IF(AND(EDATE($D38,Milestones!$AA$53)&lt;=AsOfDate,IF($R38=0,$X38,IF(AND($T38&lt;&gt;"",EDATE($D38,Milestones!$AA$53)&gt;=$T38),$W38,IF(AND($S38&lt;&gt;"",EDATE($D38,Milestones!$AA$53)&gt;=$S38),$V38,$U38)))=Milestones!$AB$53),UPPER(TEXT(EDATE($D38,Milestones!$AA$53),"dd mmm yy"))&amp;" "&amp;Milestones!$AB$53&amp;" "&amp;Milestones!$AC$53&amp;";  ","")&amp;IF(AND(EDATE($D38,Milestones!$AA$54)&lt;=AsOfDate,IF($R38=0,$X38,IF(AND($T38&lt;&gt;"",EDATE($D38,Milestones!$AA$54)&gt;=$T38),$W38,IF(AND($S38&lt;&gt;"",EDATE($D38,Milestones!$AA$54)&gt;=$S38),$V38,$U38)))=Milestones!$AB$54),UPPER(TEXT(EDATE($D38,Milestones!$AA$54),"dd mmm yy"))&amp;" "&amp;Milestones!$AB$54&amp;" "&amp;Milestones!$AC$54&amp;";  ","")&amp;IF(AND(EDATE($D38,Milestones!$AA$55)&lt;=AsOfDate,IF($R38=0,$X38,IF(AND($T38&lt;&gt;"",EDATE($D38,Milestones!$AA$55)&gt;=$T38),$W38,IF(AND($S38&lt;&gt;"",EDATE($D38,Milestones!$AA$55)&gt;=$S38),$V38,$U38)))=Milestones!$AB$55),UPPER(TEXT(EDATE($D38,Milestones!$AA$55),"dd mmm yy"))&amp;" "&amp;Milestones!$AB$55&amp;" "&amp;Milestones!$AC$55&amp;";  ","")&amp;IF(AND(EDATE($D38,Milestones!$AA$56)&lt;=AsOfDate,IF($R38=0,$X38,IF(AND($T38&lt;&gt;"",EDATE($D38,Milestones!$AA$56)&gt;=$T38),$W38,IF(AND($S38&lt;&gt;"",EDATE($D38,Milestones!$AA$56)&gt;=$S38),$V38,$U38)))=Milestones!$AB$56),UPPER(TEXT(EDATE($D38,Milestones!$AA$56),"dd mmm yy"))&amp;" "&amp;Milestones!$AB$56&amp;" "&amp;Milestones!$AC$56&amp;";  ","")&amp;IF(AND(EDATE($D38,Milestones!$AA$57)&lt;=AsOfDate,IF($R38=0,$X38,IF(AND($T38&lt;&gt;"",EDATE($D38,Milestones!$AA$57)&gt;=$T38),$W38,IF(AND($S38&lt;&gt;"",EDATE($D38,Milestones!$AA$57)&gt;=$S38),$V38,$U38)))=Milestones!$AB$57),UPPER(TEXT(EDATE($D38,Milestones!$AA$57),"dd mmm yy"))&amp;" "&amp;Milestones!$AB$57&amp;" "&amp;Milestones!$AC$57&amp;";  ","")&amp;IF(AND(EDATE($D38,Milestones!$AA$58)&lt;=AsOfDate,IF($R38=0,$X38,IF(AND($T38&lt;&gt;"",EDATE($D38,Milestones!$AA$58)&gt;=$T38),$W38,IF(AND($S38&lt;&gt;"",EDATE($D38,Milestones!$AA$58)&gt;=$S38),$V38,$U38)))=Milestones!$AB$58),UPPER(TEXT(EDATE($D38,Milestones!$AA$58),"dd mmm yy"))&amp;" "&amp;Milestones!$AB$58&amp;" "&amp;Milestones!$AC$58&amp;";  ","")&amp;IF(AND(EDATE($D38,Milestones!$AA$59)&lt;=AsOfDate,IF($R38=0,$X38,IF(AND($T38&lt;&gt;"",EDATE($D38,Milestones!$AA$59)&gt;=$T38),$W38,IF(AND($S38&lt;&gt;"",EDATE($D38,Milestones!$AA$59)&gt;=$S38),$V38,$U38)))=Milestones!$AB$59),UPPER(TEXT(EDATE($D38,Milestones!$AA$59),"dd mmm yy"))&amp;" "&amp;Milestones!$AB$59&amp;" "&amp;Milestones!$AC$59&amp;";  ",""))</f>
        <v/>
      </c>
      <c r="K38" s="0" t="str">
        <f aca="false">IF(OR($A38="",$D38=""),"",IF(AND(EDATE($D38,Milestones!$AA$60)&lt;=AsOfDate,IF($R38=0,$X38,IF(AND($T38&lt;&gt;"",EDATE($D38,Milestones!$AA$60)&gt;=$T38),$W38,IF(AND($S38&lt;&gt;"",EDATE($D38,Milestones!$AA$60)&gt;=$S38),$V38,$U38)))=Milestones!$AB$60),UPPER(TEXT(EDATE($D38,Milestones!$AA$60),"dd mmm yy"))&amp;" "&amp;Milestones!$AB$60&amp;" "&amp;Milestones!$AC$60&amp;";  ","")&amp;IF(AND(EDATE($D38,Milestones!$AA$61)&lt;=AsOfDate,IF($R38=0,$X38,IF(AND($T38&lt;&gt;"",EDATE($D38,Milestones!$AA$61)&gt;=$T38),$W38,IF(AND($S38&lt;&gt;"",EDATE($D38,Milestones!$AA$61)&gt;=$S38),$V38,$U38)))=Milestones!$AB$61),UPPER(TEXT(EDATE($D38,Milestones!$AA$61),"dd mmm yy"))&amp;" "&amp;Milestones!$AB$61&amp;" "&amp;Milestones!$AC$61&amp;";  ","")&amp;IF(AND(EDATE($D38,Milestones!$AA$62)&lt;=AsOfDate,IF($R38=0,$X38,IF(AND($T38&lt;&gt;"",EDATE($D38,Milestones!$AA$62)&gt;=$T38),$W38,IF(AND($S38&lt;&gt;"",EDATE($D38,Milestones!$AA$62)&gt;=$S38),$V38,$U38)))=Milestones!$AB$62),UPPER(TEXT(EDATE($D38,Milestones!$AA$62),"dd mmm yy"))&amp;" "&amp;Milestones!$AB$62&amp;" "&amp;Milestones!$AC$62&amp;";  ","")&amp;IF(AND(EDATE($D38,Milestones!$AA$63)&lt;=AsOfDate,IF($R38=0,$X38,IF(AND($T38&lt;&gt;"",EDATE($D38,Milestones!$AA$63)&gt;=$T38),$W38,IF(AND($S38&lt;&gt;"",EDATE($D38,Milestones!$AA$63)&gt;=$S38),$V38,$U38)))=Milestones!$AB$63),UPPER(TEXT(EDATE($D38,Milestones!$AA$63),"dd mmm yy"))&amp;" "&amp;Milestones!$AB$63&amp;" "&amp;Milestones!$AC$63&amp;";  ","")&amp;IF(AND(EDATE($D38,Milestones!$AA$64)&lt;=AsOfDate,IF($R38=0,$X38,IF(AND($T38&lt;&gt;"",EDATE($D38,Milestones!$AA$64)&gt;=$T38),$W38,IF(AND($S38&lt;&gt;"",EDATE($D38,Milestones!$AA$64)&gt;=$S38),$V38,$U38)))=Milestones!$AB$64),UPPER(TEXT(EDATE($D38,Milestones!$AA$64),"dd mmm yy"))&amp;" "&amp;Milestones!$AB$64&amp;" "&amp;Milestones!$AC$64&amp;";  ","")&amp;IF(AND(EDATE($D38,Milestones!$AA$65)&lt;=AsOfDate,IF($R38=0,$X38,IF(AND($T38&lt;&gt;"",EDATE($D38,Milestones!$AA$65)&gt;=$T38),$W38,IF(AND($S38&lt;&gt;"",EDATE($D38,Milestones!$AA$65)&gt;=$S38),$V38,$U38)))=Milestones!$AB$65),UPPER(TEXT(EDATE($D38,Milestones!$AA$65),"dd mmm yy"))&amp;" "&amp;Milestones!$AB$65&amp;" "&amp;Milestones!$AC$65&amp;";  ","")&amp;IF(AND(EDATE($D38,Milestones!$AA$66)&lt;=AsOfDate,IF($R38=0,$X38,IF(AND($T38&lt;&gt;"",EDATE($D38,Milestones!$AA$66)&gt;=$T38),$W38,IF(AND($S38&lt;&gt;"",EDATE($D38,Milestones!$AA$66)&gt;=$S38),$V38,$U38)))=Milestones!$AB$66),UPPER(TEXT(EDATE($D38,Milestones!$AA$66),"dd mmm yy"))&amp;" "&amp;Milestones!$AB$66&amp;" "&amp;Milestones!$AC$66&amp;";  ","")&amp;IF(AND(EDATE($D38,Milestones!$AA$67)&lt;=AsOfDate,IF($R38=0,$X38,IF(AND($T38&lt;&gt;"",EDATE($D38,Milestones!$AA$67)&gt;=$T38),$W38,IF(AND($S38&lt;&gt;"",EDATE($D38,Milestones!$AA$67)&gt;=$S38),$V38,$U38)))=Milestones!$AB$67),UPPER(TEXT(EDATE($D38,Milestones!$AA$67),"dd mmm yy"))&amp;" "&amp;Milestones!$AB$67&amp;" "&amp;Milestones!$AC$67&amp;";  ","")&amp;IF(AND(EDATE($D38,Milestones!$AA$68)&lt;=AsOfDate,IF($R38=0,$X38,IF(AND($T38&lt;&gt;"",EDATE($D38,Milestones!$AA$68)&gt;=$T38),$W38,IF(AND($S38&lt;&gt;"",EDATE($D38,Milestones!$AA$68)&gt;=$S38),$V38,$U38)))=Milestones!$AB$68),UPPER(TEXT(EDATE($D38,Milestones!$AA$68),"dd mmm yy"))&amp;" "&amp;Milestones!$AB$68&amp;" "&amp;Milestones!$AC$68&amp;";  ","")&amp;IF(AND(EDATE($D38,Milestones!$AA$69)&lt;=AsOfDate,IF($R38=0,$X38,IF(AND($T38&lt;&gt;"",EDATE($D38,Milestones!$AA$69)&gt;=$T38),$W38,IF(AND($S38&lt;&gt;"",EDATE($D38,Milestones!$AA$69)&gt;=$S38),$V38,$U38)))=Milestones!$AB$69),UPPER(TEXT(EDATE($D38,Milestones!$AA$69),"dd mmm yy"))&amp;" "&amp;Milestones!$AB$69&amp;" "&amp;Milestones!$AC$69&amp;";  ","")&amp;IF(AND(EDATE($D38,Milestones!$AA$70)&lt;=AsOfDate,IF($R38=0,$X38,IF(AND($T38&lt;&gt;"",EDATE($D38,Milestones!$AA$70)&gt;=$T38),$W38,IF(AND($S38&lt;&gt;"",EDATE($D38,Milestones!$AA$70)&gt;=$S38),$V38,$U38)))=Milestones!$AB$70),UPPER(TEXT(EDATE($D38,Milestones!$AA$70),"dd mmm yy"))&amp;" "&amp;Milestones!$AB$70&amp;" "&amp;Milestones!$AC$70&amp;";  ","")&amp;IF(AND(EDATE($D38,Milestones!$AA$71)&lt;=AsOfDate,IF($R38=0,$X38,IF(AND($T38&lt;&gt;"",EDATE($D38,Milestones!$AA$71)&gt;=$T38),$W38,IF(AND($S38&lt;&gt;"",EDATE($D38,Milestones!$AA$71)&gt;=$S38),$V38,$U38)))=Milestones!$AB$71),UPPER(TEXT(EDATE($D38,Milestones!$AA$71),"dd mmm yy"))&amp;" "&amp;Milestones!$AB$71&amp;" "&amp;Milestones!$AC$71&amp;";  ","")&amp;IF(AND(EDATE($D38,Milestones!$AA$72)&lt;=AsOfDate,IF($R38=0,$X38,IF(AND($T38&lt;&gt;"",EDATE($D38,Milestones!$AA$72)&gt;=$T38),$W38,IF(AND($S38&lt;&gt;"",EDATE($D38,Milestones!$AA$72)&gt;=$S38),$V38,$U38)))=Milestones!$AB$72),UPPER(TEXT(EDATE($D38,Milestones!$AA$72),"dd mmm yy"))&amp;" "&amp;Milestones!$AB$72&amp;" "&amp;Milestones!$AC$72&amp;";  ","")&amp;IF(AND(EDATE($D38,Milestones!$AA$73)&lt;=AsOfDate,IF($R38=0,$X38,IF(AND($T38&lt;&gt;"",EDATE($D38,Milestones!$AA$73)&gt;=$T38),$W38,IF(AND($S38&lt;&gt;"",EDATE($D38,Milestones!$AA$73)&gt;=$S38),$V38,$U38)))=Milestones!$AB$73),UPPER(TEXT(EDATE($D38,Milestones!$AA$73),"dd mmm yy"))&amp;" "&amp;Milestones!$AB$73&amp;" "&amp;Milestones!$AC$73&amp;";  ","")&amp;IF(AND(EDATE($D38,Milestones!$AA$74)&lt;=AsOfDate,IF($R38=0,$X38,IF(AND($T38&lt;&gt;"",EDATE($D38,Milestones!$AA$74)&gt;=$T38),$W38,IF(AND($S38&lt;&gt;"",EDATE($D38,Milestones!$AA$74)&gt;=$S38),$V38,$U38)))=Milestones!$AB$74),UPPER(TEXT(EDATE($D38,Milestones!$AA$74),"dd mmm yy"))&amp;" "&amp;Milestones!$AB$74&amp;" "&amp;Milestones!$AC$74&amp;";  ","")&amp;IF(AND(EDATE($D38,Milestones!$AA$75)&lt;=AsOfDate,IF($R38=0,$X38,IF(AND($T38&lt;&gt;"",EDATE($D38,Milestones!$AA$75)&gt;=$T38),$W38,IF(AND($S38&lt;&gt;"",EDATE($D38,Milestones!$AA$75)&gt;=$S38),$V38,$U38)))=Milestones!$AB$75),UPPER(TEXT(EDATE($D38,Milestones!$AA$75),"dd mmm yy"))&amp;" "&amp;Milestones!$AB$75&amp;" "&amp;Milestones!$AC$75&amp;";  ","")&amp;IF(AND(EDATE($D38,Milestones!$AA$76)&lt;=AsOfDate,IF($R38=0,$X38,IF(AND($T38&lt;&gt;"",EDATE($D38,Milestones!$AA$76)&gt;=$T38),$W38,IF(AND($S38&lt;&gt;"",EDATE($D38,Milestones!$AA$76)&gt;=$S38),$V38,$U38)))=Milestones!$AB$76),UPPER(TEXT(EDATE($D38,Milestones!$AA$76),"dd mmm yy"))&amp;" "&amp;Milestones!$AB$76&amp;" "&amp;Milestones!$AC$76&amp;";  ","")&amp;IF(AND(EDATE($D38,Milestones!$AA$77)&lt;=AsOfDate,IF($R38=0,$X38,IF(AND($T38&lt;&gt;"",EDATE($D38,Milestones!$AA$77)&gt;=$T38),$W38,IF(AND($S38&lt;&gt;"",EDATE($D38,Milestones!$AA$77)&gt;=$S38),$V38,$U38)))=Milestones!$AB$77),UPPER(TEXT(EDATE($D38,Milestones!$AA$77),"dd mmm yy"))&amp;" "&amp;Milestones!$AB$77&amp;" "&amp;Milestones!$AC$77&amp;";  ","")&amp;IF(AND(EDATE($D38,Milestones!$AA$78)&lt;=AsOfDate,IF($R38=0,$X38,IF(AND($T38&lt;&gt;"",EDATE($D38,Milestones!$AA$78)&gt;=$T38),$W38,IF(AND($S38&lt;&gt;"",EDATE($D38,Milestones!$AA$78)&gt;=$S38),$V38,$U38)))=Milestones!$AB$78),UPPER(TEXT(EDATE($D38,Milestones!$AA$78),"dd mmm yy"))&amp;" "&amp;Milestones!$AB$78&amp;" "&amp;Milestones!$AC$78&amp;";  ","")&amp;IF(AND(EDATE($D38,Milestones!$AA$79)&lt;=AsOfDate,IF($R38=0,$X38,IF(AND($T38&lt;&gt;"",EDATE($D38,Milestones!$AA$79)&gt;=$T38),$W38,IF(AND($S38&lt;&gt;"",EDATE($D38,Milestones!$AA$79)&gt;=$S38),$V38,$U38)))=Milestones!$AB$79),UPPER(TEXT(EDATE($D38,Milestones!$AA$79),"dd mmm yy"))&amp;" "&amp;Milestones!$AB$79&amp;" "&amp;Milestones!$AC$79&amp;";  ",""))</f>
        <v/>
      </c>
      <c r="L38" s="0" t="str">
        <f aca="false">IF(OR($A38="",$D38=""),"",IF(AND(EDATE($D38,Milestones!$AA$80)&lt;=AsOfDate,IF($R38=0,$X38,IF(AND($T38&lt;&gt;"",EDATE($D38,Milestones!$AA$80)&gt;=$T38),$W38,IF(AND($S38&lt;&gt;"",EDATE($D38,Milestones!$AA$80)&gt;=$S38),$V38,$U38)))=Milestones!$AB$80),UPPER(TEXT(EDATE($D38,Milestones!$AA$80),"dd mmm yy"))&amp;" "&amp;Milestones!$AB$80&amp;" "&amp;Milestones!$AC$80&amp;";  ","")&amp;IF(AND(EDATE($D38,Milestones!$AA$81)&lt;=AsOfDate,IF($R38=0,$X38,IF(AND($T38&lt;&gt;"",EDATE($D38,Milestones!$AA$81)&gt;=$T38),$W38,IF(AND($S38&lt;&gt;"",EDATE($D38,Milestones!$AA$81)&gt;=$S38),$V38,$U38)))=Milestones!$AB$81),UPPER(TEXT(EDATE($D38,Milestones!$AA$81),"dd mmm yy"))&amp;" "&amp;Milestones!$AB$81&amp;" "&amp;Milestones!$AC$81&amp;";  ","")&amp;IF(AND(EDATE($D38,Milestones!$AA$82)&lt;=AsOfDate,IF($R38=0,$X38,IF(AND($T38&lt;&gt;"",EDATE($D38,Milestones!$AA$82)&gt;=$T38),$W38,IF(AND($S38&lt;&gt;"",EDATE($D38,Milestones!$AA$82)&gt;=$S38),$V38,$U38)))=Milestones!$AB$82),UPPER(TEXT(EDATE($D38,Milestones!$AA$82),"dd mmm yy"))&amp;" "&amp;Milestones!$AB$82&amp;" "&amp;Milestones!$AC$82&amp;";  ","")&amp;IF(AND(EDATE($D38,Milestones!$AA$83)&lt;=AsOfDate,IF($R38=0,$X38,IF(AND($T38&lt;&gt;"",EDATE($D38,Milestones!$AA$83)&gt;=$T38),$W38,IF(AND($S38&lt;&gt;"",EDATE($D38,Milestones!$AA$83)&gt;=$S38),$V38,$U38)))=Milestones!$AB$83),UPPER(TEXT(EDATE($D38,Milestones!$AA$83),"dd mmm yy"))&amp;" "&amp;Milestones!$AB$83&amp;" "&amp;Milestones!$AC$83&amp;";  ","")&amp;IF(AND(EDATE($D38,Milestones!$AA$84)&lt;=AsOfDate,IF($R38=0,$X38,IF(AND($T38&lt;&gt;"",EDATE($D38,Milestones!$AA$84)&gt;=$T38),$W38,IF(AND($S38&lt;&gt;"",EDATE($D38,Milestones!$AA$84)&gt;=$S38),$V38,$U38)))=Milestones!$AB$84),UPPER(TEXT(EDATE($D38,Milestones!$AA$84),"dd mmm yy"))&amp;" "&amp;Milestones!$AB$84&amp;" "&amp;Milestones!$AC$84&amp;";  ","")&amp;IF(AND(EDATE($D38,Milestones!$AA$85)&lt;=AsOfDate,IF($R38=0,$X38,IF(AND($T38&lt;&gt;"",EDATE($D38,Milestones!$AA$85)&gt;=$T38),$W38,IF(AND($S38&lt;&gt;"",EDATE($D38,Milestones!$AA$85)&gt;=$S38),$V38,$U38)))=Milestones!$AB$85),UPPER(TEXT(EDATE($D38,Milestones!$AA$85),"dd mmm yy"))&amp;" "&amp;Milestones!$AB$85&amp;" "&amp;Milestones!$AC$85&amp;";  ","")&amp;IF(AND(EDATE($D38,Milestones!$AA$86)&lt;=AsOfDate,IF($R38=0,$X38,IF(AND($T38&lt;&gt;"",EDATE($D38,Milestones!$AA$86)&gt;=$T38),$W38,IF(AND($S38&lt;&gt;"",EDATE($D38,Milestones!$AA$86)&gt;=$S38),$V38,$U38)))=Milestones!$AB$86),UPPER(TEXT(EDATE($D38,Milestones!$AA$86),"dd mmm yy"))&amp;" "&amp;Milestones!$AB$86&amp;" "&amp;Milestones!$AC$86&amp;";  ","")&amp;IF(AND(EDATE($D38,Milestones!$AA$87)&lt;=AsOfDate,IF($R38=0,$X38,IF(AND($T38&lt;&gt;"",EDATE($D38,Milestones!$AA$87)&gt;=$T38),$W38,IF(AND($S38&lt;&gt;"",EDATE($D38,Milestones!$AA$87)&gt;=$S38),$V38,$U38)))=Milestones!$AB$87),UPPER(TEXT(EDATE($D38,Milestones!$AA$87),"dd mmm yy"))&amp;" "&amp;Milestones!$AB$87&amp;" "&amp;Milestones!$AC$87&amp;";  ","")&amp;IF(AND(EDATE($D38,Milestones!$AA$88)&lt;=AsOfDate,IF($R38=0,$X38,IF(AND($T38&lt;&gt;"",EDATE($D38,Milestones!$AA$88)&gt;=$T38),$W38,IF(AND($S38&lt;&gt;"",EDATE($D38,Milestones!$AA$88)&gt;=$S38),$V38,$U38)))=Milestones!$AB$88),UPPER(TEXT(EDATE($D38,Milestones!$AA$88),"dd mmm yy"))&amp;" "&amp;Milestones!$AB$88&amp;" "&amp;Milestones!$AC$88&amp;";  ","")&amp;IF(AND(EDATE($D38,Milestones!$AA$89)&lt;=AsOfDate,IF($R38=0,$X38,IF(AND($T38&lt;&gt;"",EDATE($D38,Milestones!$AA$89)&gt;=$T38),$W38,IF(AND($S38&lt;&gt;"",EDATE($D38,Milestones!$AA$89)&gt;=$S38),$V38,$U38)))=Milestones!$AB$89),UPPER(TEXT(EDATE($D38,Milestones!$AA$89),"dd mmm yy"))&amp;" "&amp;Milestones!$AB$89&amp;" "&amp;Milestones!$AC$89&amp;";  ","")&amp;IF(AND(EDATE($D38,Milestones!$AA$90)&lt;=AsOfDate,IF($R38=0,$X38,IF(AND($T38&lt;&gt;"",EDATE($D38,Milestones!$AA$90)&gt;=$T38),$W38,IF(AND($S38&lt;&gt;"",EDATE($D38,Milestones!$AA$90)&gt;=$S38),$V38,$U38)))=Milestones!$AB$90),UPPER(TEXT(EDATE($D38,Milestones!$AA$90),"dd mmm yy"))&amp;" "&amp;Milestones!$AB$90&amp;" "&amp;Milestones!$AC$90&amp;";  ","")&amp;IF(AND(EDATE($D38,Milestones!$AA$91)&lt;=AsOfDate,IF($R38=0,$X38,IF(AND($T38&lt;&gt;"",EDATE($D38,Milestones!$AA$91)&gt;=$T38),$W38,IF(AND($S38&lt;&gt;"",EDATE($D38,Milestones!$AA$91)&gt;=$S38),$V38,$U38)))=Milestones!$AB$91),UPPER(TEXT(EDATE($D38,Milestones!$AA$91),"dd mmm yy"))&amp;" "&amp;Milestones!$AB$91&amp;" "&amp;Milestones!$AC$91&amp;";  ","")&amp;IF(AND(EDATE($D38,Milestones!$AA$92)&lt;=AsOfDate,IF($R38=0,$X38,IF(AND($T38&lt;&gt;"",EDATE($D38,Milestones!$AA$92)&gt;=$T38),$W38,IF(AND($S38&lt;&gt;"",EDATE($D38,Milestones!$AA$92)&gt;=$S38),$V38,$U38)))=Milestones!$AB$92),UPPER(TEXT(EDATE($D38,Milestones!$AA$92),"dd mmm yy"))&amp;" "&amp;Milestones!$AB$92&amp;" "&amp;Milestones!$AC$92&amp;";  ","")&amp;IF(AND(EDATE($D38,Milestones!$AA$93)&lt;=AsOfDate,IF($R38=0,$X38,IF(AND($T38&lt;&gt;"",EDATE($D38,Milestones!$AA$93)&gt;=$T38),$W38,IF(AND($S38&lt;&gt;"",EDATE($D38,Milestones!$AA$93)&gt;=$S38),$V38,$U38)))=Milestones!$AB$93),UPPER(TEXT(EDATE($D38,Milestones!$AA$93),"dd mmm yy"))&amp;" "&amp;Milestones!$AB$93&amp;" "&amp;Milestones!$AC$93&amp;";  ","")&amp;IF(AND(EDATE($D38,Milestones!$AA$94)&lt;=AsOfDate,IF($R38=0,$X38,IF(AND($T38&lt;&gt;"",EDATE($D38,Milestones!$AA$94)&gt;=$T38),$W38,IF(AND($S38&lt;&gt;"",EDATE($D38,Milestones!$AA$94)&gt;=$S38),$V38,$U38)))=Milestones!$AB$94),UPPER(TEXT(EDATE($D38,Milestones!$AA$94),"dd mmm yy"))&amp;" "&amp;Milestones!$AB$94&amp;" "&amp;Milestones!$AC$94&amp;";  ","")&amp;IF(AND(EDATE($D38,Milestones!$AA$95)&lt;=AsOfDate,IF($R38=0,$X38,IF(AND($T38&lt;&gt;"",EDATE($D38,Milestones!$AA$95)&gt;=$T38),$W38,IF(AND($S38&lt;&gt;"",EDATE($D38,Milestones!$AA$95)&gt;=$S38),$V38,$U38)))=Milestones!$AB$95),UPPER(TEXT(EDATE($D38,Milestones!$AA$95),"dd mmm yy"))&amp;" "&amp;Milestones!$AB$95&amp;" "&amp;Milestones!$AC$95&amp;";  ","")&amp;IF(AND(EDATE($D38,Milestones!$AA$96)&lt;=AsOfDate,IF($R38=0,$X38,IF(AND($T38&lt;&gt;"",EDATE($D38,Milestones!$AA$96)&gt;=$T38),$W38,IF(AND($S38&lt;&gt;"",EDATE($D38,Milestones!$AA$96)&gt;=$S38),$V38,$U38)))=Milestones!$AB$96),UPPER(TEXT(EDATE($D38,Milestones!$AA$96),"dd mmm yy"))&amp;" "&amp;Milestones!$AB$96&amp;" "&amp;Milestones!$AC$96&amp;";  ","")&amp;IF(AND(EDATE($D38,Milestones!$AA$97)&lt;=AsOfDate,IF($R38=0,$X38,IF(AND($T38&lt;&gt;"",EDATE($D38,Milestones!$AA$97)&gt;=$T38),$W38,IF(AND($S38&lt;&gt;"",EDATE($D38,Milestones!$AA$97)&gt;=$S38),$V38,$U38)))=Milestones!$AB$97),UPPER(TEXT(EDATE($D38,Milestones!$AA$97),"dd mmm yy"))&amp;" "&amp;Milestones!$AB$97&amp;" "&amp;Milestones!$AC$97&amp;";  ","")&amp;IF(AND(EDATE($D38,Milestones!$AA$98)&lt;=AsOfDate,IF($R38=0,$X38,IF(AND($T38&lt;&gt;"",EDATE($D38,Milestones!$AA$98)&gt;=$T38),$W38,IF(AND($S38&lt;&gt;"",EDATE($D38,Milestones!$AA$98)&gt;=$S38),$V38,$U38)))=Milestones!$AB$98),UPPER(TEXT(EDATE($D38,Milestones!$AA$98),"dd mmm yy"))&amp;" "&amp;Milestones!$AB$98&amp;" "&amp;Milestones!$AC$98&amp;";  ","")&amp;IF(AND(EDATE($D38,Milestones!$AA$99)&lt;=AsOfDate,IF($R38=0,$X38,IF(AND($T38&lt;&gt;"",EDATE($D38,Milestones!$AA$99)&gt;=$T38),$W38,IF(AND($S38&lt;&gt;"",EDATE($D38,Milestones!$AA$99)&gt;=$S38),$V38,$U38)))=Milestones!$AB$99),UPPER(TEXT(EDATE($D38,Milestones!$AA$99),"dd mmm yy"))&amp;" "&amp;Milestones!$AB$99&amp;" "&amp;Milestones!$AC$99&amp;";  ",""))</f>
        <v/>
      </c>
      <c r="M38" s="0" t="str">
        <f aca="false">IF(OR($A38="",$D38=""),"",IF(AND(EDATE($D38,Milestones!$AA$100)&lt;=AsOfDate,IF($R38=0,$X38,IF(AND($T38&lt;&gt;"",EDATE($D38,Milestones!$AA$100)&gt;=$T38),$W38,IF(AND($S38&lt;&gt;"",EDATE($D38,Milestones!$AA$100)&gt;=$S38),$V38,$U38)))=Milestones!$AB$100),UPPER(TEXT(EDATE($D38,Milestones!$AA$100),"dd mmm yy"))&amp;" "&amp;Milestones!$AB$100&amp;" "&amp;Milestones!$AC$100&amp;";  ","")&amp;IF(AND(EDATE($D38,Milestones!$AA$101)&lt;=AsOfDate,IF($R38=0,$X38,IF(AND($T38&lt;&gt;"",EDATE($D38,Milestones!$AA$101)&gt;=$T38),$W38,IF(AND($S38&lt;&gt;"",EDATE($D38,Milestones!$AA$101)&gt;=$S38),$V38,$U38)))=Milestones!$AB$101),UPPER(TEXT(EDATE($D38,Milestones!$AA$101),"dd mmm yy"))&amp;" "&amp;Milestones!$AB$101&amp;" "&amp;Milestones!$AC$101&amp;";  ","")&amp;IF(AND(EDATE($D38,Milestones!$AA$102)&lt;=AsOfDate,IF($R38=0,$X38,IF(AND($T38&lt;&gt;"",EDATE($D38,Milestones!$AA$102)&gt;=$T38),$W38,IF(AND($S38&lt;&gt;"",EDATE($D38,Milestones!$AA$102)&gt;=$S38),$V38,$U38)))=Milestones!$AB$102),UPPER(TEXT(EDATE($D38,Milestones!$AA$102),"dd mmm yy"))&amp;" "&amp;Milestones!$AB$102&amp;" "&amp;Milestones!$AC$102&amp;";  ","")&amp;IF(AND(EDATE($D38,Milestones!$AA$103)&lt;=AsOfDate,IF($R38=0,$X38,IF(AND($T38&lt;&gt;"",EDATE($D38,Milestones!$AA$103)&gt;=$T38),$W38,IF(AND($S38&lt;&gt;"",EDATE($D38,Milestones!$AA$103)&gt;=$S38),$V38,$U38)))=Milestones!$AB$103),UPPER(TEXT(EDATE($D38,Milestones!$AA$103),"dd mmm yy"))&amp;" "&amp;Milestones!$AB$103&amp;" "&amp;Milestones!$AC$103&amp;";  ","")&amp;IF(AND(EDATE($D38,Milestones!$AA$104)&lt;=AsOfDate,IF($R38=0,$X38,IF(AND($T38&lt;&gt;"",EDATE($D38,Milestones!$AA$104)&gt;=$T38),$W38,IF(AND($S38&lt;&gt;"",EDATE($D38,Milestones!$AA$104)&gt;=$S38),$V38,$U38)))=Milestones!$AB$104),UPPER(TEXT(EDATE($D38,Milestones!$AA$104),"dd mmm yy"))&amp;" "&amp;Milestones!$AB$104&amp;" "&amp;Milestones!$AC$104&amp;";  ","")&amp;IF(AND(EDATE($D38,Milestones!$AA$105)&lt;=AsOfDate,IF($R38=0,$X38,IF(AND($T38&lt;&gt;"",EDATE($D38,Milestones!$AA$105)&gt;=$T38),$W38,IF(AND($S38&lt;&gt;"",EDATE($D38,Milestones!$AA$105)&gt;=$S38),$V38,$U38)))=Milestones!$AB$105),UPPER(TEXT(EDATE($D38,Milestones!$AA$105),"dd mmm yy"))&amp;" "&amp;Milestones!$AB$105&amp;" "&amp;Milestones!$AC$105&amp;";  ","")&amp;IF(AND(EDATE($D38,Milestones!$AA$106)&lt;=AsOfDate,IF($R38=0,$X38,IF(AND($T38&lt;&gt;"",EDATE($D38,Milestones!$AA$106)&gt;=$T38),$W38,IF(AND($S38&lt;&gt;"",EDATE($D38,Milestones!$AA$106)&gt;=$S38),$V38,$U38)))=Milestones!$AB$106),UPPER(TEXT(EDATE($D38,Milestones!$AA$106),"dd mmm yy"))&amp;" "&amp;Milestones!$AB$106&amp;" "&amp;Milestones!$AC$106&amp;";  ","")&amp;IF(AND(EDATE($D38,Milestones!$AA$107)&lt;=AsOfDate,IF($R38=0,$X38,IF(AND($T38&lt;&gt;"",EDATE($D38,Milestones!$AA$107)&gt;=$T38),$W38,IF(AND($S38&lt;&gt;"",EDATE($D38,Milestones!$AA$107)&gt;=$S38),$V38,$U38)))=Milestones!$AB$107),UPPER(TEXT(EDATE($D38,Milestones!$AA$107),"dd mmm yy"))&amp;" "&amp;Milestones!$AB$107&amp;" "&amp;Milestones!$AC$107&amp;";  ","")&amp;IF(AND(EDATE($D38,Milestones!$AA$108)&lt;=AsOfDate,IF($R38=0,$X38,IF(AND($T38&lt;&gt;"",EDATE($D38,Milestones!$AA$108)&gt;=$T38),$W38,IF(AND($S38&lt;&gt;"",EDATE($D38,Milestones!$AA$108)&gt;=$S38),$V38,$U38)))=Milestones!$AB$108),UPPER(TEXT(EDATE($D38,Milestones!$AA$108),"dd mmm yy"))&amp;" "&amp;Milestones!$AB$108&amp;" "&amp;Milestones!$AC$108&amp;";  ","")&amp;IF(AND(EDATE($D38,Milestones!$AA$109)&lt;=AsOfDate,IF($R38=0,$X38,IF(AND($T38&lt;&gt;"",EDATE($D38,Milestones!$AA$109)&gt;=$T38),$W38,IF(AND($S38&lt;&gt;"",EDATE($D38,Milestones!$AA$109)&gt;=$S38),$V38,$U38)))=Milestones!$AB$109),UPPER(TEXT(EDATE($D38,Milestones!$AA$109),"dd mmm yy"))&amp;" "&amp;Milestones!$AB$109&amp;" "&amp;Milestones!$AC$109&amp;";  ","")&amp;IF(AND(EDATE($D38,Milestones!$AA$110)&lt;=AsOfDate,IF($R38=0,$X38,IF(AND($T38&lt;&gt;"",EDATE($D38,Milestones!$AA$110)&gt;=$T38),$W38,IF(AND($S38&lt;&gt;"",EDATE($D38,Milestones!$AA$110)&gt;=$S38),$V38,$U38)))=Milestones!$AB$110),UPPER(TEXT(EDATE($D38,Milestones!$AA$110),"dd mmm yy"))&amp;" "&amp;Milestones!$AB$110&amp;" "&amp;Milestones!$AC$110&amp;";  ","")&amp;IF(AND(EDATE($D38,Milestones!$AA$111)&lt;=AsOfDate,IF($R38=0,$X38,IF(AND($T38&lt;&gt;"",EDATE($D38,Milestones!$AA$111)&gt;=$T38),$W38,IF(AND($S38&lt;&gt;"",EDATE($D38,Milestones!$AA$111)&gt;=$S38),$V38,$U38)))=Milestones!$AB$111),UPPER(TEXT(EDATE($D38,Milestones!$AA$111),"dd mmm yy"))&amp;" "&amp;Milestones!$AB$111&amp;" "&amp;Milestones!$AC$111&amp;";  ","")&amp;IF(AND(EDATE($D38,Milestones!$AA$112)&lt;=AsOfDate,IF($R38=0,$X38,IF(AND($T38&lt;&gt;"",EDATE($D38,Milestones!$AA$112)&gt;=$T38),$W38,IF(AND($S38&lt;&gt;"",EDATE($D38,Milestones!$AA$112)&gt;=$S38),$V38,$U38)))=Milestones!$AB$112),UPPER(TEXT(EDATE($D38,Milestones!$AA$112),"dd mmm yy"))&amp;" "&amp;Milestones!$AB$112&amp;" "&amp;Milestones!$AC$112&amp;";  ","")&amp;IF(AND(EDATE($D38,Milestones!$AA$113)&lt;=AsOfDate,IF($R38=0,$X38,IF(AND($T38&lt;&gt;"",EDATE($D38,Milestones!$AA$113)&gt;=$T38),$W38,IF(AND($S38&lt;&gt;"",EDATE($D38,Milestones!$AA$113)&gt;=$S38),$V38,$U38)))=Milestones!$AB$113),UPPER(TEXT(EDATE($D38,Milestones!$AA$113),"dd mmm yy"))&amp;" "&amp;Milestones!$AB$113&amp;" "&amp;Milestones!$AC$113&amp;";  ","")&amp;IF(AND(EDATE($D38,Milestones!$AA$114)&lt;=AsOfDate,IF($R38=0,$X38,IF(AND($T38&lt;&gt;"",EDATE($D38,Milestones!$AA$114)&gt;=$T38),$W38,IF(AND($S38&lt;&gt;"",EDATE($D38,Milestones!$AA$114)&gt;=$S38),$V38,$U38)))=Milestones!$AB$114),UPPER(TEXT(EDATE($D38,Milestones!$AA$114),"dd mmm yy"))&amp;" "&amp;Milestones!$AB$114&amp;" "&amp;Milestones!$AC$114&amp;";  ","")&amp;IF(AND(EDATE($D38,Milestones!$AA$115)&lt;=AsOfDate,IF($R38=0,$X38,IF(AND($T38&lt;&gt;"",EDATE($D38,Milestones!$AA$115)&gt;=$T38),$W38,IF(AND($S38&lt;&gt;"",EDATE($D38,Milestones!$AA$115)&gt;=$S38),$V38,$U38)))=Milestones!$AB$115),UPPER(TEXT(EDATE($D38,Milestones!$AA$115),"dd mmm yy"))&amp;" "&amp;Milestones!$AB$115&amp;" "&amp;Milestones!$AC$115&amp;";  ","")&amp;IF(AND(EDATE($D38,Milestones!$AA$116)&lt;=AsOfDate,IF($R38=0,$X38,IF(AND($T38&lt;&gt;"",EDATE($D38,Milestones!$AA$116)&gt;=$T38),$W38,IF(AND($S38&lt;&gt;"",EDATE($D38,Milestones!$AA$116)&gt;=$S38),$V38,$U38)))=Milestones!$AB$116),UPPER(TEXT(EDATE($D38,Milestones!$AA$116),"dd mmm yy"))&amp;" "&amp;Milestones!$AB$116&amp;" "&amp;Milestones!$AC$116&amp;";  ","")&amp;IF(AND(EDATE($D38,Milestones!$AA$117)&lt;=AsOfDate,IF($R38=0,$X38,IF(AND($T38&lt;&gt;"",EDATE($D38,Milestones!$AA$117)&gt;=$T38),$W38,IF(AND($S38&lt;&gt;"",EDATE($D38,Milestones!$AA$117)&gt;=$S38),$V38,$U38)))=Milestones!$AB$117),UPPER(TEXT(EDATE($D38,Milestones!$AA$117),"dd mmm yy"))&amp;" "&amp;Milestones!$AB$117&amp;" "&amp;Milestones!$AC$117&amp;";  ","")&amp;IF(AND(EDATE($D38,Milestones!$AA$118)&lt;=AsOfDate,IF($R38=0,$X38,IF(AND($T38&lt;&gt;"",EDATE($D38,Milestones!$AA$118)&gt;=$T38),$W38,IF(AND($S38&lt;&gt;"",EDATE($D38,Milestones!$AA$118)&gt;=$S38),$V38,$U38)))=Milestones!$AB$118),UPPER(TEXT(EDATE($D38,Milestones!$AA$118),"dd mmm yy"))&amp;" "&amp;Milestones!$AB$118&amp;" "&amp;Milestones!$AC$118&amp;";  ","")&amp;IF(AND(EDATE($D38,Milestones!$AA$119)&lt;=AsOfDate,IF($R38=0,$X38,IF(AND($T38&lt;&gt;"",EDATE($D38,Milestones!$AA$119)&gt;=$T38),$W38,IF(AND($S38&lt;&gt;"",EDATE($D38,Milestones!$AA$119)&gt;=$S38),$V38,$U38)))=Milestones!$AB$119),UPPER(TEXT(EDATE($D38,Milestones!$AA$119),"dd mmm yy"))&amp;" "&amp;Milestones!$AB$119&amp;" "&amp;Milestones!$AC$119&amp;";  ",""))</f>
        <v/>
      </c>
      <c r="N38" s="0" t="str">
        <f aca="false">IF(OR($A38="",$D38=""),"",IF(AND(EDATE($D38,Milestones!$AA$120)&lt;=AsOfDate,IF($R38=0,$X38,IF(AND($T38&lt;&gt;"",EDATE($D38,Milestones!$AA$120)&gt;=$T38),$W38,IF(AND($S38&lt;&gt;"",EDATE($D38,Milestones!$AA$120)&gt;=$S38),$V38,$U38)))=Milestones!$AB$120),UPPER(TEXT(EDATE($D38,Milestones!$AA$120),"dd mmm yy"))&amp;" "&amp;Milestones!$AB$120&amp;" "&amp;Milestones!$AC$120&amp;";  ","")&amp;IF(AND(EDATE($D38,Milestones!$AA$121)&lt;=AsOfDate,IF($R38=0,$X38,IF(AND($T38&lt;&gt;"",EDATE($D38,Milestones!$AA$121)&gt;=$T38),$W38,IF(AND($S38&lt;&gt;"",EDATE($D38,Milestones!$AA$121)&gt;=$S38),$V38,$U38)))=Milestones!$AB$121),UPPER(TEXT(EDATE($D38,Milestones!$AA$121),"dd mmm yy"))&amp;" "&amp;Milestones!$AB$121&amp;" "&amp;Milestones!$AC$121&amp;";  ","")&amp;IF(AND(EDATE($D38,Milestones!$AA$122)&lt;=AsOfDate,IF($R38=0,$X38,IF(AND($T38&lt;&gt;"",EDATE($D38,Milestones!$AA$122)&gt;=$T38),$W38,IF(AND($S38&lt;&gt;"",EDATE($D38,Milestones!$AA$122)&gt;=$S38),$V38,$U38)))=Milestones!$AB$122),UPPER(TEXT(EDATE($D38,Milestones!$AA$122),"dd mmm yy"))&amp;" "&amp;Milestones!$AB$122&amp;" "&amp;Milestones!$AC$122&amp;";  ","")&amp;IF(AND(EDATE($D38,Milestones!$AA$123)&lt;=AsOfDate,IF($R38=0,$X38,IF(AND($T38&lt;&gt;"",EDATE($D38,Milestones!$AA$123)&gt;=$T38),$W38,IF(AND($S38&lt;&gt;"",EDATE($D38,Milestones!$AA$123)&gt;=$S38),$V38,$U38)))=Milestones!$AB$123),UPPER(TEXT(EDATE($D38,Milestones!$AA$123),"dd mmm yy"))&amp;" "&amp;Milestones!$AB$123&amp;" "&amp;Milestones!$AC$123&amp;";  ","")&amp;IF(AND(EDATE($D38,Milestones!$AA$124)&lt;=AsOfDate,IF($R38=0,$X38,IF(AND($T38&lt;&gt;"",EDATE($D38,Milestones!$AA$124)&gt;=$T38),$W38,IF(AND($S38&lt;&gt;"",EDATE($D38,Milestones!$AA$124)&gt;=$S38),$V38,$U38)))=Milestones!$AB$124),UPPER(TEXT(EDATE($D38,Milestones!$AA$124),"dd mmm yy"))&amp;" "&amp;Milestones!$AB$124&amp;" "&amp;Milestones!$AC$124&amp;";  ","")&amp;IF(AND(EDATE($D38,Milestones!$AA$125)&lt;=AsOfDate,IF($R38=0,$X38,IF(AND($T38&lt;&gt;"",EDATE($D38,Milestones!$AA$125)&gt;=$T38),$W38,IF(AND($S38&lt;&gt;"",EDATE($D38,Milestones!$AA$125)&gt;=$S38),$V38,$U38)))=Milestones!$AB$125),UPPER(TEXT(EDATE($D38,Milestones!$AA$125),"dd mmm yy"))&amp;" "&amp;Milestones!$AB$125&amp;" "&amp;Milestones!$AC$125&amp;";  ","")&amp;IF(AND(EDATE($D38,Milestones!$AA$126)&lt;=AsOfDate,IF($R38=0,$X38,IF(AND($T38&lt;&gt;"",EDATE($D38,Milestones!$AA$126)&gt;=$T38),$W38,IF(AND($S38&lt;&gt;"",EDATE($D38,Milestones!$AA$126)&gt;=$S38),$V38,$U38)))=Milestones!$AB$126),UPPER(TEXT(EDATE($D38,Milestones!$AA$126),"dd mmm yy"))&amp;" "&amp;Milestones!$AB$126&amp;" "&amp;Milestones!$AC$126&amp;";  ","")&amp;IF(AND(EDATE($D38,Milestones!$AA$127)&lt;=AsOfDate,IF($R38=0,$X38,IF(AND($T38&lt;&gt;"",EDATE($D38,Milestones!$AA$127)&gt;=$T38),$W38,IF(AND($S38&lt;&gt;"",EDATE($D38,Milestones!$AA$127)&gt;=$S38),$V38,$U38)))=Milestones!$AB$127),UPPER(TEXT(EDATE($D38,Milestones!$AA$127),"dd mmm yy"))&amp;" "&amp;Milestones!$AB$127&amp;" "&amp;Milestones!$AC$127&amp;";  ","")&amp;IF(AND(EDATE($D38,Milestones!$AA$128)&lt;=AsOfDate,IF($R38=0,$X38,IF(AND($T38&lt;&gt;"",EDATE($D38,Milestones!$AA$128)&gt;=$T38),$W38,IF(AND($S38&lt;&gt;"",EDATE($D38,Milestones!$AA$128)&gt;=$S38),$V38,$U38)))=Milestones!$AB$128),UPPER(TEXT(EDATE($D38,Milestones!$AA$128),"dd mmm yy"))&amp;" "&amp;Milestones!$AB$128&amp;" "&amp;Milestones!$AC$128&amp;";  ","")&amp;IF(AND(EDATE($D38,Milestones!$AA$129)&lt;=AsOfDate,IF($R38=0,$X38,IF(AND($T38&lt;&gt;"",EDATE($D38,Milestones!$AA$129)&gt;=$T38),$W38,IF(AND($S38&lt;&gt;"",EDATE($D38,Milestones!$AA$129)&gt;=$S38),$V38,$U38)))=Milestones!$AB$129),UPPER(TEXT(EDATE($D38,Milestones!$AA$129),"dd mmm yy"))&amp;" "&amp;Milestones!$AB$129&amp;" "&amp;Milestones!$AC$129&amp;";  ","")&amp;IF(AND(EDATE($D38,Milestones!$AA$130)&lt;=AsOfDate,IF($R38=0,$X38,IF(AND($T38&lt;&gt;"",EDATE($D38,Milestones!$AA$130)&gt;=$T38),$W38,IF(AND($S38&lt;&gt;"",EDATE($D38,Milestones!$AA$130)&gt;=$S38),$V38,$U38)))=Milestones!$AB$130),UPPER(TEXT(EDATE($D38,Milestones!$AA$130),"dd mmm yy"))&amp;" "&amp;Milestones!$AB$130&amp;" "&amp;Milestones!$AC$130&amp;";  ","")&amp;IF(AND(EDATE($D38,Milestones!$AA$131)&lt;=AsOfDate,IF($R38=0,$X38,IF(AND($T38&lt;&gt;"",EDATE($D38,Milestones!$AA$131)&gt;=$T38),$W38,IF(AND($S38&lt;&gt;"",EDATE($D38,Milestones!$AA$131)&gt;=$S38),$V38,$U38)))=Milestones!$AB$131),UPPER(TEXT(EDATE($D38,Milestones!$AA$131),"dd mmm yy"))&amp;" "&amp;Milestones!$AB$131&amp;" "&amp;Milestones!$AC$131&amp;";  ","")&amp;IF(AND(EDATE($D38,Milestones!$AA$132)&lt;=AsOfDate,IF($R38=0,$X38,IF(AND($T38&lt;&gt;"",EDATE($D38,Milestones!$AA$132)&gt;=$T38),$W38,IF(AND($S38&lt;&gt;"",EDATE($D38,Milestones!$AA$132)&gt;=$S38),$V38,$U38)))=Milestones!$AB$132),UPPER(TEXT(EDATE($D38,Milestones!$AA$132),"dd mmm yy"))&amp;" "&amp;Milestones!$AB$132&amp;" "&amp;Milestones!$AC$132&amp;";  ","")&amp;IF(AND(EDATE($D38,Milestones!$AA$133)&lt;=AsOfDate,IF($R38=0,$X38,IF(AND($T38&lt;&gt;"",EDATE($D38,Milestones!$AA$133)&gt;=$T38),$W38,IF(AND($S38&lt;&gt;"",EDATE($D38,Milestones!$AA$133)&gt;=$S38),$V38,$U38)))=Milestones!$AB$133),UPPER(TEXT(EDATE($D38,Milestones!$AA$133),"dd mmm yy"))&amp;" "&amp;Milestones!$AB$133&amp;" "&amp;Milestones!$AC$133&amp;";  ","")&amp;IF(AND(EDATE($D38,Milestones!$AA$134)&lt;=AsOfDate,IF($R38=0,$X38,IF(AND($T38&lt;&gt;"",EDATE($D38,Milestones!$AA$134)&gt;=$T38),$W38,IF(AND($S38&lt;&gt;"",EDATE($D38,Milestones!$AA$134)&gt;=$S38),$V38,$U38)))=Milestones!$AB$134),UPPER(TEXT(EDATE($D38,Milestones!$AA$134),"dd mmm yy"))&amp;" "&amp;Milestones!$AB$134&amp;" "&amp;Milestones!$AC$134&amp;";  ","")&amp;IF(AND(EDATE($D38,Milestones!$AA$135)&lt;=AsOfDate,IF($R38=0,$X38,IF(AND($T38&lt;&gt;"",EDATE($D38,Milestones!$AA$135)&gt;=$T38),$W38,IF(AND($S38&lt;&gt;"",EDATE($D38,Milestones!$AA$135)&gt;=$S38),$V38,$U38)))=Milestones!$AB$135),UPPER(TEXT(EDATE($D38,Milestones!$AA$135),"dd mmm yy"))&amp;" "&amp;Milestones!$AB$135&amp;" "&amp;Milestones!$AC$135&amp;";  ","")&amp;IF(AND(EDATE($D38,Milestones!$AA$136)&lt;=AsOfDate,IF($R38=0,$X38,IF(AND($T38&lt;&gt;"",EDATE($D38,Milestones!$AA$136)&gt;=$T38),$W38,IF(AND($S38&lt;&gt;"",EDATE($D38,Milestones!$AA$136)&gt;=$S38),$V38,$U38)))=Milestones!$AB$136),UPPER(TEXT(EDATE($D38,Milestones!$AA$136),"dd mmm yy"))&amp;" "&amp;Milestones!$AB$136&amp;" "&amp;Milestones!$AC$136&amp;";  ","")&amp;IF(AND(EDATE($D38,Milestones!$AA$137)&lt;=AsOfDate,IF($R38=0,$X38,IF(AND($T38&lt;&gt;"",EDATE($D38,Milestones!$AA$137)&gt;=$T38),$W38,IF(AND($S38&lt;&gt;"",EDATE($D38,Milestones!$AA$137)&gt;=$S38),$V38,$U38)))=Milestones!$AB$137),UPPER(TEXT(EDATE($D38,Milestones!$AA$137),"dd mmm yy"))&amp;" "&amp;Milestones!$AB$137&amp;" "&amp;Milestones!$AC$137&amp;";  ","")&amp;IF(AND(EDATE($D38,Milestones!$AA$138)&lt;=AsOfDate,IF($R38=0,$X38,IF(AND($T38&lt;&gt;"",EDATE($D38,Milestones!$AA$138)&gt;=$T38),$W38,IF(AND($S38&lt;&gt;"",EDATE($D38,Milestones!$AA$138)&gt;=$S38),$V38,$U38)))=Milestones!$AB$138),UPPER(TEXT(EDATE($D38,Milestones!$AA$138),"dd mmm yy"))&amp;" "&amp;Milestones!$AB$138&amp;" "&amp;Milestones!$AC$138&amp;";  ","")&amp;IF(AND(EDATE($D38,Milestones!$AA$139)&lt;=AsOfDate,IF($R38=0,$X38,IF(AND($T38&lt;&gt;"",EDATE($D38,Milestones!$AA$139)&gt;=$T38),$W38,IF(AND($S38&lt;&gt;"",EDATE($D38,Milestones!$AA$139)&gt;=$S38),$V38,$U38)))=Milestones!$AB$139),UPPER(TEXT(EDATE($D38,Milestones!$AA$139),"dd mmm yy"))&amp;" "&amp;Milestones!$AB$139&amp;" "&amp;Milestones!$AC$139&amp;";  ",""))</f>
        <v/>
      </c>
      <c r="O38" s="0" t="str">
        <f aca="false">IF(OR($A38="",$D38=""),"",IF(AND(EDATE($D38,Milestones!$AA$140)&lt;=AsOfDate,IF($R38=0,$X38,IF(AND($T38&lt;&gt;"",EDATE($D38,Milestones!$AA$140)&gt;=$T38),$W38,IF(AND($S38&lt;&gt;"",EDATE($D38,Milestones!$AA$140)&gt;=$S38),$V38,$U38)))=Milestones!$AB$140),UPPER(TEXT(EDATE($D38,Milestones!$AA$140),"dd mmm yy"))&amp;" "&amp;Milestones!$AB$140&amp;" "&amp;Milestones!$AC$140&amp;";  ","")&amp;IF(AND(EDATE($D38,Milestones!$AA$141)&lt;=AsOfDate,IF($R38=0,$X38,IF(AND($T38&lt;&gt;"",EDATE($D38,Milestones!$AA$141)&gt;=$T38),$W38,IF(AND($S38&lt;&gt;"",EDATE($D38,Milestones!$AA$141)&gt;=$S38),$V38,$U38)))=Milestones!$AB$141),UPPER(TEXT(EDATE($D38,Milestones!$AA$141),"dd mmm yy"))&amp;" "&amp;Milestones!$AB$141&amp;" "&amp;Milestones!$AC$141&amp;";  ","")&amp;IF(AND(EDATE($D38,Milestones!$AA$142)&lt;=AsOfDate,IF($R38=0,$X38,IF(AND($T38&lt;&gt;"",EDATE($D38,Milestones!$AA$142)&gt;=$T38),$W38,IF(AND($S38&lt;&gt;"",EDATE($D38,Milestones!$AA$142)&gt;=$S38),$V38,$U38)))=Milestones!$AB$142),UPPER(TEXT(EDATE($D38,Milestones!$AA$142),"dd mmm yy"))&amp;" "&amp;Milestones!$AB$142&amp;" "&amp;Milestones!$AC$142&amp;";  ","")&amp;IF(AND(EDATE($D38,Milestones!$AA$143)&lt;=AsOfDate,IF($R38=0,$X38,IF(AND($T38&lt;&gt;"",EDATE($D38,Milestones!$AA$143)&gt;=$T38),$W38,IF(AND($S38&lt;&gt;"",EDATE($D38,Milestones!$AA$143)&gt;=$S38),$V38,$U38)))=Milestones!$AB$143),UPPER(TEXT(EDATE($D38,Milestones!$AA$143),"dd mmm yy"))&amp;" "&amp;Milestones!$AB$143&amp;" "&amp;Milestones!$AC$143&amp;";  ","")&amp;IF(AND(EDATE($D38,Milestones!$AA$144)&lt;=AsOfDate,IF($R38=0,$X38,IF(AND($T38&lt;&gt;"",EDATE($D38,Milestones!$AA$144)&gt;=$T38),$W38,IF(AND($S38&lt;&gt;"",EDATE($D38,Milestones!$AA$144)&gt;=$S38),$V38,$U38)))=Milestones!$AB$144),UPPER(TEXT(EDATE($D38,Milestones!$AA$144),"dd mmm yy"))&amp;" "&amp;Milestones!$AB$144&amp;" "&amp;Milestones!$AC$144&amp;";  ","")&amp;IF(AND(EDATE($D38,Milestones!$AA$145)&lt;=AsOfDate,IF($R38=0,$X38,IF(AND($T38&lt;&gt;"",EDATE($D38,Milestones!$AA$145)&gt;=$T38),$W38,IF(AND($S38&lt;&gt;"",EDATE($D38,Milestones!$AA$145)&gt;=$S38),$V38,$U38)))=Milestones!$AB$145),UPPER(TEXT(EDATE($D38,Milestones!$AA$145),"dd mmm yy"))&amp;" "&amp;Milestones!$AB$145&amp;" "&amp;Milestones!$AC$145&amp;";  ","")&amp;IF(AND(EDATE($D38,Milestones!$AA$146)&lt;=AsOfDate,IF($R38=0,$X38,IF(AND($T38&lt;&gt;"",EDATE($D38,Milestones!$AA$146)&gt;=$T38),$W38,IF(AND($S38&lt;&gt;"",EDATE($D38,Milestones!$AA$146)&gt;=$S38),$V38,$U38)))=Milestones!$AB$146),UPPER(TEXT(EDATE($D38,Milestones!$AA$146),"dd mmm yy"))&amp;" "&amp;Milestones!$AB$146&amp;" "&amp;Milestones!$AC$146&amp;";  ","")&amp;IF(AND(EDATE($D38,Milestones!$AA$147)&lt;=AsOfDate,IF($R38=0,$X38,IF(AND($T38&lt;&gt;"",EDATE($D38,Milestones!$AA$147)&gt;=$T38),$W38,IF(AND($S38&lt;&gt;"",EDATE($D38,Milestones!$AA$147)&gt;=$S38),$V38,$U38)))=Milestones!$AB$147),UPPER(TEXT(EDATE($D38,Milestones!$AA$147),"dd mmm yy"))&amp;" "&amp;Milestones!$AB$147&amp;" "&amp;Milestones!$AC$147&amp;";  ","")&amp;IF(AND(EDATE($D38,Milestones!$AA$148)&lt;=AsOfDate,IF($R38=0,$X38,IF(AND($T38&lt;&gt;"",EDATE($D38,Milestones!$AA$148)&gt;=$T38),$W38,IF(AND($S38&lt;&gt;"",EDATE($D38,Milestones!$AA$148)&gt;=$S38),$V38,$U38)))=Milestones!$AB$148),UPPER(TEXT(EDATE($D38,Milestones!$AA$148),"dd mmm yy"))&amp;" "&amp;Milestones!$AB$148&amp;" "&amp;Milestones!$AC$148&amp;";  ","")&amp;IF(AND(EDATE($D38,Milestones!$AA$149)&lt;=AsOfDate,IF($R38=0,$X38,IF(AND($T38&lt;&gt;"",EDATE($D38,Milestones!$AA$149)&gt;=$T38),$W38,IF(AND($S38&lt;&gt;"",EDATE($D38,Milestones!$AA$149)&gt;=$S38),$V38,$U38)))=Milestones!$AB$149),UPPER(TEXT(EDATE($D38,Milestones!$AA$149),"dd mmm yy"))&amp;" "&amp;Milestones!$AB$149&amp;" "&amp;Milestones!$AC$149&amp;";  ","")&amp;IF(AND(EDATE($D38,Milestones!$AA$150)&lt;=AsOfDate,IF($R38=0,$X38,IF(AND($T38&lt;&gt;"",EDATE($D38,Milestones!$AA$150)&gt;=$T38),$W38,IF(AND($S38&lt;&gt;"",EDATE($D38,Milestones!$AA$150)&gt;=$S38),$V38,$U38)))=Milestones!$AB$150),UPPER(TEXT(EDATE($D38,Milestones!$AA$150),"dd mmm yy"))&amp;" "&amp;Milestones!$AB$150&amp;" "&amp;Milestones!$AC$150&amp;";  ","")&amp;IF(AND(EDATE($D38,Milestones!$AA$151)&lt;=AsOfDate,IF($R38=0,$X38,IF(AND($T38&lt;&gt;"",EDATE($D38,Milestones!$AA$151)&gt;=$T38),$W38,IF(AND($S38&lt;&gt;"",EDATE($D38,Milestones!$AA$151)&gt;=$S38),$V38,$U38)))=Milestones!$AB$151),UPPER(TEXT(EDATE($D38,Milestones!$AA$151),"dd mmm yy"))&amp;" "&amp;Milestones!$AB$151&amp;" "&amp;Milestones!$AC$151&amp;";  ","")&amp;IF(AND(EDATE($D38,Milestones!$AA$152)&lt;=AsOfDate,IF($R38=0,$X38,IF(AND($T38&lt;&gt;"",EDATE($D38,Milestones!$AA$152)&gt;=$T38),$W38,IF(AND($S38&lt;&gt;"",EDATE($D38,Milestones!$AA$152)&gt;=$S38),$V38,$U38)))=Milestones!$AB$152),UPPER(TEXT(EDATE($D38,Milestones!$AA$152),"dd mmm yy"))&amp;" "&amp;Milestones!$AB$152&amp;" "&amp;Milestones!$AC$152&amp;";  ","")&amp;IF(AND(EDATE($D38,Milestones!$AA$153)&lt;=AsOfDate,IF($R38=0,$X38,IF(AND($T38&lt;&gt;"",EDATE($D38,Milestones!$AA$153)&gt;=$T38),$W38,IF(AND($S38&lt;&gt;"",EDATE($D38,Milestones!$AA$153)&gt;=$S38),$V38,$U38)))=Milestones!$AB$153),UPPER(TEXT(EDATE($D38,Milestones!$AA$153),"dd mmm yy"))&amp;" "&amp;Milestones!$AB$153&amp;" "&amp;Milestones!$AC$153&amp;";  ","")&amp;IF(AND(EDATE($D38,Milestones!$AA$154)&lt;=AsOfDate,IF($R38=0,$X38,IF(AND($T38&lt;&gt;"",EDATE($D38,Milestones!$AA$154)&gt;=$T38),$W38,IF(AND($S38&lt;&gt;"",EDATE($D38,Milestones!$AA$154)&gt;=$S38),$V38,$U38)))=Milestones!$AB$154),UPPER(TEXT(EDATE($D38,Milestones!$AA$154),"dd mmm yy"))&amp;" "&amp;Milestones!$AB$154&amp;" "&amp;Milestones!$AC$154&amp;";  ","")&amp;IF(AND(EDATE($D38,Milestones!$AA$155)&lt;=AsOfDate,IF($R38=0,$X38,IF(AND($T38&lt;&gt;"",EDATE($D38,Milestones!$AA$155)&gt;=$T38),$W38,IF(AND($S38&lt;&gt;"",EDATE($D38,Milestones!$AA$155)&gt;=$S38),$V38,$U38)))=Milestones!$AB$155),UPPER(TEXT(EDATE($D38,Milestones!$AA$155),"dd mmm yy"))&amp;" "&amp;Milestones!$AB$155&amp;" "&amp;Milestones!$AC$155&amp;";  ","")&amp;IF(AND(EDATE($D38,Milestones!$AA$156)&lt;=AsOfDate,IF($R38=0,$X38,IF(AND($T38&lt;&gt;"",EDATE($D38,Milestones!$AA$156)&gt;=$T38),$W38,IF(AND($S38&lt;&gt;"",EDATE($D38,Milestones!$AA$156)&gt;=$S38),$V38,$U38)))=Milestones!$AB$156),UPPER(TEXT(EDATE($D38,Milestones!$AA$156),"dd mmm yy"))&amp;" "&amp;Milestones!$AB$156&amp;" "&amp;Milestones!$AC$156&amp;";  ","")&amp;IF(AND(EDATE($D38,Milestones!$AA$157)&lt;=AsOfDate,IF($R38=0,$X38,IF(AND($T38&lt;&gt;"",EDATE($D38,Milestones!$AA$157)&gt;=$T38),$W38,IF(AND($S38&lt;&gt;"",EDATE($D38,Milestones!$AA$157)&gt;=$S38),$V38,$U38)))=Milestones!$AB$157),UPPER(TEXT(EDATE($D38,Milestones!$AA$157),"dd mmm yy"))&amp;" "&amp;Milestones!$AB$157&amp;" "&amp;Milestones!$AC$157&amp;";  ","")&amp;IF(AND(EDATE($D38,Milestones!$AA$158)&lt;=AsOfDate,IF($R38=0,$X38,IF(AND($T38&lt;&gt;"",EDATE($D38,Milestones!$AA$158)&gt;=$T38),$W38,IF(AND($S38&lt;&gt;"",EDATE($D38,Milestones!$AA$158)&gt;=$S38),$V38,$U38)))=Milestones!$AB$158),UPPER(TEXT(EDATE($D38,Milestones!$AA$158),"dd mmm yy"))&amp;" "&amp;Milestones!$AB$158&amp;" "&amp;Milestones!$AC$158&amp;";  ","")&amp;IF(AND(EDATE($D38,Milestones!$AA$159)&lt;=AsOfDate,IF($R38=0,$X38,IF(AND($T38&lt;&gt;"",EDATE($D38,Milestones!$AA$159)&gt;=$T38),$W38,IF(AND($S38&lt;&gt;"",EDATE($D38,Milestones!$AA$159)&gt;=$S38),$V38,$U38)))=Milestones!$AB$159),UPPER(TEXT(EDATE($D38,Milestones!$AA$159),"dd mmm yy"))&amp;" "&amp;Milestones!$AB$159&amp;" "&amp;Milestones!$AC$159&amp;";  ",""))</f>
        <v/>
      </c>
      <c r="P38" s="0" t="str">
        <f aca="false">IF(OR($A38="",$D38=""),"",IF(AND(EDATE($D38,Milestones!$AA$160)&lt;=AsOfDate,IF($R38=0,$X38,IF(AND($T38&lt;&gt;"",EDATE($D38,Milestones!$AA$160)&gt;=$T38),$W38,IF(AND($S38&lt;&gt;"",EDATE($D38,Milestones!$AA$160)&gt;=$S38),$V38,$U38)))=Milestones!$AB$160),UPPER(TEXT(EDATE($D38,Milestones!$AA$160),"dd mmm yy"))&amp;" "&amp;Milestones!$AB$160&amp;" "&amp;Milestones!$AC$160&amp;";  ","")&amp;IF(AND(EDATE($D38,Milestones!$AA$161)&lt;=AsOfDate,IF($R38=0,$X38,IF(AND($T38&lt;&gt;"",EDATE($D38,Milestones!$AA$161)&gt;=$T38),$W38,IF(AND($S38&lt;&gt;"",EDATE($D38,Milestones!$AA$161)&gt;=$S38),$V38,$U38)))=Milestones!$AB$161),UPPER(TEXT(EDATE($D38,Milestones!$AA$161),"dd mmm yy"))&amp;" "&amp;Milestones!$AB$161&amp;" "&amp;Milestones!$AC$161&amp;";  ","")&amp;IF(AND(EDATE($D38,Milestones!$AA$162)&lt;=AsOfDate,IF($R38=0,$X38,IF(AND($T38&lt;&gt;"",EDATE($D38,Milestones!$AA$162)&gt;=$T38),$W38,IF(AND($S38&lt;&gt;"",EDATE($D38,Milestones!$AA$162)&gt;=$S38),$V38,$U38)))=Milestones!$AB$162),UPPER(TEXT(EDATE($D38,Milestones!$AA$162),"dd mmm yy"))&amp;" "&amp;Milestones!$AB$162&amp;" "&amp;Milestones!$AC$162&amp;";  ","")&amp;IF(AND(EDATE($D38,Milestones!$AA$163)&lt;=AsOfDate,IF($R38=0,$X38,IF(AND($T38&lt;&gt;"",EDATE($D38,Milestones!$AA$163)&gt;=$T38),$W38,IF(AND($S38&lt;&gt;"",EDATE($D38,Milestones!$AA$163)&gt;=$S38),$V38,$U38)))=Milestones!$AB$163),UPPER(TEXT(EDATE($D38,Milestones!$AA$163),"dd mmm yy"))&amp;" "&amp;Milestones!$AB$163&amp;" "&amp;Milestones!$AC$163&amp;";  ","")&amp;IF(AND(EDATE($D38,Milestones!$AA$164)&lt;=AsOfDate,IF($R38=0,$X38,IF(AND($T38&lt;&gt;"",EDATE($D38,Milestones!$AA$164)&gt;=$T38),$W38,IF(AND($S38&lt;&gt;"",EDATE($D38,Milestones!$AA$164)&gt;=$S38),$V38,$U38)))=Milestones!$AB$164),UPPER(TEXT(EDATE($D38,Milestones!$AA$164),"dd mmm yy"))&amp;" "&amp;Milestones!$AB$164&amp;" "&amp;Milestones!$AC$164&amp;";  ","")&amp;IF(AND(EDATE($D38,Milestones!$AA$165)&lt;=AsOfDate,IF($R38=0,$X38,IF(AND($T38&lt;&gt;"",EDATE($D38,Milestones!$AA$165)&gt;=$T38),$W38,IF(AND($S38&lt;&gt;"",EDATE($D38,Milestones!$AA$165)&gt;=$S38),$V38,$U38)))=Milestones!$AB$165),UPPER(TEXT(EDATE($D38,Milestones!$AA$165),"dd mmm yy"))&amp;" "&amp;Milestones!$AB$165&amp;" "&amp;Milestones!$AC$165&amp;";  ","")&amp;IF(AND(EDATE($D38,Milestones!$AA$166)&lt;=AsOfDate,IF($R38=0,$X38,IF(AND($T38&lt;&gt;"",EDATE($D38,Milestones!$AA$166)&gt;=$T38),$W38,IF(AND($S38&lt;&gt;"",EDATE($D38,Milestones!$AA$166)&gt;=$S38),$V38,$U38)))=Milestones!$AB$166),UPPER(TEXT(EDATE($D38,Milestones!$AA$166),"dd mmm yy"))&amp;" "&amp;Milestones!$AB$166&amp;" "&amp;Milestones!$AC$166&amp;";  ","")&amp;IF(AND(EDATE($D38,Milestones!$AA$167)&lt;=AsOfDate,IF($R38=0,$X38,IF(AND($T38&lt;&gt;"",EDATE($D38,Milestones!$AA$167)&gt;=$T38),$W38,IF(AND($S38&lt;&gt;"",EDATE($D38,Milestones!$AA$167)&gt;=$S38),$V38,$U38)))=Milestones!$AB$167),UPPER(TEXT(EDATE($D38,Milestones!$AA$167),"dd mmm yy"))&amp;" "&amp;Milestones!$AB$167&amp;" "&amp;Milestones!$AC$167&amp;";  ","")&amp;IF(AND(EDATE($D38,Milestones!$AA$168)&lt;=AsOfDate,IF($R38=0,$X38,IF(AND($T38&lt;&gt;"",EDATE($D38,Milestones!$AA$168)&gt;=$T38),$W38,IF(AND($S38&lt;&gt;"",EDATE($D38,Milestones!$AA$168)&gt;=$S38),$V38,$U38)))=Milestones!$AB$168),UPPER(TEXT(EDATE($D38,Milestones!$AA$168),"dd mmm yy"))&amp;" "&amp;Milestones!$AB$168&amp;" "&amp;Milestones!$AC$168&amp;";  ","")&amp;IF(AND(EDATE($D38,Milestones!$AA$169)&lt;=AsOfDate,IF($R38=0,$X38,IF(AND($T38&lt;&gt;"",EDATE($D38,Milestones!$AA$169)&gt;=$T38),$W38,IF(AND($S38&lt;&gt;"",EDATE($D38,Milestones!$AA$169)&gt;=$S38),$V38,$U38)))=Milestones!$AB$169),UPPER(TEXT(EDATE($D38,Milestones!$AA$169),"dd mmm yy"))&amp;" "&amp;Milestones!$AB$169&amp;" "&amp;Milestones!$AC$169&amp;";  ","")&amp;IF(AND(EDATE($D38,Milestones!$AA$170)&lt;=AsOfDate,IF($R38=0,$X38,IF(AND($T38&lt;&gt;"",EDATE($D38,Milestones!$AA$170)&gt;=$T38),$W38,IF(AND($S38&lt;&gt;"",EDATE($D38,Milestones!$AA$170)&gt;=$S38),$V38,$U38)))=Milestones!$AB$170),UPPER(TEXT(EDATE($D38,Milestones!$AA$170),"dd mmm yy"))&amp;" "&amp;Milestones!$AB$170&amp;" "&amp;Milestones!$AC$170&amp;";  ","")&amp;IF(AND(EDATE($D38,Milestones!$AA$171)&lt;=AsOfDate,IF($R38=0,$X38,IF(AND($T38&lt;&gt;"",EDATE($D38,Milestones!$AA$171)&gt;=$T38),$W38,IF(AND($S38&lt;&gt;"",EDATE($D38,Milestones!$AA$171)&gt;=$S38),$V38,$U38)))=Milestones!$AB$171),UPPER(TEXT(EDATE($D38,Milestones!$AA$171),"dd mmm yy"))&amp;" "&amp;Milestones!$AB$171&amp;" "&amp;Milestones!$AC$171&amp;";  ","")&amp;IF(AND(EDATE($D38,Milestones!$AA$172)&lt;=AsOfDate,IF($R38=0,$X38,IF(AND($T38&lt;&gt;"",EDATE($D38,Milestones!$AA$172)&gt;=$T38),$W38,IF(AND($S38&lt;&gt;"",EDATE($D38,Milestones!$AA$172)&gt;=$S38),$V38,$U38)))=Milestones!$AB$172),UPPER(TEXT(EDATE($D38,Milestones!$AA$172),"dd mmm yy"))&amp;" "&amp;Milestones!$AB$172&amp;" "&amp;Milestones!$AC$172&amp;";  ","")&amp;IF(AND(EDATE($D38,Milestones!$AA$173)&lt;=AsOfDate,IF($R38=0,$X38,IF(AND($T38&lt;&gt;"",EDATE($D38,Milestones!$AA$173)&gt;=$T38),$W38,IF(AND($S38&lt;&gt;"",EDATE($D38,Milestones!$AA$173)&gt;=$S38),$V38,$U38)))=Milestones!$AB$173),UPPER(TEXT(EDATE($D38,Milestones!$AA$173),"dd mmm yy"))&amp;" "&amp;Milestones!$AB$173&amp;" "&amp;Milestones!$AC$173&amp;";  ","")&amp;IF(AND(EDATE($D38,Milestones!$AA$174)&lt;=AsOfDate,IF($R38=0,$X38,IF(AND($T38&lt;&gt;"",EDATE($D38,Milestones!$AA$174)&gt;=$T38),$W38,IF(AND($S38&lt;&gt;"",EDATE($D38,Milestones!$AA$174)&gt;=$S38),$V38,$U38)))=Milestones!$AB$174),UPPER(TEXT(EDATE($D38,Milestones!$AA$174),"dd mmm yy"))&amp;" "&amp;Milestones!$AB$174&amp;" "&amp;Milestones!$AC$174&amp;";  ","")&amp;IF(AND(EDATE($D38,Milestones!$AA$175)&lt;=AsOfDate,IF($R38=0,$X38,IF(AND($T38&lt;&gt;"",EDATE($D38,Milestones!$AA$175)&gt;=$T38),$W38,IF(AND($S38&lt;&gt;"",EDATE($D38,Milestones!$AA$175)&gt;=$S38),$V38,$U38)))=Milestones!$AB$175),UPPER(TEXT(EDATE($D38,Milestones!$AA$175),"dd mmm yy"))&amp;" "&amp;Milestones!$AB$175&amp;" "&amp;Milestones!$AC$175&amp;";  ","")&amp;IF(AND(EDATE($D38,Milestones!$AA$176)&lt;=AsOfDate,IF($R38=0,$X38,IF(AND($T38&lt;&gt;"",EDATE($D38,Milestones!$AA$176)&gt;=$T38),$W38,IF(AND($S38&lt;&gt;"",EDATE($D38,Milestones!$AA$176)&gt;=$S38),$V38,$U38)))=Milestones!$AB$176),UPPER(TEXT(EDATE($D38,Milestones!$AA$176),"dd mmm yy"))&amp;" "&amp;Milestones!$AB$176&amp;" "&amp;Milestones!$AC$176&amp;";  ","")&amp;IF(AND(EDATE($D38,Milestones!$AA$177)&lt;=AsOfDate,IF($R38=0,$X38,IF(AND($T38&lt;&gt;"",EDATE($D38,Milestones!$AA$177)&gt;=$T38),$W38,IF(AND($S38&lt;&gt;"",EDATE($D38,Milestones!$AA$177)&gt;=$S38),$V38,$U38)))=Milestones!$AB$177),UPPER(TEXT(EDATE($D38,Milestones!$AA$177),"dd mmm yy"))&amp;" "&amp;Milestones!$AB$177&amp;" "&amp;Milestones!$AC$177&amp;";  ","")&amp;IF(AND(EDATE($D38,Milestones!$AA$178)&lt;=AsOfDate,IF($R38=0,$X38,IF(AND($T38&lt;&gt;"",EDATE($D38,Milestones!$AA$178)&gt;=$T38),$W38,IF(AND($S38&lt;&gt;"",EDATE($D38,Milestones!$AA$178)&gt;=$S38),$V38,$U38)))=Milestones!$AB$178),UPPER(TEXT(EDATE($D38,Milestones!$AA$178),"dd mmm yy"))&amp;" "&amp;Milestones!$AB$178&amp;" "&amp;Milestones!$AC$178&amp;";  ","")&amp;IF(AND(EDATE($D38,Milestones!$AA$179)&lt;=AsOfDate,IF($R38=0,$X38,IF(AND($T38&lt;&gt;"",EDATE($D38,Milestones!$AA$179)&gt;=$T38),$W38,IF(AND($S38&lt;&gt;"",EDATE($D38,Milestones!$AA$179)&gt;=$S38),$V38,$U38)))=Milestones!$AB$179),UPPER(TEXT(EDATE($D38,Milestones!$AA$179),"dd mmm yy"))&amp;" "&amp;Milestones!$AB$179&amp;" "&amp;Milestones!$AC$179&amp;";  ",""))</f>
        <v/>
      </c>
      <c r="Q38" s="0" t="str">
        <f aca="false">IF(OR($A38="",$D38=""),"",IF(AND(EDATE($D38,Milestones!$AA$180)&lt;=AsOfDate,IF($R38=0,$X38,IF(AND($T38&lt;&gt;"",EDATE($D38,Milestones!$AA$180)&gt;=$T38),$W38,IF(AND($S38&lt;&gt;"",EDATE($D38,Milestones!$AA$180)&gt;=$S38),$V38,$U38)))=Milestones!$AB$180),UPPER(TEXT(EDATE($D38,Milestones!$AA$180),"dd mmm yy"))&amp;" "&amp;Milestones!$AB$180&amp;" "&amp;Milestones!$AC$180&amp;";  ","")&amp;IF(AND(EDATE($D38,Milestones!$AA$181)&lt;=AsOfDate,IF($R38=0,$X38,IF(AND($T38&lt;&gt;"",EDATE($D38,Milestones!$AA$181)&gt;=$T38),$W38,IF(AND($S38&lt;&gt;"",EDATE($D38,Milestones!$AA$181)&gt;=$S38),$V38,$U38)))=Milestones!$AB$181),UPPER(TEXT(EDATE($D38,Milestones!$AA$181),"dd mmm yy"))&amp;" "&amp;Milestones!$AB$181&amp;" "&amp;Milestones!$AC$181&amp;";  ","")&amp;IF(AND(EDATE($D38,Milestones!$AA$182)&lt;=AsOfDate,IF($R38=0,$X38,IF(AND($T38&lt;&gt;"",EDATE($D38,Milestones!$AA$182)&gt;=$T38),$W38,IF(AND($S38&lt;&gt;"",EDATE($D38,Milestones!$AA$182)&gt;=$S38),$V38,$U38)))=Milestones!$AB$182),UPPER(TEXT(EDATE($D38,Milestones!$AA$182),"dd mmm yy"))&amp;" "&amp;Milestones!$AB$182&amp;" "&amp;Milestones!$AC$182&amp;";  ","")&amp;IF(AND(EDATE($D38,Milestones!$AA$183)&lt;=AsOfDate,IF($R38=0,$X38,IF(AND($T38&lt;&gt;"",EDATE($D38,Milestones!$AA$183)&gt;=$T38),$W38,IF(AND($S38&lt;&gt;"",EDATE($D38,Milestones!$AA$183)&gt;=$S38),$V38,$U38)))=Milestones!$AB$183),UPPER(TEXT(EDATE($D38,Milestones!$AA$183),"dd mmm yy"))&amp;" "&amp;Milestones!$AB$183&amp;" "&amp;Milestones!$AC$183&amp;";  ","")&amp;IF(AND(EDATE($D38,Milestones!$AA$184)&lt;=AsOfDate,IF($R38=0,$X38,IF(AND($T38&lt;&gt;"",EDATE($D38,Milestones!$AA$184)&gt;=$T38),$W38,IF(AND($S38&lt;&gt;"",EDATE($D38,Milestones!$AA$184)&gt;=$S38),$V38,$U38)))=Milestones!$AB$184),UPPER(TEXT(EDATE($D38,Milestones!$AA$184),"dd mmm yy"))&amp;" "&amp;Milestones!$AB$184&amp;" "&amp;Milestones!$AC$184&amp;";  ","")&amp;IF(AND(EDATE($D38,Milestones!$AA$185)&lt;=AsOfDate,IF($R38=0,$X38,IF(AND($T38&lt;&gt;"",EDATE($D38,Milestones!$AA$185)&gt;=$T38),$W38,IF(AND($S38&lt;&gt;"",EDATE($D38,Milestones!$AA$185)&gt;=$S38),$V38,$U38)))=Milestones!$AB$185),UPPER(TEXT(EDATE($D38,Milestones!$AA$185),"dd mmm yy"))&amp;" "&amp;Milestones!$AB$185&amp;" "&amp;Milestones!$AC$185&amp;";  ","")&amp;IF(AND(EDATE($D38,Milestones!$AA$186)&lt;=AsOfDate,IF($R38=0,$X38,IF(AND($T38&lt;&gt;"",EDATE($D38,Milestones!$AA$186)&gt;=$T38),$W38,IF(AND($S38&lt;&gt;"",EDATE($D38,Milestones!$AA$186)&gt;=$S38),$V38,$U38)))=Milestones!$AB$186),UPPER(TEXT(EDATE($D38,Milestones!$AA$186),"dd mmm yy"))&amp;" "&amp;Milestones!$AB$186&amp;" "&amp;Milestones!$AC$186&amp;";  ","")&amp;IF(AND(EDATE($D38,Milestones!$AA$187)&lt;=AsOfDate,IF($R38=0,$X38,IF(AND($T38&lt;&gt;"",EDATE($D38,Milestones!$AA$187)&gt;=$T38),$W38,IF(AND($S38&lt;&gt;"",EDATE($D38,Milestones!$AA$187)&gt;=$S38),$V38,$U38)))=Milestones!$AB$187),UPPER(TEXT(EDATE($D38,Milestones!$AA$187),"dd mmm yy"))&amp;" "&amp;Milestones!$AB$187&amp;" "&amp;Milestones!$AC$187&amp;";  ","")&amp;IF(AND(EDATE($D38,Milestones!$AA$188)&lt;=AsOfDate,IF($R38=0,$X38,IF(AND($T38&lt;&gt;"",EDATE($D38,Milestones!$AA$188)&gt;=$T38),$W38,IF(AND($S38&lt;&gt;"",EDATE($D38,Milestones!$AA$188)&gt;=$S38),$V38,$U38)))=Milestones!$AB$188),UPPER(TEXT(EDATE($D38,Milestones!$AA$188),"dd mmm yy"))&amp;" "&amp;Milestones!$AB$188&amp;" "&amp;Milestones!$AC$188&amp;";  ","")&amp;IF(AND(EDATE($D38,Milestones!$AA$189)&lt;=AsOfDate,IF($R38=0,$X38,IF(AND($T38&lt;&gt;"",EDATE($D38,Milestones!$AA$189)&gt;=$T38),$W38,IF(AND($S38&lt;&gt;"",EDATE($D38,Milestones!$AA$189)&gt;=$S38),$V38,$U38)))=Milestones!$AB$189),UPPER(TEXT(EDATE($D38,Milestones!$AA$189),"dd mmm yy"))&amp;" "&amp;Milestones!$AB$189&amp;" "&amp;Milestones!$AC$189&amp;";  ","")&amp;IF(AND(EDATE($D38,Milestones!$AA$190)&lt;=AsOfDate,IF($R38=0,$X38,IF(AND($T38&lt;&gt;"",EDATE($D38,Milestones!$AA$190)&gt;=$T38),$W38,IF(AND($S38&lt;&gt;"",EDATE($D38,Milestones!$AA$190)&gt;=$S38),$V38,$U38)))=Milestones!$AB$190),UPPER(TEXT(EDATE($D38,Milestones!$AA$190),"dd mmm yy"))&amp;" "&amp;Milestones!$AB$190&amp;" "&amp;Milestones!$AC$190&amp;";  ","")&amp;IF(AND(EDATE($D38,Milestones!$AA$191)&lt;=AsOfDate,IF($R38=0,$X38,IF(AND($T38&lt;&gt;"",EDATE($D38,Milestones!$AA$191)&gt;=$T38),$W38,IF(AND($S38&lt;&gt;"",EDATE($D38,Milestones!$AA$191)&gt;=$S38),$V38,$U38)))=Milestones!$AB$191),UPPER(TEXT(EDATE($D38,Milestones!$AA$191),"dd mmm yy"))&amp;" "&amp;Milestones!$AB$191&amp;" "&amp;Milestones!$AC$191&amp;";  ","")&amp;IF(AND(EDATE($D38,Milestones!$AA$192)&lt;=AsOfDate,IF($R38=0,$X38,IF(AND($T38&lt;&gt;"",EDATE($D38,Milestones!$AA$192)&gt;=$T38),$W38,IF(AND($S38&lt;&gt;"",EDATE($D38,Milestones!$AA$192)&gt;=$S38),$V38,$U38)))=Milestones!$AB$192),UPPER(TEXT(EDATE($D38,Milestones!$AA$192),"dd mmm yy"))&amp;" "&amp;Milestones!$AB$192&amp;" "&amp;Milestones!$AC$192&amp;";  ","")&amp;IF(AND(EDATE($D38,Milestones!$AA$193)&lt;=AsOfDate,IF($R38=0,$X38,IF(AND($T38&lt;&gt;"",EDATE($D38,Milestones!$AA$193)&gt;=$T38),$W38,IF(AND($S38&lt;&gt;"",EDATE($D38,Milestones!$AA$193)&gt;=$S38),$V38,$U38)))=Milestones!$AB$193),UPPER(TEXT(EDATE($D38,Milestones!$AA$193),"dd mmm yy"))&amp;" "&amp;Milestones!$AB$193&amp;" "&amp;Milestones!$AC$193&amp;";  ","")&amp;IF(AND(EDATE($D38,Milestones!$AA$194)&lt;=AsOfDate,IF($R38=0,$X38,IF(AND($T38&lt;&gt;"",EDATE($D38,Milestones!$AA$194)&gt;=$T38),$W38,IF(AND($S38&lt;&gt;"",EDATE($D38,Milestones!$AA$194)&gt;=$S38),$V38,$U38)))=Milestones!$AB$194),UPPER(TEXT(EDATE($D38,Milestones!$AA$194),"dd mmm yy"))&amp;" "&amp;Milestones!$AB$194&amp;" "&amp;Milestones!$AC$194&amp;";  ","")&amp;IF(AND(EDATE($D38,Milestones!$AA$195)&lt;=AsOfDate,IF($R38=0,$X38,IF(AND($T38&lt;&gt;"",EDATE($D38,Milestones!$AA$195)&gt;=$T38),$W38,IF(AND($S38&lt;&gt;"",EDATE($D38,Milestones!$AA$195)&gt;=$S38),$V38,$U38)))=Milestones!$AB$195),UPPER(TEXT(EDATE($D38,Milestones!$AA$195),"dd mmm yy"))&amp;" "&amp;Milestones!$AB$195&amp;" "&amp;Milestones!$AC$195&amp;";  ","")&amp;IF(AND(EDATE($D38,Milestones!$AA$196)&lt;=AsOfDate,IF($R38=0,$X38,IF(AND($T38&lt;&gt;"",EDATE($D38,Milestones!$AA$196)&gt;=$T38),$W38,IF(AND($S38&lt;&gt;"",EDATE($D38,Milestones!$AA$196)&gt;=$S38),$V38,$U38)))=Milestones!$AB$196),UPPER(TEXT(EDATE($D38,Milestones!$AA$196),"dd mmm yy"))&amp;" "&amp;Milestones!$AB$196&amp;" "&amp;Milestones!$AC$196&amp;";  ","")&amp;IF(AND(EDATE($D38,Milestones!$AA$197)&lt;=AsOfDate,IF($R38=0,$X38,IF(AND($T38&lt;&gt;"",EDATE($D38,Milestones!$AA$197)&gt;=$T38),$W38,IF(AND($S38&lt;&gt;"",EDATE($D38,Milestones!$AA$197)&gt;=$S38),$V38,$U38)))=Milestones!$AB$197),UPPER(TEXT(EDATE($D38,Milestones!$AA$197),"dd mmm yy"))&amp;" "&amp;Milestones!$AB$197&amp;" "&amp;Milestones!$AC$197&amp;";  ","")&amp;IF(AND(EDATE($D38,Milestones!$AA$198)&lt;=AsOfDate,IF($R38=0,$X38,IF(AND($T38&lt;&gt;"",EDATE($D38,Milestones!$AA$198)&gt;=$T38),$W38,IF(AND($S38&lt;&gt;"",EDATE($D38,Milestones!$AA$198)&gt;=$S38),$V38,$U38)))=Milestones!$AB$198),UPPER(TEXT(EDATE($D38,Milestones!$AA$198),"dd mmm yy"))&amp;" "&amp;Milestones!$AB$198&amp;" "&amp;Milestones!$AC$198&amp;";  ","")&amp;IF(AND(EDATE($D38,Milestones!$AA$199)&lt;=AsOfDate,IF($R38=0,$X38,IF(AND($T38&lt;&gt;"",EDATE($D38,Milestones!$AA$199)&gt;=$T38),$W38,IF(AND($S38&lt;&gt;"",EDATE($D38,Milestones!$AA$199)&gt;=$S38),$V38,$U38)))=Milestones!$AB$199),UPPER(TEXT(EDATE($D38,Milestones!$AA$199),"dd mmm yy"))&amp;" "&amp;Milestones!$AB$199&amp;" "&amp;Milestones!$AC$199&amp;";  ",""))</f>
        <v/>
      </c>
      <c r="R38" s="33" t="n">
        <f aca="false">IF(Staff!$A38="","",Staff!$AI38)</f>
        <v>0</v>
      </c>
      <c r="S38" s="0" t="str">
        <f aca="false">IF(Staff!$A38="","",Staff!$AK38)</f>
        <v/>
      </c>
      <c r="T38" s="0" t="str">
        <f aca="false">IF(Staff!$A38="","",Staff!$AL38)</f>
        <v/>
      </c>
      <c r="U38" s="0" t="str">
        <f aca="false">IF(Staff!$A38="","",Staff!$AP38)</f>
        <v>None</v>
      </c>
      <c r="V38" s="0" t="str">
        <f aca="false">IF(Staff!$A38="","",Staff!$AQ38)</f>
        <v/>
      </c>
      <c r="W38" s="0" t="str">
        <f aca="false">IF(Staff!$A38="","",Staff!$AR38)</f>
        <v/>
      </c>
      <c r="X38" s="0" t="str">
        <f aca="false">IF(Staff!$A38="","",Staff!$AS38)</f>
        <v>None</v>
      </c>
    </row>
    <row r="39" customFormat="false" ht="15" hidden="false" customHeight="false" outlineLevel="0" collapsed="false">
      <c r="A39" s="19" t="str">
        <f aca="false">IF(Staff!$A39="","",Staff!$A39)</f>
        <v>James</v>
      </c>
      <c r="B39" s="19" t="str">
        <f aca="false">IF(Staff!$A39="","",Staff!$B39)</f>
        <v>BUTLER</v>
      </c>
      <c r="C39" s="19" t="str">
        <f aca="false">IF(Staff!$A39="","",Staff!$C39)</f>
        <v>Casual</v>
      </c>
      <c r="D39" s="17" t="n">
        <f aca="false">IF(Staff!$A39="","",Staff!$AH39)</f>
        <v>46146</v>
      </c>
      <c r="E39" s="20" t="n">
        <f aca="false">IF(Staff!$A39="","",Staff!$O39)</f>
        <v>0</v>
      </c>
      <c r="F39" s="19" t="n">
        <f aca="false">IF(E39="","",E39*HoursPerDay)</f>
        <v>0</v>
      </c>
      <c r="G39" s="20" t="n">
        <f aca="false">IF(Staff!$A39="","",Staff!$AE39)</f>
        <v>0</v>
      </c>
      <c r="H39" s="32" t="str">
        <f aca="false">IF($A39="","",I39&amp;J39&amp;K39&amp;L39&amp;M39&amp;N39&amp;O39&amp;P39&amp;Q39)</f>
        <v/>
      </c>
      <c r="I39" s="0" t="str">
        <f aca="false">IF(OR($A39="",$D39=""),"",IF(AND(EDATE($D39,Milestones!$AA$20)&lt;=AsOfDate,IF($R39=0,$X39,IF(AND($T39&lt;&gt;"",EDATE($D39,Milestones!$AA$20)&gt;=$T39),$W39,IF(AND($S39&lt;&gt;"",EDATE($D39,Milestones!$AA$20)&gt;=$S39),$V39,$U39)))=Milestones!$AB$20),UPPER(TEXT(EDATE($D39,Milestones!$AA$20),"dd mmm yy"))&amp;" "&amp;Milestones!$AB$20&amp;" "&amp;Milestones!$AC$20&amp;";  ","")&amp;IF(AND(EDATE($D39,Milestones!$AA$21)&lt;=AsOfDate,IF($R39=0,$X39,IF(AND($T39&lt;&gt;"",EDATE($D39,Milestones!$AA$21)&gt;=$T39),$W39,IF(AND($S39&lt;&gt;"",EDATE($D39,Milestones!$AA$21)&gt;=$S39),$V39,$U39)))=Milestones!$AB$21),UPPER(TEXT(EDATE($D39,Milestones!$AA$21),"dd mmm yy"))&amp;" "&amp;Milestones!$AB$21&amp;" "&amp;Milestones!$AC$21&amp;";  ","")&amp;IF(AND(EDATE($D39,Milestones!$AA$22)&lt;=AsOfDate,IF($R39=0,$X39,IF(AND($T39&lt;&gt;"",EDATE($D39,Milestones!$AA$22)&gt;=$T39),$W39,IF(AND($S39&lt;&gt;"",EDATE($D39,Milestones!$AA$22)&gt;=$S39),$V39,$U39)))=Milestones!$AB$22),UPPER(TEXT(EDATE($D39,Milestones!$AA$22),"dd mmm yy"))&amp;" "&amp;Milestones!$AB$22&amp;" "&amp;Milestones!$AC$22&amp;";  ","")&amp;IF(AND(EDATE($D39,Milestones!$AA$23)&lt;=AsOfDate,IF($R39=0,$X39,IF(AND($T39&lt;&gt;"",EDATE($D39,Milestones!$AA$23)&gt;=$T39),$W39,IF(AND($S39&lt;&gt;"",EDATE($D39,Milestones!$AA$23)&gt;=$S39),$V39,$U39)))=Milestones!$AB$23),UPPER(TEXT(EDATE($D39,Milestones!$AA$23),"dd mmm yy"))&amp;" "&amp;Milestones!$AB$23&amp;" "&amp;Milestones!$AC$23&amp;";  ","")&amp;IF(AND(EDATE($D39,Milestones!$AA$24)&lt;=AsOfDate,IF($R39=0,$X39,IF(AND($T39&lt;&gt;"",EDATE($D39,Milestones!$AA$24)&gt;=$T39),$W39,IF(AND($S39&lt;&gt;"",EDATE($D39,Milestones!$AA$24)&gt;=$S39),$V39,$U39)))=Milestones!$AB$24),UPPER(TEXT(EDATE($D39,Milestones!$AA$24),"dd mmm yy"))&amp;" "&amp;Milestones!$AB$24&amp;" "&amp;Milestones!$AC$24&amp;";  ","")&amp;IF(AND(EDATE($D39,Milestones!$AA$25)&lt;=AsOfDate,IF($R39=0,$X39,IF(AND($T39&lt;&gt;"",EDATE($D39,Milestones!$AA$25)&gt;=$T39),$W39,IF(AND($S39&lt;&gt;"",EDATE($D39,Milestones!$AA$25)&gt;=$S39),$V39,$U39)))=Milestones!$AB$25),UPPER(TEXT(EDATE($D39,Milestones!$AA$25),"dd mmm yy"))&amp;" "&amp;Milestones!$AB$25&amp;" "&amp;Milestones!$AC$25&amp;";  ","")&amp;IF(AND(EDATE($D39,Milestones!$AA$26)&lt;=AsOfDate,IF($R39=0,$X39,IF(AND($T39&lt;&gt;"",EDATE($D39,Milestones!$AA$26)&gt;=$T39),$W39,IF(AND($S39&lt;&gt;"",EDATE($D39,Milestones!$AA$26)&gt;=$S39),$V39,$U39)))=Milestones!$AB$26),UPPER(TEXT(EDATE($D39,Milestones!$AA$26),"dd mmm yy"))&amp;" "&amp;Milestones!$AB$26&amp;" "&amp;Milestones!$AC$26&amp;";  ","")&amp;IF(AND(EDATE($D39,Milestones!$AA$27)&lt;=AsOfDate,IF($R39=0,$X39,IF(AND($T39&lt;&gt;"",EDATE($D39,Milestones!$AA$27)&gt;=$T39),$W39,IF(AND($S39&lt;&gt;"",EDATE($D39,Milestones!$AA$27)&gt;=$S39),$V39,$U39)))=Milestones!$AB$27),UPPER(TEXT(EDATE($D39,Milestones!$AA$27),"dd mmm yy"))&amp;" "&amp;Milestones!$AB$27&amp;" "&amp;Milestones!$AC$27&amp;";  ","")&amp;IF(AND(EDATE($D39,Milestones!$AA$28)&lt;=AsOfDate,IF($R39=0,$X39,IF(AND($T39&lt;&gt;"",EDATE($D39,Milestones!$AA$28)&gt;=$T39),$W39,IF(AND($S39&lt;&gt;"",EDATE($D39,Milestones!$AA$28)&gt;=$S39),$V39,$U39)))=Milestones!$AB$28),UPPER(TEXT(EDATE($D39,Milestones!$AA$28),"dd mmm yy"))&amp;" "&amp;Milestones!$AB$28&amp;" "&amp;Milestones!$AC$28&amp;";  ","")&amp;IF(AND(EDATE($D39,Milestones!$AA$29)&lt;=AsOfDate,IF($R39=0,$X39,IF(AND($T39&lt;&gt;"",EDATE($D39,Milestones!$AA$29)&gt;=$T39),$W39,IF(AND($S39&lt;&gt;"",EDATE($D39,Milestones!$AA$29)&gt;=$S39),$V39,$U39)))=Milestones!$AB$29),UPPER(TEXT(EDATE($D39,Milestones!$AA$29),"dd mmm yy"))&amp;" "&amp;Milestones!$AB$29&amp;" "&amp;Milestones!$AC$29&amp;";  ","")&amp;IF(AND(EDATE($D39,Milestones!$AA$30)&lt;=AsOfDate,IF($R39=0,$X39,IF(AND($T39&lt;&gt;"",EDATE($D39,Milestones!$AA$30)&gt;=$T39),$W39,IF(AND($S39&lt;&gt;"",EDATE($D39,Milestones!$AA$30)&gt;=$S39),$V39,$U39)))=Milestones!$AB$30),UPPER(TEXT(EDATE($D39,Milestones!$AA$30),"dd mmm yy"))&amp;" "&amp;Milestones!$AB$30&amp;" "&amp;Milestones!$AC$30&amp;";  ","")&amp;IF(AND(EDATE($D39,Milestones!$AA$31)&lt;=AsOfDate,IF($R39=0,$X39,IF(AND($T39&lt;&gt;"",EDATE($D39,Milestones!$AA$31)&gt;=$T39),$W39,IF(AND($S39&lt;&gt;"",EDATE($D39,Milestones!$AA$31)&gt;=$S39),$V39,$U39)))=Milestones!$AB$31),UPPER(TEXT(EDATE($D39,Milestones!$AA$31),"dd mmm yy"))&amp;" "&amp;Milestones!$AB$31&amp;" "&amp;Milestones!$AC$31&amp;";  ","")&amp;IF(AND(EDATE($D39,Milestones!$AA$32)&lt;=AsOfDate,IF($R39=0,$X39,IF(AND($T39&lt;&gt;"",EDATE($D39,Milestones!$AA$32)&gt;=$T39),$W39,IF(AND($S39&lt;&gt;"",EDATE($D39,Milestones!$AA$32)&gt;=$S39),$V39,$U39)))=Milestones!$AB$32),UPPER(TEXT(EDATE($D39,Milestones!$AA$32),"dd mmm yy"))&amp;" "&amp;Milestones!$AB$32&amp;" "&amp;Milestones!$AC$32&amp;";  ","")&amp;IF(AND(EDATE($D39,Milestones!$AA$33)&lt;=AsOfDate,IF($R39=0,$X39,IF(AND($T39&lt;&gt;"",EDATE($D39,Milestones!$AA$33)&gt;=$T39),$W39,IF(AND($S39&lt;&gt;"",EDATE($D39,Milestones!$AA$33)&gt;=$S39),$V39,$U39)))=Milestones!$AB$33),UPPER(TEXT(EDATE($D39,Milestones!$AA$33),"dd mmm yy"))&amp;" "&amp;Milestones!$AB$33&amp;" "&amp;Milestones!$AC$33&amp;";  ","")&amp;IF(AND(EDATE($D39,Milestones!$AA$34)&lt;=AsOfDate,IF($R39=0,$X39,IF(AND($T39&lt;&gt;"",EDATE($D39,Milestones!$AA$34)&gt;=$T39),$W39,IF(AND($S39&lt;&gt;"",EDATE($D39,Milestones!$AA$34)&gt;=$S39),$V39,$U39)))=Milestones!$AB$34),UPPER(TEXT(EDATE($D39,Milestones!$AA$34),"dd mmm yy"))&amp;" "&amp;Milestones!$AB$34&amp;" "&amp;Milestones!$AC$34&amp;";  ","")&amp;IF(AND(EDATE($D39,Milestones!$AA$35)&lt;=AsOfDate,IF($R39=0,$X39,IF(AND($T39&lt;&gt;"",EDATE($D39,Milestones!$AA$35)&gt;=$T39),$W39,IF(AND($S39&lt;&gt;"",EDATE($D39,Milestones!$AA$35)&gt;=$S39),$V39,$U39)))=Milestones!$AB$35),UPPER(TEXT(EDATE($D39,Milestones!$AA$35),"dd mmm yy"))&amp;" "&amp;Milestones!$AB$35&amp;" "&amp;Milestones!$AC$35&amp;";  ","")&amp;IF(AND(EDATE($D39,Milestones!$AA$36)&lt;=AsOfDate,IF($R39=0,$X39,IF(AND($T39&lt;&gt;"",EDATE($D39,Milestones!$AA$36)&gt;=$T39),$W39,IF(AND($S39&lt;&gt;"",EDATE($D39,Milestones!$AA$36)&gt;=$S39),$V39,$U39)))=Milestones!$AB$36),UPPER(TEXT(EDATE($D39,Milestones!$AA$36),"dd mmm yy"))&amp;" "&amp;Milestones!$AB$36&amp;" "&amp;Milestones!$AC$36&amp;";  ","")&amp;IF(AND(EDATE($D39,Milestones!$AA$37)&lt;=AsOfDate,IF($R39=0,$X39,IF(AND($T39&lt;&gt;"",EDATE($D39,Milestones!$AA$37)&gt;=$T39),$W39,IF(AND($S39&lt;&gt;"",EDATE($D39,Milestones!$AA$37)&gt;=$S39),$V39,$U39)))=Milestones!$AB$37),UPPER(TEXT(EDATE($D39,Milestones!$AA$37),"dd mmm yy"))&amp;" "&amp;Milestones!$AB$37&amp;" "&amp;Milestones!$AC$37&amp;";  ","")&amp;IF(AND(EDATE($D39,Milestones!$AA$38)&lt;=AsOfDate,IF($R39=0,$X39,IF(AND($T39&lt;&gt;"",EDATE($D39,Milestones!$AA$38)&gt;=$T39),$W39,IF(AND($S39&lt;&gt;"",EDATE($D39,Milestones!$AA$38)&gt;=$S39),$V39,$U39)))=Milestones!$AB$38),UPPER(TEXT(EDATE($D39,Milestones!$AA$38),"dd mmm yy"))&amp;" "&amp;Milestones!$AB$38&amp;" "&amp;Milestones!$AC$38&amp;";  ","")&amp;IF(AND(EDATE($D39,Milestones!$AA$39)&lt;=AsOfDate,IF($R39=0,$X39,IF(AND($T39&lt;&gt;"",EDATE($D39,Milestones!$AA$39)&gt;=$T39),$W39,IF(AND($S39&lt;&gt;"",EDATE($D39,Milestones!$AA$39)&gt;=$S39),$V39,$U39)))=Milestones!$AB$39),UPPER(TEXT(EDATE($D39,Milestones!$AA$39),"dd mmm yy"))&amp;" "&amp;Milestones!$AB$39&amp;" "&amp;Milestones!$AC$39&amp;";  ",""))</f>
        <v/>
      </c>
      <c r="J39" s="0" t="str">
        <f aca="false">IF(OR($A39="",$D39=""),"",IF(AND(EDATE($D39,Milestones!$AA$40)&lt;=AsOfDate,IF($R39=0,$X39,IF(AND($T39&lt;&gt;"",EDATE($D39,Milestones!$AA$40)&gt;=$T39),$W39,IF(AND($S39&lt;&gt;"",EDATE($D39,Milestones!$AA$40)&gt;=$S39),$V39,$U39)))=Milestones!$AB$40),UPPER(TEXT(EDATE($D39,Milestones!$AA$40),"dd mmm yy"))&amp;" "&amp;Milestones!$AB$40&amp;" "&amp;Milestones!$AC$40&amp;";  ","")&amp;IF(AND(EDATE($D39,Milestones!$AA$41)&lt;=AsOfDate,IF($R39=0,$X39,IF(AND($T39&lt;&gt;"",EDATE($D39,Milestones!$AA$41)&gt;=$T39),$W39,IF(AND($S39&lt;&gt;"",EDATE($D39,Milestones!$AA$41)&gt;=$S39),$V39,$U39)))=Milestones!$AB$41),UPPER(TEXT(EDATE($D39,Milestones!$AA$41),"dd mmm yy"))&amp;" "&amp;Milestones!$AB$41&amp;" "&amp;Milestones!$AC$41&amp;";  ","")&amp;IF(AND(EDATE($D39,Milestones!$AA$42)&lt;=AsOfDate,IF($R39=0,$X39,IF(AND($T39&lt;&gt;"",EDATE($D39,Milestones!$AA$42)&gt;=$T39),$W39,IF(AND($S39&lt;&gt;"",EDATE($D39,Milestones!$AA$42)&gt;=$S39),$V39,$U39)))=Milestones!$AB$42),UPPER(TEXT(EDATE($D39,Milestones!$AA$42),"dd mmm yy"))&amp;" "&amp;Milestones!$AB$42&amp;" "&amp;Milestones!$AC$42&amp;";  ","")&amp;IF(AND(EDATE($D39,Milestones!$AA$43)&lt;=AsOfDate,IF($R39=0,$X39,IF(AND($T39&lt;&gt;"",EDATE($D39,Milestones!$AA$43)&gt;=$T39),$W39,IF(AND($S39&lt;&gt;"",EDATE($D39,Milestones!$AA$43)&gt;=$S39),$V39,$U39)))=Milestones!$AB$43),UPPER(TEXT(EDATE($D39,Milestones!$AA$43),"dd mmm yy"))&amp;" "&amp;Milestones!$AB$43&amp;" "&amp;Milestones!$AC$43&amp;";  ","")&amp;IF(AND(EDATE($D39,Milestones!$AA$44)&lt;=AsOfDate,IF($R39=0,$X39,IF(AND($T39&lt;&gt;"",EDATE($D39,Milestones!$AA$44)&gt;=$T39),$W39,IF(AND($S39&lt;&gt;"",EDATE($D39,Milestones!$AA$44)&gt;=$S39),$V39,$U39)))=Milestones!$AB$44),UPPER(TEXT(EDATE($D39,Milestones!$AA$44),"dd mmm yy"))&amp;" "&amp;Milestones!$AB$44&amp;" "&amp;Milestones!$AC$44&amp;";  ","")&amp;IF(AND(EDATE($D39,Milestones!$AA$45)&lt;=AsOfDate,IF($R39=0,$X39,IF(AND($T39&lt;&gt;"",EDATE($D39,Milestones!$AA$45)&gt;=$T39),$W39,IF(AND($S39&lt;&gt;"",EDATE($D39,Milestones!$AA$45)&gt;=$S39),$V39,$U39)))=Milestones!$AB$45),UPPER(TEXT(EDATE($D39,Milestones!$AA$45),"dd mmm yy"))&amp;" "&amp;Milestones!$AB$45&amp;" "&amp;Milestones!$AC$45&amp;";  ","")&amp;IF(AND(EDATE($D39,Milestones!$AA$46)&lt;=AsOfDate,IF($R39=0,$X39,IF(AND($T39&lt;&gt;"",EDATE($D39,Milestones!$AA$46)&gt;=$T39),$W39,IF(AND($S39&lt;&gt;"",EDATE($D39,Milestones!$AA$46)&gt;=$S39),$V39,$U39)))=Milestones!$AB$46),UPPER(TEXT(EDATE($D39,Milestones!$AA$46),"dd mmm yy"))&amp;" "&amp;Milestones!$AB$46&amp;" "&amp;Milestones!$AC$46&amp;";  ","")&amp;IF(AND(EDATE($D39,Milestones!$AA$47)&lt;=AsOfDate,IF($R39=0,$X39,IF(AND($T39&lt;&gt;"",EDATE($D39,Milestones!$AA$47)&gt;=$T39),$W39,IF(AND($S39&lt;&gt;"",EDATE($D39,Milestones!$AA$47)&gt;=$S39),$V39,$U39)))=Milestones!$AB$47),UPPER(TEXT(EDATE($D39,Milestones!$AA$47),"dd mmm yy"))&amp;" "&amp;Milestones!$AB$47&amp;" "&amp;Milestones!$AC$47&amp;";  ","")&amp;IF(AND(EDATE($D39,Milestones!$AA$48)&lt;=AsOfDate,IF($R39=0,$X39,IF(AND($T39&lt;&gt;"",EDATE($D39,Milestones!$AA$48)&gt;=$T39),$W39,IF(AND($S39&lt;&gt;"",EDATE($D39,Milestones!$AA$48)&gt;=$S39),$V39,$U39)))=Milestones!$AB$48),UPPER(TEXT(EDATE($D39,Milestones!$AA$48),"dd mmm yy"))&amp;" "&amp;Milestones!$AB$48&amp;" "&amp;Milestones!$AC$48&amp;";  ","")&amp;IF(AND(EDATE($D39,Milestones!$AA$49)&lt;=AsOfDate,IF($R39=0,$X39,IF(AND($T39&lt;&gt;"",EDATE($D39,Milestones!$AA$49)&gt;=$T39),$W39,IF(AND($S39&lt;&gt;"",EDATE($D39,Milestones!$AA$49)&gt;=$S39),$V39,$U39)))=Milestones!$AB$49),UPPER(TEXT(EDATE($D39,Milestones!$AA$49),"dd mmm yy"))&amp;" "&amp;Milestones!$AB$49&amp;" "&amp;Milestones!$AC$49&amp;";  ","")&amp;IF(AND(EDATE($D39,Milestones!$AA$50)&lt;=AsOfDate,IF($R39=0,$X39,IF(AND($T39&lt;&gt;"",EDATE($D39,Milestones!$AA$50)&gt;=$T39),$W39,IF(AND($S39&lt;&gt;"",EDATE($D39,Milestones!$AA$50)&gt;=$S39),$V39,$U39)))=Milestones!$AB$50),UPPER(TEXT(EDATE($D39,Milestones!$AA$50),"dd mmm yy"))&amp;" "&amp;Milestones!$AB$50&amp;" "&amp;Milestones!$AC$50&amp;";  ","")&amp;IF(AND(EDATE($D39,Milestones!$AA$51)&lt;=AsOfDate,IF($R39=0,$X39,IF(AND($T39&lt;&gt;"",EDATE($D39,Milestones!$AA$51)&gt;=$T39),$W39,IF(AND($S39&lt;&gt;"",EDATE($D39,Milestones!$AA$51)&gt;=$S39),$V39,$U39)))=Milestones!$AB$51),UPPER(TEXT(EDATE($D39,Milestones!$AA$51),"dd mmm yy"))&amp;" "&amp;Milestones!$AB$51&amp;" "&amp;Milestones!$AC$51&amp;";  ","")&amp;IF(AND(EDATE($D39,Milestones!$AA$52)&lt;=AsOfDate,IF($R39=0,$X39,IF(AND($T39&lt;&gt;"",EDATE($D39,Milestones!$AA$52)&gt;=$T39),$W39,IF(AND($S39&lt;&gt;"",EDATE($D39,Milestones!$AA$52)&gt;=$S39),$V39,$U39)))=Milestones!$AB$52),UPPER(TEXT(EDATE($D39,Milestones!$AA$52),"dd mmm yy"))&amp;" "&amp;Milestones!$AB$52&amp;" "&amp;Milestones!$AC$52&amp;";  ","")&amp;IF(AND(EDATE($D39,Milestones!$AA$53)&lt;=AsOfDate,IF($R39=0,$X39,IF(AND($T39&lt;&gt;"",EDATE($D39,Milestones!$AA$53)&gt;=$T39),$W39,IF(AND($S39&lt;&gt;"",EDATE($D39,Milestones!$AA$53)&gt;=$S39),$V39,$U39)))=Milestones!$AB$53),UPPER(TEXT(EDATE($D39,Milestones!$AA$53),"dd mmm yy"))&amp;" "&amp;Milestones!$AB$53&amp;" "&amp;Milestones!$AC$53&amp;";  ","")&amp;IF(AND(EDATE($D39,Milestones!$AA$54)&lt;=AsOfDate,IF($R39=0,$X39,IF(AND($T39&lt;&gt;"",EDATE($D39,Milestones!$AA$54)&gt;=$T39),$W39,IF(AND($S39&lt;&gt;"",EDATE($D39,Milestones!$AA$54)&gt;=$S39),$V39,$U39)))=Milestones!$AB$54),UPPER(TEXT(EDATE($D39,Milestones!$AA$54),"dd mmm yy"))&amp;" "&amp;Milestones!$AB$54&amp;" "&amp;Milestones!$AC$54&amp;";  ","")&amp;IF(AND(EDATE($D39,Milestones!$AA$55)&lt;=AsOfDate,IF($R39=0,$X39,IF(AND($T39&lt;&gt;"",EDATE($D39,Milestones!$AA$55)&gt;=$T39),$W39,IF(AND($S39&lt;&gt;"",EDATE($D39,Milestones!$AA$55)&gt;=$S39),$V39,$U39)))=Milestones!$AB$55),UPPER(TEXT(EDATE($D39,Milestones!$AA$55),"dd mmm yy"))&amp;" "&amp;Milestones!$AB$55&amp;" "&amp;Milestones!$AC$55&amp;";  ","")&amp;IF(AND(EDATE($D39,Milestones!$AA$56)&lt;=AsOfDate,IF($R39=0,$X39,IF(AND($T39&lt;&gt;"",EDATE($D39,Milestones!$AA$56)&gt;=$T39),$W39,IF(AND($S39&lt;&gt;"",EDATE($D39,Milestones!$AA$56)&gt;=$S39),$V39,$U39)))=Milestones!$AB$56),UPPER(TEXT(EDATE($D39,Milestones!$AA$56),"dd mmm yy"))&amp;" "&amp;Milestones!$AB$56&amp;" "&amp;Milestones!$AC$56&amp;";  ","")&amp;IF(AND(EDATE($D39,Milestones!$AA$57)&lt;=AsOfDate,IF($R39=0,$X39,IF(AND($T39&lt;&gt;"",EDATE($D39,Milestones!$AA$57)&gt;=$T39),$W39,IF(AND($S39&lt;&gt;"",EDATE($D39,Milestones!$AA$57)&gt;=$S39),$V39,$U39)))=Milestones!$AB$57),UPPER(TEXT(EDATE($D39,Milestones!$AA$57),"dd mmm yy"))&amp;" "&amp;Milestones!$AB$57&amp;" "&amp;Milestones!$AC$57&amp;";  ","")&amp;IF(AND(EDATE($D39,Milestones!$AA$58)&lt;=AsOfDate,IF($R39=0,$X39,IF(AND($T39&lt;&gt;"",EDATE($D39,Milestones!$AA$58)&gt;=$T39),$W39,IF(AND($S39&lt;&gt;"",EDATE($D39,Milestones!$AA$58)&gt;=$S39),$V39,$U39)))=Milestones!$AB$58),UPPER(TEXT(EDATE($D39,Milestones!$AA$58),"dd mmm yy"))&amp;" "&amp;Milestones!$AB$58&amp;" "&amp;Milestones!$AC$58&amp;";  ","")&amp;IF(AND(EDATE($D39,Milestones!$AA$59)&lt;=AsOfDate,IF($R39=0,$X39,IF(AND($T39&lt;&gt;"",EDATE($D39,Milestones!$AA$59)&gt;=$T39),$W39,IF(AND($S39&lt;&gt;"",EDATE($D39,Milestones!$AA$59)&gt;=$S39),$V39,$U39)))=Milestones!$AB$59),UPPER(TEXT(EDATE($D39,Milestones!$AA$59),"dd mmm yy"))&amp;" "&amp;Milestones!$AB$59&amp;" "&amp;Milestones!$AC$59&amp;";  ",""))</f>
        <v/>
      </c>
      <c r="K39" s="0" t="str">
        <f aca="false">IF(OR($A39="",$D39=""),"",IF(AND(EDATE($D39,Milestones!$AA$60)&lt;=AsOfDate,IF($R39=0,$X39,IF(AND($T39&lt;&gt;"",EDATE($D39,Milestones!$AA$60)&gt;=$T39),$W39,IF(AND($S39&lt;&gt;"",EDATE($D39,Milestones!$AA$60)&gt;=$S39),$V39,$U39)))=Milestones!$AB$60),UPPER(TEXT(EDATE($D39,Milestones!$AA$60),"dd mmm yy"))&amp;" "&amp;Milestones!$AB$60&amp;" "&amp;Milestones!$AC$60&amp;";  ","")&amp;IF(AND(EDATE($D39,Milestones!$AA$61)&lt;=AsOfDate,IF($R39=0,$X39,IF(AND($T39&lt;&gt;"",EDATE($D39,Milestones!$AA$61)&gt;=$T39),$W39,IF(AND($S39&lt;&gt;"",EDATE($D39,Milestones!$AA$61)&gt;=$S39),$V39,$U39)))=Milestones!$AB$61),UPPER(TEXT(EDATE($D39,Milestones!$AA$61),"dd mmm yy"))&amp;" "&amp;Milestones!$AB$61&amp;" "&amp;Milestones!$AC$61&amp;";  ","")&amp;IF(AND(EDATE($D39,Milestones!$AA$62)&lt;=AsOfDate,IF($R39=0,$X39,IF(AND($T39&lt;&gt;"",EDATE($D39,Milestones!$AA$62)&gt;=$T39),$W39,IF(AND($S39&lt;&gt;"",EDATE($D39,Milestones!$AA$62)&gt;=$S39),$V39,$U39)))=Milestones!$AB$62),UPPER(TEXT(EDATE($D39,Milestones!$AA$62),"dd mmm yy"))&amp;" "&amp;Milestones!$AB$62&amp;" "&amp;Milestones!$AC$62&amp;";  ","")&amp;IF(AND(EDATE($D39,Milestones!$AA$63)&lt;=AsOfDate,IF($R39=0,$X39,IF(AND($T39&lt;&gt;"",EDATE($D39,Milestones!$AA$63)&gt;=$T39),$W39,IF(AND($S39&lt;&gt;"",EDATE($D39,Milestones!$AA$63)&gt;=$S39),$V39,$U39)))=Milestones!$AB$63),UPPER(TEXT(EDATE($D39,Milestones!$AA$63),"dd mmm yy"))&amp;" "&amp;Milestones!$AB$63&amp;" "&amp;Milestones!$AC$63&amp;";  ","")&amp;IF(AND(EDATE($D39,Milestones!$AA$64)&lt;=AsOfDate,IF($R39=0,$X39,IF(AND($T39&lt;&gt;"",EDATE($D39,Milestones!$AA$64)&gt;=$T39),$W39,IF(AND($S39&lt;&gt;"",EDATE($D39,Milestones!$AA$64)&gt;=$S39),$V39,$U39)))=Milestones!$AB$64),UPPER(TEXT(EDATE($D39,Milestones!$AA$64),"dd mmm yy"))&amp;" "&amp;Milestones!$AB$64&amp;" "&amp;Milestones!$AC$64&amp;";  ","")&amp;IF(AND(EDATE($D39,Milestones!$AA$65)&lt;=AsOfDate,IF($R39=0,$X39,IF(AND($T39&lt;&gt;"",EDATE($D39,Milestones!$AA$65)&gt;=$T39),$W39,IF(AND($S39&lt;&gt;"",EDATE($D39,Milestones!$AA$65)&gt;=$S39),$V39,$U39)))=Milestones!$AB$65),UPPER(TEXT(EDATE($D39,Milestones!$AA$65),"dd mmm yy"))&amp;" "&amp;Milestones!$AB$65&amp;" "&amp;Milestones!$AC$65&amp;";  ","")&amp;IF(AND(EDATE($D39,Milestones!$AA$66)&lt;=AsOfDate,IF($R39=0,$X39,IF(AND($T39&lt;&gt;"",EDATE($D39,Milestones!$AA$66)&gt;=$T39),$W39,IF(AND($S39&lt;&gt;"",EDATE($D39,Milestones!$AA$66)&gt;=$S39),$V39,$U39)))=Milestones!$AB$66),UPPER(TEXT(EDATE($D39,Milestones!$AA$66),"dd mmm yy"))&amp;" "&amp;Milestones!$AB$66&amp;" "&amp;Milestones!$AC$66&amp;";  ","")&amp;IF(AND(EDATE($D39,Milestones!$AA$67)&lt;=AsOfDate,IF($R39=0,$X39,IF(AND($T39&lt;&gt;"",EDATE($D39,Milestones!$AA$67)&gt;=$T39),$W39,IF(AND($S39&lt;&gt;"",EDATE($D39,Milestones!$AA$67)&gt;=$S39),$V39,$U39)))=Milestones!$AB$67),UPPER(TEXT(EDATE($D39,Milestones!$AA$67),"dd mmm yy"))&amp;" "&amp;Milestones!$AB$67&amp;" "&amp;Milestones!$AC$67&amp;";  ","")&amp;IF(AND(EDATE($D39,Milestones!$AA$68)&lt;=AsOfDate,IF($R39=0,$X39,IF(AND($T39&lt;&gt;"",EDATE($D39,Milestones!$AA$68)&gt;=$T39),$W39,IF(AND($S39&lt;&gt;"",EDATE($D39,Milestones!$AA$68)&gt;=$S39),$V39,$U39)))=Milestones!$AB$68),UPPER(TEXT(EDATE($D39,Milestones!$AA$68),"dd mmm yy"))&amp;" "&amp;Milestones!$AB$68&amp;" "&amp;Milestones!$AC$68&amp;";  ","")&amp;IF(AND(EDATE($D39,Milestones!$AA$69)&lt;=AsOfDate,IF($R39=0,$X39,IF(AND($T39&lt;&gt;"",EDATE($D39,Milestones!$AA$69)&gt;=$T39),$W39,IF(AND($S39&lt;&gt;"",EDATE($D39,Milestones!$AA$69)&gt;=$S39),$V39,$U39)))=Milestones!$AB$69),UPPER(TEXT(EDATE($D39,Milestones!$AA$69),"dd mmm yy"))&amp;" "&amp;Milestones!$AB$69&amp;" "&amp;Milestones!$AC$69&amp;";  ","")&amp;IF(AND(EDATE($D39,Milestones!$AA$70)&lt;=AsOfDate,IF($R39=0,$X39,IF(AND($T39&lt;&gt;"",EDATE($D39,Milestones!$AA$70)&gt;=$T39),$W39,IF(AND($S39&lt;&gt;"",EDATE($D39,Milestones!$AA$70)&gt;=$S39),$V39,$U39)))=Milestones!$AB$70),UPPER(TEXT(EDATE($D39,Milestones!$AA$70),"dd mmm yy"))&amp;" "&amp;Milestones!$AB$70&amp;" "&amp;Milestones!$AC$70&amp;";  ","")&amp;IF(AND(EDATE($D39,Milestones!$AA$71)&lt;=AsOfDate,IF($R39=0,$X39,IF(AND($T39&lt;&gt;"",EDATE($D39,Milestones!$AA$71)&gt;=$T39),$W39,IF(AND($S39&lt;&gt;"",EDATE($D39,Milestones!$AA$71)&gt;=$S39),$V39,$U39)))=Milestones!$AB$71),UPPER(TEXT(EDATE($D39,Milestones!$AA$71),"dd mmm yy"))&amp;" "&amp;Milestones!$AB$71&amp;" "&amp;Milestones!$AC$71&amp;";  ","")&amp;IF(AND(EDATE($D39,Milestones!$AA$72)&lt;=AsOfDate,IF($R39=0,$X39,IF(AND($T39&lt;&gt;"",EDATE($D39,Milestones!$AA$72)&gt;=$T39),$W39,IF(AND($S39&lt;&gt;"",EDATE($D39,Milestones!$AA$72)&gt;=$S39),$V39,$U39)))=Milestones!$AB$72),UPPER(TEXT(EDATE($D39,Milestones!$AA$72),"dd mmm yy"))&amp;" "&amp;Milestones!$AB$72&amp;" "&amp;Milestones!$AC$72&amp;";  ","")&amp;IF(AND(EDATE($D39,Milestones!$AA$73)&lt;=AsOfDate,IF($R39=0,$X39,IF(AND($T39&lt;&gt;"",EDATE($D39,Milestones!$AA$73)&gt;=$T39),$W39,IF(AND($S39&lt;&gt;"",EDATE($D39,Milestones!$AA$73)&gt;=$S39),$V39,$U39)))=Milestones!$AB$73),UPPER(TEXT(EDATE($D39,Milestones!$AA$73),"dd mmm yy"))&amp;" "&amp;Milestones!$AB$73&amp;" "&amp;Milestones!$AC$73&amp;";  ","")&amp;IF(AND(EDATE($D39,Milestones!$AA$74)&lt;=AsOfDate,IF($R39=0,$X39,IF(AND($T39&lt;&gt;"",EDATE($D39,Milestones!$AA$74)&gt;=$T39),$W39,IF(AND($S39&lt;&gt;"",EDATE($D39,Milestones!$AA$74)&gt;=$S39),$V39,$U39)))=Milestones!$AB$74),UPPER(TEXT(EDATE($D39,Milestones!$AA$74),"dd mmm yy"))&amp;" "&amp;Milestones!$AB$74&amp;" "&amp;Milestones!$AC$74&amp;";  ","")&amp;IF(AND(EDATE($D39,Milestones!$AA$75)&lt;=AsOfDate,IF($R39=0,$X39,IF(AND($T39&lt;&gt;"",EDATE($D39,Milestones!$AA$75)&gt;=$T39),$W39,IF(AND($S39&lt;&gt;"",EDATE($D39,Milestones!$AA$75)&gt;=$S39),$V39,$U39)))=Milestones!$AB$75),UPPER(TEXT(EDATE($D39,Milestones!$AA$75),"dd mmm yy"))&amp;" "&amp;Milestones!$AB$75&amp;" "&amp;Milestones!$AC$75&amp;";  ","")&amp;IF(AND(EDATE($D39,Milestones!$AA$76)&lt;=AsOfDate,IF($R39=0,$X39,IF(AND($T39&lt;&gt;"",EDATE($D39,Milestones!$AA$76)&gt;=$T39),$W39,IF(AND($S39&lt;&gt;"",EDATE($D39,Milestones!$AA$76)&gt;=$S39),$V39,$U39)))=Milestones!$AB$76),UPPER(TEXT(EDATE($D39,Milestones!$AA$76),"dd mmm yy"))&amp;" "&amp;Milestones!$AB$76&amp;" "&amp;Milestones!$AC$76&amp;";  ","")&amp;IF(AND(EDATE($D39,Milestones!$AA$77)&lt;=AsOfDate,IF($R39=0,$X39,IF(AND($T39&lt;&gt;"",EDATE($D39,Milestones!$AA$77)&gt;=$T39),$W39,IF(AND($S39&lt;&gt;"",EDATE($D39,Milestones!$AA$77)&gt;=$S39),$V39,$U39)))=Milestones!$AB$77),UPPER(TEXT(EDATE($D39,Milestones!$AA$77),"dd mmm yy"))&amp;" "&amp;Milestones!$AB$77&amp;" "&amp;Milestones!$AC$77&amp;";  ","")&amp;IF(AND(EDATE($D39,Milestones!$AA$78)&lt;=AsOfDate,IF($R39=0,$X39,IF(AND($T39&lt;&gt;"",EDATE($D39,Milestones!$AA$78)&gt;=$T39),$W39,IF(AND($S39&lt;&gt;"",EDATE($D39,Milestones!$AA$78)&gt;=$S39),$V39,$U39)))=Milestones!$AB$78),UPPER(TEXT(EDATE($D39,Milestones!$AA$78),"dd mmm yy"))&amp;" "&amp;Milestones!$AB$78&amp;" "&amp;Milestones!$AC$78&amp;";  ","")&amp;IF(AND(EDATE($D39,Milestones!$AA$79)&lt;=AsOfDate,IF($R39=0,$X39,IF(AND($T39&lt;&gt;"",EDATE($D39,Milestones!$AA$79)&gt;=$T39),$W39,IF(AND($S39&lt;&gt;"",EDATE($D39,Milestones!$AA$79)&gt;=$S39),$V39,$U39)))=Milestones!$AB$79),UPPER(TEXT(EDATE($D39,Milestones!$AA$79),"dd mmm yy"))&amp;" "&amp;Milestones!$AB$79&amp;" "&amp;Milestones!$AC$79&amp;";  ",""))</f>
        <v/>
      </c>
      <c r="L39" s="0" t="str">
        <f aca="false">IF(OR($A39="",$D39=""),"",IF(AND(EDATE($D39,Milestones!$AA$80)&lt;=AsOfDate,IF($R39=0,$X39,IF(AND($T39&lt;&gt;"",EDATE($D39,Milestones!$AA$80)&gt;=$T39),$W39,IF(AND($S39&lt;&gt;"",EDATE($D39,Milestones!$AA$80)&gt;=$S39),$V39,$U39)))=Milestones!$AB$80),UPPER(TEXT(EDATE($D39,Milestones!$AA$80),"dd mmm yy"))&amp;" "&amp;Milestones!$AB$80&amp;" "&amp;Milestones!$AC$80&amp;";  ","")&amp;IF(AND(EDATE($D39,Milestones!$AA$81)&lt;=AsOfDate,IF($R39=0,$X39,IF(AND($T39&lt;&gt;"",EDATE($D39,Milestones!$AA$81)&gt;=$T39),$W39,IF(AND($S39&lt;&gt;"",EDATE($D39,Milestones!$AA$81)&gt;=$S39),$V39,$U39)))=Milestones!$AB$81),UPPER(TEXT(EDATE($D39,Milestones!$AA$81),"dd mmm yy"))&amp;" "&amp;Milestones!$AB$81&amp;" "&amp;Milestones!$AC$81&amp;";  ","")&amp;IF(AND(EDATE($D39,Milestones!$AA$82)&lt;=AsOfDate,IF($R39=0,$X39,IF(AND($T39&lt;&gt;"",EDATE($D39,Milestones!$AA$82)&gt;=$T39),$W39,IF(AND($S39&lt;&gt;"",EDATE($D39,Milestones!$AA$82)&gt;=$S39),$V39,$U39)))=Milestones!$AB$82),UPPER(TEXT(EDATE($D39,Milestones!$AA$82),"dd mmm yy"))&amp;" "&amp;Milestones!$AB$82&amp;" "&amp;Milestones!$AC$82&amp;";  ","")&amp;IF(AND(EDATE($D39,Milestones!$AA$83)&lt;=AsOfDate,IF($R39=0,$X39,IF(AND($T39&lt;&gt;"",EDATE($D39,Milestones!$AA$83)&gt;=$T39),$W39,IF(AND($S39&lt;&gt;"",EDATE($D39,Milestones!$AA$83)&gt;=$S39),$V39,$U39)))=Milestones!$AB$83),UPPER(TEXT(EDATE($D39,Milestones!$AA$83),"dd mmm yy"))&amp;" "&amp;Milestones!$AB$83&amp;" "&amp;Milestones!$AC$83&amp;";  ","")&amp;IF(AND(EDATE($D39,Milestones!$AA$84)&lt;=AsOfDate,IF($R39=0,$X39,IF(AND($T39&lt;&gt;"",EDATE($D39,Milestones!$AA$84)&gt;=$T39),$W39,IF(AND($S39&lt;&gt;"",EDATE($D39,Milestones!$AA$84)&gt;=$S39),$V39,$U39)))=Milestones!$AB$84),UPPER(TEXT(EDATE($D39,Milestones!$AA$84),"dd mmm yy"))&amp;" "&amp;Milestones!$AB$84&amp;" "&amp;Milestones!$AC$84&amp;";  ","")&amp;IF(AND(EDATE($D39,Milestones!$AA$85)&lt;=AsOfDate,IF($R39=0,$X39,IF(AND($T39&lt;&gt;"",EDATE($D39,Milestones!$AA$85)&gt;=$T39),$W39,IF(AND($S39&lt;&gt;"",EDATE($D39,Milestones!$AA$85)&gt;=$S39),$V39,$U39)))=Milestones!$AB$85),UPPER(TEXT(EDATE($D39,Milestones!$AA$85),"dd mmm yy"))&amp;" "&amp;Milestones!$AB$85&amp;" "&amp;Milestones!$AC$85&amp;";  ","")&amp;IF(AND(EDATE($D39,Milestones!$AA$86)&lt;=AsOfDate,IF($R39=0,$X39,IF(AND($T39&lt;&gt;"",EDATE($D39,Milestones!$AA$86)&gt;=$T39),$W39,IF(AND($S39&lt;&gt;"",EDATE($D39,Milestones!$AA$86)&gt;=$S39),$V39,$U39)))=Milestones!$AB$86),UPPER(TEXT(EDATE($D39,Milestones!$AA$86),"dd mmm yy"))&amp;" "&amp;Milestones!$AB$86&amp;" "&amp;Milestones!$AC$86&amp;";  ","")&amp;IF(AND(EDATE($D39,Milestones!$AA$87)&lt;=AsOfDate,IF($R39=0,$X39,IF(AND($T39&lt;&gt;"",EDATE($D39,Milestones!$AA$87)&gt;=$T39),$W39,IF(AND($S39&lt;&gt;"",EDATE($D39,Milestones!$AA$87)&gt;=$S39),$V39,$U39)))=Milestones!$AB$87),UPPER(TEXT(EDATE($D39,Milestones!$AA$87),"dd mmm yy"))&amp;" "&amp;Milestones!$AB$87&amp;" "&amp;Milestones!$AC$87&amp;";  ","")&amp;IF(AND(EDATE($D39,Milestones!$AA$88)&lt;=AsOfDate,IF($R39=0,$X39,IF(AND($T39&lt;&gt;"",EDATE($D39,Milestones!$AA$88)&gt;=$T39),$W39,IF(AND($S39&lt;&gt;"",EDATE($D39,Milestones!$AA$88)&gt;=$S39),$V39,$U39)))=Milestones!$AB$88),UPPER(TEXT(EDATE($D39,Milestones!$AA$88),"dd mmm yy"))&amp;" "&amp;Milestones!$AB$88&amp;" "&amp;Milestones!$AC$88&amp;";  ","")&amp;IF(AND(EDATE($D39,Milestones!$AA$89)&lt;=AsOfDate,IF($R39=0,$X39,IF(AND($T39&lt;&gt;"",EDATE($D39,Milestones!$AA$89)&gt;=$T39),$W39,IF(AND($S39&lt;&gt;"",EDATE($D39,Milestones!$AA$89)&gt;=$S39),$V39,$U39)))=Milestones!$AB$89),UPPER(TEXT(EDATE($D39,Milestones!$AA$89),"dd mmm yy"))&amp;" "&amp;Milestones!$AB$89&amp;" "&amp;Milestones!$AC$89&amp;";  ","")&amp;IF(AND(EDATE($D39,Milestones!$AA$90)&lt;=AsOfDate,IF($R39=0,$X39,IF(AND($T39&lt;&gt;"",EDATE($D39,Milestones!$AA$90)&gt;=$T39),$W39,IF(AND($S39&lt;&gt;"",EDATE($D39,Milestones!$AA$90)&gt;=$S39),$V39,$U39)))=Milestones!$AB$90),UPPER(TEXT(EDATE($D39,Milestones!$AA$90),"dd mmm yy"))&amp;" "&amp;Milestones!$AB$90&amp;" "&amp;Milestones!$AC$90&amp;";  ","")&amp;IF(AND(EDATE($D39,Milestones!$AA$91)&lt;=AsOfDate,IF($R39=0,$X39,IF(AND($T39&lt;&gt;"",EDATE($D39,Milestones!$AA$91)&gt;=$T39),$W39,IF(AND($S39&lt;&gt;"",EDATE($D39,Milestones!$AA$91)&gt;=$S39),$V39,$U39)))=Milestones!$AB$91),UPPER(TEXT(EDATE($D39,Milestones!$AA$91),"dd mmm yy"))&amp;" "&amp;Milestones!$AB$91&amp;" "&amp;Milestones!$AC$91&amp;";  ","")&amp;IF(AND(EDATE($D39,Milestones!$AA$92)&lt;=AsOfDate,IF($R39=0,$X39,IF(AND($T39&lt;&gt;"",EDATE($D39,Milestones!$AA$92)&gt;=$T39),$W39,IF(AND($S39&lt;&gt;"",EDATE($D39,Milestones!$AA$92)&gt;=$S39),$V39,$U39)))=Milestones!$AB$92),UPPER(TEXT(EDATE($D39,Milestones!$AA$92),"dd mmm yy"))&amp;" "&amp;Milestones!$AB$92&amp;" "&amp;Milestones!$AC$92&amp;";  ","")&amp;IF(AND(EDATE($D39,Milestones!$AA$93)&lt;=AsOfDate,IF($R39=0,$X39,IF(AND($T39&lt;&gt;"",EDATE($D39,Milestones!$AA$93)&gt;=$T39),$W39,IF(AND($S39&lt;&gt;"",EDATE($D39,Milestones!$AA$93)&gt;=$S39),$V39,$U39)))=Milestones!$AB$93),UPPER(TEXT(EDATE($D39,Milestones!$AA$93),"dd mmm yy"))&amp;" "&amp;Milestones!$AB$93&amp;" "&amp;Milestones!$AC$93&amp;";  ","")&amp;IF(AND(EDATE($D39,Milestones!$AA$94)&lt;=AsOfDate,IF($R39=0,$X39,IF(AND($T39&lt;&gt;"",EDATE($D39,Milestones!$AA$94)&gt;=$T39),$W39,IF(AND($S39&lt;&gt;"",EDATE($D39,Milestones!$AA$94)&gt;=$S39),$V39,$U39)))=Milestones!$AB$94),UPPER(TEXT(EDATE($D39,Milestones!$AA$94),"dd mmm yy"))&amp;" "&amp;Milestones!$AB$94&amp;" "&amp;Milestones!$AC$94&amp;";  ","")&amp;IF(AND(EDATE($D39,Milestones!$AA$95)&lt;=AsOfDate,IF($R39=0,$X39,IF(AND($T39&lt;&gt;"",EDATE($D39,Milestones!$AA$95)&gt;=$T39),$W39,IF(AND($S39&lt;&gt;"",EDATE($D39,Milestones!$AA$95)&gt;=$S39),$V39,$U39)))=Milestones!$AB$95),UPPER(TEXT(EDATE($D39,Milestones!$AA$95),"dd mmm yy"))&amp;" "&amp;Milestones!$AB$95&amp;" "&amp;Milestones!$AC$95&amp;";  ","")&amp;IF(AND(EDATE($D39,Milestones!$AA$96)&lt;=AsOfDate,IF($R39=0,$X39,IF(AND($T39&lt;&gt;"",EDATE($D39,Milestones!$AA$96)&gt;=$T39),$W39,IF(AND($S39&lt;&gt;"",EDATE($D39,Milestones!$AA$96)&gt;=$S39),$V39,$U39)))=Milestones!$AB$96),UPPER(TEXT(EDATE($D39,Milestones!$AA$96),"dd mmm yy"))&amp;" "&amp;Milestones!$AB$96&amp;" "&amp;Milestones!$AC$96&amp;";  ","")&amp;IF(AND(EDATE($D39,Milestones!$AA$97)&lt;=AsOfDate,IF($R39=0,$X39,IF(AND($T39&lt;&gt;"",EDATE($D39,Milestones!$AA$97)&gt;=$T39),$W39,IF(AND($S39&lt;&gt;"",EDATE($D39,Milestones!$AA$97)&gt;=$S39),$V39,$U39)))=Milestones!$AB$97),UPPER(TEXT(EDATE($D39,Milestones!$AA$97),"dd mmm yy"))&amp;" "&amp;Milestones!$AB$97&amp;" "&amp;Milestones!$AC$97&amp;";  ","")&amp;IF(AND(EDATE($D39,Milestones!$AA$98)&lt;=AsOfDate,IF($R39=0,$X39,IF(AND($T39&lt;&gt;"",EDATE($D39,Milestones!$AA$98)&gt;=$T39),$W39,IF(AND($S39&lt;&gt;"",EDATE($D39,Milestones!$AA$98)&gt;=$S39),$V39,$U39)))=Milestones!$AB$98),UPPER(TEXT(EDATE($D39,Milestones!$AA$98),"dd mmm yy"))&amp;" "&amp;Milestones!$AB$98&amp;" "&amp;Milestones!$AC$98&amp;";  ","")&amp;IF(AND(EDATE($D39,Milestones!$AA$99)&lt;=AsOfDate,IF($R39=0,$X39,IF(AND($T39&lt;&gt;"",EDATE($D39,Milestones!$AA$99)&gt;=$T39),$W39,IF(AND($S39&lt;&gt;"",EDATE($D39,Milestones!$AA$99)&gt;=$S39),$V39,$U39)))=Milestones!$AB$99),UPPER(TEXT(EDATE($D39,Milestones!$AA$99),"dd mmm yy"))&amp;" "&amp;Milestones!$AB$99&amp;" "&amp;Milestones!$AC$99&amp;";  ",""))</f>
        <v/>
      </c>
      <c r="M39" s="0" t="str">
        <f aca="false">IF(OR($A39="",$D39=""),"",IF(AND(EDATE($D39,Milestones!$AA$100)&lt;=AsOfDate,IF($R39=0,$X39,IF(AND($T39&lt;&gt;"",EDATE($D39,Milestones!$AA$100)&gt;=$T39),$W39,IF(AND($S39&lt;&gt;"",EDATE($D39,Milestones!$AA$100)&gt;=$S39),$V39,$U39)))=Milestones!$AB$100),UPPER(TEXT(EDATE($D39,Milestones!$AA$100),"dd mmm yy"))&amp;" "&amp;Milestones!$AB$100&amp;" "&amp;Milestones!$AC$100&amp;";  ","")&amp;IF(AND(EDATE($D39,Milestones!$AA$101)&lt;=AsOfDate,IF($R39=0,$X39,IF(AND($T39&lt;&gt;"",EDATE($D39,Milestones!$AA$101)&gt;=$T39),$W39,IF(AND($S39&lt;&gt;"",EDATE($D39,Milestones!$AA$101)&gt;=$S39),$V39,$U39)))=Milestones!$AB$101),UPPER(TEXT(EDATE($D39,Milestones!$AA$101),"dd mmm yy"))&amp;" "&amp;Milestones!$AB$101&amp;" "&amp;Milestones!$AC$101&amp;";  ","")&amp;IF(AND(EDATE($D39,Milestones!$AA$102)&lt;=AsOfDate,IF($R39=0,$X39,IF(AND($T39&lt;&gt;"",EDATE($D39,Milestones!$AA$102)&gt;=$T39),$W39,IF(AND($S39&lt;&gt;"",EDATE($D39,Milestones!$AA$102)&gt;=$S39),$V39,$U39)))=Milestones!$AB$102),UPPER(TEXT(EDATE($D39,Milestones!$AA$102),"dd mmm yy"))&amp;" "&amp;Milestones!$AB$102&amp;" "&amp;Milestones!$AC$102&amp;";  ","")&amp;IF(AND(EDATE($D39,Milestones!$AA$103)&lt;=AsOfDate,IF($R39=0,$X39,IF(AND($T39&lt;&gt;"",EDATE($D39,Milestones!$AA$103)&gt;=$T39),$W39,IF(AND($S39&lt;&gt;"",EDATE($D39,Milestones!$AA$103)&gt;=$S39),$V39,$U39)))=Milestones!$AB$103),UPPER(TEXT(EDATE($D39,Milestones!$AA$103),"dd mmm yy"))&amp;" "&amp;Milestones!$AB$103&amp;" "&amp;Milestones!$AC$103&amp;";  ","")&amp;IF(AND(EDATE($D39,Milestones!$AA$104)&lt;=AsOfDate,IF($R39=0,$X39,IF(AND($T39&lt;&gt;"",EDATE($D39,Milestones!$AA$104)&gt;=$T39),$W39,IF(AND($S39&lt;&gt;"",EDATE($D39,Milestones!$AA$104)&gt;=$S39),$V39,$U39)))=Milestones!$AB$104),UPPER(TEXT(EDATE($D39,Milestones!$AA$104),"dd mmm yy"))&amp;" "&amp;Milestones!$AB$104&amp;" "&amp;Milestones!$AC$104&amp;";  ","")&amp;IF(AND(EDATE($D39,Milestones!$AA$105)&lt;=AsOfDate,IF($R39=0,$X39,IF(AND($T39&lt;&gt;"",EDATE($D39,Milestones!$AA$105)&gt;=$T39),$W39,IF(AND($S39&lt;&gt;"",EDATE($D39,Milestones!$AA$105)&gt;=$S39),$V39,$U39)))=Milestones!$AB$105),UPPER(TEXT(EDATE($D39,Milestones!$AA$105),"dd mmm yy"))&amp;" "&amp;Milestones!$AB$105&amp;" "&amp;Milestones!$AC$105&amp;";  ","")&amp;IF(AND(EDATE($D39,Milestones!$AA$106)&lt;=AsOfDate,IF($R39=0,$X39,IF(AND($T39&lt;&gt;"",EDATE($D39,Milestones!$AA$106)&gt;=$T39),$W39,IF(AND($S39&lt;&gt;"",EDATE($D39,Milestones!$AA$106)&gt;=$S39),$V39,$U39)))=Milestones!$AB$106),UPPER(TEXT(EDATE($D39,Milestones!$AA$106),"dd mmm yy"))&amp;" "&amp;Milestones!$AB$106&amp;" "&amp;Milestones!$AC$106&amp;";  ","")&amp;IF(AND(EDATE($D39,Milestones!$AA$107)&lt;=AsOfDate,IF($R39=0,$X39,IF(AND($T39&lt;&gt;"",EDATE($D39,Milestones!$AA$107)&gt;=$T39),$W39,IF(AND($S39&lt;&gt;"",EDATE($D39,Milestones!$AA$107)&gt;=$S39),$V39,$U39)))=Milestones!$AB$107),UPPER(TEXT(EDATE($D39,Milestones!$AA$107),"dd mmm yy"))&amp;" "&amp;Milestones!$AB$107&amp;" "&amp;Milestones!$AC$107&amp;";  ","")&amp;IF(AND(EDATE($D39,Milestones!$AA$108)&lt;=AsOfDate,IF($R39=0,$X39,IF(AND($T39&lt;&gt;"",EDATE($D39,Milestones!$AA$108)&gt;=$T39),$W39,IF(AND($S39&lt;&gt;"",EDATE($D39,Milestones!$AA$108)&gt;=$S39),$V39,$U39)))=Milestones!$AB$108),UPPER(TEXT(EDATE($D39,Milestones!$AA$108),"dd mmm yy"))&amp;" "&amp;Milestones!$AB$108&amp;" "&amp;Milestones!$AC$108&amp;";  ","")&amp;IF(AND(EDATE($D39,Milestones!$AA$109)&lt;=AsOfDate,IF($R39=0,$X39,IF(AND($T39&lt;&gt;"",EDATE($D39,Milestones!$AA$109)&gt;=$T39),$W39,IF(AND($S39&lt;&gt;"",EDATE($D39,Milestones!$AA$109)&gt;=$S39),$V39,$U39)))=Milestones!$AB$109),UPPER(TEXT(EDATE($D39,Milestones!$AA$109),"dd mmm yy"))&amp;" "&amp;Milestones!$AB$109&amp;" "&amp;Milestones!$AC$109&amp;";  ","")&amp;IF(AND(EDATE($D39,Milestones!$AA$110)&lt;=AsOfDate,IF($R39=0,$X39,IF(AND($T39&lt;&gt;"",EDATE($D39,Milestones!$AA$110)&gt;=$T39),$W39,IF(AND($S39&lt;&gt;"",EDATE($D39,Milestones!$AA$110)&gt;=$S39),$V39,$U39)))=Milestones!$AB$110),UPPER(TEXT(EDATE($D39,Milestones!$AA$110),"dd mmm yy"))&amp;" "&amp;Milestones!$AB$110&amp;" "&amp;Milestones!$AC$110&amp;";  ","")&amp;IF(AND(EDATE($D39,Milestones!$AA$111)&lt;=AsOfDate,IF($R39=0,$X39,IF(AND($T39&lt;&gt;"",EDATE($D39,Milestones!$AA$111)&gt;=$T39),$W39,IF(AND($S39&lt;&gt;"",EDATE($D39,Milestones!$AA$111)&gt;=$S39),$V39,$U39)))=Milestones!$AB$111),UPPER(TEXT(EDATE($D39,Milestones!$AA$111),"dd mmm yy"))&amp;" "&amp;Milestones!$AB$111&amp;" "&amp;Milestones!$AC$111&amp;";  ","")&amp;IF(AND(EDATE($D39,Milestones!$AA$112)&lt;=AsOfDate,IF($R39=0,$X39,IF(AND($T39&lt;&gt;"",EDATE($D39,Milestones!$AA$112)&gt;=$T39),$W39,IF(AND($S39&lt;&gt;"",EDATE($D39,Milestones!$AA$112)&gt;=$S39),$V39,$U39)))=Milestones!$AB$112),UPPER(TEXT(EDATE($D39,Milestones!$AA$112),"dd mmm yy"))&amp;" "&amp;Milestones!$AB$112&amp;" "&amp;Milestones!$AC$112&amp;";  ","")&amp;IF(AND(EDATE($D39,Milestones!$AA$113)&lt;=AsOfDate,IF($R39=0,$X39,IF(AND($T39&lt;&gt;"",EDATE($D39,Milestones!$AA$113)&gt;=$T39),$W39,IF(AND($S39&lt;&gt;"",EDATE($D39,Milestones!$AA$113)&gt;=$S39),$V39,$U39)))=Milestones!$AB$113),UPPER(TEXT(EDATE($D39,Milestones!$AA$113),"dd mmm yy"))&amp;" "&amp;Milestones!$AB$113&amp;" "&amp;Milestones!$AC$113&amp;";  ","")&amp;IF(AND(EDATE($D39,Milestones!$AA$114)&lt;=AsOfDate,IF($R39=0,$X39,IF(AND($T39&lt;&gt;"",EDATE($D39,Milestones!$AA$114)&gt;=$T39),$W39,IF(AND($S39&lt;&gt;"",EDATE($D39,Milestones!$AA$114)&gt;=$S39),$V39,$U39)))=Milestones!$AB$114),UPPER(TEXT(EDATE($D39,Milestones!$AA$114),"dd mmm yy"))&amp;" "&amp;Milestones!$AB$114&amp;" "&amp;Milestones!$AC$114&amp;";  ","")&amp;IF(AND(EDATE($D39,Milestones!$AA$115)&lt;=AsOfDate,IF($R39=0,$X39,IF(AND($T39&lt;&gt;"",EDATE($D39,Milestones!$AA$115)&gt;=$T39),$W39,IF(AND($S39&lt;&gt;"",EDATE($D39,Milestones!$AA$115)&gt;=$S39),$V39,$U39)))=Milestones!$AB$115),UPPER(TEXT(EDATE($D39,Milestones!$AA$115),"dd mmm yy"))&amp;" "&amp;Milestones!$AB$115&amp;" "&amp;Milestones!$AC$115&amp;";  ","")&amp;IF(AND(EDATE($D39,Milestones!$AA$116)&lt;=AsOfDate,IF($R39=0,$X39,IF(AND($T39&lt;&gt;"",EDATE($D39,Milestones!$AA$116)&gt;=$T39),$W39,IF(AND($S39&lt;&gt;"",EDATE($D39,Milestones!$AA$116)&gt;=$S39),$V39,$U39)))=Milestones!$AB$116),UPPER(TEXT(EDATE($D39,Milestones!$AA$116),"dd mmm yy"))&amp;" "&amp;Milestones!$AB$116&amp;" "&amp;Milestones!$AC$116&amp;";  ","")&amp;IF(AND(EDATE($D39,Milestones!$AA$117)&lt;=AsOfDate,IF($R39=0,$X39,IF(AND($T39&lt;&gt;"",EDATE($D39,Milestones!$AA$117)&gt;=$T39),$W39,IF(AND($S39&lt;&gt;"",EDATE($D39,Milestones!$AA$117)&gt;=$S39),$V39,$U39)))=Milestones!$AB$117),UPPER(TEXT(EDATE($D39,Milestones!$AA$117),"dd mmm yy"))&amp;" "&amp;Milestones!$AB$117&amp;" "&amp;Milestones!$AC$117&amp;";  ","")&amp;IF(AND(EDATE($D39,Milestones!$AA$118)&lt;=AsOfDate,IF($R39=0,$X39,IF(AND($T39&lt;&gt;"",EDATE($D39,Milestones!$AA$118)&gt;=$T39),$W39,IF(AND($S39&lt;&gt;"",EDATE($D39,Milestones!$AA$118)&gt;=$S39),$V39,$U39)))=Milestones!$AB$118),UPPER(TEXT(EDATE($D39,Milestones!$AA$118),"dd mmm yy"))&amp;" "&amp;Milestones!$AB$118&amp;" "&amp;Milestones!$AC$118&amp;";  ","")&amp;IF(AND(EDATE($D39,Milestones!$AA$119)&lt;=AsOfDate,IF($R39=0,$X39,IF(AND($T39&lt;&gt;"",EDATE($D39,Milestones!$AA$119)&gt;=$T39),$W39,IF(AND($S39&lt;&gt;"",EDATE($D39,Milestones!$AA$119)&gt;=$S39),$V39,$U39)))=Milestones!$AB$119),UPPER(TEXT(EDATE($D39,Milestones!$AA$119),"dd mmm yy"))&amp;" "&amp;Milestones!$AB$119&amp;" "&amp;Milestones!$AC$119&amp;";  ",""))</f>
        <v/>
      </c>
      <c r="N39" s="0" t="str">
        <f aca="false">IF(OR($A39="",$D39=""),"",IF(AND(EDATE($D39,Milestones!$AA$120)&lt;=AsOfDate,IF($R39=0,$X39,IF(AND($T39&lt;&gt;"",EDATE($D39,Milestones!$AA$120)&gt;=$T39),$W39,IF(AND($S39&lt;&gt;"",EDATE($D39,Milestones!$AA$120)&gt;=$S39),$V39,$U39)))=Milestones!$AB$120),UPPER(TEXT(EDATE($D39,Milestones!$AA$120),"dd mmm yy"))&amp;" "&amp;Milestones!$AB$120&amp;" "&amp;Milestones!$AC$120&amp;";  ","")&amp;IF(AND(EDATE($D39,Milestones!$AA$121)&lt;=AsOfDate,IF($R39=0,$X39,IF(AND($T39&lt;&gt;"",EDATE($D39,Milestones!$AA$121)&gt;=$T39),$W39,IF(AND($S39&lt;&gt;"",EDATE($D39,Milestones!$AA$121)&gt;=$S39),$V39,$U39)))=Milestones!$AB$121),UPPER(TEXT(EDATE($D39,Milestones!$AA$121),"dd mmm yy"))&amp;" "&amp;Milestones!$AB$121&amp;" "&amp;Milestones!$AC$121&amp;";  ","")&amp;IF(AND(EDATE($D39,Milestones!$AA$122)&lt;=AsOfDate,IF($R39=0,$X39,IF(AND($T39&lt;&gt;"",EDATE($D39,Milestones!$AA$122)&gt;=$T39),$W39,IF(AND($S39&lt;&gt;"",EDATE($D39,Milestones!$AA$122)&gt;=$S39),$V39,$U39)))=Milestones!$AB$122),UPPER(TEXT(EDATE($D39,Milestones!$AA$122),"dd mmm yy"))&amp;" "&amp;Milestones!$AB$122&amp;" "&amp;Milestones!$AC$122&amp;";  ","")&amp;IF(AND(EDATE($D39,Milestones!$AA$123)&lt;=AsOfDate,IF($R39=0,$X39,IF(AND($T39&lt;&gt;"",EDATE($D39,Milestones!$AA$123)&gt;=$T39),$W39,IF(AND($S39&lt;&gt;"",EDATE($D39,Milestones!$AA$123)&gt;=$S39),$V39,$U39)))=Milestones!$AB$123),UPPER(TEXT(EDATE($D39,Milestones!$AA$123),"dd mmm yy"))&amp;" "&amp;Milestones!$AB$123&amp;" "&amp;Milestones!$AC$123&amp;";  ","")&amp;IF(AND(EDATE($D39,Milestones!$AA$124)&lt;=AsOfDate,IF($R39=0,$X39,IF(AND($T39&lt;&gt;"",EDATE($D39,Milestones!$AA$124)&gt;=$T39),$W39,IF(AND($S39&lt;&gt;"",EDATE($D39,Milestones!$AA$124)&gt;=$S39),$V39,$U39)))=Milestones!$AB$124),UPPER(TEXT(EDATE($D39,Milestones!$AA$124),"dd mmm yy"))&amp;" "&amp;Milestones!$AB$124&amp;" "&amp;Milestones!$AC$124&amp;";  ","")&amp;IF(AND(EDATE($D39,Milestones!$AA$125)&lt;=AsOfDate,IF($R39=0,$X39,IF(AND($T39&lt;&gt;"",EDATE($D39,Milestones!$AA$125)&gt;=$T39),$W39,IF(AND($S39&lt;&gt;"",EDATE($D39,Milestones!$AA$125)&gt;=$S39),$V39,$U39)))=Milestones!$AB$125),UPPER(TEXT(EDATE($D39,Milestones!$AA$125),"dd mmm yy"))&amp;" "&amp;Milestones!$AB$125&amp;" "&amp;Milestones!$AC$125&amp;";  ","")&amp;IF(AND(EDATE($D39,Milestones!$AA$126)&lt;=AsOfDate,IF($R39=0,$X39,IF(AND($T39&lt;&gt;"",EDATE($D39,Milestones!$AA$126)&gt;=$T39),$W39,IF(AND($S39&lt;&gt;"",EDATE($D39,Milestones!$AA$126)&gt;=$S39),$V39,$U39)))=Milestones!$AB$126),UPPER(TEXT(EDATE($D39,Milestones!$AA$126),"dd mmm yy"))&amp;" "&amp;Milestones!$AB$126&amp;" "&amp;Milestones!$AC$126&amp;";  ","")&amp;IF(AND(EDATE($D39,Milestones!$AA$127)&lt;=AsOfDate,IF($R39=0,$X39,IF(AND($T39&lt;&gt;"",EDATE($D39,Milestones!$AA$127)&gt;=$T39),$W39,IF(AND($S39&lt;&gt;"",EDATE($D39,Milestones!$AA$127)&gt;=$S39),$V39,$U39)))=Milestones!$AB$127),UPPER(TEXT(EDATE($D39,Milestones!$AA$127),"dd mmm yy"))&amp;" "&amp;Milestones!$AB$127&amp;" "&amp;Milestones!$AC$127&amp;";  ","")&amp;IF(AND(EDATE($D39,Milestones!$AA$128)&lt;=AsOfDate,IF($R39=0,$X39,IF(AND($T39&lt;&gt;"",EDATE($D39,Milestones!$AA$128)&gt;=$T39),$W39,IF(AND($S39&lt;&gt;"",EDATE($D39,Milestones!$AA$128)&gt;=$S39),$V39,$U39)))=Milestones!$AB$128),UPPER(TEXT(EDATE($D39,Milestones!$AA$128),"dd mmm yy"))&amp;" "&amp;Milestones!$AB$128&amp;" "&amp;Milestones!$AC$128&amp;";  ","")&amp;IF(AND(EDATE($D39,Milestones!$AA$129)&lt;=AsOfDate,IF($R39=0,$X39,IF(AND($T39&lt;&gt;"",EDATE($D39,Milestones!$AA$129)&gt;=$T39),$W39,IF(AND($S39&lt;&gt;"",EDATE($D39,Milestones!$AA$129)&gt;=$S39),$V39,$U39)))=Milestones!$AB$129),UPPER(TEXT(EDATE($D39,Milestones!$AA$129),"dd mmm yy"))&amp;" "&amp;Milestones!$AB$129&amp;" "&amp;Milestones!$AC$129&amp;";  ","")&amp;IF(AND(EDATE($D39,Milestones!$AA$130)&lt;=AsOfDate,IF($R39=0,$X39,IF(AND($T39&lt;&gt;"",EDATE($D39,Milestones!$AA$130)&gt;=$T39),$W39,IF(AND($S39&lt;&gt;"",EDATE($D39,Milestones!$AA$130)&gt;=$S39),$V39,$U39)))=Milestones!$AB$130),UPPER(TEXT(EDATE($D39,Milestones!$AA$130),"dd mmm yy"))&amp;" "&amp;Milestones!$AB$130&amp;" "&amp;Milestones!$AC$130&amp;";  ","")&amp;IF(AND(EDATE($D39,Milestones!$AA$131)&lt;=AsOfDate,IF($R39=0,$X39,IF(AND($T39&lt;&gt;"",EDATE($D39,Milestones!$AA$131)&gt;=$T39),$W39,IF(AND($S39&lt;&gt;"",EDATE($D39,Milestones!$AA$131)&gt;=$S39),$V39,$U39)))=Milestones!$AB$131),UPPER(TEXT(EDATE($D39,Milestones!$AA$131),"dd mmm yy"))&amp;" "&amp;Milestones!$AB$131&amp;" "&amp;Milestones!$AC$131&amp;";  ","")&amp;IF(AND(EDATE($D39,Milestones!$AA$132)&lt;=AsOfDate,IF($R39=0,$X39,IF(AND($T39&lt;&gt;"",EDATE($D39,Milestones!$AA$132)&gt;=$T39),$W39,IF(AND($S39&lt;&gt;"",EDATE($D39,Milestones!$AA$132)&gt;=$S39),$V39,$U39)))=Milestones!$AB$132),UPPER(TEXT(EDATE($D39,Milestones!$AA$132),"dd mmm yy"))&amp;" "&amp;Milestones!$AB$132&amp;" "&amp;Milestones!$AC$132&amp;";  ","")&amp;IF(AND(EDATE($D39,Milestones!$AA$133)&lt;=AsOfDate,IF($R39=0,$X39,IF(AND($T39&lt;&gt;"",EDATE($D39,Milestones!$AA$133)&gt;=$T39),$W39,IF(AND($S39&lt;&gt;"",EDATE($D39,Milestones!$AA$133)&gt;=$S39),$V39,$U39)))=Milestones!$AB$133),UPPER(TEXT(EDATE($D39,Milestones!$AA$133),"dd mmm yy"))&amp;" "&amp;Milestones!$AB$133&amp;" "&amp;Milestones!$AC$133&amp;";  ","")&amp;IF(AND(EDATE($D39,Milestones!$AA$134)&lt;=AsOfDate,IF($R39=0,$X39,IF(AND($T39&lt;&gt;"",EDATE($D39,Milestones!$AA$134)&gt;=$T39),$W39,IF(AND($S39&lt;&gt;"",EDATE($D39,Milestones!$AA$134)&gt;=$S39),$V39,$U39)))=Milestones!$AB$134),UPPER(TEXT(EDATE($D39,Milestones!$AA$134),"dd mmm yy"))&amp;" "&amp;Milestones!$AB$134&amp;" "&amp;Milestones!$AC$134&amp;";  ","")&amp;IF(AND(EDATE($D39,Milestones!$AA$135)&lt;=AsOfDate,IF($R39=0,$X39,IF(AND($T39&lt;&gt;"",EDATE($D39,Milestones!$AA$135)&gt;=$T39),$W39,IF(AND($S39&lt;&gt;"",EDATE($D39,Milestones!$AA$135)&gt;=$S39),$V39,$U39)))=Milestones!$AB$135),UPPER(TEXT(EDATE($D39,Milestones!$AA$135),"dd mmm yy"))&amp;" "&amp;Milestones!$AB$135&amp;" "&amp;Milestones!$AC$135&amp;";  ","")&amp;IF(AND(EDATE($D39,Milestones!$AA$136)&lt;=AsOfDate,IF($R39=0,$X39,IF(AND($T39&lt;&gt;"",EDATE($D39,Milestones!$AA$136)&gt;=$T39),$W39,IF(AND($S39&lt;&gt;"",EDATE($D39,Milestones!$AA$136)&gt;=$S39),$V39,$U39)))=Milestones!$AB$136),UPPER(TEXT(EDATE($D39,Milestones!$AA$136),"dd mmm yy"))&amp;" "&amp;Milestones!$AB$136&amp;" "&amp;Milestones!$AC$136&amp;";  ","")&amp;IF(AND(EDATE($D39,Milestones!$AA$137)&lt;=AsOfDate,IF($R39=0,$X39,IF(AND($T39&lt;&gt;"",EDATE($D39,Milestones!$AA$137)&gt;=$T39),$W39,IF(AND($S39&lt;&gt;"",EDATE($D39,Milestones!$AA$137)&gt;=$S39),$V39,$U39)))=Milestones!$AB$137),UPPER(TEXT(EDATE($D39,Milestones!$AA$137),"dd mmm yy"))&amp;" "&amp;Milestones!$AB$137&amp;" "&amp;Milestones!$AC$137&amp;";  ","")&amp;IF(AND(EDATE($D39,Milestones!$AA$138)&lt;=AsOfDate,IF($R39=0,$X39,IF(AND($T39&lt;&gt;"",EDATE($D39,Milestones!$AA$138)&gt;=$T39),$W39,IF(AND($S39&lt;&gt;"",EDATE($D39,Milestones!$AA$138)&gt;=$S39),$V39,$U39)))=Milestones!$AB$138),UPPER(TEXT(EDATE($D39,Milestones!$AA$138),"dd mmm yy"))&amp;" "&amp;Milestones!$AB$138&amp;" "&amp;Milestones!$AC$138&amp;";  ","")&amp;IF(AND(EDATE($D39,Milestones!$AA$139)&lt;=AsOfDate,IF($R39=0,$X39,IF(AND($T39&lt;&gt;"",EDATE($D39,Milestones!$AA$139)&gt;=$T39),$W39,IF(AND($S39&lt;&gt;"",EDATE($D39,Milestones!$AA$139)&gt;=$S39),$V39,$U39)))=Milestones!$AB$139),UPPER(TEXT(EDATE($D39,Milestones!$AA$139),"dd mmm yy"))&amp;" "&amp;Milestones!$AB$139&amp;" "&amp;Milestones!$AC$139&amp;";  ",""))</f>
        <v/>
      </c>
      <c r="O39" s="0" t="str">
        <f aca="false">IF(OR($A39="",$D39=""),"",IF(AND(EDATE($D39,Milestones!$AA$140)&lt;=AsOfDate,IF($R39=0,$X39,IF(AND($T39&lt;&gt;"",EDATE($D39,Milestones!$AA$140)&gt;=$T39),$W39,IF(AND($S39&lt;&gt;"",EDATE($D39,Milestones!$AA$140)&gt;=$S39),$V39,$U39)))=Milestones!$AB$140),UPPER(TEXT(EDATE($D39,Milestones!$AA$140),"dd mmm yy"))&amp;" "&amp;Milestones!$AB$140&amp;" "&amp;Milestones!$AC$140&amp;";  ","")&amp;IF(AND(EDATE($D39,Milestones!$AA$141)&lt;=AsOfDate,IF($R39=0,$X39,IF(AND($T39&lt;&gt;"",EDATE($D39,Milestones!$AA$141)&gt;=$T39),$W39,IF(AND($S39&lt;&gt;"",EDATE($D39,Milestones!$AA$141)&gt;=$S39),$V39,$U39)))=Milestones!$AB$141),UPPER(TEXT(EDATE($D39,Milestones!$AA$141),"dd mmm yy"))&amp;" "&amp;Milestones!$AB$141&amp;" "&amp;Milestones!$AC$141&amp;";  ","")&amp;IF(AND(EDATE($D39,Milestones!$AA$142)&lt;=AsOfDate,IF($R39=0,$X39,IF(AND($T39&lt;&gt;"",EDATE($D39,Milestones!$AA$142)&gt;=$T39),$W39,IF(AND($S39&lt;&gt;"",EDATE($D39,Milestones!$AA$142)&gt;=$S39),$V39,$U39)))=Milestones!$AB$142),UPPER(TEXT(EDATE($D39,Milestones!$AA$142),"dd mmm yy"))&amp;" "&amp;Milestones!$AB$142&amp;" "&amp;Milestones!$AC$142&amp;";  ","")&amp;IF(AND(EDATE($D39,Milestones!$AA$143)&lt;=AsOfDate,IF($R39=0,$X39,IF(AND($T39&lt;&gt;"",EDATE($D39,Milestones!$AA$143)&gt;=$T39),$W39,IF(AND($S39&lt;&gt;"",EDATE($D39,Milestones!$AA$143)&gt;=$S39),$V39,$U39)))=Milestones!$AB$143),UPPER(TEXT(EDATE($D39,Milestones!$AA$143),"dd mmm yy"))&amp;" "&amp;Milestones!$AB$143&amp;" "&amp;Milestones!$AC$143&amp;";  ","")&amp;IF(AND(EDATE($D39,Milestones!$AA$144)&lt;=AsOfDate,IF($R39=0,$X39,IF(AND($T39&lt;&gt;"",EDATE($D39,Milestones!$AA$144)&gt;=$T39),$W39,IF(AND($S39&lt;&gt;"",EDATE($D39,Milestones!$AA$144)&gt;=$S39),$V39,$U39)))=Milestones!$AB$144),UPPER(TEXT(EDATE($D39,Milestones!$AA$144),"dd mmm yy"))&amp;" "&amp;Milestones!$AB$144&amp;" "&amp;Milestones!$AC$144&amp;";  ","")&amp;IF(AND(EDATE($D39,Milestones!$AA$145)&lt;=AsOfDate,IF($R39=0,$X39,IF(AND($T39&lt;&gt;"",EDATE($D39,Milestones!$AA$145)&gt;=$T39),$W39,IF(AND($S39&lt;&gt;"",EDATE($D39,Milestones!$AA$145)&gt;=$S39),$V39,$U39)))=Milestones!$AB$145),UPPER(TEXT(EDATE($D39,Milestones!$AA$145),"dd mmm yy"))&amp;" "&amp;Milestones!$AB$145&amp;" "&amp;Milestones!$AC$145&amp;";  ","")&amp;IF(AND(EDATE($D39,Milestones!$AA$146)&lt;=AsOfDate,IF($R39=0,$X39,IF(AND($T39&lt;&gt;"",EDATE($D39,Milestones!$AA$146)&gt;=$T39),$W39,IF(AND($S39&lt;&gt;"",EDATE($D39,Milestones!$AA$146)&gt;=$S39),$V39,$U39)))=Milestones!$AB$146),UPPER(TEXT(EDATE($D39,Milestones!$AA$146),"dd mmm yy"))&amp;" "&amp;Milestones!$AB$146&amp;" "&amp;Milestones!$AC$146&amp;";  ","")&amp;IF(AND(EDATE($D39,Milestones!$AA$147)&lt;=AsOfDate,IF($R39=0,$X39,IF(AND($T39&lt;&gt;"",EDATE($D39,Milestones!$AA$147)&gt;=$T39),$W39,IF(AND($S39&lt;&gt;"",EDATE($D39,Milestones!$AA$147)&gt;=$S39),$V39,$U39)))=Milestones!$AB$147),UPPER(TEXT(EDATE($D39,Milestones!$AA$147),"dd mmm yy"))&amp;" "&amp;Milestones!$AB$147&amp;" "&amp;Milestones!$AC$147&amp;";  ","")&amp;IF(AND(EDATE($D39,Milestones!$AA$148)&lt;=AsOfDate,IF($R39=0,$X39,IF(AND($T39&lt;&gt;"",EDATE($D39,Milestones!$AA$148)&gt;=$T39),$W39,IF(AND($S39&lt;&gt;"",EDATE($D39,Milestones!$AA$148)&gt;=$S39),$V39,$U39)))=Milestones!$AB$148),UPPER(TEXT(EDATE($D39,Milestones!$AA$148),"dd mmm yy"))&amp;" "&amp;Milestones!$AB$148&amp;" "&amp;Milestones!$AC$148&amp;";  ","")&amp;IF(AND(EDATE($D39,Milestones!$AA$149)&lt;=AsOfDate,IF($R39=0,$X39,IF(AND($T39&lt;&gt;"",EDATE($D39,Milestones!$AA$149)&gt;=$T39),$W39,IF(AND($S39&lt;&gt;"",EDATE($D39,Milestones!$AA$149)&gt;=$S39),$V39,$U39)))=Milestones!$AB$149),UPPER(TEXT(EDATE($D39,Milestones!$AA$149),"dd mmm yy"))&amp;" "&amp;Milestones!$AB$149&amp;" "&amp;Milestones!$AC$149&amp;";  ","")&amp;IF(AND(EDATE($D39,Milestones!$AA$150)&lt;=AsOfDate,IF($R39=0,$X39,IF(AND($T39&lt;&gt;"",EDATE($D39,Milestones!$AA$150)&gt;=$T39),$W39,IF(AND($S39&lt;&gt;"",EDATE($D39,Milestones!$AA$150)&gt;=$S39),$V39,$U39)))=Milestones!$AB$150),UPPER(TEXT(EDATE($D39,Milestones!$AA$150),"dd mmm yy"))&amp;" "&amp;Milestones!$AB$150&amp;" "&amp;Milestones!$AC$150&amp;";  ","")&amp;IF(AND(EDATE($D39,Milestones!$AA$151)&lt;=AsOfDate,IF($R39=0,$X39,IF(AND($T39&lt;&gt;"",EDATE($D39,Milestones!$AA$151)&gt;=$T39),$W39,IF(AND($S39&lt;&gt;"",EDATE($D39,Milestones!$AA$151)&gt;=$S39),$V39,$U39)))=Milestones!$AB$151),UPPER(TEXT(EDATE($D39,Milestones!$AA$151),"dd mmm yy"))&amp;" "&amp;Milestones!$AB$151&amp;" "&amp;Milestones!$AC$151&amp;";  ","")&amp;IF(AND(EDATE($D39,Milestones!$AA$152)&lt;=AsOfDate,IF($R39=0,$X39,IF(AND($T39&lt;&gt;"",EDATE($D39,Milestones!$AA$152)&gt;=$T39),$W39,IF(AND($S39&lt;&gt;"",EDATE($D39,Milestones!$AA$152)&gt;=$S39),$V39,$U39)))=Milestones!$AB$152),UPPER(TEXT(EDATE($D39,Milestones!$AA$152),"dd mmm yy"))&amp;" "&amp;Milestones!$AB$152&amp;" "&amp;Milestones!$AC$152&amp;";  ","")&amp;IF(AND(EDATE($D39,Milestones!$AA$153)&lt;=AsOfDate,IF($R39=0,$X39,IF(AND($T39&lt;&gt;"",EDATE($D39,Milestones!$AA$153)&gt;=$T39),$W39,IF(AND($S39&lt;&gt;"",EDATE($D39,Milestones!$AA$153)&gt;=$S39),$V39,$U39)))=Milestones!$AB$153),UPPER(TEXT(EDATE($D39,Milestones!$AA$153),"dd mmm yy"))&amp;" "&amp;Milestones!$AB$153&amp;" "&amp;Milestones!$AC$153&amp;";  ","")&amp;IF(AND(EDATE($D39,Milestones!$AA$154)&lt;=AsOfDate,IF($R39=0,$X39,IF(AND($T39&lt;&gt;"",EDATE($D39,Milestones!$AA$154)&gt;=$T39),$W39,IF(AND($S39&lt;&gt;"",EDATE($D39,Milestones!$AA$154)&gt;=$S39),$V39,$U39)))=Milestones!$AB$154),UPPER(TEXT(EDATE($D39,Milestones!$AA$154),"dd mmm yy"))&amp;" "&amp;Milestones!$AB$154&amp;" "&amp;Milestones!$AC$154&amp;";  ","")&amp;IF(AND(EDATE($D39,Milestones!$AA$155)&lt;=AsOfDate,IF($R39=0,$X39,IF(AND($T39&lt;&gt;"",EDATE($D39,Milestones!$AA$155)&gt;=$T39),$W39,IF(AND($S39&lt;&gt;"",EDATE($D39,Milestones!$AA$155)&gt;=$S39),$V39,$U39)))=Milestones!$AB$155),UPPER(TEXT(EDATE($D39,Milestones!$AA$155),"dd mmm yy"))&amp;" "&amp;Milestones!$AB$155&amp;" "&amp;Milestones!$AC$155&amp;";  ","")&amp;IF(AND(EDATE($D39,Milestones!$AA$156)&lt;=AsOfDate,IF($R39=0,$X39,IF(AND($T39&lt;&gt;"",EDATE($D39,Milestones!$AA$156)&gt;=$T39),$W39,IF(AND($S39&lt;&gt;"",EDATE($D39,Milestones!$AA$156)&gt;=$S39),$V39,$U39)))=Milestones!$AB$156),UPPER(TEXT(EDATE($D39,Milestones!$AA$156),"dd mmm yy"))&amp;" "&amp;Milestones!$AB$156&amp;" "&amp;Milestones!$AC$156&amp;";  ","")&amp;IF(AND(EDATE($D39,Milestones!$AA$157)&lt;=AsOfDate,IF($R39=0,$X39,IF(AND($T39&lt;&gt;"",EDATE($D39,Milestones!$AA$157)&gt;=$T39),$W39,IF(AND($S39&lt;&gt;"",EDATE($D39,Milestones!$AA$157)&gt;=$S39),$V39,$U39)))=Milestones!$AB$157),UPPER(TEXT(EDATE($D39,Milestones!$AA$157),"dd mmm yy"))&amp;" "&amp;Milestones!$AB$157&amp;" "&amp;Milestones!$AC$157&amp;";  ","")&amp;IF(AND(EDATE($D39,Milestones!$AA$158)&lt;=AsOfDate,IF($R39=0,$X39,IF(AND($T39&lt;&gt;"",EDATE($D39,Milestones!$AA$158)&gt;=$T39),$W39,IF(AND($S39&lt;&gt;"",EDATE($D39,Milestones!$AA$158)&gt;=$S39),$V39,$U39)))=Milestones!$AB$158),UPPER(TEXT(EDATE($D39,Milestones!$AA$158),"dd mmm yy"))&amp;" "&amp;Milestones!$AB$158&amp;" "&amp;Milestones!$AC$158&amp;";  ","")&amp;IF(AND(EDATE($D39,Milestones!$AA$159)&lt;=AsOfDate,IF($R39=0,$X39,IF(AND($T39&lt;&gt;"",EDATE($D39,Milestones!$AA$159)&gt;=$T39),$W39,IF(AND($S39&lt;&gt;"",EDATE($D39,Milestones!$AA$159)&gt;=$S39),$V39,$U39)))=Milestones!$AB$159),UPPER(TEXT(EDATE($D39,Milestones!$AA$159),"dd mmm yy"))&amp;" "&amp;Milestones!$AB$159&amp;" "&amp;Milestones!$AC$159&amp;";  ",""))</f>
        <v/>
      </c>
      <c r="P39" s="0" t="str">
        <f aca="false">IF(OR($A39="",$D39=""),"",IF(AND(EDATE($D39,Milestones!$AA$160)&lt;=AsOfDate,IF($R39=0,$X39,IF(AND($T39&lt;&gt;"",EDATE($D39,Milestones!$AA$160)&gt;=$T39),$W39,IF(AND($S39&lt;&gt;"",EDATE($D39,Milestones!$AA$160)&gt;=$S39),$V39,$U39)))=Milestones!$AB$160),UPPER(TEXT(EDATE($D39,Milestones!$AA$160),"dd mmm yy"))&amp;" "&amp;Milestones!$AB$160&amp;" "&amp;Milestones!$AC$160&amp;";  ","")&amp;IF(AND(EDATE($D39,Milestones!$AA$161)&lt;=AsOfDate,IF($R39=0,$X39,IF(AND($T39&lt;&gt;"",EDATE($D39,Milestones!$AA$161)&gt;=$T39),$W39,IF(AND($S39&lt;&gt;"",EDATE($D39,Milestones!$AA$161)&gt;=$S39),$V39,$U39)))=Milestones!$AB$161),UPPER(TEXT(EDATE($D39,Milestones!$AA$161),"dd mmm yy"))&amp;" "&amp;Milestones!$AB$161&amp;" "&amp;Milestones!$AC$161&amp;";  ","")&amp;IF(AND(EDATE($D39,Milestones!$AA$162)&lt;=AsOfDate,IF($R39=0,$X39,IF(AND($T39&lt;&gt;"",EDATE($D39,Milestones!$AA$162)&gt;=$T39),$W39,IF(AND($S39&lt;&gt;"",EDATE($D39,Milestones!$AA$162)&gt;=$S39),$V39,$U39)))=Milestones!$AB$162),UPPER(TEXT(EDATE($D39,Milestones!$AA$162),"dd mmm yy"))&amp;" "&amp;Milestones!$AB$162&amp;" "&amp;Milestones!$AC$162&amp;";  ","")&amp;IF(AND(EDATE($D39,Milestones!$AA$163)&lt;=AsOfDate,IF($R39=0,$X39,IF(AND($T39&lt;&gt;"",EDATE($D39,Milestones!$AA$163)&gt;=$T39),$W39,IF(AND($S39&lt;&gt;"",EDATE($D39,Milestones!$AA$163)&gt;=$S39),$V39,$U39)))=Milestones!$AB$163),UPPER(TEXT(EDATE($D39,Milestones!$AA$163),"dd mmm yy"))&amp;" "&amp;Milestones!$AB$163&amp;" "&amp;Milestones!$AC$163&amp;";  ","")&amp;IF(AND(EDATE($D39,Milestones!$AA$164)&lt;=AsOfDate,IF($R39=0,$X39,IF(AND($T39&lt;&gt;"",EDATE($D39,Milestones!$AA$164)&gt;=$T39),$W39,IF(AND($S39&lt;&gt;"",EDATE($D39,Milestones!$AA$164)&gt;=$S39),$V39,$U39)))=Milestones!$AB$164),UPPER(TEXT(EDATE($D39,Milestones!$AA$164),"dd mmm yy"))&amp;" "&amp;Milestones!$AB$164&amp;" "&amp;Milestones!$AC$164&amp;";  ","")&amp;IF(AND(EDATE($D39,Milestones!$AA$165)&lt;=AsOfDate,IF($R39=0,$X39,IF(AND($T39&lt;&gt;"",EDATE($D39,Milestones!$AA$165)&gt;=$T39),$W39,IF(AND($S39&lt;&gt;"",EDATE($D39,Milestones!$AA$165)&gt;=$S39),$V39,$U39)))=Milestones!$AB$165),UPPER(TEXT(EDATE($D39,Milestones!$AA$165),"dd mmm yy"))&amp;" "&amp;Milestones!$AB$165&amp;" "&amp;Milestones!$AC$165&amp;";  ","")&amp;IF(AND(EDATE($D39,Milestones!$AA$166)&lt;=AsOfDate,IF($R39=0,$X39,IF(AND($T39&lt;&gt;"",EDATE($D39,Milestones!$AA$166)&gt;=$T39),$W39,IF(AND($S39&lt;&gt;"",EDATE($D39,Milestones!$AA$166)&gt;=$S39),$V39,$U39)))=Milestones!$AB$166),UPPER(TEXT(EDATE($D39,Milestones!$AA$166),"dd mmm yy"))&amp;" "&amp;Milestones!$AB$166&amp;" "&amp;Milestones!$AC$166&amp;";  ","")&amp;IF(AND(EDATE($D39,Milestones!$AA$167)&lt;=AsOfDate,IF($R39=0,$X39,IF(AND($T39&lt;&gt;"",EDATE($D39,Milestones!$AA$167)&gt;=$T39),$W39,IF(AND($S39&lt;&gt;"",EDATE($D39,Milestones!$AA$167)&gt;=$S39),$V39,$U39)))=Milestones!$AB$167),UPPER(TEXT(EDATE($D39,Milestones!$AA$167),"dd mmm yy"))&amp;" "&amp;Milestones!$AB$167&amp;" "&amp;Milestones!$AC$167&amp;";  ","")&amp;IF(AND(EDATE($D39,Milestones!$AA$168)&lt;=AsOfDate,IF($R39=0,$X39,IF(AND($T39&lt;&gt;"",EDATE($D39,Milestones!$AA$168)&gt;=$T39),$W39,IF(AND($S39&lt;&gt;"",EDATE($D39,Milestones!$AA$168)&gt;=$S39),$V39,$U39)))=Milestones!$AB$168),UPPER(TEXT(EDATE($D39,Milestones!$AA$168),"dd mmm yy"))&amp;" "&amp;Milestones!$AB$168&amp;" "&amp;Milestones!$AC$168&amp;";  ","")&amp;IF(AND(EDATE($D39,Milestones!$AA$169)&lt;=AsOfDate,IF($R39=0,$X39,IF(AND($T39&lt;&gt;"",EDATE($D39,Milestones!$AA$169)&gt;=$T39),$W39,IF(AND($S39&lt;&gt;"",EDATE($D39,Milestones!$AA$169)&gt;=$S39),$V39,$U39)))=Milestones!$AB$169),UPPER(TEXT(EDATE($D39,Milestones!$AA$169),"dd mmm yy"))&amp;" "&amp;Milestones!$AB$169&amp;" "&amp;Milestones!$AC$169&amp;";  ","")&amp;IF(AND(EDATE($D39,Milestones!$AA$170)&lt;=AsOfDate,IF($R39=0,$X39,IF(AND($T39&lt;&gt;"",EDATE($D39,Milestones!$AA$170)&gt;=$T39),$W39,IF(AND($S39&lt;&gt;"",EDATE($D39,Milestones!$AA$170)&gt;=$S39),$V39,$U39)))=Milestones!$AB$170),UPPER(TEXT(EDATE($D39,Milestones!$AA$170),"dd mmm yy"))&amp;" "&amp;Milestones!$AB$170&amp;" "&amp;Milestones!$AC$170&amp;";  ","")&amp;IF(AND(EDATE($D39,Milestones!$AA$171)&lt;=AsOfDate,IF($R39=0,$X39,IF(AND($T39&lt;&gt;"",EDATE($D39,Milestones!$AA$171)&gt;=$T39),$W39,IF(AND($S39&lt;&gt;"",EDATE($D39,Milestones!$AA$171)&gt;=$S39),$V39,$U39)))=Milestones!$AB$171),UPPER(TEXT(EDATE($D39,Milestones!$AA$171),"dd mmm yy"))&amp;" "&amp;Milestones!$AB$171&amp;" "&amp;Milestones!$AC$171&amp;";  ","")&amp;IF(AND(EDATE($D39,Milestones!$AA$172)&lt;=AsOfDate,IF($R39=0,$X39,IF(AND($T39&lt;&gt;"",EDATE($D39,Milestones!$AA$172)&gt;=$T39),$W39,IF(AND($S39&lt;&gt;"",EDATE($D39,Milestones!$AA$172)&gt;=$S39),$V39,$U39)))=Milestones!$AB$172),UPPER(TEXT(EDATE($D39,Milestones!$AA$172),"dd mmm yy"))&amp;" "&amp;Milestones!$AB$172&amp;" "&amp;Milestones!$AC$172&amp;";  ","")&amp;IF(AND(EDATE($D39,Milestones!$AA$173)&lt;=AsOfDate,IF($R39=0,$X39,IF(AND($T39&lt;&gt;"",EDATE($D39,Milestones!$AA$173)&gt;=$T39),$W39,IF(AND($S39&lt;&gt;"",EDATE($D39,Milestones!$AA$173)&gt;=$S39),$V39,$U39)))=Milestones!$AB$173),UPPER(TEXT(EDATE($D39,Milestones!$AA$173),"dd mmm yy"))&amp;" "&amp;Milestones!$AB$173&amp;" "&amp;Milestones!$AC$173&amp;";  ","")&amp;IF(AND(EDATE($D39,Milestones!$AA$174)&lt;=AsOfDate,IF($R39=0,$X39,IF(AND($T39&lt;&gt;"",EDATE($D39,Milestones!$AA$174)&gt;=$T39),$W39,IF(AND($S39&lt;&gt;"",EDATE($D39,Milestones!$AA$174)&gt;=$S39),$V39,$U39)))=Milestones!$AB$174),UPPER(TEXT(EDATE($D39,Milestones!$AA$174),"dd mmm yy"))&amp;" "&amp;Milestones!$AB$174&amp;" "&amp;Milestones!$AC$174&amp;";  ","")&amp;IF(AND(EDATE($D39,Milestones!$AA$175)&lt;=AsOfDate,IF($R39=0,$X39,IF(AND($T39&lt;&gt;"",EDATE($D39,Milestones!$AA$175)&gt;=$T39),$W39,IF(AND($S39&lt;&gt;"",EDATE($D39,Milestones!$AA$175)&gt;=$S39),$V39,$U39)))=Milestones!$AB$175),UPPER(TEXT(EDATE($D39,Milestones!$AA$175),"dd mmm yy"))&amp;" "&amp;Milestones!$AB$175&amp;" "&amp;Milestones!$AC$175&amp;";  ","")&amp;IF(AND(EDATE($D39,Milestones!$AA$176)&lt;=AsOfDate,IF($R39=0,$X39,IF(AND($T39&lt;&gt;"",EDATE($D39,Milestones!$AA$176)&gt;=$T39),$W39,IF(AND($S39&lt;&gt;"",EDATE($D39,Milestones!$AA$176)&gt;=$S39),$V39,$U39)))=Milestones!$AB$176),UPPER(TEXT(EDATE($D39,Milestones!$AA$176),"dd mmm yy"))&amp;" "&amp;Milestones!$AB$176&amp;" "&amp;Milestones!$AC$176&amp;";  ","")&amp;IF(AND(EDATE($D39,Milestones!$AA$177)&lt;=AsOfDate,IF($R39=0,$X39,IF(AND($T39&lt;&gt;"",EDATE($D39,Milestones!$AA$177)&gt;=$T39),$W39,IF(AND($S39&lt;&gt;"",EDATE($D39,Milestones!$AA$177)&gt;=$S39),$V39,$U39)))=Milestones!$AB$177),UPPER(TEXT(EDATE($D39,Milestones!$AA$177),"dd mmm yy"))&amp;" "&amp;Milestones!$AB$177&amp;" "&amp;Milestones!$AC$177&amp;";  ","")&amp;IF(AND(EDATE($D39,Milestones!$AA$178)&lt;=AsOfDate,IF($R39=0,$X39,IF(AND($T39&lt;&gt;"",EDATE($D39,Milestones!$AA$178)&gt;=$T39),$W39,IF(AND($S39&lt;&gt;"",EDATE($D39,Milestones!$AA$178)&gt;=$S39),$V39,$U39)))=Milestones!$AB$178),UPPER(TEXT(EDATE($D39,Milestones!$AA$178),"dd mmm yy"))&amp;" "&amp;Milestones!$AB$178&amp;" "&amp;Milestones!$AC$178&amp;";  ","")&amp;IF(AND(EDATE($D39,Milestones!$AA$179)&lt;=AsOfDate,IF($R39=0,$X39,IF(AND($T39&lt;&gt;"",EDATE($D39,Milestones!$AA$179)&gt;=$T39),$W39,IF(AND($S39&lt;&gt;"",EDATE($D39,Milestones!$AA$179)&gt;=$S39),$V39,$U39)))=Milestones!$AB$179),UPPER(TEXT(EDATE($D39,Milestones!$AA$179),"dd mmm yy"))&amp;" "&amp;Milestones!$AB$179&amp;" "&amp;Milestones!$AC$179&amp;";  ",""))</f>
        <v/>
      </c>
      <c r="Q39" s="0" t="str">
        <f aca="false">IF(OR($A39="",$D39=""),"",IF(AND(EDATE($D39,Milestones!$AA$180)&lt;=AsOfDate,IF($R39=0,$X39,IF(AND($T39&lt;&gt;"",EDATE($D39,Milestones!$AA$180)&gt;=$T39),$W39,IF(AND($S39&lt;&gt;"",EDATE($D39,Milestones!$AA$180)&gt;=$S39),$V39,$U39)))=Milestones!$AB$180),UPPER(TEXT(EDATE($D39,Milestones!$AA$180),"dd mmm yy"))&amp;" "&amp;Milestones!$AB$180&amp;" "&amp;Milestones!$AC$180&amp;";  ","")&amp;IF(AND(EDATE($D39,Milestones!$AA$181)&lt;=AsOfDate,IF($R39=0,$X39,IF(AND($T39&lt;&gt;"",EDATE($D39,Milestones!$AA$181)&gt;=$T39),$W39,IF(AND($S39&lt;&gt;"",EDATE($D39,Milestones!$AA$181)&gt;=$S39),$V39,$U39)))=Milestones!$AB$181),UPPER(TEXT(EDATE($D39,Milestones!$AA$181),"dd mmm yy"))&amp;" "&amp;Milestones!$AB$181&amp;" "&amp;Milestones!$AC$181&amp;";  ","")&amp;IF(AND(EDATE($D39,Milestones!$AA$182)&lt;=AsOfDate,IF($R39=0,$X39,IF(AND($T39&lt;&gt;"",EDATE($D39,Milestones!$AA$182)&gt;=$T39),$W39,IF(AND($S39&lt;&gt;"",EDATE($D39,Milestones!$AA$182)&gt;=$S39),$V39,$U39)))=Milestones!$AB$182),UPPER(TEXT(EDATE($D39,Milestones!$AA$182),"dd mmm yy"))&amp;" "&amp;Milestones!$AB$182&amp;" "&amp;Milestones!$AC$182&amp;";  ","")&amp;IF(AND(EDATE($D39,Milestones!$AA$183)&lt;=AsOfDate,IF($R39=0,$X39,IF(AND($T39&lt;&gt;"",EDATE($D39,Milestones!$AA$183)&gt;=$T39),$W39,IF(AND($S39&lt;&gt;"",EDATE($D39,Milestones!$AA$183)&gt;=$S39),$V39,$U39)))=Milestones!$AB$183),UPPER(TEXT(EDATE($D39,Milestones!$AA$183),"dd mmm yy"))&amp;" "&amp;Milestones!$AB$183&amp;" "&amp;Milestones!$AC$183&amp;";  ","")&amp;IF(AND(EDATE($D39,Milestones!$AA$184)&lt;=AsOfDate,IF($R39=0,$X39,IF(AND($T39&lt;&gt;"",EDATE($D39,Milestones!$AA$184)&gt;=$T39),$W39,IF(AND($S39&lt;&gt;"",EDATE($D39,Milestones!$AA$184)&gt;=$S39),$V39,$U39)))=Milestones!$AB$184),UPPER(TEXT(EDATE($D39,Milestones!$AA$184),"dd mmm yy"))&amp;" "&amp;Milestones!$AB$184&amp;" "&amp;Milestones!$AC$184&amp;";  ","")&amp;IF(AND(EDATE($D39,Milestones!$AA$185)&lt;=AsOfDate,IF($R39=0,$X39,IF(AND($T39&lt;&gt;"",EDATE($D39,Milestones!$AA$185)&gt;=$T39),$W39,IF(AND($S39&lt;&gt;"",EDATE($D39,Milestones!$AA$185)&gt;=$S39),$V39,$U39)))=Milestones!$AB$185),UPPER(TEXT(EDATE($D39,Milestones!$AA$185),"dd mmm yy"))&amp;" "&amp;Milestones!$AB$185&amp;" "&amp;Milestones!$AC$185&amp;";  ","")&amp;IF(AND(EDATE($D39,Milestones!$AA$186)&lt;=AsOfDate,IF($R39=0,$X39,IF(AND($T39&lt;&gt;"",EDATE($D39,Milestones!$AA$186)&gt;=$T39),$W39,IF(AND($S39&lt;&gt;"",EDATE($D39,Milestones!$AA$186)&gt;=$S39),$V39,$U39)))=Milestones!$AB$186),UPPER(TEXT(EDATE($D39,Milestones!$AA$186),"dd mmm yy"))&amp;" "&amp;Milestones!$AB$186&amp;" "&amp;Milestones!$AC$186&amp;";  ","")&amp;IF(AND(EDATE($D39,Milestones!$AA$187)&lt;=AsOfDate,IF($R39=0,$X39,IF(AND($T39&lt;&gt;"",EDATE($D39,Milestones!$AA$187)&gt;=$T39),$W39,IF(AND($S39&lt;&gt;"",EDATE($D39,Milestones!$AA$187)&gt;=$S39),$V39,$U39)))=Milestones!$AB$187),UPPER(TEXT(EDATE($D39,Milestones!$AA$187),"dd mmm yy"))&amp;" "&amp;Milestones!$AB$187&amp;" "&amp;Milestones!$AC$187&amp;";  ","")&amp;IF(AND(EDATE($D39,Milestones!$AA$188)&lt;=AsOfDate,IF($R39=0,$X39,IF(AND($T39&lt;&gt;"",EDATE($D39,Milestones!$AA$188)&gt;=$T39),$W39,IF(AND($S39&lt;&gt;"",EDATE($D39,Milestones!$AA$188)&gt;=$S39),$V39,$U39)))=Milestones!$AB$188),UPPER(TEXT(EDATE($D39,Milestones!$AA$188),"dd mmm yy"))&amp;" "&amp;Milestones!$AB$188&amp;" "&amp;Milestones!$AC$188&amp;";  ","")&amp;IF(AND(EDATE($D39,Milestones!$AA$189)&lt;=AsOfDate,IF($R39=0,$X39,IF(AND($T39&lt;&gt;"",EDATE($D39,Milestones!$AA$189)&gt;=$T39),$W39,IF(AND($S39&lt;&gt;"",EDATE($D39,Milestones!$AA$189)&gt;=$S39),$V39,$U39)))=Milestones!$AB$189),UPPER(TEXT(EDATE($D39,Milestones!$AA$189),"dd mmm yy"))&amp;" "&amp;Milestones!$AB$189&amp;" "&amp;Milestones!$AC$189&amp;";  ","")&amp;IF(AND(EDATE($D39,Milestones!$AA$190)&lt;=AsOfDate,IF($R39=0,$X39,IF(AND($T39&lt;&gt;"",EDATE($D39,Milestones!$AA$190)&gt;=$T39),$W39,IF(AND($S39&lt;&gt;"",EDATE($D39,Milestones!$AA$190)&gt;=$S39),$V39,$U39)))=Milestones!$AB$190),UPPER(TEXT(EDATE($D39,Milestones!$AA$190),"dd mmm yy"))&amp;" "&amp;Milestones!$AB$190&amp;" "&amp;Milestones!$AC$190&amp;";  ","")&amp;IF(AND(EDATE($D39,Milestones!$AA$191)&lt;=AsOfDate,IF($R39=0,$X39,IF(AND($T39&lt;&gt;"",EDATE($D39,Milestones!$AA$191)&gt;=$T39),$W39,IF(AND($S39&lt;&gt;"",EDATE($D39,Milestones!$AA$191)&gt;=$S39),$V39,$U39)))=Milestones!$AB$191),UPPER(TEXT(EDATE($D39,Milestones!$AA$191),"dd mmm yy"))&amp;" "&amp;Milestones!$AB$191&amp;" "&amp;Milestones!$AC$191&amp;";  ","")&amp;IF(AND(EDATE($D39,Milestones!$AA$192)&lt;=AsOfDate,IF($R39=0,$X39,IF(AND($T39&lt;&gt;"",EDATE($D39,Milestones!$AA$192)&gt;=$T39),$W39,IF(AND($S39&lt;&gt;"",EDATE($D39,Milestones!$AA$192)&gt;=$S39),$V39,$U39)))=Milestones!$AB$192),UPPER(TEXT(EDATE($D39,Milestones!$AA$192),"dd mmm yy"))&amp;" "&amp;Milestones!$AB$192&amp;" "&amp;Milestones!$AC$192&amp;";  ","")&amp;IF(AND(EDATE($D39,Milestones!$AA$193)&lt;=AsOfDate,IF($R39=0,$X39,IF(AND($T39&lt;&gt;"",EDATE($D39,Milestones!$AA$193)&gt;=$T39),$W39,IF(AND($S39&lt;&gt;"",EDATE($D39,Milestones!$AA$193)&gt;=$S39),$V39,$U39)))=Milestones!$AB$193),UPPER(TEXT(EDATE($D39,Milestones!$AA$193),"dd mmm yy"))&amp;" "&amp;Milestones!$AB$193&amp;" "&amp;Milestones!$AC$193&amp;";  ","")&amp;IF(AND(EDATE($D39,Milestones!$AA$194)&lt;=AsOfDate,IF($R39=0,$X39,IF(AND($T39&lt;&gt;"",EDATE($D39,Milestones!$AA$194)&gt;=$T39),$W39,IF(AND($S39&lt;&gt;"",EDATE($D39,Milestones!$AA$194)&gt;=$S39),$V39,$U39)))=Milestones!$AB$194),UPPER(TEXT(EDATE($D39,Milestones!$AA$194),"dd mmm yy"))&amp;" "&amp;Milestones!$AB$194&amp;" "&amp;Milestones!$AC$194&amp;";  ","")&amp;IF(AND(EDATE($D39,Milestones!$AA$195)&lt;=AsOfDate,IF($R39=0,$X39,IF(AND($T39&lt;&gt;"",EDATE($D39,Milestones!$AA$195)&gt;=$T39),$W39,IF(AND($S39&lt;&gt;"",EDATE($D39,Milestones!$AA$195)&gt;=$S39),$V39,$U39)))=Milestones!$AB$195),UPPER(TEXT(EDATE($D39,Milestones!$AA$195),"dd mmm yy"))&amp;" "&amp;Milestones!$AB$195&amp;" "&amp;Milestones!$AC$195&amp;";  ","")&amp;IF(AND(EDATE($D39,Milestones!$AA$196)&lt;=AsOfDate,IF($R39=0,$X39,IF(AND($T39&lt;&gt;"",EDATE($D39,Milestones!$AA$196)&gt;=$T39),$W39,IF(AND($S39&lt;&gt;"",EDATE($D39,Milestones!$AA$196)&gt;=$S39),$V39,$U39)))=Milestones!$AB$196),UPPER(TEXT(EDATE($D39,Milestones!$AA$196),"dd mmm yy"))&amp;" "&amp;Milestones!$AB$196&amp;" "&amp;Milestones!$AC$196&amp;";  ","")&amp;IF(AND(EDATE($D39,Milestones!$AA$197)&lt;=AsOfDate,IF($R39=0,$X39,IF(AND($T39&lt;&gt;"",EDATE($D39,Milestones!$AA$197)&gt;=$T39),$W39,IF(AND($S39&lt;&gt;"",EDATE($D39,Milestones!$AA$197)&gt;=$S39),$V39,$U39)))=Milestones!$AB$197),UPPER(TEXT(EDATE($D39,Milestones!$AA$197),"dd mmm yy"))&amp;" "&amp;Milestones!$AB$197&amp;" "&amp;Milestones!$AC$197&amp;";  ","")&amp;IF(AND(EDATE($D39,Milestones!$AA$198)&lt;=AsOfDate,IF($R39=0,$X39,IF(AND($T39&lt;&gt;"",EDATE($D39,Milestones!$AA$198)&gt;=$T39),$W39,IF(AND($S39&lt;&gt;"",EDATE($D39,Milestones!$AA$198)&gt;=$S39),$V39,$U39)))=Milestones!$AB$198),UPPER(TEXT(EDATE($D39,Milestones!$AA$198),"dd mmm yy"))&amp;" "&amp;Milestones!$AB$198&amp;" "&amp;Milestones!$AC$198&amp;";  ","")&amp;IF(AND(EDATE($D39,Milestones!$AA$199)&lt;=AsOfDate,IF($R39=0,$X39,IF(AND($T39&lt;&gt;"",EDATE($D39,Milestones!$AA$199)&gt;=$T39),$W39,IF(AND($S39&lt;&gt;"",EDATE($D39,Milestones!$AA$199)&gt;=$S39),$V39,$U39)))=Milestones!$AB$199),UPPER(TEXT(EDATE($D39,Milestones!$AA$199),"dd mmm yy"))&amp;" "&amp;Milestones!$AB$199&amp;" "&amp;Milestones!$AC$199&amp;";  ",""))</f>
        <v/>
      </c>
      <c r="R39" s="33" t="n">
        <f aca="false">IF(Staff!$A39="","",Staff!$AI39)</f>
        <v>0</v>
      </c>
      <c r="S39" s="0" t="str">
        <f aca="false">IF(Staff!$A39="","",Staff!$AK39)</f>
        <v/>
      </c>
      <c r="T39" s="0" t="str">
        <f aca="false">IF(Staff!$A39="","",Staff!$AL39)</f>
        <v/>
      </c>
      <c r="U39" s="0" t="str">
        <f aca="false">IF(Staff!$A39="","",Staff!$AP39)</f>
        <v>None</v>
      </c>
      <c r="V39" s="0" t="str">
        <f aca="false">IF(Staff!$A39="","",Staff!$AQ39)</f>
        <v/>
      </c>
      <c r="W39" s="0" t="str">
        <f aca="false">IF(Staff!$A39="","",Staff!$AR39)</f>
        <v/>
      </c>
      <c r="X39" s="0" t="str">
        <f aca="false">IF(Staff!$A39="","",Staff!$AS39)</f>
        <v>None</v>
      </c>
    </row>
    <row r="40" customFormat="false" ht="15" hidden="false" customHeight="false" outlineLevel="0" collapsed="false">
      <c r="A40" s="19" t="str">
        <f aca="false">IF(Staff!$A40="","",Staff!$A40)</f>
        <v>Jason</v>
      </c>
      <c r="B40" s="19" t="str">
        <f aca="false">IF(Staff!$A40="","",Staff!$B40)</f>
        <v>Ng</v>
      </c>
      <c r="C40" s="19" t="str">
        <f aca="false">IF(Staff!$A40="","",Staff!$C40)</f>
        <v>Full-Time</v>
      </c>
      <c r="D40" s="17" t="n">
        <f aca="false">IF(Staff!$A40="","",Staff!$AH40)</f>
        <v>45810</v>
      </c>
      <c r="E40" s="20" t="n">
        <f aca="false">IF(Staff!$A40="","",Staff!$O40)</f>
        <v>0</v>
      </c>
      <c r="F40" s="19" t="n">
        <f aca="false">IF(E40="","",E40*HoursPerDay)</f>
        <v>0</v>
      </c>
      <c r="G40" s="20" t="n">
        <f aca="false">IF(Staff!$A40="","",Staff!$AE40)</f>
        <v>0</v>
      </c>
      <c r="H40" s="32" t="str">
        <f aca="false">IF($A40="","",I40&amp;J40&amp;K40&amp;L40&amp;M40&amp;N40&amp;O40&amp;P40&amp;Q40)</f>
        <v/>
      </c>
      <c r="I40" s="0" t="str">
        <f aca="false">IF(OR($A40="",$D40=""),"",IF(AND(EDATE($D40,Milestones!$AA$20)&lt;=AsOfDate,IF($R40=0,$X40,IF(AND($T40&lt;&gt;"",EDATE($D40,Milestones!$AA$20)&gt;=$T40),$W40,IF(AND($S40&lt;&gt;"",EDATE($D40,Milestones!$AA$20)&gt;=$S40),$V40,$U40)))=Milestones!$AB$20),UPPER(TEXT(EDATE($D40,Milestones!$AA$20),"dd mmm yy"))&amp;" "&amp;Milestones!$AB$20&amp;" "&amp;Milestones!$AC$20&amp;";  ","")&amp;IF(AND(EDATE($D40,Milestones!$AA$21)&lt;=AsOfDate,IF($R40=0,$X40,IF(AND($T40&lt;&gt;"",EDATE($D40,Milestones!$AA$21)&gt;=$T40),$W40,IF(AND($S40&lt;&gt;"",EDATE($D40,Milestones!$AA$21)&gt;=$S40),$V40,$U40)))=Milestones!$AB$21),UPPER(TEXT(EDATE($D40,Milestones!$AA$21),"dd mmm yy"))&amp;" "&amp;Milestones!$AB$21&amp;" "&amp;Milestones!$AC$21&amp;";  ","")&amp;IF(AND(EDATE($D40,Milestones!$AA$22)&lt;=AsOfDate,IF($R40=0,$X40,IF(AND($T40&lt;&gt;"",EDATE($D40,Milestones!$AA$22)&gt;=$T40),$W40,IF(AND($S40&lt;&gt;"",EDATE($D40,Milestones!$AA$22)&gt;=$S40),$V40,$U40)))=Milestones!$AB$22),UPPER(TEXT(EDATE($D40,Milestones!$AA$22),"dd mmm yy"))&amp;" "&amp;Milestones!$AB$22&amp;" "&amp;Milestones!$AC$22&amp;";  ","")&amp;IF(AND(EDATE($D40,Milestones!$AA$23)&lt;=AsOfDate,IF($R40=0,$X40,IF(AND($T40&lt;&gt;"",EDATE($D40,Milestones!$AA$23)&gt;=$T40),$W40,IF(AND($S40&lt;&gt;"",EDATE($D40,Milestones!$AA$23)&gt;=$S40),$V40,$U40)))=Milestones!$AB$23),UPPER(TEXT(EDATE($D40,Milestones!$AA$23),"dd mmm yy"))&amp;" "&amp;Milestones!$AB$23&amp;" "&amp;Milestones!$AC$23&amp;";  ","")&amp;IF(AND(EDATE($D40,Milestones!$AA$24)&lt;=AsOfDate,IF($R40=0,$X40,IF(AND($T40&lt;&gt;"",EDATE($D40,Milestones!$AA$24)&gt;=$T40),$W40,IF(AND($S40&lt;&gt;"",EDATE($D40,Milestones!$AA$24)&gt;=$S40),$V40,$U40)))=Milestones!$AB$24),UPPER(TEXT(EDATE($D40,Milestones!$AA$24),"dd mmm yy"))&amp;" "&amp;Milestones!$AB$24&amp;" "&amp;Milestones!$AC$24&amp;";  ","")&amp;IF(AND(EDATE($D40,Milestones!$AA$25)&lt;=AsOfDate,IF($R40=0,$X40,IF(AND($T40&lt;&gt;"",EDATE($D40,Milestones!$AA$25)&gt;=$T40),$W40,IF(AND($S40&lt;&gt;"",EDATE($D40,Milestones!$AA$25)&gt;=$S40),$V40,$U40)))=Milestones!$AB$25),UPPER(TEXT(EDATE($D40,Milestones!$AA$25),"dd mmm yy"))&amp;" "&amp;Milestones!$AB$25&amp;" "&amp;Milestones!$AC$25&amp;";  ","")&amp;IF(AND(EDATE($D40,Milestones!$AA$26)&lt;=AsOfDate,IF($R40=0,$X40,IF(AND($T40&lt;&gt;"",EDATE($D40,Milestones!$AA$26)&gt;=$T40),$W40,IF(AND($S40&lt;&gt;"",EDATE($D40,Milestones!$AA$26)&gt;=$S40),$V40,$U40)))=Milestones!$AB$26),UPPER(TEXT(EDATE($D40,Milestones!$AA$26),"dd mmm yy"))&amp;" "&amp;Milestones!$AB$26&amp;" "&amp;Milestones!$AC$26&amp;";  ","")&amp;IF(AND(EDATE($D40,Milestones!$AA$27)&lt;=AsOfDate,IF($R40=0,$X40,IF(AND($T40&lt;&gt;"",EDATE($D40,Milestones!$AA$27)&gt;=$T40),$W40,IF(AND($S40&lt;&gt;"",EDATE($D40,Milestones!$AA$27)&gt;=$S40),$V40,$U40)))=Milestones!$AB$27),UPPER(TEXT(EDATE($D40,Milestones!$AA$27),"dd mmm yy"))&amp;" "&amp;Milestones!$AB$27&amp;" "&amp;Milestones!$AC$27&amp;";  ","")&amp;IF(AND(EDATE($D40,Milestones!$AA$28)&lt;=AsOfDate,IF($R40=0,$X40,IF(AND($T40&lt;&gt;"",EDATE($D40,Milestones!$AA$28)&gt;=$T40),$W40,IF(AND($S40&lt;&gt;"",EDATE($D40,Milestones!$AA$28)&gt;=$S40),$V40,$U40)))=Milestones!$AB$28),UPPER(TEXT(EDATE($D40,Milestones!$AA$28),"dd mmm yy"))&amp;" "&amp;Milestones!$AB$28&amp;" "&amp;Milestones!$AC$28&amp;";  ","")&amp;IF(AND(EDATE($D40,Milestones!$AA$29)&lt;=AsOfDate,IF($R40=0,$X40,IF(AND($T40&lt;&gt;"",EDATE($D40,Milestones!$AA$29)&gt;=$T40),$W40,IF(AND($S40&lt;&gt;"",EDATE($D40,Milestones!$AA$29)&gt;=$S40),$V40,$U40)))=Milestones!$AB$29),UPPER(TEXT(EDATE($D40,Milestones!$AA$29),"dd mmm yy"))&amp;" "&amp;Milestones!$AB$29&amp;" "&amp;Milestones!$AC$29&amp;";  ","")&amp;IF(AND(EDATE($D40,Milestones!$AA$30)&lt;=AsOfDate,IF($R40=0,$X40,IF(AND($T40&lt;&gt;"",EDATE($D40,Milestones!$AA$30)&gt;=$T40),$W40,IF(AND($S40&lt;&gt;"",EDATE($D40,Milestones!$AA$30)&gt;=$S40),$V40,$U40)))=Milestones!$AB$30),UPPER(TEXT(EDATE($D40,Milestones!$AA$30),"dd mmm yy"))&amp;" "&amp;Milestones!$AB$30&amp;" "&amp;Milestones!$AC$30&amp;";  ","")&amp;IF(AND(EDATE($D40,Milestones!$AA$31)&lt;=AsOfDate,IF($R40=0,$X40,IF(AND($T40&lt;&gt;"",EDATE($D40,Milestones!$AA$31)&gt;=$T40),$W40,IF(AND($S40&lt;&gt;"",EDATE($D40,Milestones!$AA$31)&gt;=$S40),$V40,$U40)))=Milestones!$AB$31),UPPER(TEXT(EDATE($D40,Milestones!$AA$31),"dd mmm yy"))&amp;" "&amp;Milestones!$AB$31&amp;" "&amp;Milestones!$AC$31&amp;";  ","")&amp;IF(AND(EDATE($D40,Milestones!$AA$32)&lt;=AsOfDate,IF($R40=0,$X40,IF(AND($T40&lt;&gt;"",EDATE($D40,Milestones!$AA$32)&gt;=$T40),$W40,IF(AND($S40&lt;&gt;"",EDATE($D40,Milestones!$AA$32)&gt;=$S40),$V40,$U40)))=Milestones!$AB$32),UPPER(TEXT(EDATE($D40,Milestones!$AA$32),"dd mmm yy"))&amp;" "&amp;Milestones!$AB$32&amp;" "&amp;Milestones!$AC$32&amp;";  ","")&amp;IF(AND(EDATE($D40,Milestones!$AA$33)&lt;=AsOfDate,IF($R40=0,$X40,IF(AND($T40&lt;&gt;"",EDATE($D40,Milestones!$AA$33)&gt;=$T40),$W40,IF(AND($S40&lt;&gt;"",EDATE($D40,Milestones!$AA$33)&gt;=$S40),$V40,$U40)))=Milestones!$AB$33),UPPER(TEXT(EDATE($D40,Milestones!$AA$33),"dd mmm yy"))&amp;" "&amp;Milestones!$AB$33&amp;" "&amp;Milestones!$AC$33&amp;";  ","")&amp;IF(AND(EDATE($D40,Milestones!$AA$34)&lt;=AsOfDate,IF($R40=0,$X40,IF(AND($T40&lt;&gt;"",EDATE($D40,Milestones!$AA$34)&gt;=$T40),$W40,IF(AND($S40&lt;&gt;"",EDATE($D40,Milestones!$AA$34)&gt;=$S40),$V40,$U40)))=Milestones!$AB$34),UPPER(TEXT(EDATE($D40,Milestones!$AA$34),"dd mmm yy"))&amp;" "&amp;Milestones!$AB$34&amp;" "&amp;Milestones!$AC$34&amp;";  ","")&amp;IF(AND(EDATE($D40,Milestones!$AA$35)&lt;=AsOfDate,IF($R40=0,$X40,IF(AND($T40&lt;&gt;"",EDATE($D40,Milestones!$AA$35)&gt;=$T40),$W40,IF(AND($S40&lt;&gt;"",EDATE($D40,Milestones!$AA$35)&gt;=$S40),$V40,$U40)))=Milestones!$AB$35),UPPER(TEXT(EDATE($D40,Milestones!$AA$35),"dd mmm yy"))&amp;" "&amp;Milestones!$AB$35&amp;" "&amp;Milestones!$AC$35&amp;";  ","")&amp;IF(AND(EDATE($D40,Milestones!$AA$36)&lt;=AsOfDate,IF($R40=0,$X40,IF(AND($T40&lt;&gt;"",EDATE($D40,Milestones!$AA$36)&gt;=$T40),$W40,IF(AND($S40&lt;&gt;"",EDATE($D40,Milestones!$AA$36)&gt;=$S40),$V40,$U40)))=Milestones!$AB$36),UPPER(TEXT(EDATE($D40,Milestones!$AA$36),"dd mmm yy"))&amp;" "&amp;Milestones!$AB$36&amp;" "&amp;Milestones!$AC$36&amp;";  ","")&amp;IF(AND(EDATE($D40,Milestones!$AA$37)&lt;=AsOfDate,IF($R40=0,$X40,IF(AND($T40&lt;&gt;"",EDATE($D40,Milestones!$AA$37)&gt;=$T40),$W40,IF(AND($S40&lt;&gt;"",EDATE($D40,Milestones!$AA$37)&gt;=$S40),$V40,$U40)))=Milestones!$AB$37),UPPER(TEXT(EDATE($D40,Milestones!$AA$37),"dd mmm yy"))&amp;" "&amp;Milestones!$AB$37&amp;" "&amp;Milestones!$AC$37&amp;";  ","")&amp;IF(AND(EDATE($D40,Milestones!$AA$38)&lt;=AsOfDate,IF($R40=0,$X40,IF(AND($T40&lt;&gt;"",EDATE($D40,Milestones!$AA$38)&gt;=$T40),$W40,IF(AND($S40&lt;&gt;"",EDATE($D40,Milestones!$AA$38)&gt;=$S40),$V40,$U40)))=Milestones!$AB$38),UPPER(TEXT(EDATE($D40,Milestones!$AA$38),"dd mmm yy"))&amp;" "&amp;Milestones!$AB$38&amp;" "&amp;Milestones!$AC$38&amp;";  ","")&amp;IF(AND(EDATE($D40,Milestones!$AA$39)&lt;=AsOfDate,IF($R40=0,$X40,IF(AND($T40&lt;&gt;"",EDATE($D40,Milestones!$AA$39)&gt;=$T40),$W40,IF(AND($S40&lt;&gt;"",EDATE($D40,Milestones!$AA$39)&gt;=$S40),$V40,$U40)))=Milestones!$AB$39),UPPER(TEXT(EDATE($D40,Milestones!$AA$39),"dd mmm yy"))&amp;" "&amp;Milestones!$AB$39&amp;" "&amp;Milestones!$AC$39&amp;";  ",""))</f>
        <v/>
      </c>
      <c r="J40" s="0" t="str">
        <f aca="false">IF(OR($A40="",$D40=""),"",IF(AND(EDATE($D40,Milestones!$AA$40)&lt;=AsOfDate,IF($R40=0,$X40,IF(AND($T40&lt;&gt;"",EDATE($D40,Milestones!$AA$40)&gt;=$T40),$W40,IF(AND($S40&lt;&gt;"",EDATE($D40,Milestones!$AA$40)&gt;=$S40),$V40,$U40)))=Milestones!$AB$40),UPPER(TEXT(EDATE($D40,Milestones!$AA$40),"dd mmm yy"))&amp;" "&amp;Milestones!$AB$40&amp;" "&amp;Milestones!$AC$40&amp;";  ","")&amp;IF(AND(EDATE($D40,Milestones!$AA$41)&lt;=AsOfDate,IF($R40=0,$X40,IF(AND($T40&lt;&gt;"",EDATE($D40,Milestones!$AA$41)&gt;=$T40),$W40,IF(AND($S40&lt;&gt;"",EDATE($D40,Milestones!$AA$41)&gt;=$S40),$V40,$U40)))=Milestones!$AB$41),UPPER(TEXT(EDATE($D40,Milestones!$AA$41),"dd mmm yy"))&amp;" "&amp;Milestones!$AB$41&amp;" "&amp;Milestones!$AC$41&amp;";  ","")&amp;IF(AND(EDATE($D40,Milestones!$AA$42)&lt;=AsOfDate,IF($R40=0,$X40,IF(AND($T40&lt;&gt;"",EDATE($D40,Milestones!$AA$42)&gt;=$T40),$W40,IF(AND($S40&lt;&gt;"",EDATE($D40,Milestones!$AA$42)&gt;=$S40),$V40,$U40)))=Milestones!$AB$42),UPPER(TEXT(EDATE($D40,Milestones!$AA$42),"dd mmm yy"))&amp;" "&amp;Milestones!$AB$42&amp;" "&amp;Milestones!$AC$42&amp;";  ","")&amp;IF(AND(EDATE($D40,Milestones!$AA$43)&lt;=AsOfDate,IF($R40=0,$X40,IF(AND($T40&lt;&gt;"",EDATE($D40,Milestones!$AA$43)&gt;=$T40),$W40,IF(AND($S40&lt;&gt;"",EDATE($D40,Milestones!$AA$43)&gt;=$S40),$V40,$U40)))=Milestones!$AB$43),UPPER(TEXT(EDATE($D40,Milestones!$AA$43),"dd mmm yy"))&amp;" "&amp;Milestones!$AB$43&amp;" "&amp;Milestones!$AC$43&amp;";  ","")&amp;IF(AND(EDATE($D40,Milestones!$AA$44)&lt;=AsOfDate,IF($R40=0,$X40,IF(AND($T40&lt;&gt;"",EDATE($D40,Milestones!$AA$44)&gt;=$T40),$W40,IF(AND($S40&lt;&gt;"",EDATE($D40,Milestones!$AA$44)&gt;=$S40),$V40,$U40)))=Milestones!$AB$44),UPPER(TEXT(EDATE($D40,Milestones!$AA$44),"dd mmm yy"))&amp;" "&amp;Milestones!$AB$44&amp;" "&amp;Milestones!$AC$44&amp;";  ","")&amp;IF(AND(EDATE($D40,Milestones!$AA$45)&lt;=AsOfDate,IF($R40=0,$X40,IF(AND($T40&lt;&gt;"",EDATE($D40,Milestones!$AA$45)&gt;=$T40),$W40,IF(AND($S40&lt;&gt;"",EDATE($D40,Milestones!$AA$45)&gt;=$S40),$V40,$U40)))=Milestones!$AB$45),UPPER(TEXT(EDATE($D40,Milestones!$AA$45),"dd mmm yy"))&amp;" "&amp;Milestones!$AB$45&amp;" "&amp;Milestones!$AC$45&amp;";  ","")&amp;IF(AND(EDATE($D40,Milestones!$AA$46)&lt;=AsOfDate,IF($R40=0,$X40,IF(AND($T40&lt;&gt;"",EDATE($D40,Milestones!$AA$46)&gt;=$T40),$W40,IF(AND($S40&lt;&gt;"",EDATE($D40,Milestones!$AA$46)&gt;=$S40),$V40,$U40)))=Milestones!$AB$46),UPPER(TEXT(EDATE($D40,Milestones!$AA$46),"dd mmm yy"))&amp;" "&amp;Milestones!$AB$46&amp;" "&amp;Milestones!$AC$46&amp;";  ","")&amp;IF(AND(EDATE($D40,Milestones!$AA$47)&lt;=AsOfDate,IF($R40=0,$X40,IF(AND($T40&lt;&gt;"",EDATE($D40,Milestones!$AA$47)&gt;=$T40),$W40,IF(AND($S40&lt;&gt;"",EDATE($D40,Milestones!$AA$47)&gt;=$S40),$V40,$U40)))=Milestones!$AB$47),UPPER(TEXT(EDATE($D40,Milestones!$AA$47),"dd mmm yy"))&amp;" "&amp;Milestones!$AB$47&amp;" "&amp;Milestones!$AC$47&amp;";  ","")&amp;IF(AND(EDATE($D40,Milestones!$AA$48)&lt;=AsOfDate,IF($R40=0,$X40,IF(AND($T40&lt;&gt;"",EDATE($D40,Milestones!$AA$48)&gt;=$T40),$W40,IF(AND($S40&lt;&gt;"",EDATE($D40,Milestones!$AA$48)&gt;=$S40),$V40,$U40)))=Milestones!$AB$48),UPPER(TEXT(EDATE($D40,Milestones!$AA$48),"dd mmm yy"))&amp;" "&amp;Milestones!$AB$48&amp;" "&amp;Milestones!$AC$48&amp;";  ","")&amp;IF(AND(EDATE($D40,Milestones!$AA$49)&lt;=AsOfDate,IF($R40=0,$X40,IF(AND($T40&lt;&gt;"",EDATE($D40,Milestones!$AA$49)&gt;=$T40),$W40,IF(AND($S40&lt;&gt;"",EDATE($D40,Milestones!$AA$49)&gt;=$S40),$V40,$U40)))=Milestones!$AB$49),UPPER(TEXT(EDATE($D40,Milestones!$AA$49),"dd mmm yy"))&amp;" "&amp;Milestones!$AB$49&amp;" "&amp;Milestones!$AC$49&amp;";  ","")&amp;IF(AND(EDATE($D40,Milestones!$AA$50)&lt;=AsOfDate,IF($R40=0,$X40,IF(AND($T40&lt;&gt;"",EDATE($D40,Milestones!$AA$50)&gt;=$T40),$W40,IF(AND($S40&lt;&gt;"",EDATE($D40,Milestones!$AA$50)&gt;=$S40),$V40,$U40)))=Milestones!$AB$50),UPPER(TEXT(EDATE($D40,Milestones!$AA$50),"dd mmm yy"))&amp;" "&amp;Milestones!$AB$50&amp;" "&amp;Milestones!$AC$50&amp;";  ","")&amp;IF(AND(EDATE($D40,Milestones!$AA$51)&lt;=AsOfDate,IF($R40=0,$X40,IF(AND($T40&lt;&gt;"",EDATE($D40,Milestones!$AA$51)&gt;=$T40),$W40,IF(AND($S40&lt;&gt;"",EDATE($D40,Milestones!$AA$51)&gt;=$S40),$V40,$U40)))=Milestones!$AB$51),UPPER(TEXT(EDATE($D40,Milestones!$AA$51),"dd mmm yy"))&amp;" "&amp;Milestones!$AB$51&amp;" "&amp;Milestones!$AC$51&amp;";  ","")&amp;IF(AND(EDATE($D40,Milestones!$AA$52)&lt;=AsOfDate,IF($R40=0,$X40,IF(AND($T40&lt;&gt;"",EDATE($D40,Milestones!$AA$52)&gt;=$T40),$W40,IF(AND($S40&lt;&gt;"",EDATE($D40,Milestones!$AA$52)&gt;=$S40),$V40,$U40)))=Milestones!$AB$52),UPPER(TEXT(EDATE($D40,Milestones!$AA$52),"dd mmm yy"))&amp;" "&amp;Milestones!$AB$52&amp;" "&amp;Milestones!$AC$52&amp;";  ","")&amp;IF(AND(EDATE($D40,Milestones!$AA$53)&lt;=AsOfDate,IF($R40=0,$X40,IF(AND($T40&lt;&gt;"",EDATE($D40,Milestones!$AA$53)&gt;=$T40),$W40,IF(AND($S40&lt;&gt;"",EDATE($D40,Milestones!$AA$53)&gt;=$S40),$V40,$U40)))=Milestones!$AB$53),UPPER(TEXT(EDATE($D40,Milestones!$AA$53),"dd mmm yy"))&amp;" "&amp;Milestones!$AB$53&amp;" "&amp;Milestones!$AC$53&amp;";  ","")&amp;IF(AND(EDATE($D40,Milestones!$AA$54)&lt;=AsOfDate,IF($R40=0,$X40,IF(AND($T40&lt;&gt;"",EDATE($D40,Milestones!$AA$54)&gt;=$T40),$W40,IF(AND($S40&lt;&gt;"",EDATE($D40,Milestones!$AA$54)&gt;=$S40),$V40,$U40)))=Milestones!$AB$54),UPPER(TEXT(EDATE($D40,Milestones!$AA$54),"dd mmm yy"))&amp;" "&amp;Milestones!$AB$54&amp;" "&amp;Milestones!$AC$54&amp;";  ","")&amp;IF(AND(EDATE($D40,Milestones!$AA$55)&lt;=AsOfDate,IF($R40=0,$X40,IF(AND($T40&lt;&gt;"",EDATE($D40,Milestones!$AA$55)&gt;=$T40),$W40,IF(AND($S40&lt;&gt;"",EDATE($D40,Milestones!$AA$55)&gt;=$S40),$V40,$U40)))=Milestones!$AB$55),UPPER(TEXT(EDATE($D40,Milestones!$AA$55),"dd mmm yy"))&amp;" "&amp;Milestones!$AB$55&amp;" "&amp;Milestones!$AC$55&amp;";  ","")&amp;IF(AND(EDATE($D40,Milestones!$AA$56)&lt;=AsOfDate,IF($R40=0,$X40,IF(AND($T40&lt;&gt;"",EDATE($D40,Milestones!$AA$56)&gt;=$T40),$W40,IF(AND($S40&lt;&gt;"",EDATE($D40,Milestones!$AA$56)&gt;=$S40),$V40,$U40)))=Milestones!$AB$56),UPPER(TEXT(EDATE($D40,Milestones!$AA$56),"dd mmm yy"))&amp;" "&amp;Milestones!$AB$56&amp;" "&amp;Milestones!$AC$56&amp;";  ","")&amp;IF(AND(EDATE($D40,Milestones!$AA$57)&lt;=AsOfDate,IF($R40=0,$X40,IF(AND($T40&lt;&gt;"",EDATE($D40,Milestones!$AA$57)&gt;=$T40),$W40,IF(AND($S40&lt;&gt;"",EDATE($D40,Milestones!$AA$57)&gt;=$S40),$V40,$U40)))=Milestones!$AB$57),UPPER(TEXT(EDATE($D40,Milestones!$AA$57),"dd mmm yy"))&amp;" "&amp;Milestones!$AB$57&amp;" "&amp;Milestones!$AC$57&amp;";  ","")&amp;IF(AND(EDATE($D40,Milestones!$AA$58)&lt;=AsOfDate,IF($R40=0,$X40,IF(AND($T40&lt;&gt;"",EDATE($D40,Milestones!$AA$58)&gt;=$T40),$W40,IF(AND($S40&lt;&gt;"",EDATE($D40,Milestones!$AA$58)&gt;=$S40),$V40,$U40)))=Milestones!$AB$58),UPPER(TEXT(EDATE($D40,Milestones!$AA$58),"dd mmm yy"))&amp;" "&amp;Milestones!$AB$58&amp;" "&amp;Milestones!$AC$58&amp;";  ","")&amp;IF(AND(EDATE($D40,Milestones!$AA$59)&lt;=AsOfDate,IF($R40=0,$X40,IF(AND($T40&lt;&gt;"",EDATE($D40,Milestones!$AA$59)&gt;=$T40),$W40,IF(AND($S40&lt;&gt;"",EDATE($D40,Milestones!$AA$59)&gt;=$S40),$V40,$U40)))=Milestones!$AB$59),UPPER(TEXT(EDATE($D40,Milestones!$AA$59),"dd mmm yy"))&amp;" "&amp;Milestones!$AB$59&amp;" "&amp;Milestones!$AC$59&amp;";  ",""))</f>
        <v/>
      </c>
      <c r="K40" s="0" t="str">
        <f aca="false">IF(OR($A40="",$D40=""),"",IF(AND(EDATE($D40,Milestones!$AA$60)&lt;=AsOfDate,IF($R40=0,$X40,IF(AND($T40&lt;&gt;"",EDATE($D40,Milestones!$AA$60)&gt;=$T40),$W40,IF(AND($S40&lt;&gt;"",EDATE($D40,Milestones!$AA$60)&gt;=$S40),$V40,$U40)))=Milestones!$AB$60),UPPER(TEXT(EDATE($D40,Milestones!$AA$60),"dd mmm yy"))&amp;" "&amp;Milestones!$AB$60&amp;" "&amp;Milestones!$AC$60&amp;";  ","")&amp;IF(AND(EDATE($D40,Milestones!$AA$61)&lt;=AsOfDate,IF($R40=0,$X40,IF(AND($T40&lt;&gt;"",EDATE($D40,Milestones!$AA$61)&gt;=$T40),$W40,IF(AND($S40&lt;&gt;"",EDATE($D40,Milestones!$AA$61)&gt;=$S40),$V40,$U40)))=Milestones!$AB$61),UPPER(TEXT(EDATE($D40,Milestones!$AA$61),"dd mmm yy"))&amp;" "&amp;Milestones!$AB$61&amp;" "&amp;Milestones!$AC$61&amp;";  ","")&amp;IF(AND(EDATE($D40,Milestones!$AA$62)&lt;=AsOfDate,IF($R40=0,$X40,IF(AND($T40&lt;&gt;"",EDATE($D40,Milestones!$AA$62)&gt;=$T40),$W40,IF(AND($S40&lt;&gt;"",EDATE($D40,Milestones!$AA$62)&gt;=$S40),$V40,$U40)))=Milestones!$AB$62),UPPER(TEXT(EDATE($D40,Milestones!$AA$62),"dd mmm yy"))&amp;" "&amp;Milestones!$AB$62&amp;" "&amp;Milestones!$AC$62&amp;";  ","")&amp;IF(AND(EDATE($D40,Milestones!$AA$63)&lt;=AsOfDate,IF($R40=0,$X40,IF(AND($T40&lt;&gt;"",EDATE($D40,Milestones!$AA$63)&gt;=$T40),$W40,IF(AND($S40&lt;&gt;"",EDATE($D40,Milestones!$AA$63)&gt;=$S40),$V40,$U40)))=Milestones!$AB$63),UPPER(TEXT(EDATE($D40,Milestones!$AA$63),"dd mmm yy"))&amp;" "&amp;Milestones!$AB$63&amp;" "&amp;Milestones!$AC$63&amp;";  ","")&amp;IF(AND(EDATE($D40,Milestones!$AA$64)&lt;=AsOfDate,IF($R40=0,$X40,IF(AND($T40&lt;&gt;"",EDATE($D40,Milestones!$AA$64)&gt;=$T40),$W40,IF(AND($S40&lt;&gt;"",EDATE($D40,Milestones!$AA$64)&gt;=$S40),$V40,$U40)))=Milestones!$AB$64),UPPER(TEXT(EDATE($D40,Milestones!$AA$64),"dd mmm yy"))&amp;" "&amp;Milestones!$AB$64&amp;" "&amp;Milestones!$AC$64&amp;";  ","")&amp;IF(AND(EDATE($D40,Milestones!$AA$65)&lt;=AsOfDate,IF($R40=0,$X40,IF(AND($T40&lt;&gt;"",EDATE($D40,Milestones!$AA$65)&gt;=$T40),$W40,IF(AND($S40&lt;&gt;"",EDATE($D40,Milestones!$AA$65)&gt;=$S40),$V40,$U40)))=Milestones!$AB$65),UPPER(TEXT(EDATE($D40,Milestones!$AA$65),"dd mmm yy"))&amp;" "&amp;Milestones!$AB$65&amp;" "&amp;Milestones!$AC$65&amp;";  ","")&amp;IF(AND(EDATE($D40,Milestones!$AA$66)&lt;=AsOfDate,IF($R40=0,$X40,IF(AND($T40&lt;&gt;"",EDATE($D40,Milestones!$AA$66)&gt;=$T40),$W40,IF(AND($S40&lt;&gt;"",EDATE($D40,Milestones!$AA$66)&gt;=$S40),$V40,$U40)))=Milestones!$AB$66),UPPER(TEXT(EDATE($D40,Milestones!$AA$66),"dd mmm yy"))&amp;" "&amp;Milestones!$AB$66&amp;" "&amp;Milestones!$AC$66&amp;";  ","")&amp;IF(AND(EDATE($D40,Milestones!$AA$67)&lt;=AsOfDate,IF($R40=0,$X40,IF(AND($T40&lt;&gt;"",EDATE($D40,Milestones!$AA$67)&gt;=$T40),$W40,IF(AND($S40&lt;&gt;"",EDATE($D40,Milestones!$AA$67)&gt;=$S40),$V40,$U40)))=Milestones!$AB$67),UPPER(TEXT(EDATE($D40,Milestones!$AA$67),"dd mmm yy"))&amp;" "&amp;Milestones!$AB$67&amp;" "&amp;Milestones!$AC$67&amp;";  ","")&amp;IF(AND(EDATE($D40,Milestones!$AA$68)&lt;=AsOfDate,IF($R40=0,$X40,IF(AND($T40&lt;&gt;"",EDATE($D40,Milestones!$AA$68)&gt;=$T40),$W40,IF(AND($S40&lt;&gt;"",EDATE($D40,Milestones!$AA$68)&gt;=$S40),$V40,$U40)))=Milestones!$AB$68),UPPER(TEXT(EDATE($D40,Milestones!$AA$68),"dd mmm yy"))&amp;" "&amp;Milestones!$AB$68&amp;" "&amp;Milestones!$AC$68&amp;";  ","")&amp;IF(AND(EDATE($D40,Milestones!$AA$69)&lt;=AsOfDate,IF($R40=0,$X40,IF(AND($T40&lt;&gt;"",EDATE($D40,Milestones!$AA$69)&gt;=$T40),$W40,IF(AND($S40&lt;&gt;"",EDATE($D40,Milestones!$AA$69)&gt;=$S40),$V40,$U40)))=Milestones!$AB$69),UPPER(TEXT(EDATE($D40,Milestones!$AA$69),"dd mmm yy"))&amp;" "&amp;Milestones!$AB$69&amp;" "&amp;Milestones!$AC$69&amp;";  ","")&amp;IF(AND(EDATE($D40,Milestones!$AA$70)&lt;=AsOfDate,IF($R40=0,$X40,IF(AND($T40&lt;&gt;"",EDATE($D40,Milestones!$AA$70)&gt;=$T40),$W40,IF(AND($S40&lt;&gt;"",EDATE($D40,Milestones!$AA$70)&gt;=$S40),$V40,$U40)))=Milestones!$AB$70),UPPER(TEXT(EDATE($D40,Milestones!$AA$70),"dd mmm yy"))&amp;" "&amp;Milestones!$AB$70&amp;" "&amp;Milestones!$AC$70&amp;";  ","")&amp;IF(AND(EDATE($D40,Milestones!$AA$71)&lt;=AsOfDate,IF($R40=0,$X40,IF(AND($T40&lt;&gt;"",EDATE($D40,Milestones!$AA$71)&gt;=$T40),$W40,IF(AND($S40&lt;&gt;"",EDATE($D40,Milestones!$AA$71)&gt;=$S40),$V40,$U40)))=Milestones!$AB$71),UPPER(TEXT(EDATE($D40,Milestones!$AA$71),"dd mmm yy"))&amp;" "&amp;Milestones!$AB$71&amp;" "&amp;Milestones!$AC$71&amp;";  ","")&amp;IF(AND(EDATE($D40,Milestones!$AA$72)&lt;=AsOfDate,IF($R40=0,$X40,IF(AND($T40&lt;&gt;"",EDATE($D40,Milestones!$AA$72)&gt;=$T40),$W40,IF(AND($S40&lt;&gt;"",EDATE($D40,Milestones!$AA$72)&gt;=$S40),$V40,$U40)))=Milestones!$AB$72),UPPER(TEXT(EDATE($D40,Milestones!$AA$72),"dd mmm yy"))&amp;" "&amp;Milestones!$AB$72&amp;" "&amp;Milestones!$AC$72&amp;";  ","")&amp;IF(AND(EDATE($D40,Milestones!$AA$73)&lt;=AsOfDate,IF($R40=0,$X40,IF(AND($T40&lt;&gt;"",EDATE($D40,Milestones!$AA$73)&gt;=$T40),$W40,IF(AND($S40&lt;&gt;"",EDATE($D40,Milestones!$AA$73)&gt;=$S40),$V40,$U40)))=Milestones!$AB$73),UPPER(TEXT(EDATE($D40,Milestones!$AA$73),"dd mmm yy"))&amp;" "&amp;Milestones!$AB$73&amp;" "&amp;Milestones!$AC$73&amp;";  ","")&amp;IF(AND(EDATE($D40,Milestones!$AA$74)&lt;=AsOfDate,IF($R40=0,$X40,IF(AND($T40&lt;&gt;"",EDATE($D40,Milestones!$AA$74)&gt;=$T40),$W40,IF(AND($S40&lt;&gt;"",EDATE($D40,Milestones!$AA$74)&gt;=$S40),$V40,$U40)))=Milestones!$AB$74),UPPER(TEXT(EDATE($D40,Milestones!$AA$74),"dd mmm yy"))&amp;" "&amp;Milestones!$AB$74&amp;" "&amp;Milestones!$AC$74&amp;";  ","")&amp;IF(AND(EDATE($D40,Milestones!$AA$75)&lt;=AsOfDate,IF($R40=0,$X40,IF(AND($T40&lt;&gt;"",EDATE($D40,Milestones!$AA$75)&gt;=$T40),$W40,IF(AND($S40&lt;&gt;"",EDATE($D40,Milestones!$AA$75)&gt;=$S40),$V40,$U40)))=Milestones!$AB$75),UPPER(TEXT(EDATE($D40,Milestones!$AA$75),"dd mmm yy"))&amp;" "&amp;Milestones!$AB$75&amp;" "&amp;Milestones!$AC$75&amp;";  ","")&amp;IF(AND(EDATE($D40,Milestones!$AA$76)&lt;=AsOfDate,IF($R40=0,$X40,IF(AND($T40&lt;&gt;"",EDATE($D40,Milestones!$AA$76)&gt;=$T40),$W40,IF(AND($S40&lt;&gt;"",EDATE($D40,Milestones!$AA$76)&gt;=$S40),$V40,$U40)))=Milestones!$AB$76),UPPER(TEXT(EDATE($D40,Milestones!$AA$76),"dd mmm yy"))&amp;" "&amp;Milestones!$AB$76&amp;" "&amp;Milestones!$AC$76&amp;";  ","")&amp;IF(AND(EDATE($D40,Milestones!$AA$77)&lt;=AsOfDate,IF($R40=0,$X40,IF(AND($T40&lt;&gt;"",EDATE($D40,Milestones!$AA$77)&gt;=$T40),$W40,IF(AND($S40&lt;&gt;"",EDATE($D40,Milestones!$AA$77)&gt;=$S40),$V40,$U40)))=Milestones!$AB$77),UPPER(TEXT(EDATE($D40,Milestones!$AA$77),"dd mmm yy"))&amp;" "&amp;Milestones!$AB$77&amp;" "&amp;Milestones!$AC$77&amp;";  ","")&amp;IF(AND(EDATE($D40,Milestones!$AA$78)&lt;=AsOfDate,IF($R40=0,$X40,IF(AND($T40&lt;&gt;"",EDATE($D40,Milestones!$AA$78)&gt;=$T40),$W40,IF(AND($S40&lt;&gt;"",EDATE($D40,Milestones!$AA$78)&gt;=$S40),$V40,$U40)))=Milestones!$AB$78),UPPER(TEXT(EDATE($D40,Milestones!$AA$78),"dd mmm yy"))&amp;" "&amp;Milestones!$AB$78&amp;" "&amp;Milestones!$AC$78&amp;";  ","")&amp;IF(AND(EDATE($D40,Milestones!$AA$79)&lt;=AsOfDate,IF($R40=0,$X40,IF(AND($T40&lt;&gt;"",EDATE($D40,Milestones!$AA$79)&gt;=$T40),$W40,IF(AND($S40&lt;&gt;"",EDATE($D40,Milestones!$AA$79)&gt;=$S40),$V40,$U40)))=Milestones!$AB$79),UPPER(TEXT(EDATE($D40,Milestones!$AA$79),"dd mmm yy"))&amp;" "&amp;Milestones!$AB$79&amp;" "&amp;Milestones!$AC$79&amp;";  ",""))</f>
        <v/>
      </c>
      <c r="L40" s="0" t="str">
        <f aca="false">IF(OR($A40="",$D40=""),"",IF(AND(EDATE($D40,Milestones!$AA$80)&lt;=AsOfDate,IF($R40=0,$X40,IF(AND($T40&lt;&gt;"",EDATE($D40,Milestones!$AA$80)&gt;=$T40),$W40,IF(AND($S40&lt;&gt;"",EDATE($D40,Milestones!$AA$80)&gt;=$S40),$V40,$U40)))=Milestones!$AB$80),UPPER(TEXT(EDATE($D40,Milestones!$AA$80),"dd mmm yy"))&amp;" "&amp;Milestones!$AB$80&amp;" "&amp;Milestones!$AC$80&amp;";  ","")&amp;IF(AND(EDATE($D40,Milestones!$AA$81)&lt;=AsOfDate,IF($R40=0,$X40,IF(AND($T40&lt;&gt;"",EDATE($D40,Milestones!$AA$81)&gt;=$T40),$W40,IF(AND($S40&lt;&gt;"",EDATE($D40,Milestones!$AA$81)&gt;=$S40),$V40,$U40)))=Milestones!$AB$81),UPPER(TEXT(EDATE($D40,Milestones!$AA$81),"dd mmm yy"))&amp;" "&amp;Milestones!$AB$81&amp;" "&amp;Milestones!$AC$81&amp;";  ","")&amp;IF(AND(EDATE($D40,Milestones!$AA$82)&lt;=AsOfDate,IF($R40=0,$X40,IF(AND($T40&lt;&gt;"",EDATE($D40,Milestones!$AA$82)&gt;=$T40),$W40,IF(AND($S40&lt;&gt;"",EDATE($D40,Milestones!$AA$82)&gt;=$S40),$V40,$U40)))=Milestones!$AB$82),UPPER(TEXT(EDATE($D40,Milestones!$AA$82),"dd mmm yy"))&amp;" "&amp;Milestones!$AB$82&amp;" "&amp;Milestones!$AC$82&amp;";  ","")&amp;IF(AND(EDATE($D40,Milestones!$AA$83)&lt;=AsOfDate,IF($R40=0,$X40,IF(AND($T40&lt;&gt;"",EDATE($D40,Milestones!$AA$83)&gt;=$T40),$W40,IF(AND($S40&lt;&gt;"",EDATE($D40,Milestones!$AA$83)&gt;=$S40),$V40,$U40)))=Milestones!$AB$83),UPPER(TEXT(EDATE($D40,Milestones!$AA$83),"dd mmm yy"))&amp;" "&amp;Milestones!$AB$83&amp;" "&amp;Milestones!$AC$83&amp;";  ","")&amp;IF(AND(EDATE($D40,Milestones!$AA$84)&lt;=AsOfDate,IF($R40=0,$X40,IF(AND($T40&lt;&gt;"",EDATE($D40,Milestones!$AA$84)&gt;=$T40),$W40,IF(AND($S40&lt;&gt;"",EDATE($D40,Milestones!$AA$84)&gt;=$S40),$V40,$U40)))=Milestones!$AB$84),UPPER(TEXT(EDATE($D40,Milestones!$AA$84),"dd mmm yy"))&amp;" "&amp;Milestones!$AB$84&amp;" "&amp;Milestones!$AC$84&amp;";  ","")&amp;IF(AND(EDATE($D40,Milestones!$AA$85)&lt;=AsOfDate,IF($R40=0,$X40,IF(AND($T40&lt;&gt;"",EDATE($D40,Milestones!$AA$85)&gt;=$T40),$W40,IF(AND($S40&lt;&gt;"",EDATE($D40,Milestones!$AA$85)&gt;=$S40),$V40,$U40)))=Milestones!$AB$85),UPPER(TEXT(EDATE($D40,Milestones!$AA$85),"dd mmm yy"))&amp;" "&amp;Milestones!$AB$85&amp;" "&amp;Milestones!$AC$85&amp;";  ","")&amp;IF(AND(EDATE($D40,Milestones!$AA$86)&lt;=AsOfDate,IF($R40=0,$X40,IF(AND($T40&lt;&gt;"",EDATE($D40,Milestones!$AA$86)&gt;=$T40),$W40,IF(AND($S40&lt;&gt;"",EDATE($D40,Milestones!$AA$86)&gt;=$S40),$V40,$U40)))=Milestones!$AB$86),UPPER(TEXT(EDATE($D40,Milestones!$AA$86),"dd mmm yy"))&amp;" "&amp;Milestones!$AB$86&amp;" "&amp;Milestones!$AC$86&amp;";  ","")&amp;IF(AND(EDATE($D40,Milestones!$AA$87)&lt;=AsOfDate,IF($R40=0,$X40,IF(AND($T40&lt;&gt;"",EDATE($D40,Milestones!$AA$87)&gt;=$T40),$W40,IF(AND($S40&lt;&gt;"",EDATE($D40,Milestones!$AA$87)&gt;=$S40),$V40,$U40)))=Milestones!$AB$87),UPPER(TEXT(EDATE($D40,Milestones!$AA$87),"dd mmm yy"))&amp;" "&amp;Milestones!$AB$87&amp;" "&amp;Milestones!$AC$87&amp;";  ","")&amp;IF(AND(EDATE($D40,Milestones!$AA$88)&lt;=AsOfDate,IF($R40=0,$X40,IF(AND($T40&lt;&gt;"",EDATE($D40,Milestones!$AA$88)&gt;=$T40),$W40,IF(AND($S40&lt;&gt;"",EDATE($D40,Milestones!$AA$88)&gt;=$S40),$V40,$U40)))=Milestones!$AB$88),UPPER(TEXT(EDATE($D40,Milestones!$AA$88),"dd mmm yy"))&amp;" "&amp;Milestones!$AB$88&amp;" "&amp;Milestones!$AC$88&amp;";  ","")&amp;IF(AND(EDATE($D40,Milestones!$AA$89)&lt;=AsOfDate,IF($R40=0,$X40,IF(AND($T40&lt;&gt;"",EDATE($D40,Milestones!$AA$89)&gt;=$T40),$W40,IF(AND($S40&lt;&gt;"",EDATE($D40,Milestones!$AA$89)&gt;=$S40),$V40,$U40)))=Milestones!$AB$89),UPPER(TEXT(EDATE($D40,Milestones!$AA$89),"dd mmm yy"))&amp;" "&amp;Milestones!$AB$89&amp;" "&amp;Milestones!$AC$89&amp;";  ","")&amp;IF(AND(EDATE($D40,Milestones!$AA$90)&lt;=AsOfDate,IF($R40=0,$X40,IF(AND($T40&lt;&gt;"",EDATE($D40,Milestones!$AA$90)&gt;=$T40),$W40,IF(AND($S40&lt;&gt;"",EDATE($D40,Milestones!$AA$90)&gt;=$S40),$V40,$U40)))=Milestones!$AB$90),UPPER(TEXT(EDATE($D40,Milestones!$AA$90),"dd mmm yy"))&amp;" "&amp;Milestones!$AB$90&amp;" "&amp;Milestones!$AC$90&amp;";  ","")&amp;IF(AND(EDATE($D40,Milestones!$AA$91)&lt;=AsOfDate,IF($R40=0,$X40,IF(AND($T40&lt;&gt;"",EDATE($D40,Milestones!$AA$91)&gt;=$T40),$W40,IF(AND($S40&lt;&gt;"",EDATE($D40,Milestones!$AA$91)&gt;=$S40),$V40,$U40)))=Milestones!$AB$91),UPPER(TEXT(EDATE($D40,Milestones!$AA$91),"dd mmm yy"))&amp;" "&amp;Milestones!$AB$91&amp;" "&amp;Milestones!$AC$91&amp;";  ","")&amp;IF(AND(EDATE($D40,Milestones!$AA$92)&lt;=AsOfDate,IF($R40=0,$X40,IF(AND($T40&lt;&gt;"",EDATE($D40,Milestones!$AA$92)&gt;=$T40),$W40,IF(AND($S40&lt;&gt;"",EDATE($D40,Milestones!$AA$92)&gt;=$S40),$V40,$U40)))=Milestones!$AB$92),UPPER(TEXT(EDATE($D40,Milestones!$AA$92),"dd mmm yy"))&amp;" "&amp;Milestones!$AB$92&amp;" "&amp;Milestones!$AC$92&amp;";  ","")&amp;IF(AND(EDATE($D40,Milestones!$AA$93)&lt;=AsOfDate,IF($R40=0,$X40,IF(AND($T40&lt;&gt;"",EDATE($D40,Milestones!$AA$93)&gt;=$T40),$W40,IF(AND($S40&lt;&gt;"",EDATE($D40,Milestones!$AA$93)&gt;=$S40),$V40,$U40)))=Milestones!$AB$93),UPPER(TEXT(EDATE($D40,Milestones!$AA$93),"dd mmm yy"))&amp;" "&amp;Milestones!$AB$93&amp;" "&amp;Milestones!$AC$93&amp;";  ","")&amp;IF(AND(EDATE($D40,Milestones!$AA$94)&lt;=AsOfDate,IF($R40=0,$X40,IF(AND($T40&lt;&gt;"",EDATE($D40,Milestones!$AA$94)&gt;=$T40),$W40,IF(AND($S40&lt;&gt;"",EDATE($D40,Milestones!$AA$94)&gt;=$S40),$V40,$U40)))=Milestones!$AB$94),UPPER(TEXT(EDATE($D40,Milestones!$AA$94),"dd mmm yy"))&amp;" "&amp;Milestones!$AB$94&amp;" "&amp;Milestones!$AC$94&amp;";  ","")&amp;IF(AND(EDATE($D40,Milestones!$AA$95)&lt;=AsOfDate,IF($R40=0,$X40,IF(AND($T40&lt;&gt;"",EDATE($D40,Milestones!$AA$95)&gt;=$T40),$W40,IF(AND($S40&lt;&gt;"",EDATE($D40,Milestones!$AA$95)&gt;=$S40),$V40,$U40)))=Milestones!$AB$95),UPPER(TEXT(EDATE($D40,Milestones!$AA$95),"dd mmm yy"))&amp;" "&amp;Milestones!$AB$95&amp;" "&amp;Milestones!$AC$95&amp;";  ","")&amp;IF(AND(EDATE($D40,Milestones!$AA$96)&lt;=AsOfDate,IF($R40=0,$X40,IF(AND($T40&lt;&gt;"",EDATE($D40,Milestones!$AA$96)&gt;=$T40),$W40,IF(AND($S40&lt;&gt;"",EDATE($D40,Milestones!$AA$96)&gt;=$S40),$V40,$U40)))=Milestones!$AB$96),UPPER(TEXT(EDATE($D40,Milestones!$AA$96),"dd mmm yy"))&amp;" "&amp;Milestones!$AB$96&amp;" "&amp;Milestones!$AC$96&amp;";  ","")&amp;IF(AND(EDATE($D40,Milestones!$AA$97)&lt;=AsOfDate,IF($R40=0,$X40,IF(AND($T40&lt;&gt;"",EDATE($D40,Milestones!$AA$97)&gt;=$T40),$W40,IF(AND($S40&lt;&gt;"",EDATE($D40,Milestones!$AA$97)&gt;=$S40),$V40,$U40)))=Milestones!$AB$97),UPPER(TEXT(EDATE($D40,Milestones!$AA$97),"dd mmm yy"))&amp;" "&amp;Milestones!$AB$97&amp;" "&amp;Milestones!$AC$97&amp;";  ","")&amp;IF(AND(EDATE($D40,Milestones!$AA$98)&lt;=AsOfDate,IF($R40=0,$X40,IF(AND($T40&lt;&gt;"",EDATE($D40,Milestones!$AA$98)&gt;=$T40),$W40,IF(AND($S40&lt;&gt;"",EDATE($D40,Milestones!$AA$98)&gt;=$S40),$V40,$U40)))=Milestones!$AB$98),UPPER(TEXT(EDATE($D40,Milestones!$AA$98),"dd mmm yy"))&amp;" "&amp;Milestones!$AB$98&amp;" "&amp;Milestones!$AC$98&amp;";  ","")&amp;IF(AND(EDATE($D40,Milestones!$AA$99)&lt;=AsOfDate,IF($R40=0,$X40,IF(AND($T40&lt;&gt;"",EDATE($D40,Milestones!$AA$99)&gt;=$T40),$W40,IF(AND($S40&lt;&gt;"",EDATE($D40,Milestones!$AA$99)&gt;=$S40),$V40,$U40)))=Milestones!$AB$99),UPPER(TEXT(EDATE($D40,Milestones!$AA$99),"dd mmm yy"))&amp;" "&amp;Milestones!$AB$99&amp;" "&amp;Milestones!$AC$99&amp;";  ",""))</f>
        <v/>
      </c>
      <c r="M40" s="0" t="str">
        <f aca="false">IF(OR($A40="",$D40=""),"",IF(AND(EDATE($D40,Milestones!$AA$100)&lt;=AsOfDate,IF($R40=0,$X40,IF(AND($T40&lt;&gt;"",EDATE($D40,Milestones!$AA$100)&gt;=$T40),$W40,IF(AND($S40&lt;&gt;"",EDATE($D40,Milestones!$AA$100)&gt;=$S40),$V40,$U40)))=Milestones!$AB$100),UPPER(TEXT(EDATE($D40,Milestones!$AA$100),"dd mmm yy"))&amp;" "&amp;Milestones!$AB$100&amp;" "&amp;Milestones!$AC$100&amp;";  ","")&amp;IF(AND(EDATE($D40,Milestones!$AA$101)&lt;=AsOfDate,IF($R40=0,$X40,IF(AND($T40&lt;&gt;"",EDATE($D40,Milestones!$AA$101)&gt;=$T40),$W40,IF(AND($S40&lt;&gt;"",EDATE($D40,Milestones!$AA$101)&gt;=$S40),$V40,$U40)))=Milestones!$AB$101),UPPER(TEXT(EDATE($D40,Milestones!$AA$101),"dd mmm yy"))&amp;" "&amp;Milestones!$AB$101&amp;" "&amp;Milestones!$AC$101&amp;";  ","")&amp;IF(AND(EDATE($D40,Milestones!$AA$102)&lt;=AsOfDate,IF($R40=0,$X40,IF(AND($T40&lt;&gt;"",EDATE($D40,Milestones!$AA$102)&gt;=$T40),$W40,IF(AND($S40&lt;&gt;"",EDATE($D40,Milestones!$AA$102)&gt;=$S40),$V40,$U40)))=Milestones!$AB$102),UPPER(TEXT(EDATE($D40,Milestones!$AA$102),"dd mmm yy"))&amp;" "&amp;Milestones!$AB$102&amp;" "&amp;Milestones!$AC$102&amp;";  ","")&amp;IF(AND(EDATE($D40,Milestones!$AA$103)&lt;=AsOfDate,IF($R40=0,$X40,IF(AND($T40&lt;&gt;"",EDATE($D40,Milestones!$AA$103)&gt;=$T40),$W40,IF(AND($S40&lt;&gt;"",EDATE($D40,Milestones!$AA$103)&gt;=$S40),$V40,$U40)))=Milestones!$AB$103),UPPER(TEXT(EDATE($D40,Milestones!$AA$103),"dd mmm yy"))&amp;" "&amp;Milestones!$AB$103&amp;" "&amp;Milestones!$AC$103&amp;";  ","")&amp;IF(AND(EDATE($D40,Milestones!$AA$104)&lt;=AsOfDate,IF($R40=0,$X40,IF(AND($T40&lt;&gt;"",EDATE($D40,Milestones!$AA$104)&gt;=$T40),$W40,IF(AND($S40&lt;&gt;"",EDATE($D40,Milestones!$AA$104)&gt;=$S40),$V40,$U40)))=Milestones!$AB$104),UPPER(TEXT(EDATE($D40,Milestones!$AA$104),"dd mmm yy"))&amp;" "&amp;Milestones!$AB$104&amp;" "&amp;Milestones!$AC$104&amp;";  ","")&amp;IF(AND(EDATE($D40,Milestones!$AA$105)&lt;=AsOfDate,IF($R40=0,$X40,IF(AND($T40&lt;&gt;"",EDATE($D40,Milestones!$AA$105)&gt;=$T40),$W40,IF(AND($S40&lt;&gt;"",EDATE($D40,Milestones!$AA$105)&gt;=$S40),$V40,$U40)))=Milestones!$AB$105),UPPER(TEXT(EDATE($D40,Milestones!$AA$105),"dd mmm yy"))&amp;" "&amp;Milestones!$AB$105&amp;" "&amp;Milestones!$AC$105&amp;";  ","")&amp;IF(AND(EDATE($D40,Milestones!$AA$106)&lt;=AsOfDate,IF($R40=0,$X40,IF(AND($T40&lt;&gt;"",EDATE($D40,Milestones!$AA$106)&gt;=$T40),$W40,IF(AND($S40&lt;&gt;"",EDATE($D40,Milestones!$AA$106)&gt;=$S40),$V40,$U40)))=Milestones!$AB$106),UPPER(TEXT(EDATE($D40,Milestones!$AA$106),"dd mmm yy"))&amp;" "&amp;Milestones!$AB$106&amp;" "&amp;Milestones!$AC$106&amp;";  ","")&amp;IF(AND(EDATE($D40,Milestones!$AA$107)&lt;=AsOfDate,IF($R40=0,$X40,IF(AND($T40&lt;&gt;"",EDATE($D40,Milestones!$AA$107)&gt;=$T40),$W40,IF(AND($S40&lt;&gt;"",EDATE($D40,Milestones!$AA$107)&gt;=$S40),$V40,$U40)))=Milestones!$AB$107),UPPER(TEXT(EDATE($D40,Milestones!$AA$107),"dd mmm yy"))&amp;" "&amp;Milestones!$AB$107&amp;" "&amp;Milestones!$AC$107&amp;";  ","")&amp;IF(AND(EDATE($D40,Milestones!$AA$108)&lt;=AsOfDate,IF($R40=0,$X40,IF(AND($T40&lt;&gt;"",EDATE($D40,Milestones!$AA$108)&gt;=$T40),$W40,IF(AND($S40&lt;&gt;"",EDATE($D40,Milestones!$AA$108)&gt;=$S40),$V40,$U40)))=Milestones!$AB$108),UPPER(TEXT(EDATE($D40,Milestones!$AA$108),"dd mmm yy"))&amp;" "&amp;Milestones!$AB$108&amp;" "&amp;Milestones!$AC$108&amp;";  ","")&amp;IF(AND(EDATE($D40,Milestones!$AA$109)&lt;=AsOfDate,IF($R40=0,$X40,IF(AND($T40&lt;&gt;"",EDATE($D40,Milestones!$AA$109)&gt;=$T40),$W40,IF(AND($S40&lt;&gt;"",EDATE($D40,Milestones!$AA$109)&gt;=$S40),$V40,$U40)))=Milestones!$AB$109),UPPER(TEXT(EDATE($D40,Milestones!$AA$109),"dd mmm yy"))&amp;" "&amp;Milestones!$AB$109&amp;" "&amp;Milestones!$AC$109&amp;";  ","")&amp;IF(AND(EDATE($D40,Milestones!$AA$110)&lt;=AsOfDate,IF($R40=0,$X40,IF(AND($T40&lt;&gt;"",EDATE($D40,Milestones!$AA$110)&gt;=$T40),$W40,IF(AND($S40&lt;&gt;"",EDATE($D40,Milestones!$AA$110)&gt;=$S40),$V40,$U40)))=Milestones!$AB$110),UPPER(TEXT(EDATE($D40,Milestones!$AA$110),"dd mmm yy"))&amp;" "&amp;Milestones!$AB$110&amp;" "&amp;Milestones!$AC$110&amp;";  ","")&amp;IF(AND(EDATE($D40,Milestones!$AA$111)&lt;=AsOfDate,IF($R40=0,$X40,IF(AND($T40&lt;&gt;"",EDATE($D40,Milestones!$AA$111)&gt;=$T40),$W40,IF(AND($S40&lt;&gt;"",EDATE($D40,Milestones!$AA$111)&gt;=$S40),$V40,$U40)))=Milestones!$AB$111),UPPER(TEXT(EDATE($D40,Milestones!$AA$111),"dd mmm yy"))&amp;" "&amp;Milestones!$AB$111&amp;" "&amp;Milestones!$AC$111&amp;";  ","")&amp;IF(AND(EDATE($D40,Milestones!$AA$112)&lt;=AsOfDate,IF($R40=0,$X40,IF(AND($T40&lt;&gt;"",EDATE($D40,Milestones!$AA$112)&gt;=$T40),$W40,IF(AND($S40&lt;&gt;"",EDATE($D40,Milestones!$AA$112)&gt;=$S40),$V40,$U40)))=Milestones!$AB$112),UPPER(TEXT(EDATE($D40,Milestones!$AA$112),"dd mmm yy"))&amp;" "&amp;Milestones!$AB$112&amp;" "&amp;Milestones!$AC$112&amp;";  ","")&amp;IF(AND(EDATE($D40,Milestones!$AA$113)&lt;=AsOfDate,IF($R40=0,$X40,IF(AND($T40&lt;&gt;"",EDATE($D40,Milestones!$AA$113)&gt;=$T40),$W40,IF(AND($S40&lt;&gt;"",EDATE($D40,Milestones!$AA$113)&gt;=$S40),$V40,$U40)))=Milestones!$AB$113),UPPER(TEXT(EDATE($D40,Milestones!$AA$113),"dd mmm yy"))&amp;" "&amp;Milestones!$AB$113&amp;" "&amp;Milestones!$AC$113&amp;";  ","")&amp;IF(AND(EDATE($D40,Milestones!$AA$114)&lt;=AsOfDate,IF($R40=0,$X40,IF(AND($T40&lt;&gt;"",EDATE($D40,Milestones!$AA$114)&gt;=$T40),$W40,IF(AND($S40&lt;&gt;"",EDATE($D40,Milestones!$AA$114)&gt;=$S40),$V40,$U40)))=Milestones!$AB$114),UPPER(TEXT(EDATE($D40,Milestones!$AA$114),"dd mmm yy"))&amp;" "&amp;Milestones!$AB$114&amp;" "&amp;Milestones!$AC$114&amp;";  ","")&amp;IF(AND(EDATE($D40,Milestones!$AA$115)&lt;=AsOfDate,IF($R40=0,$X40,IF(AND($T40&lt;&gt;"",EDATE($D40,Milestones!$AA$115)&gt;=$T40),$W40,IF(AND($S40&lt;&gt;"",EDATE($D40,Milestones!$AA$115)&gt;=$S40),$V40,$U40)))=Milestones!$AB$115),UPPER(TEXT(EDATE($D40,Milestones!$AA$115),"dd mmm yy"))&amp;" "&amp;Milestones!$AB$115&amp;" "&amp;Milestones!$AC$115&amp;";  ","")&amp;IF(AND(EDATE($D40,Milestones!$AA$116)&lt;=AsOfDate,IF($R40=0,$X40,IF(AND($T40&lt;&gt;"",EDATE($D40,Milestones!$AA$116)&gt;=$T40),$W40,IF(AND($S40&lt;&gt;"",EDATE($D40,Milestones!$AA$116)&gt;=$S40),$V40,$U40)))=Milestones!$AB$116),UPPER(TEXT(EDATE($D40,Milestones!$AA$116),"dd mmm yy"))&amp;" "&amp;Milestones!$AB$116&amp;" "&amp;Milestones!$AC$116&amp;";  ","")&amp;IF(AND(EDATE($D40,Milestones!$AA$117)&lt;=AsOfDate,IF($R40=0,$X40,IF(AND($T40&lt;&gt;"",EDATE($D40,Milestones!$AA$117)&gt;=$T40),$W40,IF(AND($S40&lt;&gt;"",EDATE($D40,Milestones!$AA$117)&gt;=$S40),$V40,$U40)))=Milestones!$AB$117),UPPER(TEXT(EDATE($D40,Milestones!$AA$117),"dd mmm yy"))&amp;" "&amp;Milestones!$AB$117&amp;" "&amp;Milestones!$AC$117&amp;";  ","")&amp;IF(AND(EDATE($D40,Milestones!$AA$118)&lt;=AsOfDate,IF($R40=0,$X40,IF(AND($T40&lt;&gt;"",EDATE($D40,Milestones!$AA$118)&gt;=$T40),$W40,IF(AND($S40&lt;&gt;"",EDATE($D40,Milestones!$AA$118)&gt;=$S40),$V40,$U40)))=Milestones!$AB$118),UPPER(TEXT(EDATE($D40,Milestones!$AA$118),"dd mmm yy"))&amp;" "&amp;Milestones!$AB$118&amp;" "&amp;Milestones!$AC$118&amp;";  ","")&amp;IF(AND(EDATE($D40,Milestones!$AA$119)&lt;=AsOfDate,IF($R40=0,$X40,IF(AND($T40&lt;&gt;"",EDATE($D40,Milestones!$AA$119)&gt;=$T40),$W40,IF(AND($S40&lt;&gt;"",EDATE($D40,Milestones!$AA$119)&gt;=$S40),$V40,$U40)))=Milestones!$AB$119),UPPER(TEXT(EDATE($D40,Milestones!$AA$119),"dd mmm yy"))&amp;" "&amp;Milestones!$AB$119&amp;" "&amp;Milestones!$AC$119&amp;";  ",""))</f>
        <v/>
      </c>
      <c r="N40" s="0" t="str">
        <f aca="false">IF(OR($A40="",$D40=""),"",IF(AND(EDATE($D40,Milestones!$AA$120)&lt;=AsOfDate,IF($R40=0,$X40,IF(AND($T40&lt;&gt;"",EDATE($D40,Milestones!$AA$120)&gt;=$T40),$W40,IF(AND($S40&lt;&gt;"",EDATE($D40,Milestones!$AA$120)&gt;=$S40),$V40,$U40)))=Milestones!$AB$120),UPPER(TEXT(EDATE($D40,Milestones!$AA$120),"dd mmm yy"))&amp;" "&amp;Milestones!$AB$120&amp;" "&amp;Milestones!$AC$120&amp;";  ","")&amp;IF(AND(EDATE($D40,Milestones!$AA$121)&lt;=AsOfDate,IF($R40=0,$X40,IF(AND($T40&lt;&gt;"",EDATE($D40,Milestones!$AA$121)&gt;=$T40),$W40,IF(AND($S40&lt;&gt;"",EDATE($D40,Milestones!$AA$121)&gt;=$S40),$V40,$U40)))=Milestones!$AB$121),UPPER(TEXT(EDATE($D40,Milestones!$AA$121),"dd mmm yy"))&amp;" "&amp;Milestones!$AB$121&amp;" "&amp;Milestones!$AC$121&amp;";  ","")&amp;IF(AND(EDATE($D40,Milestones!$AA$122)&lt;=AsOfDate,IF($R40=0,$X40,IF(AND($T40&lt;&gt;"",EDATE($D40,Milestones!$AA$122)&gt;=$T40),$W40,IF(AND($S40&lt;&gt;"",EDATE($D40,Milestones!$AA$122)&gt;=$S40),$V40,$U40)))=Milestones!$AB$122),UPPER(TEXT(EDATE($D40,Milestones!$AA$122),"dd mmm yy"))&amp;" "&amp;Milestones!$AB$122&amp;" "&amp;Milestones!$AC$122&amp;";  ","")&amp;IF(AND(EDATE($D40,Milestones!$AA$123)&lt;=AsOfDate,IF($R40=0,$X40,IF(AND($T40&lt;&gt;"",EDATE($D40,Milestones!$AA$123)&gt;=$T40),$W40,IF(AND($S40&lt;&gt;"",EDATE($D40,Milestones!$AA$123)&gt;=$S40),$V40,$U40)))=Milestones!$AB$123),UPPER(TEXT(EDATE($D40,Milestones!$AA$123),"dd mmm yy"))&amp;" "&amp;Milestones!$AB$123&amp;" "&amp;Milestones!$AC$123&amp;";  ","")&amp;IF(AND(EDATE($D40,Milestones!$AA$124)&lt;=AsOfDate,IF($R40=0,$X40,IF(AND($T40&lt;&gt;"",EDATE($D40,Milestones!$AA$124)&gt;=$T40),$W40,IF(AND($S40&lt;&gt;"",EDATE($D40,Milestones!$AA$124)&gt;=$S40),$V40,$U40)))=Milestones!$AB$124),UPPER(TEXT(EDATE($D40,Milestones!$AA$124),"dd mmm yy"))&amp;" "&amp;Milestones!$AB$124&amp;" "&amp;Milestones!$AC$124&amp;";  ","")&amp;IF(AND(EDATE($D40,Milestones!$AA$125)&lt;=AsOfDate,IF($R40=0,$X40,IF(AND($T40&lt;&gt;"",EDATE($D40,Milestones!$AA$125)&gt;=$T40),$W40,IF(AND($S40&lt;&gt;"",EDATE($D40,Milestones!$AA$125)&gt;=$S40),$V40,$U40)))=Milestones!$AB$125),UPPER(TEXT(EDATE($D40,Milestones!$AA$125),"dd mmm yy"))&amp;" "&amp;Milestones!$AB$125&amp;" "&amp;Milestones!$AC$125&amp;";  ","")&amp;IF(AND(EDATE($D40,Milestones!$AA$126)&lt;=AsOfDate,IF($R40=0,$X40,IF(AND($T40&lt;&gt;"",EDATE($D40,Milestones!$AA$126)&gt;=$T40),$W40,IF(AND($S40&lt;&gt;"",EDATE($D40,Milestones!$AA$126)&gt;=$S40),$V40,$U40)))=Milestones!$AB$126),UPPER(TEXT(EDATE($D40,Milestones!$AA$126),"dd mmm yy"))&amp;" "&amp;Milestones!$AB$126&amp;" "&amp;Milestones!$AC$126&amp;";  ","")&amp;IF(AND(EDATE($D40,Milestones!$AA$127)&lt;=AsOfDate,IF($R40=0,$X40,IF(AND($T40&lt;&gt;"",EDATE($D40,Milestones!$AA$127)&gt;=$T40),$W40,IF(AND($S40&lt;&gt;"",EDATE($D40,Milestones!$AA$127)&gt;=$S40),$V40,$U40)))=Milestones!$AB$127),UPPER(TEXT(EDATE($D40,Milestones!$AA$127),"dd mmm yy"))&amp;" "&amp;Milestones!$AB$127&amp;" "&amp;Milestones!$AC$127&amp;";  ","")&amp;IF(AND(EDATE($D40,Milestones!$AA$128)&lt;=AsOfDate,IF($R40=0,$X40,IF(AND($T40&lt;&gt;"",EDATE($D40,Milestones!$AA$128)&gt;=$T40),$W40,IF(AND($S40&lt;&gt;"",EDATE($D40,Milestones!$AA$128)&gt;=$S40),$V40,$U40)))=Milestones!$AB$128),UPPER(TEXT(EDATE($D40,Milestones!$AA$128),"dd mmm yy"))&amp;" "&amp;Milestones!$AB$128&amp;" "&amp;Milestones!$AC$128&amp;";  ","")&amp;IF(AND(EDATE($D40,Milestones!$AA$129)&lt;=AsOfDate,IF($R40=0,$X40,IF(AND($T40&lt;&gt;"",EDATE($D40,Milestones!$AA$129)&gt;=$T40),$W40,IF(AND($S40&lt;&gt;"",EDATE($D40,Milestones!$AA$129)&gt;=$S40),$V40,$U40)))=Milestones!$AB$129),UPPER(TEXT(EDATE($D40,Milestones!$AA$129),"dd mmm yy"))&amp;" "&amp;Milestones!$AB$129&amp;" "&amp;Milestones!$AC$129&amp;";  ","")&amp;IF(AND(EDATE($D40,Milestones!$AA$130)&lt;=AsOfDate,IF($R40=0,$X40,IF(AND($T40&lt;&gt;"",EDATE($D40,Milestones!$AA$130)&gt;=$T40),$W40,IF(AND($S40&lt;&gt;"",EDATE($D40,Milestones!$AA$130)&gt;=$S40),$V40,$U40)))=Milestones!$AB$130),UPPER(TEXT(EDATE($D40,Milestones!$AA$130),"dd mmm yy"))&amp;" "&amp;Milestones!$AB$130&amp;" "&amp;Milestones!$AC$130&amp;";  ","")&amp;IF(AND(EDATE($D40,Milestones!$AA$131)&lt;=AsOfDate,IF($R40=0,$X40,IF(AND($T40&lt;&gt;"",EDATE($D40,Milestones!$AA$131)&gt;=$T40),$W40,IF(AND($S40&lt;&gt;"",EDATE($D40,Milestones!$AA$131)&gt;=$S40),$V40,$U40)))=Milestones!$AB$131),UPPER(TEXT(EDATE($D40,Milestones!$AA$131),"dd mmm yy"))&amp;" "&amp;Milestones!$AB$131&amp;" "&amp;Milestones!$AC$131&amp;";  ","")&amp;IF(AND(EDATE($D40,Milestones!$AA$132)&lt;=AsOfDate,IF($R40=0,$X40,IF(AND($T40&lt;&gt;"",EDATE($D40,Milestones!$AA$132)&gt;=$T40),$W40,IF(AND($S40&lt;&gt;"",EDATE($D40,Milestones!$AA$132)&gt;=$S40),$V40,$U40)))=Milestones!$AB$132),UPPER(TEXT(EDATE($D40,Milestones!$AA$132),"dd mmm yy"))&amp;" "&amp;Milestones!$AB$132&amp;" "&amp;Milestones!$AC$132&amp;";  ","")&amp;IF(AND(EDATE($D40,Milestones!$AA$133)&lt;=AsOfDate,IF($R40=0,$X40,IF(AND($T40&lt;&gt;"",EDATE($D40,Milestones!$AA$133)&gt;=$T40),$W40,IF(AND($S40&lt;&gt;"",EDATE($D40,Milestones!$AA$133)&gt;=$S40),$V40,$U40)))=Milestones!$AB$133),UPPER(TEXT(EDATE($D40,Milestones!$AA$133),"dd mmm yy"))&amp;" "&amp;Milestones!$AB$133&amp;" "&amp;Milestones!$AC$133&amp;";  ","")&amp;IF(AND(EDATE($D40,Milestones!$AA$134)&lt;=AsOfDate,IF($R40=0,$X40,IF(AND($T40&lt;&gt;"",EDATE($D40,Milestones!$AA$134)&gt;=$T40),$W40,IF(AND($S40&lt;&gt;"",EDATE($D40,Milestones!$AA$134)&gt;=$S40),$V40,$U40)))=Milestones!$AB$134),UPPER(TEXT(EDATE($D40,Milestones!$AA$134),"dd mmm yy"))&amp;" "&amp;Milestones!$AB$134&amp;" "&amp;Milestones!$AC$134&amp;";  ","")&amp;IF(AND(EDATE($D40,Milestones!$AA$135)&lt;=AsOfDate,IF($R40=0,$X40,IF(AND($T40&lt;&gt;"",EDATE($D40,Milestones!$AA$135)&gt;=$T40),$W40,IF(AND($S40&lt;&gt;"",EDATE($D40,Milestones!$AA$135)&gt;=$S40),$V40,$U40)))=Milestones!$AB$135),UPPER(TEXT(EDATE($D40,Milestones!$AA$135),"dd mmm yy"))&amp;" "&amp;Milestones!$AB$135&amp;" "&amp;Milestones!$AC$135&amp;";  ","")&amp;IF(AND(EDATE($D40,Milestones!$AA$136)&lt;=AsOfDate,IF($R40=0,$X40,IF(AND($T40&lt;&gt;"",EDATE($D40,Milestones!$AA$136)&gt;=$T40),$W40,IF(AND($S40&lt;&gt;"",EDATE($D40,Milestones!$AA$136)&gt;=$S40),$V40,$U40)))=Milestones!$AB$136),UPPER(TEXT(EDATE($D40,Milestones!$AA$136),"dd mmm yy"))&amp;" "&amp;Milestones!$AB$136&amp;" "&amp;Milestones!$AC$136&amp;";  ","")&amp;IF(AND(EDATE($D40,Milestones!$AA$137)&lt;=AsOfDate,IF($R40=0,$X40,IF(AND($T40&lt;&gt;"",EDATE($D40,Milestones!$AA$137)&gt;=$T40),$W40,IF(AND($S40&lt;&gt;"",EDATE($D40,Milestones!$AA$137)&gt;=$S40),$V40,$U40)))=Milestones!$AB$137),UPPER(TEXT(EDATE($D40,Milestones!$AA$137),"dd mmm yy"))&amp;" "&amp;Milestones!$AB$137&amp;" "&amp;Milestones!$AC$137&amp;";  ","")&amp;IF(AND(EDATE($D40,Milestones!$AA$138)&lt;=AsOfDate,IF($R40=0,$X40,IF(AND($T40&lt;&gt;"",EDATE($D40,Milestones!$AA$138)&gt;=$T40),$W40,IF(AND($S40&lt;&gt;"",EDATE($D40,Milestones!$AA$138)&gt;=$S40),$V40,$U40)))=Milestones!$AB$138),UPPER(TEXT(EDATE($D40,Milestones!$AA$138),"dd mmm yy"))&amp;" "&amp;Milestones!$AB$138&amp;" "&amp;Milestones!$AC$138&amp;";  ","")&amp;IF(AND(EDATE($D40,Milestones!$AA$139)&lt;=AsOfDate,IF($R40=0,$X40,IF(AND($T40&lt;&gt;"",EDATE($D40,Milestones!$AA$139)&gt;=$T40),$W40,IF(AND($S40&lt;&gt;"",EDATE($D40,Milestones!$AA$139)&gt;=$S40),$V40,$U40)))=Milestones!$AB$139),UPPER(TEXT(EDATE($D40,Milestones!$AA$139),"dd mmm yy"))&amp;" "&amp;Milestones!$AB$139&amp;" "&amp;Milestones!$AC$139&amp;";  ",""))</f>
        <v/>
      </c>
      <c r="O40" s="0" t="str">
        <f aca="false">IF(OR($A40="",$D40=""),"",IF(AND(EDATE($D40,Milestones!$AA$140)&lt;=AsOfDate,IF($R40=0,$X40,IF(AND($T40&lt;&gt;"",EDATE($D40,Milestones!$AA$140)&gt;=$T40),$W40,IF(AND($S40&lt;&gt;"",EDATE($D40,Milestones!$AA$140)&gt;=$S40),$V40,$U40)))=Milestones!$AB$140),UPPER(TEXT(EDATE($D40,Milestones!$AA$140),"dd mmm yy"))&amp;" "&amp;Milestones!$AB$140&amp;" "&amp;Milestones!$AC$140&amp;";  ","")&amp;IF(AND(EDATE($D40,Milestones!$AA$141)&lt;=AsOfDate,IF($R40=0,$X40,IF(AND($T40&lt;&gt;"",EDATE($D40,Milestones!$AA$141)&gt;=$T40),$W40,IF(AND($S40&lt;&gt;"",EDATE($D40,Milestones!$AA$141)&gt;=$S40),$V40,$U40)))=Milestones!$AB$141),UPPER(TEXT(EDATE($D40,Milestones!$AA$141),"dd mmm yy"))&amp;" "&amp;Milestones!$AB$141&amp;" "&amp;Milestones!$AC$141&amp;";  ","")&amp;IF(AND(EDATE($D40,Milestones!$AA$142)&lt;=AsOfDate,IF($R40=0,$X40,IF(AND($T40&lt;&gt;"",EDATE($D40,Milestones!$AA$142)&gt;=$T40),$W40,IF(AND($S40&lt;&gt;"",EDATE($D40,Milestones!$AA$142)&gt;=$S40),$V40,$U40)))=Milestones!$AB$142),UPPER(TEXT(EDATE($D40,Milestones!$AA$142),"dd mmm yy"))&amp;" "&amp;Milestones!$AB$142&amp;" "&amp;Milestones!$AC$142&amp;";  ","")&amp;IF(AND(EDATE($D40,Milestones!$AA$143)&lt;=AsOfDate,IF($R40=0,$X40,IF(AND($T40&lt;&gt;"",EDATE($D40,Milestones!$AA$143)&gt;=$T40),$W40,IF(AND($S40&lt;&gt;"",EDATE($D40,Milestones!$AA$143)&gt;=$S40),$V40,$U40)))=Milestones!$AB$143),UPPER(TEXT(EDATE($D40,Milestones!$AA$143),"dd mmm yy"))&amp;" "&amp;Milestones!$AB$143&amp;" "&amp;Milestones!$AC$143&amp;";  ","")&amp;IF(AND(EDATE($D40,Milestones!$AA$144)&lt;=AsOfDate,IF($R40=0,$X40,IF(AND($T40&lt;&gt;"",EDATE($D40,Milestones!$AA$144)&gt;=$T40),$W40,IF(AND($S40&lt;&gt;"",EDATE($D40,Milestones!$AA$144)&gt;=$S40),$V40,$U40)))=Milestones!$AB$144),UPPER(TEXT(EDATE($D40,Milestones!$AA$144),"dd mmm yy"))&amp;" "&amp;Milestones!$AB$144&amp;" "&amp;Milestones!$AC$144&amp;";  ","")&amp;IF(AND(EDATE($D40,Milestones!$AA$145)&lt;=AsOfDate,IF($R40=0,$X40,IF(AND($T40&lt;&gt;"",EDATE($D40,Milestones!$AA$145)&gt;=$T40),$W40,IF(AND($S40&lt;&gt;"",EDATE($D40,Milestones!$AA$145)&gt;=$S40),$V40,$U40)))=Milestones!$AB$145),UPPER(TEXT(EDATE($D40,Milestones!$AA$145),"dd mmm yy"))&amp;" "&amp;Milestones!$AB$145&amp;" "&amp;Milestones!$AC$145&amp;";  ","")&amp;IF(AND(EDATE($D40,Milestones!$AA$146)&lt;=AsOfDate,IF($R40=0,$X40,IF(AND($T40&lt;&gt;"",EDATE($D40,Milestones!$AA$146)&gt;=$T40),$W40,IF(AND($S40&lt;&gt;"",EDATE($D40,Milestones!$AA$146)&gt;=$S40),$V40,$U40)))=Milestones!$AB$146),UPPER(TEXT(EDATE($D40,Milestones!$AA$146),"dd mmm yy"))&amp;" "&amp;Milestones!$AB$146&amp;" "&amp;Milestones!$AC$146&amp;";  ","")&amp;IF(AND(EDATE($D40,Milestones!$AA$147)&lt;=AsOfDate,IF($R40=0,$X40,IF(AND($T40&lt;&gt;"",EDATE($D40,Milestones!$AA$147)&gt;=$T40),$W40,IF(AND($S40&lt;&gt;"",EDATE($D40,Milestones!$AA$147)&gt;=$S40),$V40,$U40)))=Milestones!$AB$147),UPPER(TEXT(EDATE($D40,Milestones!$AA$147),"dd mmm yy"))&amp;" "&amp;Milestones!$AB$147&amp;" "&amp;Milestones!$AC$147&amp;";  ","")&amp;IF(AND(EDATE($D40,Milestones!$AA$148)&lt;=AsOfDate,IF($R40=0,$X40,IF(AND($T40&lt;&gt;"",EDATE($D40,Milestones!$AA$148)&gt;=$T40),$W40,IF(AND($S40&lt;&gt;"",EDATE($D40,Milestones!$AA$148)&gt;=$S40),$V40,$U40)))=Milestones!$AB$148),UPPER(TEXT(EDATE($D40,Milestones!$AA$148),"dd mmm yy"))&amp;" "&amp;Milestones!$AB$148&amp;" "&amp;Milestones!$AC$148&amp;";  ","")&amp;IF(AND(EDATE($D40,Milestones!$AA$149)&lt;=AsOfDate,IF($R40=0,$X40,IF(AND($T40&lt;&gt;"",EDATE($D40,Milestones!$AA$149)&gt;=$T40),$W40,IF(AND($S40&lt;&gt;"",EDATE($D40,Milestones!$AA$149)&gt;=$S40),$V40,$U40)))=Milestones!$AB$149),UPPER(TEXT(EDATE($D40,Milestones!$AA$149),"dd mmm yy"))&amp;" "&amp;Milestones!$AB$149&amp;" "&amp;Milestones!$AC$149&amp;";  ","")&amp;IF(AND(EDATE($D40,Milestones!$AA$150)&lt;=AsOfDate,IF($R40=0,$X40,IF(AND($T40&lt;&gt;"",EDATE($D40,Milestones!$AA$150)&gt;=$T40),$W40,IF(AND($S40&lt;&gt;"",EDATE($D40,Milestones!$AA$150)&gt;=$S40),$V40,$U40)))=Milestones!$AB$150),UPPER(TEXT(EDATE($D40,Milestones!$AA$150),"dd mmm yy"))&amp;" "&amp;Milestones!$AB$150&amp;" "&amp;Milestones!$AC$150&amp;";  ","")&amp;IF(AND(EDATE($D40,Milestones!$AA$151)&lt;=AsOfDate,IF($R40=0,$X40,IF(AND($T40&lt;&gt;"",EDATE($D40,Milestones!$AA$151)&gt;=$T40),$W40,IF(AND($S40&lt;&gt;"",EDATE($D40,Milestones!$AA$151)&gt;=$S40),$V40,$U40)))=Milestones!$AB$151),UPPER(TEXT(EDATE($D40,Milestones!$AA$151),"dd mmm yy"))&amp;" "&amp;Milestones!$AB$151&amp;" "&amp;Milestones!$AC$151&amp;";  ","")&amp;IF(AND(EDATE($D40,Milestones!$AA$152)&lt;=AsOfDate,IF($R40=0,$X40,IF(AND($T40&lt;&gt;"",EDATE($D40,Milestones!$AA$152)&gt;=$T40),$W40,IF(AND($S40&lt;&gt;"",EDATE($D40,Milestones!$AA$152)&gt;=$S40),$V40,$U40)))=Milestones!$AB$152),UPPER(TEXT(EDATE($D40,Milestones!$AA$152),"dd mmm yy"))&amp;" "&amp;Milestones!$AB$152&amp;" "&amp;Milestones!$AC$152&amp;";  ","")&amp;IF(AND(EDATE($D40,Milestones!$AA$153)&lt;=AsOfDate,IF($R40=0,$X40,IF(AND($T40&lt;&gt;"",EDATE($D40,Milestones!$AA$153)&gt;=$T40),$W40,IF(AND($S40&lt;&gt;"",EDATE($D40,Milestones!$AA$153)&gt;=$S40),$V40,$U40)))=Milestones!$AB$153),UPPER(TEXT(EDATE($D40,Milestones!$AA$153),"dd mmm yy"))&amp;" "&amp;Milestones!$AB$153&amp;" "&amp;Milestones!$AC$153&amp;";  ","")&amp;IF(AND(EDATE($D40,Milestones!$AA$154)&lt;=AsOfDate,IF($R40=0,$X40,IF(AND($T40&lt;&gt;"",EDATE($D40,Milestones!$AA$154)&gt;=$T40),$W40,IF(AND($S40&lt;&gt;"",EDATE($D40,Milestones!$AA$154)&gt;=$S40),$V40,$U40)))=Milestones!$AB$154),UPPER(TEXT(EDATE($D40,Milestones!$AA$154),"dd mmm yy"))&amp;" "&amp;Milestones!$AB$154&amp;" "&amp;Milestones!$AC$154&amp;";  ","")&amp;IF(AND(EDATE($D40,Milestones!$AA$155)&lt;=AsOfDate,IF($R40=0,$X40,IF(AND($T40&lt;&gt;"",EDATE($D40,Milestones!$AA$155)&gt;=$T40),$W40,IF(AND($S40&lt;&gt;"",EDATE($D40,Milestones!$AA$155)&gt;=$S40),$V40,$U40)))=Milestones!$AB$155),UPPER(TEXT(EDATE($D40,Milestones!$AA$155),"dd mmm yy"))&amp;" "&amp;Milestones!$AB$155&amp;" "&amp;Milestones!$AC$155&amp;";  ","")&amp;IF(AND(EDATE($D40,Milestones!$AA$156)&lt;=AsOfDate,IF($R40=0,$X40,IF(AND($T40&lt;&gt;"",EDATE($D40,Milestones!$AA$156)&gt;=$T40),$W40,IF(AND($S40&lt;&gt;"",EDATE($D40,Milestones!$AA$156)&gt;=$S40),$V40,$U40)))=Milestones!$AB$156),UPPER(TEXT(EDATE($D40,Milestones!$AA$156),"dd mmm yy"))&amp;" "&amp;Milestones!$AB$156&amp;" "&amp;Milestones!$AC$156&amp;";  ","")&amp;IF(AND(EDATE($D40,Milestones!$AA$157)&lt;=AsOfDate,IF($R40=0,$X40,IF(AND($T40&lt;&gt;"",EDATE($D40,Milestones!$AA$157)&gt;=$T40),$W40,IF(AND($S40&lt;&gt;"",EDATE($D40,Milestones!$AA$157)&gt;=$S40),$V40,$U40)))=Milestones!$AB$157),UPPER(TEXT(EDATE($D40,Milestones!$AA$157),"dd mmm yy"))&amp;" "&amp;Milestones!$AB$157&amp;" "&amp;Milestones!$AC$157&amp;";  ","")&amp;IF(AND(EDATE($D40,Milestones!$AA$158)&lt;=AsOfDate,IF($R40=0,$X40,IF(AND($T40&lt;&gt;"",EDATE($D40,Milestones!$AA$158)&gt;=$T40),$W40,IF(AND($S40&lt;&gt;"",EDATE($D40,Milestones!$AA$158)&gt;=$S40),$V40,$U40)))=Milestones!$AB$158),UPPER(TEXT(EDATE($D40,Milestones!$AA$158),"dd mmm yy"))&amp;" "&amp;Milestones!$AB$158&amp;" "&amp;Milestones!$AC$158&amp;";  ","")&amp;IF(AND(EDATE($D40,Milestones!$AA$159)&lt;=AsOfDate,IF($R40=0,$X40,IF(AND($T40&lt;&gt;"",EDATE($D40,Milestones!$AA$159)&gt;=$T40),$W40,IF(AND($S40&lt;&gt;"",EDATE($D40,Milestones!$AA$159)&gt;=$S40),$V40,$U40)))=Milestones!$AB$159),UPPER(TEXT(EDATE($D40,Milestones!$AA$159),"dd mmm yy"))&amp;" "&amp;Milestones!$AB$159&amp;" "&amp;Milestones!$AC$159&amp;";  ",""))</f>
        <v/>
      </c>
      <c r="P40" s="0" t="str">
        <f aca="false">IF(OR($A40="",$D40=""),"",IF(AND(EDATE($D40,Milestones!$AA$160)&lt;=AsOfDate,IF($R40=0,$X40,IF(AND($T40&lt;&gt;"",EDATE($D40,Milestones!$AA$160)&gt;=$T40),$W40,IF(AND($S40&lt;&gt;"",EDATE($D40,Milestones!$AA$160)&gt;=$S40),$V40,$U40)))=Milestones!$AB$160),UPPER(TEXT(EDATE($D40,Milestones!$AA$160),"dd mmm yy"))&amp;" "&amp;Milestones!$AB$160&amp;" "&amp;Milestones!$AC$160&amp;";  ","")&amp;IF(AND(EDATE($D40,Milestones!$AA$161)&lt;=AsOfDate,IF($R40=0,$X40,IF(AND($T40&lt;&gt;"",EDATE($D40,Milestones!$AA$161)&gt;=$T40),$W40,IF(AND($S40&lt;&gt;"",EDATE($D40,Milestones!$AA$161)&gt;=$S40),$V40,$U40)))=Milestones!$AB$161),UPPER(TEXT(EDATE($D40,Milestones!$AA$161),"dd mmm yy"))&amp;" "&amp;Milestones!$AB$161&amp;" "&amp;Milestones!$AC$161&amp;";  ","")&amp;IF(AND(EDATE($D40,Milestones!$AA$162)&lt;=AsOfDate,IF($R40=0,$X40,IF(AND($T40&lt;&gt;"",EDATE($D40,Milestones!$AA$162)&gt;=$T40),$W40,IF(AND($S40&lt;&gt;"",EDATE($D40,Milestones!$AA$162)&gt;=$S40),$V40,$U40)))=Milestones!$AB$162),UPPER(TEXT(EDATE($D40,Milestones!$AA$162),"dd mmm yy"))&amp;" "&amp;Milestones!$AB$162&amp;" "&amp;Milestones!$AC$162&amp;";  ","")&amp;IF(AND(EDATE($D40,Milestones!$AA$163)&lt;=AsOfDate,IF($R40=0,$X40,IF(AND($T40&lt;&gt;"",EDATE($D40,Milestones!$AA$163)&gt;=$T40),$W40,IF(AND($S40&lt;&gt;"",EDATE($D40,Milestones!$AA$163)&gt;=$S40),$V40,$U40)))=Milestones!$AB$163),UPPER(TEXT(EDATE($D40,Milestones!$AA$163),"dd mmm yy"))&amp;" "&amp;Milestones!$AB$163&amp;" "&amp;Milestones!$AC$163&amp;";  ","")&amp;IF(AND(EDATE($D40,Milestones!$AA$164)&lt;=AsOfDate,IF($R40=0,$X40,IF(AND($T40&lt;&gt;"",EDATE($D40,Milestones!$AA$164)&gt;=$T40),$W40,IF(AND($S40&lt;&gt;"",EDATE($D40,Milestones!$AA$164)&gt;=$S40),$V40,$U40)))=Milestones!$AB$164),UPPER(TEXT(EDATE($D40,Milestones!$AA$164),"dd mmm yy"))&amp;" "&amp;Milestones!$AB$164&amp;" "&amp;Milestones!$AC$164&amp;";  ","")&amp;IF(AND(EDATE($D40,Milestones!$AA$165)&lt;=AsOfDate,IF($R40=0,$X40,IF(AND($T40&lt;&gt;"",EDATE($D40,Milestones!$AA$165)&gt;=$T40),$W40,IF(AND($S40&lt;&gt;"",EDATE($D40,Milestones!$AA$165)&gt;=$S40),$V40,$U40)))=Milestones!$AB$165),UPPER(TEXT(EDATE($D40,Milestones!$AA$165),"dd mmm yy"))&amp;" "&amp;Milestones!$AB$165&amp;" "&amp;Milestones!$AC$165&amp;";  ","")&amp;IF(AND(EDATE($D40,Milestones!$AA$166)&lt;=AsOfDate,IF($R40=0,$X40,IF(AND($T40&lt;&gt;"",EDATE($D40,Milestones!$AA$166)&gt;=$T40),$W40,IF(AND($S40&lt;&gt;"",EDATE($D40,Milestones!$AA$166)&gt;=$S40),$V40,$U40)))=Milestones!$AB$166),UPPER(TEXT(EDATE($D40,Milestones!$AA$166),"dd mmm yy"))&amp;" "&amp;Milestones!$AB$166&amp;" "&amp;Milestones!$AC$166&amp;";  ","")&amp;IF(AND(EDATE($D40,Milestones!$AA$167)&lt;=AsOfDate,IF($R40=0,$X40,IF(AND($T40&lt;&gt;"",EDATE($D40,Milestones!$AA$167)&gt;=$T40),$W40,IF(AND($S40&lt;&gt;"",EDATE($D40,Milestones!$AA$167)&gt;=$S40),$V40,$U40)))=Milestones!$AB$167),UPPER(TEXT(EDATE($D40,Milestones!$AA$167),"dd mmm yy"))&amp;" "&amp;Milestones!$AB$167&amp;" "&amp;Milestones!$AC$167&amp;";  ","")&amp;IF(AND(EDATE($D40,Milestones!$AA$168)&lt;=AsOfDate,IF($R40=0,$X40,IF(AND($T40&lt;&gt;"",EDATE($D40,Milestones!$AA$168)&gt;=$T40),$W40,IF(AND($S40&lt;&gt;"",EDATE($D40,Milestones!$AA$168)&gt;=$S40),$V40,$U40)))=Milestones!$AB$168),UPPER(TEXT(EDATE($D40,Milestones!$AA$168),"dd mmm yy"))&amp;" "&amp;Milestones!$AB$168&amp;" "&amp;Milestones!$AC$168&amp;";  ","")&amp;IF(AND(EDATE($D40,Milestones!$AA$169)&lt;=AsOfDate,IF($R40=0,$X40,IF(AND($T40&lt;&gt;"",EDATE($D40,Milestones!$AA$169)&gt;=$T40),$W40,IF(AND($S40&lt;&gt;"",EDATE($D40,Milestones!$AA$169)&gt;=$S40),$V40,$U40)))=Milestones!$AB$169),UPPER(TEXT(EDATE($D40,Milestones!$AA$169),"dd mmm yy"))&amp;" "&amp;Milestones!$AB$169&amp;" "&amp;Milestones!$AC$169&amp;";  ","")&amp;IF(AND(EDATE($D40,Milestones!$AA$170)&lt;=AsOfDate,IF($R40=0,$X40,IF(AND($T40&lt;&gt;"",EDATE($D40,Milestones!$AA$170)&gt;=$T40),$W40,IF(AND($S40&lt;&gt;"",EDATE($D40,Milestones!$AA$170)&gt;=$S40),$V40,$U40)))=Milestones!$AB$170),UPPER(TEXT(EDATE($D40,Milestones!$AA$170),"dd mmm yy"))&amp;" "&amp;Milestones!$AB$170&amp;" "&amp;Milestones!$AC$170&amp;";  ","")&amp;IF(AND(EDATE($D40,Milestones!$AA$171)&lt;=AsOfDate,IF($R40=0,$X40,IF(AND($T40&lt;&gt;"",EDATE($D40,Milestones!$AA$171)&gt;=$T40),$W40,IF(AND($S40&lt;&gt;"",EDATE($D40,Milestones!$AA$171)&gt;=$S40),$V40,$U40)))=Milestones!$AB$171),UPPER(TEXT(EDATE($D40,Milestones!$AA$171),"dd mmm yy"))&amp;" "&amp;Milestones!$AB$171&amp;" "&amp;Milestones!$AC$171&amp;";  ","")&amp;IF(AND(EDATE($D40,Milestones!$AA$172)&lt;=AsOfDate,IF($R40=0,$X40,IF(AND($T40&lt;&gt;"",EDATE($D40,Milestones!$AA$172)&gt;=$T40),$W40,IF(AND($S40&lt;&gt;"",EDATE($D40,Milestones!$AA$172)&gt;=$S40),$V40,$U40)))=Milestones!$AB$172),UPPER(TEXT(EDATE($D40,Milestones!$AA$172),"dd mmm yy"))&amp;" "&amp;Milestones!$AB$172&amp;" "&amp;Milestones!$AC$172&amp;";  ","")&amp;IF(AND(EDATE($D40,Milestones!$AA$173)&lt;=AsOfDate,IF($R40=0,$X40,IF(AND($T40&lt;&gt;"",EDATE($D40,Milestones!$AA$173)&gt;=$T40),$W40,IF(AND($S40&lt;&gt;"",EDATE($D40,Milestones!$AA$173)&gt;=$S40),$V40,$U40)))=Milestones!$AB$173),UPPER(TEXT(EDATE($D40,Milestones!$AA$173),"dd mmm yy"))&amp;" "&amp;Milestones!$AB$173&amp;" "&amp;Milestones!$AC$173&amp;";  ","")&amp;IF(AND(EDATE($D40,Milestones!$AA$174)&lt;=AsOfDate,IF($R40=0,$X40,IF(AND($T40&lt;&gt;"",EDATE($D40,Milestones!$AA$174)&gt;=$T40),$W40,IF(AND($S40&lt;&gt;"",EDATE($D40,Milestones!$AA$174)&gt;=$S40),$V40,$U40)))=Milestones!$AB$174),UPPER(TEXT(EDATE($D40,Milestones!$AA$174),"dd mmm yy"))&amp;" "&amp;Milestones!$AB$174&amp;" "&amp;Milestones!$AC$174&amp;";  ","")&amp;IF(AND(EDATE($D40,Milestones!$AA$175)&lt;=AsOfDate,IF($R40=0,$X40,IF(AND($T40&lt;&gt;"",EDATE($D40,Milestones!$AA$175)&gt;=$T40),$W40,IF(AND($S40&lt;&gt;"",EDATE($D40,Milestones!$AA$175)&gt;=$S40),$V40,$U40)))=Milestones!$AB$175),UPPER(TEXT(EDATE($D40,Milestones!$AA$175),"dd mmm yy"))&amp;" "&amp;Milestones!$AB$175&amp;" "&amp;Milestones!$AC$175&amp;";  ","")&amp;IF(AND(EDATE($D40,Milestones!$AA$176)&lt;=AsOfDate,IF($R40=0,$X40,IF(AND($T40&lt;&gt;"",EDATE($D40,Milestones!$AA$176)&gt;=$T40),$W40,IF(AND($S40&lt;&gt;"",EDATE($D40,Milestones!$AA$176)&gt;=$S40),$V40,$U40)))=Milestones!$AB$176),UPPER(TEXT(EDATE($D40,Milestones!$AA$176),"dd mmm yy"))&amp;" "&amp;Milestones!$AB$176&amp;" "&amp;Milestones!$AC$176&amp;";  ","")&amp;IF(AND(EDATE($D40,Milestones!$AA$177)&lt;=AsOfDate,IF($R40=0,$X40,IF(AND($T40&lt;&gt;"",EDATE($D40,Milestones!$AA$177)&gt;=$T40),$W40,IF(AND($S40&lt;&gt;"",EDATE($D40,Milestones!$AA$177)&gt;=$S40),$V40,$U40)))=Milestones!$AB$177),UPPER(TEXT(EDATE($D40,Milestones!$AA$177),"dd mmm yy"))&amp;" "&amp;Milestones!$AB$177&amp;" "&amp;Milestones!$AC$177&amp;";  ","")&amp;IF(AND(EDATE($D40,Milestones!$AA$178)&lt;=AsOfDate,IF($R40=0,$X40,IF(AND($T40&lt;&gt;"",EDATE($D40,Milestones!$AA$178)&gt;=$T40),$W40,IF(AND($S40&lt;&gt;"",EDATE($D40,Milestones!$AA$178)&gt;=$S40),$V40,$U40)))=Milestones!$AB$178),UPPER(TEXT(EDATE($D40,Milestones!$AA$178),"dd mmm yy"))&amp;" "&amp;Milestones!$AB$178&amp;" "&amp;Milestones!$AC$178&amp;";  ","")&amp;IF(AND(EDATE($D40,Milestones!$AA$179)&lt;=AsOfDate,IF($R40=0,$X40,IF(AND($T40&lt;&gt;"",EDATE($D40,Milestones!$AA$179)&gt;=$T40),$W40,IF(AND($S40&lt;&gt;"",EDATE($D40,Milestones!$AA$179)&gt;=$S40),$V40,$U40)))=Milestones!$AB$179),UPPER(TEXT(EDATE($D40,Milestones!$AA$179),"dd mmm yy"))&amp;" "&amp;Milestones!$AB$179&amp;" "&amp;Milestones!$AC$179&amp;";  ",""))</f>
        <v/>
      </c>
      <c r="Q40" s="0" t="str">
        <f aca="false">IF(OR($A40="",$D40=""),"",IF(AND(EDATE($D40,Milestones!$AA$180)&lt;=AsOfDate,IF($R40=0,$X40,IF(AND($T40&lt;&gt;"",EDATE($D40,Milestones!$AA$180)&gt;=$T40),$W40,IF(AND($S40&lt;&gt;"",EDATE($D40,Milestones!$AA$180)&gt;=$S40),$V40,$U40)))=Milestones!$AB$180),UPPER(TEXT(EDATE($D40,Milestones!$AA$180),"dd mmm yy"))&amp;" "&amp;Milestones!$AB$180&amp;" "&amp;Milestones!$AC$180&amp;";  ","")&amp;IF(AND(EDATE($D40,Milestones!$AA$181)&lt;=AsOfDate,IF($R40=0,$X40,IF(AND($T40&lt;&gt;"",EDATE($D40,Milestones!$AA$181)&gt;=$T40),$W40,IF(AND($S40&lt;&gt;"",EDATE($D40,Milestones!$AA$181)&gt;=$S40),$V40,$U40)))=Milestones!$AB$181),UPPER(TEXT(EDATE($D40,Milestones!$AA$181),"dd mmm yy"))&amp;" "&amp;Milestones!$AB$181&amp;" "&amp;Milestones!$AC$181&amp;";  ","")&amp;IF(AND(EDATE($D40,Milestones!$AA$182)&lt;=AsOfDate,IF($R40=0,$X40,IF(AND($T40&lt;&gt;"",EDATE($D40,Milestones!$AA$182)&gt;=$T40),$W40,IF(AND($S40&lt;&gt;"",EDATE($D40,Milestones!$AA$182)&gt;=$S40),$V40,$U40)))=Milestones!$AB$182),UPPER(TEXT(EDATE($D40,Milestones!$AA$182),"dd mmm yy"))&amp;" "&amp;Milestones!$AB$182&amp;" "&amp;Milestones!$AC$182&amp;";  ","")&amp;IF(AND(EDATE($D40,Milestones!$AA$183)&lt;=AsOfDate,IF($R40=0,$X40,IF(AND($T40&lt;&gt;"",EDATE($D40,Milestones!$AA$183)&gt;=$T40),$W40,IF(AND($S40&lt;&gt;"",EDATE($D40,Milestones!$AA$183)&gt;=$S40),$V40,$U40)))=Milestones!$AB$183),UPPER(TEXT(EDATE($D40,Milestones!$AA$183),"dd mmm yy"))&amp;" "&amp;Milestones!$AB$183&amp;" "&amp;Milestones!$AC$183&amp;";  ","")&amp;IF(AND(EDATE($D40,Milestones!$AA$184)&lt;=AsOfDate,IF($R40=0,$X40,IF(AND($T40&lt;&gt;"",EDATE($D40,Milestones!$AA$184)&gt;=$T40),$W40,IF(AND($S40&lt;&gt;"",EDATE($D40,Milestones!$AA$184)&gt;=$S40),$V40,$U40)))=Milestones!$AB$184),UPPER(TEXT(EDATE($D40,Milestones!$AA$184),"dd mmm yy"))&amp;" "&amp;Milestones!$AB$184&amp;" "&amp;Milestones!$AC$184&amp;";  ","")&amp;IF(AND(EDATE($D40,Milestones!$AA$185)&lt;=AsOfDate,IF($R40=0,$X40,IF(AND($T40&lt;&gt;"",EDATE($D40,Milestones!$AA$185)&gt;=$T40),$W40,IF(AND($S40&lt;&gt;"",EDATE($D40,Milestones!$AA$185)&gt;=$S40),$V40,$U40)))=Milestones!$AB$185),UPPER(TEXT(EDATE($D40,Milestones!$AA$185),"dd mmm yy"))&amp;" "&amp;Milestones!$AB$185&amp;" "&amp;Milestones!$AC$185&amp;";  ","")&amp;IF(AND(EDATE($D40,Milestones!$AA$186)&lt;=AsOfDate,IF($R40=0,$X40,IF(AND($T40&lt;&gt;"",EDATE($D40,Milestones!$AA$186)&gt;=$T40),$W40,IF(AND($S40&lt;&gt;"",EDATE($D40,Milestones!$AA$186)&gt;=$S40),$V40,$U40)))=Milestones!$AB$186),UPPER(TEXT(EDATE($D40,Milestones!$AA$186),"dd mmm yy"))&amp;" "&amp;Milestones!$AB$186&amp;" "&amp;Milestones!$AC$186&amp;";  ","")&amp;IF(AND(EDATE($D40,Milestones!$AA$187)&lt;=AsOfDate,IF($R40=0,$X40,IF(AND($T40&lt;&gt;"",EDATE($D40,Milestones!$AA$187)&gt;=$T40),$W40,IF(AND($S40&lt;&gt;"",EDATE($D40,Milestones!$AA$187)&gt;=$S40),$V40,$U40)))=Milestones!$AB$187),UPPER(TEXT(EDATE($D40,Milestones!$AA$187),"dd mmm yy"))&amp;" "&amp;Milestones!$AB$187&amp;" "&amp;Milestones!$AC$187&amp;";  ","")&amp;IF(AND(EDATE($D40,Milestones!$AA$188)&lt;=AsOfDate,IF($R40=0,$X40,IF(AND($T40&lt;&gt;"",EDATE($D40,Milestones!$AA$188)&gt;=$T40),$W40,IF(AND($S40&lt;&gt;"",EDATE($D40,Milestones!$AA$188)&gt;=$S40),$V40,$U40)))=Milestones!$AB$188),UPPER(TEXT(EDATE($D40,Milestones!$AA$188),"dd mmm yy"))&amp;" "&amp;Milestones!$AB$188&amp;" "&amp;Milestones!$AC$188&amp;";  ","")&amp;IF(AND(EDATE($D40,Milestones!$AA$189)&lt;=AsOfDate,IF($R40=0,$X40,IF(AND($T40&lt;&gt;"",EDATE($D40,Milestones!$AA$189)&gt;=$T40),$W40,IF(AND($S40&lt;&gt;"",EDATE($D40,Milestones!$AA$189)&gt;=$S40),$V40,$U40)))=Milestones!$AB$189),UPPER(TEXT(EDATE($D40,Milestones!$AA$189),"dd mmm yy"))&amp;" "&amp;Milestones!$AB$189&amp;" "&amp;Milestones!$AC$189&amp;";  ","")&amp;IF(AND(EDATE($D40,Milestones!$AA$190)&lt;=AsOfDate,IF($R40=0,$X40,IF(AND($T40&lt;&gt;"",EDATE($D40,Milestones!$AA$190)&gt;=$T40),$W40,IF(AND($S40&lt;&gt;"",EDATE($D40,Milestones!$AA$190)&gt;=$S40),$V40,$U40)))=Milestones!$AB$190),UPPER(TEXT(EDATE($D40,Milestones!$AA$190),"dd mmm yy"))&amp;" "&amp;Milestones!$AB$190&amp;" "&amp;Milestones!$AC$190&amp;";  ","")&amp;IF(AND(EDATE($D40,Milestones!$AA$191)&lt;=AsOfDate,IF($R40=0,$X40,IF(AND($T40&lt;&gt;"",EDATE($D40,Milestones!$AA$191)&gt;=$T40),$W40,IF(AND($S40&lt;&gt;"",EDATE($D40,Milestones!$AA$191)&gt;=$S40),$V40,$U40)))=Milestones!$AB$191),UPPER(TEXT(EDATE($D40,Milestones!$AA$191),"dd mmm yy"))&amp;" "&amp;Milestones!$AB$191&amp;" "&amp;Milestones!$AC$191&amp;";  ","")&amp;IF(AND(EDATE($D40,Milestones!$AA$192)&lt;=AsOfDate,IF($R40=0,$X40,IF(AND($T40&lt;&gt;"",EDATE($D40,Milestones!$AA$192)&gt;=$T40),$W40,IF(AND($S40&lt;&gt;"",EDATE($D40,Milestones!$AA$192)&gt;=$S40),$V40,$U40)))=Milestones!$AB$192),UPPER(TEXT(EDATE($D40,Milestones!$AA$192),"dd mmm yy"))&amp;" "&amp;Milestones!$AB$192&amp;" "&amp;Milestones!$AC$192&amp;";  ","")&amp;IF(AND(EDATE($D40,Milestones!$AA$193)&lt;=AsOfDate,IF($R40=0,$X40,IF(AND($T40&lt;&gt;"",EDATE($D40,Milestones!$AA$193)&gt;=$T40),$W40,IF(AND($S40&lt;&gt;"",EDATE($D40,Milestones!$AA$193)&gt;=$S40),$V40,$U40)))=Milestones!$AB$193),UPPER(TEXT(EDATE($D40,Milestones!$AA$193),"dd mmm yy"))&amp;" "&amp;Milestones!$AB$193&amp;" "&amp;Milestones!$AC$193&amp;";  ","")&amp;IF(AND(EDATE($D40,Milestones!$AA$194)&lt;=AsOfDate,IF($R40=0,$X40,IF(AND($T40&lt;&gt;"",EDATE($D40,Milestones!$AA$194)&gt;=$T40),$W40,IF(AND($S40&lt;&gt;"",EDATE($D40,Milestones!$AA$194)&gt;=$S40),$V40,$U40)))=Milestones!$AB$194),UPPER(TEXT(EDATE($D40,Milestones!$AA$194),"dd mmm yy"))&amp;" "&amp;Milestones!$AB$194&amp;" "&amp;Milestones!$AC$194&amp;";  ","")&amp;IF(AND(EDATE($D40,Milestones!$AA$195)&lt;=AsOfDate,IF($R40=0,$X40,IF(AND($T40&lt;&gt;"",EDATE($D40,Milestones!$AA$195)&gt;=$T40),$W40,IF(AND($S40&lt;&gt;"",EDATE($D40,Milestones!$AA$195)&gt;=$S40),$V40,$U40)))=Milestones!$AB$195),UPPER(TEXT(EDATE($D40,Milestones!$AA$195),"dd mmm yy"))&amp;" "&amp;Milestones!$AB$195&amp;" "&amp;Milestones!$AC$195&amp;";  ","")&amp;IF(AND(EDATE($D40,Milestones!$AA$196)&lt;=AsOfDate,IF($R40=0,$X40,IF(AND($T40&lt;&gt;"",EDATE($D40,Milestones!$AA$196)&gt;=$T40),$W40,IF(AND($S40&lt;&gt;"",EDATE($D40,Milestones!$AA$196)&gt;=$S40),$V40,$U40)))=Milestones!$AB$196),UPPER(TEXT(EDATE($D40,Milestones!$AA$196),"dd mmm yy"))&amp;" "&amp;Milestones!$AB$196&amp;" "&amp;Milestones!$AC$196&amp;";  ","")&amp;IF(AND(EDATE($D40,Milestones!$AA$197)&lt;=AsOfDate,IF($R40=0,$X40,IF(AND($T40&lt;&gt;"",EDATE($D40,Milestones!$AA$197)&gt;=$T40),$W40,IF(AND($S40&lt;&gt;"",EDATE($D40,Milestones!$AA$197)&gt;=$S40),$V40,$U40)))=Milestones!$AB$197),UPPER(TEXT(EDATE($D40,Milestones!$AA$197),"dd mmm yy"))&amp;" "&amp;Milestones!$AB$197&amp;" "&amp;Milestones!$AC$197&amp;";  ","")&amp;IF(AND(EDATE($D40,Milestones!$AA$198)&lt;=AsOfDate,IF($R40=0,$X40,IF(AND($T40&lt;&gt;"",EDATE($D40,Milestones!$AA$198)&gt;=$T40),$W40,IF(AND($S40&lt;&gt;"",EDATE($D40,Milestones!$AA$198)&gt;=$S40),$V40,$U40)))=Milestones!$AB$198),UPPER(TEXT(EDATE($D40,Milestones!$AA$198),"dd mmm yy"))&amp;" "&amp;Milestones!$AB$198&amp;" "&amp;Milestones!$AC$198&amp;";  ","")&amp;IF(AND(EDATE($D40,Milestones!$AA$199)&lt;=AsOfDate,IF($R40=0,$X40,IF(AND($T40&lt;&gt;"",EDATE($D40,Milestones!$AA$199)&gt;=$T40),$W40,IF(AND($S40&lt;&gt;"",EDATE($D40,Milestones!$AA$199)&gt;=$S40),$V40,$U40)))=Milestones!$AB$199),UPPER(TEXT(EDATE($D40,Milestones!$AA$199),"dd mmm yy"))&amp;" "&amp;Milestones!$AB$199&amp;" "&amp;Milestones!$AC$199&amp;";  ",""))</f>
        <v/>
      </c>
      <c r="R40" s="33" t="n">
        <f aca="false">IF(Staff!$A40="","",Staff!$AI40)</f>
        <v>2</v>
      </c>
      <c r="S40" s="23" t="n">
        <f aca="false">IF(Staff!$A40="","",Staff!$AK40)</f>
        <v>45810</v>
      </c>
      <c r="T40" s="0" t="str">
        <f aca="false">IF(Staff!$A40="","",Staff!$AL40)</f>
        <v/>
      </c>
      <c r="U40" s="0" t="str">
        <f aca="false">IF(Staff!$A40="","",Staff!$AP40)</f>
        <v>None</v>
      </c>
      <c r="V40" s="0" t="str">
        <f aca="false">IF(Staff!$A40="","",Staff!$AQ40)</f>
        <v>FT</v>
      </c>
      <c r="W40" s="0" t="str">
        <f aca="false">IF(Staff!$A40="","",Staff!$AR40)</f>
        <v/>
      </c>
      <c r="X40" s="0" t="str">
        <f aca="false">IF(Staff!$A40="","",Staff!$AS40)</f>
        <v>FT</v>
      </c>
    </row>
    <row r="41" customFormat="false" ht="15" hidden="false" customHeight="false" outlineLevel="0" collapsed="false">
      <c r="A41" s="19" t="str">
        <f aca="false">IF(Staff!$A41="","",Staff!$A41)</f>
        <v>Jeffrey</v>
      </c>
      <c r="B41" s="19" t="str">
        <f aca="false">IF(Staff!$A41="","",Staff!$B41)</f>
        <v>Kempin</v>
      </c>
      <c r="C41" s="19" t="str">
        <f aca="false">IF(Staff!$A41="","",Staff!$C41)</f>
        <v>Casual</v>
      </c>
      <c r="D41" s="17" t="n">
        <f aca="false">IF(Staff!$A41="","",Staff!$AH41)</f>
        <v>45573</v>
      </c>
      <c r="E41" s="20" t="n">
        <f aca="false">IF(Staff!$A41="","",Staff!$O41)</f>
        <v>0</v>
      </c>
      <c r="F41" s="19" t="n">
        <f aca="false">IF(E41="","",E41*HoursPerDay)</f>
        <v>0</v>
      </c>
      <c r="G41" s="20" t="n">
        <f aca="false">IF(Staff!$A41="","",Staff!$AE41)</f>
        <v>0</v>
      </c>
      <c r="H41" s="32" t="str">
        <f aca="false">IF($A41="","",I41&amp;J41&amp;K41&amp;L41&amp;M41&amp;N41&amp;O41&amp;P41&amp;Q41)</f>
        <v/>
      </c>
      <c r="I41" s="0" t="str">
        <f aca="false">IF(OR($A41="",$D41=""),"",IF(AND(EDATE($D41,Milestones!$AA$20)&lt;=AsOfDate,IF($R41=0,$X41,IF(AND($T41&lt;&gt;"",EDATE($D41,Milestones!$AA$20)&gt;=$T41),$W41,IF(AND($S41&lt;&gt;"",EDATE($D41,Milestones!$AA$20)&gt;=$S41),$V41,$U41)))=Milestones!$AB$20),UPPER(TEXT(EDATE($D41,Milestones!$AA$20),"dd mmm yy"))&amp;" "&amp;Milestones!$AB$20&amp;" "&amp;Milestones!$AC$20&amp;";  ","")&amp;IF(AND(EDATE($D41,Milestones!$AA$21)&lt;=AsOfDate,IF($R41=0,$X41,IF(AND($T41&lt;&gt;"",EDATE($D41,Milestones!$AA$21)&gt;=$T41),$W41,IF(AND($S41&lt;&gt;"",EDATE($D41,Milestones!$AA$21)&gt;=$S41),$V41,$U41)))=Milestones!$AB$21),UPPER(TEXT(EDATE($D41,Milestones!$AA$21),"dd mmm yy"))&amp;" "&amp;Milestones!$AB$21&amp;" "&amp;Milestones!$AC$21&amp;";  ","")&amp;IF(AND(EDATE($D41,Milestones!$AA$22)&lt;=AsOfDate,IF($R41=0,$X41,IF(AND($T41&lt;&gt;"",EDATE($D41,Milestones!$AA$22)&gt;=$T41),$W41,IF(AND($S41&lt;&gt;"",EDATE($D41,Milestones!$AA$22)&gt;=$S41),$V41,$U41)))=Milestones!$AB$22),UPPER(TEXT(EDATE($D41,Milestones!$AA$22),"dd mmm yy"))&amp;" "&amp;Milestones!$AB$22&amp;" "&amp;Milestones!$AC$22&amp;";  ","")&amp;IF(AND(EDATE($D41,Milestones!$AA$23)&lt;=AsOfDate,IF($R41=0,$X41,IF(AND($T41&lt;&gt;"",EDATE($D41,Milestones!$AA$23)&gt;=$T41),$W41,IF(AND($S41&lt;&gt;"",EDATE($D41,Milestones!$AA$23)&gt;=$S41),$V41,$U41)))=Milestones!$AB$23),UPPER(TEXT(EDATE($D41,Milestones!$AA$23),"dd mmm yy"))&amp;" "&amp;Milestones!$AB$23&amp;" "&amp;Milestones!$AC$23&amp;";  ","")&amp;IF(AND(EDATE($D41,Milestones!$AA$24)&lt;=AsOfDate,IF($R41=0,$X41,IF(AND($T41&lt;&gt;"",EDATE($D41,Milestones!$AA$24)&gt;=$T41),$W41,IF(AND($S41&lt;&gt;"",EDATE($D41,Milestones!$AA$24)&gt;=$S41),$V41,$U41)))=Milestones!$AB$24),UPPER(TEXT(EDATE($D41,Milestones!$AA$24),"dd mmm yy"))&amp;" "&amp;Milestones!$AB$24&amp;" "&amp;Milestones!$AC$24&amp;";  ","")&amp;IF(AND(EDATE($D41,Milestones!$AA$25)&lt;=AsOfDate,IF($R41=0,$X41,IF(AND($T41&lt;&gt;"",EDATE($D41,Milestones!$AA$25)&gt;=$T41),$W41,IF(AND($S41&lt;&gt;"",EDATE($D41,Milestones!$AA$25)&gt;=$S41),$V41,$U41)))=Milestones!$AB$25),UPPER(TEXT(EDATE($D41,Milestones!$AA$25),"dd mmm yy"))&amp;" "&amp;Milestones!$AB$25&amp;" "&amp;Milestones!$AC$25&amp;";  ","")&amp;IF(AND(EDATE($D41,Milestones!$AA$26)&lt;=AsOfDate,IF($R41=0,$X41,IF(AND($T41&lt;&gt;"",EDATE($D41,Milestones!$AA$26)&gt;=$T41),$W41,IF(AND($S41&lt;&gt;"",EDATE($D41,Milestones!$AA$26)&gt;=$S41),$V41,$U41)))=Milestones!$AB$26),UPPER(TEXT(EDATE($D41,Milestones!$AA$26),"dd mmm yy"))&amp;" "&amp;Milestones!$AB$26&amp;" "&amp;Milestones!$AC$26&amp;";  ","")&amp;IF(AND(EDATE($D41,Milestones!$AA$27)&lt;=AsOfDate,IF($R41=0,$X41,IF(AND($T41&lt;&gt;"",EDATE($D41,Milestones!$AA$27)&gt;=$T41),$W41,IF(AND($S41&lt;&gt;"",EDATE($D41,Milestones!$AA$27)&gt;=$S41),$V41,$U41)))=Milestones!$AB$27),UPPER(TEXT(EDATE($D41,Milestones!$AA$27),"dd mmm yy"))&amp;" "&amp;Milestones!$AB$27&amp;" "&amp;Milestones!$AC$27&amp;";  ","")&amp;IF(AND(EDATE($D41,Milestones!$AA$28)&lt;=AsOfDate,IF($R41=0,$X41,IF(AND($T41&lt;&gt;"",EDATE($D41,Milestones!$AA$28)&gt;=$T41),$W41,IF(AND($S41&lt;&gt;"",EDATE($D41,Milestones!$AA$28)&gt;=$S41),$V41,$U41)))=Milestones!$AB$28),UPPER(TEXT(EDATE($D41,Milestones!$AA$28),"dd mmm yy"))&amp;" "&amp;Milestones!$AB$28&amp;" "&amp;Milestones!$AC$28&amp;";  ","")&amp;IF(AND(EDATE($D41,Milestones!$AA$29)&lt;=AsOfDate,IF($R41=0,$X41,IF(AND($T41&lt;&gt;"",EDATE($D41,Milestones!$AA$29)&gt;=$T41),$W41,IF(AND($S41&lt;&gt;"",EDATE($D41,Milestones!$AA$29)&gt;=$S41),$V41,$U41)))=Milestones!$AB$29),UPPER(TEXT(EDATE($D41,Milestones!$AA$29),"dd mmm yy"))&amp;" "&amp;Milestones!$AB$29&amp;" "&amp;Milestones!$AC$29&amp;";  ","")&amp;IF(AND(EDATE($D41,Milestones!$AA$30)&lt;=AsOfDate,IF($R41=0,$X41,IF(AND($T41&lt;&gt;"",EDATE($D41,Milestones!$AA$30)&gt;=$T41),$W41,IF(AND($S41&lt;&gt;"",EDATE($D41,Milestones!$AA$30)&gt;=$S41),$V41,$U41)))=Milestones!$AB$30),UPPER(TEXT(EDATE($D41,Milestones!$AA$30),"dd mmm yy"))&amp;" "&amp;Milestones!$AB$30&amp;" "&amp;Milestones!$AC$30&amp;";  ","")&amp;IF(AND(EDATE($D41,Milestones!$AA$31)&lt;=AsOfDate,IF($R41=0,$X41,IF(AND($T41&lt;&gt;"",EDATE($D41,Milestones!$AA$31)&gt;=$T41),$W41,IF(AND($S41&lt;&gt;"",EDATE($D41,Milestones!$AA$31)&gt;=$S41),$V41,$U41)))=Milestones!$AB$31),UPPER(TEXT(EDATE($D41,Milestones!$AA$31),"dd mmm yy"))&amp;" "&amp;Milestones!$AB$31&amp;" "&amp;Milestones!$AC$31&amp;";  ","")&amp;IF(AND(EDATE($D41,Milestones!$AA$32)&lt;=AsOfDate,IF($R41=0,$X41,IF(AND($T41&lt;&gt;"",EDATE($D41,Milestones!$AA$32)&gt;=$T41),$W41,IF(AND($S41&lt;&gt;"",EDATE($D41,Milestones!$AA$32)&gt;=$S41),$V41,$U41)))=Milestones!$AB$32),UPPER(TEXT(EDATE($D41,Milestones!$AA$32),"dd mmm yy"))&amp;" "&amp;Milestones!$AB$32&amp;" "&amp;Milestones!$AC$32&amp;";  ","")&amp;IF(AND(EDATE($D41,Milestones!$AA$33)&lt;=AsOfDate,IF($R41=0,$X41,IF(AND($T41&lt;&gt;"",EDATE($D41,Milestones!$AA$33)&gt;=$T41),$W41,IF(AND($S41&lt;&gt;"",EDATE($D41,Milestones!$AA$33)&gt;=$S41),$V41,$U41)))=Milestones!$AB$33),UPPER(TEXT(EDATE($D41,Milestones!$AA$33),"dd mmm yy"))&amp;" "&amp;Milestones!$AB$33&amp;" "&amp;Milestones!$AC$33&amp;";  ","")&amp;IF(AND(EDATE($D41,Milestones!$AA$34)&lt;=AsOfDate,IF($R41=0,$X41,IF(AND($T41&lt;&gt;"",EDATE($D41,Milestones!$AA$34)&gt;=$T41),$W41,IF(AND($S41&lt;&gt;"",EDATE($D41,Milestones!$AA$34)&gt;=$S41),$V41,$U41)))=Milestones!$AB$34),UPPER(TEXT(EDATE($D41,Milestones!$AA$34),"dd mmm yy"))&amp;" "&amp;Milestones!$AB$34&amp;" "&amp;Milestones!$AC$34&amp;";  ","")&amp;IF(AND(EDATE($D41,Milestones!$AA$35)&lt;=AsOfDate,IF($R41=0,$X41,IF(AND($T41&lt;&gt;"",EDATE($D41,Milestones!$AA$35)&gt;=$T41),$W41,IF(AND($S41&lt;&gt;"",EDATE($D41,Milestones!$AA$35)&gt;=$S41),$V41,$U41)))=Milestones!$AB$35),UPPER(TEXT(EDATE($D41,Milestones!$AA$35),"dd mmm yy"))&amp;" "&amp;Milestones!$AB$35&amp;" "&amp;Milestones!$AC$35&amp;";  ","")&amp;IF(AND(EDATE($D41,Milestones!$AA$36)&lt;=AsOfDate,IF($R41=0,$X41,IF(AND($T41&lt;&gt;"",EDATE($D41,Milestones!$AA$36)&gt;=$T41),$W41,IF(AND($S41&lt;&gt;"",EDATE($D41,Milestones!$AA$36)&gt;=$S41),$V41,$U41)))=Milestones!$AB$36),UPPER(TEXT(EDATE($D41,Milestones!$AA$36),"dd mmm yy"))&amp;" "&amp;Milestones!$AB$36&amp;" "&amp;Milestones!$AC$36&amp;";  ","")&amp;IF(AND(EDATE($D41,Milestones!$AA$37)&lt;=AsOfDate,IF($R41=0,$X41,IF(AND($T41&lt;&gt;"",EDATE($D41,Milestones!$AA$37)&gt;=$T41),$W41,IF(AND($S41&lt;&gt;"",EDATE($D41,Milestones!$AA$37)&gt;=$S41),$V41,$U41)))=Milestones!$AB$37),UPPER(TEXT(EDATE($D41,Milestones!$AA$37),"dd mmm yy"))&amp;" "&amp;Milestones!$AB$37&amp;" "&amp;Milestones!$AC$37&amp;";  ","")&amp;IF(AND(EDATE($D41,Milestones!$AA$38)&lt;=AsOfDate,IF($R41=0,$X41,IF(AND($T41&lt;&gt;"",EDATE($D41,Milestones!$AA$38)&gt;=$T41),$W41,IF(AND($S41&lt;&gt;"",EDATE($D41,Milestones!$AA$38)&gt;=$S41),$V41,$U41)))=Milestones!$AB$38),UPPER(TEXT(EDATE($D41,Milestones!$AA$38),"dd mmm yy"))&amp;" "&amp;Milestones!$AB$38&amp;" "&amp;Milestones!$AC$38&amp;";  ","")&amp;IF(AND(EDATE($D41,Milestones!$AA$39)&lt;=AsOfDate,IF($R41=0,$X41,IF(AND($T41&lt;&gt;"",EDATE($D41,Milestones!$AA$39)&gt;=$T41),$W41,IF(AND($S41&lt;&gt;"",EDATE($D41,Milestones!$AA$39)&gt;=$S41),$V41,$U41)))=Milestones!$AB$39),UPPER(TEXT(EDATE($D41,Milestones!$AA$39),"dd mmm yy"))&amp;" "&amp;Milestones!$AB$39&amp;" "&amp;Milestones!$AC$39&amp;";  ",""))</f>
        <v/>
      </c>
      <c r="J41" s="0" t="str">
        <f aca="false">IF(OR($A41="",$D41=""),"",IF(AND(EDATE($D41,Milestones!$AA$40)&lt;=AsOfDate,IF($R41=0,$X41,IF(AND($T41&lt;&gt;"",EDATE($D41,Milestones!$AA$40)&gt;=$T41),$W41,IF(AND($S41&lt;&gt;"",EDATE($D41,Milestones!$AA$40)&gt;=$S41),$V41,$U41)))=Milestones!$AB$40),UPPER(TEXT(EDATE($D41,Milestones!$AA$40),"dd mmm yy"))&amp;" "&amp;Milestones!$AB$40&amp;" "&amp;Milestones!$AC$40&amp;";  ","")&amp;IF(AND(EDATE($D41,Milestones!$AA$41)&lt;=AsOfDate,IF($R41=0,$X41,IF(AND($T41&lt;&gt;"",EDATE($D41,Milestones!$AA$41)&gt;=$T41),$W41,IF(AND($S41&lt;&gt;"",EDATE($D41,Milestones!$AA$41)&gt;=$S41),$V41,$U41)))=Milestones!$AB$41),UPPER(TEXT(EDATE($D41,Milestones!$AA$41),"dd mmm yy"))&amp;" "&amp;Milestones!$AB$41&amp;" "&amp;Milestones!$AC$41&amp;";  ","")&amp;IF(AND(EDATE($D41,Milestones!$AA$42)&lt;=AsOfDate,IF($R41=0,$X41,IF(AND($T41&lt;&gt;"",EDATE($D41,Milestones!$AA$42)&gt;=$T41),$W41,IF(AND($S41&lt;&gt;"",EDATE($D41,Milestones!$AA$42)&gt;=$S41),$V41,$U41)))=Milestones!$AB$42),UPPER(TEXT(EDATE($D41,Milestones!$AA$42),"dd mmm yy"))&amp;" "&amp;Milestones!$AB$42&amp;" "&amp;Milestones!$AC$42&amp;";  ","")&amp;IF(AND(EDATE($D41,Milestones!$AA$43)&lt;=AsOfDate,IF($R41=0,$X41,IF(AND($T41&lt;&gt;"",EDATE($D41,Milestones!$AA$43)&gt;=$T41),$W41,IF(AND($S41&lt;&gt;"",EDATE($D41,Milestones!$AA$43)&gt;=$S41),$V41,$U41)))=Milestones!$AB$43),UPPER(TEXT(EDATE($D41,Milestones!$AA$43),"dd mmm yy"))&amp;" "&amp;Milestones!$AB$43&amp;" "&amp;Milestones!$AC$43&amp;";  ","")&amp;IF(AND(EDATE($D41,Milestones!$AA$44)&lt;=AsOfDate,IF($R41=0,$X41,IF(AND($T41&lt;&gt;"",EDATE($D41,Milestones!$AA$44)&gt;=$T41),$W41,IF(AND($S41&lt;&gt;"",EDATE($D41,Milestones!$AA$44)&gt;=$S41),$V41,$U41)))=Milestones!$AB$44),UPPER(TEXT(EDATE($D41,Milestones!$AA$44),"dd mmm yy"))&amp;" "&amp;Milestones!$AB$44&amp;" "&amp;Milestones!$AC$44&amp;";  ","")&amp;IF(AND(EDATE($D41,Milestones!$AA$45)&lt;=AsOfDate,IF($R41=0,$X41,IF(AND($T41&lt;&gt;"",EDATE($D41,Milestones!$AA$45)&gt;=$T41),$W41,IF(AND($S41&lt;&gt;"",EDATE($D41,Milestones!$AA$45)&gt;=$S41),$V41,$U41)))=Milestones!$AB$45),UPPER(TEXT(EDATE($D41,Milestones!$AA$45),"dd mmm yy"))&amp;" "&amp;Milestones!$AB$45&amp;" "&amp;Milestones!$AC$45&amp;";  ","")&amp;IF(AND(EDATE($D41,Milestones!$AA$46)&lt;=AsOfDate,IF($R41=0,$X41,IF(AND($T41&lt;&gt;"",EDATE($D41,Milestones!$AA$46)&gt;=$T41),$W41,IF(AND($S41&lt;&gt;"",EDATE($D41,Milestones!$AA$46)&gt;=$S41),$V41,$U41)))=Milestones!$AB$46),UPPER(TEXT(EDATE($D41,Milestones!$AA$46),"dd mmm yy"))&amp;" "&amp;Milestones!$AB$46&amp;" "&amp;Milestones!$AC$46&amp;";  ","")&amp;IF(AND(EDATE($D41,Milestones!$AA$47)&lt;=AsOfDate,IF($R41=0,$X41,IF(AND($T41&lt;&gt;"",EDATE($D41,Milestones!$AA$47)&gt;=$T41),$W41,IF(AND($S41&lt;&gt;"",EDATE($D41,Milestones!$AA$47)&gt;=$S41),$V41,$U41)))=Milestones!$AB$47),UPPER(TEXT(EDATE($D41,Milestones!$AA$47),"dd mmm yy"))&amp;" "&amp;Milestones!$AB$47&amp;" "&amp;Milestones!$AC$47&amp;";  ","")&amp;IF(AND(EDATE($D41,Milestones!$AA$48)&lt;=AsOfDate,IF($R41=0,$X41,IF(AND($T41&lt;&gt;"",EDATE($D41,Milestones!$AA$48)&gt;=$T41),$W41,IF(AND($S41&lt;&gt;"",EDATE($D41,Milestones!$AA$48)&gt;=$S41),$V41,$U41)))=Milestones!$AB$48),UPPER(TEXT(EDATE($D41,Milestones!$AA$48),"dd mmm yy"))&amp;" "&amp;Milestones!$AB$48&amp;" "&amp;Milestones!$AC$48&amp;";  ","")&amp;IF(AND(EDATE($D41,Milestones!$AA$49)&lt;=AsOfDate,IF($R41=0,$X41,IF(AND($T41&lt;&gt;"",EDATE($D41,Milestones!$AA$49)&gt;=$T41),$W41,IF(AND($S41&lt;&gt;"",EDATE($D41,Milestones!$AA$49)&gt;=$S41),$V41,$U41)))=Milestones!$AB$49),UPPER(TEXT(EDATE($D41,Milestones!$AA$49),"dd mmm yy"))&amp;" "&amp;Milestones!$AB$49&amp;" "&amp;Milestones!$AC$49&amp;";  ","")&amp;IF(AND(EDATE($D41,Milestones!$AA$50)&lt;=AsOfDate,IF($R41=0,$X41,IF(AND($T41&lt;&gt;"",EDATE($D41,Milestones!$AA$50)&gt;=$T41),$W41,IF(AND($S41&lt;&gt;"",EDATE($D41,Milestones!$AA$50)&gt;=$S41),$V41,$U41)))=Milestones!$AB$50),UPPER(TEXT(EDATE($D41,Milestones!$AA$50),"dd mmm yy"))&amp;" "&amp;Milestones!$AB$50&amp;" "&amp;Milestones!$AC$50&amp;";  ","")&amp;IF(AND(EDATE($D41,Milestones!$AA$51)&lt;=AsOfDate,IF($R41=0,$X41,IF(AND($T41&lt;&gt;"",EDATE($D41,Milestones!$AA$51)&gt;=$T41),$W41,IF(AND($S41&lt;&gt;"",EDATE($D41,Milestones!$AA$51)&gt;=$S41),$V41,$U41)))=Milestones!$AB$51),UPPER(TEXT(EDATE($D41,Milestones!$AA$51),"dd mmm yy"))&amp;" "&amp;Milestones!$AB$51&amp;" "&amp;Milestones!$AC$51&amp;";  ","")&amp;IF(AND(EDATE($D41,Milestones!$AA$52)&lt;=AsOfDate,IF($R41=0,$X41,IF(AND($T41&lt;&gt;"",EDATE($D41,Milestones!$AA$52)&gt;=$T41),$W41,IF(AND($S41&lt;&gt;"",EDATE($D41,Milestones!$AA$52)&gt;=$S41),$V41,$U41)))=Milestones!$AB$52),UPPER(TEXT(EDATE($D41,Milestones!$AA$52),"dd mmm yy"))&amp;" "&amp;Milestones!$AB$52&amp;" "&amp;Milestones!$AC$52&amp;";  ","")&amp;IF(AND(EDATE($D41,Milestones!$AA$53)&lt;=AsOfDate,IF($R41=0,$X41,IF(AND($T41&lt;&gt;"",EDATE($D41,Milestones!$AA$53)&gt;=$T41),$W41,IF(AND($S41&lt;&gt;"",EDATE($D41,Milestones!$AA$53)&gt;=$S41),$V41,$U41)))=Milestones!$AB$53),UPPER(TEXT(EDATE($D41,Milestones!$AA$53),"dd mmm yy"))&amp;" "&amp;Milestones!$AB$53&amp;" "&amp;Milestones!$AC$53&amp;";  ","")&amp;IF(AND(EDATE($D41,Milestones!$AA$54)&lt;=AsOfDate,IF($R41=0,$X41,IF(AND($T41&lt;&gt;"",EDATE($D41,Milestones!$AA$54)&gt;=$T41),$W41,IF(AND($S41&lt;&gt;"",EDATE($D41,Milestones!$AA$54)&gt;=$S41),$V41,$U41)))=Milestones!$AB$54),UPPER(TEXT(EDATE($D41,Milestones!$AA$54),"dd mmm yy"))&amp;" "&amp;Milestones!$AB$54&amp;" "&amp;Milestones!$AC$54&amp;";  ","")&amp;IF(AND(EDATE($D41,Milestones!$AA$55)&lt;=AsOfDate,IF($R41=0,$X41,IF(AND($T41&lt;&gt;"",EDATE($D41,Milestones!$AA$55)&gt;=$T41),$W41,IF(AND($S41&lt;&gt;"",EDATE($D41,Milestones!$AA$55)&gt;=$S41),$V41,$U41)))=Milestones!$AB$55),UPPER(TEXT(EDATE($D41,Milestones!$AA$55),"dd mmm yy"))&amp;" "&amp;Milestones!$AB$55&amp;" "&amp;Milestones!$AC$55&amp;";  ","")&amp;IF(AND(EDATE($D41,Milestones!$AA$56)&lt;=AsOfDate,IF($R41=0,$X41,IF(AND($T41&lt;&gt;"",EDATE($D41,Milestones!$AA$56)&gt;=$T41),$W41,IF(AND($S41&lt;&gt;"",EDATE($D41,Milestones!$AA$56)&gt;=$S41),$V41,$U41)))=Milestones!$AB$56),UPPER(TEXT(EDATE($D41,Milestones!$AA$56),"dd mmm yy"))&amp;" "&amp;Milestones!$AB$56&amp;" "&amp;Milestones!$AC$56&amp;";  ","")&amp;IF(AND(EDATE($D41,Milestones!$AA$57)&lt;=AsOfDate,IF($R41=0,$X41,IF(AND($T41&lt;&gt;"",EDATE($D41,Milestones!$AA$57)&gt;=$T41),$W41,IF(AND($S41&lt;&gt;"",EDATE($D41,Milestones!$AA$57)&gt;=$S41),$V41,$U41)))=Milestones!$AB$57),UPPER(TEXT(EDATE($D41,Milestones!$AA$57),"dd mmm yy"))&amp;" "&amp;Milestones!$AB$57&amp;" "&amp;Milestones!$AC$57&amp;";  ","")&amp;IF(AND(EDATE($D41,Milestones!$AA$58)&lt;=AsOfDate,IF($R41=0,$X41,IF(AND($T41&lt;&gt;"",EDATE($D41,Milestones!$AA$58)&gt;=$T41),$W41,IF(AND($S41&lt;&gt;"",EDATE($D41,Milestones!$AA$58)&gt;=$S41),$V41,$U41)))=Milestones!$AB$58),UPPER(TEXT(EDATE($D41,Milestones!$AA$58),"dd mmm yy"))&amp;" "&amp;Milestones!$AB$58&amp;" "&amp;Milestones!$AC$58&amp;";  ","")&amp;IF(AND(EDATE($D41,Milestones!$AA$59)&lt;=AsOfDate,IF($R41=0,$X41,IF(AND($T41&lt;&gt;"",EDATE($D41,Milestones!$AA$59)&gt;=$T41),$W41,IF(AND($S41&lt;&gt;"",EDATE($D41,Milestones!$AA$59)&gt;=$S41),$V41,$U41)))=Milestones!$AB$59),UPPER(TEXT(EDATE($D41,Milestones!$AA$59),"dd mmm yy"))&amp;" "&amp;Milestones!$AB$59&amp;" "&amp;Milestones!$AC$59&amp;";  ",""))</f>
        <v/>
      </c>
      <c r="K41" s="0" t="str">
        <f aca="false">IF(OR($A41="",$D41=""),"",IF(AND(EDATE($D41,Milestones!$AA$60)&lt;=AsOfDate,IF($R41=0,$X41,IF(AND($T41&lt;&gt;"",EDATE($D41,Milestones!$AA$60)&gt;=$T41),$W41,IF(AND($S41&lt;&gt;"",EDATE($D41,Milestones!$AA$60)&gt;=$S41),$V41,$U41)))=Milestones!$AB$60),UPPER(TEXT(EDATE($D41,Milestones!$AA$60),"dd mmm yy"))&amp;" "&amp;Milestones!$AB$60&amp;" "&amp;Milestones!$AC$60&amp;";  ","")&amp;IF(AND(EDATE($D41,Milestones!$AA$61)&lt;=AsOfDate,IF($R41=0,$X41,IF(AND($T41&lt;&gt;"",EDATE($D41,Milestones!$AA$61)&gt;=$T41),$W41,IF(AND($S41&lt;&gt;"",EDATE($D41,Milestones!$AA$61)&gt;=$S41),$V41,$U41)))=Milestones!$AB$61),UPPER(TEXT(EDATE($D41,Milestones!$AA$61),"dd mmm yy"))&amp;" "&amp;Milestones!$AB$61&amp;" "&amp;Milestones!$AC$61&amp;";  ","")&amp;IF(AND(EDATE($D41,Milestones!$AA$62)&lt;=AsOfDate,IF($R41=0,$X41,IF(AND($T41&lt;&gt;"",EDATE($D41,Milestones!$AA$62)&gt;=$T41),$W41,IF(AND($S41&lt;&gt;"",EDATE($D41,Milestones!$AA$62)&gt;=$S41),$V41,$U41)))=Milestones!$AB$62),UPPER(TEXT(EDATE($D41,Milestones!$AA$62),"dd mmm yy"))&amp;" "&amp;Milestones!$AB$62&amp;" "&amp;Milestones!$AC$62&amp;";  ","")&amp;IF(AND(EDATE($D41,Milestones!$AA$63)&lt;=AsOfDate,IF($R41=0,$X41,IF(AND($T41&lt;&gt;"",EDATE($D41,Milestones!$AA$63)&gt;=$T41),$W41,IF(AND($S41&lt;&gt;"",EDATE($D41,Milestones!$AA$63)&gt;=$S41),$V41,$U41)))=Milestones!$AB$63),UPPER(TEXT(EDATE($D41,Milestones!$AA$63),"dd mmm yy"))&amp;" "&amp;Milestones!$AB$63&amp;" "&amp;Milestones!$AC$63&amp;";  ","")&amp;IF(AND(EDATE($D41,Milestones!$AA$64)&lt;=AsOfDate,IF($R41=0,$X41,IF(AND($T41&lt;&gt;"",EDATE($D41,Milestones!$AA$64)&gt;=$T41),$W41,IF(AND($S41&lt;&gt;"",EDATE($D41,Milestones!$AA$64)&gt;=$S41),$V41,$U41)))=Milestones!$AB$64),UPPER(TEXT(EDATE($D41,Milestones!$AA$64),"dd mmm yy"))&amp;" "&amp;Milestones!$AB$64&amp;" "&amp;Milestones!$AC$64&amp;";  ","")&amp;IF(AND(EDATE($D41,Milestones!$AA$65)&lt;=AsOfDate,IF($R41=0,$X41,IF(AND($T41&lt;&gt;"",EDATE($D41,Milestones!$AA$65)&gt;=$T41),$W41,IF(AND($S41&lt;&gt;"",EDATE($D41,Milestones!$AA$65)&gt;=$S41),$V41,$U41)))=Milestones!$AB$65),UPPER(TEXT(EDATE($D41,Milestones!$AA$65),"dd mmm yy"))&amp;" "&amp;Milestones!$AB$65&amp;" "&amp;Milestones!$AC$65&amp;";  ","")&amp;IF(AND(EDATE($D41,Milestones!$AA$66)&lt;=AsOfDate,IF($R41=0,$X41,IF(AND($T41&lt;&gt;"",EDATE($D41,Milestones!$AA$66)&gt;=$T41),$W41,IF(AND($S41&lt;&gt;"",EDATE($D41,Milestones!$AA$66)&gt;=$S41),$V41,$U41)))=Milestones!$AB$66),UPPER(TEXT(EDATE($D41,Milestones!$AA$66),"dd mmm yy"))&amp;" "&amp;Milestones!$AB$66&amp;" "&amp;Milestones!$AC$66&amp;";  ","")&amp;IF(AND(EDATE($D41,Milestones!$AA$67)&lt;=AsOfDate,IF($R41=0,$X41,IF(AND($T41&lt;&gt;"",EDATE($D41,Milestones!$AA$67)&gt;=$T41),$W41,IF(AND($S41&lt;&gt;"",EDATE($D41,Milestones!$AA$67)&gt;=$S41),$V41,$U41)))=Milestones!$AB$67),UPPER(TEXT(EDATE($D41,Milestones!$AA$67),"dd mmm yy"))&amp;" "&amp;Milestones!$AB$67&amp;" "&amp;Milestones!$AC$67&amp;";  ","")&amp;IF(AND(EDATE($D41,Milestones!$AA$68)&lt;=AsOfDate,IF($R41=0,$X41,IF(AND($T41&lt;&gt;"",EDATE($D41,Milestones!$AA$68)&gt;=$T41),$W41,IF(AND($S41&lt;&gt;"",EDATE($D41,Milestones!$AA$68)&gt;=$S41),$V41,$U41)))=Milestones!$AB$68),UPPER(TEXT(EDATE($D41,Milestones!$AA$68),"dd mmm yy"))&amp;" "&amp;Milestones!$AB$68&amp;" "&amp;Milestones!$AC$68&amp;";  ","")&amp;IF(AND(EDATE($D41,Milestones!$AA$69)&lt;=AsOfDate,IF($R41=0,$X41,IF(AND($T41&lt;&gt;"",EDATE($D41,Milestones!$AA$69)&gt;=$T41),$W41,IF(AND($S41&lt;&gt;"",EDATE($D41,Milestones!$AA$69)&gt;=$S41),$V41,$U41)))=Milestones!$AB$69),UPPER(TEXT(EDATE($D41,Milestones!$AA$69),"dd mmm yy"))&amp;" "&amp;Milestones!$AB$69&amp;" "&amp;Milestones!$AC$69&amp;";  ","")&amp;IF(AND(EDATE($D41,Milestones!$AA$70)&lt;=AsOfDate,IF($R41=0,$X41,IF(AND($T41&lt;&gt;"",EDATE($D41,Milestones!$AA$70)&gt;=$T41),$W41,IF(AND($S41&lt;&gt;"",EDATE($D41,Milestones!$AA$70)&gt;=$S41),$V41,$U41)))=Milestones!$AB$70),UPPER(TEXT(EDATE($D41,Milestones!$AA$70),"dd mmm yy"))&amp;" "&amp;Milestones!$AB$70&amp;" "&amp;Milestones!$AC$70&amp;";  ","")&amp;IF(AND(EDATE($D41,Milestones!$AA$71)&lt;=AsOfDate,IF($R41=0,$X41,IF(AND($T41&lt;&gt;"",EDATE($D41,Milestones!$AA$71)&gt;=$T41),$W41,IF(AND($S41&lt;&gt;"",EDATE($D41,Milestones!$AA$71)&gt;=$S41),$V41,$U41)))=Milestones!$AB$71),UPPER(TEXT(EDATE($D41,Milestones!$AA$71),"dd mmm yy"))&amp;" "&amp;Milestones!$AB$71&amp;" "&amp;Milestones!$AC$71&amp;";  ","")&amp;IF(AND(EDATE($D41,Milestones!$AA$72)&lt;=AsOfDate,IF($R41=0,$X41,IF(AND($T41&lt;&gt;"",EDATE($D41,Milestones!$AA$72)&gt;=$T41),$W41,IF(AND($S41&lt;&gt;"",EDATE($D41,Milestones!$AA$72)&gt;=$S41),$V41,$U41)))=Milestones!$AB$72),UPPER(TEXT(EDATE($D41,Milestones!$AA$72),"dd mmm yy"))&amp;" "&amp;Milestones!$AB$72&amp;" "&amp;Milestones!$AC$72&amp;";  ","")&amp;IF(AND(EDATE($D41,Milestones!$AA$73)&lt;=AsOfDate,IF($R41=0,$X41,IF(AND($T41&lt;&gt;"",EDATE($D41,Milestones!$AA$73)&gt;=$T41),$W41,IF(AND($S41&lt;&gt;"",EDATE($D41,Milestones!$AA$73)&gt;=$S41),$V41,$U41)))=Milestones!$AB$73),UPPER(TEXT(EDATE($D41,Milestones!$AA$73),"dd mmm yy"))&amp;" "&amp;Milestones!$AB$73&amp;" "&amp;Milestones!$AC$73&amp;";  ","")&amp;IF(AND(EDATE($D41,Milestones!$AA$74)&lt;=AsOfDate,IF($R41=0,$X41,IF(AND($T41&lt;&gt;"",EDATE($D41,Milestones!$AA$74)&gt;=$T41),$W41,IF(AND($S41&lt;&gt;"",EDATE($D41,Milestones!$AA$74)&gt;=$S41),$V41,$U41)))=Milestones!$AB$74),UPPER(TEXT(EDATE($D41,Milestones!$AA$74),"dd mmm yy"))&amp;" "&amp;Milestones!$AB$74&amp;" "&amp;Milestones!$AC$74&amp;";  ","")&amp;IF(AND(EDATE($D41,Milestones!$AA$75)&lt;=AsOfDate,IF($R41=0,$X41,IF(AND($T41&lt;&gt;"",EDATE($D41,Milestones!$AA$75)&gt;=$T41),$W41,IF(AND($S41&lt;&gt;"",EDATE($D41,Milestones!$AA$75)&gt;=$S41),$V41,$U41)))=Milestones!$AB$75),UPPER(TEXT(EDATE($D41,Milestones!$AA$75),"dd mmm yy"))&amp;" "&amp;Milestones!$AB$75&amp;" "&amp;Milestones!$AC$75&amp;";  ","")&amp;IF(AND(EDATE($D41,Milestones!$AA$76)&lt;=AsOfDate,IF($R41=0,$X41,IF(AND($T41&lt;&gt;"",EDATE($D41,Milestones!$AA$76)&gt;=$T41),$W41,IF(AND($S41&lt;&gt;"",EDATE($D41,Milestones!$AA$76)&gt;=$S41),$V41,$U41)))=Milestones!$AB$76),UPPER(TEXT(EDATE($D41,Milestones!$AA$76),"dd mmm yy"))&amp;" "&amp;Milestones!$AB$76&amp;" "&amp;Milestones!$AC$76&amp;";  ","")&amp;IF(AND(EDATE($D41,Milestones!$AA$77)&lt;=AsOfDate,IF($R41=0,$X41,IF(AND($T41&lt;&gt;"",EDATE($D41,Milestones!$AA$77)&gt;=$T41),$W41,IF(AND($S41&lt;&gt;"",EDATE($D41,Milestones!$AA$77)&gt;=$S41),$V41,$U41)))=Milestones!$AB$77),UPPER(TEXT(EDATE($D41,Milestones!$AA$77),"dd mmm yy"))&amp;" "&amp;Milestones!$AB$77&amp;" "&amp;Milestones!$AC$77&amp;";  ","")&amp;IF(AND(EDATE($D41,Milestones!$AA$78)&lt;=AsOfDate,IF($R41=0,$X41,IF(AND($T41&lt;&gt;"",EDATE($D41,Milestones!$AA$78)&gt;=$T41),$W41,IF(AND($S41&lt;&gt;"",EDATE($D41,Milestones!$AA$78)&gt;=$S41),$V41,$U41)))=Milestones!$AB$78),UPPER(TEXT(EDATE($D41,Milestones!$AA$78),"dd mmm yy"))&amp;" "&amp;Milestones!$AB$78&amp;" "&amp;Milestones!$AC$78&amp;";  ","")&amp;IF(AND(EDATE($D41,Milestones!$AA$79)&lt;=AsOfDate,IF($R41=0,$X41,IF(AND($T41&lt;&gt;"",EDATE($D41,Milestones!$AA$79)&gt;=$T41),$W41,IF(AND($S41&lt;&gt;"",EDATE($D41,Milestones!$AA$79)&gt;=$S41),$V41,$U41)))=Milestones!$AB$79),UPPER(TEXT(EDATE($D41,Milestones!$AA$79),"dd mmm yy"))&amp;" "&amp;Milestones!$AB$79&amp;" "&amp;Milestones!$AC$79&amp;";  ",""))</f>
        <v/>
      </c>
      <c r="L41" s="0" t="str">
        <f aca="false">IF(OR($A41="",$D41=""),"",IF(AND(EDATE($D41,Milestones!$AA$80)&lt;=AsOfDate,IF($R41=0,$X41,IF(AND($T41&lt;&gt;"",EDATE($D41,Milestones!$AA$80)&gt;=$T41),$W41,IF(AND($S41&lt;&gt;"",EDATE($D41,Milestones!$AA$80)&gt;=$S41),$V41,$U41)))=Milestones!$AB$80),UPPER(TEXT(EDATE($D41,Milestones!$AA$80),"dd mmm yy"))&amp;" "&amp;Milestones!$AB$80&amp;" "&amp;Milestones!$AC$80&amp;";  ","")&amp;IF(AND(EDATE($D41,Milestones!$AA$81)&lt;=AsOfDate,IF($R41=0,$X41,IF(AND($T41&lt;&gt;"",EDATE($D41,Milestones!$AA$81)&gt;=$T41),$W41,IF(AND($S41&lt;&gt;"",EDATE($D41,Milestones!$AA$81)&gt;=$S41),$V41,$U41)))=Milestones!$AB$81),UPPER(TEXT(EDATE($D41,Milestones!$AA$81),"dd mmm yy"))&amp;" "&amp;Milestones!$AB$81&amp;" "&amp;Milestones!$AC$81&amp;";  ","")&amp;IF(AND(EDATE($D41,Milestones!$AA$82)&lt;=AsOfDate,IF($R41=0,$X41,IF(AND($T41&lt;&gt;"",EDATE($D41,Milestones!$AA$82)&gt;=$T41),$W41,IF(AND($S41&lt;&gt;"",EDATE($D41,Milestones!$AA$82)&gt;=$S41),$V41,$U41)))=Milestones!$AB$82),UPPER(TEXT(EDATE($D41,Milestones!$AA$82),"dd mmm yy"))&amp;" "&amp;Milestones!$AB$82&amp;" "&amp;Milestones!$AC$82&amp;";  ","")&amp;IF(AND(EDATE($D41,Milestones!$AA$83)&lt;=AsOfDate,IF($R41=0,$X41,IF(AND($T41&lt;&gt;"",EDATE($D41,Milestones!$AA$83)&gt;=$T41),$W41,IF(AND($S41&lt;&gt;"",EDATE($D41,Milestones!$AA$83)&gt;=$S41),$V41,$U41)))=Milestones!$AB$83),UPPER(TEXT(EDATE($D41,Milestones!$AA$83),"dd mmm yy"))&amp;" "&amp;Milestones!$AB$83&amp;" "&amp;Milestones!$AC$83&amp;";  ","")&amp;IF(AND(EDATE($D41,Milestones!$AA$84)&lt;=AsOfDate,IF($R41=0,$X41,IF(AND($T41&lt;&gt;"",EDATE($D41,Milestones!$AA$84)&gt;=$T41),$W41,IF(AND($S41&lt;&gt;"",EDATE($D41,Milestones!$AA$84)&gt;=$S41),$V41,$U41)))=Milestones!$AB$84),UPPER(TEXT(EDATE($D41,Milestones!$AA$84),"dd mmm yy"))&amp;" "&amp;Milestones!$AB$84&amp;" "&amp;Milestones!$AC$84&amp;";  ","")&amp;IF(AND(EDATE($D41,Milestones!$AA$85)&lt;=AsOfDate,IF($R41=0,$X41,IF(AND($T41&lt;&gt;"",EDATE($D41,Milestones!$AA$85)&gt;=$T41),$W41,IF(AND($S41&lt;&gt;"",EDATE($D41,Milestones!$AA$85)&gt;=$S41),$V41,$U41)))=Milestones!$AB$85),UPPER(TEXT(EDATE($D41,Milestones!$AA$85),"dd mmm yy"))&amp;" "&amp;Milestones!$AB$85&amp;" "&amp;Milestones!$AC$85&amp;";  ","")&amp;IF(AND(EDATE($D41,Milestones!$AA$86)&lt;=AsOfDate,IF($R41=0,$X41,IF(AND($T41&lt;&gt;"",EDATE($D41,Milestones!$AA$86)&gt;=$T41),$W41,IF(AND($S41&lt;&gt;"",EDATE($D41,Milestones!$AA$86)&gt;=$S41),$V41,$U41)))=Milestones!$AB$86),UPPER(TEXT(EDATE($D41,Milestones!$AA$86),"dd mmm yy"))&amp;" "&amp;Milestones!$AB$86&amp;" "&amp;Milestones!$AC$86&amp;";  ","")&amp;IF(AND(EDATE($D41,Milestones!$AA$87)&lt;=AsOfDate,IF($R41=0,$X41,IF(AND($T41&lt;&gt;"",EDATE($D41,Milestones!$AA$87)&gt;=$T41),$W41,IF(AND($S41&lt;&gt;"",EDATE($D41,Milestones!$AA$87)&gt;=$S41),$V41,$U41)))=Milestones!$AB$87),UPPER(TEXT(EDATE($D41,Milestones!$AA$87),"dd mmm yy"))&amp;" "&amp;Milestones!$AB$87&amp;" "&amp;Milestones!$AC$87&amp;";  ","")&amp;IF(AND(EDATE($D41,Milestones!$AA$88)&lt;=AsOfDate,IF($R41=0,$X41,IF(AND($T41&lt;&gt;"",EDATE($D41,Milestones!$AA$88)&gt;=$T41),$W41,IF(AND($S41&lt;&gt;"",EDATE($D41,Milestones!$AA$88)&gt;=$S41),$V41,$U41)))=Milestones!$AB$88),UPPER(TEXT(EDATE($D41,Milestones!$AA$88),"dd mmm yy"))&amp;" "&amp;Milestones!$AB$88&amp;" "&amp;Milestones!$AC$88&amp;";  ","")&amp;IF(AND(EDATE($D41,Milestones!$AA$89)&lt;=AsOfDate,IF($R41=0,$X41,IF(AND($T41&lt;&gt;"",EDATE($D41,Milestones!$AA$89)&gt;=$T41),$W41,IF(AND($S41&lt;&gt;"",EDATE($D41,Milestones!$AA$89)&gt;=$S41),$V41,$U41)))=Milestones!$AB$89),UPPER(TEXT(EDATE($D41,Milestones!$AA$89),"dd mmm yy"))&amp;" "&amp;Milestones!$AB$89&amp;" "&amp;Milestones!$AC$89&amp;";  ","")&amp;IF(AND(EDATE($D41,Milestones!$AA$90)&lt;=AsOfDate,IF($R41=0,$X41,IF(AND($T41&lt;&gt;"",EDATE($D41,Milestones!$AA$90)&gt;=$T41),$W41,IF(AND($S41&lt;&gt;"",EDATE($D41,Milestones!$AA$90)&gt;=$S41),$V41,$U41)))=Milestones!$AB$90),UPPER(TEXT(EDATE($D41,Milestones!$AA$90),"dd mmm yy"))&amp;" "&amp;Milestones!$AB$90&amp;" "&amp;Milestones!$AC$90&amp;";  ","")&amp;IF(AND(EDATE($D41,Milestones!$AA$91)&lt;=AsOfDate,IF($R41=0,$X41,IF(AND($T41&lt;&gt;"",EDATE($D41,Milestones!$AA$91)&gt;=$T41),$W41,IF(AND($S41&lt;&gt;"",EDATE($D41,Milestones!$AA$91)&gt;=$S41),$V41,$U41)))=Milestones!$AB$91),UPPER(TEXT(EDATE($D41,Milestones!$AA$91),"dd mmm yy"))&amp;" "&amp;Milestones!$AB$91&amp;" "&amp;Milestones!$AC$91&amp;";  ","")&amp;IF(AND(EDATE($D41,Milestones!$AA$92)&lt;=AsOfDate,IF($R41=0,$X41,IF(AND($T41&lt;&gt;"",EDATE($D41,Milestones!$AA$92)&gt;=$T41),$W41,IF(AND($S41&lt;&gt;"",EDATE($D41,Milestones!$AA$92)&gt;=$S41),$V41,$U41)))=Milestones!$AB$92),UPPER(TEXT(EDATE($D41,Milestones!$AA$92),"dd mmm yy"))&amp;" "&amp;Milestones!$AB$92&amp;" "&amp;Milestones!$AC$92&amp;";  ","")&amp;IF(AND(EDATE($D41,Milestones!$AA$93)&lt;=AsOfDate,IF($R41=0,$X41,IF(AND($T41&lt;&gt;"",EDATE($D41,Milestones!$AA$93)&gt;=$T41),$W41,IF(AND($S41&lt;&gt;"",EDATE($D41,Milestones!$AA$93)&gt;=$S41),$V41,$U41)))=Milestones!$AB$93),UPPER(TEXT(EDATE($D41,Milestones!$AA$93),"dd mmm yy"))&amp;" "&amp;Milestones!$AB$93&amp;" "&amp;Milestones!$AC$93&amp;";  ","")&amp;IF(AND(EDATE($D41,Milestones!$AA$94)&lt;=AsOfDate,IF($R41=0,$X41,IF(AND($T41&lt;&gt;"",EDATE($D41,Milestones!$AA$94)&gt;=$T41),$W41,IF(AND($S41&lt;&gt;"",EDATE($D41,Milestones!$AA$94)&gt;=$S41),$V41,$U41)))=Milestones!$AB$94),UPPER(TEXT(EDATE($D41,Milestones!$AA$94),"dd mmm yy"))&amp;" "&amp;Milestones!$AB$94&amp;" "&amp;Milestones!$AC$94&amp;";  ","")&amp;IF(AND(EDATE($D41,Milestones!$AA$95)&lt;=AsOfDate,IF($R41=0,$X41,IF(AND($T41&lt;&gt;"",EDATE($D41,Milestones!$AA$95)&gt;=$T41),$W41,IF(AND($S41&lt;&gt;"",EDATE($D41,Milestones!$AA$95)&gt;=$S41),$V41,$U41)))=Milestones!$AB$95),UPPER(TEXT(EDATE($D41,Milestones!$AA$95),"dd mmm yy"))&amp;" "&amp;Milestones!$AB$95&amp;" "&amp;Milestones!$AC$95&amp;";  ","")&amp;IF(AND(EDATE($D41,Milestones!$AA$96)&lt;=AsOfDate,IF($R41=0,$X41,IF(AND($T41&lt;&gt;"",EDATE($D41,Milestones!$AA$96)&gt;=$T41),$W41,IF(AND($S41&lt;&gt;"",EDATE($D41,Milestones!$AA$96)&gt;=$S41),$V41,$U41)))=Milestones!$AB$96),UPPER(TEXT(EDATE($D41,Milestones!$AA$96),"dd mmm yy"))&amp;" "&amp;Milestones!$AB$96&amp;" "&amp;Milestones!$AC$96&amp;";  ","")&amp;IF(AND(EDATE($D41,Milestones!$AA$97)&lt;=AsOfDate,IF($R41=0,$X41,IF(AND($T41&lt;&gt;"",EDATE($D41,Milestones!$AA$97)&gt;=$T41),$W41,IF(AND($S41&lt;&gt;"",EDATE($D41,Milestones!$AA$97)&gt;=$S41),$V41,$U41)))=Milestones!$AB$97),UPPER(TEXT(EDATE($D41,Milestones!$AA$97),"dd mmm yy"))&amp;" "&amp;Milestones!$AB$97&amp;" "&amp;Milestones!$AC$97&amp;";  ","")&amp;IF(AND(EDATE($D41,Milestones!$AA$98)&lt;=AsOfDate,IF($R41=0,$X41,IF(AND($T41&lt;&gt;"",EDATE($D41,Milestones!$AA$98)&gt;=$T41),$W41,IF(AND($S41&lt;&gt;"",EDATE($D41,Milestones!$AA$98)&gt;=$S41),$V41,$U41)))=Milestones!$AB$98),UPPER(TEXT(EDATE($D41,Milestones!$AA$98),"dd mmm yy"))&amp;" "&amp;Milestones!$AB$98&amp;" "&amp;Milestones!$AC$98&amp;";  ","")&amp;IF(AND(EDATE($D41,Milestones!$AA$99)&lt;=AsOfDate,IF($R41=0,$X41,IF(AND($T41&lt;&gt;"",EDATE($D41,Milestones!$AA$99)&gt;=$T41),$W41,IF(AND($S41&lt;&gt;"",EDATE($D41,Milestones!$AA$99)&gt;=$S41),$V41,$U41)))=Milestones!$AB$99),UPPER(TEXT(EDATE($D41,Milestones!$AA$99),"dd mmm yy"))&amp;" "&amp;Milestones!$AB$99&amp;" "&amp;Milestones!$AC$99&amp;";  ",""))</f>
        <v/>
      </c>
      <c r="M41" s="0" t="str">
        <f aca="false">IF(OR($A41="",$D41=""),"",IF(AND(EDATE($D41,Milestones!$AA$100)&lt;=AsOfDate,IF($R41=0,$X41,IF(AND($T41&lt;&gt;"",EDATE($D41,Milestones!$AA$100)&gt;=$T41),$W41,IF(AND($S41&lt;&gt;"",EDATE($D41,Milestones!$AA$100)&gt;=$S41),$V41,$U41)))=Milestones!$AB$100),UPPER(TEXT(EDATE($D41,Milestones!$AA$100),"dd mmm yy"))&amp;" "&amp;Milestones!$AB$100&amp;" "&amp;Milestones!$AC$100&amp;";  ","")&amp;IF(AND(EDATE($D41,Milestones!$AA$101)&lt;=AsOfDate,IF($R41=0,$X41,IF(AND($T41&lt;&gt;"",EDATE($D41,Milestones!$AA$101)&gt;=$T41),$W41,IF(AND($S41&lt;&gt;"",EDATE($D41,Milestones!$AA$101)&gt;=$S41),$V41,$U41)))=Milestones!$AB$101),UPPER(TEXT(EDATE($D41,Milestones!$AA$101),"dd mmm yy"))&amp;" "&amp;Milestones!$AB$101&amp;" "&amp;Milestones!$AC$101&amp;";  ","")&amp;IF(AND(EDATE($D41,Milestones!$AA$102)&lt;=AsOfDate,IF($R41=0,$X41,IF(AND($T41&lt;&gt;"",EDATE($D41,Milestones!$AA$102)&gt;=$T41),$W41,IF(AND($S41&lt;&gt;"",EDATE($D41,Milestones!$AA$102)&gt;=$S41),$V41,$U41)))=Milestones!$AB$102),UPPER(TEXT(EDATE($D41,Milestones!$AA$102),"dd mmm yy"))&amp;" "&amp;Milestones!$AB$102&amp;" "&amp;Milestones!$AC$102&amp;";  ","")&amp;IF(AND(EDATE($D41,Milestones!$AA$103)&lt;=AsOfDate,IF($R41=0,$X41,IF(AND($T41&lt;&gt;"",EDATE($D41,Milestones!$AA$103)&gt;=$T41),$W41,IF(AND($S41&lt;&gt;"",EDATE($D41,Milestones!$AA$103)&gt;=$S41),$V41,$U41)))=Milestones!$AB$103),UPPER(TEXT(EDATE($D41,Milestones!$AA$103),"dd mmm yy"))&amp;" "&amp;Milestones!$AB$103&amp;" "&amp;Milestones!$AC$103&amp;";  ","")&amp;IF(AND(EDATE($D41,Milestones!$AA$104)&lt;=AsOfDate,IF($R41=0,$X41,IF(AND($T41&lt;&gt;"",EDATE($D41,Milestones!$AA$104)&gt;=$T41),$W41,IF(AND($S41&lt;&gt;"",EDATE($D41,Milestones!$AA$104)&gt;=$S41),$V41,$U41)))=Milestones!$AB$104),UPPER(TEXT(EDATE($D41,Milestones!$AA$104),"dd mmm yy"))&amp;" "&amp;Milestones!$AB$104&amp;" "&amp;Milestones!$AC$104&amp;";  ","")&amp;IF(AND(EDATE($D41,Milestones!$AA$105)&lt;=AsOfDate,IF($R41=0,$X41,IF(AND($T41&lt;&gt;"",EDATE($D41,Milestones!$AA$105)&gt;=$T41),$W41,IF(AND($S41&lt;&gt;"",EDATE($D41,Milestones!$AA$105)&gt;=$S41),$V41,$U41)))=Milestones!$AB$105),UPPER(TEXT(EDATE($D41,Milestones!$AA$105),"dd mmm yy"))&amp;" "&amp;Milestones!$AB$105&amp;" "&amp;Milestones!$AC$105&amp;";  ","")&amp;IF(AND(EDATE($D41,Milestones!$AA$106)&lt;=AsOfDate,IF($R41=0,$X41,IF(AND($T41&lt;&gt;"",EDATE($D41,Milestones!$AA$106)&gt;=$T41),$W41,IF(AND($S41&lt;&gt;"",EDATE($D41,Milestones!$AA$106)&gt;=$S41),$V41,$U41)))=Milestones!$AB$106),UPPER(TEXT(EDATE($D41,Milestones!$AA$106),"dd mmm yy"))&amp;" "&amp;Milestones!$AB$106&amp;" "&amp;Milestones!$AC$106&amp;";  ","")&amp;IF(AND(EDATE($D41,Milestones!$AA$107)&lt;=AsOfDate,IF($R41=0,$X41,IF(AND($T41&lt;&gt;"",EDATE($D41,Milestones!$AA$107)&gt;=$T41),$W41,IF(AND($S41&lt;&gt;"",EDATE($D41,Milestones!$AA$107)&gt;=$S41),$V41,$U41)))=Milestones!$AB$107),UPPER(TEXT(EDATE($D41,Milestones!$AA$107),"dd mmm yy"))&amp;" "&amp;Milestones!$AB$107&amp;" "&amp;Milestones!$AC$107&amp;";  ","")&amp;IF(AND(EDATE($D41,Milestones!$AA$108)&lt;=AsOfDate,IF($R41=0,$X41,IF(AND($T41&lt;&gt;"",EDATE($D41,Milestones!$AA$108)&gt;=$T41),$W41,IF(AND($S41&lt;&gt;"",EDATE($D41,Milestones!$AA$108)&gt;=$S41),$V41,$U41)))=Milestones!$AB$108),UPPER(TEXT(EDATE($D41,Milestones!$AA$108),"dd mmm yy"))&amp;" "&amp;Milestones!$AB$108&amp;" "&amp;Milestones!$AC$108&amp;";  ","")&amp;IF(AND(EDATE($D41,Milestones!$AA$109)&lt;=AsOfDate,IF($R41=0,$X41,IF(AND($T41&lt;&gt;"",EDATE($D41,Milestones!$AA$109)&gt;=$T41),$W41,IF(AND($S41&lt;&gt;"",EDATE($D41,Milestones!$AA$109)&gt;=$S41),$V41,$U41)))=Milestones!$AB$109),UPPER(TEXT(EDATE($D41,Milestones!$AA$109),"dd mmm yy"))&amp;" "&amp;Milestones!$AB$109&amp;" "&amp;Milestones!$AC$109&amp;";  ","")&amp;IF(AND(EDATE($D41,Milestones!$AA$110)&lt;=AsOfDate,IF($R41=0,$X41,IF(AND($T41&lt;&gt;"",EDATE($D41,Milestones!$AA$110)&gt;=$T41),$W41,IF(AND($S41&lt;&gt;"",EDATE($D41,Milestones!$AA$110)&gt;=$S41),$V41,$U41)))=Milestones!$AB$110),UPPER(TEXT(EDATE($D41,Milestones!$AA$110),"dd mmm yy"))&amp;" "&amp;Milestones!$AB$110&amp;" "&amp;Milestones!$AC$110&amp;";  ","")&amp;IF(AND(EDATE($D41,Milestones!$AA$111)&lt;=AsOfDate,IF($R41=0,$X41,IF(AND($T41&lt;&gt;"",EDATE($D41,Milestones!$AA$111)&gt;=$T41),$W41,IF(AND($S41&lt;&gt;"",EDATE($D41,Milestones!$AA$111)&gt;=$S41),$V41,$U41)))=Milestones!$AB$111),UPPER(TEXT(EDATE($D41,Milestones!$AA$111),"dd mmm yy"))&amp;" "&amp;Milestones!$AB$111&amp;" "&amp;Milestones!$AC$111&amp;";  ","")&amp;IF(AND(EDATE($D41,Milestones!$AA$112)&lt;=AsOfDate,IF($R41=0,$X41,IF(AND($T41&lt;&gt;"",EDATE($D41,Milestones!$AA$112)&gt;=$T41),$W41,IF(AND($S41&lt;&gt;"",EDATE($D41,Milestones!$AA$112)&gt;=$S41),$V41,$U41)))=Milestones!$AB$112),UPPER(TEXT(EDATE($D41,Milestones!$AA$112),"dd mmm yy"))&amp;" "&amp;Milestones!$AB$112&amp;" "&amp;Milestones!$AC$112&amp;";  ","")&amp;IF(AND(EDATE($D41,Milestones!$AA$113)&lt;=AsOfDate,IF($R41=0,$X41,IF(AND($T41&lt;&gt;"",EDATE($D41,Milestones!$AA$113)&gt;=$T41),$W41,IF(AND($S41&lt;&gt;"",EDATE($D41,Milestones!$AA$113)&gt;=$S41),$V41,$U41)))=Milestones!$AB$113),UPPER(TEXT(EDATE($D41,Milestones!$AA$113),"dd mmm yy"))&amp;" "&amp;Milestones!$AB$113&amp;" "&amp;Milestones!$AC$113&amp;";  ","")&amp;IF(AND(EDATE($D41,Milestones!$AA$114)&lt;=AsOfDate,IF($R41=0,$X41,IF(AND($T41&lt;&gt;"",EDATE($D41,Milestones!$AA$114)&gt;=$T41),$W41,IF(AND($S41&lt;&gt;"",EDATE($D41,Milestones!$AA$114)&gt;=$S41),$V41,$U41)))=Milestones!$AB$114),UPPER(TEXT(EDATE($D41,Milestones!$AA$114),"dd mmm yy"))&amp;" "&amp;Milestones!$AB$114&amp;" "&amp;Milestones!$AC$114&amp;";  ","")&amp;IF(AND(EDATE($D41,Milestones!$AA$115)&lt;=AsOfDate,IF($R41=0,$X41,IF(AND($T41&lt;&gt;"",EDATE($D41,Milestones!$AA$115)&gt;=$T41),$W41,IF(AND($S41&lt;&gt;"",EDATE($D41,Milestones!$AA$115)&gt;=$S41),$V41,$U41)))=Milestones!$AB$115),UPPER(TEXT(EDATE($D41,Milestones!$AA$115),"dd mmm yy"))&amp;" "&amp;Milestones!$AB$115&amp;" "&amp;Milestones!$AC$115&amp;";  ","")&amp;IF(AND(EDATE($D41,Milestones!$AA$116)&lt;=AsOfDate,IF($R41=0,$X41,IF(AND($T41&lt;&gt;"",EDATE($D41,Milestones!$AA$116)&gt;=$T41),$W41,IF(AND($S41&lt;&gt;"",EDATE($D41,Milestones!$AA$116)&gt;=$S41),$V41,$U41)))=Milestones!$AB$116),UPPER(TEXT(EDATE($D41,Milestones!$AA$116),"dd mmm yy"))&amp;" "&amp;Milestones!$AB$116&amp;" "&amp;Milestones!$AC$116&amp;";  ","")&amp;IF(AND(EDATE($D41,Milestones!$AA$117)&lt;=AsOfDate,IF($R41=0,$X41,IF(AND($T41&lt;&gt;"",EDATE($D41,Milestones!$AA$117)&gt;=$T41),$W41,IF(AND($S41&lt;&gt;"",EDATE($D41,Milestones!$AA$117)&gt;=$S41),$V41,$U41)))=Milestones!$AB$117),UPPER(TEXT(EDATE($D41,Milestones!$AA$117),"dd mmm yy"))&amp;" "&amp;Milestones!$AB$117&amp;" "&amp;Milestones!$AC$117&amp;";  ","")&amp;IF(AND(EDATE($D41,Milestones!$AA$118)&lt;=AsOfDate,IF($R41=0,$X41,IF(AND($T41&lt;&gt;"",EDATE($D41,Milestones!$AA$118)&gt;=$T41),$W41,IF(AND($S41&lt;&gt;"",EDATE($D41,Milestones!$AA$118)&gt;=$S41),$V41,$U41)))=Milestones!$AB$118),UPPER(TEXT(EDATE($D41,Milestones!$AA$118),"dd mmm yy"))&amp;" "&amp;Milestones!$AB$118&amp;" "&amp;Milestones!$AC$118&amp;";  ","")&amp;IF(AND(EDATE($D41,Milestones!$AA$119)&lt;=AsOfDate,IF($R41=0,$X41,IF(AND($T41&lt;&gt;"",EDATE($D41,Milestones!$AA$119)&gt;=$T41),$W41,IF(AND($S41&lt;&gt;"",EDATE($D41,Milestones!$AA$119)&gt;=$S41),$V41,$U41)))=Milestones!$AB$119),UPPER(TEXT(EDATE($D41,Milestones!$AA$119),"dd mmm yy"))&amp;" "&amp;Milestones!$AB$119&amp;" "&amp;Milestones!$AC$119&amp;";  ",""))</f>
        <v/>
      </c>
      <c r="N41" s="0" t="str">
        <f aca="false">IF(OR($A41="",$D41=""),"",IF(AND(EDATE($D41,Milestones!$AA$120)&lt;=AsOfDate,IF($R41=0,$X41,IF(AND($T41&lt;&gt;"",EDATE($D41,Milestones!$AA$120)&gt;=$T41),$W41,IF(AND($S41&lt;&gt;"",EDATE($D41,Milestones!$AA$120)&gt;=$S41),$V41,$U41)))=Milestones!$AB$120),UPPER(TEXT(EDATE($D41,Milestones!$AA$120),"dd mmm yy"))&amp;" "&amp;Milestones!$AB$120&amp;" "&amp;Milestones!$AC$120&amp;";  ","")&amp;IF(AND(EDATE($D41,Milestones!$AA$121)&lt;=AsOfDate,IF($R41=0,$X41,IF(AND($T41&lt;&gt;"",EDATE($D41,Milestones!$AA$121)&gt;=$T41),$W41,IF(AND($S41&lt;&gt;"",EDATE($D41,Milestones!$AA$121)&gt;=$S41),$V41,$U41)))=Milestones!$AB$121),UPPER(TEXT(EDATE($D41,Milestones!$AA$121),"dd mmm yy"))&amp;" "&amp;Milestones!$AB$121&amp;" "&amp;Milestones!$AC$121&amp;";  ","")&amp;IF(AND(EDATE($D41,Milestones!$AA$122)&lt;=AsOfDate,IF($R41=0,$X41,IF(AND($T41&lt;&gt;"",EDATE($D41,Milestones!$AA$122)&gt;=$T41),$W41,IF(AND($S41&lt;&gt;"",EDATE($D41,Milestones!$AA$122)&gt;=$S41),$V41,$U41)))=Milestones!$AB$122),UPPER(TEXT(EDATE($D41,Milestones!$AA$122),"dd mmm yy"))&amp;" "&amp;Milestones!$AB$122&amp;" "&amp;Milestones!$AC$122&amp;";  ","")&amp;IF(AND(EDATE($D41,Milestones!$AA$123)&lt;=AsOfDate,IF($R41=0,$X41,IF(AND($T41&lt;&gt;"",EDATE($D41,Milestones!$AA$123)&gt;=$T41),$W41,IF(AND($S41&lt;&gt;"",EDATE($D41,Milestones!$AA$123)&gt;=$S41),$V41,$U41)))=Milestones!$AB$123),UPPER(TEXT(EDATE($D41,Milestones!$AA$123),"dd mmm yy"))&amp;" "&amp;Milestones!$AB$123&amp;" "&amp;Milestones!$AC$123&amp;";  ","")&amp;IF(AND(EDATE($D41,Milestones!$AA$124)&lt;=AsOfDate,IF($R41=0,$X41,IF(AND($T41&lt;&gt;"",EDATE($D41,Milestones!$AA$124)&gt;=$T41),$W41,IF(AND($S41&lt;&gt;"",EDATE($D41,Milestones!$AA$124)&gt;=$S41),$V41,$U41)))=Milestones!$AB$124),UPPER(TEXT(EDATE($D41,Milestones!$AA$124),"dd mmm yy"))&amp;" "&amp;Milestones!$AB$124&amp;" "&amp;Milestones!$AC$124&amp;";  ","")&amp;IF(AND(EDATE($D41,Milestones!$AA$125)&lt;=AsOfDate,IF($R41=0,$X41,IF(AND($T41&lt;&gt;"",EDATE($D41,Milestones!$AA$125)&gt;=$T41),$W41,IF(AND($S41&lt;&gt;"",EDATE($D41,Milestones!$AA$125)&gt;=$S41),$V41,$U41)))=Milestones!$AB$125),UPPER(TEXT(EDATE($D41,Milestones!$AA$125),"dd mmm yy"))&amp;" "&amp;Milestones!$AB$125&amp;" "&amp;Milestones!$AC$125&amp;";  ","")&amp;IF(AND(EDATE($D41,Milestones!$AA$126)&lt;=AsOfDate,IF($R41=0,$X41,IF(AND($T41&lt;&gt;"",EDATE($D41,Milestones!$AA$126)&gt;=$T41),$W41,IF(AND($S41&lt;&gt;"",EDATE($D41,Milestones!$AA$126)&gt;=$S41),$V41,$U41)))=Milestones!$AB$126),UPPER(TEXT(EDATE($D41,Milestones!$AA$126),"dd mmm yy"))&amp;" "&amp;Milestones!$AB$126&amp;" "&amp;Milestones!$AC$126&amp;";  ","")&amp;IF(AND(EDATE($D41,Milestones!$AA$127)&lt;=AsOfDate,IF($R41=0,$X41,IF(AND($T41&lt;&gt;"",EDATE($D41,Milestones!$AA$127)&gt;=$T41),$W41,IF(AND($S41&lt;&gt;"",EDATE($D41,Milestones!$AA$127)&gt;=$S41),$V41,$U41)))=Milestones!$AB$127),UPPER(TEXT(EDATE($D41,Milestones!$AA$127),"dd mmm yy"))&amp;" "&amp;Milestones!$AB$127&amp;" "&amp;Milestones!$AC$127&amp;";  ","")&amp;IF(AND(EDATE($D41,Milestones!$AA$128)&lt;=AsOfDate,IF($R41=0,$X41,IF(AND($T41&lt;&gt;"",EDATE($D41,Milestones!$AA$128)&gt;=$T41),$W41,IF(AND($S41&lt;&gt;"",EDATE($D41,Milestones!$AA$128)&gt;=$S41),$V41,$U41)))=Milestones!$AB$128),UPPER(TEXT(EDATE($D41,Milestones!$AA$128),"dd mmm yy"))&amp;" "&amp;Milestones!$AB$128&amp;" "&amp;Milestones!$AC$128&amp;";  ","")&amp;IF(AND(EDATE($D41,Milestones!$AA$129)&lt;=AsOfDate,IF($R41=0,$X41,IF(AND($T41&lt;&gt;"",EDATE($D41,Milestones!$AA$129)&gt;=$T41),$W41,IF(AND($S41&lt;&gt;"",EDATE($D41,Milestones!$AA$129)&gt;=$S41),$V41,$U41)))=Milestones!$AB$129),UPPER(TEXT(EDATE($D41,Milestones!$AA$129),"dd mmm yy"))&amp;" "&amp;Milestones!$AB$129&amp;" "&amp;Milestones!$AC$129&amp;";  ","")&amp;IF(AND(EDATE($D41,Milestones!$AA$130)&lt;=AsOfDate,IF($R41=0,$X41,IF(AND($T41&lt;&gt;"",EDATE($D41,Milestones!$AA$130)&gt;=$T41),$W41,IF(AND($S41&lt;&gt;"",EDATE($D41,Milestones!$AA$130)&gt;=$S41),$V41,$U41)))=Milestones!$AB$130),UPPER(TEXT(EDATE($D41,Milestones!$AA$130),"dd mmm yy"))&amp;" "&amp;Milestones!$AB$130&amp;" "&amp;Milestones!$AC$130&amp;";  ","")&amp;IF(AND(EDATE($D41,Milestones!$AA$131)&lt;=AsOfDate,IF($R41=0,$X41,IF(AND($T41&lt;&gt;"",EDATE($D41,Milestones!$AA$131)&gt;=$T41),$W41,IF(AND($S41&lt;&gt;"",EDATE($D41,Milestones!$AA$131)&gt;=$S41),$V41,$U41)))=Milestones!$AB$131),UPPER(TEXT(EDATE($D41,Milestones!$AA$131),"dd mmm yy"))&amp;" "&amp;Milestones!$AB$131&amp;" "&amp;Milestones!$AC$131&amp;";  ","")&amp;IF(AND(EDATE($D41,Milestones!$AA$132)&lt;=AsOfDate,IF($R41=0,$X41,IF(AND($T41&lt;&gt;"",EDATE($D41,Milestones!$AA$132)&gt;=$T41),$W41,IF(AND($S41&lt;&gt;"",EDATE($D41,Milestones!$AA$132)&gt;=$S41),$V41,$U41)))=Milestones!$AB$132),UPPER(TEXT(EDATE($D41,Milestones!$AA$132),"dd mmm yy"))&amp;" "&amp;Milestones!$AB$132&amp;" "&amp;Milestones!$AC$132&amp;";  ","")&amp;IF(AND(EDATE($D41,Milestones!$AA$133)&lt;=AsOfDate,IF($R41=0,$X41,IF(AND($T41&lt;&gt;"",EDATE($D41,Milestones!$AA$133)&gt;=$T41),$W41,IF(AND($S41&lt;&gt;"",EDATE($D41,Milestones!$AA$133)&gt;=$S41),$V41,$U41)))=Milestones!$AB$133),UPPER(TEXT(EDATE($D41,Milestones!$AA$133),"dd mmm yy"))&amp;" "&amp;Milestones!$AB$133&amp;" "&amp;Milestones!$AC$133&amp;";  ","")&amp;IF(AND(EDATE($D41,Milestones!$AA$134)&lt;=AsOfDate,IF($R41=0,$X41,IF(AND($T41&lt;&gt;"",EDATE($D41,Milestones!$AA$134)&gt;=$T41),$W41,IF(AND($S41&lt;&gt;"",EDATE($D41,Milestones!$AA$134)&gt;=$S41),$V41,$U41)))=Milestones!$AB$134),UPPER(TEXT(EDATE($D41,Milestones!$AA$134),"dd mmm yy"))&amp;" "&amp;Milestones!$AB$134&amp;" "&amp;Milestones!$AC$134&amp;";  ","")&amp;IF(AND(EDATE($D41,Milestones!$AA$135)&lt;=AsOfDate,IF($R41=0,$X41,IF(AND($T41&lt;&gt;"",EDATE($D41,Milestones!$AA$135)&gt;=$T41),$W41,IF(AND($S41&lt;&gt;"",EDATE($D41,Milestones!$AA$135)&gt;=$S41),$V41,$U41)))=Milestones!$AB$135),UPPER(TEXT(EDATE($D41,Milestones!$AA$135),"dd mmm yy"))&amp;" "&amp;Milestones!$AB$135&amp;" "&amp;Milestones!$AC$135&amp;";  ","")&amp;IF(AND(EDATE($D41,Milestones!$AA$136)&lt;=AsOfDate,IF($R41=0,$X41,IF(AND($T41&lt;&gt;"",EDATE($D41,Milestones!$AA$136)&gt;=$T41),$W41,IF(AND($S41&lt;&gt;"",EDATE($D41,Milestones!$AA$136)&gt;=$S41),$V41,$U41)))=Milestones!$AB$136),UPPER(TEXT(EDATE($D41,Milestones!$AA$136),"dd mmm yy"))&amp;" "&amp;Milestones!$AB$136&amp;" "&amp;Milestones!$AC$136&amp;";  ","")&amp;IF(AND(EDATE($D41,Milestones!$AA$137)&lt;=AsOfDate,IF($R41=0,$X41,IF(AND($T41&lt;&gt;"",EDATE($D41,Milestones!$AA$137)&gt;=$T41),$W41,IF(AND($S41&lt;&gt;"",EDATE($D41,Milestones!$AA$137)&gt;=$S41),$V41,$U41)))=Milestones!$AB$137),UPPER(TEXT(EDATE($D41,Milestones!$AA$137),"dd mmm yy"))&amp;" "&amp;Milestones!$AB$137&amp;" "&amp;Milestones!$AC$137&amp;";  ","")&amp;IF(AND(EDATE($D41,Milestones!$AA$138)&lt;=AsOfDate,IF($R41=0,$X41,IF(AND($T41&lt;&gt;"",EDATE($D41,Milestones!$AA$138)&gt;=$T41),$W41,IF(AND($S41&lt;&gt;"",EDATE($D41,Milestones!$AA$138)&gt;=$S41),$V41,$U41)))=Milestones!$AB$138),UPPER(TEXT(EDATE($D41,Milestones!$AA$138),"dd mmm yy"))&amp;" "&amp;Milestones!$AB$138&amp;" "&amp;Milestones!$AC$138&amp;";  ","")&amp;IF(AND(EDATE($D41,Milestones!$AA$139)&lt;=AsOfDate,IF($R41=0,$X41,IF(AND($T41&lt;&gt;"",EDATE($D41,Milestones!$AA$139)&gt;=$T41),$W41,IF(AND($S41&lt;&gt;"",EDATE($D41,Milestones!$AA$139)&gt;=$S41),$V41,$U41)))=Milestones!$AB$139),UPPER(TEXT(EDATE($D41,Milestones!$AA$139),"dd mmm yy"))&amp;" "&amp;Milestones!$AB$139&amp;" "&amp;Milestones!$AC$139&amp;";  ",""))</f>
        <v/>
      </c>
      <c r="O41" s="0" t="str">
        <f aca="false">IF(OR($A41="",$D41=""),"",IF(AND(EDATE($D41,Milestones!$AA$140)&lt;=AsOfDate,IF($R41=0,$X41,IF(AND($T41&lt;&gt;"",EDATE($D41,Milestones!$AA$140)&gt;=$T41),$W41,IF(AND($S41&lt;&gt;"",EDATE($D41,Milestones!$AA$140)&gt;=$S41),$V41,$U41)))=Milestones!$AB$140),UPPER(TEXT(EDATE($D41,Milestones!$AA$140),"dd mmm yy"))&amp;" "&amp;Milestones!$AB$140&amp;" "&amp;Milestones!$AC$140&amp;";  ","")&amp;IF(AND(EDATE($D41,Milestones!$AA$141)&lt;=AsOfDate,IF($R41=0,$X41,IF(AND($T41&lt;&gt;"",EDATE($D41,Milestones!$AA$141)&gt;=$T41),$W41,IF(AND($S41&lt;&gt;"",EDATE($D41,Milestones!$AA$141)&gt;=$S41),$V41,$U41)))=Milestones!$AB$141),UPPER(TEXT(EDATE($D41,Milestones!$AA$141),"dd mmm yy"))&amp;" "&amp;Milestones!$AB$141&amp;" "&amp;Milestones!$AC$141&amp;";  ","")&amp;IF(AND(EDATE($D41,Milestones!$AA$142)&lt;=AsOfDate,IF($R41=0,$X41,IF(AND($T41&lt;&gt;"",EDATE($D41,Milestones!$AA$142)&gt;=$T41),$W41,IF(AND($S41&lt;&gt;"",EDATE($D41,Milestones!$AA$142)&gt;=$S41),$V41,$U41)))=Milestones!$AB$142),UPPER(TEXT(EDATE($D41,Milestones!$AA$142),"dd mmm yy"))&amp;" "&amp;Milestones!$AB$142&amp;" "&amp;Milestones!$AC$142&amp;";  ","")&amp;IF(AND(EDATE($D41,Milestones!$AA$143)&lt;=AsOfDate,IF($R41=0,$X41,IF(AND($T41&lt;&gt;"",EDATE($D41,Milestones!$AA$143)&gt;=$T41),$W41,IF(AND($S41&lt;&gt;"",EDATE($D41,Milestones!$AA$143)&gt;=$S41),$V41,$U41)))=Milestones!$AB$143),UPPER(TEXT(EDATE($D41,Milestones!$AA$143),"dd mmm yy"))&amp;" "&amp;Milestones!$AB$143&amp;" "&amp;Milestones!$AC$143&amp;";  ","")&amp;IF(AND(EDATE($D41,Milestones!$AA$144)&lt;=AsOfDate,IF($R41=0,$X41,IF(AND($T41&lt;&gt;"",EDATE($D41,Milestones!$AA$144)&gt;=$T41),$W41,IF(AND($S41&lt;&gt;"",EDATE($D41,Milestones!$AA$144)&gt;=$S41),$V41,$U41)))=Milestones!$AB$144),UPPER(TEXT(EDATE($D41,Milestones!$AA$144),"dd mmm yy"))&amp;" "&amp;Milestones!$AB$144&amp;" "&amp;Milestones!$AC$144&amp;";  ","")&amp;IF(AND(EDATE($D41,Milestones!$AA$145)&lt;=AsOfDate,IF($R41=0,$X41,IF(AND($T41&lt;&gt;"",EDATE($D41,Milestones!$AA$145)&gt;=$T41),$W41,IF(AND($S41&lt;&gt;"",EDATE($D41,Milestones!$AA$145)&gt;=$S41),$V41,$U41)))=Milestones!$AB$145),UPPER(TEXT(EDATE($D41,Milestones!$AA$145),"dd mmm yy"))&amp;" "&amp;Milestones!$AB$145&amp;" "&amp;Milestones!$AC$145&amp;";  ","")&amp;IF(AND(EDATE($D41,Milestones!$AA$146)&lt;=AsOfDate,IF($R41=0,$X41,IF(AND($T41&lt;&gt;"",EDATE($D41,Milestones!$AA$146)&gt;=$T41),$W41,IF(AND($S41&lt;&gt;"",EDATE($D41,Milestones!$AA$146)&gt;=$S41),$V41,$U41)))=Milestones!$AB$146),UPPER(TEXT(EDATE($D41,Milestones!$AA$146),"dd mmm yy"))&amp;" "&amp;Milestones!$AB$146&amp;" "&amp;Milestones!$AC$146&amp;";  ","")&amp;IF(AND(EDATE($D41,Milestones!$AA$147)&lt;=AsOfDate,IF($R41=0,$X41,IF(AND($T41&lt;&gt;"",EDATE($D41,Milestones!$AA$147)&gt;=$T41),$W41,IF(AND($S41&lt;&gt;"",EDATE($D41,Milestones!$AA$147)&gt;=$S41),$V41,$U41)))=Milestones!$AB$147),UPPER(TEXT(EDATE($D41,Milestones!$AA$147),"dd mmm yy"))&amp;" "&amp;Milestones!$AB$147&amp;" "&amp;Milestones!$AC$147&amp;";  ","")&amp;IF(AND(EDATE($D41,Milestones!$AA$148)&lt;=AsOfDate,IF($R41=0,$X41,IF(AND($T41&lt;&gt;"",EDATE($D41,Milestones!$AA$148)&gt;=$T41),$W41,IF(AND($S41&lt;&gt;"",EDATE($D41,Milestones!$AA$148)&gt;=$S41),$V41,$U41)))=Milestones!$AB$148),UPPER(TEXT(EDATE($D41,Milestones!$AA$148),"dd mmm yy"))&amp;" "&amp;Milestones!$AB$148&amp;" "&amp;Milestones!$AC$148&amp;";  ","")&amp;IF(AND(EDATE($D41,Milestones!$AA$149)&lt;=AsOfDate,IF($R41=0,$X41,IF(AND($T41&lt;&gt;"",EDATE($D41,Milestones!$AA$149)&gt;=$T41),$W41,IF(AND($S41&lt;&gt;"",EDATE($D41,Milestones!$AA$149)&gt;=$S41),$V41,$U41)))=Milestones!$AB$149),UPPER(TEXT(EDATE($D41,Milestones!$AA$149),"dd mmm yy"))&amp;" "&amp;Milestones!$AB$149&amp;" "&amp;Milestones!$AC$149&amp;";  ","")&amp;IF(AND(EDATE($D41,Milestones!$AA$150)&lt;=AsOfDate,IF($R41=0,$X41,IF(AND($T41&lt;&gt;"",EDATE($D41,Milestones!$AA$150)&gt;=$T41),$W41,IF(AND($S41&lt;&gt;"",EDATE($D41,Milestones!$AA$150)&gt;=$S41),$V41,$U41)))=Milestones!$AB$150),UPPER(TEXT(EDATE($D41,Milestones!$AA$150),"dd mmm yy"))&amp;" "&amp;Milestones!$AB$150&amp;" "&amp;Milestones!$AC$150&amp;";  ","")&amp;IF(AND(EDATE($D41,Milestones!$AA$151)&lt;=AsOfDate,IF($R41=0,$X41,IF(AND($T41&lt;&gt;"",EDATE($D41,Milestones!$AA$151)&gt;=$T41),$W41,IF(AND($S41&lt;&gt;"",EDATE($D41,Milestones!$AA$151)&gt;=$S41),$V41,$U41)))=Milestones!$AB$151),UPPER(TEXT(EDATE($D41,Milestones!$AA$151),"dd mmm yy"))&amp;" "&amp;Milestones!$AB$151&amp;" "&amp;Milestones!$AC$151&amp;";  ","")&amp;IF(AND(EDATE($D41,Milestones!$AA$152)&lt;=AsOfDate,IF($R41=0,$X41,IF(AND($T41&lt;&gt;"",EDATE($D41,Milestones!$AA$152)&gt;=$T41),$W41,IF(AND($S41&lt;&gt;"",EDATE($D41,Milestones!$AA$152)&gt;=$S41),$V41,$U41)))=Milestones!$AB$152),UPPER(TEXT(EDATE($D41,Milestones!$AA$152),"dd mmm yy"))&amp;" "&amp;Milestones!$AB$152&amp;" "&amp;Milestones!$AC$152&amp;";  ","")&amp;IF(AND(EDATE($D41,Milestones!$AA$153)&lt;=AsOfDate,IF($R41=0,$X41,IF(AND($T41&lt;&gt;"",EDATE($D41,Milestones!$AA$153)&gt;=$T41),$W41,IF(AND($S41&lt;&gt;"",EDATE($D41,Milestones!$AA$153)&gt;=$S41),$V41,$U41)))=Milestones!$AB$153),UPPER(TEXT(EDATE($D41,Milestones!$AA$153),"dd mmm yy"))&amp;" "&amp;Milestones!$AB$153&amp;" "&amp;Milestones!$AC$153&amp;";  ","")&amp;IF(AND(EDATE($D41,Milestones!$AA$154)&lt;=AsOfDate,IF($R41=0,$X41,IF(AND($T41&lt;&gt;"",EDATE($D41,Milestones!$AA$154)&gt;=$T41),$W41,IF(AND($S41&lt;&gt;"",EDATE($D41,Milestones!$AA$154)&gt;=$S41),$V41,$U41)))=Milestones!$AB$154),UPPER(TEXT(EDATE($D41,Milestones!$AA$154),"dd mmm yy"))&amp;" "&amp;Milestones!$AB$154&amp;" "&amp;Milestones!$AC$154&amp;";  ","")&amp;IF(AND(EDATE($D41,Milestones!$AA$155)&lt;=AsOfDate,IF($R41=0,$X41,IF(AND($T41&lt;&gt;"",EDATE($D41,Milestones!$AA$155)&gt;=$T41),$W41,IF(AND($S41&lt;&gt;"",EDATE($D41,Milestones!$AA$155)&gt;=$S41),$V41,$U41)))=Milestones!$AB$155),UPPER(TEXT(EDATE($D41,Milestones!$AA$155),"dd mmm yy"))&amp;" "&amp;Milestones!$AB$155&amp;" "&amp;Milestones!$AC$155&amp;";  ","")&amp;IF(AND(EDATE($D41,Milestones!$AA$156)&lt;=AsOfDate,IF($R41=0,$X41,IF(AND($T41&lt;&gt;"",EDATE($D41,Milestones!$AA$156)&gt;=$T41),$W41,IF(AND($S41&lt;&gt;"",EDATE($D41,Milestones!$AA$156)&gt;=$S41),$V41,$U41)))=Milestones!$AB$156),UPPER(TEXT(EDATE($D41,Milestones!$AA$156),"dd mmm yy"))&amp;" "&amp;Milestones!$AB$156&amp;" "&amp;Milestones!$AC$156&amp;";  ","")&amp;IF(AND(EDATE($D41,Milestones!$AA$157)&lt;=AsOfDate,IF($R41=0,$X41,IF(AND($T41&lt;&gt;"",EDATE($D41,Milestones!$AA$157)&gt;=$T41),$W41,IF(AND($S41&lt;&gt;"",EDATE($D41,Milestones!$AA$157)&gt;=$S41),$V41,$U41)))=Milestones!$AB$157),UPPER(TEXT(EDATE($D41,Milestones!$AA$157),"dd mmm yy"))&amp;" "&amp;Milestones!$AB$157&amp;" "&amp;Milestones!$AC$157&amp;";  ","")&amp;IF(AND(EDATE($D41,Milestones!$AA$158)&lt;=AsOfDate,IF($R41=0,$X41,IF(AND($T41&lt;&gt;"",EDATE($D41,Milestones!$AA$158)&gt;=$T41),$W41,IF(AND($S41&lt;&gt;"",EDATE($D41,Milestones!$AA$158)&gt;=$S41),$V41,$U41)))=Milestones!$AB$158),UPPER(TEXT(EDATE($D41,Milestones!$AA$158),"dd mmm yy"))&amp;" "&amp;Milestones!$AB$158&amp;" "&amp;Milestones!$AC$158&amp;";  ","")&amp;IF(AND(EDATE($D41,Milestones!$AA$159)&lt;=AsOfDate,IF($R41=0,$X41,IF(AND($T41&lt;&gt;"",EDATE($D41,Milestones!$AA$159)&gt;=$T41),$W41,IF(AND($S41&lt;&gt;"",EDATE($D41,Milestones!$AA$159)&gt;=$S41),$V41,$U41)))=Milestones!$AB$159),UPPER(TEXT(EDATE($D41,Milestones!$AA$159),"dd mmm yy"))&amp;" "&amp;Milestones!$AB$159&amp;" "&amp;Milestones!$AC$159&amp;";  ",""))</f>
        <v/>
      </c>
      <c r="P41" s="0" t="str">
        <f aca="false">IF(OR($A41="",$D41=""),"",IF(AND(EDATE($D41,Milestones!$AA$160)&lt;=AsOfDate,IF($R41=0,$X41,IF(AND($T41&lt;&gt;"",EDATE($D41,Milestones!$AA$160)&gt;=$T41),$W41,IF(AND($S41&lt;&gt;"",EDATE($D41,Milestones!$AA$160)&gt;=$S41),$V41,$U41)))=Milestones!$AB$160),UPPER(TEXT(EDATE($D41,Milestones!$AA$160),"dd mmm yy"))&amp;" "&amp;Milestones!$AB$160&amp;" "&amp;Milestones!$AC$160&amp;";  ","")&amp;IF(AND(EDATE($D41,Milestones!$AA$161)&lt;=AsOfDate,IF($R41=0,$X41,IF(AND($T41&lt;&gt;"",EDATE($D41,Milestones!$AA$161)&gt;=$T41),$W41,IF(AND($S41&lt;&gt;"",EDATE($D41,Milestones!$AA$161)&gt;=$S41),$V41,$U41)))=Milestones!$AB$161),UPPER(TEXT(EDATE($D41,Milestones!$AA$161),"dd mmm yy"))&amp;" "&amp;Milestones!$AB$161&amp;" "&amp;Milestones!$AC$161&amp;";  ","")&amp;IF(AND(EDATE($D41,Milestones!$AA$162)&lt;=AsOfDate,IF($R41=0,$X41,IF(AND($T41&lt;&gt;"",EDATE($D41,Milestones!$AA$162)&gt;=$T41),$W41,IF(AND($S41&lt;&gt;"",EDATE($D41,Milestones!$AA$162)&gt;=$S41),$V41,$U41)))=Milestones!$AB$162),UPPER(TEXT(EDATE($D41,Milestones!$AA$162),"dd mmm yy"))&amp;" "&amp;Milestones!$AB$162&amp;" "&amp;Milestones!$AC$162&amp;";  ","")&amp;IF(AND(EDATE($D41,Milestones!$AA$163)&lt;=AsOfDate,IF($R41=0,$X41,IF(AND($T41&lt;&gt;"",EDATE($D41,Milestones!$AA$163)&gt;=$T41),$W41,IF(AND($S41&lt;&gt;"",EDATE($D41,Milestones!$AA$163)&gt;=$S41),$V41,$U41)))=Milestones!$AB$163),UPPER(TEXT(EDATE($D41,Milestones!$AA$163),"dd mmm yy"))&amp;" "&amp;Milestones!$AB$163&amp;" "&amp;Milestones!$AC$163&amp;";  ","")&amp;IF(AND(EDATE($D41,Milestones!$AA$164)&lt;=AsOfDate,IF($R41=0,$X41,IF(AND($T41&lt;&gt;"",EDATE($D41,Milestones!$AA$164)&gt;=$T41),$W41,IF(AND($S41&lt;&gt;"",EDATE($D41,Milestones!$AA$164)&gt;=$S41),$V41,$U41)))=Milestones!$AB$164),UPPER(TEXT(EDATE($D41,Milestones!$AA$164),"dd mmm yy"))&amp;" "&amp;Milestones!$AB$164&amp;" "&amp;Milestones!$AC$164&amp;";  ","")&amp;IF(AND(EDATE($D41,Milestones!$AA$165)&lt;=AsOfDate,IF($R41=0,$X41,IF(AND($T41&lt;&gt;"",EDATE($D41,Milestones!$AA$165)&gt;=$T41),$W41,IF(AND($S41&lt;&gt;"",EDATE($D41,Milestones!$AA$165)&gt;=$S41),$V41,$U41)))=Milestones!$AB$165),UPPER(TEXT(EDATE($D41,Milestones!$AA$165),"dd mmm yy"))&amp;" "&amp;Milestones!$AB$165&amp;" "&amp;Milestones!$AC$165&amp;";  ","")&amp;IF(AND(EDATE($D41,Milestones!$AA$166)&lt;=AsOfDate,IF($R41=0,$X41,IF(AND($T41&lt;&gt;"",EDATE($D41,Milestones!$AA$166)&gt;=$T41),$W41,IF(AND($S41&lt;&gt;"",EDATE($D41,Milestones!$AA$166)&gt;=$S41),$V41,$U41)))=Milestones!$AB$166),UPPER(TEXT(EDATE($D41,Milestones!$AA$166),"dd mmm yy"))&amp;" "&amp;Milestones!$AB$166&amp;" "&amp;Milestones!$AC$166&amp;";  ","")&amp;IF(AND(EDATE($D41,Milestones!$AA$167)&lt;=AsOfDate,IF($R41=0,$X41,IF(AND($T41&lt;&gt;"",EDATE($D41,Milestones!$AA$167)&gt;=$T41),$W41,IF(AND($S41&lt;&gt;"",EDATE($D41,Milestones!$AA$167)&gt;=$S41),$V41,$U41)))=Milestones!$AB$167),UPPER(TEXT(EDATE($D41,Milestones!$AA$167),"dd mmm yy"))&amp;" "&amp;Milestones!$AB$167&amp;" "&amp;Milestones!$AC$167&amp;";  ","")&amp;IF(AND(EDATE($D41,Milestones!$AA$168)&lt;=AsOfDate,IF($R41=0,$X41,IF(AND($T41&lt;&gt;"",EDATE($D41,Milestones!$AA$168)&gt;=$T41),$W41,IF(AND($S41&lt;&gt;"",EDATE($D41,Milestones!$AA$168)&gt;=$S41),$V41,$U41)))=Milestones!$AB$168),UPPER(TEXT(EDATE($D41,Milestones!$AA$168),"dd mmm yy"))&amp;" "&amp;Milestones!$AB$168&amp;" "&amp;Milestones!$AC$168&amp;";  ","")&amp;IF(AND(EDATE($D41,Milestones!$AA$169)&lt;=AsOfDate,IF($R41=0,$X41,IF(AND($T41&lt;&gt;"",EDATE($D41,Milestones!$AA$169)&gt;=$T41),$W41,IF(AND($S41&lt;&gt;"",EDATE($D41,Milestones!$AA$169)&gt;=$S41),$V41,$U41)))=Milestones!$AB$169),UPPER(TEXT(EDATE($D41,Milestones!$AA$169),"dd mmm yy"))&amp;" "&amp;Milestones!$AB$169&amp;" "&amp;Milestones!$AC$169&amp;";  ","")&amp;IF(AND(EDATE($D41,Milestones!$AA$170)&lt;=AsOfDate,IF($R41=0,$X41,IF(AND($T41&lt;&gt;"",EDATE($D41,Milestones!$AA$170)&gt;=$T41),$W41,IF(AND($S41&lt;&gt;"",EDATE($D41,Milestones!$AA$170)&gt;=$S41),$V41,$U41)))=Milestones!$AB$170),UPPER(TEXT(EDATE($D41,Milestones!$AA$170),"dd mmm yy"))&amp;" "&amp;Milestones!$AB$170&amp;" "&amp;Milestones!$AC$170&amp;";  ","")&amp;IF(AND(EDATE($D41,Milestones!$AA$171)&lt;=AsOfDate,IF($R41=0,$X41,IF(AND($T41&lt;&gt;"",EDATE($D41,Milestones!$AA$171)&gt;=$T41),$W41,IF(AND($S41&lt;&gt;"",EDATE($D41,Milestones!$AA$171)&gt;=$S41),$V41,$U41)))=Milestones!$AB$171),UPPER(TEXT(EDATE($D41,Milestones!$AA$171),"dd mmm yy"))&amp;" "&amp;Milestones!$AB$171&amp;" "&amp;Milestones!$AC$171&amp;";  ","")&amp;IF(AND(EDATE($D41,Milestones!$AA$172)&lt;=AsOfDate,IF($R41=0,$X41,IF(AND($T41&lt;&gt;"",EDATE($D41,Milestones!$AA$172)&gt;=$T41),$W41,IF(AND($S41&lt;&gt;"",EDATE($D41,Milestones!$AA$172)&gt;=$S41),$V41,$U41)))=Milestones!$AB$172),UPPER(TEXT(EDATE($D41,Milestones!$AA$172),"dd mmm yy"))&amp;" "&amp;Milestones!$AB$172&amp;" "&amp;Milestones!$AC$172&amp;";  ","")&amp;IF(AND(EDATE($D41,Milestones!$AA$173)&lt;=AsOfDate,IF($R41=0,$X41,IF(AND($T41&lt;&gt;"",EDATE($D41,Milestones!$AA$173)&gt;=$T41),$W41,IF(AND($S41&lt;&gt;"",EDATE($D41,Milestones!$AA$173)&gt;=$S41),$V41,$U41)))=Milestones!$AB$173),UPPER(TEXT(EDATE($D41,Milestones!$AA$173),"dd mmm yy"))&amp;" "&amp;Milestones!$AB$173&amp;" "&amp;Milestones!$AC$173&amp;";  ","")&amp;IF(AND(EDATE($D41,Milestones!$AA$174)&lt;=AsOfDate,IF($R41=0,$X41,IF(AND($T41&lt;&gt;"",EDATE($D41,Milestones!$AA$174)&gt;=$T41),$W41,IF(AND($S41&lt;&gt;"",EDATE($D41,Milestones!$AA$174)&gt;=$S41),$V41,$U41)))=Milestones!$AB$174),UPPER(TEXT(EDATE($D41,Milestones!$AA$174),"dd mmm yy"))&amp;" "&amp;Milestones!$AB$174&amp;" "&amp;Milestones!$AC$174&amp;";  ","")&amp;IF(AND(EDATE($D41,Milestones!$AA$175)&lt;=AsOfDate,IF($R41=0,$X41,IF(AND($T41&lt;&gt;"",EDATE($D41,Milestones!$AA$175)&gt;=$T41),$W41,IF(AND($S41&lt;&gt;"",EDATE($D41,Milestones!$AA$175)&gt;=$S41),$V41,$U41)))=Milestones!$AB$175),UPPER(TEXT(EDATE($D41,Milestones!$AA$175),"dd mmm yy"))&amp;" "&amp;Milestones!$AB$175&amp;" "&amp;Milestones!$AC$175&amp;";  ","")&amp;IF(AND(EDATE($D41,Milestones!$AA$176)&lt;=AsOfDate,IF($R41=0,$X41,IF(AND($T41&lt;&gt;"",EDATE($D41,Milestones!$AA$176)&gt;=$T41),$W41,IF(AND($S41&lt;&gt;"",EDATE($D41,Milestones!$AA$176)&gt;=$S41),$V41,$U41)))=Milestones!$AB$176),UPPER(TEXT(EDATE($D41,Milestones!$AA$176),"dd mmm yy"))&amp;" "&amp;Milestones!$AB$176&amp;" "&amp;Milestones!$AC$176&amp;";  ","")&amp;IF(AND(EDATE($D41,Milestones!$AA$177)&lt;=AsOfDate,IF($R41=0,$X41,IF(AND($T41&lt;&gt;"",EDATE($D41,Milestones!$AA$177)&gt;=$T41),$W41,IF(AND($S41&lt;&gt;"",EDATE($D41,Milestones!$AA$177)&gt;=$S41),$V41,$U41)))=Milestones!$AB$177),UPPER(TEXT(EDATE($D41,Milestones!$AA$177),"dd mmm yy"))&amp;" "&amp;Milestones!$AB$177&amp;" "&amp;Milestones!$AC$177&amp;";  ","")&amp;IF(AND(EDATE($D41,Milestones!$AA$178)&lt;=AsOfDate,IF($R41=0,$X41,IF(AND($T41&lt;&gt;"",EDATE($D41,Milestones!$AA$178)&gt;=$T41),$W41,IF(AND($S41&lt;&gt;"",EDATE($D41,Milestones!$AA$178)&gt;=$S41),$V41,$U41)))=Milestones!$AB$178),UPPER(TEXT(EDATE($D41,Milestones!$AA$178),"dd mmm yy"))&amp;" "&amp;Milestones!$AB$178&amp;" "&amp;Milestones!$AC$178&amp;";  ","")&amp;IF(AND(EDATE($D41,Milestones!$AA$179)&lt;=AsOfDate,IF($R41=0,$X41,IF(AND($T41&lt;&gt;"",EDATE($D41,Milestones!$AA$179)&gt;=$T41),$W41,IF(AND($S41&lt;&gt;"",EDATE($D41,Milestones!$AA$179)&gt;=$S41),$V41,$U41)))=Milestones!$AB$179),UPPER(TEXT(EDATE($D41,Milestones!$AA$179),"dd mmm yy"))&amp;" "&amp;Milestones!$AB$179&amp;" "&amp;Milestones!$AC$179&amp;";  ",""))</f>
        <v/>
      </c>
      <c r="Q41" s="0" t="str">
        <f aca="false">IF(OR($A41="",$D41=""),"",IF(AND(EDATE($D41,Milestones!$AA$180)&lt;=AsOfDate,IF($R41=0,$X41,IF(AND($T41&lt;&gt;"",EDATE($D41,Milestones!$AA$180)&gt;=$T41),$W41,IF(AND($S41&lt;&gt;"",EDATE($D41,Milestones!$AA$180)&gt;=$S41),$V41,$U41)))=Milestones!$AB$180),UPPER(TEXT(EDATE($D41,Milestones!$AA$180),"dd mmm yy"))&amp;" "&amp;Milestones!$AB$180&amp;" "&amp;Milestones!$AC$180&amp;";  ","")&amp;IF(AND(EDATE($D41,Milestones!$AA$181)&lt;=AsOfDate,IF($R41=0,$X41,IF(AND($T41&lt;&gt;"",EDATE($D41,Milestones!$AA$181)&gt;=$T41),$W41,IF(AND($S41&lt;&gt;"",EDATE($D41,Milestones!$AA$181)&gt;=$S41),$V41,$U41)))=Milestones!$AB$181),UPPER(TEXT(EDATE($D41,Milestones!$AA$181),"dd mmm yy"))&amp;" "&amp;Milestones!$AB$181&amp;" "&amp;Milestones!$AC$181&amp;";  ","")&amp;IF(AND(EDATE($D41,Milestones!$AA$182)&lt;=AsOfDate,IF($R41=0,$X41,IF(AND($T41&lt;&gt;"",EDATE($D41,Milestones!$AA$182)&gt;=$T41),$W41,IF(AND($S41&lt;&gt;"",EDATE($D41,Milestones!$AA$182)&gt;=$S41),$V41,$U41)))=Milestones!$AB$182),UPPER(TEXT(EDATE($D41,Milestones!$AA$182),"dd mmm yy"))&amp;" "&amp;Milestones!$AB$182&amp;" "&amp;Milestones!$AC$182&amp;";  ","")&amp;IF(AND(EDATE($D41,Milestones!$AA$183)&lt;=AsOfDate,IF($R41=0,$X41,IF(AND($T41&lt;&gt;"",EDATE($D41,Milestones!$AA$183)&gt;=$T41),$W41,IF(AND($S41&lt;&gt;"",EDATE($D41,Milestones!$AA$183)&gt;=$S41),$V41,$U41)))=Milestones!$AB$183),UPPER(TEXT(EDATE($D41,Milestones!$AA$183),"dd mmm yy"))&amp;" "&amp;Milestones!$AB$183&amp;" "&amp;Milestones!$AC$183&amp;";  ","")&amp;IF(AND(EDATE($D41,Milestones!$AA$184)&lt;=AsOfDate,IF($R41=0,$X41,IF(AND($T41&lt;&gt;"",EDATE($D41,Milestones!$AA$184)&gt;=$T41),$W41,IF(AND($S41&lt;&gt;"",EDATE($D41,Milestones!$AA$184)&gt;=$S41),$V41,$U41)))=Milestones!$AB$184),UPPER(TEXT(EDATE($D41,Milestones!$AA$184),"dd mmm yy"))&amp;" "&amp;Milestones!$AB$184&amp;" "&amp;Milestones!$AC$184&amp;";  ","")&amp;IF(AND(EDATE($D41,Milestones!$AA$185)&lt;=AsOfDate,IF($R41=0,$X41,IF(AND($T41&lt;&gt;"",EDATE($D41,Milestones!$AA$185)&gt;=$T41),$W41,IF(AND($S41&lt;&gt;"",EDATE($D41,Milestones!$AA$185)&gt;=$S41),$V41,$U41)))=Milestones!$AB$185),UPPER(TEXT(EDATE($D41,Milestones!$AA$185),"dd mmm yy"))&amp;" "&amp;Milestones!$AB$185&amp;" "&amp;Milestones!$AC$185&amp;";  ","")&amp;IF(AND(EDATE($D41,Milestones!$AA$186)&lt;=AsOfDate,IF($R41=0,$X41,IF(AND($T41&lt;&gt;"",EDATE($D41,Milestones!$AA$186)&gt;=$T41),$W41,IF(AND($S41&lt;&gt;"",EDATE($D41,Milestones!$AA$186)&gt;=$S41),$V41,$U41)))=Milestones!$AB$186),UPPER(TEXT(EDATE($D41,Milestones!$AA$186),"dd mmm yy"))&amp;" "&amp;Milestones!$AB$186&amp;" "&amp;Milestones!$AC$186&amp;";  ","")&amp;IF(AND(EDATE($D41,Milestones!$AA$187)&lt;=AsOfDate,IF($R41=0,$X41,IF(AND($T41&lt;&gt;"",EDATE($D41,Milestones!$AA$187)&gt;=$T41),$W41,IF(AND($S41&lt;&gt;"",EDATE($D41,Milestones!$AA$187)&gt;=$S41),$V41,$U41)))=Milestones!$AB$187),UPPER(TEXT(EDATE($D41,Milestones!$AA$187),"dd mmm yy"))&amp;" "&amp;Milestones!$AB$187&amp;" "&amp;Milestones!$AC$187&amp;";  ","")&amp;IF(AND(EDATE($D41,Milestones!$AA$188)&lt;=AsOfDate,IF($R41=0,$X41,IF(AND($T41&lt;&gt;"",EDATE($D41,Milestones!$AA$188)&gt;=$T41),$W41,IF(AND($S41&lt;&gt;"",EDATE($D41,Milestones!$AA$188)&gt;=$S41),$V41,$U41)))=Milestones!$AB$188),UPPER(TEXT(EDATE($D41,Milestones!$AA$188),"dd mmm yy"))&amp;" "&amp;Milestones!$AB$188&amp;" "&amp;Milestones!$AC$188&amp;";  ","")&amp;IF(AND(EDATE($D41,Milestones!$AA$189)&lt;=AsOfDate,IF($R41=0,$X41,IF(AND($T41&lt;&gt;"",EDATE($D41,Milestones!$AA$189)&gt;=$T41),$W41,IF(AND($S41&lt;&gt;"",EDATE($D41,Milestones!$AA$189)&gt;=$S41),$V41,$U41)))=Milestones!$AB$189),UPPER(TEXT(EDATE($D41,Milestones!$AA$189),"dd mmm yy"))&amp;" "&amp;Milestones!$AB$189&amp;" "&amp;Milestones!$AC$189&amp;";  ","")&amp;IF(AND(EDATE($D41,Milestones!$AA$190)&lt;=AsOfDate,IF($R41=0,$X41,IF(AND($T41&lt;&gt;"",EDATE($D41,Milestones!$AA$190)&gt;=$T41),$W41,IF(AND($S41&lt;&gt;"",EDATE($D41,Milestones!$AA$190)&gt;=$S41),$V41,$U41)))=Milestones!$AB$190),UPPER(TEXT(EDATE($D41,Milestones!$AA$190),"dd mmm yy"))&amp;" "&amp;Milestones!$AB$190&amp;" "&amp;Milestones!$AC$190&amp;";  ","")&amp;IF(AND(EDATE($D41,Milestones!$AA$191)&lt;=AsOfDate,IF($R41=0,$X41,IF(AND($T41&lt;&gt;"",EDATE($D41,Milestones!$AA$191)&gt;=$T41),$W41,IF(AND($S41&lt;&gt;"",EDATE($D41,Milestones!$AA$191)&gt;=$S41),$V41,$U41)))=Milestones!$AB$191),UPPER(TEXT(EDATE($D41,Milestones!$AA$191),"dd mmm yy"))&amp;" "&amp;Milestones!$AB$191&amp;" "&amp;Milestones!$AC$191&amp;";  ","")&amp;IF(AND(EDATE($D41,Milestones!$AA$192)&lt;=AsOfDate,IF($R41=0,$X41,IF(AND($T41&lt;&gt;"",EDATE($D41,Milestones!$AA$192)&gt;=$T41),$W41,IF(AND($S41&lt;&gt;"",EDATE($D41,Milestones!$AA$192)&gt;=$S41),$V41,$U41)))=Milestones!$AB$192),UPPER(TEXT(EDATE($D41,Milestones!$AA$192),"dd mmm yy"))&amp;" "&amp;Milestones!$AB$192&amp;" "&amp;Milestones!$AC$192&amp;";  ","")&amp;IF(AND(EDATE($D41,Milestones!$AA$193)&lt;=AsOfDate,IF($R41=0,$X41,IF(AND($T41&lt;&gt;"",EDATE($D41,Milestones!$AA$193)&gt;=$T41),$W41,IF(AND($S41&lt;&gt;"",EDATE($D41,Milestones!$AA$193)&gt;=$S41),$V41,$U41)))=Milestones!$AB$193),UPPER(TEXT(EDATE($D41,Milestones!$AA$193),"dd mmm yy"))&amp;" "&amp;Milestones!$AB$193&amp;" "&amp;Milestones!$AC$193&amp;";  ","")&amp;IF(AND(EDATE($D41,Milestones!$AA$194)&lt;=AsOfDate,IF($R41=0,$X41,IF(AND($T41&lt;&gt;"",EDATE($D41,Milestones!$AA$194)&gt;=$T41),$W41,IF(AND($S41&lt;&gt;"",EDATE($D41,Milestones!$AA$194)&gt;=$S41),$V41,$U41)))=Milestones!$AB$194),UPPER(TEXT(EDATE($D41,Milestones!$AA$194),"dd mmm yy"))&amp;" "&amp;Milestones!$AB$194&amp;" "&amp;Milestones!$AC$194&amp;";  ","")&amp;IF(AND(EDATE($D41,Milestones!$AA$195)&lt;=AsOfDate,IF($R41=0,$X41,IF(AND($T41&lt;&gt;"",EDATE($D41,Milestones!$AA$195)&gt;=$T41),$W41,IF(AND($S41&lt;&gt;"",EDATE($D41,Milestones!$AA$195)&gt;=$S41),$V41,$U41)))=Milestones!$AB$195),UPPER(TEXT(EDATE($D41,Milestones!$AA$195),"dd mmm yy"))&amp;" "&amp;Milestones!$AB$195&amp;" "&amp;Milestones!$AC$195&amp;";  ","")&amp;IF(AND(EDATE($D41,Milestones!$AA$196)&lt;=AsOfDate,IF($R41=0,$X41,IF(AND($T41&lt;&gt;"",EDATE($D41,Milestones!$AA$196)&gt;=$T41),$W41,IF(AND($S41&lt;&gt;"",EDATE($D41,Milestones!$AA$196)&gt;=$S41),$V41,$U41)))=Milestones!$AB$196),UPPER(TEXT(EDATE($D41,Milestones!$AA$196),"dd mmm yy"))&amp;" "&amp;Milestones!$AB$196&amp;" "&amp;Milestones!$AC$196&amp;";  ","")&amp;IF(AND(EDATE($D41,Milestones!$AA$197)&lt;=AsOfDate,IF($R41=0,$X41,IF(AND($T41&lt;&gt;"",EDATE($D41,Milestones!$AA$197)&gt;=$T41),$W41,IF(AND($S41&lt;&gt;"",EDATE($D41,Milestones!$AA$197)&gt;=$S41),$V41,$U41)))=Milestones!$AB$197),UPPER(TEXT(EDATE($D41,Milestones!$AA$197),"dd mmm yy"))&amp;" "&amp;Milestones!$AB$197&amp;" "&amp;Milestones!$AC$197&amp;";  ","")&amp;IF(AND(EDATE($D41,Milestones!$AA$198)&lt;=AsOfDate,IF($R41=0,$X41,IF(AND($T41&lt;&gt;"",EDATE($D41,Milestones!$AA$198)&gt;=$T41),$W41,IF(AND($S41&lt;&gt;"",EDATE($D41,Milestones!$AA$198)&gt;=$S41),$V41,$U41)))=Milestones!$AB$198),UPPER(TEXT(EDATE($D41,Milestones!$AA$198),"dd mmm yy"))&amp;" "&amp;Milestones!$AB$198&amp;" "&amp;Milestones!$AC$198&amp;";  ","")&amp;IF(AND(EDATE($D41,Milestones!$AA$199)&lt;=AsOfDate,IF($R41=0,$X41,IF(AND($T41&lt;&gt;"",EDATE($D41,Milestones!$AA$199)&gt;=$T41),$W41,IF(AND($S41&lt;&gt;"",EDATE($D41,Milestones!$AA$199)&gt;=$S41),$V41,$U41)))=Milestones!$AB$199),UPPER(TEXT(EDATE($D41,Milestones!$AA$199),"dd mmm yy"))&amp;" "&amp;Milestones!$AB$199&amp;" "&amp;Milestones!$AC$199&amp;";  ",""))</f>
        <v/>
      </c>
      <c r="R41" s="33" t="n">
        <f aca="false">IF(Staff!$A41="","",Staff!$AI41)</f>
        <v>0</v>
      </c>
      <c r="S41" s="0" t="str">
        <f aca="false">IF(Staff!$A41="","",Staff!$AK41)</f>
        <v/>
      </c>
      <c r="T41" s="0" t="str">
        <f aca="false">IF(Staff!$A41="","",Staff!$AL41)</f>
        <v/>
      </c>
      <c r="U41" s="0" t="str">
        <f aca="false">IF(Staff!$A41="","",Staff!$AP41)</f>
        <v>None</v>
      </c>
      <c r="V41" s="0" t="str">
        <f aca="false">IF(Staff!$A41="","",Staff!$AQ41)</f>
        <v/>
      </c>
      <c r="W41" s="0" t="str">
        <f aca="false">IF(Staff!$A41="","",Staff!$AR41)</f>
        <v/>
      </c>
      <c r="X41" s="0" t="str">
        <f aca="false">IF(Staff!$A41="","",Staff!$AS41)</f>
        <v>None</v>
      </c>
    </row>
    <row r="42" customFormat="false" ht="15" hidden="false" customHeight="false" outlineLevel="0" collapsed="false">
      <c r="A42" s="19" t="str">
        <f aca="false">IF(Staff!$A42="","",Staff!$A42)</f>
        <v>Jeremy</v>
      </c>
      <c r="B42" s="19" t="str">
        <f aca="false">IF(Staff!$A42="","",Staff!$B42)</f>
        <v>Alysandratos</v>
      </c>
      <c r="C42" s="19" t="str">
        <f aca="false">IF(Staff!$A42="","",Staff!$C42)</f>
        <v>Casual</v>
      </c>
      <c r="D42" s="17" t="n">
        <f aca="false">IF(Staff!$A42="","",Staff!$AH42)</f>
        <v>46062</v>
      </c>
      <c r="E42" s="20" t="n">
        <f aca="false">IF(Staff!$A42="","",Staff!$O42)</f>
        <v>0</v>
      </c>
      <c r="F42" s="19" t="n">
        <f aca="false">IF(E42="","",E42*HoursPerDay)</f>
        <v>0</v>
      </c>
      <c r="G42" s="20" t="n">
        <f aca="false">IF(Staff!$A42="","",Staff!$AE42)</f>
        <v>0</v>
      </c>
      <c r="H42" s="32" t="str">
        <f aca="false">IF($A42="","",I42&amp;J42&amp;K42&amp;L42&amp;M42&amp;N42&amp;O42&amp;P42&amp;Q42)</f>
        <v/>
      </c>
      <c r="I42" s="0" t="str">
        <f aca="false">IF(OR($A42="",$D42=""),"",IF(AND(EDATE($D42,Milestones!$AA$20)&lt;=AsOfDate,IF($R42=0,$X42,IF(AND($T42&lt;&gt;"",EDATE($D42,Milestones!$AA$20)&gt;=$T42),$W42,IF(AND($S42&lt;&gt;"",EDATE($D42,Milestones!$AA$20)&gt;=$S42),$V42,$U42)))=Milestones!$AB$20),UPPER(TEXT(EDATE($D42,Milestones!$AA$20),"dd mmm yy"))&amp;" "&amp;Milestones!$AB$20&amp;" "&amp;Milestones!$AC$20&amp;";  ","")&amp;IF(AND(EDATE($D42,Milestones!$AA$21)&lt;=AsOfDate,IF($R42=0,$X42,IF(AND($T42&lt;&gt;"",EDATE($D42,Milestones!$AA$21)&gt;=$T42),$W42,IF(AND($S42&lt;&gt;"",EDATE($D42,Milestones!$AA$21)&gt;=$S42),$V42,$U42)))=Milestones!$AB$21),UPPER(TEXT(EDATE($D42,Milestones!$AA$21),"dd mmm yy"))&amp;" "&amp;Milestones!$AB$21&amp;" "&amp;Milestones!$AC$21&amp;";  ","")&amp;IF(AND(EDATE($D42,Milestones!$AA$22)&lt;=AsOfDate,IF($R42=0,$X42,IF(AND($T42&lt;&gt;"",EDATE($D42,Milestones!$AA$22)&gt;=$T42),$W42,IF(AND($S42&lt;&gt;"",EDATE($D42,Milestones!$AA$22)&gt;=$S42),$V42,$U42)))=Milestones!$AB$22),UPPER(TEXT(EDATE($D42,Milestones!$AA$22),"dd mmm yy"))&amp;" "&amp;Milestones!$AB$22&amp;" "&amp;Milestones!$AC$22&amp;";  ","")&amp;IF(AND(EDATE($D42,Milestones!$AA$23)&lt;=AsOfDate,IF($R42=0,$X42,IF(AND($T42&lt;&gt;"",EDATE($D42,Milestones!$AA$23)&gt;=$T42),$W42,IF(AND($S42&lt;&gt;"",EDATE($D42,Milestones!$AA$23)&gt;=$S42),$V42,$U42)))=Milestones!$AB$23),UPPER(TEXT(EDATE($D42,Milestones!$AA$23),"dd mmm yy"))&amp;" "&amp;Milestones!$AB$23&amp;" "&amp;Milestones!$AC$23&amp;";  ","")&amp;IF(AND(EDATE($D42,Milestones!$AA$24)&lt;=AsOfDate,IF($R42=0,$X42,IF(AND($T42&lt;&gt;"",EDATE($D42,Milestones!$AA$24)&gt;=$T42),$W42,IF(AND($S42&lt;&gt;"",EDATE($D42,Milestones!$AA$24)&gt;=$S42),$V42,$U42)))=Milestones!$AB$24),UPPER(TEXT(EDATE($D42,Milestones!$AA$24),"dd mmm yy"))&amp;" "&amp;Milestones!$AB$24&amp;" "&amp;Milestones!$AC$24&amp;";  ","")&amp;IF(AND(EDATE($D42,Milestones!$AA$25)&lt;=AsOfDate,IF($R42=0,$X42,IF(AND($T42&lt;&gt;"",EDATE($D42,Milestones!$AA$25)&gt;=$T42),$W42,IF(AND($S42&lt;&gt;"",EDATE($D42,Milestones!$AA$25)&gt;=$S42),$V42,$U42)))=Milestones!$AB$25),UPPER(TEXT(EDATE($D42,Milestones!$AA$25),"dd mmm yy"))&amp;" "&amp;Milestones!$AB$25&amp;" "&amp;Milestones!$AC$25&amp;";  ","")&amp;IF(AND(EDATE($D42,Milestones!$AA$26)&lt;=AsOfDate,IF($R42=0,$X42,IF(AND($T42&lt;&gt;"",EDATE($D42,Milestones!$AA$26)&gt;=$T42),$W42,IF(AND($S42&lt;&gt;"",EDATE($D42,Milestones!$AA$26)&gt;=$S42),$V42,$U42)))=Milestones!$AB$26),UPPER(TEXT(EDATE($D42,Milestones!$AA$26),"dd mmm yy"))&amp;" "&amp;Milestones!$AB$26&amp;" "&amp;Milestones!$AC$26&amp;";  ","")&amp;IF(AND(EDATE($D42,Milestones!$AA$27)&lt;=AsOfDate,IF($R42=0,$X42,IF(AND($T42&lt;&gt;"",EDATE($D42,Milestones!$AA$27)&gt;=$T42),$W42,IF(AND($S42&lt;&gt;"",EDATE($D42,Milestones!$AA$27)&gt;=$S42),$V42,$U42)))=Milestones!$AB$27),UPPER(TEXT(EDATE($D42,Milestones!$AA$27),"dd mmm yy"))&amp;" "&amp;Milestones!$AB$27&amp;" "&amp;Milestones!$AC$27&amp;";  ","")&amp;IF(AND(EDATE($D42,Milestones!$AA$28)&lt;=AsOfDate,IF($R42=0,$X42,IF(AND($T42&lt;&gt;"",EDATE($D42,Milestones!$AA$28)&gt;=$T42),$W42,IF(AND($S42&lt;&gt;"",EDATE($D42,Milestones!$AA$28)&gt;=$S42),$V42,$U42)))=Milestones!$AB$28),UPPER(TEXT(EDATE($D42,Milestones!$AA$28),"dd mmm yy"))&amp;" "&amp;Milestones!$AB$28&amp;" "&amp;Milestones!$AC$28&amp;";  ","")&amp;IF(AND(EDATE($D42,Milestones!$AA$29)&lt;=AsOfDate,IF($R42=0,$X42,IF(AND($T42&lt;&gt;"",EDATE($D42,Milestones!$AA$29)&gt;=$T42),$W42,IF(AND($S42&lt;&gt;"",EDATE($D42,Milestones!$AA$29)&gt;=$S42),$V42,$U42)))=Milestones!$AB$29),UPPER(TEXT(EDATE($D42,Milestones!$AA$29),"dd mmm yy"))&amp;" "&amp;Milestones!$AB$29&amp;" "&amp;Milestones!$AC$29&amp;";  ","")&amp;IF(AND(EDATE($D42,Milestones!$AA$30)&lt;=AsOfDate,IF($R42=0,$X42,IF(AND($T42&lt;&gt;"",EDATE($D42,Milestones!$AA$30)&gt;=$T42),$W42,IF(AND($S42&lt;&gt;"",EDATE($D42,Milestones!$AA$30)&gt;=$S42),$V42,$U42)))=Milestones!$AB$30),UPPER(TEXT(EDATE($D42,Milestones!$AA$30),"dd mmm yy"))&amp;" "&amp;Milestones!$AB$30&amp;" "&amp;Milestones!$AC$30&amp;";  ","")&amp;IF(AND(EDATE($D42,Milestones!$AA$31)&lt;=AsOfDate,IF($R42=0,$X42,IF(AND($T42&lt;&gt;"",EDATE($D42,Milestones!$AA$31)&gt;=$T42),$W42,IF(AND($S42&lt;&gt;"",EDATE($D42,Milestones!$AA$31)&gt;=$S42),$V42,$U42)))=Milestones!$AB$31),UPPER(TEXT(EDATE($D42,Milestones!$AA$31),"dd mmm yy"))&amp;" "&amp;Milestones!$AB$31&amp;" "&amp;Milestones!$AC$31&amp;";  ","")&amp;IF(AND(EDATE($D42,Milestones!$AA$32)&lt;=AsOfDate,IF($R42=0,$X42,IF(AND($T42&lt;&gt;"",EDATE($D42,Milestones!$AA$32)&gt;=$T42),$W42,IF(AND($S42&lt;&gt;"",EDATE($D42,Milestones!$AA$32)&gt;=$S42),$V42,$U42)))=Milestones!$AB$32),UPPER(TEXT(EDATE($D42,Milestones!$AA$32),"dd mmm yy"))&amp;" "&amp;Milestones!$AB$32&amp;" "&amp;Milestones!$AC$32&amp;";  ","")&amp;IF(AND(EDATE($D42,Milestones!$AA$33)&lt;=AsOfDate,IF($R42=0,$X42,IF(AND($T42&lt;&gt;"",EDATE($D42,Milestones!$AA$33)&gt;=$T42),$W42,IF(AND($S42&lt;&gt;"",EDATE($D42,Milestones!$AA$33)&gt;=$S42),$V42,$U42)))=Milestones!$AB$33),UPPER(TEXT(EDATE($D42,Milestones!$AA$33),"dd mmm yy"))&amp;" "&amp;Milestones!$AB$33&amp;" "&amp;Milestones!$AC$33&amp;";  ","")&amp;IF(AND(EDATE($D42,Milestones!$AA$34)&lt;=AsOfDate,IF($R42=0,$X42,IF(AND($T42&lt;&gt;"",EDATE($D42,Milestones!$AA$34)&gt;=$T42),$W42,IF(AND($S42&lt;&gt;"",EDATE($D42,Milestones!$AA$34)&gt;=$S42),$V42,$U42)))=Milestones!$AB$34),UPPER(TEXT(EDATE($D42,Milestones!$AA$34),"dd mmm yy"))&amp;" "&amp;Milestones!$AB$34&amp;" "&amp;Milestones!$AC$34&amp;";  ","")&amp;IF(AND(EDATE($D42,Milestones!$AA$35)&lt;=AsOfDate,IF($R42=0,$X42,IF(AND($T42&lt;&gt;"",EDATE($D42,Milestones!$AA$35)&gt;=$T42),$W42,IF(AND($S42&lt;&gt;"",EDATE($D42,Milestones!$AA$35)&gt;=$S42),$V42,$U42)))=Milestones!$AB$35),UPPER(TEXT(EDATE($D42,Milestones!$AA$35),"dd mmm yy"))&amp;" "&amp;Milestones!$AB$35&amp;" "&amp;Milestones!$AC$35&amp;";  ","")&amp;IF(AND(EDATE($D42,Milestones!$AA$36)&lt;=AsOfDate,IF($R42=0,$X42,IF(AND($T42&lt;&gt;"",EDATE($D42,Milestones!$AA$36)&gt;=$T42),$W42,IF(AND($S42&lt;&gt;"",EDATE($D42,Milestones!$AA$36)&gt;=$S42),$V42,$U42)))=Milestones!$AB$36),UPPER(TEXT(EDATE($D42,Milestones!$AA$36),"dd mmm yy"))&amp;" "&amp;Milestones!$AB$36&amp;" "&amp;Milestones!$AC$36&amp;";  ","")&amp;IF(AND(EDATE($D42,Milestones!$AA$37)&lt;=AsOfDate,IF($R42=0,$X42,IF(AND($T42&lt;&gt;"",EDATE($D42,Milestones!$AA$37)&gt;=$T42),$W42,IF(AND($S42&lt;&gt;"",EDATE($D42,Milestones!$AA$37)&gt;=$S42),$V42,$U42)))=Milestones!$AB$37),UPPER(TEXT(EDATE($D42,Milestones!$AA$37),"dd mmm yy"))&amp;" "&amp;Milestones!$AB$37&amp;" "&amp;Milestones!$AC$37&amp;";  ","")&amp;IF(AND(EDATE($D42,Milestones!$AA$38)&lt;=AsOfDate,IF($R42=0,$X42,IF(AND($T42&lt;&gt;"",EDATE($D42,Milestones!$AA$38)&gt;=$T42),$W42,IF(AND($S42&lt;&gt;"",EDATE($D42,Milestones!$AA$38)&gt;=$S42),$V42,$U42)))=Milestones!$AB$38),UPPER(TEXT(EDATE($D42,Milestones!$AA$38),"dd mmm yy"))&amp;" "&amp;Milestones!$AB$38&amp;" "&amp;Milestones!$AC$38&amp;";  ","")&amp;IF(AND(EDATE($D42,Milestones!$AA$39)&lt;=AsOfDate,IF($R42=0,$X42,IF(AND($T42&lt;&gt;"",EDATE($D42,Milestones!$AA$39)&gt;=$T42),$W42,IF(AND($S42&lt;&gt;"",EDATE($D42,Milestones!$AA$39)&gt;=$S42),$V42,$U42)))=Milestones!$AB$39),UPPER(TEXT(EDATE($D42,Milestones!$AA$39),"dd mmm yy"))&amp;" "&amp;Milestones!$AB$39&amp;" "&amp;Milestones!$AC$39&amp;";  ",""))</f>
        <v/>
      </c>
      <c r="J42" s="0" t="str">
        <f aca="false">IF(OR($A42="",$D42=""),"",IF(AND(EDATE($D42,Milestones!$AA$40)&lt;=AsOfDate,IF($R42=0,$X42,IF(AND($T42&lt;&gt;"",EDATE($D42,Milestones!$AA$40)&gt;=$T42),$W42,IF(AND($S42&lt;&gt;"",EDATE($D42,Milestones!$AA$40)&gt;=$S42),$V42,$U42)))=Milestones!$AB$40),UPPER(TEXT(EDATE($D42,Milestones!$AA$40),"dd mmm yy"))&amp;" "&amp;Milestones!$AB$40&amp;" "&amp;Milestones!$AC$40&amp;";  ","")&amp;IF(AND(EDATE($D42,Milestones!$AA$41)&lt;=AsOfDate,IF($R42=0,$X42,IF(AND($T42&lt;&gt;"",EDATE($D42,Milestones!$AA$41)&gt;=$T42),$W42,IF(AND($S42&lt;&gt;"",EDATE($D42,Milestones!$AA$41)&gt;=$S42),$V42,$U42)))=Milestones!$AB$41),UPPER(TEXT(EDATE($D42,Milestones!$AA$41),"dd mmm yy"))&amp;" "&amp;Milestones!$AB$41&amp;" "&amp;Milestones!$AC$41&amp;";  ","")&amp;IF(AND(EDATE($D42,Milestones!$AA$42)&lt;=AsOfDate,IF($R42=0,$X42,IF(AND($T42&lt;&gt;"",EDATE($D42,Milestones!$AA$42)&gt;=$T42),$W42,IF(AND($S42&lt;&gt;"",EDATE($D42,Milestones!$AA$42)&gt;=$S42),$V42,$U42)))=Milestones!$AB$42),UPPER(TEXT(EDATE($D42,Milestones!$AA$42),"dd mmm yy"))&amp;" "&amp;Milestones!$AB$42&amp;" "&amp;Milestones!$AC$42&amp;";  ","")&amp;IF(AND(EDATE($D42,Milestones!$AA$43)&lt;=AsOfDate,IF($R42=0,$X42,IF(AND($T42&lt;&gt;"",EDATE($D42,Milestones!$AA$43)&gt;=$T42),$W42,IF(AND($S42&lt;&gt;"",EDATE($D42,Milestones!$AA$43)&gt;=$S42),$V42,$U42)))=Milestones!$AB$43),UPPER(TEXT(EDATE($D42,Milestones!$AA$43),"dd mmm yy"))&amp;" "&amp;Milestones!$AB$43&amp;" "&amp;Milestones!$AC$43&amp;";  ","")&amp;IF(AND(EDATE($D42,Milestones!$AA$44)&lt;=AsOfDate,IF($R42=0,$X42,IF(AND($T42&lt;&gt;"",EDATE($D42,Milestones!$AA$44)&gt;=$T42),$W42,IF(AND($S42&lt;&gt;"",EDATE($D42,Milestones!$AA$44)&gt;=$S42),$V42,$U42)))=Milestones!$AB$44),UPPER(TEXT(EDATE($D42,Milestones!$AA$44),"dd mmm yy"))&amp;" "&amp;Milestones!$AB$44&amp;" "&amp;Milestones!$AC$44&amp;";  ","")&amp;IF(AND(EDATE($D42,Milestones!$AA$45)&lt;=AsOfDate,IF($R42=0,$X42,IF(AND($T42&lt;&gt;"",EDATE($D42,Milestones!$AA$45)&gt;=$T42),$W42,IF(AND($S42&lt;&gt;"",EDATE($D42,Milestones!$AA$45)&gt;=$S42),$V42,$U42)))=Milestones!$AB$45),UPPER(TEXT(EDATE($D42,Milestones!$AA$45),"dd mmm yy"))&amp;" "&amp;Milestones!$AB$45&amp;" "&amp;Milestones!$AC$45&amp;";  ","")&amp;IF(AND(EDATE($D42,Milestones!$AA$46)&lt;=AsOfDate,IF($R42=0,$X42,IF(AND($T42&lt;&gt;"",EDATE($D42,Milestones!$AA$46)&gt;=$T42),$W42,IF(AND($S42&lt;&gt;"",EDATE($D42,Milestones!$AA$46)&gt;=$S42),$V42,$U42)))=Milestones!$AB$46),UPPER(TEXT(EDATE($D42,Milestones!$AA$46),"dd mmm yy"))&amp;" "&amp;Milestones!$AB$46&amp;" "&amp;Milestones!$AC$46&amp;";  ","")&amp;IF(AND(EDATE($D42,Milestones!$AA$47)&lt;=AsOfDate,IF($R42=0,$X42,IF(AND($T42&lt;&gt;"",EDATE($D42,Milestones!$AA$47)&gt;=$T42),$W42,IF(AND($S42&lt;&gt;"",EDATE($D42,Milestones!$AA$47)&gt;=$S42),$V42,$U42)))=Milestones!$AB$47),UPPER(TEXT(EDATE($D42,Milestones!$AA$47),"dd mmm yy"))&amp;" "&amp;Milestones!$AB$47&amp;" "&amp;Milestones!$AC$47&amp;";  ","")&amp;IF(AND(EDATE($D42,Milestones!$AA$48)&lt;=AsOfDate,IF($R42=0,$X42,IF(AND($T42&lt;&gt;"",EDATE($D42,Milestones!$AA$48)&gt;=$T42),$W42,IF(AND($S42&lt;&gt;"",EDATE($D42,Milestones!$AA$48)&gt;=$S42),$V42,$U42)))=Milestones!$AB$48),UPPER(TEXT(EDATE($D42,Milestones!$AA$48),"dd mmm yy"))&amp;" "&amp;Milestones!$AB$48&amp;" "&amp;Milestones!$AC$48&amp;";  ","")&amp;IF(AND(EDATE($D42,Milestones!$AA$49)&lt;=AsOfDate,IF($R42=0,$X42,IF(AND($T42&lt;&gt;"",EDATE($D42,Milestones!$AA$49)&gt;=$T42),$W42,IF(AND($S42&lt;&gt;"",EDATE($D42,Milestones!$AA$49)&gt;=$S42),$V42,$U42)))=Milestones!$AB$49),UPPER(TEXT(EDATE($D42,Milestones!$AA$49),"dd mmm yy"))&amp;" "&amp;Milestones!$AB$49&amp;" "&amp;Milestones!$AC$49&amp;";  ","")&amp;IF(AND(EDATE($D42,Milestones!$AA$50)&lt;=AsOfDate,IF($R42=0,$X42,IF(AND($T42&lt;&gt;"",EDATE($D42,Milestones!$AA$50)&gt;=$T42),$W42,IF(AND($S42&lt;&gt;"",EDATE($D42,Milestones!$AA$50)&gt;=$S42),$V42,$U42)))=Milestones!$AB$50),UPPER(TEXT(EDATE($D42,Milestones!$AA$50),"dd mmm yy"))&amp;" "&amp;Milestones!$AB$50&amp;" "&amp;Milestones!$AC$50&amp;";  ","")&amp;IF(AND(EDATE($D42,Milestones!$AA$51)&lt;=AsOfDate,IF($R42=0,$X42,IF(AND($T42&lt;&gt;"",EDATE($D42,Milestones!$AA$51)&gt;=$T42),$W42,IF(AND($S42&lt;&gt;"",EDATE($D42,Milestones!$AA$51)&gt;=$S42),$V42,$U42)))=Milestones!$AB$51),UPPER(TEXT(EDATE($D42,Milestones!$AA$51),"dd mmm yy"))&amp;" "&amp;Milestones!$AB$51&amp;" "&amp;Milestones!$AC$51&amp;";  ","")&amp;IF(AND(EDATE($D42,Milestones!$AA$52)&lt;=AsOfDate,IF($R42=0,$X42,IF(AND($T42&lt;&gt;"",EDATE($D42,Milestones!$AA$52)&gt;=$T42),$W42,IF(AND($S42&lt;&gt;"",EDATE($D42,Milestones!$AA$52)&gt;=$S42),$V42,$U42)))=Milestones!$AB$52),UPPER(TEXT(EDATE($D42,Milestones!$AA$52),"dd mmm yy"))&amp;" "&amp;Milestones!$AB$52&amp;" "&amp;Milestones!$AC$52&amp;";  ","")&amp;IF(AND(EDATE($D42,Milestones!$AA$53)&lt;=AsOfDate,IF($R42=0,$X42,IF(AND($T42&lt;&gt;"",EDATE($D42,Milestones!$AA$53)&gt;=$T42),$W42,IF(AND($S42&lt;&gt;"",EDATE($D42,Milestones!$AA$53)&gt;=$S42),$V42,$U42)))=Milestones!$AB$53),UPPER(TEXT(EDATE($D42,Milestones!$AA$53),"dd mmm yy"))&amp;" "&amp;Milestones!$AB$53&amp;" "&amp;Milestones!$AC$53&amp;";  ","")&amp;IF(AND(EDATE($D42,Milestones!$AA$54)&lt;=AsOfDate,IF($R42=0,$X42,IF(AND($T42&lt;&gt;"",EDATE($D42,Milestones!$AA$54)&gt;=$T42),$W42,IF(AND($S42&lt;&gt;"",EDATE($D42,Milestones!$AA$54)&gt;=$S42),$V42,$U42)))=Milestones!$AB$54),UPPER(TEXT(EDATE($D42,Milestones!$AA$54),"dd mmm yy"))&amp;" "&amp;Milestones!$AB$54&amp;" "&amp;Milestones!$AC$54&amp;";  ","")&amp;IF(AND(EDATE($D42,Milestones!$AA$55)&lt;=AsOfDate,IF($R42=0,$X42,IF(AND($T42&lt;&gt;"",EDATE($D42,Milestones!$AA$55)&gt;=$T42),$W42,IF(AND($S42&lt;&gt;"",EDATE($D42,Milestones!$AA$55)&gt;=$S42),$V42,$U42)))=Milestones!$AB$55),UPPER(TEXT(EDATE($D42,Milestones!$AA$55),"dd mmm yy"))&amp;" "&amp;Milestones!$AB$55&amp;" "&amp;Milestones!$AC$55&amp;";  ","")&amp;IF(AND(EDATE($D42,Milestones!$AA$56)&lt;=AsOfDate,IF($R42=0,$X42,IF(AND($T42&lt;&gt;"",EDATE($D42,Milestones!$AA$56)&gt;=$T42),$W42,IF(AND($S42&lt;&gt;"",EDATE($D42,Milestones!$AA$56)&gt;=$S42),$V42,$U42)))=Milestones!$AB$56),UPPER(TEXT(EDATE($D42,Milestones!$AA$56),"dd mmm yy"))&amp;" "&amp;Milestones!$AB$56&amp;" "&amp;Milestones!$AC$56&amp;";  ","")&amp;IF(AND(EDATE($D42,Milestones!$AA$57)&lt;=AsOfDate,IF($R42=0,$X42,IF(AND($T42&lt;&gt;"",EDATE($D42,Milestones!$AA$57)&gt;=$T42),$W42,IF(AND($S42&lt;&gt;"",EDATE($D42,Milestones!$AA$57)&gt;=$S42),$V42,$U42)))=Milestones!$AB$57),UPPER(TEXT(EDATE($D42,Milestones!$AA$57),"dd mmm yy"))&amp;" "&amp;Milestones!$AB$57&amp;" "&amp;Milestones!$AC$57&amp;";  ","")&amp;IF(AND(EDATE($D42,Milestones!$AA$58)&lt;=AsOfDate,IF($R42=0,$X42,IF(AND($T42&lt;&gt;"",EDATE($D42,Milestones!$AA$58)&gt;=$T42),$W42,IF(AND($S42&lt;&gt;"",EDATE($D42,Milestones!$AA$58)&gt;=$S42),$V42,$U42)))=Milestones!$AB$58),UPPER(TEXT(EDATE($D42,Milestones!$AA$58),"dd mmm yy"))&amp;" "&amp;Milestones!$AB$58&amp;" "&amp;Milestones!$AC$58&amp;";  ","")&amp;IF(AND(EDATE($D42,Milestones!$AA$59)&lt;=AsOfDate,IF($R42=0,$X42,IF(AND($T42&lt;&gt;"",EDATE($D42,Milestones!$AA$59)&gt;=$T42),$W42,IF(AND($S42&lt;&gt;"",EDATE($D42,Milestones!$AA$59)&gt;=$S42),$V42,$U42)))=Milestones!$AB$59),UPPER(TEXT(EDATE($D42,Milestones!$AA$59),"dd mmm yy"))&amp;" "&amp;Milestones!$AB$59&amp;" "&amp;Milestones!$AC$59&amp;";  ",""))</f>
        <v/>
      </c>
      <c r="K42" s="0" t="str">
        <f aca="false">IF(OR($A42="",$D42=""),"",IF(AND(EDATE($D42,Milestones!$AA$60)&lt;=AsOfDate,IF($R42=0,$X42,IF(AND($T42&lt;&gt;"",EDATE($D42,Milestones!$AA$60)&gt;=$T42),$W42,IF(AND($S42&lt;&gt;"",EDATE($D42,Milestones!$AA$60)&gt;=$S42),$V42,$U42)))=Milestones!$AB$60),UPPER(TEXT(EDATE($D42,Milestones!$AA$60),"dd mmm yy"))&amp;" "&amp;Milestones!$AB$60&amp;" "&amp;Milestones!$AC$60&amp;";  ","")&amp;IF(AND(EDATE($D42,Milestones!$AA$61)&lt;=AsOfDate,IF($R42=0,$X42,IF(AND($T42&lt;&gt;"",EDATE($D42,Milestones!$AA$61)&gt;=$T42),$W42,IF(AND($S42&lt;&gt;"",EDATE($D42,Milestones!$AA$61)&gt;=$S42),$V42,$U42)))=Milestones!$AB$61),UPPER(TEXT(EDATE($D42,Milestones!$AA$61),"dd mmm yy"))&amp;" "&amp;Milestones!$AB$61&amp;" "&amp;Milestones!$AC$61&amp;";  ","")&amp;IF(AND(EDATE($D42,Milestones!$AA$62)&lt;=AsOfDate,IF($R42=0,$X42,IF(AND($T42&lt;&gt;"",EDATE($D42,Milestones!$AA$62)&gt;=$T42),$W42,IF(AND($S42&lt;&gt;"",EDATE($D42,Milestones!$AA$62)&gt;=$S42),$V42,$U42)))=Milestones!$AB$62),UPPER(TEXT(EDATE($D42,Milestones!$AA$62),"dd mmm yy"))&amp;" "&amp;Milestones!$AB$62&amp;" "&amp;Milestones!$AC$62&amp;";  ","")&amp;IF(AND(EDATE($D42,Milestones!$AA$63)&lt;=AsOfDate,IF($R42=0,$X42,IF(AND($T42&lt;&gt;"",EDATE($D42,Milestones!$AA$63)&gt;=$T42),$W42,IF(AND($S42&lt;&gt;"",EDATE($D42,Milestones!$AA$63)&gt;=$S42),$V42,$U42)))=Milestones!$AB$63),UPPER(TEXT(EDATE($D42,Milestones!$AA$63),"dd mmm yy"))&amp;" "&amp;Milestones!$AB$63&amp;" "&amp;Milestones!$AC$63&amp;";  ","")&amp;IF(AND(EDATE($D42,Milestones!$AA$64)&lt;=AsOfDate,IF($R42=0,$X42,IF(AND($T42&lt;&gt;"",EDATE($D42,Milestones!$AA$64)&gt;=$T42),$W42,IF(AND($S42&lt;&gt;"",EDATE($D42,Milestones!$AA$64)&gt;=$S42),$V42,$U42)))=Milestones!$AB$64),UPPER(TEXT(EDATE($D42,Milestones!$AA$64),"dd mmm yy"))&amp;" "&amp;Milestones!$AB$64&amp;" "&amp;Milestones!$AC$64&amp;";  ","")&amp;IF(AND(EDATE($D42,Milestones!$AA$65)&lt;=AsOfDate,IF($R42=0,$X42,IF(AND($T42&lt;&gt;"",EDATE($D42,Milestones!$AA$65)&gt;=$T42),$W42,IF(AND($S42&lt;&gt;"",EDATE($D42,Milestones!$AA$65)&gt;=$S42),$V42,$U42)))=Milestones!$AB$65),UPPER(TEXT(EDATE($D42,Milestones!$AA$65),"dd mmm yy"))&amp;" "&amp;Milestones!$AB$65&amp;" "&amp;Milestones!$AC$65&amp;";  ","")&amp;IF(AND(EDATE($D42,Milestones!$AA$66)&lt;=AsOfDate,IF($R42=0,$X42,IF(AND($T42&lt;&gt;"",EDATE($D42,Milestones!$AA$66)&gt;=$T42),$W42,IF(AND($S42&lt;&gt;"",EDATE($D42,Milestones!$AA$66)&gt;=$S42),$V42,$U42)))=Milestones!$AB$66),UPPER(TEXT(EDATE($D42,Milestones!$AA$66),"dd mmm yy"))&amp;" "&amp;Milestones!$AB$66&amp;" "&amp;Milestones!$AC$66&amp;";  ","")&amp;IF(AND(EDATE($D42,Milestones!$AA$67)&lt;=AsOfDate,IF($R42=0,$X42,IF(AND($T42&lt;&gt;"",EDATE($D42,Milestones!$AA$67)&gt;=$T42),$W42,IF(AND($S42&lt;&gt;"",EDATE($D42,Milestones!$AA$67)&gt;=$S42),$V42,$U42)))=Milestones!$AB$67),UPPER(TEXT(EDATE($D42,Milestones!$AA$67),"dd mmm yy"))&amp;" "&amp;Milestones!$AB$67&amp;" "&amp;Milestones!$AC$67&amp;";  ","")&amp;IF(AND(EDATE($D42,Milestones!$AA$68)&lt;=AsOfDate,IF($R42=0,$X42,IF(AND($T42&lt;&gt;"",EDATE($D42,Milestones!$AA$68)&gt;=$T42),$W42,IF(AND($S42&lt;&gt;"",EDATE($D42,Milestones!$AA$68)&gt;=$S42),$V42,$U42)))=Milestones!$AB$68),UPPER(TEXT(EDATE($D42,Milestones!$AA$68),"dd mmm yy"))&amp;" "&amp;Milestones!$AB$68&amp;" "&amp;Milestones!$AC$68&amp;";  ","")&amp;IF(AND(EDATE($D42,Milestones!$AA$69)&lt;=AsOfDate,IF($R42=0,$X42,IF(AND($T42&lt;&gt;"",EDATE($D42,Milestones!$AA$69)&gt;=$T42),$W42,IF(AND($S42&lt;&gt;"",EDATE($D42,Milestones!$AA$69)&gt;=$S42),$V42,$U42)))=Milestones!$AB$69),UPPER(TEXT(EDATE($D42,Milestones!$AA$69),"dd mmm yy"))&amp;" "&amp;Milestones!$AB$69&amp;" "&amp;Milestones!$AC$69&amp;";  ","")&amp;IF(AND(EDATE($D42,Milestones!$AA$70)&lt;=AsOfDate,IF($R42=0,$X42,IF(AND($T42&lt;&gt;"",EDATE($D42,Milestones!$AA$70)&gt;=$T42),$W42,IF(AND($S42&lt;&gt;"",EDATE($D42,Milestones!$AA$70)&gt;=$S42),$V42,$U42)))=Milestones!$AB$70),UPPER(TEXT(EDATE($D42,Milestones!$AA$70),"dd mmm yy"))&amp;" "&amp;Milestones!$AB$70&amp;" "&amp;Milestones!$AC$70&amp;";  ","")&amp;IF(AND(EDATE($D42,Milestones!$AA$71)&lt;=AsOfDate,IF($R42=0,$X42,IF(AND($T42&lt;&gt;"",EDATE($D42,Milestones!$AA$71)&gt;=$T42),$W42,IF(AND($S42&lt;&gt;"",EDATE($D42,Milestones!$AA$71)&gt;=$S42),$V42,$U42)))=Milestones!$AB$71),UPPER(TEXT(EDATE($D42,Milestones!$AA$71),"dd mmm yy"))&amp;" "&amp;Milestones!$AB$71&amp;" "&amp;Milestones!$AC$71&amp;";  ","")&amp;IF(AND(EDATE($D42,Milestones!$AA$72)&lt;=AsOfDate,IF($R42=0,$X42,IF(AND($T42&lt;&gt;"",EDATE($D42,Milestones!$AA$72)&gt;=$T42),$W42,IF(AND($S42&lt;&gt;"",EDATE($D42,Milestones!$AA$72)&gt;=$S42),$V42,$U42)))=Milestones!$AB$72),UPPER(TEXT(EDATE($D42,Milestones!$AA$72),"dd mmm yy"))&amp;" "&amp;Milestones!$AB$72&amp;" "&amp;Milestones!$AC$72&amp;";  ","")&amp;IF(AND(EDATE($D42,Milestones!$AA$73)&lt;=AsOfDate,IF($R42=0,$X42,IF(AND($T42&lt;&gt;"",EDATE($D42,Milestones!$AA$73)&gt;=$T42),$W42,IF(AND($S42&lt;&gt;"",EDATE($D42,Milestones!$AA$73)&gt;=$S42),$V42,$U42)))=Milestones!$AB$73),UPPER(TEXT(EDATE($D42,Milestones!$AA$73),"dd mmm yy"))&amp;" "&amp;Milestones!$AB$73&amp;" "&amp;Milestones!$AC$73&amp;";  ","")&amp;IF(AND(EDATE($D42,Milestones!$AA$74)&lt;=AsOfDate,IF($R42=0,$X42,IF(AND($T42&lt;&gt;"",EDATE($D42,Milestones!$AA$74)&gt;=$T42),$W42,IF(AND($S42&lt;&gt;"",EDATE($D42,Milestones!$AA$74)&gt;=$S42),$V42,$U42)))=Milestones!$AB$74),UPPER(TEXT(EDATE($D42,Milestones!$AA$74),"dd mmm yy"))&amp;" "&amp;Milestones!$AB$74&amp;" "&amp;Milestones!$AC$74&amp;";  ","")&amp;IF(AND(EDATE($D42,Milestones!$AA$75)&lt;=AsOfDate,IF($R42=0,$X42,IF(AND($T42&lt;&gt;"",EDATE($D42,Milestones!$AA$75)&gt;=$T42),$W42,IF(AND($S42&lt;&gt;"",EDATE($D42,Milestones!$AA$75)&gt;=$S42),$V42,$U42)))=Milestones!$AB$75),UPPER(TEXT(EDATE($D42,Milestones!$AA$75),"dd mmm yy"))&amp;" "&amp;Milestones!$AB$75&amp;" "&amp;Milestones!$AC$75&amp;";  ","")&amp;IF(AND(EDATE($D42,Milestones!$AA$76)&lt;=AsOfDate,IF($R42=0,$X42,IF(AND($T42&lt;&gt;"",EDATE($D42,Milestones!$AA$76)&gt;=$T42),$W42,IF(AND($S42&lt;&gt;"",EDATE($D42,Milestones!$AA$76)&gt;=$S42),$V42,$U42)))=Milestones!$AB$76),UPPER(TEXT(EDATE($D42,Milestones!$AA$76),"dd mmm yy"))&amp;" "&amp;Milestones!$AB$76&amp;" "&amp;Milestones!$AC$76&amp;";  ","")&amp;IF(AND(EDATE($D42,Milestones!$AA$77)&lt;=AsOfDate,IF($R42=0,$X42,IF(AND($T42&lt;&gt;"",EDATE($D42,Milestones!$AA$77)&gt;=$T42),$W42,IF(AND($S42&lt;&gt;"",EDATE($D42,Milestones!$AA$77)&gt;=$S42),$V42,$U42)))=Milestones!$AB$77),UPPER(TEXT(EDATE($D42,Milestones!$AA$77),"dd mmm yy"))&amp;" "&amp;Milestones!$AB$77&amp;" "&amp;Milestones!$AC$77&amp;";  ","")&amp;IF(AND(EDATE($D42,Milestones!$AA$78)&lt;=AsOfDate,IF($R42=0,$X42,IF(AND($T42&lt;&gt;"",EDATE($D42,Milestones!$AA$78)&gt;=$T42),$W42,IF(AND($S42&lt;&gt;"",EDATE($D42,Milestones!$AA$78)&gt;=$S42),$V42,$U42)))=Milestones!$AB$78),UPPER(TEXT(EDATE($D42,Milestones!$AA$78),"dd mmm yy"))&amp;" "&amp;Milestones!$AB$78&amp;" "&amp;Milestones!$AC$78&amp;";  ","")&amp;IF(AND(EDATE($D42,Milestones!$AA$79)&lt;=AsOfDate,IF($R42=0,$X42,IF(AND($T42&lt;&gt;"",EDATE($D42,Milestones!$AA$79)&gt;=$T42),$W42,IF(AND($S42&lt;&gt;"",EDATE($D42,Milestones!$AA$79)&gt;=$S42),$V42,$U42)))=Milestones!$AB$79),UPPER(TEXT(EDATE($D42,Milestones!$AA$79),"dd mmm yy"))&amp;" "&amp;Milestones!$AB$79&amp;" "&amp;Milestones!$AC$79&amp;";  ",""))</f>
        <v/>
      </c>
      <c r="L42" s="0" t="str">
        <f aca="false">IF(OR($A42="",$D42=""),"",IF(AND(EDATE($D42,Milestones!$AA$80)&lt;=AsOfDate,IF($R42=0,$X42,IF(AND($T42&lt;&gt;"",EDATE($D42,Milestones!$AA$80)&gt;=$T42),$W42,IF(AND($S42&lt;&gt;"",EDATE($D42,Milestones!$AA$80)&gt;=$S42),$V42,$U42)))=Milestones!$AB$80),UPPER(TEXT(EDATE($D42,Milestones!$AA$80),"dd mmm yy"))&amp;" "&amp;Milestones!$AB$80&amp;" "&amp;Milestones!$AC$80&amp;";  ","")&amp;IF(AND(EDATE($D42,Milestones!$AA$81)&lt;=AsOfDate,IF($R42=0,$X42,IF(AND($T42&lt;&gt;"",EDATE($D42,Milestones!$AA$81)&gt;=$T42),$W42,IF(AND($S42&lt;&gt;"",EDATE($D42,Milestones!$AA$81)&gt;=$S42),$V42,$U42)))=Milestones!$AB$81),UPPER(TEXT(EDATE($D42,Milestones!$AA$81),"dd mmm yy"))&amp;" "&amp;Milestones!$AB$81&amp;" "&amp;Milestones!$AC$81&amp;";  ","")&amp;IF(AND(EDATE($D42,Milestones!$AA$82)&lt;=AsOfDate,IF($R42=0,$X42,IF(AND($T42&lt;&gt;"",EDATE($D42,Milestones!$AA$82)&gt;=$T42),$W42,IF(AND($S42&lt;&gt;"",EDATE($D42,Milestones!$AA$82)&gt;=$S42),$V42,$U42)))=Milestones!$AB$82),UPPER(TEXT(EDATE($D42,Milestones!$AA$82),"dd mmm yy"))&amp;" "&amp;Milestones!$AB$82&amp;" "&amp;Milestones!$AC$82&amp;";  ","")&amp;IF(AND(EDATE($D42,Milestones!$AA$83)&lt;=AsOfDate,IF($R42=0,$X42,IF(AND($T42&lt;&gt;"",EDATE($D42,Milestones!$AA$83)&gt;=$T42),$W42,IF(AND($S42&lt;&gt;"",EDATE($D42,Milestones!$AA$83)&gt;=$S42),$V42,$U42)))=Milestones!$AB$83),UPPER(TEXT(EDATE($D42,Milestones!$AA$83),"dd mmm yy"))&amp;" "&amp;Milestones!$AB$83&amp;" "&amp;Milestones!$AC$83&amp;";  ","")&amp;IF(AND(EDATE($D42,Milestones!$AA$84)&lt;=AsOfDate,IF($R42=0,$X42,IF(AND($T42&lt;&gt;"",EDATE($D42,Milestones!$AA$84)&gt;=$T42),$W42,IF(AND($S42&lt;&gt;"",EDATE($D42,Milestones!$AA$84)&gt;=$S42),$V42,$U42)))=Milestones!$AB$84),UPPER(TEXT(EDATE($D42,Milestones!$AA$84),"dd mmm yy"))&amp;" "&amp;Milestones!$AB$84&amp;" "&amp;Milestones!$AC$84&amp;";  ","")&amp;IF(AND(EDATE($D42,Milestones!$AA$85)&lt;=AsOfDate,IF($R42=0,$X42,IF(AND($T42&lt;&gt;"",EDATE($D42,Milestones!$AA$85)&gt;=$T42),$W42,IF(AND($S42&lt;&gt;"",EDATE($D42,Milestones!$AA$85)&gt;=$S42),$V42,$U42)))=Milestones!$AB$85),UPPER(TEXT(EDATE($D42,Milestones!$AA$85),"dd mmm yy"))&amp;" "&amp;Milestones!$AB$85&amp;" "&amp;Milestones!$AC$85&amp;";  ","")&amp;IF(AND(EDATE($D42,Milestones!$AA$86)&lt;=AsOfDate,IF($R42=0,$X42,IF(AND($T42&lt;&gt;"",EDATE($D42,Milestones!$AA$86)&gt;=$T42),$W42,IF(AND($S42&lt;&gt;"",EDATE($D42,Milestones!$AA$86)&gt;=$S42),$V42,$U42)))=Milestones!$AB$86),UPPER(TEXT(EDATE($D42,Milestones!$AA$86),"dd mmm yy"))&amp;" "&amp;Milestones!$AB$86&amp;" "&amp;Milestones!$AC$86&amp;";  ","")&amp;IF(AND(EDATE($D42,Milestones!$AA$87)&lt;=AsOfDate,IF($R42=0,$X42,IF(AND($T42&lt;&gt;"",EDATE($D42,Milestones!$AA$87)&gt;=$T42),$W42,IF(AND($S42&lt;&gt;"",EDATE($D42,Milestones!$AA$87)&gt;=$S42),$V42,$U42)))=Milestones!$AB$87),UPPER(TEXT(EDATE($D42,Milestones!$AA$87),"dd mmm yy"))&amp;" "&amp;Milestones!$AB$87&amp;" "&amp;Milestones!$AC$87&amp;";  ","")&amp;IF(AND(EDATE($D42,Milestones!$AA$88)&lt;=AsOfDate,IF($R42=0,$X42,IF(AND($T42&lt;&gt;"",EDATE($D42,Milestones!$AA$88)&gt;=$T42),$W42,IF(AND($S42&lt;&gt;"",EDATE($D42,Milestones!$AA$88)&gt;=$S42),$V42,$U42)))=Milestones!$AB$88),UPPER(TEXT(EDATE($D42,Milestones!$AA$88),"dd mmm yy"))&amp;" "&amp;Milestones!$AB$88&amp;" "&amp;Milestones!$AC$88&amp;";  ","")&amp;IF(AND(EDATE($D42,Milestones!$AA$89)&lt;=AsOfDate,IF($R42=0,$X42,IF(AND($T42&lt;&gt;"",EDATE($D42,Milestones!$AA$89)&gt;=$T42),$W42,IF(AND($S42&lt;&gt;"",EDATE($D42,Milestones!$AA$89)&gt;=$S42),$V42,$U42)))=Milestones!$AB$89),UPPER(TEXT(EDATE($D42,Milestones!$AA$89),"dd mmm yy"))&amp;" "&amp;Milestones!$AB$89&amp;" "&amp;Milestones!$AC$89&amp;";  ","")&amp;IF(AND(EDATE($D42,Milestones!$AA$90)&lt;=AsOfDate,IF($R42=0,$X42,IF(AND($T42&lt;&gt;"",EDATE($D42,Milestones!$AA$90)&gt;=$T42),$W42,IF(AND($S42&lt;&gt;"",EDATE($D42,Milestones!$AA$90)&gt;=$S42),$V42,$U42)))=Milestones!$AB$90),UPPER(TEXT(EDATE($D42,Milestones!$AA$90),"dd mmm yy"))&amp;" "&amp;Milestones!$AB$90&amp;" "&amp;Milestones!$AC$90&amp;";  ","")&amp;IF(AND(EDATE($D42,Milestones!$AA$91)&lt;=AsOfDate,IF($R42=0,$X42,IF(AND($T42&lt;&gt;"",EDATE($D42,Milestones!$AA$91)&gt;=$T42),$W42,IF(AND($S42&lt;&gt;"",EDATE($D42,Milestones!$AA$91)&gt;=$S42),$V42,$U42)))=Milestones!$AB$91),UPPER(TEXT(EDATE($D42,Milestones!$AA$91),"dd mmm yy"))&amp;" "&amp;Milestones!$AB$91&amp;" "&amp;Milestones!$AC$91&amp;";  ","")&amp;IF(AND(EDATE($D42,Milestones!$AA$92)&lt;=AsOfDate,IF($R42=0,$X42,IF(AND($T42&lt;&gt;"",EDATE($D42,Milestones!$AA$92)&gt;=$T42),$W42,IF(AND($S42&lt;&gt;"",EDATE($D42,Milestones!$AA$92)&gt;=$S42),$V42,$U42)))=Milestones!$AB$92),UPPER(TEXT(EDATE($D42,Milestones!$AA$92),"dd mmm yy"))&amp;" "&amp;Milestones!$AB$92&amp;" "&amp;Milestones!$AC$92&amp;";  ","")&amp;IF(AND(EDATE($D42,Milestones!$AA$93)&lt;=AsOfDate,IF($R42=0,$X42,IF(AND($T42&lt;&gt;"",EDATE($D42,Milestones!$AA$93)&gt;=$T42),$W42,IF(AND($S42&lt;&gt;"",EDATE($D42,Milestones!$AA$93)&gt;=$S42),$V42,$U42)))=Milestones!$AB$93),UPPER(TEXT(EDATE($D42,Milestones!$AA$93),"dd mmm yy"))&amp;" "&amp;Milestones!$AB$93&amp;" "&amp;Milestones!$AC$93&amp;";  ","")&amp;IF(AND(EDATE($D42,Milestones!$AA$94)&lt;=AsOfDate,IF($R42=0,$X42,IF(AND($T42&lt;&gt;"",EDATE($D42,Milestones!$AA$94)&gt;=$T42),$W42,IF(AND($S42&lt;&gt;"",EDATE($D42,Milestones!$AA$94)&gt;=$S42),$V42,$U42)))=Milestones!$AB$94),UPPER(TEXT(EDATE($D42,Milestones!$AA$94),"dd mmm yy"))&amp;" "&amp;Milestones!$AB$94&amp;" "&amp;Milestones!$AC$94&amp;";  ","")&amp;IF(AND(EDATE($D42,Milestones!$AA$95)&lt;=AsOfDate,IF($R42=0,$X42,IF(AND($T42&lt;&gt;"",EDATE($D42,Milestones!$AA$95)&gt;=$T42),$W42,IF(AND($S42&lt;&gt;"",EDATE($D42,Milestones!$AA$95)&gt;=$S42),$V42,$U42)))=Milestones!$AB$95),UPPER(TEXT(EDATE($D42,Milestones!$AA$95),"dd mmm yy"))&amp;" "&amp;Milestones!$AB$95&amp;" "&amp;Milestones!$AC$95&amp;";  ","")&amp;IF(AND(EDATE($D42,Milestones!$AA$96)&lt;=AsOfDate,IF($R42=0,$X42,IF(AND($T42&lt;&gt;"",EDATE($D42,Milestones!$AA$96)&gt;=$T42),$W42,IF(AND($S42&lt;&gt;"",EDATE($D42,Milestones!$AA$96)&gt;=$S42),$V42,$U42)))=Milestones!$AB$96),UPPER(TEXT(EDATE($D42,Milestones!$AA$96),"dd mmm yy"))&amp;" "&amp;Milestones!$AB$96&amp;" "&amp;Milestones!$AC$96&amp;";  ","")&amp;IF(AND(EDATE($D42,Milestones!$AA$97)&lt;=AsOfDate,IF($R42=0,$X42,IF(AND($T42&lt;&gt;"",EDATE($D42,Milestones!$AA$97)&gt;=$T42),$W42,IF(AND($S42&lt;&gt;"",EDATE($D42,Milestones!$AA$97)&gt;=$S42),$V42,$U42)))=Milestones!$AB$97),UPPER(TEXT(EDATE($D42,Milestones!$AA$97),"dd mmm yy"))&amp;" "&amp;Milestones!$AB$97&amp;" "&amp;Milestones!$AC$97&amp;";  ","")&amp;IF(AND(EDATE($D42,Milestones!$AA$98)&lt;=AsOfDate,IF($R42=0,$X42,IF(AND($T42&lt;&gt;"",EDATE($D42,Milestones!$AA$98)&gt;=$T42),$W42,IF(AND($S42&lt;&gt;"",EDATE($D42,Milestones!$AA$98)&gt;=$S42),$V42,$U42)))=Milestones!$AB$98),UPPER(TEXT(EDATE($D42,Milestones!$AA$98),"dd mmm yy"))&amp;" "&amp;Milestones!$AB$98&amp;" "&amp;Milestones!$AC$98&amp;";  ","")&amp;IF(AND(EDATE($D42,Milestones!$AA$99)&lt;=AsOfDate,IF($R42=0,$X42,IF(AND($T42&lt;&gt;"",EDATE($D42,Milestones!$AA$99)&gt;=$T42),$W42,IF(AND($S42&lt;&gt;"",EDATE($D42,Milestones!$AA$99)&gt;=$S42),$V42,$U42)))=Milestones!$AB$99),UPPER(TEXT(EDATE($D42,Milestones!$AA$99),"dd mmm yy"))&amp;" "&amp;Milestones!$AB$99&amp;" "&amp;Milestones!$AC$99&amp;";  ",""))</f>
        <v/>
      </c>
      <c r="M42" s="0" t="str">
        <f aca="false">IF(OR($A42="",$D42=""),"",IF(AND(EDATE($D42,Milestones!$AA$100)&lt;=AsOfDate,IF($R42=0,$X42,IF(AND($T42&lt;&gt;"",EDATE($D42,Milestones!$AA$100)&gt;=$T42),$W42,IF(AND($S42&lt;&gt;"",EDATE($D42,Milestones!$AA$100)&gt;=$S42),$V42,$U42)))=Milestones!$AB$100),UPPER(TEXT(EDATE($D42,Milestones!$AA$100),"dd mmm yy"))&amp;" "&amp;Milestones!$AB$100&amp;" "&amp;Milestones!$AC$100&amp;";  ","")&amp;IF(AND(EDATE($D42,Milestones!$AA$101)&lt;=AsOfDate,IF($R42=0,$X42,IF(AND($T42&lt;&gt;"",EDATE($D42,Milestones!$AA$101)&gt;=$T42),$W42,IF(AND($S42&lt;&gt;"",EDATE($D42,Milestones!$AA$101)&gt;=$S42),$V42,$U42)))=Milestones!$AB$101),UPPER(TEXT(EDATE($D42,Milestones!$AA$101),"dd mmm yy"))&amp;" "&amp;Milestones!$AB$101&amp;" "&amp;Milestones!$AC$101&amp;";  ","")&amp;IF(AND(EDATE($D42,Milestones!$AA$102)&lt;=AsOfDate,IF($R42=0,$X42,IF(AND($T42&lt;&gt;"",EDATE($D42,Milestones!$AA$102)&gt;=$T42),$W42,IF(AND($S42&lt;&gt;"",EDATE($D42,Milestones!$AA$102)&gt;=$S42),$V42,$U42)))=Milestones!$AB$102),UPPER(TEXT(EDATE($D42,Milestones!$AA$102),"dd mmm yy"))&amp;" "&amp;Milestones!$AB$102&amp;" "&amp;Milestones!$AC$102&amp;";  ","")&amp;IF(AND(EDATE($D42,Milestones!$AA$103)&lt;=AsOfDate,IF($R42=0,$X42,IF(AND($T42&lt;&gt;"",EDATE($D42,Milestones!$AA$103)&gt;=$T42),$W42,IF(AND($S42&lt;&gt;"",EDATE($D42,Milestones!$AA$103)&gt;=$S42),$V42,$U42)))=Milestones!$AB$103),UPPER(TEXT(EDATE($D42,Milestones!$AA$103),"dd mmm yy"))&amp;" "&amp;Milestones!$AB$103&amp;" "&amp;Milestones!$AC$103&amp;";  ","")&amp;IF(AND(EDATE($D42,Milestones!$AA$104)&lt;=AsOfDate,IF($R42=0,$X42,IF(AND($T42&lt;&gt;"",EDATE($D42,Milestones!$AA$104)&gt;=$T42),$W42,IF(AND($S42&lt;&gt;"",EDATE($D42,Milestones!$AA$104)&gt;=$S42),$V42,$U42)))=Milestones!$AB$104),UPPER(TEXT(EDATE($D42,Milestones!$AA$104),"dd mmm yy"))&amp;" "&amp;Milestones!$AB$104&amp;" "&amp;Milestones!$AC$104&amp;";  ","")&amp;IF(AND(EDATE($D42,Milestones!$AA$105)&lt;=AsOfDate,IF($R42=0,$X42,IF(AND($T42&lt;&gt;"",EDATE($D42,Milestones!$AA$105)&gt;=$T42),$W42,IF(AND($S42&lt;&gt;"",EDATE($D42,Milestones!$AA$105)&gt;=$S42),$V42,$U42)))=Milestones!$AB$105),UPPER(TEXT(EDATE($D42,Milestones!$AA$105),"dd mmm yy"))&amp;" "&amp;Milestones!$AB$105&amp;" "&amp;Milestones!$AC$105&amp;";  ","")&amp;IF(AND(EDATE($D42,Milestones!$AA$106)&lt;=AsOfDate,IF($R42=0,$X42,IF(AND($T42&lt;&gt;"",EDATE($D42,Milestones!$AA$106)&gt;=$T42),$W42,IF(AND($S42&lt;&gt;"",EDATE($D42,Milestones!$AA$106)&gt;=$S42),$V42,$U42)))=Milestones!$AB$106),UPPER(TEXT(EDATE($D42,Milestones!$AA$106),"dd mmm yy"))&amp;" "&amp;Milestones!$AB$106&amp;" "&amp;Milestones!$AC$106&amp;";  ","")&amp;IF(AND(EDATE($D42,Milestones!$AA$107)&lt;=AsOfDate,IF($R42=0,$X42,IF(AND($T42&lt;&gt;"",EDATE($D42,Milestones!$AA$107)&gt;=$T42),$W42,IF(AND($S42&lt;&gt;"",EDATE($D42,Milestones!$AA$107)&gt;=$S42),$V42,$U42)))=Milestones!$AB$107),UPPER(TEXT(EDATE($D42,Milestones!$AA$107),"dd mmm yy"))&amp;" "&amp;Milestones!$AB$107&amp;" "&amp;Milestones!$AC$107&amp;";  ","")&amp;IF(AND(EDATE($D42,Milestones!$AA$108)&lt;=AsOfDate,IF($R42=0,$X42,IF(AND($T42&lt;&gt;"",EDATE($D42,Milestones!$AA$108)&gt;=$T42),$W42,IF(AND($S42&lt;&gt;"",EDATE($D42,Milestones!$AA$108)&gt;=$S42),$V42,$U42)))=Milestones!$AB$108),UPPER(TEXT(EDATE($D42,Milestones!$AA$108),"dd mmm yy"))&amp;" "&amp;Milestones!$AB$108&amp;" "&amp;Milestones!$AC$108&amp;";  ","")&amp;IF(AND(EDATE($D42,Milestones!$AA$109)&lt;=AsOfDate,IF($R42=0,$X42,IF(AND($T42&lt;&gt;"",EDATE($D42,Milestones!$AA$109)&gt;=$T42),$W42,IF(AND($S42&lt;&gt;"",EDATE($D42,Milestones!$AA$109)&gt;=$S42),$V42,$U42)))=Milestones!$AB$109),UPPER(TEXT(EDATE($D42,Milestones!$AA$109),"dd mmm yy"))&amp;" "&amp;Milestones!$AB$109&amp;" "&amp;Milestones!$AC$109&amp;";  ","")&amp;IF(AND(EDATE($D42,Milestones!$AA$110)&lt;=AsOfDate,IF($R42=0,$X42,IF(AND($T42&lt;&gt;"",EDATE($D42,Milestones!$AA$110)&gt;=$T42),$W42,IF(AND($S42&lt;&gt;"",EDATE($D42,Milestones!$AA$110)&gt;=$S42),$V42,$U42)))=Milestones!$AB$110),UPPER(TEXT(EDATE($D42,Milestones!$AA$110),"dd mmm yy"))&amp;" "&amp;Milestones!$AB$110&amp;" "&amp;Milestones!$AC$110&amp;";  ","")&amp;IF(AND(EDATE($D42,Milestones!$AA$111)&lt;=AsOfDate,IF($R42=0,$X42,IF(AND($T42&lt;&gt;"",EDATE($D42,Milestones!$AA$111)&gt;=$T42),$W42,IF(AND($S42&lt;&gt;"",EDATE($D42,Milestones!$AA$111)&gt;=$S42),$V42,$U42)))=Milestones!$AB$111),UPPER(TEXT(EDATE($D42,Milestones!$AA$111),"dd mmm yy"))&amp;" "&amp;Milestones!$AB$111&amp;" "&amp;Milestones!$AC$111&amp;";  ","")&amp;IF(AND(EDATE($D42,Milestones!$AA$112)&lt;=AsOfDate,IF($R42=0,$X42,IF(AND($T42&lt;&gt;"",EDATE($D42,Milestones!$AA$112)&gt;=$T42),$W42,IF(AND($S42&lt;&gt;"",EDATE($D42,Milestones!$AA$112)&gt;=$S42),$V42,$U42)))=Milestones!$AB$112),UPPER(TEXT(EDATE($D42,Milestones!$AA$112),"dd mmm yy"))&amp;" "&amp;Milestones!$AB$112&amp;" "&amp;Milestones!$AC$112&amp;";  ","")&amp;IF(AND(EDATE($D42,Milestones!$AA$113)&lt;=AsOfDate,IF($R42=0,$X42,IF(AND($T42&lt;&gt;"",EDATE($D42,Milestones!$AA$113)&gt;=$T42),$W42,IF(AND($S42&lt;&gt;"",EDATE($D42,Milestones!$AA$113)&gt;=$S42),$V42,$U42)))=Milestones!$AB$113),UPPER(TEXT(EDATE($D42,Milestones!$AA$113),"dd mmm yy"))&amp;" "&amp;Milestones!$AB$113&amp;" "&amp;Milestones!$AC$113&amp;";  ","")&amp;IF(AND(EDATE($D42,Milestones!$AA$114)&lt;=AsOfDate,IF($R42=0,$X42,IF(AND($T42&lt;&gt;"",EDATE($D42,Milestones!$AA$114)&gt;=$T42),$W42,IF(AND($S42&lt;&gt;"",EDATE($D42,Milestones!$AA$114)&gt;=$S42),$V42,$U42)))=Milestones!$AB$114),UPPER(TEXT(EDATE($D42,Milestones!$AA$114),"dd mmm yy"))&amp;" "&amp;Milestones!$AB$114&amp;" "&amp;Milestones!$AC$114&amp;";  ","")&amp;IF(AND(EDATE($D42,Milestones!$AA$115)&lt;=AsOfDate,IF($R42=0,$X42,IF(AND($T42&lt;&gt;"",EDATE($D42,Milestones!$AA$115)&gt;=$T42),$W42,IF(AND($S42&lt;&gt;"",EDATE($D42,Milestones!$AA$115)&gt;=$S42),$V42,$U42)))=Milestones!$AB$115),UPPER(TEXT(EDATE($D42,Milestones!$AA$115),"dd mmm yy"))&amp;" "&amp;Milestones!$AB$115&amp;" "&amp;Milestones!$AC$115&amp;";  ","")&amp;IF(AND(EDATE($D42,Milestones!$AA$116)&lt;=AsOfDate,IF($R42=0,$X42,IF(AND($T42&lt;&gt;"",EDATE($D42,Milestones!$AA$116)&gt;=$T42),$W42,IF(AND($S42&lt;&gt;"",EDATE($D42,Milestones!$AA$116)&gt;=$S42),$V42,$U42)))=Milestones!$AB$116),UPPER(TEXT(EDATE($D42,Milestones!$AA$116),"dd mmm yy"))&amp;" "&amp;Milestones!$AB$116&amp;" "&amp;Milestones!$AC$116&amp;";  ","")&amp;IF(AND(EDATE($D42,Milestones!$AA$117)&lt;=AsOfDate,IF($R42=0,$X42,IF(AND($T42&lt;&gt;"",EDATE($D42,Milestones!$AA$117)&gt;=$T42),$W42,IF(AND($S42&lt;&gt;"",EDATE($D42,Milestones!$AA$117)&gt;=$S42),$V42,$U42)))=Milestones!$AB$117),UPPER(TEXT(EDATE($D42,Milestones!$AA$117),"dd mmm yy"))&amp;" "&amp;Milestones!$AB$117&amp;" "&amp;Milestones!$AC$117&amp;";  ","")&amp;IF(AND(EDATE($D42,Milestones!$AA$118)&lt;=AsOfDate,IF($R42=0,$X42,IF(AND($T42&lt;&gt;"",EDATE($D42,Milestones!$AA$118)&gt;=$T42),$W42,IF(AND($S42&lt;&gt;"",EDATE($D42,Milestones!$AA$118)&gt;=$S42),$V42,$U42)))=Milestones!$AB$118),UPPER(TEXT(EDATE($D42,Milestones!$AA$118),"dd mmm yy"))&amp;" "&amp;Milestones!$AB$118&amp;" "&amp;Milestones!$AC$118&amp;";  ","")&amp;IF(AND(EDATE($D42,Milestones!$AA$119)&lt;=AsOfDate,IF($R42=0,$X42,IF(AND($T42&lt;&gt;"",EDATE($D42,Milestones!$AA$119)&gt;=$T42),$W42,IF(AND($S42&lt;&gt;"",EDATE($D42,Milestones!$AA$119)&gt;=$S42),$V42,$U42)))=Milestones!$AB$119),UPPER(TEXT(EDATE($D42,Milestones!$AA$119),"dd mmm yy"))&amp;" "&amp;Milestones!$AB$119&amp;" "&amp;Milestones!$AC$119&amp;";  ",""))</f>
        <v/>
      </c>
      <c r="N42" s="0" t="str">
        <f aca="false">IF(OR($A42="",$D42=""),"",IF(AND(EDATE($D42,Milestones!$AA$120)&lt;=AsOfDate,IF($R42=0,$X42,IF(AND($T42&lt;&gt;"",EDATE($D42,Milestones!$AA$120)&gt;=$T42),$W42,IF(AND($S42&lt;&gt;"",EDATE($D42,Milestones!$AA$120)&gt;=$S42),$V42,$U42)))=Milestones!$AB$120),UPPER(TEXT(EDATE($D42,Milestones!$AA$120),"dd mmm yy"))&amp;" "&amp;Milestones!$AB$120&amp;" "&amp;Milestones!$AC$120&amp;";  ","")&amp;IF(AND(EDATE($D42,Milestones!$AA$121)&lt;=AsOfDate,IF($R42=0,$X42,IF(AND($T42&lt;&gt;"",EDATE($D42,Milestones!$AA$121)&gt;=$T42),$W42,IF(AND($S42&lt;&gt;"",EDATE($D42,Milestones!$AA$121)&gt;=$S42),$V42,$U42)))=Milestones!$AB$121),UPPER(TEXT(EDATE($D42,Milestones!$AA$121),"dd mmm yy"))&amp;" "&amp;Milestones!$AB$121&amp;" "&amp;Milestones!$AC$121&amp;";  ","")&amp;IF(AND(EDATE($D42,Milestones!$AA$122)&lt;=AsOfDate,IF($R42=0,$X42,IF(AND($T42&lt;&gt;"",EDATE($D42,Milestones!$AA$122)&gt;=$T42),$W42,IF(AND($S42&lt;&gt;"",EDATE($D42,Milestones!$AA$122)&gt;=$S42),$V42,$U42)))=Milestones!$AB$122),UPPER(TEXT(EDATE($D42,Milestones!$AA$122),"dd mmm yy"))&amp;" "&amp;Milestones!$AB$122&amp;" "&amp;Milestones!$AC$122&amp;";  ","")&amp;IF(AND(EDATE($D42,Milestones!$AA$123)&lt;=AsOfDate,IF($R42=0,$X42,IF(AND($T42&lt;&gt;"",EDATE($D42,Milestones!$AA$123)&gt;=$T42),$W42,IF(AND($S42&lt;&gt;"",EDATE($D42,Milestones!$AA$123)&gt;=$S42),$V42,$U42)))=Milestones!$AB$123),UPPER(TEXT(EDATE($D42,Milestones!$AA$123),"dd mmm yy"))&amp;" "&amp;Milestones!$AB$123&amp;" "&amp;Milestones!$AC$123&amp;";  ","")&amp;IF(AND(EDATE($D42,Milestones!$AA$124)&lt;=AsOfDate,IF($R42=0,$X42,IF(AND($T42&lt;&gt;"",EDATE($D42,Milestones!$AA$124)&gt;=$T42),$W42,IF(AND($S42&lt;&gt;"",EDATE($D42,Milestones!$AA$124)&gt;=$S42),$V42,$U42)))=Milestones!$AB$124),UPPER(TEXT(EDATE($D42,Milestones!$AA$124),"dd mmm yy"))&amp;" "&amp;Milestones!$AB$124&amp;" "&amp;Milestones!$AC$124&amp;";  ","")&amp;IF(AND(EDATE($D42,Milestones!$AA$125)&lt;=AsOfDate,IF($R42=0,$X42,IF(AND($T42&lt;&gt;"",EDATE($D42,Milestones!$AA$125)&gt;=$T42),$W42,IF(AND($S42&lt;&gt;"",EDATE($D42,Milestones!$AA$125)&gt;=$S42),$V42,$U42)))=Milestones!$AB$125),UPPER(TEXT(EDATE($D42,Milestones!$AA$125),"dd mmm yy"))&amp;" "&amp;Milestones!$AB$125&amp;" "&amp;Milestones!$AC$125&amp;";  ","")&amp;IF(AND(EDATE($D42,Milestones!$AA$126)&lt;=AsOfDate,IF($R42=0,$X42,IF(AND($T42&lt;&gt;"",EDATE($D42,Milestones!$AA$126)&gt;=$T42),$W42,IF(AND($S42&lt;&gt;"",EDATE($D42,Milestones!$AA$126)&gt;=$S42),$V42,$U42)))=Milestones!$AB$126),UPPER(TEXT(EDATE($D42,Milestones!$AA$126),"dd mmm yy"))&amp;" "&amp;Milestones!$AB$126&amp;" "&amp;Milestones!$AC$126&amp;";  ","")&amp;IF(AND(EDATE($D42,Milestones!$AA$127)&lt;=AsOfDate,IF($R42=0,$X42,IF(AND($T42&lt;&gt;"",EDATE($D42,Milestones!$AA$127)&gt;=$T42),$W42,IF(AND($S42&lt;&gt;"",EDATE($D42,Milestones!$AA$127)&gt;=$S42),$V42,$U42)))=Milestones!$AB$127),UPPER(TEXT(EDATE($D42,Milestones!$AA$127),"dd mmm yy"))&amp;" "&amp;Milestones!$AB$127&amp;" "&amp;Milestones!$AC$127&amp;";  ","")&amp;IF(AND(EDATE($D42,Milestones!$AA$128)&lt;=AsOfDate,IF($R42=0,$X42,IF(AND($T42&lt;&gt;"",EDATE($D42,Milestones!$AA$128)&gt;=$T42),$W42,IF(AND($S42&lt;&gt;"",EDATE($D42,Milestones!$AA$128)&gt;=$S42),$V42,$U42)))=Milestones!$AB$128),UPPER(TEXT(EDATE($D42,Milestones!$AA$128),"dd mmm yy"))&amp;" "&amp;Milestones!$AB$128&amp;" "&amp;Milestones!$AC$128&amp;";  ","")&amp;IF(AND(EDATE($D42,Milestones!$AA$129)&lt;=AsOfDate,IF($R42=0,$X42,IF(AND($T42&lt;&gt;"",EDATE($D42,Milestones!$AA$129)&gt;=$T42),$W42,IF(AND($S42&lt;&gt;"",EDATE($D42,Milestones!$AA$129)&gt;=$S42),$V42,$U42)))=Milestones!$AB$129),UPPER(TEXT(EDATE($D42,Milestones!$AA$129),"dd mmm yy"))&amp;" "&amp;Milestones!$AB$129&amp;" "&amp;Milestones!$AC$129&amp;";  ","")&amp;IF(AND(EDATE($D42,Milestones!$AA$130)&lt;=AsOfDate,IF($R42=0,$X42,IF(AND($T42&lt;&gt;"",EDATE($D42,Milestones!$AA$130)&gt;=$T42),$W42,IF(AND($S42&lt;&gt;"",EDATE($D42,Milestones!$AA$130)&gt;=$S42),$V42,$U42)))=Milestones!$AB$130),UPPER(TEXT(EDATE($D42,Milestones!$AA$130),"dd mmm yy"))&amp;" "&amp;Milestones!$AB$130&amp;" "&amp;Milestones!$AC$130&amp;";  ","")&amp;IF(AND(EDATE($D42,Milestones!$AA$131)&lt;=AsOfDate,IF($R42=0,$X42,IF(AND($T42&lt;&gt;"",EDATE($D42,Milestones!$AA$131)&gt;=$T42),$W42,IF(AND($S42&lt;&gt;"",EDATE($D42,Milestones!$AA$131)&gt;=$S42),$V42,$U42)))=Milestones!$AB$131),UPPER(TEXT(EDATE($D42,Milestones!$AA$131),"dd mmm yy"))&amp;" "&amp;Milestones!$AB$131&amp;" "&amp;Milestones!$AC$131&amp;";  ","")&amp;IF(AND(EDATE($D42,Milestones!$AA$132)&lt;=AsOfDate,IF($R42=0,$X42,IF(AND($T42&lt;&gt;"",EDATE($D42,Milestones!$AA$132)&gt;=$T42),$W42,IF(AND($S42&lt;&gt;"",EDATE($D42,Milestones!$AA$132)&gt;=$S42),$V42,$U42)))=Milestones!$AB$132),UPPER(TEXT(EDATE($D42,Milestones!$AA$132),"dd mmm yy"))&amp;" "&amp;Milestones!$AB$132&amp;" "&amp;Milestones!$AC$132&amp;";  ","")&amp;IF(AND(EDATE($D42,Milestones!$AA$133)&lt;=AsOfDate,IF($R42=0,$X42,IF(AND($T42&lt;&gt;"",EDATE($D42,Milestones!$AA$133)&gt;=$T42),$W42,IF(AND($S42&lt;&gt;"",EDATE($D42,Milestones!$AA$133)&gt;=$S42),$V42,$U42)))=Milestones!$AB$133),UPPER(TEXT(EDATE($D42,Milestones!$AA$133),"dd mmm yy"))&amp;" "&amp;Milestones!$AB$133&amp;" "&amp;Milestones!$AC$133&amp;";  ","")&amp;IF(AND(EDATE($D42,Milestones!$AA$134)&lt;=AsOfDate,IF($R42=0,$X42,IF(AND($T42&lt;&gt;"",EDATE($D42,Milestones!$AA$134)&gt;=$T42),$W42,IF(AND($S42&lt;&gt;"",EDATE($D42,Milestones!$AA$134)&gt;=$S42),$V42,$U42)))=Milestones!$AB$134),UPPER(TEXT(EDATE($D42,Milestones!$AA$134),"dd mmm yy"))&amp;" "&amp;Milestones!$AB$134&amp;" "&amp;Milestones!$AC$134&amp;";  ","")&amp;IF(AND(EDATE($D42,Milestones!$AA$135)&lt;=AsOfDate,IF($R42=0,$X42,IF(AND($T42&lt;&gt;"",EDATE($D42,Milestones!$AA$135)&gt;=$T42),$W42,IF(AND($S42&lt;&gt;"",EDATE($D42,Milestones!$AA$135)&gt;=$S42),$V42,$U42)))=Milestones!$AB$135),UPPER(TEXT(EDATE($D42,Milestones!$AA$135),"dd mmm yy"))&amp;" "&amp;Milestones!$AB$135&amp;" "&amp;Milestones!$AC$135&amp;";  ","")&amp;IF(AND(EDATE($D42,Milestones!$AA$136)&lt;=AsOfDate,IF($R42=0,$X42,IF(AND($T42&lt;&gt;"",EDATE($D42,Milestones!$AA$136)&gt;=$T42),$W42,IF(AND($S42&lt;&gt;"",EDATE($D42,Milestones!$AA$136)&gt;=$S42),$V42,$U42)))=Milestones!$AB$136),UPPER(TEXT(EDATE($D42,Milestones!$AA$136),"dd mmm yy"))&amp;" "&amp;Milestones!$AB$136&amp;" "&amp;Milestones!$AC$136&amp;";  ","")&amp;IF(AND(EDATE($D42,Milestones!$AA$137)&lt;=AsOfDate,IF($R42=0,$X42,IF(AND($T42&lt;&gt;"",EDATE($D42,Milestones!$AA$137)&gt;=$T42),$W42,IF(AND($S42&lt;&gt;"",EDATE($D42,Milestones!$AA$137)&gt;=$S42),$V42,$U42)))=Milestones!$AB$137),UPPER(TEXT(EDATE($D42,Milestones!$AA$137),"dd mmm yy"))&amp;" "&amp;Milestones!$AB$137&amp;" "&amp;Milestones!$AC$137&amp;";  ","")&amp;IF(AND(EDATE($D42,Milestones!$AA$138)&lt;=AsOfDate,IF($R42=0,$X42,IF(AND($T42&lt;&gt;"",EDATE($D42,Milestones!$AA$138)&gt;=$T42),$W42,IF(AND($S42&lt;&gt;"",EDATE($D42,Milestones!$AA$138)&gt;=$S42),$V42,$U42)))=Milestones!$AB$138),UPPER(TEXT(EDATE($D42,Milestones!$AA$138),"dd mmm yy"))&amp;" "&amp;Milestones!$AB$138&amp;" "&amp;Milestones!$AC$138&amp;";  ","")&amp;IF(AND(EDATE($D42,Milestones!$AA$139)&lt;=AsOfDate,IF($R42=0,$X42,IF(AND($T42&lt;&gt;"",EDATE($D42,Milestones!$AA$139)&gt;=$T42),$W42,IF(AND($S42&lt;&gt;"",EDATE($D42,Milestones!$AA$139)&gt;=$S42),$V42,$U42)))=Milestones!$AB$139),UPPER(TEXT(EDATE($D42,Milestones!$AA$139),"dd mmm yy"))&amp;" "&amp;Milestones!$AB$139&amp;" "&amp;Milestones!$AC$139&amp;";  ",""))</f>
        <v/>
      </c>
      <c r="O42" s="0" t="str">
        <f aca="false">IF(OR($A42="",$D42=""),"",IF(AND(EDATE($D42,Milestones!$AA$140)&lt;=AsOfDate,IF($R42=0,$X42,IF(AND($T42&lt;&gt;"",EDATE($D42,Milestones!$AA$140)&gt;=$T42),$W42,IF(AND($S42&lt;&gt;"",EDATE($D42,Milestones!$AA$140)&gt;=$S42),$V42,$U42)))=Milestones!$AB$140),UPPER(TEXT(EDATE($D42,Milestones!$AA$140),"dd mmm yy"))&amp;" "&amp;Milestones!$AB$140&amp;" "&amp;Milestones!$AC$140&amp;";  ","")&amp;IF(AND(EDATE($D42,Milestones!$AA$141)&lt;=AsOfDate,IF($R42=0,$X42,IF(AND($T42&lt;&gt;"",EDATE($D42,Milestones!$AA$141)&gt;=$T42),$W42,IF(AND($S42&lt;&gt;"",EDATE($D42,Milestones!$AA$141)&gt;=$S42),$V42,$U42)))=Milestones!$AB$141),UPPER(TEXT(EDATE($D42,Milestones!$AA$141),"dd mmm yy"))&amp;" "&amp;Milestones!$AB$141&amp;" "&amp;Milestones!$AC$141&amp;";  ","")&amp;IF(AND(EDATE($D42,Milestones!$AA$142)&lt;=AsOfDate,IF($R42=0,$X42,IF(AND($T42&lt;&gt;"",EDATE($D42,Milestones!$AA$142)&gt;=$T42),$W42,IF(AND($S42&lt;&gt;"",EDATE($D42,Milestones!$AA$142)&gt;=$S42),$V42,$U42)))=Milestones!$AB$142),UPPER(TEXT(EDATE($D42,Milestones!$AA$142),"dd mmm yy"))&amp;" "&amp;Milestones!$AB$142&amp;" "&amp;Milestones!$AC$142&amp;";  ","")&amp;IF(AND(EDATE($D42,Milestones!$AA$143)&lt;=AsOfDate,IF($R42=0,$X42,IF(AND($T42&lt;&gt;"",EDATE($D42,Milestones!$AA$143)&gt;=$T42),$W42,IF(AND($S42&lt;&gt;"",EDATE($D42,Milestones!$AA$143)&gt;=$S42),$V42,$U42)))=Milestones!$AB$143),UPPER(TEXT(EDATE($D42,Milestones!$AA$143),"dd mmm yy"))&amp;" "&amp;Milestones!$AB$143&amp;" "&amp;Milestones!$AC$143&amp;";  ","")&amp;IF(AND(EDATE($D42,Milestones!$AA$144)&lt;=AsOfDate,IF($R42=0,$X42,IF(AND($T42&lt;&gt;"",EDATE($D42,Milestones!$AA$144)&gt;=$T42),$W42,IF(AND($S42&lt;&gt;"",EDATE($D42,Milestones!$AA$144)&gt;=$S42),$V42,$U42)))=Milestones!$AB$144),UPPER(TEXT(EDATE($D42,Milestones!$AA$144),"dd mmm yy"))&amp;" "&amp;Milestones!$AB$144&amp;" "&amp;Milestones!$AC$144&amp;";  ","")&amp;IF(AND(EDATE($D42,Milestones!$AA$145)&lt;=AsOfDate,IF($R42=0,$X42,IF(AND($T42&lt;&gt;"",EDATE($D42,Milestones!$AA$145)&gt;=$T42),$W42,IF(AND($S42&lt;&gt;"",EDATE($D42,Milestones!$AA$145)&gt;=$S42),$V42,$U42)))=Milestones!$AB$145),UPPER(TEXT(EDATE($D42,Milestones!$AA$145),"dd mmm yy"))&amp;" "&amp;Milestones!$AB$145&amp;" "&amp;Milestones!$AC$145&amp;";  ","")&amp;IF(AND(EDATE($D42,Milestones!$AA$146)&lt;=AsOfDate,IF($R42=0,$X42,IF(AND($T42&lt;&gt;"",EDATE($D42,Milestones!$AA$146)&gt;=$T42),$W42,IF(AND($S42&lt;&gt;"",EDATE($D42,Milestones!$AA$146)&gt;=$S42),$V42,$U42)))=Milestones!$AB$146),UPPER(TEXT(EDATE($D42,Milestones!$AA$146),"dd mmm yy"))&amp;" "&amp;Milestones!$AB$146&amp;" "&amp;Milestones!$AC$146&amp;";  ","")&amp;IF(AND(EDATE($D42,Milestones!$AA$147)&lt;=AsOfDate,IF($R42=0,$X42,IF(AND($T42&lt;&gt;"",EDATE($D42,Milestones!$AA$147)&gt;=$T42),$W42,IF(AND($S42&lt;&gt;"",EDATE($D42,Milestones!$AA$147)&gt;=$S42),$V42,$U42)))=Milestones!$AB$147),UPPER(TEXT(EDATE($D42,Milestones!$AA$147),"dd mmm yy"))&amp;" "&amp;Milestones!$AB$147&amp;" "&amp;Milestones!$AC$147&amp;";  ","")&amp;IF(AND(EDATE($D42,Milestones!$AA$148)&lt;=AsOfDate,IF($R42=0,$X42,IF(AND($T42&lt;&gt;"",EDATE($D42,Milestones!$AA$148)&gt;=$T42),$W42,IF(AND($S42&lt;&gt;"",EDATE($D42,Milestones!$AA$148)&gt;=$S42),$V42,$U42)))=Milestones!$AB$148),UPPER(TEXT(EDATE($D42,Milestones!$AA$148),"dd mmm yy"))&amp;" "&amp;Milestones!$AB$148&amp;" "&amp;Milestones!$AC$148&amp;";  ","")&amp;IF(AND(EDATE($D42,Milestones!$AA$149)&lt;=AsOfDate,IF($R42=0,$X42,IF(AND($T42&lt;&gt;"",EDATE($D42,Milestones!$AA$149)&gt;=$T42),$W42,IF(AND($S42&lt;&gt;"",EDATE($D42,Milestones!$AA$149)&gt;=$S42),$V42,$U42)))=Milestones!$AB$149),UPPER(TEXT(EDATE($D42,Milestones!$AA$149),"dd mmm yy"))&amp;" "&amp;Milestones!$AB$149&amp;" "&amp;Milestones!$AC$149&amp;";  ","")&amp;IF(AND(EDATE($D42,Milestones!$AA$150)&lt;=AsOfDate,IF($R42=0,$X42,IF(AND($T42&lt;&gt;"",EDATE($D42,Milestones!$AA$150)&gt;=$T42),$W42,IF(AND($S42&lt;&gt;"",EDATE($D42,Milestones!$AA$150)&gt;=$S42),$V42,$U42)))=Milestones!$AB$150),UPPER(TEXT(EDATE($D42,Milestones!$AA$150),"dd mmm yy"))&amp;" "&amp;Milestones!$AB$150&amp;" "&amp;Milestones!$AC$150&amp;";  ","")&amp;IF(AND(EDATE($D42,Milestones!$AA$151)&lt;=AsOfDate,IF($R42=0,$X42,IF(AND($T42&lt;&gt;"",EDATE($D42,Milestones!$AA$151)&gt;=$T42),$W42,IF(AND($S42&lt;&gt;"",EDATE($D42,Milestones!$AA$151)&gt;=$S42),$V42,$U42)))=Milestones!$AB$151),UPPER(TEXT(EDATE($D42,Milestones!$AA$151),"dd mmm yy"))&amp;" "&amp;Milestones!$AB$151&amp;" "&amp;Milestones!$AC$151&amp;";  ","")&amp;IF(AND(EDATE($D42,Milestones!$AA$152)&lt;=AsOfDate,IF($R42=0,$X42,IF(AND($T42&lt;&gt;"",EDATE($D42,Milestones!$AA$152)&gt;=$T42),$W42,IF(AND($S42&lt;&gt;"",EDATE($D42,Milestones!$AA$152)&gt;=$S42),$V42,$U42)))=Milestones!$AB$152),UPPER(TEXT(EDATE($D42,Milestones!$AA$152),"dd mmm yy"))&amp;" "&amp;Milestones!$AB$152&amp;" "&amp;Milestones!$AC$152&amp;";  ","")&amp;IF(AND(EDATE($D42,Milestones!$AA$153)&lt;=AsOfDate,IF($R42=0,$X42,IF(AND($T42&lt;&gt;"",EDATE($D42,Milestones!$AA$153)&gt;=$T42),$W42,IF(AND($S42&lt;&gt;"",EDATE($D42,Milestones!$AA$153)&gt;=$S42),$V42,$U42)))=Milestones!$AB$153),UPPER(TEXT(EDATE($D42,Milestones!$AA$153),"dd mmm yy"))&amp;" "&amp;Milestones!$AB$153&amp;" "&amp;Milestones!$AC$153&amp;";  ","")&amp;IF(AND(EDATE($D42,Milestones!$AA$154)&lt;=AsOfDate,IF($R42=0,$X42,IF(AND($T42&lt;&gt;"",EDATE($D42,Milestones!$AA$154)&gt;=$T42),$W42,IF(AND($S42&lt;&gt;"",EDATE($D42,Milestones!$AA$154)&gt;=$S42),$V42,$U42)))=Milestones!$AB$154),UPPER(TEXT(EDATE($D42,Milestones!$AA$154),"dd mmm yy"))&amp;" "&amp;Milestones!$AB$154&amp;" "&amp;Milestones!$AC$154&amp;";  ","")&amp;IF(AND(EDATE($D42,Milestones!$AA$155)&lt;=AsOfDate,IF($R42=0,$X42,IF(AND($T42&lt;&gt;"",EDATE($D42,Milestones!$AA$155)&gt;=$T42),$W42,IF(AND($S42&lt;&gt;"",EDATE($D42,Milestones!$AA$155)&gt;=$S42),$V42,$U42)))=Milestones!$AB$155),UPPER(TEXT(EDATE($D42,Milestones!$AA$155),"dd mmm yy"))&amp;" "&amp;Milestones!$AB$155&amp;" "&amp;Milestones!$AC$155&amp;";  ","")&amp;IF(AND(EDATE($D42,Milestones!$AA$156)&lt;=AsOfDate,IF($R42=0,$X42,IF(AND($T42&lt;&gt;"",EDATE($D42,Milestones!$AA$156)&gt;=$T42),$W42,IF(AND($S42&lt;&gt;"",EDATE($D42,Milestones!$AA$156)&gt;=$S42),$V42,$U42)))=Milestones!$AB$156),UPPER(TEXT(EDATE($D42,Milestones!$AA$156),"dd mmm yy"))&amp;" "&amp;Milestones!$AB$156&amp;" "&amp;Milestones!$AC$156&amp;";  ","")&amp;IF(AND(EDATE($D42,Milestones!$AA$157)&lt;=AsOfDate,IF($R42=0,$X42,IF(AND($T42&lt;&gt;"",EDATE($D42,Milestones!$AA$157)&gt;=$T42),$W42,IF(AND($S42&lt;&gt;"",EDATE($D42,Milestones!$AA$157)&gt;=$S42),$V42,$U42)))=Milestones!$AB$157),UPPER(TEXT(EDATE($D42,Milestones!$AA$157),"dd mmm yy"))&amp;" "&amp;Milestones!$AB$157&amp;" "&amp;Milestones!$AC$157&amp;";  ","")&amp;IF(AND(EDATE($D42,Milestones!$AA$158)&lt;=AsOfDate,IF($R42=0,$X42,IF(AND($T42&lt;&gt;"",EDATE($D42,Milestones!$AA$158)&gt;=$T42),$W42,IF(AND($S42&lt;&gt;"",EDATE($D42,Milestones!$AA$158)&gt;=$S42),$V42,$U42)))=Milestones!$AB$158),UPPER(TEXT(EDATE($D42,Milestones!$AA$158),"dd mmm yy"))&amp;" "&amp;Milestones!$AB$158&amp;" "&amp;Milestones!$AC$158&amp;";  ","")&amp;IF(AND(EDATE($D42,Milestones!$AA$159)&lt;=AsOfDate,IF($R42=0,$X42,IF(AND($T42&lt;&gt;"",EDATE($D42,Milestones!$AA$159)&gt;=$T42),$W42,IF(AND($S42&lt;&gt;"",EDATE($D42,Milestones!$AA$159)&gt;=$S42),$V42,$U42)))=Milestones!$AB$159),UPPER(TEXT(EDATE($D42,Milestones!$AA$159),"dd mmm yy"))&amp;" "&amp;Milestones!$AB$159&amp;" "&amp;Milestones!$AC$159&amp;";  ",""))</f>
        <v/>
      </c>
      <c r="P42" s="0" t="str">
        <f aca="false">IF(OR($A42="",$D42=""),"",IF(AND(EDATE($D42,Milestones!$AA$160)&lt;=AsOfDate,IF($R42=0,$X42,IF(AND($T42&lt;&gt;"",EDATE($D42,Milestones!$AA$160)&gt;=$T42),$W42,IF(AND($S42&lt;&gt;"",EDATE($D42,Milestones!$AA$160)&gt;=$S42),$V42,$U42)))=Milestones!$AB$160),UPPER(TEXT(EDATE($D42,Milestones!$AA$160),"dd mmm yy"))&amp;" "&amp;Milestones!$AB$160&amp;" "&amp;Milestones!$AC$160&amp;";  ","")&amp;IF(AND(EDATE($D42,Milestones!$AA$161)&lt;=AsOfDate,IF($R42=0,$X42,IF(AND($T42&lt;&gt;"",EDATE($D42,Milestones!$AA$161)&gt;=$T42),$W42,IF(AND($S42&lt;&gt;"",EDATE($D42,Milestones!$AA$161)&gt;=$S42),$V42,$U42)))=Milestones!$AB$161),UPPER(TEXT(EDATE($D42,Milestones!$AA$161),"dd mmm yy"))&amp;" "&amp;Milestones!$AB$161&amp;" "&amp;Milestones!$AC$161&amp;";  ","")&amp;IF(AND(EDATE($D42,Milestones!$AA$162)&lt;=AsOfDate,IF($R42=0,$X42,IF(AND($T42&lt;&gt;"",EDATE($D42,Milestones!$AA$162)&gt;=$T42),$W42,IF(AND($S42&lt;&gt;"",EDATE($D42,Milestones!$AA$162)&gt;=$S42),$V42,$U42)))=Milestones!$AB$162),UPPER(TEXT(EDATE($D42,Milestones!$AA$162),"dd mmm yy"))&amp;" "&amp;Milestones!$AB$162&amp;" "&amp;Milestones!$AC$162&amp;";  ","")&amp;IF(AND(EDATE($D42,Milestones!$AA$163)&lt;=AsOfDate,IF($R42=0,$X42,IF(AND($T42&lt;&gt;"",EDATE($D42,Milestones!$AA$163)&gt;=$T42),$W42,IF(AND($S42&lt;&gt;"",EDATE($D42,Milestones!$AA$163)&gt;=$S42),$V42,$U42)))=Milestones!$AB$163),UPPER(TEXT(EDATE($D42,Milestones!$AA$163),"dd mmm yy"))&amp;" "&amp;Milestones!$AB$163&amp;" "&amp;Milestones!$AC$163&amp;";  ","")&amp;IF(AND(EDATE($D42,Milestones!$AA$164)&lt;=AsOfDate,IF($R42=0,$X42,IF(AND($T42&lt;&gt;"",EDATE($D42,Milestones!$AA$164)&gt;=$T42),$W42,IF(AND($S42&lt;&gt;"",EDATE($D42,Milestones!$AA$164)&gt;=$S42),$V42,$U42)))=Milestones!$AB$164),UPPER(TEXT(EDATE($D42,Milestones!$AA$164),"dd mmm yy"))&amp;" "&amp;Milestones!$AB$164&amp;" "&amp;Milestones!$AC$164&amp;";  ","")&amp;IF(AND(EDATE($D42,Milestones!$AA$165)&lt;=AsOfDate,IF($R42=0,$X42,IF(AND($T42&lt;&gt;"",EDATE($D42,Milestones!$AA$165)&gt;=$T42),$W42,IF(AND($S42&lt;&gt;"",EDATE($D42,Milestones!$AA$165)&gt;=$S42),$V42,$U42)))=Milestones!$AB$165),UPPER(TEXT(EDATE($D42,Milestones!$AA$165),"dd mmm yy"))&amp;" "&amp;Milestones!$AB$165&amp;" "&amp;Milestones!$AC$165&amp;";  ","")&amp;IF(AND(EDATE($D42,Milestones!$AA$166)&lt;=AsOfDate,IF($R42=0,$X42,IF(AND($T42&lt;&gt;"",EDATE($D42,Milestones!$AA$166)&gt;=$T42),$W42,IF(AND($S42&lt;&gt;"",EDATE($D42,Milestones!$AA$166)&gt;=$S42),$V42,$U42)))=Milestones!$AB$166),UPPER(TEXT(EDATE($D42,Milestones!$AA$166),"dd mmm yy"))&amp;" "&amp;Milestones!$AB$166&amp;" "&amp;Milestones!$AC$166&amp;";  ","")&amp;IF(AND(EDATE($D42,Milestones!$AA$167)&lt;=AsOfDate,IF($R42=0,$X42,IF(AND($T42&lt;&gt;"",EDATE($D42,Milestones!$AA$167)&gt;=$T42),$W42,IF(AND($S42&lt;&gt;"",EDATE($D42,Milestones!$AA$167)&gt;=$S42),$V42,$U42)))=Milestones!$AB$167),UPPER(TEXT(EDATE($D42,Milestones!$AA$167),"dd mmm yy"))&amp;" "&amp;Milestones!$AB$167&amp;" "&amp;Milestones!$AC$167&amp;";  ","")&amp;IF(AND(EDATE($D42,Milestones!$AA$168)&lt;=AsOfDate,IF($R42=0,$X42,IF(AND($T42&lt;&gt;"",EDATE($D42,Milestones!$AA$168)&gt;=$T42),$W42,IF(AND($S42&lt;&gt;"",EDATE($D42,Milestones!$AA$168)&gt;=$S42),$V42,$U42)))=Milestones!$AB$168),UPPER(TEXT(EDATE($D42,Milestones!$AA$168),"dd mmm yy"))&amp;" "&amp;Milestones!$AB$168&amp;" "&amp;Milestones!$AC$168&amp;";  ","")&amp;IF(AND(EDATE($D42,Milestones!$AA$169)&lt;=AsOfDate,IF($R42=0,$X42,IF(AND($T42&lt;&gt;"",EDATE($D42,Milestones!$AA$169)&gt;=$T42),$W42,IF(AND($S42&lt;&gt;"",EDATE($D42,Milestones!$AA$169)&gt;=$S42),$V42,$U42)))=Milestones!$AB$169),UPPER(TEXT(EDATE($D42,Milestones!$AA$169),"dd mmm yy"))&amp;" "&amp;Milestones!$AB$169&amp;" "&amp;Milestones!$AC$169&amp;";  ","")&amp;IF(AND(EDATE($D42,Milestones!$AA$170)&lt;=AsOfDate,IF($R42=0,$X42,IF(AND($T42&lt;&gt;"",EDATE($D42,Milestones!$AA$170)&gt;=$T42),$W42,IF(AND($S42&lt;&gt;"",EDATE($D42,Milestones!$AA$170)&gt;=$S42),$V42,$U42)))=Milestones!$AB$170),UPPER(TEXT(EDATE($D42,Milestones!$AA$170),"dd mmm yy"))&amp;" "&amp;Milestones!$AB$170&amp;" "&amp;Milestones!$AC$170&amp;";  ","")&amp;IF(AND(EDATE($D42,Milestones!$AA$171)&lt;=AsOfDate,IF($R42=0,$X42,IF(AND($T42&lt;&gt;"",EDATE($D42,Milestones!$AA$171)&gt;=$T42),$W42,IF(AND($S42&lt;&gt;"",EDATE($D42,Milestones!$AA$171)&gt;=$S42),$V42,$U42)))=Milestones!$AB$171),UPPER(TEXT(EDATE($D42,Milestones!$AA$171),"dd mmm yy"))&amp;" "&amp;Milestones!$AB$171&amp;" "&amp;Milestones!$AC$171&amp;";  ","")&amp;IF(AND(EDATE($D42,Milestones!$AA$172)&lt;=AsOfDate,IF($R42=0,$X42,IF(AND($T42&lt;&gt;"",EDATE($D42,Milestones!$AA$172)&gt;=$T42),$W42,IF(AND($S42&lt;&gt;"",EDATE($D42,Milestones!$AA$172)&gt;=$S42),$V42,$U42)))=Milestones!$AB$172),UPPER(TEXT(EDATE($D42,Milestones!$AA$172),"dd mmm yy"))&amp;" "&amp;Milestones!$AB$172&amp;" "&amp;Milestones!$AC$172&amp;";  ","")&amp;IF(AND(EDATE($D42,Milestones!$AA$173)&lt;=AsOfDate,IF($R42=0,$X42,IF(AND($T42&lt;&gt;"",EDATE($D42,Milestones!$AA$173)&gt;=$T42),$W42,IF(AND($S42&lt;&gt;"",EDATE($D42,Milestones!$AA$173)&gt;=$S42),$V42,$U42)))=Milestones!$AB$173),UPPER(TEXT(EDATE($D42,Milestones!$AA$173),"dd mmm yy"))&amp;" "&amp;Milestones!$AB$173&amp;" "&amp;Milestones!$AC$173&amp;";  ","")&amp;IF(AND(EDATE($D42,Milestones!$AA$174)&lt;=AsOfDate,IF($R42=0,$X42,IF(AND($T42&lt;&gt;"",EDATE($D42,Milestones!$AA$174)&gt;=$T42),$W42,IF(AND($S42&lt;&gt;"",EDATE($D42,Milestones!$AA$174)&gt;=$S42),$V42,$U42)))=Milestones!$AB$174),UPPER(TEXT(EDATE($D42,Milestones!$AA$174),"dd mmm yy"))&amp;" "&amp;Milestones!$AB$174&amp;" "&amp;Milestones!$AC$174&amp;";  ","")&amp;IF(AND(EDATE($D42,Milestones!$AA$175)&lt;=AsOfDate,IF($R42=0,$X42,IF(AND($T42&lt;&gt;"",EDATE($D42,Milestones!$AA$175)&gt;=$T42),$W42,IF(AND($S42&lt;&gt;"",EDATE($D42,Milestones!$AA$175)&gt;=$S42),$V42,$U42)))=Milestones!$AB$175),UPPER(TEXT(EDATE($D42,Milestones!$AA$175),"dd mmm yy"))&amp;" "&amp;Milestones!$AB$175&amp;" "&amp;Milestones!$AC$175&amp;";  ","")&amp;IF(AND(EDATE($D42,Milestones!$AA$176)&lt;=AsOfDate,IF($R42=0,$X42,IF(AND($T42&lt;&gt;"",EDATE($D42,Milestones!$AA$176)&gt;=$T42),$W42,IF(AND($S42&lt;&gt;"",EDATE($D42,Milestones!$AA$176)&gt;=$S42),$V42,$U42)))=Milestones!$AB$176),UPPER(TEXT(EDATE($D42,Milestones!$AA$176),"dd mmm yy"))&amp;" "&amp;Milestones!$AB$176&amp;" "&amp;Milestones!$AC$176&amp;";  ","")&amp;IF(AND(EDATE($D42,Milestones!$AA$177)&lt;=AsOfDate,IF($R42=0,$X42,IF(AND($T42&lt;&gt;"",EDATE($D42,Milestones!$AA$177)&gt;=$T42),$W42,IF(AND($S42&lt;&gt;"",EDATE($D42,Milestones!$AA$177)&gt;=$S42),$V42,$U42)))=Milestones!$AB$177),UPPER(TEXT(EDATE($D42,Milestones!$AA$177),"dd mmm yy"))&amp;" "&amp;Milestones!$AB$177&amp;" "&amp;Milestones!$AC$177&amp;";  ","")&amp;IF(AND(EDATE($D42,Milestones!$AA$178)&lt;=AsOfDate,IF($R42=0,$X42,IF(AND($T42&lt;&gt;"",EDATE($D42,Milestones!$AA$178)&gt;=$T42),$W42,IF(AND($S42&lt;&gt;"",EDATE($D42,Milestones!$AA$178)&gt;=$S42),$V42,$U42)))=Milestones!$AB$178),UPPER(TEXT(EDATE($D42,Milestones!$AA$178),"dd mmm yy"))&amp;" "&amp;Milestones!$AB$178&amp;" "&amp;Milestones!$AC$178&amp;";  ","")&amp;IF(AND(EDATE($D42,Milestones!$AA$179)&lt;=AsOfDate,IF($R42=0,$X42,IF(AND($T42&lt;&gt;"",EDATE($D42,Milestones!$AA$179)&gt;=$T42),$W42,IF(AND($S42&lt;&gt;"",EDATE($D42,Milestones!$AA$179)&gt;=$S42),$V42,$U42)))=Milestones!$AB$179),UPPER(TEXT(EDATE($D42,Milestones!$AA$179),"dd mmm yy"))&amp;" "&amp;Milestones!$AB$179&amp;" "&amp;Milestones!$AC$179&amp;";  ",""))</f>
        <v/>
      </c>
      <c r="Q42" s="0" t="str">
        <f aca="false">IF(OR($A42="",$D42=""),"",IF(AND(EDATE($D42,Milestones!$AA$180)&lt;=AsOfDate,IF($R42=0,$X42,IF(AND($T42&lt;&gt;"",EDATE($D42,Milestones!$AA$180)&gt;=$T42),$W42,IF(AND($S42&lt;&gt;"",EDATE($D42,Milestones!$AA$180)&gt;=$S42),$V42,$U42)))=Milestones!$AB$180),UPPER(TEXT(EDATE($D42,Milestones!$AA$180),"dd mmm yy"))&amp;" "&amp;Milestones!$AB$180&amp;" "&amp;Milestones!$AC$180&amp;";  ","")&amp;IF(AND(EDATE($D42,Milestones!$AA$181)&lt;=AsOfDate,IF($R42=0,$X42,IF(AND($T42&lt;&gt;"",EDATE($D42,Milestones!$AA$181)&gt;=$T42),$W42,IF(AND($S42&lt;&gt;"",EDATE($D42,Milestones!$AA$181)&gt;=$S42),$V42,$U42)))=Milestones!$AB$181),UPPER(TEXT(EDATE($D42,Milestones!$AA$181),"dd mmm yy"))&amp;" "&amp;Milestones!$AB$181&amp;" "&amp;Milestones!$AC$181&amp;";  ","")&amp;IF(AND(EDATE($D42,Milestones!$AA$182)&lt;=AsOfDate,IF($R42=0,$X42,IF(AND($T42&lt;&gt;"",EDATE($D42,Milestones!$AA$182)&gt;=$T42),$W42,IF(AND($S42&lt;&gt;"",EDATE($D42,Milestones!$AA$182)&gt;=$S42),$V42,$U42)))=Milestones!$AB$182),UPPER(TEXT(EDATE($D42,Milestones!$AA$182),"dd mmm yy"))&amp;" "&amp;Milestones!$AB$182&amp;" "&amp;Milestones!$AC$182&amp;";  ","")&amp;IF(AND(EDATE($D42,Milestones!$AA$183)&lt;=AsOfDate,IF($R42=0,$X42,IF(AND($T42&lt;&gt;"",EDATE($D42,Milestones!$AA$183)&gt;=$T42),$W42,IF(AND($S42&lt;&gt;"",EDATE($D42,Milestones!$AA$183)&gt;=$S42),$V42,$U42)))=Milestones!$AB$183),UPPER(TEXT(EDATE($D42,Milestones!$AA$183),"dd mmm yy"))&amp;" "&amp;Milestones!$AB$183&amp;" "&amp;Milestones!$AC$183&amp;";  ","")&amp;IF(AND(EDATE($D42,Milestones!$AA$184)&lt;=AsOfDate,IF($R42=0,$X42,IF(AND($T42&lt;&gt;"",EDATE($D42,Milestones!$AA$184)&gt;=$T42),$W42,IF(AND($S42&lt;&gt;"",EDATE($D42,Milestones!$AA$184)&gt;=$S42),$V42,$U42)))=Milestones!$AB$184),UPPER(TEXT(EDATE($D42,Milestones!$AA$184),"dd mmm yy"))&amp;" "&amp;Milestones!$AB$184&amp;" "&amp;Milestones!$AC$184&amp;";  ","")&amp;IF(AND(EDATE($D42,Milestones!$AA$185)&lt;=AsOfDate,IF($R42=0,$X42,IF(AND($T42&lt;&gt;"",EDATE($D42,Milestones!$AA$185)&gt;=$T42),$W42,IF(AND($S42&lt;&gt;"",EDATE($D42,Milestones!$AA$185)&gt;=$S42),$V42,$U42)))=Milestones!$AB$185),UPPER(TEXT(EDATE($D42,Milestones!$AA$185),"dd mmm yy"))&amp;" "&amp;Milestones!$AB$185&amp;" "&amp;Milestones!$AC$185&amp;";  ","")&amp;IF(AND(EDATE($D42,Milestones!$AA$186)&lt;=AsOfDate,IF($R42=0,$X42,IF(AND($T42&lt;&gt;"",EDATE($D42,Milestones!$AA$186)&gt;=$T42),$W42,IF(AND($S42&lt;&gt;"",EDATE($D42,Milestones!$AA$186)&gt;=$S42),$V42,$U42)))=Milestones!$AB$186),UPPER(TEXT(EDATE($D42,Milestones!$AA$186),"dd mmm yy"))&amp;" "&amp;Milestones!$AB$186&amp;" "&amp;Milestones!$AC$186&amp;";  ","")&amp;IF(AND(EDATE($D42,Milestones!$AA$187)&lt;=AsOfDate,IF($R42=0,$X42,IF(AND($T42&lt;&gt;"",EDATE($D42,Milestones!$AA$187)&gt;=$T42),$W42,IF(AND($S42&lt;&gt;"",EDATE($D42,Milestones!$AA$187)&gt;=$S42),$V42,$U42)))=Milestones!$AB$187),UPPER(TEXT(EDATE($D42,Milestones!$AA$187),"dd mmm yy"))&amp;" "&amp;Milestones!$AB$187&amp;" "&amp;Milestones!$AC$187&amp;";  ","")&amp;IF(AND(EDATE($D42,Milestones!$AA$188)&lt;=AsOfDate,IF($R42=0,$X42,IF(AND($T42&lt;&gt;"",EDATE($D42,Milestones!$AA$188)&gt;=$T42),$W42,IF(AND($S42&lt;&gt;"",EDATE($D42,Milestones!$AA$188)&gt;=$S42),$V42,$U42)))=Milestones!$AB$188),UPPER(TEXT(EDATE($D42,Milestones!$AA$188),"dd mmm yy"))&amp;" "&amp;Milestones!$AB$188&amp;" "&amp;Milestones!$AC$188&amp;";  ","")&amp;IF(AND(EDATE($D42,Milestones!$AA$189)&lt;=AsOfDate,IF($R42=0,$X42,IF(AND($T42&lt;&gt;"",EDATE($D42,Milestones!$AA$189)&gt;=$T42),$W42,IF(AND($S42&lt;&gt;"",EDATE($D42,Milestones!$AA$189)&gt;=$S42),$V42,$U42)))=Milestones!$AB$189),UPPER(TEXT(EDATE($D42,Milestones!$AA$189),"dd mmm yy"))&amp;" "&amp;Milestones!$AB$189&amp;" "&amp;Milestones!$AC$189&amp;";  ","")&amp;IF(AND(EDATE($D42,Milestones!$AA$190)&lt;=AsOfDate,IF($R42=0,$X42,IF(AND($T42&lt;&gt;"",EDATE($D42,Milestones!$AA$190)&gt;=$T42),$W42,IF(AND($S42&lt;&gt;"",EDATE($D42,Milestones!$AA$190)&gt;=$S42),$V42,$U42)))=Milestones!$AB$190),UPPER(TEXT(EDATE($D42,Milestones!$AA$190),"dd mmm yy"))&amp;" "&amp;Milestones!$AB$190&amp;" "&amp;Milestones!$AC$190&amp;";  ","")&amp;IF(AND(EDATE($D42,Milestones!$AA$191)&lt;=AsOfDate,IF($R42=0,$X42,IF(AND($T42&lt;&gt;"",EDATE($D42,Milestones!$AA$191)&gt;=$T42),$W42,IF(AND($S42&lt;&gt;"",EDATE($D42,Milestones!$AA$191)&gt;=$S42),$V42,$U42)))=Milestones!$AB$191),UPPER(TEXT(EDATE($D42,Milestones!$AA$191),"dd mmm yy"))&amp;" "&amp;Milestones!$AB$191&amp;" "&amp;Milestones!$AC$191&amp;";  ","")&amp;IF(AND(EDATE($D42,Milestones!$AA$192)&lt;=AsOfDate,IF($R42=0,$X42,IF(AND($T42&lt;&gt;"",EDATE($D42,Milestones!$AA$192)&gt;=$T42),$W42,IF(AND($S42&lt;&gt;"",EDATE($D42,Milestones!$AA$192)&gt;=$S42),$V42,$U42)))=Milestones!$AB$192),UPPER(TEXT(EDATE($D42,Milestones!$AA$192),"dd mmm yy"))&amp;" "&amp;Milestones!$AB$192&amp;" "&amp;Milestones!$AC$192&amp;";  ","")&amp;IF(AND(EDATE($D42,Milestones!$AA$193)&lt;=AsOfDate,IF($R42=0,$X42,IF(AND($T42&lt;&gt;"",EDATE($D42,Milestones!$AA$193)&gt;=$T42),$W42,IF(AND($S42&lt;&gt;"",EDATE($D42,Milestones!$AA$193)&gt;=$S42),$V42,$U42)))=Milestones!$AB$193),UPPER(TEXT(EDATE($D42,Milestones!$AA$193),"dd mmm yy"))&amp;" "&amp;Milestones!$AB$193&amp;" "&amp;Milestones!$AC$193&amp;";  ","")&amp;IF(AND(EDATE($D42,Milestones!$AA$194)&lt;=AsOfDate,IF($R42=0,$X42,IF(AND($T42&lt;&gt;"",EDATE($D42,Milestones!$AA$194)&gt;=$T42),$W42,IF(AND($S42&lt;&gt;"",EDATE($D42,Milestones!$AA$194)&gt;=$S42),$V42,$U42)))=Milestones!$AB$194),UPPER(TEXT(EDATE($D42,Milestones!$AA$194),"dd mmm yy"))&amp;" "&amp;Milestones!$AB$194&amp;" "&amp;Milestones!$AC$194&amp;";  ","")&amp;IF(AND(EDATE($D42,Milestones!$AA$195)&lt;=AsOfDate,IF($R42=0,$X42,IF(AND($T42&lt;&gt;"",EDATE($D42,Milestones!$AA$195)&gt;=$T42),$W42,IF(AND($S42&lt;&gt;"",EDATE($D42,Milestones!$AA$195)&gt;=$S42),$V42,$U42)))=Milestones!$AB$195),UPPER(TEXT(EDATE($D42,Milestones!$AA$195),"dd mmm yy"))&amp;" "&amp;Milestones!$AB$195&amp;" "&amp;Milestones!$AC$195&amp;";  ","")&amp;IF(AND(EDATE($D42,Milestones!$AA$196)&lt;=AsOfDate,IF($R42=0,$X42,IF(AND($T42&lt;&gt;"",EDATE($D42,Milestones!$AA$196)&gt;=$T42),$W42,IF(AND($S42&lt;&gt;"",EDATE($D42,Milestones!$AA$196)&gt;=$S42),$V42,$U42)))=Milestones!$AB$196),UPPER(TEXT(EDATE($D42,Milestones!$AA$196),"dd mmm yy"))&amp;" "&amp;Milestones!$AB$196&amp;" "&amp;Milestones!$AC$196&amp;";  ","")&amp;IF(AND(EDATE($D42,Milestones!$AA$197)&lt;=AsOfDate,IF($R42=0,$X42,IF(AND($T42&lt;&gt;"",EDATE($D42,Milestones!$AA$197)&gt;=$T42),$W42,IF(AND($S42&lt;&gt;"",EDATE($D42,Milestones!$AA$197)&gt;=$S42),$V42,$U42)))=Milestones!$AB$197),UPPER(TEXT(EDATE($D42,Milestones!$AA$197),"dd mmm yy"))&amp;" "&amp;Milestones!$AB$197&amp;" "&amp;Milestones!$AC$197&amp;";  ","")&amp;IF(AND(EDATE($D42,Milestones!$AA$198)&lt;=AsOfDate,IF($R42=0,$X42,IF(AND($T42&lt;&gt;"",EDATE($D42,Milestones!$AA$198)&gt;=$T42),$W42,IF(AND($S42&lt;&gt;"",EDATE($D42,Milestones!$AA$198)&gt;=$S42),$V42,$U42)))=Milestones!$AB$198),UPPER(TEXT(EDATE($D42,Milestones!$AA$198),"dd mmm yy"))&amp;" "&amp;Milestones!$AB$198&amp;" "&amp;Milestones!$AC$198&amp;";  ","")&amp;IF(AND(EDATE($D42,Milestones!$AA$199)&lt;=AsOfDate,IF($R42=0,$X42,IF(AND($T42&lt;&gt;"",EDATE($D42,Milestones!$AA$199)&gt;=$T42),$W42,IF(AND($S42&lt;&gt;"",EDATE($D42,Milestones!$AA$199)&gt;=$S42),$V42,$U42)))=Milestones!$AB$199),UPPER(TEXT(EDATE($D42,Milestones!$AA$199),"dd mmm yy"))&amp;" "&amp;Milestones!$AB$199&amp;" "&amp;Milestones!$AC$199&amp;";  ",""))</f>
        <v/>
      </c>
      <c r="R42" s="33" t="n">
        <f aca="false">IF(Staff!$A42="","",Staff!$AI42)</f>
        <v>0</v>
      </c>
      <c r="S42" s="0" t="str">
        <f aca="false">IF(Staff!$A42="","",Staff!$AK42)</f>
        <v/>
      </c>
      <c r="T42" s="0" t="str">
        <f aca="false">IF(Staff!$A42="","",Staff!$AL42)</f>
        <v/>
      </c>
      <c r="U42" s="0" t="str">
        <f aca="false">IF(Staff!$A42="","",Staff!$AP42)</f>
        <v>None</v>
      </c>
      <c r="V42" s="0" t="str">
        <f aca="false">IF(Staff!$A42="","",Staff!$AQ42)</f>
        <v/>
      </c>
      <c r="W42" s="0" t="str">
        <f aca="false">IF(Staff!$A42="","",Staff!$AR42)</f>
        <v/>
      </c>
      <c r="X42" s="0" t="str">
        <f aca="false">IF(Staff!$A42="","",Staff!$AS42)</f>
        <v>None</v>
      </c>
    </row>
    <row r="43" customFormat="false" ht="15" hidden="false" customHeight="false" outlineLevel="0" collapsed="false">
      <c r="A43" s="19" t="str">
        <f aca="false">IF(Staff!$A43="","",Staff!$A43)</f>
        <v>John</v>
      </c>
      <c r="B43" s="19" t="str">
        <f aca="false">IF(Staff!$A43="","",Staff!$B43)</f>
        <v>Rizvi</v>
      </c>
      <c r="C43" s="19" t="str">
        <f aca="false">IF(Staff!$A43="","",Staff!$C43)</f>
        <v>Full-Time</v>
      </c>
      <c r="D43" s="17" t="n">
        <f aca="false">IF(Staff!$A43="","",Staff!$AH43)</f>
        <v>46049</v>
      </c>
      <c r="E43" s="20" t="n">
        <f aca="false">IF(Staff!$A43="","",Staff!$O43)</f>
        <v>0</v>
      </c>
      <c r="F43" s="19" t="n">
        <f aca="false">IF(E43="","",E43*HoursPerDay)</f>
        <v>0</v>
      </c>
      <c r="G43" s="20" t="n">
        <f aca="false">IF(Staff!$A43="","",Staff!$AE43)</f>
        <v>0</v>
      </c>
      <c r="H43" s="32" t="str">
        <f aca="false">IF($A43="","",I43&amp;J43&amp;K43&amp;L43&amp;M43&amp;N43&amp;O43&amp;P43&amp;Q43)</f>
        <v/>
      </c>
      <c r="I43" s="0" t="str">
        <f aca="false">IF(OR($A43="",$D43=""),"",IF(AND(EDATE($D43,Milestones!$AA$20)&lt;=AsOfDate,IF($R43=0,$X43,IF(AND($T43&lt;&gt;"",EDATE($D43,Milestones!$AA$20)&gt;=$T43),$W43,IF(AND($S43&lt;&gt;"",EDATE($D43,Milestones!$AA$20)&gt;=$S43),$V43,$U43)))=Milestones!$AB$20),UPPER(TEXT(EDATE($D43,Milestones!$AA$20),"dd mmm yy"))&amp;" "&amp;Milestones!$AB$20&amp;" "&amp;Milestones!$AC$20&amp;";  ","")&amp;IF(AND(EDATE($D43,Milestones!$AA$21)&lt;=AsOfDate,IF($R43=0,$X43,IF(AND($T43&lt;&gt;"",EDATE($D43,Milestones!$AA$21)&gt;=$T43),$W43,IF(AND($S43&lt;&gt;"",EDATE($D43,Milestones!$AA$21)&gt;=$S43),$V43,$U43)))=Milestones!$AB$21),UPPER(TEXT(EDATE($D43,Milestones!$AA$21),"dd mmm yy"))&amp;" "&amp;Milestones!$AB$21&amp;" "&amp;Milestones!$AC$21&amp;";  ","")&amp;IF(AND(EDATE($D43,Milestones!$AA$22)&lt;=AsOfDate,IF($R43=0,$X43,IF(AND($T43&lt;&gt;"",EDATE($D43,Milestones!$AA$22)&gt;=$T43),$W43,IF(AND($S43&lt;&gt;"",EDATE($D43,Milestones!$AA$22)&gt;=$S43),$V43,$U43)))=Milestones!$AB$22),UPPER(TEXT(EDATE($D43,Milestones!$AA$22),"dd mmm yy"))&amp;" "&amp;Milestones!$AB$22&amp;" "&amp;Milestones!$AC$22&amp;";  ","")&amp;IF(AND(EDATE($D43,Milestones!$AA$23)&lt;=AsOfDate,IF($R43=0,$X43,IF(AND($T43&lt;&gt;"",EDATE($D43,Milestones!$AA$23)&gt;=$T43),$W43,IF(AND($S43&lt;&gt;"",EDATE($D43,Milestones!$AA$23)&gt;=$S43),$V43,$U43)))=Milestones!$AB$23),UPPER(TEXT(EDATE($D43,Milestones!$AA$23),"dd mmm yy"))&amp;" "&amp;Milestones!$AB$23&amp;" "&amp;Milestones!$AC$23&amp;";  ","")&amp;IF(AND(EDATE($D43,Milestones!$AA$24)&lt;=AsOfDate,IF($R43=0,$X43,IF(AND($T43&lt;&gt;"",EDATE($D43,Milestones!$AA$24)&gt;=$T43),$W43,IF(AND($S43&lt;&gt;"",EDATE($D43,Milestones!$AA$24)&gt;=$S43),$V43,$U43)))=Milestones!$AB$24),UPPER(TEXT(EDATE($D43,Milestones!$AA$24),"dd mmm yy"))&amp;" "&amp;Milestones!$AB$24&amp;" "&amp;Milestones!$AC$24&amp;";  ","")&amp;IF(AND(EDATE($D43,Milestones!$AA$25)&lt;=AsOfDate,IF($R43=0,$X43,IF(AND($T43&lt;&gt;"",EDATE($D43,Milestones!$AA$25)&gt;=$T43),$W43,IF(AND($S43&lt;&gt;"",EDATE($D43,Milestones!$AA$25)&gt;=$S43),$V43,$U43)))=Milestones!$AB$25),UPPER(TEXT(EDATE($D43,Milestones!$AA$25),"dd mmm yy"))&amp;" "&amp;Milestones!$AB$25&amp;" "&amp;Milestones!$AC$25&amp;";  ","")&amp;IF(AND(EDATE($D43,Milestones!$AA$26)&lt;=AsOfDate,IF($R43=0,$X43,IF(AND($T43&lt;&gt;"",EDATE($D43,Milestones!$AA$26)&gt;=$T43),$W43,IF(AND($S43&lt;&gt;"",EDATE($D43,Milestones!$AA$26)&gt;=$S43),$V43,$U43)))=Milestones!$AB$26),UPPER(TEXT(EDATE($D43,Milestones!$AA$26),"dd mmm yy"))&amp;" "&amp;Milestones!$AB$26&amp;" "&amp;Milestones!$AC$26&amp;";  ","")&amp;IF(AND(EDATE($D43,Milestones!$AA$27)&lt;=AsOfDate,IF($R43=0,$X43,IF(AND($T43&lt;&gt;"",EDATE($D43,Milestones!$AA$27)&gt;=$T43),$W43,IF(AND($S43&lt;&gt;"",EDATE($D43,Milestones!$AA$27)&gt;=$S43),$V43,$U43)))=Milestones!$AB$27),UPPER(TEXT(EDATE($D43,Milestones!$AA$27),"dd mmm yy"))&amp;" "&amp;Milestones!$AB$27&amp;" "&amp;Milestones!$AC$27&amp;";  ","")&amp;IF(AND(EDATE($D43,Milestones!$AA$28)&lt;=AsOfDate,IF($R43=0,$X43,IF(AND($T43&lt;&gt;"",EDATE($D43,Milestones!$AA$28)&gt;=$T43),$W43,IF(AND($S43&lt;&gt;"",EDATE($D43,Milestones!$AA$28)&gt;=$S43),$V43,$U43)))=Milestones!$AB$28),UPPER(TEXT(EDATE($D43,Milestones!$AA$28),"dd mmm yy"))&amp;" "&amp;Milestones!$AB$28&amp;" "&amp;Milestones!$AC$28&amp;";  ","")&amp;IF(AND(EDATE($D43,Milestones!$AA$29)&lt;=AsOfDate,IF($R43=0,$X43,IF(AND($T43&lt;&gt;"",EDATE($D43,Milestones!$AA$29)&gt;=$T43),$W43,IF(AND($S43&lt;&gt;"",EDATE($D43,Milestones!$AA$29)&gt;=$S43),$V43,$U43)))=Milestones!$AB$29),UPPER(TEXT(EDATE($D43,Milestones!$AA$29),"dd mmm yy"))&amp;" "&amp;Milestones!$AB$29&amp;" "&amp;Milestones!$AC$29&amp;";  ","")&amp;IF(AND(EDATE($D43,Milestones!$AA$30)&lt;=AsOfDate,IF($R43=0,$X43,IF(AND($T43&lt;&gt;"",EDATE($D43,Milestones!$AA$30)&gt;=$T43),$W43,IF(AND($S43&lt;&gt;"",EDATE($D43,Milestones!$AA$30)&gt;=$S43),$V43,$U43)))=Milestones!$AB$30),UPPER(TEXT(EDATE($D43,Milestones!$AA$30),"dd mmm yy"))&amp;" "&amp;Milestones!$AB$30&amp;" "&amp;Milestones!$AC$30&amp;";  ","")&amp;IF(AND(EDATE($D43,Milestones!$AA$31)&lt;=AsOfDate,IF($R43=0,$X43,IF(AND($T43&lt;&gt;"",EDATE($D43,Milestones!$AA$31)&gt;=$T43),$W43,IF(AND($S43&lt;&gt;"",EDATE($D43,Milestones!$AA$31)&gt;=$S43),$V43,$U43)))=Milestones!$AB$31),UPPER(TEXT(EDATE($D43,Milestones!$AA$31),"dd mmm yy"))&amp;" "&amp;Milestones!$AB$31&amp;" "&amp;Milestones!$AC$31&amp;";  ","")&amp;IF(AND(EDATE($D43,Milestones!$AA$32)&lt;=AsOfDate,IF($R43=0,$X43,IF(AND($T43&lt;&gt;"",EDATE($D43,Milestones!$AA$32)&gt;=$T43),$W43,IF(AND($S43&lt;&gt;"",EDATE($D43,Milestones!$AA$32)&gt;=$S43),$V43,$U43)))=Milestones!$AB$32),UPPER(TEXT(EDATE($D43,Milestones!$AA$32),"dd mmm yy"))&amp;" "&amp;Milestones!$AB$32&amp;" "&amp;Milestones!$AC$32&amp;";  ","")&amp;IF(AND(EDATE($D43,Milestones!$AA$33)&lt;=AsOfDate,IF($R43=0,$X43,IF(AND($T43&lt;&gt;"",EDATE($D43,Milestones!$AA$33)&gt;=$T43),$W43,IF(AND($S43&lt;&gt;"",EDATE($D43,Milestones!$AA$33)&gt;=$S43),$V43,$U43)))=Milestones!$AB$33),UPPER(TEXT(EDATE($D43,Milestones!$AA$33),"dd mmm yy"))&amp;" "&amp;Milestones!$AB$33&amp;" "&amp;Milestones!$AC$33&amp;";  ","")&amp;IF(AND(EDATE($D43,Milestones!$AA$34)&lt;=AsOfDate,IF($R43=0,$X43,IF(AND($T43&lt;&gt;"",EDATE($D43,Milestones!$AA$34)&gt;=$T43),$W43,IF(AND($S43&lt;&gt;"",EDATE($D43,Milestones!$AA$34)&gt;=$S43),$V43,$U43)))=Milestones!$AB$34),UPPER(TEXT(EDATE($D43,Milestones!$AA$34),"dd mmm yy"))&amp;" "&amp;Milestones!$AB$34&amp;" "&amp;Milestones!$AC$34&amp;";  ","")&amp;IF(AND(EDATE($D43,Milestones!$AA$35)&lt;=AsOfDate,IF($R43=0,$X43,IF(AND($T43&lt;&gt;"",EDATE($D43,Milestones!$AA$35)&gt;=$T43),$W43,IF(AND($S43&lt;&gt;"",EDATE($D43,Milestones!$AA$35)&gt;=$S43),$V43,$U43)))=Milestones!$AB$35),UPPER(TEXT(EDATE($D43,Milestones!$AA$35),"dd mmm yy"))&amp;" "&amp;Milestones!$AB$35&amp;" "&amp;Milestones!$AC$35&amp;";  ","")&amp;IF(AND(EDATE($D43,Milestones!$AA$36)&lt;=AsOfDate,IF($R43=0,$X43,IF(AND($T43&lt;&gt;"",EDATE($D43,Milestones!$AA$36)&gt;=$T43),$W43,IF(AND($S43&lt;&gt;"",EDATE($D43,Milestones!$AA$36)&gt;=$S43),$V43,$U43)))=Milestones!$AB$36),UPPER(TEXT(EDATE($D43,Milestones!$AA$36),"dd mmm yy"))&amp;" "&amp;Milestones!$AB$36&amp;" "&amp;Milestones!$AC$36&amp;";  ","")&amp;IF(AND(EDATE($D43,Milestones!$AA$37)&lt;=AsOfDate,IF($R43=0,$X43,IF(AND($T43&lt;&gt;"",EDATE($D43,Milestones!$AA$37)&gt;=$T43),$W43,IF(AND($S43&lt;&gt;"",EDATE($D43,Milestones!$AA$37)&gt;=$S43),$V43,$U43)))=Milestones!$AB$37),UPPER(TEXT(EDATE($D43,Milestones!$AA$37),"dd mmm yy"))&amp;" "&amp;Milestones!$AB$37&amp;" "&amp;Milestones!$AC$37&amp;";  ","")&amp;IF(AND(EDATE($D43,Milestones!$AA$38)&lt;=AsOfDate,IF($R43=0,$X43,IF(AND($T43&lt;&gt;"",EDATE($D43,Milestones!$AA$38)&gt;=$T43),$W43,IF(AND($S43&lt;&gt;"",EDATE($D43,Milestones!$AA$38)&gt;=$S43),$V43,$U43)))=Milestones!$AB$38),UPPER(TEXT(EDATE($D43,Milestones!$AA$38),"dd mmm yy"))&amp;" "&amp;Milestones!$AB$38&amp;" "&amp;Milestones!$AC$38&amp;";  ","")&amp;IF(AND(EDATE($D43,Milestones!$AA$39)&lt;=AsOfDate,IF($R43=0,$X43,IF(AND($T43&lt;&gt;"",EDATE($D43,Milestones!$AA$39)&gt;=$T43),$W43,IF(AND($S43&lt;&gt;"",EDATE($D43,Milestones!$AA$39)&gt;=$S43),$V43,$U43)))=Milestones!$AB$39),UPPER(TEXT(EDATE($D43,Milestones!$AA$39),"dd mmm yy"))&amp;" "&amp;Milestones!$AB$39&amp;" "&amp;Milestones!$AC$39&amp;";  ",""))</f>
        <v/>
      </c>
      <c r="J43" s="0" t="str">
        <f aca="false">IF(OR($A43="",$D43=""),"",IF(AND(EDATE($D43,Milestones!$AA$40)&lt;=AsOfDate,IF($R43=0,$X43,IF(AND($T43&lt;&gt;"",EDATE($D43,Milestones!$AA$40)&gt;=$T43),$W43,IF(AND($S43&lt;&gt;"",EDATE($D43,Milestones!$AA$40)&gt;=$S43),$V43,$U43)))=Milestones!$AB$40),UPPER(TEXT(EDATE($D43,Milestones!$AA$40),"dd mmm yy"))&amp;" "&amp;Milestones!$AB$40&amp;" "&amp;Milestones!$AC$40&amp;";  ","")&amp;IF(AND(EDATE($D43,Milestones!$AA$41)&lt;=AsOfDate,IF($R43=0,$X43,IF(AND($T43&lt;&gt;"",EDATE($D43,Milestones!$AA$41)&gt;=$T43),$W43,IF(AND($S43&lt;&gt;"",EDATE($D43,Milestones!$AA$41)&gt;=$S43),$V43,$U43)))=Milestones!$AB$41),UPPER(TEXT(EDATE($D43,Milestones!$AA$41),"dd mmm yy"))&amp;" "&amp;Milestones!$AB$41&amp;" "&amp;Milestones!$AC$41&amp;";  ","")&amp;IF(AND(EDATE($D43,Milestones!$AA$42)&lt;=AsOfDate,IF($R43=0,$X43,IF(AND($T43&lt;&gt;"",EDATE($D43,Milestones!$AA$42)&gt;=$T43),$W43,IF(AND($S43&lt;&gt;"",EDATE($D43,Milestones!$AA$42)&gt;=$S43),$V43,$U43)))=Milestones!$AB$42),UPPER(TEXT(EDATE($D43,Milestones!$AA$42),"dd mmm yy"))&amp;" "&amp;Milestones!$AB$42&amp;" "&amp;Milestones!$AC$42&amp;";  ","")&amp;IF(AND(EDATE($D43,Milestones!$AA$43)&lt;=AsOfDate,IF($R43=0,$X43,IF(AND($T43&lt;&gt;"",EDATE($D43,Milestones!$AA$43)&gt;=$T43),$W43,IF(AND($S43&lt;&gt;"",EDATE($D43,Milestones!$AA$43)&gt;=$S43),$V43,$U43)))=Milestones!$AB$43),UPPER(TEXT(EDATE($D43,Milestones!$AA$43),"dd mmm yy"))&amp;" "&amp;Milestones!$AB$43&amp;" "&amp;Milestones!$AC$43&amp;";  ","")&amp;IF(AND(EDATE($D43,Milestones!$AA$44)&lt;=AsOfDate,IF($R43=0,$X43,IF(AND($T43&lt;&gt;"",EDATE($D43,Milestones!$AA$44)&gt;=$T43),$W43,IF(AND($S43&lt;&gt;"",EDATE($D43,Milestones!$AA$44)&gt;=$S43),$V43,$U43)))=Milestones!$AB$44),UPPER(TEXT(EDATE($D43,Milestones!$AA$44),"dd mmm yy"))&amp;" "&amp;Milestones!$AB$44&amp;" "&amp;Milestones!$AC$44&amp;";  ","")&amp;IF(AND(EDATE($D43,Milestones!$AA$45)&lt;=AsOfDate,IF($R43=0,$X43,IF(AND($T43&lt;&gt;"",EDATE($D43,Milestones!$AA$45)&gt;=$T43),$W43,IF(AND($S43&lt;&gt;"",EDATE($D43,Milestones!$AA$45)&gt;=$S43),$V43,$U43)))=Milestones!$AB$45),UPPER(TEXT(EDATE($D43,Milestones!$AA$45),"dd mmm yy"))&amp;" "&amp;Milestones!$AB$45&amp;" "&amp;Milestones!$AC$45&amp;";  ","")&amp;IF(AND(EDATE($D43,Milestones!$AA$46)&lt;=AsOfDate,IF($R43=0,$X43,IF(AND($T43&lt;&gt;"",EDATE($D43,Milestones!$AA$46)&gt;=$T43),$W43,IF(AND($S43&lt;&gt;"",EDATE($D43,Milestones!$AA$46)&gt;=$S43),$V43,$U43)))=Milestones!$AB$46),UPPER(TEXT(EDATE($D43,Milestones!$AA$46),"dd mmm yy"))&amp;" "&amp;Milestones!$AB$46&amp;" "&amp;Milestones!$AC$46&amp;";  ","")&amp;IF(AND(EDATE($D43,Milestones!$AA$47)&lt;=AsOfDate,IF($R43=0,$X43,IF(AND($T43&lt;&gt;"",EDATE($D43,Milestones!$AA$47)&gt;=$T43),$W43,IF(AND($S43&lt;&gt;"",EDATE($D43,Milestones!$AA$47)&gt;=$S43),$V43,$U43)))=Milestones!$AB$47),UPPER(TEXT(EDATE($D43,Milestones!$AA$47),"dd mmm yy"))&amp;" "&amp;Milestones!$AB$47&amp;" "&amp;Milestones!$AC$47&amp;";  ","")&amp;IF(AND(EDATE($D43,Milestones!$AA$48)&lt;=AsOfDate,IF($R43=0,$X43,IF(AND($T43&lt;&gt;"",EDATE($D43,Milestones!$AA$48)&gt;=$T43),$W43,IF(AND($S43&lt;&gt;"",EDATE($D43,Milestones!$AA$48)&gt;=$S43),$V43,$U43)))=Milestones!$AB$48),UPPER(TEXT(EDATE($D43,Milestones!$AA$48),"dd mmm yy"))&amp;" "&amp;Milestones!$AB$48&amp;" "&amp;Milestones!$AC$48&amp;";  ","")&amp;IF(AND(EDATE($D43,Milestones!$AA$49)&lt;=AsOfDate,IF($R43=0,$X43,IF(AND($T43&lt;&gt;"",EDATE($D43,Milestones!$AA$49)&gt;=$T43),$W43,IF(AND($S43&lt;&gt;"",EDATE($D43,Milestones!$AA$49)&gt;=$S43),$V43,$U43)))=Milestones!$AB$49),UPPER(TEXT(EDATE($D43,Milestones!$AA$49),"dd mmm yy"))&amp;" "&amp;Milestones!$AB$49&amp;" "&amp;Milestones!$AC$49&amp;";  ","")&amp;IF(AND(EDATE($D43,Milestones!$AA$50)&lt;=AsOfDate,IF($R43=0,$X43,IF(AND($T43&lt;&gt;"",EDATE($D43,Milestones!$AA$50)&gt;=$T43),$W43,IF(AND($S43&lt;&gt;"",EDATE($D43,Milestones!$AA$50)&gt;=$S43),$V43,$U43)))=Milestones!$AB$50),UPPER(TEXT(EDATE($D43,Milestones!$AA$50),"dd mmm yy"))&amp;" "&amp;Milestones!$AB$50&amp;" "&amp;Milestones!$AC$50&amp;";  ","")&amp;IF(AND(EDATE($D43,Milestones!$AA$51)&lt;=AsOfDate,IF($R43=0,$X43,IF(AND($T43&lt;&gt;"",EDATE($D43,Milestones!$AA$51)&gt;=$T43),$W43,IF(AND($S43&lt;&gt;"",EDATE($D43,Milestones!$AA$51)&gt;=$S43),$V43,$U43)))=Milestones!$AB$51),UPPER(TEXT(EDATE($D43,Milestones!$AA$51),"dd mmm yy"))&amp;" "&amp;Milestones!$AB$51&amp;" "&amp;Milestones!$AC$51&amp;";  ","")&amp;IF(AND(EDATE($D43,Milestones!$AA$52)&lt;=AsOfDate,IF($R43=0,$X43,IF(AND($T43&lt;&gt;"",EDATE($D43,Milestones!$AA$52)&gt;=$T43),$W43,IF(AND($S43&lt;&gt;"",EDATE($D43,Milestones!$AA$52)&gt;=$S43),$V43,$U43)))=Milestones!$AB$52),UPPER(TEXT(EDATE($D43,Milestones!$AA$52),"dd mmm yy"))&amp;" "&amp;Milestones!$AB$52&amp;" "&amp;Milestones!$AC$52&amp;";  ","")&amp;IF(AND(EDATE($D43,Milestones!$AA$53)&lt;=AsOfDate,IF($R43=0,$X43,IF(AND($T43&lt;&gt;"",EDATE($D43,Milestones!$AA$53)&gt;=$T43),$W43,IF(AND($S43&lt;&gt;"",EDATE($D43,Milestones!$AA$53)&gt;=$S43),$V43,$U43)))=Milestones!$AB$53),UPPER(TEXT(EDATE($D43,Milestones!$AA$53),"dd mmm yy"))&amp;" "&amp;Milestones!$AB$53&amp;" "&amp;Milestones!$AC$53&amp;";  ","")&amp;IF(AND(EDATE($D43,Milestones!$AA$54)&lt;=AsOfDate,IF($R43=0,$X43,IF(AND($T43&lt;&gt;"",EDATE($D43,Milestones!$AA$54)&gt;=$T43),$W43,IF(AND($S43&lt;&gt;"",EDATE($D43,Milestones!$AA$54)&gt;=$S43),$V43,$U43)))=Milestones!$AB$54),UPPER(TEXT(EDATE($D43,Milestones!$AA$54),"dd mmm yy"))&amp;" "&amp;Milestones!$AB$54&amp;" "&amp;Milestones!$AC$54&amp;";  ","")&amp;IF(AND(EDATE($D43,Milestones!$AA$55)&lt;=AsOfDate,IF($R43=0,$X43,IF(AND($T43&lt;&gt;"",EDATE($D43,Milestones!$AA$55)&gt;=$T43),$W43,IF(AND($S43&lt;&gt;"",EDATE($D43,Milestones!$AA$55)&gt;=$S43),$V43,$U43)))=Milestones!$AB$55),UPPER(TEXT(EDATE($D43,Milestones!$AA$55),"dd mmm yy"))&amp;" "&amp;Milestones!$AB$55&amp;" "&amp;Milestones!$AC$55&amp;";  ","")&amp;IF(AND(EDATE($D43,Milestones!$AA$56)&lt;=AsOfDate,IF($R43=0,$X43,IF(AND($T43&lt;&gt;"",EDATE($D43,Milestones!$AA$56)&gt;=$T43),$W43,IF(AND($S43&lt;&gt;"",EDATE($D43,Milestones!$AA$56)&gt;=$S43),$V43,$U43)))=Milestones!$AB$56),UPPER(TEXT(EDATE($D43,Milestones!$AA$56),"dd mmm yy"))&amp;" "&amp;Milestones!$AB$56&amp;" "&amp;Milestones!$AC$56&amp;";  ","")&amp;IF(AND(EDATE($D43,Milestones!$AA$57)&lt;=AsOfDate,IF($R43=0,$X43,IF(AND($T43&lt;&gt;"",EDATE($D43,Milestones!$AA$57)&gt;=$T43),$W43,IF(AND($S43&lt;&gt;"",EDATE($D43,Milestones!$AA$57)&gt;=$S43),$V43,$U43)))=Milestones!$AB$57),UPPER(TEXT(EDATE($D43,Milestones!$AA$57),"dd mmm yy"))&amp;" "&amp;Milestones!$AB$57&amp;" "&amp;Milestones!$AC$57&amp;";  ","")&amp;IF(AND(EDATE($D43,Milestones!$AA$58)&lt;=AsOfDate,IF($R43=0,$X43,IF(AND($T43&lt;&gt;"",EDATE($D43,Milestones!$AA$58)&gt;=$T43),$W43,IF(AND($S43&lt;&gt;"",EDATE($D43,Milestones!$AA$58)&gt;=$S43),$V43,$U43)))=Milestones!$AB$58),UPPER(TEXT(EDATE($D43,Milestones!$AA$58),"dd mmm yy"))&amp;" "&amp;Milestones!$AB$58&amp;" "&amp;Milestones!$AC$58&amp;";  ","")&amp;IF(AND(EDATE($D43,Milestones!$AA$59)&lt;=AsOfDate,IF($R43=0,$X43,IF(AND($T43&lt;&gt;"",EDATE($D43,Milestones!$AA$59)&gt;=$T43),$W43,IF(AND($S43&lt;&gt;"",EDATE($D43,Milestones!$AA$59)&gt;=$S43),$V43,$U43)))=Milestones!$AB$59),UPPER(TEXT(EDATE($D43,Milestones!$AA$59),"dd mmm yy"))&amp;" "&amp;Milestones!$AB$59&amp;" "&amp;Milestones!$AC$59&amp;";  ",""))</f>
        <v/>
      </c>
      <c r="K43" s="0" t="str">
        <f aca="false">IF(OR($A43="",$D43=""),"",IF(AND(EDATE($D43,Milestones!$AA$60)&lt;=AsOfDate,IF($R43=0,$X43,IF(AND($T43&lt;&gt;"",EDATE($D43,Milestones!$AA$60)&gt;=$T43),$W43,IF(AND($S43&lt;&gt;"",EDATE($D43,Milestones!$AA$60)&gt;=$S43),$V43,$U43)))=Milestones!$AB$60),UPPER(TEXT(EDATE($D43,Milestones!$AA$60),"dd mmm yy"))&amp;" "&amp;Milestones!$AB$60&amp;" "&amp;Milestones!$AC$60&amp;";  ","")&amp;IF(AND(EDATE($D43,Milestones!$AA$61)&lt;=AsOfDate,IF($R43=0,$X43,IF(AND($T43&lt;&gt;"",EDATE($D43,Milestones!$AA$61)&gt;=$T43),$W43,IF(AND($S43&lt;&gt;"",EDATE($D43,Milestones!$AA$61)&gt;=$S43),$V43,$U43)))=Milestones!$AB$61),UPPER(TEXT(EDATE($D43,Milestones!$AA$61),"dd mmm yy"))&amp;" "&amp;Milestones!$AB$61&amp;" "&amp;Milestones!$AC$61&amp;";  ","")&amp;IF(AND(EDATE($D43,Milestones!$AA$62)&lt;=AsOfDate,IF($R43=0,$X43,IF(AND($T43&lt;&gt;"",EDATE($D43,Milestones!$AA$62)&gt;=$T43),$W43,IF(AND($S43&lt;&gt;"",EDATE($D43,Milestones!$AA$62)&gt;=$S43),$V43,$U43)))=Milestones!$AB$62),UPPER(TEXT(EDATE($D43,Milestones!$AA$62),"dd mmm yy"))&amp;" "&amp;Milestones!$AB$62&amp;" "&amp;Milestones!$AC$62&amp;";  ","")&amp;IF(AND(EDATE($D43,Milestones!$AA$63)&lt;=AsOfDate,IF($R43=0,$X43,IF(AND($T43&lt;&gt;"",EDATE($D43,Milestones!$AA$63)&gt;=$T43),$W43,IF(AND($S43&lt;&gt;"",EDATE($D43,Milestones!$AA$63)&gt;=$S43),$V43,$U43)))=Milestones!$AB$63),UPPER(TEXT(EDATE($D43,Milestones!$AA$63),"dd mmm yy"))&amp;" "&amp;Milestones!$AB$63&amp;" "&amp;Milestones!$AC$63&amp;";  ","")&amp;IF(AND(EDATE($D43,Milestones!$AA$64)&lt;=AsOfDate,IF($R43=0,$X43,IF(AND($T43&lt;&gt;"",EDATE($D43,Milestones!$AA$64)&gt;=$T43),$W43,IF(AND($S43&lt;&gt;"",EDATE($D43,Milestones!$AA$64)&gt;=$S43),$V43,$U43)))=Milestones!$AB$64),UPPER(TEXT(EDATE($D43,Milestones!$AA$64),"dd mmm yy"))&amp;" "&amp;Milestones!$AB$64&amp;" "&amp;Milestones!$AC$64&amp;";  ","")&amp;IF(AND(EDATE($D43,Milestones!$AA$65)&lt;=AsOfDate,IF($R43=0,$X43,IF(AND($T43&lt;&gt;"",EDATE($D43,Milestones!$AA$65)&gt;=$T43),$W43,IF(AND($S43&lt;&gt;"",EDATE($D43,Milestones!$AA$65)&gt;=$S43),$V43,$U43)))=Milestones!$AB$65),UPPER(TEXT(EDATE($D43,Milestones!$AA$65),"dd mmm yy"))&amp;" "&amp;Milestones!$AB$65&amp;" "&amp;Milestones!$AC$65&amp;";  ","")&amp;IF(AND(EDATE($D43,Milestones!$AA$66)&lt;=AsOfDate,IF($R43=0,$X43,IF(AND($T43&lt;&gt;"",EDATE($D43,Milestones!$AA$66)&gt;=$T43),$W43,IF(AND($S43&lt;&gt;"",EDATE($D43,Milestones!$AA$66)&gt;=$S43),$V43,$U43)))=Milestones!$AB$66),UPPER(TEXT(EDATE($D43,Milestones!$AA$66),"dd mmm yy"))&amp;" "&amp;Milestones!$AB$66&amp;" "&amp;Milestones!$AC$66&amp;";  ","")&amp;IF(AND(EDATE($D43,Milestones!$AA$67)&lt;=AsOfDate,IF($R43=0,$X43,IF(AND($T43&lt;&gt;"",EDATE($D43,Milestones!$AA$67)&gt;=$T43),$W43,IF(AND($S43&lt;&gt;"",EDATE($D43,Milestones!$AA$67)&gt;=$S43),$V43,$U43)))=Milestones!$AB$67),UPPER(TEXT(EDATE($D43,Milestones!$AA$67),"dd mmm yy"))&amp;" "&amp;Milestones!$AB$67&amp;" "&amp;Milestones!$AC$67&amp;";  ","")&amp;IF(AND(EDATE($D43,Milestones!$AA$68)&lt;=AsOfDate,IF($R43=0,$X43,IF(AND($T43&lt;&gt;"",EDATE($D43,Milestones!$AA$68)&gt;=$T43),$W43,IF(AND($S43&lt;&gt;"",EDATE($D43,Milestones!$AA$68)&gt;=$S43),$V43,$U43)))=Milestones!$AB$68),UPPER(TEXT(EDATE($D43,Milestones!$AA$68),"dd mmm yy"))&amp;" "&amp;Milestones!$AB$68&amp;" "&amp;Milestones!$AC$68&amp;";  ","")&amp;IF(AND(EDATE($D43,Milestones!$AA$69)&lt;=AsOfDate,IF($R43=0,$X43,IF(AND($T43&lt;&gt;"",EDATE($D43,Milestones!$AA$69)&gt;=$T43),$W43,IF(AND($S43&lt;&gt;"",EDATE($D43,Milestones!$AA$69)&gt;=$S43),$V43,$U43)))=Milestones!$AB$69),UPPER(TEXT(EDATE($D43,Milestones!$AA$69),"dd mmm yy"))&amp;" "&amp;Milestones!$AB$69&amp;" "&amp;Milestones!$AC$69&amp;";  ","")&amp;IF(AND(EDATE($D43,Milestones!$AA$70)&lt;=AsOfDate,IF($R43=0,$X43,IF(AND($T43&lt;&gt;"",EDATE($D43,Milestones!$AA$70)&gt;=$T43),$W43,IF(AND($S43&lt;&gt;"",EDATE($D43,Milestones!$AA$70)&gt;=$S43),$V43,$U43)))=Milestones!$AB$70),UPPER(TEXT(EDATE($D43,Milestones!$AA$70),"dd mmm yy"))&amp;" "&amp;Milestones!$AB$70&amp;" "&amp;Milestones!$AC$70&amp;";  ","")&amp;IF(AND(EDATE($D43,Milestones!$AA$71)&lt;=AsOfDate,IF($R43=0,$X43,IF(AND($T43&lt;&gt;"",EDATE($D43,Milestones!$AA$71)&gt;=$T43),$W43,IF(AND($S43&lt;&gt;"",EDATE($D43,Milestones!$AA$71)&gt;=$S43),$V43,$U43)))=Milestones!$AB$71),UPPER(TEXT(EDATE($D43,Milestones!$AA$71),"dd mmm yy"))&amp;" "&amp;Milestones!$AB$71&amp;" "&amp;Milestones!$AC$71&amp;";  ","")&amp;IF(AND(EDATE($D43,Milestones!$AA$72)&lt;=AsOfDate,IF($R43=0,$X43,IF(AND($T43&lt;&gt;"",EDATE($D43,Milestones!$AA$72)&gt;=$T43),$W43,IF(AND($S43&lt;&gt;"",EDATE($D43,Milestones!$AA$72)&gt;=$S43),$V43,$U43)))=Milestones!$AB$72),UPPER(TEXT(EDATE($D43,Milestones!$AA$72),"dd mmm yy"))&amp;" "&amp;Milestones!$AB$72&amp;" "&amp;Milestones!$AC$72&amp;";  ","")&amp;IF(AND(EDATE($D43,Milestones!$AA$73)&lt;=AsOfDate,IF($R43=0,$X43,IF(AND($T43&lt;&gt;"",EDATE($D43,Milestones!$AA$73)&gt;=$T43),$W43,IF(AND($S43&lt;&gt;"",EDATE($D43,Milestones!$AA$73)&gt;=$S43),$V43,$U43)))=Milestones!$AB$73),UPPER(TEXT(EDATE($D43,Milestones!$AA$73),"dd mmm yy"))&amp;" "&amp;Milestones!$AB$73&amp;" "&amp;Milestones!$AC$73&amp;";  ","")&amp;IF(AND(EDATE($D43,Milestones!$AA$74)&lt;=AsOfDate,IF($R43=0,$X43,IF(AND($T43&lt;&gt;"",EDATE($D43,Milestones!$AA$74)&gt;=$T43),$W43,IF(AND($S43&lt;&gt;"",EDATE($D43,Milestones!$AA$74)&gt;=$S43),$V43,$U43)))=Milestones!$AB$74),UPPER(TEXT(EDATE($D43,Milestones!$AA$74),"dd mmm yy"))&amp;" "&amp;Milestones!$AB$74&amp;" "&amp;Milestones!$AC$74&amp;";  ","")&amp;IF(AND(EDATE($D43,Milestones!$AA$75)&lt;=AsOfDate,IF($R43=0,$X43,IF(AND($T43&lt;&gt;"",EDATE($D43,Milestones!$AA$75)&gt;=$T43),$W43,IF(AND($S43&lt;&gt;"",EDATE($D43,Milestones!$AA$75)&gt;=$S43),$V43,$U43)))=Milestones!$AB$75),UPPER(TEXT(EDATE($D43,Milestones!$AA$75),"dd mmm yy"))&amp;" "&amp;Milestones!$AB$75&amp;" "&amp;Milestones!$AC$75&amp;";  ","")&amp;IF(AND(EDATE($D43,Milestones!$AA$76)&lt;=AsOfDate,IF($R43=0,$X43,IF(AND($T43&lt;&gt;"",EDATE($D43,Milestones!$AA$76)&gt;=$T43),$W43,IF(AND($S43&lt;&gt;"",EDATE($D43,Milestones!$AA$76)&gt;=$S43),$V43,$U43)))=Milestones!$AB$76),UPPER(TEXT(EDATE($D43,Milestones!$AA$76),"dd mmm yy"))&amp;" "&amp;Milestones!$AB$76&amp;" "&amp;Milestones!$AC$76&amp;";  ","")&amp;IF(AND(EDATE($D43,Milestones!$AA$77)&lt;=AsOfDate,IF($R43=0,$X43,IF(AND($T43&lt;&gt;"",EDATE($D43,Milestones!$AA$77)&gt;=$T43),$W43,IF(AND($S43&lt;&gt;"",EDATE($D43,Milestones!$AA$77)&gt;=$S43),$V43,$U43)))=Milestones!$AB$77),UPPER(TEXT(EDATE($D43,Milestones!$AA$77),"dd mmm yy"))&amp;" "&amp;Milestones!$AB$77&amp;" "&amp;Milestones!$AC$77&amp;";  ","")&amp;IF(AND(EDATE($D43,Milestones!$AA$78)&lt;=AsOfDate,IF($R43=0,$X43,IF(AND($T43&lt;&gt;"",EDATE($D43,Milestones!$AA$78)&gt;=$T43),$W43,IF(AND($S43&lt;&gt;"",EDATE($D43,Milestones!$AA$78)&gt;=$S43),$V43,$U43)))=Milestones!$AB$78),UPPER(TEXT(EDATE($D43,Milestones!$AA$78),"dd mmm yy"))&amp;" "&amp;Milestones!$AB$78&amp;" "&amp;Milestones!$AC$78&amp;";  ","")&amp;IF(AND(EDATE($D43,Milestones!$AA$79)&lt;=AsOfDate,IF($R43=0,$X43,IF(AND($T43&lt;&gt;"",EDATE($D43,Milestones!$AA$79)&gt;=$T43),$W43,IF(AND($S43&lt;&gt;"",EDATE($D43,Milestones!$AA$79)&gt;=$S43),$V43,$U43)))=Milestones!$AB$79),UPPER(TEXT(EDATE($D43,Milestones!$AA$79),"dd mmm yy"))&amp;" "&amp;Milestones!$AB$79&amp;" "&amp;Milestones!$AC$79&amp;";  ",""))</f>
        <v/>
      </c>
      <c r="L43" s="0" t="str">
        <f aca="false">IF(OR($A43="",$D43=""),"",IF(AND(EDATE($D43,Milestones!$AA$80)&lt;=AsOfDate,IF($R43=0,$X43,IF(AND($T43&lt;&gt;"",EDATE($D43,Milestones!$AA$80)&gt;=$T43),$W43,IF(AND($S43&lt;&gt;"",EDATE($D43,Milestones!$AA$80)&gt;=$S43),$V43,$U43)))=Milestones!$AB$80),UPPER(TEXT(EDATE($D43,Milestones!$AA$80),"dd mmm yy"))&amp;" "&amp;Milestones!$AB$80&amp;" "&amp;Milestones!$AC$80&amp;";  ","")&amp;IF(AND(EDATE($D43,Milestones!$AA$81)&lt;=AsOfDate,IF($R43=0,$X43,IF(AND($T43&lt;&gt;"",EDATE($D43,Milestones!$AA$81)&gt;=$T43),$W43,IF(AND($S43&lt;&gt;"",EDATE($D43,Milestones!$AA$81)&gt;=$S43),$V43,$U43)))=Milestones!$AB$81),UPPER(TEXT(EDATE($D43,Milestones!$AA$81),"dd mmm yy"))&amp;" "&amp;Milestones!$AB$81&amp;" "&amp;Milestones!$AC$81&amp;";  ","")&amp;IF(AND(EDATE($D43,Milestones!$AA$82)&lt;=AsOfDate,IF($R43=0,$X43,IF(AND($T43&lt;&gt;"",EDATE($D43,Milestones!$AA$82)&gt;=$T43),$W43,IF(AND($S43&lt;&gt;"",EDATE($D43,Milestones!$AA$82)&gt;=$S43),$V43,$U43)))=Milestones!$AB$82),UPPER(TEXT(EDATE($D43,Milestones!$AA$82),"dd mmm yy"))&amp;" "&amp;Milestones!$AB$82&amp;" "&amp;Milestones!$AC$82&amp;";  ","")&amp;IF(AND(EDATE($D43,Milestones!$AA$83)&lt;=AsOfDate,IF($R43=0,$X43,IF(AND($T43&lt;&gt;"",EDATE($D43,Milestones!$AA$83)&gt;=$T43),$W43,IF(AND($S43&lt;&gt;"",EDATE($D43,Milestones!$AA$83)&gt;=$S43),$V43,$U43)))=Milestones!$AB$83),UPPER(TEXT(EDATE($D43,Milestones!$AA$83),"dd mmm yy"))&amp;" "&amp;Milestones!$AB$83&amp;" "&amp;Milestones!$AC$83&amp;";  ","")&amp;IF(AND(EDATE($D43,Milestones!$AA$84)&lt;=AsOfDate,IF($R43=0,$X43,IF(AND($T43&lt;&gt;"",EDATE($D43,Milestones!$AA$84)&gt;=$T43),$W43,IF(AND($S43&lt;&gt;"",EDATE($D43,Milestones!$AA$84)&gt;=$S43),$V43,$U43)))=Milestones!$AB$84),UPPER(TEXT(EDATE($D43,Milestones!$AA$84),"dd mmm yy"))&amp;" "&amp;Milestones!$AB$84&amp;" "&amp;Milestones!$AC$84&amp;";  ","")&amp;IF(AND(EDATE($D43,Milestones!$AA$85)&lt;=AsOfDate,IF($R43=0,$X43,IF(AND($T43&lt;&gt;"",EDATE($D43,Milestones!$AA$85)&gt;=$T43),$W43,IF(AND($S43&lt;&gt;"",EDATE($D43,Milestones!$AA$85)&gt;=$S43),$V43,$U43)))=Milestones!$AB$85),UPPER(TEXT(EDATE($D43,Milestones!$AA$85),"dd mmm yy"))&amp;" "&amp;Milestones!$AB$85&amp;" "&amp;Milestones!$AC$85&amp;";  ","")&amp;IF(AND(EDATE($D43,Milestones!$AA$86)&lt;=AsOfDate,IF($R43=0,$X43,IF(AND($T43&lt;&gt;"",EDATE($D43,Milestones!$AA$86)&gt;=$T43),$W43,IF(AND($S43&lt;&gt;"",EDATE($D43,Milestones!$AA$86)&gt;=$S43),$V43,$U43)))=Milestones!$AB$86),UPPER(TEXT(EDATE($D43,Milestones!$AA$86),"dd mmm yy"))&amp;" "&amp;Milestones!$AB$86&amp;" "&amp;Milestones!$AC$86&amp;";  ","")&amp;IF(AND(EDATE($D43,Milestones!$AA$87)&lt;=AsOfDate,IF($R43=0,$X43,IF(AND($T43&lt;&gt;"",EDATE($D43,Milestones!$AA$87)&gt;=$T43),$W43,IF(AND($S43&lt;&gt;"",EDATE($D43,Milestones!$AA$87)&gt;=$S43),$V43,$U43)))=Milestones!$AB$87),UPPER(TEXT(EDATE($D43,Milestones!$AA$87),"dd mmm yy"))&amp;" "&amp;Milestones!$AB$87&amp;" "&amp;Milestones!$AC$87&amp;";  ","")&amp;IF(AND(EDATE($D43,Milestones!$AA$88)&lt;=AsOfDate,IF($R43=0,$X43,IF(AND($T43&lt;&gt;"",EDATE($D43,Milestones!$AA$88)&gt;=$T43),$W43,IF(AND($S43&lt;&gt;"",EDATE($D43,Milestones!$AA$88)&gt;=$S43),$V43,$U43)))=Milestones!$AB$88),UPPER(TEXT(EDATE($D43,Milestones!$AA$88),"dd mmm yy"))&amp;" "&amp;Milestones!$AB$88&amp;" "&amp;Milestones!$AC$88&amp;";  ","")&amp;IF(AND(EDATE($D43,Milestones!$AA$89)&lt;=AsOfDate,IF($R43=0,$X43,IF(AND($T43&lt;&gt;"",EDATE($D43,Milestones!$AA$89)&gt;=$T43),$W43,IF(AND($S43&lt;&gt;"",EDATE($D43,Milestones!$AA$89)&gt;=$S43),$V43,$U43)))=Milestones!$AB$89),UPPER(TEXT(EDATE($D43,Milestones!$AA$89),"dd mmm yy"))&amp;" "&amp;Milestones!$AB$89&amp;" "&amp;Milestones!$AC$89&amp;";  ","")&amp;IF(AND(EDATE($D43,Milestones!$AA$90)&lt;=AsOfDate,IF($R43=0,$X43,IF(AND($T43&lt;&gt;"",EDATE($D43,Milestones!$AA$90)&gt;=$T43),$W43,IF(AND($S43&lt;&gt;"",EDATE($D43,Milestones!$AA$90)&gt;=$S43),$V43,$U43)))=Milestones!$AB$90),UPPER(TEXT(EDATE($D43,Milestones!$AA$90),"dd mmm yy"))&amp;" "&amp;Milestones!$AB$90&amp;" "&amp;Milestones!$AC$90&amp;";  ","")&amp;IF(AND(EDATE($D43,Milestones!$AA$91)&lt;=AsOfDate,IF($R43=0,$X43,IF(AND($T43&lt;&gt;"",EDATE($D43,Milestones!$AA$91)&gt;=$T43),$W43,IF(AND($S43&lt;&gt;"",EDATE($D43,Milestones!$AA$91)&gt;=$S43),$V43,$U43)))=Milestones!$AB$91),UPPER(TEXT(EDATE($D43,Milestones!$AA$91),"dd mmm yy"))&amp;" "&amp;Milestones!$AB$91&amp;" "&amp;Milestones!$AC$91&amp;";  ","")&amp;IF(AND(EDATE($D43,Milestones!$AA$92)&lt;=AsOfDate,IF($R43=0,$X43,IF(AND($T43&lt;&gt;"",EDATE($D43,Milestones!$AA$92)&gt;=$T43),$W43,IF(AND($S43&lt;&gt;"",EDATE($D43,Milestones!$AA$92)&gt;=$S43),$V43,$U43)))=Milestones!$AB$92),UPPER(TEXT(EDATE($D43,Milestones!$AA$92),"dd mmm yy"))&amp;" "&amp;Milestones!$AB$92&amp;" "&amp;Milestones!$AC$92&amp;";  ","")&amp;IF(AND(EDATE($D43,Milestones!$AA$93)&lt;=AsOfDate,IF($R43=0,$X43,IF(AND($T43&lt;&gt;"",EDATE($D43,Milestones!$AA$93)&gt;=$T43),$W43,IF(AND($S43&lt;&gt;"",EDATE($D43,Milestones!$AA$93)&gt;=$S43),$V43,$U43)))=Milestones!$AB$93),UPPER(TEXT(EDATE($D43,Milestones!$AA$93),"dd mmm yy"))&amp;" "&amp;Milestones!$AB$93&amp;" "&amp;Milestones!$AC$93&amp;";  ","")&amp;IF(AND(EDATE($D43,Milestones!$AA$94)&lt;=AsOfDate,IF($R43=0,$X43,IF(AND($T43&lt;&gt;"",EDATE($D43,Milestones!$AA$94)&gt;=$T43),$W43,IF(AND($S43&lt;&gt;"",EDATE($D43,Milestones!$AA$94)&gt;=$S43),$V43,$U43)))=Milestones!$AB$94),UPPER(TEXT(EDATE($D43,Milestones!$AA$94),"dd mmm yy"))&amp;" "&amp;Milestones!$AB$94&amp;" "&amp;Milestones!$AC$94&amp;";  ","")&amp;IF(AND(EDATE($D43,Milestones!$AA$95)&lt;=AsOfDate,IF($R43=0,$X43,IF(AND($T43&lt;&gt;"",EDATE($D43,Milestones!$AA$95)&gt;=$T43),$W43,IF(AND($S43&lt;&gt;"",EDATE($D43,Milestones!$AA$95)&gt;=$S43),$V43,$U43)))=Milestones!$AB$95),UPPER(TEXT(EDATE($D43,Milestones!$AA$95),"dd mmm yy"))&amp;" "&amp;Milestones!$AB$95&amp;" "&amp;Milestones!$AC$95&amp;";  ","")&amp;IF(AND(EDATE($D43,Milestones!$AA$96)&lt;=AsOfDate,IF($R43=0,$X43,IF(AND($T43&lt;&gt;"",EDATE($D43,Milestones!$AA$96)&gt;=$T43),$W43,IF(AND($S43&lt;&gt;"",EDATE($D43,Milestones!$AA$96)&gt;=$S43),$V43,$U43)))=Milestones!$AB$96),UPPER(TEXT(EDATE($D43,Milestones!$AA$96),"dd mmm yy"))&amp;" "&amp;Milestones!$AB$96&amp;" "&amp;Milestones!$AC$96&amp;";  ","")&amp;IF(AND(EDATE($D43,Milestones!$AA$97)&lt;=AsOfDate,IF($R43=0,$X43,IF(AND($T43&lt;&gt;"",EDATE($D43,Milestones!$AA$97)&gt;=$T43),$W43,IF(AND($S43&lt;&gt;"",EDATE($D43,Milestones!$AA$97)&gt;=$S43),$V43,$U43)))=Milestones!$AB$97),UPPER(TEXT(EDATE($D43,Milestones!$AA$97),"dd mmm yy"))&amp;" "&amp;Milestones!$AB$97&amp;" "&amp;Milestones!$AC$97&amp;";  ","")&amp;IF(AND(EDATE($D43,Milestones!$AA$98)&lt;=AsOfDate,IF($R43=0,$X43,IF(AND($T43&lt;&gt;"",EDATE($D43,Milestones!$AA$98)&gt;=$T43),$W43,IF(AND($S43&lt;&gt;"",EDATE($D43,Milestones!$AA$98)&gt;=$S43),$V43,$U43)))=Milestones!$AB$98),UPPER(TEXT(EDATE($D43,Milestones!$AA$98),"dd mmm yy"))&amp;" "&amp;Milestones!$AB$98&amp;" "&amp;Milestones!$AC$98&amp;";  ","")&amp;IF(AND(EDATE($D43,Milestones!$AA$99)&lt;=AsOfDate,IF($R43=0,$X43,IF(AND($T43&lt;&gt;"",EDATE($D43,Milestones!$AA$99)&gt;=$T43),$W43,IF(AND($S43&lt;&gt;"",EDATE($D43,Milestones!$AA$99)&gt;=$S43),$V43,$U43)))=Milestones!$AB$99),UPPER(TEXT(EDATE($D43,Milestones!$AA$99),"dd mmm yy"))&amp;" "&amp;Milestones!$AB$99&amp;" "&amp;Milestones!$AC$99&amp;";  ",""))</f>
        <v/>
      </c>
      <c r="M43" s="0" t="str">
        <f aca="false">IF(OR($A43="",$D43=""),"",IF(AND(EDATE($D43,Milestones!$AA$100)&lt;=AsOfDate,IF($R43=0,$X43,IF(AND($T43&lt;&gt;"",EDATE($D43,Milestones!$AA$100)&gt;=$T43),$W43,IF(AND($S43&lt;&gt;"",EDATE($D43,Milestones!$AA$100)&gt;=$S43),$V43,$U43)))=Milestones!$AB$100),UPPER(TEXT(EDATE($D43,Milestones!$AA$100),"dd mmm yy"))&amp;" "&amp;Milestones!$AB$100&amp;" "&amp;Milestones!$AC$100&amp;";  ","")&amp;IF(AND(EDATE($D43,Milestones!$AA$101)&lt;=AsOfDate,IF($R43=0,$X43,IF(AND($T43&lt;&gt;"",EDATE($D43,Milestones!$AA$101)&gt;=$T43),$W43,IF(AND($S43&lt;&gt;"",EDATE($D43,Milestones!$AA$101)&gt;=$S43),$V43,$U43)))=Milestones!$AB$101),UPPER(TEXT(EDATE($D43,Milestones!$AA$101),"dd mmm yy"))&amp;" "&amp;Milestones!$AB$101&amp;" "&amp;Milestones!$AC$101&amp;";  ","")&amp;IF(AND(EDATE($D43,Milestones!$AA$102)&lt;=AsOfDate,IF($R43=0,$X43,IF(AND($T43&lt;&gt;"",EDATE($D43,Milestones!$AA$102)&gt;=$T43),$W43,IF(AND($S43&lt;&gt;"",EDATE($D43,Milestones!$AA$102)&gt;=$S43),$V43,$U43)))=Milestones!$AB$102),UPPER(TEXT(EDATE($D43,Milestones!$AA$102),"dd mmm yy"))&amp;" "&amp;Milestones!$AB$102&amp;" "&amp;Milestones!$AC$102&amp;";  ","")&amp;IF(AND(EDATE($D43,Milestones!$AA$103)&lt;=AsOfDate,IF($R43=0,$X43,IF(AND($T43&lt;&gt;"",EDATE($D43,Milestones!$AA$103)&gt;=$T43),$W43,IF(AND($S43&lt;&gt;"",EDATE($D43,Milestones!$AA$103)&gt;=$S43),$V43,$U43)))=Milestones!$AB$103),UPPER(TEXT(EDATE($D43,Milestones!$AA$103),"dd mmm yy"))&amp;" "&amp;Milestones!$AB$103&amp;" "&amp;Milestones!$AC$103&amp;";  ","")&amp;IF(AND(EDATE($D43,Milestones!$AA$104)&lt;=AsOfDate,IF($R43=0,$X43,IF(AND($T43&lt;&gt;"",EDATE($D43,Milestones!$AA$104)&gt;=$T43),$W43,IF(AND($S43&lt;&gt;"",EDATE($D43,Milestones!$AA$104)&gt;=$S43),$V43,$U43)))=Milestones!$AB$104),UPPER(TEXT(EDATE($D43,Milestones!$AA$104),"dd mmm yy"))&amp;" "&amp;Milestones!$AB$104&amp;" "&amp;Milestones!$AC$104&amp;";  ","")&amp;IF(AND(EDATE($D43,Milestones!$AA$105)&lt;=AsOfDate,IF($R43=0,$X43,IF(AND($T43&lt;&gt;"",EDATE($D43,Milestones!$AA$105)&gt;=$T43),$W43,IF(AND($S43&lt;&gt;"",EDATE($D43,Milestones!$AA$105)&gt;=$S43),$V43,$U43)))=Milestones!$AB$105),UPPER(TEXT(EDATE($D43,Milestones!$AA$105),"dd mmm yy"))&amp;" "&amp;Milestones!$AB$105&amp;" "&amp;Milestones!$AC$105&amp;";  ","")&amp;IF(AND(EDATE($D43,Milestones!$AA$106)&lt;=AsOfDate,IF($R43=0,$X43,IF(AND($T43&lt;&gt;"",EDATE($D43,Milestones!$AA$106)&gt;=$T43),$W43,IF(AND($S43&lt;&gt;"",EDATE($D43,Milestones!$AA$106)&gt;=$S43),$V43,$U43)))=Milestones!$AB$106),UPPER(TEXT(EDATE($D43,Milestones!$AA$106),"dd mmm yy"))&amp;" "&amp;Milestones!$AB$106&amp;" "&amp;Milestones!$AC$106&amp;";  ","")&amp;IF(AND(EDATE($D43,Milestones!$AA$107)&lt;=AsOfDate,IF($R43=0,$X43,IF(AND($T43&lt;&gt;"",EDATE($D43,Milestones!$AA$107)&gt;=$T43),$W43,IF(AND($S43&lt;&gt;"",EDATE($D43,Milestones!$AA$107)&gt;=$S43),$V43,$U43)))=Milestones!$AB$107),UPPER(TEXT(EDATE($D43,Milestones!$AA$107),"dd mmm yy"))&amp;" "&amp;Milestones!$AB$107&amp;" "&amp;Milestones!$AC$107&amp;";  ","")&amp;IF(AND(EDATE($D43,Milestones!$AA$108)&lt;=AsOfDate,IF($R43=0,$X43,IF(AND($T43&lt;&gt;"",EDATE($D43,Milestones!$AA$108)&gt;=$T43),$W43,IF(AND($S43&lt;&gt;"",EDATE($D43,Milestones!$AA$108)&gt;=$S43),$V43,$U43)))=Milestones!$AB$108),UPPER(TEXT(EDATE($D43,Milestones!$AA$108),"dd mmm yy"))&amp;" "&amp;Milestones!$AB$108&amp;" "&amp;Milestones!$AC$108&amp;";  ","")&amp;IF(AND(EDATE($D43,Milestones!$AA$109)&lt;=AsOfDate,IF($R43=0,$X43,IF(AND($T43&lt;&gt;"",EDATE($D43,Milestones!$AA$109)&gt;=$T43),$W43,IF(AND($S43&lt;&gt;"",EDATE($D43,Milestones!$AA$109)&gt;=$S43),$V43,$U43)))=Milestones!$AB$109),UPPER(TEXT(EDATE($D43,Milestones!$AA$109),"dd mmm yy"))&amp;" "&amp;Milestones!$AB$109&amp;" "&amp;Milestones!$AC$109&amp;";  ","")&amp;IF(AND(EDATE($D43,Milestones!$AA$110)&lt;=AsOfDate,IF($R43=0,$X43,IF(AND($T43&lt;&gt;"",EDATE($D43,Milestones!$AA$110)&gt;=$T43),$W43,IF(AND($S43&lt;&gt;"",EDATE($D43,Milestones!$AA$110)&gt;=$S43),$V43,$U43)))=Milestones!$AB$110),UPPER(TEXT(EDATE($D43,Milestones!$AA$110),"dd mmm yy"))&amp;" "&amp;Milestones!$AB$110&amp;" "&amp;Milestones!$AC$110&amp;";  ","")&amp;IF(AND(EDATE($D43,Milestones!$AA$111)&lt;=AsOfDate,IF($R43=0,$X43,IF(AND($T43&lt;&gt;"",EDATE($D43,Milestones!$AA$111)&gt;=$T43),$W43,IF(AND($S43&lt;&gt;"",EDATE($D43,Milestones!$AA$111)&gt;=$S43),$V43,$U43)))=Milestones!$AB$111),UPPER(TEXT(EDATE($D43,Milestones!$AA$111),"dd mmm yy"))&amp;" "&amp;Milestones!$AB$111&amp;" "&amp;Milestones!$AC$111&amp;";  ","")&amp;IF(AND(EDATE($D43,Milestones!$AA$112)&lt;=AsOfDate,IF($R43=0,$X43,IF(AND($T43&lt;&gt;"",EDATE($D43,Milestones!$AA$112)&gt;=$T43),$W43,IF(AND($S43&lt;&gt;"",EDATE($D43,Milestones!$AA$112)&gt;=$S43),$V43,$U43)))=Milestones!$AB$112),UPPER(TEXT(EDATE($D43,Milestones!$AA$112),"dd mmm yy"))&amp;" "&amp;Milestones!$AB$112&amp;" "&amp;Milestones!$AC$112&amp;";  ","")&amp;IF(AND(EDATE($D43,Milestones!$AA$113)&lt;=AsOfDate,IF($R43=0,$X43,IF(AND($T43&lt;&gt;"",EDATE($D43,Milestones!$AA$113)&gt;=$T43),$W43,IF(AND($S43&lt;&gt;"",EDATE($D43,Milestones!$AA$113)&gt;=$S43),$V43,$U43)))=Milestones!$AB$113),UPPER(TEXT(EDATE($D43,Milestones!$AA$113),"dd mmm yy"))&amp;" "&amp;Milestones!$AB$113&amp;" "&amp;Milestones!$AC$113&amp;";  ","")&amp;IF(AND(EDATE($D43,Milestones!$AA$114)&lt;=AsOfDate,IF($R43=0,$X43,IF(AND($T43&lt;&gt;"",EDATE($D43,Milestones!$AA$114)&gt;=$T43),$W43,IF(AND($S43&lt;&gt;"",EDATE($D43,Milestones!$AA$114)&gt;=$S43),$V43,$U43)))=Milestones!$AB$114),UPPER(TEXT(EDATE($D43,Milestones!$AA$114),"dd mmm yy"))&amp;" "&amp;Milestones!$AB$114&amp;" "&amp;Milestones!$AC$114&amp;";  ","")&amp;IF(AND(EDATE($D43,Milestones!$AA$115)&lt;=AsOfDate,IF($R43=0,$X43,IF(AND($T43&lt;&gt;"",EDATE($D43,Milestones!$AA$115)&gt;=$T43),$W43,IF(AND($S43&lt;&gt;"",EDATE($D43,Milestones!$AA$115)&gt;=$S43),$V43,$U43)))=Milestones!$AB$115),UPPER(TEXT(EDATE($D43,Milestones!$AA$115),"dd mmm yy"))&amp;" "&amp;Milestones!$AB$115&amp;" "&amp;Milestones!$AC$115&amp;";  ","")&amp;IF(AND(EDATE($D43,Milestones!$AA$116)&lt;=AsOfDate,IF($R43=0,$X43,IF(AND($T43&lt;&gt;"",EDATE($D43,Milestones!$AA$116)&gt;=$T43),$W43,IF(AND($S43&lt;&gt;"",EDATE($D43,Milestones!$AA$116)&gt;=$S43),$V43,$U43)))=Milestones!$AB$116),UPPER(TEXT(EDATE($D43,Milestones!$AA$116),"dd mmm yy"))&amp;" "&amp;Milestones!$AB$116&amp;" "&amp;Milestones!$AC$116&amp;";  ","")&amp;IF(AND(EDATE($D43,Milestones!$AA$117)&lt;=AsOfDate,IF($R43=0,$X43,IF(AND($T43&lt;&gt;"",EDATE($D43,Milestones!$AA$117)&gt;=$T43),$W43,IF(AND($S43&lt;&gt;"",EDATE($D43,Milestones!$AA$117)&gt;=$S43),$V43,$U43)))=Milestones!$AB$117),UPPER(TEXT(EDATE($D43,Milestones!$AA$117),"dd mmm yy"))&amp;" "&amp;Milestones!$AB$117&amp;" "&amp;Milestones!$AC$117&amp;";  ","")&amp;IF(AND(EDATE($D43,Milestones!$AA$118)&lt;=AsOfDate,IF($R43=0,$X43,IF(AND($T43&lt;&gt;"",EDATE($D43,Milestones!$AA$118)&gt;=$T43),$W43,IF(AND($S43&lt;&gt;"",EDATE($D43,Milestones!$AA$118)&gt;=$S43),$V43,$U43)))=Milestones!$AB$118),UPPER(TEXT(EDATE($D43,Milestones!$AA$118),"dd mmm yy"))&amp;" "&amp;Milestones!$AB$118&amp;" "&amp;Milestones!$AC$118&amp;";  ","")&amp;IF(AND(EDATE($D43,Milestones!$AA$119)&lt;=AsOfDate,IF($R43=0,$X43,IF(AND($T43&lt;&gt;"",EDATE($D43,Milestones!$AA$119)&gt;=$T43),$W43,IF(AND($S43&lt;&gt;"",EDATE($D43,Milestones!$AA$119)&gt;=$S43),$V43,$U43)))=Milestones!$AB$119),UPPER(TEXT(EDATE($D43,Milestones!$AA$119),"dd mmm yy"))&amp;" "&amp;Milestones!$AB$119&amp;" "&amp;Milestones!$AC$119&amp;";  ",""))</f>
        <v/>
      </c>
      <c r="N43" s="0" t="str">
        <f aca="false">IF(OR($A43="",$D43=""),"",IF(AND(EDATE($D43,Milestones!$AA$120)&lt;=AsOfDate,IF($R43=0,$X43,IF(AND($T43&lt;&gt;"",EDATE($D43,Milestones!$AA$120)&gt;=$T43),$W43,IF(AND($S43&lt;&gt;"",EDATE($D43,Milestones!$AA$120)&gt;=$S43),$V43,$U43)))=Milestones!$AB$120),UPPER(TEXT(EDATE($D43,Milestones!$AA$120),"dd mmm yy"))&amp;" "&amp;Milestones!$AB$120&amp;" "&amp;Milestones!$AC$120&amp;";  ","")&amp;IF(AND(EDATE($D43,Milestones!$AA$121)&lt;=AsOfDate,IF($R43=0,$X43,IF(AND($T43&lt;&gt;"",EDATE($D43,Milestones!$AA$121)&gt;=$T43),$W43,IF(AND($S43&lt;&gt;"",EDATE($D43,Milestones!$AA$121)&gt;=$S43),$V43,$U43)))=Milestones!$AB$121),UPPER(TEXT(EDATE($D43,Milestones!$AA$121),"dd mmm yy"))&amp;" "&amp;Milestones!$AB$121&amp;" "&amp;Milestones!$AC$121&amp;";  ","")&amp;IF(AND(EDATE($D43,Milestones!$AA$122)&lt;=AsOfDate,IF($R43=0,$X43,IF(AND($T43&lt;&gt;"",EDATE($D43,Milestones!$AA$122)&gt;=$T43),$W43,IF(AND($S43&lt;&gt;"",EDATE($D43,Milestones!$AA$122)&gt;=$S43),$V43,$U43)))=Milestones!$AB$122),UPPER(TEXT(EDATE($D43,Milestones!$AA$122),"dd mmm yy"))&amp;" "&amp;Milestones!$AB$122&amp;" "&amp;Milestones!$AC$122&amp;";  ","")&amp;IF(AND(EDATE($D43,Milestones!$AA$123)&lt;=AsOfDate,IF($R43=0,$X43,IF(AND($T43&lt;&gt;"",EDATE($D43,Milestones!$AA$123)&gt;=$T43),$W43,IF(AND($S43&lt;&gt;"",EDATE($D43,Milestones!$AA$123)&gt;=$S43),$V43,$U43)))=Milestones!$AB$123),UPPER(TEXT(EDATE($D43,Milestones!$AA$123),"dd mmm yy"))&amp;" "&amp;Milestones!$AB$123&amp;" "&amp;Milestones!$AC$123&amp;";  ","")&amp;IF(AND(EDATE($D43,Milestones!$AA$124)&lt;=AsOfDate,IF($R43=0,$X43,IF(AND($T43&lt;&gt;"",EDATE($D43,Milestones!$AA$124)&gt;=$T43),$W43,IF(AND($S43&lt;&gt;"",EDATE($D43,Milestones!$AA$124)&gt;=$S43),$V43,$U43)))=Milestones!$AB$124),UPPER(TEXT(EDATE($D43,Milestones!$AA$124),"dd mmm yy"))&amp;" "&amp;Milestones!$AB$124&amp;" "&amp;Milestones!$AC$124&amp;";  ","")&amp;IF(AND(EDATE($D43,Milestones!$AA$125)&lt;=AsOfDate,IF($R43=0,$X43,IF(AND($T43&lt;&gt;"",EDATE($D43,Milestones!$AA$125)&gt;=$T43),$W43,IF(AND($S43&lt;&gt;"",EDATE($D43,Milestones!$AA$125)&gt;=$S43),$V43,$U43)))=Milestones!$AB$125),UPPER(TEXT(EDATE($D43,Milestones!$AA$125),"dd mmm yy"))&amp;" "&amp;Milestones!$AB$125&amp;" "&amp;Milestones!$AC$125&amp;";  ","")&amp;IF(AND(EDATE($D43,Milestones!$AA$126)&lt;=AsOfDate,IF($R43=0,$X43,IF(AND($T43&lt;&gt;"",EDATE($D43,Milestones!$AA$126)&gt;=$T43),$W43,IF(AND($S43&lt;&gt;"",EDATE($D43,Milestones!$AA$126)&gt;=$S43),$V43,$U43)))=Milestones!$AB$126),UPPER(TEXT(EDATE($D43,Milestones!$AA$126),"dd mmm yy"))&amp;" "&amp;Milestones!$AB$126&amp;" "&amp;Milestones!$AC$126&amp;";  ","")&amp;IF(AND(EDATE($D43,Milestones!$AA$127)&lt;=AsOfDate,IF($R43=0,$X43,IF(AND($T43&lt;&gt;"",EDATE($D43,Milestones!$AA$127)&gt;=$T43),$W43,IF(AND($S43&lt;&gt;"",EDATE($D43,Milestones!$AA$127)&gt;=$S43),$V43,$U43)))=Milestones!$AB$127),UPPER(TEXT(EDATE($D43,Milestones!$AA$127),"dd mmm yy"))&amp;" "&amp;Milestones!$AB$127&amp;" "&amp;Milestones!$AC$127&amp;";  ","")&amp;IF(AND(EDATE($D43,Milestones!$AA$128)&lt;=AsOfDate,IF($R43=0,$X43,IF(AND($T43&lt;&gt;"",EDATE($D43,Milestones!$AA$128)&gt;=$T43),$W43,IF(AND($S43&lt;&gt;"",EDATE($D43,Milestones!$AA$128)&gt;=$S43),$V43,$U43)))=Milestones!$AB$128),UPPER(TEXT(EDATE($D43,Milestones!$AA$128),"dd mmm yy"))&amp;" "&amp;Milestones!$AB$128&amp;" "&amp;Milestones!$AC$128&amp;";  ","")&amp;IF(AND(EDATE($D43,Milestones!$AA$129)&lt;=AsOfDate,IF($R43=0,$X43,IF(AND($T43&lt;&gt;"",EDATE($D43,Milestones!$AA$129)&gt;=$T43),$W43,IF(AND($S43&lt;&gt;"",EDATE($D43,Milestones!$AA$129)&gt;=$S43),$V43,$U43)))=Milestones!$AB$129),UPPER(TEXT(EDATE($D43,Milestones!$AA$129),"dd mmm yy"))&amp;" "&amp;Milestones!$AB$129&amp;" "&amp;Milestones!$AC$129&amp;";  ","")&amp;IF(AND(EDATE($D43,Milestones!$AA$130)&lt;=AsOfDate,IF($R43=0,$X43,IF(AND($T43&lt;&gt;"",EDATE($D43,Milestones!$AA$130)&gt;=$T43),$W43,IF(AND($S43&lt;&gt;"",EDATE($D43,Milestones!$AA$130)&gt;=$S43),$V43,$U43)))=Milestones!$AB$130),UPPER(TEXT(EDATE($D43,Milestones!$AA$130),"dd mmm yy"))&amp;" "&amp;Milestones!$AB$130&amp;" "&amp;Milestones!$AC$130&amp;";  ","")&amp;IF(AND(EDATE($D43,Milestones!$AA$131)&lt;=AsOfDate,IF($R43=0,$X43,IF(AND($T43&lt;&gt;"",EDATE($D43,Milestones!$AA$131)&gt;=$T43),$W43,IF(AND($S43&lt;&gt;"",EDATE($D43,Milestones!$AA$131)&gt;=$S43),$V43,$U43)))=Milestones!$AB$131),UPPER(TEXT(EDATE($D43,Milestones!$AA$131),"dd mmm yy"))&amp;" "&amp;Milestones!$AB$131&amp;" "&amp;Milestones!$AC$131&amp;";  ","")&amp;IF(AND(EDATE($D43,Milestones!$AA$132)&lt;=AsOfDate,IF($R43=0,$X43,IF(AND($T43&lt;&gt;"",EDATE($D43,Milestones!$AA$132)&gt;=$T43),$W43,IF(AND($S43&lt;&gt;"",EDATE($D43,Milestones!$AA$132)&gt;=$S43),$V43,$U43)))=Milestones!$AB$132),UPPER(TEXT(EDATE($D43,Milestones!$AA$132),"dd mmm yy"))&amp;" "&amp;Milestones!$AB$132&amp;" "&amp;Milestones!$AC$132&amp;";  ","")&amp;IF(AND(EDATE($D43,Milestones!$AA$133)&lt;=AsOfDate,IF($R43=0,$X43,IF(AND($T43&lt;&gt;"",EDATE($D43,Milestones!$AA$133)&gt;=$T43),$W43,IF(AND($S43&lt;&gt;"",EDATE($D43,Milestones!$AA$133)&gt;=$S43),$V43,$U43)))=Milestones!$AB$133),UPPER(TEXT(EDATE($D43,Milestones!$AA$133),"dd mmm yy"))&amp;" "&amp;Milestones!$AB$133&amp;" "&amp;Milestones!$AC$133&amp;";  ","")&amp;IF(AND(EDATE($D43,Milestones!$AA$134)&lt;=AsOfDate,IF($R43=0,$X43,IF(AND($T43&lt;&gt;"",EDATE($D43,Milestones!$AA$134)&gt;=$T43),$W43,IF(AND($S43&lt;&gt;"",EDATE($D43,Milestones!$AA$134)&gt;=$S43),$V43,$U43)))=Milestones!$AB$134),UPPER(TEXT(EDATE($D43,Milestones!$AA$134),"dd mmm yy"))&amp;" "&amp;Milestones!$AB$134&amp;" "&amp;Milestones!$AC$134&amp;";  ","")&amp;IF(AND(EDATE($D43,Milestones!$AA$135)&lt;=AsOfDate,IF($R43=0,$X43,IF(AND($T43&lt;&gt;"",EDATE($D43,Milestones!$AA$135)&gt;=$T43),$W43,IF(AND($S43&lt;&gt;"",EDATE($D43,Milestones!$AA$135)&gt;=$S43),$V43,$U43)))=Milestones!$AB$135),UPPER(TEXT(EDATE($D43,Milestones!$AA$135),"dd mmm yy"))&amp;" "&amp;Milestones!$AB$135&amp;" "&amp;Milestones!$AC$135&amp;";  ","")&amp;IF(AND(EDATE($D43,Milestones!$AA$136)&lt;=AsOfDate,IF($R43=0,$X43,IF(AND($T43&lt;&gt;"",EDATE($D43,Milestones!$AA$136)&gt;=$T43),$W43,IF(AND($S43&lt;&gt;"",EDATE($D43,Milestones!$AA$136)&gt;=$S43),$V43,$U43)))=Milestones!$AB$136),UPPER(TEXT(EDATE($D43,Milestones!$AA$136),"dd mmm yy"))&amp;" "&amp;Milestones!$AB$136&amp;" "&amp;Milestones!$AC$136&amp;";  ","")&amp;IF(AND(EDATE($D43,Milestones!$AA$137)&lt;=AsOfDate,IF($R43=0,$X43,IF(AND($T43&lt;&gt;"",EDATE($D43,Milestones!$AA$137)&gt;=$T43),$W43,IF(AND($S43&lt;&gt;"",EDATE($D43,Milestones!$AA$137)&gt;=$S43),$V43,$U43)))=Milestones!$AB$137),UPPER(TEXT(EDATE($D43,Milestones!$AA$137),"dd mmm yy"))&amp;" "&amp;Milestones!$AB$137&amp;" "&amp;Milestones!$AC$137&amp;";  ","")&amp;IF(AND(EDATE($D43,Milestones!$AA$138)&lt;=AsOfDate,IF($R43=0,$X43,IF(AND($T43&lt;&gt;"",EDATE($D43,Milestones!$AA$138)&gt;=$T43),$W43,IF(AND($S43&lt;&gt;"",EDATE($D43,Milestones!$AA$138)&gt;=$S43),$V43,$U43)))=Milestones!$AB$138),UPPER(TEXT(EDATE($D43,Milestones!$AA$138),"dd mmm yy"))&amp;" "&amp;Milestones!$AB$138&amp;" "&amp;Milestones!$AC$138&amp;";  ","")&amp;IF(AND(EDATE($D43,Milestones!$AA$139)&lt;=AsOfDate,IF($R43=0,$X43,IF(AND($T43&lt;&gt;"",EDATE($D43,Milestones!$AA$139)&gt;=$T43),$W43,IF(AND($S43&lt;&gt;"",EDATE($D43,Milestones!$AA$139)&gt;=$S43),$V43,$U43)))=Milestones!$AB$139),UPPER(TEXT(EDATE($D43,Milestones!$AA$139),"dd mmm yy"))&amp;" "&amp;Milestones!$AB$139&amp;" "&amp;Milestones!$AC$139&amp;";  ",""))</f>
        <v/>
      </c>
      <c r="O43" s="0" t="str">
        <f aca="false">IF(OR($A43="",$D43=""),"",IF(AND(EDATE($D43,Milestones!$AA$140)&lt;=AsOfDate,IF($R43=0,$X43,IF(AND($T43&lt;&gt;"",EDATE($D43,Milestones!$AA$140)&gt;=$T43),$W43,IF(AND($S43&lt;&gt;"",EDATE($D43,Milestones!$AA$140)&gt;=$S43),$V43,$U43)))=Milestones!$AB$140),UPPER(TEXT(EDATE($D43,Milestones!$AA$140),"dd mmm yy"))&amp;" "&amp;Milestones!$AB$140&amp;" "&amp;Milestones!$AC$140&amp;";  ","")&amp;IF(AND(EDATE($D43,Milestones!$AA$141)&lt;=AsOfDate,IF($R43=0,$X43,IF(AND($T43&lt;&gt;"",EDATE($D43,Milestones!$AA$141)&gt;=$T43),$W43,IF(AND($S43&lt;&gt;"",EDATE($D43,Milestones!$AA$141)&gt;=$S43),$V43,$U43)))=Milestones!$AB$141),UPPER(TEXT(EDATE($D43,Milestones!$AA$141),"dd mmm yy"))&amp;" "&amp;Milestones!$AB$141&amp;" "&amp;Milestones!$AC$141&amp;";  ","")&amp;IF(AND(EDATE($D43,Milestones!$AA$142)&lt;=AsOfDate,IF($R43=0,$X43,IF(AND($T43&lt;&gt;"",EDATE($D43,Milestones!$AA$142)&gt;=$T43),$W43,IF(AND($S43&lt;&gt;"",EDATE($D43,Milestones!$AA$142)&gt;=$S43),$V43,$U43)))=Milestones!$AB$142),UPPER(TEXT(EDATE($D43,Milestones!$AA$142),"dd mmm yy"))&amp;" "&amp;Milestones!$AB$142&amp;" "&amp;Milestones!$AC$142&amp;";  ","")&amp;IF(AND(EDATE($D43,Milestones!$AA$143)&lt;=AsOfDate,IF($R43=0,$X43,IF(AND($T43&lt;&gt;"",EDATE($D43,Milestones!$AA$143)&gt;=$T43),$W43,IF(AND($S43&lt;&gt;"",EDATE($D43,Milestones!$AA$143)&gt;=$S43),$V43,$U43)))=Milestones!$AB$143),UPPER(TEXT(EDATE($D43,Milestones!$AA$143),"dd mmm yy"))&amp;" "&amp;Milestones!$AB$143&amp;" "&amp;Milestones!$AC$143&amp;";  ","")&amp;IF(AND(EDATE($D43,Milestones!$AA$144)&lt;=AsOfDate,IF($R43=0,$X43,IF(AND($T43&lt;&gt;"",EDATE($D43,Milestones!$AA$144)&gt;=$T43),$W43,IF(AND($S43&lt;&gt;"",EDATE($D43,Milestones!$AA$144)&gt;=$S43),$V43,$U43)))=Milestones!$AB$144),UPPER(TEXT(EDATE($D43,Milestones!$AA$144),"dd mmm yy"))&amp;" "&amp;Milestones!$AB$144&amp;" "&amp;Milestones!$AC$144&amp;";  ","")&amp;IF(AND(EDATE($D43,Milestones!$AA$145)&lt;=AsOfDate,IF($R43=0,$X43,IF(AND($T43&lt;&gt;"",EDATE($D43,Milestones!$AA$145)&gt;=$T43),$W43,IF(AND($S43&lt;&gt;"",EDATE($D43,Milestones!$AA$145)&gt;=$S43),$V43,$U43)))=Milestones!$AB$145),UPPER(TEXT(EDATE($D43,Milestones!$AA$145),"dd mmm yy"))&amp;" "&amp;Milestones!$AB$145&amp;" "&amp;Milestones!$AC$145&amp;";  ","")&amp;IF(AND(EDATE($D43,Milestones!$AA$146)&lt;=AsOfDate,IF($R43=0,$X43,IF(AND($T43&lt;&gt;"",EDATE($D43,Milestones!$AA$146)&gt;=$T43),$W43,IF(AND($S43&lt;&gt;"",EDATE($D43,Milestones!$AA$146)&gt;=$S43),$V43,$U43)))=Milestones!$AB$146),UPPER(TEXT(EDATE($D43,Milestones!$AA$146),"dd mmm yy"))&amp;" "&amp;Milestones!$AB$146&amp;" "&amp;Milestones!$AC$146&amp;";  ","")&amp;IF(AND(EDATE($D43,Milestones!$AA$147)&lt;=AsOfDate,IF($R43=0,$X43,IF(AND($T43&lt;&gt;"",EDATE($D43,Milestones!$AA$147)&gt;=$T43),$W43,IF(AND($S43&lt;&gt;"",EDATE($D43,Milestones!$AA$147)&gt;=$S43),$V43,$U43)))=Milestones!$AB$147),UPPER(TEXT(EDATE($D43,Milestones!$AA$147),"dd mmm yy"))&amp;" "&amp;Milestones!$AB$147&amp;" "&amp;Milestones!$AC$147&amp;";  ","")&amp;IF(AND(EDATE($D43,Milestones!$AA$148)&lt;=AsOfDate,IF($R43=0,$X43,IF(AND($T43&lt;&gt;"",EDATE($D43,Milestones!$AA$148)&gt;=$T43),$W43,IF(AND($S43&lt;&gt;"",EDATE($D43,Milestones!$AA$148)&gt;=$S43),$V43,$U43)))=Milestones!$AB$148),UPPER(TEXT(EDATE($D43,Milestones!$AA$148),"dd mmm yy"))&amp;" "&amp;Milestones!$AB$148&amp;" "&amp;Milestones!$AC$148&amp;";  ","")&amp;IF(AND(EDATE($D43,Milestones!$AA$149)&lt;=AsOfDate,IF($R43=0,$X43,IF(AND($T43&lt;&gt;"",EDATE($D43,Milestones!$AA$149)&gt;=$T43),$W43,IF(AND($S43&lt;&gt;"",EDATE($D43,Milestones!$AA$149)&gt;=$S43),$V43,$U43)))=Milestones!$AB$149),UPPER(TEXT(EDATE($D43,Milestones!$AA$149),"dd mmm yy"))&amp;" "&amp;Milestones!$AB$149&amp;" "&amp;Milestones!$AC$149&amp;";  ","")&amp;IF(AND(EDATE($D43,Milestones!$AA$150)&lt;=AsOfDate,IF($R43=0,$X43,IF(AND($T43&lt;&gt;"",EDATE($D43,Milestones!$AA$150)&gt;=$T43),$W43,IF(AND($S43&lt;&gt;"",EDATE($D43,Milestones!$AA$150)&gt;=$S43),$V43,$U43)))=Milestones!$AB$150),UPPER(TEXT(EDATE($D43,Milestones!$AA$150),"dd mmm yy"))&amp;" "&amp;Milestones!$AB$150&amp;" "&amp;Milestones!$AC$150&amp;";  ","")&amp;IF(AND(EDATE($D43,Milestones!$AA$151)&lt;=AsOfDate,IF($R43=0,$X43,IF(AND($T43&lt;&gt;"",EDATE($D43,Milestones!$AA$151)&gt;=$T43),$W43,IF(AND($S43&lt;&gt;"",EDATE($D43,Milestones!$AA$151)&gt;=$S43),$V43,$U43)))=Milestones!$AB$151),UPPER(TEXT(EDATE($D43,Milestones!$AA$151),"dd mmm yy"))&amp;" "&amp;Milestones!$AB$151&amp;" "&amp;Milestones!$AC$151&amp;";  ","")&amp;IF(AND(EDATE($D43,Milestones!$AA$152)&lt;=AsOfDate,IF($R43=0,$X43,IF(AND($T43&lt;&gt;"",EDATE($D43,Milestones!$AA$152)&gt;=$T43),$W43,IF(AND($S43&lt;&gt;"",EDATE($D43,Milestones!$AA$152)&gt;=$S43),$V43,$U43)))=Milestones!$AB$152),UPPER(TEXT(EDATE($D43,Milestones!$AA$152),"dd mmm yy"))&amp;" "&amp;Milestones!$AB$152&amp;" "&amp;Milestones!$AC$152&amp;";  ","")&amp;IF(AND(EDATE($D43,Milestones!$AA$153)&lt;=AsOfDate,IF($R43=0,$X43,IF(AND($T43&lt;&gt;"",EDATE($D43,Milestones!$AA$153)&gt;=$T43),$W43,IF(AND($S43&lt;&gt;"",EDATE($D43,Milestones!$AA$153)&gt;=$S43),$V43,$U43)))=Milestones!$AB$153),UPPER(TEXT(EDATE($D43,Milestones!$AA$153),"dd mmm yy"))&amp;" "&amp;Milestones!$AB$153&amp;" "&amp;Milestones!$AC$153&amp;";  ","")&amp;IF(AND(EDATE($D43,Milestones!$AA$154)&lt;=AsOfDate,IF($R43=0,$X43,IF(AND($T43&lt;&gt;"",EDATE($D43,Milestones!$AA$154)&gt;=$T43),$W43,IF(AND($S43&lt;&gt;"",EDATE($D43,Milestones!$AA$154)&gt;=$S43),$V43,$U43)))=Milestones!$AB$154),UPPER(TEXT(EDATE($D43,Milestones!$AA$154),"dd mmm yy"))&amp;" "&amp;Milestones!$AB$154&amp;" "&amp;Milestones!$AC$154&amp;";  ","")&amp;IF(AND(EDATE($D43,Milestones!$AA$155)&lt;=AsOfDate,IF($R43=0,$X43,IF(AND($T43&lt;&gt;"",EDATE($D43,Milestones!$AA$155)&gt;=$T43),$W43,IF(AND($S43&lt;&gt;"",EDATE($D43,Milestones!$AA$155)&gt;=$S43),$V43,$U43)))=Milestones!$AB$155),UPPER(TEXT(EDATE($D43,Milestones!$AA$155),"dd mmm yy"))&amp;" "&amp;Milestones!$AB$155&amp;" "&amp;Milestones!$AC$155&amp;";  ","")&amp;IF(AND(EDATE($D43,Milestones!$AA$156)&lt;=AsOfDate,IF($R43=0,$X43,IF(AND($T43&lt;&gt;"",EDATE($D43,Milestones!$AA$156)&gt;=$T43),$W43,IF(AND($S43&lt;&gt;"",EDATE($D43,Milestones!$AA$156)&gt;=$S43),$V43,$U43)))=Milestones!$AB$156),UPPER(TEXT(EDATE($D43,Milestones!$AA$156),"dd mmm yy"))&amp;" "&amp;Milestones!$AB$156&amp;" "&amp;Milestones!$AC$156&amp;";  ","")&amp;IF(AND(EDATE($D43,Milestones!$AA$157)&lt;=AsOfDate,IF($R43=0,$X43,IF(AND($T43&lt;&gt;"",EDATE($D43,Milestones!$AA$157)&gt;=$T43),$W43,IF(AND($S43&lt;&gt;"",EDATE($D43,Milestones!$AA$157)&gt;=$S43),$V43,$U43)))=Milestones!$AB$157),UPPER(TEXT(EDATE($D43,Milestones!$AA$157),"dd mmm yy"))&amp;" "&amp;Milestones!$AB$157&amp;" "&amp;Milestones!$AC$157&amp;";  ","")&amp;IF(AND(EDATE($D43,Milestones!$AA$158)&lt;=AsOfDate,IF($R43=0,$X43,IF(AND($T43&lt;&gt;"",EDATE($D43,Milestones!$AA$158)&gt;=$T43),$W43,IF(AND($S43&lt;&gt;"",EDATE($D43,Milestones!$AA$158)&gt;=$S43),$V43,$U43)))=Milestones!$AB$158),UPPER(TEXT(EDATE($D43,Milestones!$AA$158),"dd mmm yy"))&amp;" "&amp;Milestones!$AB$158&amp;" "&amp;Milestones!$AC$158&amp;";  ","")&amp;IF(AND(EDATE($D43,Milestones!$AA$159)&lt;=AsOfDate,IF($R43=0,$X43,IF(AND($T43&lt;&gt;"",EDATE($D43,Milestones!$AA$159)&gt;=$T43),$W43,IF(AND($S43&lt;&gt;"",EDATE($D43,Milestones!$AA$159)&gt;=$S43),$V43,$U43)))=Milestones!$AB$159),UPPER(TEXT(EDATE($D43,Milestones!$AA$159),"dd mmm yy"))&amp;" "&amp;Milestones!$AB$159&amp;" "&amp;Milestones!$AC$159&amp;";  ",""))</f>
        <v/>
      </c>
      <c r="P43" s="0" t="str">
        <f aca="false">IF(OR($A43="",$D43=""),"",IF(AND(EDATE($D43,Milestones!$AA$160)&lt;=AsOfDate,IF($R43=0,$X43,IF(AND($T43&lt;&gt;"",EDATE($D43,Milestones!$AA$160)&gt;=$T43),$W43,IF(AND($S43&lt;&gt;"",EDATE($D43,Milestones!$AA$160)&gt;=$S43),$V43,$U43)))=Milestones!$AB$160),UPPER(TEXT(EDATE($D43,Milestones!$AA$160),"dd mmm yy"))&amp;" "&amp;Milestones!$AB$160&amp;" "&amp;Milestones!$AC$160&amp;";  ","")&amp;IF(AND(EDATE($D43,Milestones!$AA$161)&lt;=AsOfDate,IF($R43=0,$X43,IF(AND($T43&lt;&gt;"",EDATE($D43,Milestones!$AA$161)&gt;=$T43),$W43,IF(AND($S43&lt;&gt;"",EDATE($D43,Milestones!$AA$161)&gt;=$S43),$V43,$U43)))=Milestones!$AB$161),UPPER(TEXT(EDATE($D43,Milestones!$AA$161),"dd mmm yy"))&amp;" "&amp;Milestones!$AB$161&amp;" "&amp;Milestones!$AC$161&amp;";  ","")&amp;IF(AND(EDATE($D43,Milestones!$AA$162)&lt;=AsOfDate,IF($R43=0,$X43,IF(AND($T43&lt;&gt;"",EDATE($D43,Milestones!$AA$162)&gt;=$T43),$W43,IF(AND($S43&lt;&gt;"",EDATE($D43,Milestones!$AA$162)&gt;=$S43),$V43,$U43)))=Milestones!$AB$162),UPPER(TEXT(EDATE($D43,Milestones!$AA$162),"dd mmm yy"))&amp;" "&amp;Milestones!$AB$162&amp;" "&amp;Milestones!$AC$162&amp;";  ","")&amp;IF(AND(EDATE($D43,Milestones!$AA$163)&lt;=AsOfDate,IF($R43=0,$X43,IF(AND($T43&lt;&gt;"",EDATE($D43,Milestones!$AA$163)&gt;=$T43),$W43,IF(AND($S43&lt;&gt;"",EDATE($D43,Milestones!$AA$163)&gt;=$S43),$V43,$U43)))=Milestones!$AB$163),UPPER(TEXT(EDATE($D43,Milestones!$AA$163),"dd mmm yy"))&amp;" "&amp;Milestones!$AB$163&amp;" "&amp;Milestones!$AC$163&amp;";  ","")&amp;IF(AND(EDATE($D43,Milestones!$AA$164)&lt;=AsOfDate,IF($R43=0,$X43,IF(AND($T43&lt;&gt;"",EDATE($D43,Milestones!$AA$164)&gt;=$T43),$W43,IF(AND($S43&lt;&gt;"",EDATE($D43,Milestones!$AA$164)&gt;=$S43),$V43,$U43)))=Milestones!$AB$164),UPPER(TEXT(EDATE($D43,Milestones!$AA$164),"dd mmm yy"))&amp;" "&amp;Milestones!$AB$164&amp;" "&amp;Milestones!$AC$164&amp;";  ","")&amp;IF(AND(EDATE($D43,Milestones!$AA$165)&lt;=AsOfDate,IF($R43=0,$X43,IF(AND($T43&lt;&gt;"",EDATE($D43,Milestones!$AA$165)&gt;=$T43),$W43,IF(AND($S43&lt;&gt;"",EDATE($D43,Milestones!$AA$165)&gt;=$S43),$V43,$U43)))=Milestones!$AB$165),UPPER(TEXT(EDATE($D43,Milestones!$AA$165),"dd mmm yy"))&amp;" "&amp;Milestones!$AB$165&amp;" "&amp;Milestones!$AC$165&amp;";  ","")&amp;IF(AND(EDATE($D43,Milestones!$AA$166)&lt;=AsOfDate,IF($R43=0,$X43,IF(AND($T43&lt;&gt;"",EDATE($D43,Milestones!$AA$166)&gt;=$T43),$W43,IF(AND($S43&lt;&gt;"",EDATE($D43,Milestones!$AA$166)&gt;=$S43),$V43,$U43)))=Milestones!$AB$166),UPPER(TEXT(EDATE($D43,Milestones!$AA$166),"dd mmm yy"))&amp;" "&amp;Milestones!$AB$166&amp;" "&amp;Milestones!$AC$166&amp;";  ","")&amp;IF(AND(EDATE($D43,Milestones!$AA$167)&lt;=AsOfDate,IF($R43=0,$X43,IF(AND($T43&lt;&gt;"",EDATE($D43,Milestones!$AA$167)&gt;=$T43),$W43,IF(AND($S43&lt;&gt;"",EDATE($D43,Milestones!$AA$167)&gt;=$S43),$V43,$U43)))=Milestones!$AB$167),UPPER(TEXT(EDATE($D43,Milestones!$AA$167),"dd mmm yy"))&amp;" "&amp;Milestones!$AB$167&amp;" "&amp;Milestones!$AC$167&amp;";  ","")&amp;IF(AND(EDATE($D43,Milestones!$AA$168)&lt;=AsOfDate,IF($R43=0,$X43,IF(AND($T43&lt;&gt;"",EDATE($D43,Milestones!$AA$168)&gt;=$T43),$W43,IF(AND($S43&lt;&gt;"",EDATE($D43,Milestones!$AA$168)&gt;=$S43),$V43,$U43)))=Milestones!$AB$168),UPPER(TEXT(EDATE($D43,Milestones!$AA$168),"dd mmm yy"))&amp;" "&amp;Milestones!$AB$168&amp;" "&amp;Milestones!$AC$168&amp;";  ","")&amp;IF(AND(EDATE($D43,Milestones!$AA$169)&lt;=AsOfDate,IF($R43=0,$X43,IF(AND($T43&lt;&gt;"",EDATE($D43,Milestones!$AA$169)&gt;=$T43),$W43,IF(AND($S43&lt;&gt;"",EDATE($D43,Milestones!$AA$169)&gt;=$S43),$V43,$U43)))=Milestones!$AB$169),UPPER(TEXT(EDATE($D43,Milestones!$AA$169),"dd mmm yy"))&amp;" "&amp;Milestones!$AB$169&amp;" "&amp;Milestones!$AC$169&amp;";  ","")&amp;IF(AND(EDATE($D43,Milestones!$AA$170)&lt;=AsOfDate,IF($R43=0,$X43,IF(AND($T43&lt;&gt;"",EDATE($D43,Milestones!$AA$170)&gt;=$T43),$W43,IF(AND($S43&lt;&gt;"",EDATE($D43,Milestones!$AA$170)&gt;=$S43),$V43,$U43)))=Milestones!$AB$170),UPPER(TEXT(EDATE($D43,Milestones!$AA$170),"dd mmm yy"))&amp;" "&amp;Milestones!$AB$170&amp;" "&amp;Milestones!$AC$170&amp;";  ","")&amp;IF(AND(EDATE($D43,Milestones!$AA$171)&lt;=AsOfDate,IF($R43=0,$X43,IF(AND($T43&lt;&gt;"",EDATE($D43,Milestones!$AA$171)&gt;=$T43),$W43,IF(AND($S43&lt;&gt;"",EDATE($D43,Milestones!$AA$171)&gt;=$S43),$V43,$U43)))=Milestones!$AB$171),UPPER(TEXT(EDATE($D43,Milestones!$AA$171),"dd mmm yy"))&amp;" "&amp;Milestones!$AB$171&amp;" "&amp;Milestones!$AC$171&amp;";  ","")&amp;IF(AND(EDATE($D43,Milestones!$AA$172)&lt;=AsOfDate,IF($R43=0,$X43,IF(AND($T43&lt;&gt;"",EDATE($D43,Milestones!$AA$172)&gt;=$T43),$W43,IF(AND($S43&lt;&gt;"",EDATE($D43,Milestones!$AA$172)&gt;=$S43),$V43,$U43)))=Milestones!$AB$172),UPPER(TEXT(EDATE($D43,Milestones!$AA$172),"dd mmm yy"))&amp;" "&amp;Milestones!$AB$172&amp;" "&amp;Milestones!$AC$172&amp;";  ","")&amp;IF(AND(EDATE($D43,Milestones!$AA$173)&lt;=AsOfDate,IF($R43=0,$X43,IF(AND($T43&lt;&gt;"",EDATE($D43,Milestones!$AA$173)&gt;=$T43),$W43,IF(AND($S43&lt;&gt;"",EDATE($D43,Milestones!$AA$173)&gt;=$S43),$V43,$U43)))=Milestones!$AB$173),UPPER(TEXT(EDATE($D43,Milestones!$AA$173),"dd mmm yy"))&amp;" "&amp;Milestones!$AB$173&amp;" "&amp;Milestones!$AC$173&amp;";  ","")&amp;IF(AND(EDATE($D43,Milestones!$AA$174)&lt;=AsOfDate,IF($R43=0,$X43,IF(AND($T43&lt;&gt;"",EDATE($D43,Milestones!$AA$174)&gt;=$T43),$W43,IF(AND($S43&lt;&gt;"",EDATE($D43,Milestones!$AA$174)&gt;=$S43),$V43,$U43)))=Milestones!$AB$174),UPPER(TEXT(EDATE($D43,Milestones!$AA$174),"dd mmm yy"))&amp;" "&amp;Milestones!$AB$174&amp;" "&amp;Milestones!$AC$174&amp;";  ","")&amp;IF(AND(EDATE($D43,Milestones!$AA$175)&lt;=AsOfDate,IF($R43=0,$X43,IF(AND($T43&lt;&gt;"",EDATE($D43,Milestones!$AA$175)&gt;=$T43),$W43,IF(AND($S43&lt;&gt;"",EDATE($D43,Milestones!$AA$175)&gt;=$S43),$V43,$U43)))=Milestones!$AB$175),UPPER(TEXT(EDATE($D43,Milestones!$AA$175),"dd mmm yy"))&amp;" "&amp;Milestones!$AB$175&amp;" "&amp;Milestones!$AC$175&amp;";  ","")&amp;IF(AND(EDATE($D43,Milestones!$AA$176)&lt;=AsOfDate,IF($R43=0,$X43,IF(AND($T43&lt;&gt;"",EDATE($D43,Milestones!$AA$176)&gt;=$T43),$W43,IF(AND($S43&lt;&gt;"",EDATE($D43,Milestones!$AA$176)&gt;=$S43),$V43,$U43)))=Milestones!$AB$176),UPPER(TEXT(EDATE($D43,Milestones!$AA$176),"dd mmm yy"))&amp;" "&amp;Milestones!$AB$176&amp;" "&amp;Milestones!$AC$176&amp;";  ","")&amp;IF(AND(EDATE($D43,Milestones!$AA$177)&lt;=AsOfDate,IF($R43=0,$X43,IF(AND($T43&lt;&gt;"",EDATE($D43,Milestones!$AA$177)&gt;=$T43),$W43,IF(AND($S43&lt;&gt;"",EDATE($D43,Milestones!$AA$177)&gt;=$S43),$V43,$U43)))=Milestones!$AB$177),UPPER(TEXT(EDATE($D43,Milestones!$AA$177),"dd mmm yy"))&amp;" "&amp;Milestones!$AB$177&amp;" "&amp;Milestones!$AC$177&amp;";  ","")&amp;IF(AND(EDATE($D43,Milestones!$AA$178)&lt;=AsOfDate,IF($R43=0,$X43,IF(AND($T43&lt;&gt;"",EDATE($D43,Milestones!$AA$178)&gt;=$T43),$W43,IF(AND($S43&lt;&gt;"",EDATE($D43,Milestones!$AA$178)&gt;=$S43),$V43,$U43)))=Milestones!$AB$178),UPPER(TEXT(EDATE($D43,Milestones!$AA$178),"dd mmm yy"))&amp;" "&amp;Milestones!$AB$178&amp;" "&amp;Milestones!$AC$178&amp;";  ","")&amp;IF(AND(EDATE($D43,Milestones!$AA$179)&lt;=AsOfDate,IF($R43=0,$X43,IF(AND($T43&lt;&gt;"",EDATE($D43,Milestones!$AA$179)&gt;=$T43),$W43,IF(AND($S43&lt;&gt;"",EDATE($D43,Milestones!$AA$179)&gt;=$S43),$V43,$U43)))=Milestones!$AB$179),UPPER(TEXT(EDATE($D43,Milestones!$AA$179),"dd mmm yy"))&amp;" "&amp;Milestones!$AB$179&amp;" "&amp;Milestones!$AC$179&amp;";  ",""))</f>
        <v/>
      </c>
      <c r="Q43" s="0" t="str">
        <f aca="false">IF(OR($A43="",$D43=""),"",IF(AND(EDATE($D43,Milestones!$AA$180)&lt;=AsOfDate,IF($R43=0,$X43,IF(AND($T43&lt;&gt;"",EDATE($D43,Milestones!$AA$180)&gt;=$T43),$W43,IF(AND($S43&lt;&gt;"",EDATE($D43,Milestones!$AA$180)&gt;=$S43),$V43,$U43)))=Milestones!$AB$180),UPPER(TEXT(EDATE($D43,Milestones!$AA$180),"dd mmm yy"))&amp;" "&amp;Milestones!$AB$180&amp;" "&amp;Milestones!$AC$180&amp;";  ","")&amp;IF(AND(EDATE($D43,Milestones!$AA$181)&lt;=AsOfDate,IF($R43=0,$X43,IF(AND($T43&lt;&gt;"",EDATE($D43,Milestones!$AA$181)&gt;=$T43),$W43,IF(AND($S43&lt;&gt;"",EDATE($D43,Milestones!$AA$181)&gt;=$S43),$V43,$U43)))=Milestones!$AB$181),UPPER(TEXT(EDATE($D43,Milestones!$AA$181),"dd mmm yy"))&amp;" "&amp;Milestones!$AB$181&amp;" "&amp;Milestones!$AC$181&amp;";  ","")&amp;IF(AND(EDATE($D43,Milestones!$AA$182)&lt;=AsOfDate,IF($R43=0,$X43,IF(AND($T43&lt;&gt;"",EDATE($D43,Milestones!$AA$182)&gt;=$T43),$W43,IF(AND($S43&lt;&gt;"",EDATE($D43,Milestones!$AA$182)&gt;=$S43),$V43,$U43)))=Milestones!$AB$182),UPPER(TEXT(EDATE($D43,Milestones!$AA$182),"dd mmm yy"))&amp;" "&amp;Milestones!$AB$182&amp;" "&amp;Milestones!$AC$182&amp;";  ","")&amp;IF(AND(EDATE($D43,Milestones!$AA$183)&lt;=AsOfDate,IF($R43=0,$X43,IF(AND($T43&lt;&gt;"",EDATE($D43,Milestones!$AA$183)&gt;=$T43),$W43,IF(AND($S43&lt;&gt;"",EDATE($D43,Milestones!$AA$183)&gt;=$S43),$V43,$U43)))=Milestones!$AB$183),UPPER(TEXT(EDATE($D43,Milestones!$AA$183),"dd mmm yy"))&amp;" "&amp;Milestones!$AB$183&amp;" "&amp;Milestones!$AC$183&amp;";  ","")&amp;IF(AND(EDATE($D43,Milestones!$AA$184)&lt;=AsOfDate,IF($R43=0,$X43,IF(AND($T43&lt;&gt;"",EDATE($D43,Milestones!$AA$184)&gt;=$T43),$W43,IF(AND($S43&lt;&gt;"",EDATE($D43,Milestones!$AA$184)&gt;=$S43),$V43,$U43)))=Milestones!$AB$184),UPPER(TEXT(EDATE($D43,Milestones!$AA$184),"dd mmm yy"))&amp;" "&amp;Milestones!$AB$184&amp;" "&amp;Milestones!$AC$184&amp;";  ","")&amp;IF(AND(EDATE($D43,Milestones!$AA$185)&lt;=AsOfDate,IF($R43=0,$X43,IF(AND($T43&lt;&gt;"",EDATE($D43,Milestones!$AA$185)&gt;=$T43),$W43,IF(AND($S43&lt;&gt;"",EDATE($D43,Milestones!$AA$185)&gt;=$S43),$V43,$U43)))=Milestones!$AB$185),UPPER(TEXT(EDATE($D43,Milestones!$AA$185),"dd mmm yy"))&amp;" "&amp;Milestones!$AB$185&amp;" "&amp;Milestones!$AC$185&amp;";  ","")&amp;IF(AND(EDATE($D43,Milestones!$AA$186)&lt;=AsOfDate,IF($R43=0,$X43,IF(AND($T43&lt;&gt;"",EDATE($D43,Milestones!$AA$186)&gt;=$T43),$W43,IF(AND($S43&lt;&gt;"",EDATE($D43,Milestones!$AA$186)&gt;=$S43),$V43,$U43)))=Milestones!$AB$186),UPPER(TEXT(EDATE($D43,Milestones!$AA$186),"dd mmm yy"))&amp;" "&amp;Milestones!$AB$186&amp;" "&amp;Milestones!$AC$186&amp;";  ","")&amp;IF(AND(EDATE($D43,Milestones!$AA$187)&lt;=AsOfDate,IF($R43=0,$X43,IF(AND($T43&lt;&gt;"",EDATE($D43,Milestones!$AA$187)&gt;=$T43),$W43,IF(AND($S43&lt;&gt;"",EDATE($D43,Milestones!$AA$187)&gt;=$S43),$V43,$U43)))=Milestones!$AB$187),UPPER(TEXT(EDATE($D43,Milestones!$AA$187),"dd mmm yy"))&amp;" "&amp;Milestones!$AB$187&amp;" "&amp;Milestones!$AC$187&amp;";  ","")&amp;IF(AND(EDATE($D43,Milestones!$AA$188)&lt;=AsOfDate,IF($R43=0,$X43,IF(AND($T43&lt;&gt;"",EDATE($D43,Milestones!$AA$188)&gt;=$T43),$W43,IF(AND($S43&lt;&gt;"",EDATE($D43,Milestones!$AA$188)&gt;=$S43),$V43,$U43)))=Milestones!$AB$188),UPPER(TEXT(EDATE($D43,Milestones!$AA$188),"dd mmm yy"))&amp;" "&amp;Milestones!$AB$188&amp;" "&amp;Milestones!$AC$188&amp;";  ","")&amp;IF(AND(EDATE($D43,Milestones!$AA$189)&lt;=AsOfDate,IF($R43=0,$X43,IF(AND($T43&lt;&gt;"",EDATE($D43,Milestones!$AA$189)&gt;=$T43),$W43,IF(AND($S43&lt;&gt;"",EDATE($D43,Milestones!$AA$189)&gt;=$S43),$V43,$U43)))=Milestones!$AB$189),UPPER(TEXT(EDATE($D43,Milestones!$AA$189),"dd mmm yy"))&amp;" "&amp;Milestones!$AB$189&amp;" "&amp;Milestones!$AC$189&amp;";  ","")&amp;IF(AND(EDATE($D43,Milestones!$AA$190)&lt;=AsOfDate,IF($R43=0,$X43,IF(AND($T43&lt;&gt;"",EDATE($D43,Milestones!$AA$190)&gt;=$T43),$W43,IF(AND($S43&lt;&gt;"",EDATE($D43,Milestones!$AA$190)&gt;=$S43),$V43,$U43)))=Milestones!$AB$190),UPPER(TEXT(EDATE($D43,Milestones!$AA$190),"dd mmm yy"))&amp;" "&amp;Milestones!$AB$190&amp;" "&amp;Milestones!$AC$190&amp;";  ","")&amp;IF(AND(EDATE($D43,Milestones!$AA$191)&lt;=AsOfDate,IF($R43=0,$X43,IF(AND($T43&lt;&gt;"",EDATE($D43,Milestones!$AA$191)&gt;=$T43),$W43,IF(AND($S43&lt;&gt;"",EDATE($D43,Milestones!$AA$191)&gt;=$S43),$V43,$U43)))=Milestones!$AB$191),UPPER(TEXT(EDATE($D43,Milestones!$AA$191),"dd mmm yy"))&amp;" "&amp;Milestones!$AB$191&amp;" "&amp;Milestones!$AC$191&amp;";  ","")&amp;IF(AND(EDATE($D43,Milestones!$AA$192)&lt;=AsOfDate,IF($R43=0,$X43,IF(AND($T43&lt;&gt;"",EDATE($D43,Milestones!$AA$192)&gt;=$T43),$W43,IF(AND($S43&lt;&gt;"",EDATE($D43,Milestones!$AA$192)&gt;=$S43),$V43,$U43)))=Milestones!$AB$192),UPPER(TEXT(EDATE($D43,Milestones!$AA$192),"dd mmm yy"))&amp;" "&amp;Milestones!$AB$192&amp;" "&amp;Milestones!$AC$192&amp;";  ","")&amp;IF(AND(EDATE($D43,Milestones!$AA$193)&lt;=AsOfDate,IF($R43=0,$X43,IF(AND($T43&lt;&gt;"",EDATE($D43,Milestones!$AA$193)&gt;=$T43),$W43,IF(AND($S43&lt;&gt;"",EDATE($D43,Milestones!$AA$193)&gt;=$S43),$V43,$U43)))=Milestones!$AB$193),UPPER(TEXT(EDATE($D43,Milestones!$AA$193),"dd mmm yy"))&amp;" "&amp;Milestones!$AB$193&amp;" "&amp;Milestones!$AC$193&amp;";  ","")&amp;IF(AND(EDATE($D43,Milestones!$AA$194)&lt;=AsOfDate,IF($R43=0,$X43,IF(AND($T43&lt;&gt;"",EDATE($D43,Milestones!$AA$194)&gt;=$T43),$W43,IF(AND($S43&lt;&gt;"",EDATE($D43,Milestones!$AA$194)&gt;=$S43),$V43,$U43)))=Milestones!$AB$194),UPPER(TEXT(EDATE($D43,Milestones!$AA$194),"dd mmm yy"))&amp;" "&amp;Milestones!$AB$194&amp;" "&amp;Milestones!$AC$194&amp;";  ","")&amp;IF(AND(EDATE($D43,Milestones!$AA$195)&lt;=AsOfDate,IF($R43=0,$X43,IF(AND($T43&lt;&gt;"",EDATE($D43,Milestones!$AA$195)&gt;=$T43),$W43,IF(AND($S43&lt;&gt;"",EDATE($D43,Milestones!$AA$195)&gt;=$S43),$V43,$U43)))=Milestones!$AB$195),UPPER(TEXT(EDATE($D43,Milestones!$AA$195),"dd mmm yy"))&amp;" "&amp;Milestones!$AB$195&amp;" "&amp;Milestones!$AC$195&amp;";  ","")&amp;IF(AND(EDATE($D43,Milestones!$AA$196)&lt;=AsOfDate,IF($R43=0,$X43,IF(AND($T43&lt;&gt;"",EDATE($D43,Milestones!$AA$196)&gt;=$T43),$W43,IF(AND($S43&lt;&gt;"",EDATE($D43,Milestones!$AA$196)&gt;=$S43),$V43,$U43)))=Milestones!$AB$196),UPPER(TEXT(EDATE($D43,Milestones!$AA$196),"dd mmm yy"))&amp;" "&amp;Milestones!$AB$196&amp;" "&amp;Milestones!$AC$196&amp;";  ","")&amp;IF(AND(EDATE($D43,Milestones!$AA$197)&lt;=AsOfDate,IF($R43=0,$X43,IF(AND($T43&lt;&gt;"",EDATE($D43,Milestones!$AA$197)&gt;=$T43),$W43,IF(AND($S43&lt;&gt;"",EDATE($D43,Milestones!$AA$197)&gt;=$S43),$V43,$U43)))=Milestones!$AB$197),UPPER(TEXT(EDATE($D43,Milestones!$AA$197),"dd mmm yy"))&amp;" "&amp;Milestones!$AB$197&amp;" "&amp;Milestones!$AC$197&amp;";  ","")&amp;IF(AND(EDATE($D43,Milestones!$AA$198)&lt;=AsOfDate,IF($R43=0,$X43,IF(AND($T43&lt;&gt;"",EDATE($D43,Milestones!$AA$198)&gt;=$T43),$W43,IF(AND($S43&lt;&gt;"",EDATE($D43,Milestones!$AA$198)&gt;=$S43),$V43,$U43)))=Milestones!$AB$198),UPPER(TEXT(EDATE($D43,Milestones!$AA$198),"dd mmm yy"))&amp;" "&amp;Milestones!$AB$198&amp;" "&amp;Milestones!$AC$198&amp;";  ","")&amp;IF(AND(EDATE($D43,Milestones!$AA$199)&lt;=AsOfDate,IF($R43=0,$X43,IF(AND($T43&lt;&gt;"",EDATE($D43,Milestones!$AA$199)&gt;=$T43),$W43,IF(AND($S43&lt;&gt;"",EDATE($D43,Milestones!$AA$199)&gt;=$S43),$V43,$U43)))=Milestones!$AB$199),UPPER(TEXT(EDATE($D43,Milestones!$AA$199),"dd mmm yy"))&amp;" "&amp;Milestones!$AB$199&amp;" "&amp;Milestones!$AC$199&amp;";  ",""))</f>
        <v/>
      </c>
      <c r="R43" s="33" t="n">
        <f aca="false">IF(Staff!$A43="","",Staff!$AI43)</f>
        <v>2</v>
      </c>
      <c r="S43" s="23" t="n">
        <f aca="false">IF(Staff!$A43="","",Staff!$AK43)</f>
        <v>46049</v>
      </c>
      <c r="T43" s="0" t="str">
        <f aca="false">IF(Staff!$A43="","",Staff!$AL43)</f>
        <v/>
      </c>
      <c r="U43" s="0" t="str">
        <f aca="false">IF(Staff!$A43="","",Staff!$AP43)</f>
        <v>None</v>
      </c>
      <c r="V43" s="0" t="str">
        <f aca="false">IF(Staff!$A43="","",Staff!$AQ43)</f>
        <v>FT</v>
      </c>
      <c r="W43" s="0" t="str">
        <f aca="false">IF(Staff!$A43="","",Staff!$AR43)</f>
        <v/>
      </c>
      <c r="X43" s="0" t="str">
        <f aca="false">IF(Staff!$A43="","",Staff!$AS43)</f>
        <v>FT</v>
      </c>
    </row>
    <row r="44" customFormat="false" ht="15" hidden="false" customHeight="false" outlineLevel="0" collapsed="false">
      <c r="A44" s="19" t="str">
        <f aca="false">IF(Staff!$A44="","",Staff!$A44)</f>
        <v>Jonathan</v>
      </c>
      <c r="B44" s="19" t="str">
        <f aca="false">IF(Staff!$A44="","",Staff!$B44)</f>
        <v>Hendratno</v>
      </c>
      <c r="C44" s="19" t="str">
        <f aca="false">IF(Staff!$A44="","",Staff!$C44)</f>
        <v>Casual</v>
      </c>
      <c r="D44" s="17" t="n">
        <f aca="false">IF(Staff!$A44="","",Staff!$AH44)</f>
        <v>45992</v>
      </c>
      <c r="E44" s="20" t="n">
        <f aca="false">IF(Staff!$A44="","",Staff!$O44)</f>
        <v>0</v>
      </c>
      <c r="F44" s="19" t="n">
        <f aca="false">IF(E44="","",E44*HoursPerDay)</f>
        <v>0</v>
      </c>
      <c r="G44" s="20" t="n">
        <f aca="false">IF(Staff!$A44="","",Staff!$AE44)</f>
        <v>0</v>
      </c>
      <c r="H44" s="32" t="str">
        <f aca="false">IF($A44="","",I44&amp;J44&amp;K44&amp;L44&amp;M44&amp;N44&amp;O44&amp;P44&amp;Q44)</f>
        <v/>
      </c>
      <c r="I44" s="0" t="str">
        <f aca="false">IF(OR($A44="",$D44=""),"",IF(AND(EDATE($D44,Milestones!$AA$20)&lt;=AsOfDate,IF($R44=0,$X44,IF(AND($T44&lt;&gt;"",EDATE($D44,Milestones!$AA$20)&gt;=$T44),$W44,IF(AND($S44&lt;&gt;"",EDATE($D44,Milestones!$AA$20)&gt;=$S44),$V44,$U44)))=Milestones!$AB$20),UPPER(TEXT(EDATE($D44,Milestones!$AA$20),"dd mmm yy"))&amp;" "&amp;Milestones!$AB$20&amp;" "&amp;Milestones!$AC$20&amp;";  ","")&amp;IF(AND(EDATE($D44,Milestones!$AA$21)&lt;=AsOfDate,IF($R44=0,$X44,IF(AND($T44&lt;&gt;"",EDATE($D44,Milestones!$AA$21)&gt;=$T44),$W44,IF(AND($S44&lt;&gt;"",EDATE($D44,Milestones!$AA$21)&gt;=$S44),$V44,$U44)))=Milestones!$AB$21),UPPER(TEXT(EDATE($D44,Milestones!$AA$21),"dd mmm yy"))&amp;" "&amp;Milestones!$AB$21&amp;" "&amp;Milestones!$AC$21&amp;";  ","")&amp;IF(AND(EDATE($D44,Milestones!$AA$22)&lt;=AsOfDate,IF($R44=0,$X44,IF(AND($T44&lt;&gt;"",EDATE($D44,Milestones!$AA$22)&gt;=$T44),$W44,IF(AND($S44&lt;&gt;"",EDATE($D44,Milestones!$AA$22)&gt;=$S44),$V44,$U44)))=Milestones!$AB$22),UPPER(TEXT(EDATE($D44,Milestones!$AA$22),"dd mmm yy"))&amp;" "&amp;Milestones!$AB$22&amp;" "&amp;Milestones!$AC$22&amp;";  ","")&amp;IF(AND(EDATE($D44,Milestones!$AA$23)&lt;=AsOfDate,IF($R44=0,$X44,IF(AND($T44&lt;&gt;"",EDATE($D44,Milestones!$AA$23)&gt;=$T44),$W44,IF(AND($S44&lt;&gt;"",EDATE($D44,Milestones!$AA$23)&gt;=$S44),$V44,$U44)))=Milestones!$AB$23),UPPER(TEXT(EDATE($D44,Milestones!$AA$23),"dd mmm yy"))&amp;" "&amp;Milestones!$AB$23&amp;" "&amp;Milestones!$AC$23&amp;";  ","")&amp;IF(AND(EDATE($D44,Milestones!$AA$24)&lt;=AsOfDate,IF($R44=0,$X44,IF(AND($T44&lt;&gt;"",EDATE($D44,Milestones!$AA$24)&gt;=$T44),$W44,IF(AND($S44&lt;&gt;"",EDATE($D44,Milestones!$AA$24)&gt;=$S44),$V44,$U44)))=Milestones!$AB$24),UPPER(TEXT(EDATE($D44,Milestones!$AA$24),"dd mmm yy"))&amp;" "&amp;Milestones!$AB$24&amp;" "&amp;Milestones!$AC$24&amp;";  ","")&amp;IF(AND(EDATE($D44,Milestones!$AA$25)&lt;=AsOfDate,IF($R44=0,$X44,IF(AND($T44&lt;&gt;"",EDATE($D44,Milestones!$AA$25)&gt;=$T44),$W44,IF(AND($S44&lt;&gt;"",EDATE($D44,Milestones!$AA$25)&gt;=$S44),$V44,$U44)))=Milestones!$AB$25),UPPER(TEXT(EDATE($D44,Milestones!$AA$25),"dd mmm yy"))&amp;" "&amp;Milestones!$AB$25&amp;" "&amp;Milestones!$AC$25&amp;";  ","")&amp;IF(AND(EDATE($D44,Milestones!$AA$26)&lt;=AsOfDate,IF($R44=0,$X44,IF(AND($T44&lt;&gt;"",EDATE($D44,Milestones!$AA$26)&gt;=$T44),$W44,IF(AND($S44&lt;&gt;"",EDATE($D44,Milestones!$AA$26)&gt;=$S44),$V44,$U44)))=Milestones!$AB$26),UPPER(TEXT(EDATE($D44,Milestones!$AA$26),"dd mmm yy"))&amp;" "&amp;Milestones!$AB$26&amp;" "&amp;Milestones!$AC$26&amp;";  ","")&amp;IF(AND(EDATE($D44,Milestones!$AA$27)&lt;=AsOfDate,IF($R44=0,$X44,IF(AND($T44&lt;&gt;"",EDATE($D44,Milestones!$AA$27)&gt;=$T44),$W44,IF(AND($S44&lt;&gt;"",EDATE($D44,Milestones!$AA$27)&gt;=$S44),$V44,$U44)))=Milestones!$AB$27),UPPER(TEXT(EDATE($D44,Milestones!$AA$27),"dd mmm yy"))&amp;" "&amp;Milestones!$AB$27&amp;" "&amp;Milestones!$AC$27&amp;";  ","")&amp;IF(AND(EDATE($D44,Milestones!$AA$28)&lt;=AsOfDate,IF($R44=0,$X44,IF(AND($T44&lt;&gt;"",EDATE($D44,Milestones!$AA$28)&gt;=$T44),$W44,IF(AND($S44&lt;&gt;"",EDATE($D44,Milestones!$AA$28)&gt;=$S44),$V44,$U44)))=Milestones!$AB$28),UPPER(TEXT(EDATE($D44,Milestones!$AA$28),"dd mmm yy"))&amp;" "&amp;Milestones!$AB$28&amp;" "&amp;Milestones!$AC$28&amp;";  ","")&amp;IF(AND(EDATE($D44,Milestones!$AA$29)&lt;=AsOfDate,IF($R44=0,$X44,IF(AND($T44&lt;&gt;"",EDATE($D44,Milestones!$AA$29)&gt;=$T44),$W44,IF(AND($S44&lt;&gt;"",EDATE($D44,Milestones!$AA$29)&gt;=$S44),$V44,$U44)))=Milestones!$AB$29),UPPER(TEXT(EDATE($D44,Milestones!$AA$29),"dd mmm yy"))&amp;" "&amp;Milestones!$AB$29&amp;" "&amp;Milestones!$AC$29&amp;";  ","")&amp;IF(AND(EDATE($D44,Milestones!$AA$30)&lt;=AsOfDate,IF($R44=0,$X44,IF(AND($T44&lt;&gt;"",EDATE($D44,Milestones!$AA$30)&gt;=$T44),$W44,IF(AND($S44&lt;&gt;"",EDATE($D44,Milestones!$AA$30)&gt;=$S44),$V44,$U44)))=Milestones!$AB$30),UPPER(TEXT(EDATE($D44,Milestones!$AA$30),"dd mmm yy"))&amp;" "&amp;Milestones!$AB$30&amp;" "&amp;Milestones!$AC$30&amp;";  ","")&amp;IF(AND(EDATE($D44,Milestones!$AA$31)&lt;=AsOfDate,IF($R44=0,$X44,IF(AND($T44&lt;&gt;"",EDATE($D44,Milestones!$AA$31)&gt;=$T44),$W44,IF(AND($S44&lt;&gt;"",EDATE($D44,Milestones!$AA$31)&gt;=$S44),$V44,$U44)))=Milestones!$AB$31),UPPER(TEXT(EDATE($D44,Milestones!$AA$31),"dd mmm yy"))&amp;" "&amp;Milestones!$AB$31&amp;" "&amp;Milestones!$AC$31&amp;";  ","")&amp;IF(AND(EDATE($D44,Milestones!$AA$32)&lt;=AsOfDate,IF($R44=0,$X44,IF(AND($T44&lt;&gt;"",EDATE($D44,Milestones!$AA$32)&gt;=$T44),$W44,IF(AND($S44&lt;&gt;"",EDATE($D44,Milestones!$AA$32)&gt;=$S44),$V44,$U44)))=Milestones!$AB$32),UPPER(TEXT(EDATE($D44,Milestones!$AA$32),"dd mmm yy"))&amp;" "&amp;Milestones!$AB$32&amp;" "&amp;Milestones!$AC$32&amp;";  ","")&amp;IF(AND(EDATE($D44,Milestones!$AA$33)&lt;=AsOfDate,IF($R44=0,$X44,IF(AND($T44&lt;&gt;"",EDATE($D44,Milestones!$AA$33)&gt;=$T44),$W44,IF(AND($S44&lt;&gt;"",EDATE($D44,Milestones!$AA$33)&gt;=$S44),$V44,$U44)))=Milestones!$AB$33),UPPER(TEXT(EDATE($D44,Milestones!$AA$33),"dd mmm yy"))&amp;" "&amp;Milestones!$AB$33&amp;" "&amp;Milestones!$AC$33&amp;";  ","")&amp;IF(AND(EDATE($D44,Milestones!$AA$34)&lt;=AsOfDate,IF($R44=0,$X44,IF(AND($T44&lt;&gt;"",EDATE($D44,Milestones!$AA$34)&gt;=$T44),$W44,IF(AND($S44&lt;&gt;"",EDATE($D44,Milestones!$AA$34)&gt;=$S44),$V44,$U44)))=Milestones!$AB$34),UPPER(TEXT(EDATE($D44,Milestones!$AA$34),"dd mmm yy"))&amp;" "&amp;Milestones!$AB$34&amp;" "&amp;Milestones!$AC$34&amp;";  ","")&amp;IF(AND(EDATE($D44,Milestones!$AA$35)&lt;=AsOfDate,IF($R44=0,$X44,IF(AND($T44&lt;&gt;"",EDATE($D44,Milestones!$AA$35)&gt;=$T44),$W44,IF(AND($S44&lt;&gt;"",EDATE($D44,Milestones!$AA$35)&gt;=$S44),$V44,$U44)))=Milestones!$AB$35),UPPER(TEXT(EDATE($D44,Milestones!$AA$35),"dd mmm yy"))&amp;" "&amp;Milestones!$AB$35&amp;" "&amp;Milestones!$AC$35&amp;";  ","")&amp;IF(AND(EDATE($D44,Milestones!$AA$36)&lt;=AsOfDate,IF($R44=0,$X44,IF(AND($T44&lt;&gt;"",EDATE($D44,Milestones!$AA$36)&gt;=$T44),$W44,IF(AND($S44&lt;&gt;"",EDATE($D44,Milestones!$AA$36)&gt;=$S44),$V44,$U44)))=Milestones!$AB$36),UPPER(TEXT(EDATE($D44,Milestones!$AA$36),"dd mmm yy"))&amp;" "&amp;Milestones!$AB$36&amp;" "&amp;Milestones!$AC$36&amp;";  ","")&amp;IF(AND(EDATE($D44,Milestones!$AA$37)&lt;=AsOfDate,IF($R44=0,$X44,IF(AND($T44&lt;&gt;"",EDATE($D44,Milestones!$AA$37)&gt;=$T44),$W44,IF(AND($S44&lt;&gt;"",EDATE($D44,Milestones!$AA$37)&gt;=$S44),$V44,$U44)))=Milestones!$AB$37),UPPER(TEXT(EDATE($D44,Milestones!$AA$37),"dd mmm yy"))&amp;" "&amp;Milestones!$AB$37&amp;" "&amp;Milestones!$AC$37&amp;";  ","")&amp;IF(AND(EDATE($D44,Milestones!$AA$38)&lt;=AsOfDate,IF($R44=0,$X44,IF(AND($T44&lt;&gt;"",EDATE($D44,Milestones!$AA$38)&gt;=$T44),$W44,IF(AND($S44&lt;&gt;"",EDATE($D44,Milestones!$AA$38)&gt;=$S44),$V44,$U44)))=Milestones!$AB$38),UPPER(TEXT(EDATE($D44,Milestones!$AA$38),"dd mmm yy"))&amp;" "&amp;Milestones!$AB$38&amp;" "&amp;Milestones!$AC$38&amp;";  ","")&amp;IF(AND(EDATE($D44,Milestones!$AA$39)&lt;=AsOfDate,IF($R44=0,$X44,IF(AND($T44&lt;&gt;"",EDATE($D44,Milestones!$AA$39)&gt;=$T44),$W44,IF(AND($S44&lt;&gt;"",EDATE($D44,Milestones!$AA$39)&gt;=$S44),$V44,$U44)))=Milestones!$AB$39),UPPER(TEXT(EDATE($D44,Milestones!$AA$39),"dd mmm yy"))&amp;" "&amp;Milestones!$AB$39&amp;" "&amp;Milestones!$AC$39&amp;";  ",""))</f>
        <v/>
      </c>
      <c r="J44" s="0" t="str">
        <f aca="false">IF(OR($A44="",$D44=""),"",IF(AND(EDATE($D44,Milestones!$AA$40)&lt;=AsOfDate,IF($R44=0,$X44,IF(AND($T44&lt;&gt;"",EDATE($D44,Milestones!$AA$40)&gt;=$T44),$W44,IF(AND($S44&lt;&gt;"",EDATE($D44,Milestones!$AA$40)&gt;=$S44),$V44,$U44)))=Milestones!$AB$40),UPPER(TEXT(EDATE($D44,Milestones!$AA$40),"dd mmm yy"))&amp;" "&amp;Milestones!$AB$40&amp;" "&amp;Milestones!$AC$40&amp;";  ","")&amp;IF(AND(EDATE($D44,Milestones!$AA$41)&lt;=AsOfDate,IF($R44=0,$X44,IF(AND($T44&lt;&gt;"",EDATE($D44,Milestones!$AA$41)&gt;=$T44),$W44,IF(AND($S44&lt;&gt;"",EDATE($D44,Milestones!$AA$41)&gt;=$S44),$V44,$U44)))=Milestones!$AB$41),UPPER(TEXT(EDATE($D44,Milestones!$AA$41),"dd mmm yy"))&amp;" "&amp;Milestones!$AB$41&amp;" "&amp;Milestones!$AC$41&amp;";  ","")&amp;IF(AND(EDATE($D44,Milestones!$AA$42)&lt;=AsOfDate,IF($R44=0,$X44,IF(AND($T44&lt;&gt;"",EDATE($D44,Milestones!$AA$42)&gt;=$T44),$W44,IF(AND($S44&lt;&gt;"",EDATE($D44,Milestones!$AA$42)&gt;=$S44),$V44,$U44)))=Milestones!$AB$42),UPPER(TEXT(EDATE($D44,Milestones!$AA$42),"dd mmm yy"))&amp;" "&amp;Milestones!$AB$42&amp;" "&amp;Milestones!$AC$42&amp;";  ","")&amp;IF(AND(EDATE($D44,Milestones!$AA$43)&lt;=AsOfDate,IF($R44=0,$X44,IF(AND($T44&lt;&gt;"",EDATE($D44,Milestones!$AA$43)&gt;=$T44),$W44,IF(AND($S44&lt;&gt;"",EDATE($D44,Milestones!$AA$43)&gt;=$S44),$V44,$U44)))=Milestones!$AB$43),UPPER(TEXT(EDATE($D44,Milestones!$AA$43),"dd mmm yy"))&amp;" "&amp;Milestones!$AB$43&amp;" "&amp;Milestones!$AC$43&amp;";  ","")&amp;IF(AND(EDATE($D44,Milestones!$AA$44)&lt;=AsOfDate,IF($R44=0,$X44,IF(AND($T44&lt;&gt;"",EDATE($D44,Milestones!$AA$44)&gt;=$T44),$W44,IF(AND($S44&lt;&gt;"",EDATE($D44,Milestones!$AA$44)&gt;=$S44),$V44,$U44)))=Milestones!$AB$44),UPPER(TEXT(EDATE($D44,Milestones!$AA$44),"dd mmm yy"))&amp;" "&amp;Milestones!$AB$44&amp;" "&amp;Milestones!$AC$44&amp;";  ","")&amp;IF(AND(EDATE($D44,Milestones!$AA$45)&lt;=AsOfDate,IF($R44=0,$X44,IF(AND($T44&lt;&gt;"",EDATE($D44,Milestones!$AA$45)&gt;=$T44),$W44,IF(AND($S44&lt;&gt;"",EDATE($D44,Milestones!$AA$45)&gt;=$S44),$V44,$U44)))=Milestones!$AB$45),UPPER(TEXT(EDATE($D44,Milestones!$AA$45),"dd mmm yy"))&amp;" "&amp;Milestones!$AB$45&amp;" "&amp;Milestones!$AC$45&amp;";  ","")&amp;IF(AND(EDATE($D44,Milestones!$AA$46)&lt;=AsOfDate,IF($R44=0,$X44,IF(AND($T44&lt;&gt;"",EDATE($D44,Milestones!$AA$46)&gt;=$T44),$W44,IF(AND($S44&lt;&gt;"",EDATE($D44,Milestones!$AA$46)&gt;=$S44),$V44,$U44)))=Milestones!$AB$46),UPPER(TEXT(EDATE($D44,Milestones!$AA$46),"dd mmm yy"))&amp;" "&amp;Milestones!$AB$46&amp;" "&amp;Milestones!$AC$46&amp;";  ","")&amp;IF(AND(EDATE($D44,Milestones!$AA$47)&lt;=AsOfDate,IF($R44=0,$X44,IF(AND($T44&lt;&gt;"",EDATE($D44,Milestones!$AA$47)&gt;=$T44),$W44,IF(AND($S44&lt;&gt;"",EDATE($D44,Milestones!$AA$47)&gt;=$S44),$V44,$U44)))=Milestones!$AB$47),UPPER(TEXT(EDATE($D44,Milestones!$AA$47),"dd mmm yy"))&amp;" "&amp;Milestones!$AB$47&amp;" "&amp;Milestones!$AC$47&amp;";  ","")&amp;IF(AND(EDATE($D44,Milestones!$AA$48)&lt;=AsOfDate,IF($R44=0,$X44,IF(AND($T44&lt;&gt;"",EDATE($D44,Milestones!$AA$48)&gt;=$T44),$W44,IF(AND($S44&lt;&gt;"",EDATE($D44,Milestones!$AA$48)&gt;=$S44),$V44,$U44)))=Milestones!$AB$48),UPPER(TEXT(EDATE($D44,Milestones!$AA$48),"dd mmm yy"))&amp;" "&amp;Milestones!$AB$48&amp;" "&amp;Milestones!$AC$48&amp;";  ","")&amp;IF(AND(EDATE($D44,Milestones!$AA$49)&lt;=AsOfDate,IF($R44=0,$X44,IF(AND($T44&lt;&gt;"",EDATE($D44,Milestones!$AA$49)&gt;=$T44),$W44,IF(AND($S44&lt;&gt;"",EDATE($D44,Milestones!$AA$49)&gt;=$S44),$V44,$U44)))=Milestones!$AB$49),UPPER(TEXT(EDATE($D44,Milestones!$AA$49),"dd mmm yy"))&amp;" "&amp;Milestones!$AB$49&amp;" "&amp;Milestones!$AC$49&amp;";  ","")&amp;IF(AND(EDATE($D44,Milestones!$AA$50)&lt;=AsOfDate,IF($R44=0,$X44,IF(AND($T44&lt;&gt;"",EDATE($D44,Milestones!$AA$50)&gt;=$T44),$W44,IF(AND($S44&lt;&gt;"",EDATE($D44,Milestones!$AA$50)&gt;=$S44),$V44,$U44)))=Milestones!$AB$50),UPPER(TEXT(EDATE($D44,Milestones!$AA$50),"dd mmm yy"))&amp;" "&amp;Milestones!$AB$50&amp;" "&amp;Milestones!$AC$50&amp;";  ","")&amp;IF(AND(EDATE($D44,Milestones!$AA$51)&lt;=AsOfDate,IF($R44=0,$X44,IF(AND($T44&lt;&gt;"",EDATE($D44,Milestones!$AA$51)&gt;=$T44),$W44,IF(AND($S44&lt;&gt;"",EDATE($D44,Milestones!$AA$51)&gt;=$S44),$V44,$U44)))=Milestones!$AB$51),UPPER(TEXT(EDATE($D44,Milestones!$AA$51),"dd mmm yy"))&amp;" "&amp;Milestones!$AB$51&amp;" "&amp;Milestones!$AC$51&amp;";  ","")&amp;IF(AND(EDATE($D44,Milestones!$AA$52)&lt;=AsOfDate,IF($R44=0,$X44,IF(AND($T44&lt;&gt;"",EDATE($D44,Milestones!$AA$52)&gt;=$T44),$W44,IF(AND($S44&lt;&gt;"",EDATE($D44,Milestones!$AA$52)&gt;=$S44),$V44,$U44)))=Milestones!$AB$52),UPPER(TEXT(EDATE($D44,Milestones!$AA$52),"dd mmm yy"))&amp;" "&amp;Milestones!$AB$52&amp;" "&amp;Milestones!$AC$52&amp;";  ","")&amp;IF(AND(EDATE($D44,Milestones!$AA$53)&lt;=AsOfDate,IF($R44=0,$X44,IF(AND($T44&lt;&gt;"",EDATE($D44,Milestones!$AA$53)&gt;=$T44),$W44,IF(AND($S44&lt;&gt;"",EDATE($D44,Milestones!$AA$53)&gt;=$S44),$V44,$U44)))=Milestones!$AB$53),UPPER(TEXT(EDATE($D44,Milestones!$AA$53),"dd mmm yy"))&amp;" "&amp;Milestones!$AB$53&amp;" "&amp;Milestones!$AC$53&amp;";  ","")&amp;IF(AND(EDATE($D44,Milestones!$AA$54)&lt;=AsOfDate,IF($R44=0,$X44,IF(AND($T44&lt;&gt;"",EDATE($D44,Milestones!$AA$54)&gt;=$T44),$W44,IF(AND($S44&lt;&gt;"",EDATE($D44,Milestones!$AA$54)&gt;=$S44),$V44,$U44)))=Milestones!$AB$54),UPPER(TEXT(EDATE($D44,Milestones!$AA$54),"dd mmm yy"))&amp;" "&amp;Milestones!$AB$54&amp;" "&amp;Milestones!$AC$54&amp;";  ","")&amp;IF(AND(EDATE($D44,Milestones!$AA$55)&lt;=AsOfDate,IF($R44=0,$X44,IF(AND($T44&lt;&gt;"",EDATE($D44,Milestones!$AA$55)&gt;=$T44),$W44,IF(AND($S44&lt;&gt;"",EDATE($D44,Milestones!$AA$55)&gt;=$S44),$V44,$U44)))=Milestones!$AB$55),UPPER(TEXT(EDATE($D44,Milestones!$AA$55),"dd mmm yy"))&amp;" "&amp;Milestones!$AB$55&amp;" "&amp;Milestones!$AC$55&amp;";  ","")&amp;IF(AND(EDATE($D44,Milestones!$AA$56)&lt;=AsOfDate,IF($R44=0,$X44,IF(AND($T44&lt;&gt;"",EDATE($D44,Milestones!$AA$56)&gt;=$T44),$W44,IF(AND($S44&lt;&gt;"",EDATE($D44,Milestones!$AA$56)&gt;=$S44),$V44,$U44)))=Milestones!$AB$56),UPPER(TEXT(EDATE($D44,Milestones!$AA$56),"dd mmm yy"))&amp;" "&amp;Milestones!$AB$56&amp;" "&amp;Milestones!$AC$56&amp;";  ","")&amp;IF(AND(EDATE($D44,Milestones!$AA$57)&lt;=AsOfDate,IF($R44=0,$X44,IF(AND($T44&lt;&gt;"",EDATE($D44,Milestones!$AA$57)&gt;=$T44),$W44,IF(AND($S44&lt;&gt;"",EDATE($D44,Milestones!$AA$57)&gt;=$S44),$V44,$U44)))=Milestones!$AB$57),UPPER(TEXT(EDATE($D44,Milestones!$AA$57),"dd mmm yy"))&amp;" "&amp;Milestones!$AB$57&amp;" "&amp;Milestones!$AC$57&amp;";  ","")&amp;IF(AND(EDATE($D44,Milestones!$AA$58)&lt;=AsOfDate,IF($R44=0,$X44,IF(AND($T44&lt;&gt;"",EDATE($D44,Milestones!$AA$58)&gt;=$T44),$W44,IF(AND($S44&lt;&gt;"",EDATE($D44,Milestones!$AA$58)&gt;=$S44),$V44,$U44)))=Milestones!$AB$58),UPPER(TEXT(EDATE($D44,Milestones!$AA$58),"dd mmm yy"))&amp;" "&amp;Milestones!$AB$58&amp;" "&amp;Milestones!$AC$58&amp;";  ","")&amp;IF(AND(EDATE($D44,Milestones!$AA$59)&lt;=AsOfDate,IF($R44=0,$X44,IF(AND($T44&lt;&gt;"",EDATE($D44,Milestones!$AA$59)&gt;=$T44),$W44,IF(AND($S44&lt;&gt;"",EDATE($D44,Milestones!$AA$59)&gt;=$S44),$V44,$U44)))=Milestones!$AB$59),UPPER(TEXT(EDATE($D44,Milestones!$AA$59),"dd mmm yy"))&amp;" "&amp;Milestones!$AB$59&amp;" "&amp;Milestones!$AC$59&amp;";  ",""))</f>
        <v/>
      </c>
      <c r="K44" s="0" t="str">
        <f aca="false">IF(OR($A44="",$D44=""),"",IF(AND(EDATE($D44,Milestones!$AA$60)&lt;=AsOfDate,IF($R44=0,$X44,IF(AND($T44&lt;&gt;"",EDATE($D44,Milestones!$AA$60)&gt;=$T44),$W44,IF(AND($S44&lt;&gt;"",EDATE($D44,Milestones!$AA$60)&gt;=$S44),$V44,$U44)))=Milestones!$AB$60),UPPER(TEXT(EDATE($D44,Milestones!$AA$60),"dd mmm yy"))&amp;" "&amp;Milestones!$AB$60&amp;" "&amp;Milestones!$AC$60&amp;";  ","")&amp;IF(AND(EDATE($D44,Milestones!$AA$61)&lt;=AsOfDate,IF($R44=0,$X44,IF(AND($T44&lt;&gt;"",EDATE($D44,Milestones!$AA$61)&gt;=$T44),$W44,IF(AND($S44&lt;&gt;"",EDATE($D44,Milestones!$AA$61)&gt;=$S44),$V44,$U44)))=Milestones!$AB$61),UPPER(TEXT(EDATE($D44,Milestones!$AA$61),"dd mmm yy"))&amp;" "&amp;Milestones!$AB$61&amp;" "&amp;Milestones!$AC$61&amp;";  ","")&amp;IF(AND(EDATE($D44,Milestones!$AA$62)&lt;=AsOfDate,IF($R44=0,$X44,IF(AND($T44&lt;&gt;"",EDATE($D44,Milestones!$AA$62)&gt;=$T44),$W44,IF(AND($S44&lt;&gt;"",EDATE($D44,Milestones!$AA$62)&gt;=$S44),$V44,$U44)))=Milestones!$AB$62),UPPER(TEXT(EDATE($D44,Milestones!$AA$62),"dd mmm yy"))&amp;" "&amp;Milestones!$AB$62&amp;" "&amp;Milestones!$AC$62&amp;";  ","")&amp;IF(AND(EDATE($D44,Milestones!$AA$63)&lt;=AsOfDate,IF($R44=0,$X44,IF(AND($T44&lt;&gt;"",EDATE($D44,Milestones!$AA$63)&gt;=$T44),$W44,IF(AND($S44&lt;&gt;"",EDATE($D44,Milestones!$AA$63)&gt;=$S44),$V44,$U44)))=Milestones!$AB$63),UPPER(TEXT(EDATE($D44,Milestones!$AA$63),"dd mmm yy"))&amp;" "&amp;Milestones!$AB$63&amp;" "&amp;Milestones!$AC$63&amp;";  ","")&amp;IF(AND(EDATE($D44,Milestones!$AA$64)&lt;=AsOfDate,IF($R44=0,$X44,IF(AND($T44&lt;&gt;"",EDATE($D44,Milestones!$AA$64)&gt;=$T44),$W44,IF(AND($S44&lt;&gt;"",EDATE($D44,Milestones!$AA$64)&gt;=$S44),$V44,$U44)))=Milestones!$AB$64),UPPER(TEXT(EDATE($D44,Milestones!$AA$64),"dd mmm yy"))&amp;" "&amp;Milestones!$AB$64&amp;" "&amp;Milestones!$AC$64&amp;";  ","")&amp;IF(AND(EDATE($D44,Milestones!$AA$65)&lt;=AsOfDate,IF($R44=0,$X44,IF(AND($T44&lt;&gt;"",EDATE($D44,Milestones!$AA$65)&gt;=$T44),$W44,IF(AND($S44&lt;&gt;"",EDATE($D44,Milestones!$AA$65)&gt;=$S44),$V44,$U44)))=Milestones!$AB$65),UPPER(TEXT(EDATE($D44,Milestones!$AA$65),"dd mmm yy"))&amp;" "&amp;Milestones!$AB$65&amp;" "&amp;Milestones!$AC$65&amp;";  ","")&amp;IF(AND(EDATE($D44,Milestones!$AA$66)&lt;=AsOfDate,IF($R44=0,$X44,IF(AND($T44&lt;&gt;"",EDATE($D44,Milestones!$AA$66)&gt;=$T44),$W44,IF(AND($S44&lt;&gt;"",EDATE($D44,Milestones!$AA$66)&gt;=$S44),$V44,$U44)))=Milestones!$AB$66),UPPER(TEXT(EDATE($D44,Milestones!$AA$66),"dd mmm yy"))&amp;" "&amp;Milestones!$AB$66&amp;" "&amp;Milestones!$AC$66&amp;";  ","")&amp;IF(AND(EDATE($D44,Milestones!$AA$67)&lt;=AsOfDate,IF($R44=0,$X44,IF(AND($T44&lt;&gt;"",EDATE($D44,Milestones!$AA$67)&gt;=$T44),$W44,IF(AND($S44&lt;&gt;"",EDATE($D44,Milestones!$AA$67)&gt;=$S44),$V44,$U44)))=Milestones!$AB$67),UPPER(TEXT(EDATE($D44,Milestones!$AA$67),"dd mmm yy"))&amp;" "&amp;Milestones!$AB$67&amp;" "&amp;Milestones!$AC$67&amp;";  ","")&amp;IF(AND(EDATE($D44,Milestones!$AA$68)&lt;=AsOfDate,IF($R44=0,$X44,IF(AND($T44&lt;&gt;"",EDATE($D44,Milestones!$AA$68)&gt;=$T44),$W44,IF(AND($S44&lt;&gt;"",EDATE($D44,Milestones!$AA$68)&gt;=$S44),$V44,$U44)))=Milestones!$AB$68),UPPER(TEXT(EDATE($D44,Milestones!$AA$68),"dd mmm yy"))&amp;" "&amp;Milestones!$AB$68&amp;" "&amp;Milestones!$AC$68&amp;";  ","")&amp;IF(AND(EDATE($D44,Milestones!$AA$69)&lt;=AsOfDate,IF($R44=0,$X44,IF(AND($T44&lt;&gt;"",EDATE($D44,Milestones!$AA$69)&gt;=$T44),$W44,IF(AND($S44&lt;&gt;"",EDATE($D44,Milestones!$AA$69)&gt;=$S44),$V44,$U44)))=Milestones!$AB$69),UPPER(TEXT(EDATE($D44,Milestones!$AA$69),"dd mmm yy"))&amp;" "&amp;Milestones!$AB$69&amp;" "&amp;Milestones!$AC$69&amp;";  ","")&amp;IF(AND(EDATE($D44,Milestones!$AA$70)&lt;=AsOfDate,IF($R44=0,$X44,IF(AND($T44&lt;&gt;"",EDATE($D44,Milestones!$AA$70)&gt;=$T44),$W44,IF(AND($S44&lt;&gt;"",EDATE($D44,Milestones!$AA$70)&gt;=$S44),$V44,$U44)))=Milestones!$AB$70),UPPER(TEXT(EDATE($D44,Milestones!$AA$70),"dd mmm yy"))&amp;" "&amp;Milestones!$AB$70&amp;" "&amp;Milestones!$AC$70&amp;";  ","")&amp;IF(AND(EDATE($D44,Milestones!$AA$71)&lt;=AsOfDate,IF($R44=0,$X44,IF(AND($T44&lt;&gt;"",EDATE($D44,Milestones!$AA$71)&gt;=$T44),$W44,IF(AND($S44&lt;&gt;"",EDATE($D44,Milestones!$AA$71)&gt;=$S44),$V44,$U44)))=Milestones!$AB$71),UPPER(TEXT(EDATE($D44,Milestones!$AA$71),"dd mmm yy"))&amp;" "&amp;Milestones!$AB$71&amp;" "&amp;Milestones!$AC$71&amp;";  ","")&amp;IF(AND(EDATE($D44,Milestones!$AA$72)&lt;=AsOfDate,IF($R44=0,$X44,IF(AND($T44&lt;&gt;"",EDATE($D44,Milestones!$AA$72)&gt;=$T44),$W44,IF(AND($S44&lt;&gt;"",EDATE($D44,Milestones!$AA$72)&gt;=$S44),$V44,$U44)))=Milestones!$AB$72),UPPER(TEXT(EDATE($D44,Milestones!$AA$72),"dd mmm yy"))&amp;" "&amp;Milestones!$AB$72&amp;" "&amp;Milestones!$AC$72&amp;";  ","")&amp;IF(AND(EDATE($D44,Milestones!$AA$73)&lt;=AsOfDate,IF($R44=0,$X44,IF(AND($T44&lt;&gt;"",EDATE($D44,Milestones!$AA$73)&gt;=$T44),$W44,IF(AND($S44&lt;&gt;"",EDATE($D44,Milestones!$AA$73)&gt;=$S44),$V44,$U44)))=Milestones!$AB$73),UPPER(TEXT(EDATE($D44,Milestones!$AA$73),"dd mmm yy"))&amp;" "&amp;Milestones!$AB$73&amp;" "&amp;Milestones!$AC$73&amp;";  ","")&amp;IF(AND(EDATE($D44,Milestones!$AA$74)&lt;=AsOfDate,IF($R44=0,$X44,IF(AND($T44&lt;&gt;"",EDATE($D44,Milestones!$AA$74)&gt;=$T44),$W44,IF(AND($S44&lt;&gt;"",EDATE($D44,Milestones!$AA$74)&gt;=$S44),$V44,$U44)))=Milestones!$AB$74),UPPER(TEXT(EDATE($D44,Milestones!$AA$74),"dd mmm yy"))&amp;" "&amp;Milestones!$AB$74&amp;" "&amp;Milestones!$AC$74&amp;";  ","")&amp;IF(AND(EDATE($D44,Milestones!$AA$75)&lt;=AsOfDate,IF($R44=0,$X44,IF(AND($T44&lt;&gt;"",EDATE($D44,Milestones!$AA$75)&gt;=$T44),$W44,IF(AND($S44&lt;&gt;"",EDATE($D44,Milestones!$AA$75)&gt;=$S44),$V44,$U44)))=Milestones!$AB$75),UPPER(TEXT(EDATE($D44,Milestones!$AA$75),"dd mmm yy"))&amp;" "&amp;Milestones!$AB$75&amp;" "&amp;Milestones!$AC$75&amp;";  ","")&amp;IF(AND(EDATE($D44,Milestones!$AA$76)&lt;=AsOfDate,IF($R44=0,$X44,IF(AND($T44&lt;&gt;"",EDATE($D44,Milestones!$AA$76)&gt;=$T44),$W44,IF(AND($S44&lt;&gt;"",EDATE($D44,Milestones!$AA$76)&gt;=$S44),$V44,$U44)))=Milestones!$AB$76),UPPER(TEXT(EDATE($D44,Milestones!$AA$76),"dd mmm yy"))&amp;" "&amp;Milestones!$AB$76&amp;" "&amp;Milestones!$AC$76&amp;";  ","")&amp;IF(AND(EDATE($D44,Milestones!$AA$77)&lt;=AsOfDate,IF($R44=0,$X44,IF(AND($T44&lt;&gt;"",EDATE($D44,Milestones!$AA$77)&gt;=$T44),$W44,IF(AND($S44&lt;&gt;"",EDATE($D44,Milestones!$AA$77)&gt;=$S44),$V44,$U44)))=Milestones!$AB$77),UPPER(TEXT(EDATE($D44,Milestones!$AA$77),"dd mmm yy"))&amp;" "&amp;Milestones!$AB$77&amp;" "&amp;Milestones!$AC$77&amp;";  ","")&amp;IF(AND(EDATE($D44,Milestones!$AA$78)&lt;=AsOfDate,IF($R44=0,$X44,IF(AND($T44&lt;&gt;"",EDATE($D44,Milestones!$AA$78)&gt;=$T44),$W44,IF(AND($S44&lt;&gt;"",EDATE($D44,Milestones!$AA$78)&gt;=$S44),$V44,$U44)))=Milestones!$AB$78),UPPER(TEXT(EDATE($D44,Milestones!$AA$78),"dd mmm yy"))&amp;" "&amp;Milestones!$AB$78&amp;" "&amp;Milestones!$AC$78&amp;";  ","")&amp;IF(AND(EDATE($D44,Milestones!$AA$79)&lt;=AsOfDate,IF($R44=0,$X44,IF(AND($T44&lt;&gt;"",EDATE($D44,Milestones!$AA$79)&gt;=$T44),$W44,IF(AND($S44&lt;&gt;"",EDATE($D44,Milestones!$AA$79)&gt;=$S44),$V44,$U44)))=Milestones!$AB$79),UPPER(TEXT(EDATE($D44,Milestones!$AA$79),"dd mmm yy"))&amp;" "&amp;Milestones!$AB$79&amp;" "&amp;Milestones!$AC$79&amp;";  ",""))</f>
        <v/>
      </c>
      <c r="L44" s="0" t="str">
        <f aca="false">IF(OR($A44="",$D44=""),"",IF(AND(EDATE($D44,Milestones!$AA$80)&lt;=AsOfDate,IF($R44=0,$X44,IF(AND($T44&lt;&gt;"",EDATE($D44,Milestones!$AA$80)&gt;=$T44),$W44,IF(AND($S44&lt;&gt;"",EDATE($D44,Milestones!$AA$80)&gt;=$S44),$V44,$U44)))=Milestones!$AB$80),UPPER(TEXT(EDATE($D44,Milestones!$AA$80),"dd mmm yy"))&amp;" "&amp;Milestones!$AB$80&amp;" "&amp;Milestones!$AC$80&amp;";  ","")&amp;IF(AND(EDATE($D44,Milestones!$AA$81)&lt;=AsOfDate,IF($R44=0,$X44,IF(AND($T44&lt;&gt;"",EDATE($D44,Milestones!$AA$81)&gt;=$T44),$W44,IF(AND($S44&lt;&gt;"",EDATE($D44,Milestones!$AA$81)&gt;=$S44),$V44,$U44)))=Milestones!$AB$81),UPPER(TEXT(EDATE($D44,Milestones!$AA$81),"dd mmm yy"))&amp;" "&amp;Milestones!$AB$81&amp;" "&amp;Milestones!$AC$81&amp;";  ","")&amp;IF(AND(EDATE($D44,Milestones!$AA$82)&lt;=AsOfDate,IF($R44=0,$X44,IF(AND($T44&lt;&gt;"",EDATE($D44,Milestones!$AA$82)&gt;=$T44),$W44,IF(AND($S44&lt;&gt;"",EDATE($D44,Milestones!$AA$82)&gt;=$S44),$V44,$U44)))=Milestones!$AB$82),UPPER(TEXT(EDATE($D44,Milestones!$AA$82),"dd mmm yy"))&amp;" "&amp;Milestones!$AB$82&amp;" "&amp;Milestones!$AC$82&amp;";  ","")&amp;IF(AND(EDATE($D44,Milestones!$AA$83)&lt;=AsOfDate,IF($R44=0,$X44,IF(AND($T44&lt;&gt;"",EDATE($D44,Milestones!$AA$83)&gt;=$T44),$W44,IF(AND($S44&lt;&gt;"",EDATE($D44,Milestones!$AA$83)&gt;=$S44),$V44,$U44)))=Milestones!$AB$83),UPPER(TEXT(EDATE($D44,Milestones!$AA$83),"dd mmm yy"))&amp;" "&amp;Milestones!$AB$83&amp;" "&amp;Milestones!$AC$83&amp;";  ","")&amp;IF(AND(EDATE($D44,Milestones!$AA$84)&lt;=AsOfDate,IF($R44=0,$X44,IF(AND($T44&lt;&gt;"",EDATE($D44,Milestones!$AA$84)&gt;=$T44),$W44,IF(AND($S44&lt;&gt;"",EDATE($D44,Milestones!$AA$84)&gt;=$S44),$V44,$U44)))=Milestones!$AB$84),UPPER(TEXT(EDATE($D44,Milestones!$AA$84),"dd mmm yy"))&amp;" "&amp;Milestones!$AB$84&amp;" "&amp;Milestones!$AC$84&amp;";  ","")&amp;IF(AND(EDATE($D44,Milestones!$AA$85)&lt;=AsOfDate,IF($R44=0,$X44,IF(AND($T44&lt;&gt;"",EDATE($D44,Milestones!$AA$85)&gt;=$T44),$W44,IF(AND($S44&lt;&gt;"",EDATE($D44,Milestones!$AA$85)&gt;=$S44),$V44,$U44)))=Milestones!$AB$85),UPPER(TEXT(EDATE($D44,Milestones!$AA$85),"dd mmm yy"))&amp;" "&amp;Milestones!$AB$85&amp;" "&amp;Milestones!$AC$85&amp;";  ","")&amp;IF(AND(EDATE($D44,Milestones!$AA$86)&lt;=AsOfDate,IF($R44=0,$X44,IF(AND($T44&lt;&gt;"",EDATE($D44,Milestones!$AA$86)&gt;=$T44),$W44,IF(AND($S44&lt;&gt;"",EDATE($D44,Milestones!$AA$86)&gt;=$S44),$V44,$U44)))=Milestones!$AB$86),UPPER(TEXT(EDATE($D44,Milestones!$AA$86),"dd mmm yy"))&amp;" "&amp;Milestones!$AB$86&amp;" "&amp;Milestones!$AC$86&amp;";  ","")&amp;IF(AND(EDATE($D44,Milestones!$AA$87)&lt;=AsOfDate,IF($R44=0,$X44,IF(AND($T44&lt;&gt;"",EDATE($D44,Milestones!$AA$87)&gt;=$T44),$W44,IF(AND($S44&lt;&gt;"",EDATE($D44,Milestones!$AA$87)&gt;=$S44),$V44,$U44)))=Milestones!$AB$87),UPPER(TEXT(EDATE($D44,Milestones!$AA$87),"dd mmm yy"))&amp;" "&amp;Milestones!$AB$87&amp;" "&amp;Milestones!$AC$87&amp;";  ","")&amp;IF(AND(EDATE($D44,Milestones!$AA$88)&lt;=AsOfDate,IF($R44=0,$X44,IF(AND($T44&lt;&gt;"",EDATE($D44,Milestones!$AA$88)&gt;=$T44),$W44,IF(AND($S44&lt;&gt;"",EDATE($D44,Milestones!$AA$88)&gt;=$S44),$V44,$U44)))=Milestones!$AB$88),UPPER(TEXT(EDATE($D44,Milestones!$AA$88),"dd mmm yy"))&amp;" "&amp;Milestones!$AB$88&amp;" "&amp;Milestones!$AC$88&amp;";  ","")&amp;IF(AND(EDATE($D44,Milestones!$AA$89)&lt;=AsOfDate,IF($R44=0,$X44,IF(AND($T44&lt;&gt;"",EDATE($D44,Milestones!$AA$89)&gt;=$T44),$W44,IF(AND($S44&lt;&gt;"",EDATE($D44,Milestones!$AA$89)&gt;=$S44),$V44,$U44)))=Milestones!$AB$89),UPPER(TEXT(EDATE($D44,Milestones!$AA$89),"dd mmm yy"))&amp;" "&amp;Milestones!$AB$89&amp;" "&amp;Milestones!$AC$89&amp;";  ","")&amp;IF(AND(EDATE($D44,Milestones!$AA$90)&lt;=AsOfDate,IF($R44=0,$X44,IF(AND($T44&lt;&gt;"",EDATE($D44,Milestones!$AA$90)&gt;=$T44),$W44,IF(AND($S44&lt;&gt;"",EDATE($D44,Milestones!$AA$90)&gt;=$S44),$V44,$U44)))=Milestones!$AB$90),UPPER(TEXT(EDATE($D44,Milestones!$AA$90),"dd mmm yy"))&amp;" "&amp;Milestones!$AB$90&amp;" "&amp;Milestones!$AC$90&amp;";  ","")&amp;IF(AND(EDATE($D44,Milestones!$AA$91)&lt;=AsOfDate,IF($R44=0,$X44,IF(AND($T44&lt;&gt;"",EDATE($D44,Milestones!$AA$91)&gt;=$T44),$W44,IF(AND($S44&lt;&gt;"",EDATE($D44,Milestones!$AA$91)&gt;=$S44),$V44,$U44)))=Milestones!$AB$91),UPPER(TEXT(EDATE($D44,Milestones!$AA$91),"dd mmm yy"))&amp;" "&amp;Milestones!$AB$91&amp;" "&amp;Milestones!$AC$91&amp;";  ","")&amp;IF(AND(EDATE($D44,Milestones!$AA$92)&lt;=AsOfDate,IF($R44=0,$X44,IF(AND($T44&lt;&gt;"",EDATE($D44,Milestones!$AA$92)&gt;=$T44),$W44,IF(AND($S44&lt;&gt;"",EDATE($D44,Milestones!$AA$92)&gt;=$S44),$V44,$U44)))=Milestones!$AB$92),UPPER(TEXT(EDATE($D44,Milestones!$AA$92),"dd mmm yy"))&amp;" "&amp;Milestones!$AB$92&amp;" "&amp;Milestones!$AC$92&amp;";  ","")&amp;IF(AND(EDATE($D44,Milestones!$AA$93)&lt;=AsOfDate,IF($R44=0,$X44,IF(AND($T44&lt;&gt;"",EDATE($D44,Milestones!$AA$93)&gt;=$T44),$W44,IF(AND($S44&lt;&gt;"",EDATE($D44,Milestones!$AA$93)&gt;=$S44),$V44,$U44)))=Milestones!$AB$93),UPPER(TEXT(EDATE($D44,Milestones!$AA$93),"dd mmm yy"))&amp;" "&amp;Milestones!$AB$93&amp;" "&amp;Milestones!$AC$93&amp;";  ","")&amp;IF(AND(EDATE($D44,Milestones!$AA$94)&lt;=AsOfDate,IF($R44=0,$X44,IF(AND($T44&lt;&gt;"",EDATE($D44,Milestones!$AA$94)&gt;=$T44),$W44,IF(AND($S44&lt;&gt;"",EDATE($D44,Milestones!$AA$94)&gt;=$S44),$V44,$U44)))=Milestones!$AB$94),UPPER(TEXT(EDATE($D44,Milestones!$AA$94),"dd mmm yy"))&amp;" "&amp;Milestones!$AB$94&amp;" "&amp;Milestones!$AC$94&amp;";  ","")&amp;IF(AND(EDATE($D44,Milestones!$AA$95)&lt;=AsOfDate,IF($R44=0,$X44,IF(AND($T44&lt;&gt;"",EDATE($D44,Milestones!$AA$95)&gt;=$T44),$W44,IF(AND($S44&lt;&gt;"",EDATE($D44,Milestones!$AA$95)&gt;=$S44),$V44,$U44)))=Milestones!$AB$95),UPPER(TEXT(EDATE($D44,Milestones!$AA$95),"dd mmm yy"))&amp;" "&amp;Milestones!$AB$95&amp;" "&amp;Milestones!$AC$95&amp;";  ","")&amp;IF(AND(EDATE($D44,Milestones!$AA$96)&lt;=AsOfDate,IF($R44=0,$X44,IF(AND($T44&lt;&gt;"",EDATE($D44,Milestones!$AA$96)&gt;=$T44),$W44,IF(AND($S44&lt;&gt;"",EDATE($D44,Milestones!$AA$96)&gt;=$S44),$V44,$U44)))=Milestones!$AB$96),UPPER(TEXT(EDATE($D44,Milestones!$AA$96),"dd mmm yy"))&amp;" "&amp;Milestones!$AB$96&amp;" "&amp;Milestones!$AC$96&amp;";  ","")&amp;IF(AND(EDATE($D44,Milestones!$AA$97)&lt;=AsOfDate,IF($R44=0,$X44,IF(AND($T44&lt;&gt;"",EDATE($D44,Milestones!$AA$97)&gt;=$T44),$W44,IF(AND($S44&lt;&gt;"",EDATE($D44,Milestones!$AA$97)&gt;=$S44),$V44,$U44)))=Milestones!$AB$97),UPPER(TEXT(EDATE($D44,Milestones!$AA$97),"dd mmm yy"))&amp;" "&amp;Milestones!$AB$97&amp;" "&amp;Milestones!$AC$97&amp;";  ","")&amp;IF(AND(EDATE($D44,Milestones!$AA$98)&lt;=AsOfDate,IF($R44=0,$X44,IF(AND($T44&lt;&gt;"",EDATE($D44,Milestones!$AA$98)&gt;=$T44),$W44,IF(AND($S44&lt;&gt;"",EDATE($D44,Milestones!$AA$98)&gt;=$S44),$V44,$U44)))=Milestones!$AB$98),UPPER(TEXT(EDATE($D44,Milestones!$AA$98),"dd mmm yy"))&amp;" "&amp;Milestones!$AB$98&amp;" "&amp;Milestones!$AC$98&amp;";  ","")&amp;IF(AND(EDATE($D44,Milestones!$AA$99)&lt;=AsOfDate,IF($R44=0,$X44,IF(AND($T44&lt;&gt;"",EDATE($D44,Milestones!$AA$99)&gt;=$T44),$W44,IF(AND($S44&lt;&gt;"",EDATE($D44,Milestones!$AA$99)&gt;=$S44),$V44,$U44)))=Milestones!$AB$99),UPPER(TEXT(EDATE($D44,Milestones!$AA$99),"dd mmm yy"))&amp;" "&amp;Milestones!$AB$99&amp;" "&amp;Milestones!$AC$99&amp;";  ",""))</f>
        <v/>
      </c>
      <c r="M44" s="0" t="str">
        <f aca="false">IF(OR($A44="",$D44=""),"",IF(AND(EDATE($D44,Milestones!$AA$100)&lt;=AsOfDate,IF($R44=0,$X44,IF(AND($T44&lt;&gt;"",EDATE($D44,Milestones!$AA$100)&gt;=$T44),$W44,IF(AND($S44&lt;&gt;"",EDATE($D44,Milestones!$AA$100)&gt;=$S44),$V44,$U44)))=Milestones!$AB$100),UPPER(TEXT(EDATE($D44,Milestones!$AA$100),"dd mmm yy"))&amp;" "&amp;Milestones!$AB$100&amp;" "&amp;Milestones!$AC$100&amp;";  ","")&amp;IF(AND(EDATE($D44,Milestones!$AA$101)&lt;=AsOfDate,IF($R44=0,$X44,IF(AND($T44&lt;&gt;"",EDATE($D44,Milestones!$AA$101)&gt;=$T44),$W44,IF(AND($S44&lt;&gt;"",EDATE($D44,Milestones!$AA$101)&gt;=$S44),$V44,$U44)))=Milestones!$AB$101),UPPER(TEXT(EDATE($D44,Milestones!$AA$101),"dd mmm yy"))&amp;" "&amp;Milestones!$AB$101&amp;" "&amp;Milestones!$AC$101&amp;";  ","")&amp;IF(AND(EDATE($D44,Milestones!$AA$102)&lt;=AsOfDate,IF($R44=0,$X44,IF(AND($T44&lt;&gt;"",EDATE($D44,Milestones!$AA$102)&gt;=$T44),$W44,IF(AND($S44&lt;&gt;"",EDATE($D44,Milestones!$AA$102)&gt;=$S44),$V44,$U44)))=Milestones!$AB$102),UPPER(TEXT(EDATE($D44,Milestones!$AA$102),"dd mmm yy"))&amp;" "&amp;Milestones!$AB$102&amp;" "&amp;Milestones!$AC$102&amp;";  ","")&amp;IF(AND(EDATE($D44,Milestones!$AA$103)&lt;=AsOfDate,IF($R44=0,$X44,IF(AND($T44&lt;&gt;"",EDATE($D44,Milestones!$AA$103)&gt;=$T44),$W44,IF(AND($S44&lt;&gt;"",EDATE($D44,Milestones!$AA$103)&gt;=$S44),$V44,$U44)))=Milestones!$AB$103),UPPER(TEXT(EDATE($D44,Milestones!$AA$103),"dd mmm yy"))&amp;" "&amp;Milestones!$AB$103&amp;" "&amp;Milestones!$AC$103&amp;";  ","")&amp;IF(AND(EDATE($D44,Milestones!$AA$104)&lt;=AsOfDate,IF($R44=0,$X44,IF(AND($T44&lt;&gt;"",EDATE($D44,Milestones!$AA$104)&gt;=$T44),$W44,IF(AND($S44&lt;&gt;"",EDATE($D44,Milestones!$AA$104)&gt;=$S44),$V44,$U44)))=Milestones!$AB$104),UPPER(TEXT(EDATE($D44,Milestones!$AA$104),"dd mmm yy"))&amp;" "&amp;Milestones!$AB$104&amp;" "&amp;Milestones!$AC$104&amp;";  ","")&amp;IF(AND(EDATE($D44,Milestones!$AA$105)&lt;=AsOfDate,IF($R44=0,$X44,IF(AND($T44&lt;&gt;"",EDATE($D44,Milestones!$AA$105)&gt;=$T44),$W44,IF(AND($S44&lt;&gt;"",EDATE($D44,Milestones!$AA$105)&gt;=$S44),$V44,$U44)))=Milestones!$AB$105),UPPER(TEXT(EDATE($D44,Milestones!$AA$105),"dd mmm yy"))&amp;" "&amp;Milestones!$AB$105&amp;" "&amp;Milestones!$AC$105&amp;";  ","")&amp;IF(AND(EDATE($D44,Milestones!$AA$106)&lt;=AsOfDate,IF($R44=0,$X44,IF(AND($T44&lt;&gt;"",EDATE($D44,Milestones!$AA$106)&gt;=$T44),$W44,IF(AND($S44&lt;&gt;"",EDATE($D44,Milestones!$AA$106)&gt;=$S44),$V44,$U44)))=Milestones!$AB$106),UPPER(TEXT(EDATE($D44,Milestones!$AA$106),"dd mmm yy"))&amp;" "&amp;Milestones!$AB$106&amp;" "&amp;Milestones!$AC$106&amp;";  ","")&amp;IF(AND(EDATE($D44,Milestones!$AA$107)&lt;=AsOfDate,IF($R44=0,$X44,IF(AND($T44&lt;&gt;"",EDATE($D44,Milestones!$AA$107)&gt;=$T44),$W44,IF(AND($S44&lt;&gt;"",EDATE($D44,Milestones!$AA$107)&gt;=$S44),$V44,$U44)))=Milestones!$AB$107),UPPER(TEXT(EDATE($D44,Milestones!$AA$107),"dd mmm yy"))&amp;" "&amp;Milestones!$AB$107&amp;" "&amp;Milestones!$AC$107&amp;";  ","")&amp;IF(AND(EDATE($D44,Milestones!$AA$108)&lt;=AsOfDate,IF($R44=0,$X44,IF(AND($T44&lt;&gt;"",EDATE($D44,Milestones!$AA$108)&gt;=$T44),$W44,IF(AND($S44&lt;&gt;"",EDATE($D44,Milestones!$AA$108)&gt;=$S44),$V44,$U44)))=Milestones!$AB$108),UPPER(TEXT(EDATE($D44,Milestones!$AA$108),"dd mmm yy"))&amp;" "&amp;Milestones!$AB$108&amp;" "&amp;Milestones!$AC$108&amp;";  ","")&amp;IF(AND(EDATE($D44,Milestones!$AA$109)&lt;=AsOfDate,IF($R44=0,$X44,IF(AND($T44&lt;&gt;"",EDATE($D44,Milestones!$AA$109)&gt;=$T44),$W44,IF(AND($S44&lt;&gt;"",EDATE($D44,Milestones!$AA$109)&gt;=$S44),$V44,$U44)))=Milestones!$AB$109),UPPER(TEXT(EDATE($D44,Milestones!$AA$109),"dd mmm yy"))&amp;" "&amp;Milestones!$AB$109&amp;" "&amp;Milestones!$AC$109&amp;";  ","")&amp;IF(AND(EDATE($D44,Milestones!$AA$110)&lt;=AsOfDate,IF($R44=0,$X44,IF(AND($T44&lt;&gt;"",EDATE($D44,Milestones!$AA$110)&gt;=$T44),$W44,IF(AND($S44&lt;&gt;"",EDATE($D44,Milestones!$AA$110)&gt;=$S44),$V44,$U44)))=Milestones!$AB$110),UPPER(TEXT(EDATE($D44,Milestones!$AA$110),"dd mmm yy"))&amp;" "&amp;Milestones!$AB$110&amp;" "&amp;Milestones!$AC$110&amp;";  ","")&amp;IF(AND(EDATE($D44,Milestones!$AA$111)&lt;=AsOfDate,IF($R44=0,$X44,IF(AND($T44&lt;&gt;"",EDATE($D44,Milestones!$AA$111)&gt;=$T44),$W44,IF(AND($S44&lt;&gt;"",EDATE($D44,Milestones!$AA$111)&gt;=$S44),$V44,$U44)))=Milestones!$AB$111),UPPER(TEXT(EDATE($D44,Milestones!$AA$111),"dd mmm yy"))&amp;" "&amp;Milestones!$AB$111&amp;" "&amp;Milestones!$AC$111&amp;";  ","")&amp;IF(AND(EDATE($D44,Milestones!$AA$112)&lt;=AsOfDate,IF($R44=0,$X44,IF(AND($T44&lt;&gt;"",EDATE($D44,Milestones!$AA$112)&gt;=$T44),$W44,IF(AND($S44&lt;&gt;"",EDATE($D44,Milestones!$AA$112)&gt;=$S44),$V44,$U44)))=Milestones!$AB$112),UPPER(TEXT(EDATE($D44,Milestones!$AA$112),"dd mmm yy"))&amp;" "&amp;Milestones!$AB$112&amp;" "&amp;Milestones!$AC$112&amp;";  ","")&amp;IF(AND(EDATE($D44,Milestones!$AA$113)&lt;=AsOfDate,IF($R44=0,$X44,IF(AND($T44&lt;&gt;"",EDATE($D44,Milestones!$AA$113)&gt;=$T44),$W44,IF(AND($S44&lt;&gt;"",EDATE($D44,Milestones!$AA$113)&gt;=$S44),$V44,$U44)))=Milestones!$AB$113),UPPER(TEXT(EDATE($D44,Milestones!$AA$113),"dd mmm yy"))&amp;" "&amp;Milestones!$AB$113&amp;" "&amp;Milestones!$AC$113&amp;";  ","")&amp;IF(AND(EDATE($D44,Milestones!$AA$114)&lt;=AsOfDate,IF($R44=0,$X44,IF(AND($T44&lt;&gt;"",EDATE($D44,Milestones!$AA$114)&gt;=$T44),$W44,IF(AND($S44&lt;&gt;"",EDATE($D44,Milestones!$AA$114)&gt;=$S44),$V44,$U44)))=Milestones!$AB$114),UPPER(TEXT(EDATE($D44,Milestones!$AA$114),"dd mmm yy"))&amp;" "&amp;Milestones!$AB$114&amp;" "&amp;Milestones!$AC$114&amp;";  ","")&amp;IF(AND(EDATE($D44,Milestones!$AA$115)&lt;=AsOfDate,IF($R44=0,$X44,IF(AND($T44&lt;&gt;"",EDATE($D44,Milestones!$AA$115)&gt;=$T44),$W44,IF(AND($S44&lt;&gt;"",EDATE($D44,Milestones!$AA$115)&gt;=$S44),$V44,$U44)))=Milestones!$AB$115),UPPER(TEXT(EDATE($D44,Milestones!$AA$115),"dd mmm yy"))&amp;" "&amp;Milestones!$AB$115&amp;" "&amp;Milestones!$AC$115&amp;";  ","")&amp;IF(AND(EDATE($D44,Milestones!$AA$116)&lt;=AsOfDate,IF($R44=0,$X44,IF(AND($T44&lt;&gt;"",EDATE($D44,Milestones!$AA$116)&gt;=$T44),$W44,IF(AND($S44&lt;&gt;"",EDATE($D44,Milestones!$AA$116)&gt;=$S44),$V44,$U44)))=Milestones!$AB$116),UPPER(TEXT(EDATE($D44,Milestones!$AA$116),"dd mmm yy"))&amp;" "&amp;Milestones!$AB$116&amp;" "&amp;Milestones!$AC$116&amp;";  ","")&amp;IF(AND(EDATE($D44,Milestones!$AA$117)&lt;=AsOfDate,IF($R44=0,$X44,IF(AND($T44&lt;&gt;"",EDATE($D44,Milestones!$AA$117)&gt;=$T44),$W44,IF(AND($S44&lt;&gt;"",EDATE($D44,Milestones!$AA$117)&gt;=$S44),$V44,$U44)))=Milestones!$AB$117),UPPER(TEXT(EDATE($D44,Milestones!$AA$117),"dd mmm yy"))&amp;" "&amp;Milestones!$AB$117&amp;" "&amp;Milestones!$AC$117&amp;";  ","")&amp;IF(AND(EDATE($D44,Milestones!$AA$118)&lt;=AsOfDate,IF($R44=0,$X44,IF(AND($T44&lt;&gt;"",EDATE($D44,Milestones!$AA$118)&gt;=$T44),$W44,IF(AND($S44&lt;&gt;"",EDATE($D44,Milestones!$AA$118)&gt;=$S44),$V44,$U44)))=Milestones!$AB$118),UPPER(TEXT(EDATE($D44,Milestones!$AA$118),"dd mmm yy"))&amp;" "&amp;Milestones!$AB$118&amp;" "&amp;Milestones!$AC$118&amp;";  ","")&amp;IF(AND(EDATE($D44,Milestones!$AA$119)&lt;=AsOfDate,IF($R44=0,$X44,IF(AND($T44&lt;&gt;"",EDATE($D44,Milestones!$AA$119)&gt;=$T44),$W44,IF(AND($S44&lt;&gt;"",EDATE($D44,Milestones!$AA$119)&gt;=$S44),$V44,$U44)))=Milestones!$AB$119),UPPER(TEXT(EDATE($D44,Milestones!$AA$119),"dd mmm yy"))&amp;" "&amp;Milestones!$AB$119&amp;" "&amp;Milestones!$AC$119&amp;";  ",""))</f>
        <v/>
      </c>
      <c r="N44" s="0" t="str">
        <f aca="false">IF(OR($A44="",$D44=""),"",IF(AND(EDATE($D44,Milestones!$AA$120)&lt;=AsOfDate,IF($R44=0,$X44,IF(AND($T44&lt;&gt;"",EDATE($D44,Milestones!$AA$120)&gt;=$T44),$W44,IF(AND($S44&lt;&gt;"",EDATE($D44,Milestones!$AA$120)&gt;=$S44),$V44,$U44)))=Milestones!$AB$120),UPPER(TEXT(EDATE($D44,Milestones!$AA$120),"dd mmm yy"))&amp;" "&amp;Milestones!$AB$120&amp;" "&amp;Milestones!$AC$120&amp;";  ","")&amp;IF(AND(EDATE($D44,Milestones!$AA$121)&lt;=AsOfDate,IF($R44=0,$X44,IF(AND($T44&lt;&gt;"",EDATE($D44,Milestones!$AA$121)&gt;=$T44),$W44,IF(AND($S44&lt;&gt;"",EDATE($D44,Milestones!$AA$121)&gt;=$S44),$V44,$U44)))=Milestones!$AB$121),UPPER(TEXT(EDATE($D44,Milestones!$AA$121),"dd mmm yy"))&amp;" "&amp;Milestones!$AB$121&amp;" "&amp;Milestones!$AC$121&amp;";  ","")&amp;IF(AND(EDATE($D44,Milestones!$AA$122)&lt;=AsOfDate,IF($R44=0,$X44,IF(AND($T44&lt;&gt;"",EDATE($D44,Milestones!$AA$122)&gt;=$T44),$W44,IF(AND($S44&lt;&gt;"",EDATE($D44,Milestones!$AA$122)&gt;=$S44),$V44,$U44)))=Milestones!$AB$122),UPPER(TEXT(EDATE($D44,Milestones!$AA$122),"dd mmm yy"))&amp;" "&amp;Milestones!$AB$122&amp;" "&amp;Milestones!$AC$122&amp;";  ","")&amp;IF(AND(EDATE($D44,Milestones!$AA$123)&lt;=AsOfDate,IF($R44=0,$X44,IF(AND($T44&lt;&gt;"",EDATE($D44,Milestones!$AA$123)&gt;=$T44),$W44,IF(AND($S44&lt;&gt;"",EDATE($D44,Milestones!$AA$123)&gt;=$S44),$V44,$U44)))=Milestones!$AB$123),UPPER(TEXT(EDATE($D44,Milestones!$AA$123),"dd mmm yy"))&amp;" "&amp;Milestones!$AB$123&amp;" "&amp;Milestones!$AC$123&amp;";  ","")&amp;IF(AND(EDATE($D44,Milestones!$AA$124)&lt;=AsOfDate,IF($R44=0,$X44,IF(AND($T44&lt;&gt;"",EDATE($D44,Milestones!$AA$124)&gt;=$T44),$W44,IF(AND($S44&lt;&gt;"",EDATE($D44,Milestones!$AA$124)&gt;=$S44),$V44,$U44)))=Milestones!$AB$124),UPPER(TEXT(EDATE($D44,Milestones!$AA$124),"dd mmm yy"))&amp;" "&amp;Milestones!$AB$124&amp;" "&amp;Milestones!$AC$124&amp;";  ","")&amp;IF(AND(EDATE($D44,Milestones!$AA$125)&lt;=AsOfDate,IF($R44=0,$X44,IF(AND($T44&lt;&gt;"",EDATE($D44,Milestones!$AA$125)&gt;=$T44),$W44,IF(AND($S44&lt;&gt;"",EDATE($D44,Milestones!$AA$125)&gt;=$S44),$V44,$U44)))=Milestones!$AB$125),UPPER(TEXT(EDATE($D44,Milestones!$AA$125),"dd mmm yy"))&amp;" "&amp;Milestones!$AB$125&amp;" "&amp;Milestones!$AC$125&amp;";  ","")&amp;IF(AND(EDATE($D44,Milestones!$AA$126)&lt;=AsOfDate,IF($R44=0,$X44,IF(AND($T44&lt;&gt;"",EDATE($D44,Milestones!$AA$126)&gt;=$T44),$W44,IF(AND($S44&lt;&gt;"",EDATE($D44,Milestones!$AA$126)&gt;=$S44),$V44,$U44)))=Milestones!$AB$126),UPPER(TEXT(EDATE($D44,Milestones!$AA$126),"dd mmm yy"))&amp;" "&amp;Milestones!$AB$126&amp;" "&amp;Milestones!$AC$126&amp;";  ","")&amp;IF(AND(EDATE($D44,Milestones!$AA$127)&lt;=AsOfDate,IF($R44=0,$X44,IF(AND($T44&lt;&gt;"",EDATE($D44,Milestones!$AA$127)&gt;=$T44),$W44,IF(AND($S44&lt;&gt;"",EDATE($D44,Milestones!$AA$127)&gt;=$S44),$V44,$U44)))=Milestones!$AB$127),UPPER(TEXT(EDATE($D44,Milestones!$AA$127),"dd mmm yy"))&amp;" "&amp;Milestones!$AB$127&amp;" "&amp;Milestones!$AC$127&amp;";  ","")&amp;IF(AND(EDATE($D44,Milestones!$AA$128)&lt;=AsOfDate,IF($R44=0,$X44,IF(AND($T44&lt;&gt;"",EDATE($D44,Milestones!$AA$128)&gt;=$T44),$W44,IF(AND($S44&lt;&gt;"",EDATE($D44,Milestones!$AA$128)&gt;=$S44),$V44,$U44)))=Milestones!$AB$128),UPPER(TEXT(EDATE($D44,Milestones!$AA$128),"dd mmm yy"))&amp;" "&amp;Milestones!$AB$128&amp;" "&amp;Milestones!$AC$128&amp;";  ","")&amp;IF(AND(EDATE($D44,Milestones!$AA$129)&lt;=AsOfDate,IF($R44=0,$X44,IF(AND($T44&lt;&gt;"",EDATE($D44,Milestones!$AA$129)&gt;=$T44),$W44,IF(AND($S44&lt;&gt;"",EDATE($D44,Milestones!$AA$129)&gt;=$S44),$V44,$U44)))=Milestones!$AB$129),UPPER(TEXT(EDATE($D44,Milestones!$AA$129),"dd mmm yy"))&amp;" "&amp;Milestones!$AB$129&amp;" "&amp;Milestones!$AC$129&amp;";  ","")&amp;IF(AND(EDATE($D44,Milestones!$AA$130)&lt;=AsOfDate,IF($R44=0,$X44,IF(AND($T44&lt;&gt;"",EDATE($D44,Milestones!$AA$130)&gt;=$T44),$W44,IF(AND($S44&lt;&gt;"",EDATE($D44,Milestones!$AA$130)&gt;=$S44),$V44,$U44)))=Milestones!$AB$130),UPPER(TEXT(EDATE($D44,Milestones!$AA$130),"dd mmm yy"))&amp;" "&amp;Milestones!$AB$130&amp;" "&amp;Milestones!$AC$130&amp;";  ","")&amp;IF(AND(EDATE($D44,Milestones!$AA$131)&lt;=AsOfDate,IF($R44=0,$X44,IF(AND($T44&lt;&gt;"",EDATE($D44,Milestones!$AA$131)&gt;=$T44),$W44,IF(AND($S44&lt;&gt;"",EDATE($D44,Milestones!$AA$131)&gt;=$S44),$V44,$U44)))=Milestones!$AB$131),UPPER(TEXT(EDATE($D44,Milestones!$AA$131),"dd mmm yy"))&amp;" "&amp;Milestones!$AB$131&amp;" "&amp;Milestones!$AC$131&amp;";  ","")&amp;IF(AND(EDATE($D44,Milestones!$AA$132)&lt;=AsOfDate,IF($R44=0,$X44,IF(AND($T44&lt;&gt;"",EDATE($D44,Milestones!$AA$132)&gt;=$T44),$W44,IF(AND($S44&lt;&gt;"",EDATE($D44,Milestones!$AA$132)&gt;=$S44),$V44,$U44)))=Milestones!$AB$132),UPPER(TEXT(EDATE($D44,Milestones!$AA$132),"dd mmm yy"))&amp;" "&amp;Milestones!$AB$132&amp;" "&amp;Milestones!$AC$132&amp;";  ","")&amp;IF(AND(EDATE($D44,Milestones!$AA$133)&lt;=AsOfDate,IF($R44=0,$X44,IF(AND($T44&lt;&gt;"",EDATE($D44,Milestones!$AA$133)&gt;=$T44),$W44,IF(AND($S44&lt;&gt;"",EDATE($D44,Milestones!$AA$133)&gt;=$S44),$V44,$U44)))=Milestones!$AB$133),UPPER(TEXT(EDATE($D44,Milestones!$AA$133),"dd mmm yy"))&amp;" "&amp;Milestones!$AB$133&amp;" "&amp;Milestones!$AC$133&amp;";  ","")&amp;IF(AND(EDATE($D44,Milestones!$AA$134)&lt;=AsOfDate,IF($R44=0,$X44,IF(AND($T44&lt;&gt;"",EDATE($D44,Milestones!$AA$134)&gt;=$T44),$W44,IF(AND($S44&lt;&gt;"",EDATE($D44,Milestones!$AA$134)&gt;=$S44),$V44,$U44)))=Milestones!$AB$134),UPPER(TEXT(EDATE($D44,Milestones!$AA$134),"dd mmm yy"))&amp;" "&amp;Milestones!$AB$134&amp;" "&amp;Milestones!$AC$134&amp;";  ","")&amp;IF(AND(EDATE($D44,Milestones!$AA$135)&lt;=AsOfDate,IF($R44=0,$X44,IF(AND($T44&lt;&gt;"",EDATE($D44,Milestones!$AA$135)&gt;=$T44),$W44,IF(AND($S44&lt;&gt;"",EDATE($D44,Milestones!$AA$135)&gt;=$S44),$V44,$U44)))=Milestones!$AB$135),UPPER(TEXT(EDATE($D44,Milestones!$AA$135),"dd mmm yy"))&amp;" "&amp;Milestones!$AB$135&amp;" "&amp;Milestones!$AC$135&amp;";  ","")&amp;IF(AND(EDATE($D44,Milestones!$AA$136)&lt;=AsOfDate,IF($R44=0,$X44,IF(AND($T44&lt;&gt;"",EDATE($D44,Milestones!$AA$136)&gt;=$T44),$W44,IF(AND($S44&lt;&gt;"",EDATE($D44,Milestones!$AA$136)&gt;=$S44),$V44,$U44)))=Milestones!$AB$136),UPPER(TEXT(EDATE($D44,Milestones!$AA$136),"dd mmm yy"))&amp;" "&amp;Milestones!$AB$136&amp;" "&amp;Milestones!$AC$136&amp;";  ","")&amp;IF(AND(EDATE($D44,Milestones!$AA$137)&lt;=AsOfDate,IF($R44=0,$X44,IF(AND($T44&lt;&gt;"",EDATE($D44,Milestones!$AA$137)&gt;=$T44),$W44,IF(AND($S44&lt;&gt;"",EDATE($D44,Milestones!$AA$137)&gt;=$S44),$V44,$U44)))=Milestones!$AB$137),UPPER(TEXT(EDATE($D44,Milestones!$AA$137),"dd mmm yy"))&amp;" "&amp;Milestones!$AB$137&amp;" "&amp;Milestones!$AC$137&amp;";  ","")&amp;IF(AND(EDATE($D44,Milestones!$AA$138)&lt;=AsOfDate,IF($R44=0,$X44,IF(AND($T44&lt;&gt;"",EDATE($D44,Milestones!$AA$138)&gt;=$T44),$W44,IF(AND($S44&lt;&gt;"",EDATE($D44,Milestones!$AA$138)&gt;=$S44),$V44,$U44)))=Milestones!$AB$138),UPPER(TEXT(EDATE($D44,Milestones!$AA$138),"dd mmm yy"))&amp;" "&amp;Milestones!$AB$138&amp;" "&amp;Milestones!$AC$138&amp;";  ","")&amp;IF(AND(EDATE($D44,Milestones!$AA$139)&lt;=AsOfDate,IF($R44=0,$X44,IF(AND($T44&lt;&gt;"",EDATE($D44,Milestones!$AA$139)&gt;=$T44),$W44,IF(AND($S44&lt;&gt;"",EDATE($D44,Milestones!$AA$139)&gt;=$S44),$V44,$U44)))=Milestones!$AB$139),UPPER(TEXT(EDATE($D44,Milestones!$AA$139),"dd mmm yy"))&amp;" "&amp;Milestones!$AB$139&amp;" "&amp;Milestones!$AC$139&amp;";  ",""))</f>
        <v/>
      </c>
      <c r="O44" s="0" t="str">
        <f aca="false">IF(OR($A44="",$D44=""),"",IF(AND(EDATE($D44,Milestones!$AA$140)&lt;=AsOfDate,IF($R44=0,$X44,IF(AND($T44&lt;&gt;"",EDATE($D44,Milestones!$AA$140)&gt;=$T44),$W44,IF(AND($S44&lt;&gt;"",EDATE($D44,Milestones!$AA$140)&gt;=$S44),$V44,$U44)))=Milestones!$AB$140),UPPER(TEXT(EDATE($D44,Milestones!$AA$140),"dd mmm yy"))&amp;" "&amp;Milestones!$AB$140&amp;" "&amp;Milestones!$AC$140&amp;";  ","")&amp;IF(AND(EDATE($D44,Milestones!$AA$141)&lt;=AsOfDate,IF($R44=0,$X44,IF(AND($T44&lt;&gt;"",EDATE($D44,Milestones!$AA$141)&gt;=$T44),$W44,IF(AND($S44&lt;&gt;"",EDATE($D44,Milestones!$AA$141)&gt;=$S44),$V44,$U44)))=Milestones!$AB$141),UPPER(TEXT(EDATE($D44,Milestones!$AA$141),"dd mmm yy"))&amp;" "&amp;Milestones!$AB$141&amp;" "&amp;Milestones!$AC$141&amp;";  ","")&amp;IF(AND(EDATE($D44,Milestones!$AA$142)&lt;=AsOfDate,IF($R44=0,$X44,IF(AND($T44&lt;&gt;"",EDATE($D44,Milestones!$AA$142)&gt;=$T44),$W44,IF(AND($S44&lt;&gt;"",EDATE($D44,Milestones!$AA$142)&gt;=$S44),$V44,$U44)))=Milestones!$AB$142),UPPER(TEXT(EDATE($D44,Milestones!$AA$142),"dd mmm yy"))&amp;" "&amp;Milestones!$AB$142&amp;" "&amp;Milestones!$AC$142&amp;";  ","")&amp;IF(AND(EDATE($D44,Milestones!$AA$143)&lt;=AsOfDate,IF($R44=0,$X44,IF(AND($T44&lt;&gt;"",EDATE($D44,Milestones!$AA$143)&gt;=$T44),$W44,IF(AND($S44&lt;&gt;"",EDATE($D44,Milestones!$AA$143)&gt;=$S44),$V44,$U44)))=Milestones!$AB$143),UPPER(TEXT(EDATE($D44,Milestones!$AA$143),"dd mmm yy"))&amp;" "&amp;Milestones!$AB$143&amp;" "&amp;Milestones!$AC$143&amp;";  ","")&amp;IF(AND(EDATE($D44,Milestones!$AA$144)&lt;=AsOfDate,IF($R44=0,$X44,IF(AND($T44&lt;&gt;"",EDATE($D44,Milestones!$AA$144)&gt;=$T44),$W44,IF(AND($S44&lt;&gt;"",EDATE($D44,Milestones!$AA$144)&gt;=$S44),$V44,$U44)))=Milestones!$AB$144),UPPER(TEXT(EDATE($D44,Milestones!$AA$144),"dd mmm yy"))&amp;" "&amp;Milestones!$AB$144&amp;" "&amp;Milestones!$AC$144&amp;";  ","")&amp;IF(AND(EDATE($D44,Milestones!$AA$145)&lt;=AsOfDate,IF($R44=0,$X44,IF(AND($T44&lt;&gt;"",EDATE($D44,Milestones!$AA$145)&gt;=$T44),$W44,IF(AND($S44&lt;&gt;"",EDATE($D44,Milestones!$AA$145)&gt;=$S44),$V44,$U44)))=Milestones!$AB$145),UPPER(TEXT(EDATE($D44,Milestones!$AA$145),"dd mmm yy"))&amp;" "&amp;Milestones!$AB$145&amp;" "&amp;Milestones!$AC$145&amp;";  ","")&amp;IF(AND(EDATE($D44,Milestones!$AA$146)&lt;=AsOfDate,IF($R44=0,$X44,IF(AND($T44&lt;&gt;"",EDATE($D44,Milestones!$AA$146)&gt;=$T44),$W44,IF(AND($S44&lt;&gt;"",EDATE($D44,Milestones!$AA$146)&gt;=$S44),$V44,$U44)))=Milestones!$AB$146),UPPER(TEXT(EDATE($D44,Milestones!$AA$146),"dd mmm yy"))&amp;" "&amp;Milestones!$AB$146&amp;" "&amp;Milestones!$AC$146&amp;";  ","")&amp;IF(AND(EDATE($D44,Milestones!$AA$147)&lt;=AsOfDate,IF($R44=0,$X44,IF(AND($T44&lt;&gt;"",EDATE($D44,Milestones!$AA$147)&gt;=$T44),$W44,IF(AND($S44&lt;&gt;"",EDATE($D44,Milestones!$AA$147)&gt;=$S44),$V44,$U44)))=Milestones!$AB$147),UPPER(TEXT(EDATE($D44,Milestones!$AA$147),"dd mmm yy"))&amp;" "&amp;Milestones!$AB$147&amp;" "&amp;Milestones!$AC$147&amp;";  ","")&amp;IF(AND(EDATE($D44,Milestones!$AA$148)&lt;=AsOfDate,IF($R44=0,$X44,IF(AND($T44&lt;&gt;"",EDATE($D44,Milestones!$AA$148)&gt;=$T44),$W44,IF(AND($S44&lt;&gt;"",EDATE($D44,Milestones!$AA$148)&gt;=$S44),$V44,$U44)))=Milestones!$AB$148),UPPER(TEXT(EDATE($D44,Milestones!$AA$148),"dd mmm yy"))&amp;" "&amp;Milestones!$AB$148&amp;" "&amp;Milestones!$AC$148&amp;";  ","")&amp;IF(AND(EDATE($D44,Milestones!$AA$149)&lt;=AsOfDate,IF($R44=0,$X44,IF(AND($T44&lt;&gt;"",EDATE($D44,Milestones!$AA$149)&gt;=$T44),$W44,IF(AND($S44&lt;&gt;"",EDATE($D44,Milestones!$AA$149)&gt;=$S44),$V44,$U44)))=Milestones!$AB$149),UPPER(TEXT(EDATE($D44,Milestones!$AA$149),"dd mmm yy"))&amp;" "&amp;Milestones!$AB$149&amp;" "&amp;Milestones!$AC$149&amp;";  ","")&amp;IF(AND(EDATE($D44,Milestones!$AA$150)&lt;=AsOfDate,IF($R44=0,$X44,IF(AND($T44&lt;&gt;"",EDATE($D44,Milestones!$AA$150)&gt;=$T44),$W44,IF(AND($S44&lt;&gt;"",EDATE($D44,Milestones!$AA$150)&gt;=$S44),$V44,$U44)))=Milestones!$AB$150),UPPER(TEXT(EDATE($D44,Milestones!$AA$150),"dd mmm yy"))&amp;" "&amp;Milestones!$AB$150&amp;" "&amp;Milestones!$AC$150&amp;";  ","")&amp;IF(AND(EDATE($D44,Milestones!$AA$151)&lt;=AsOfDate,IF($R44=0,$X44,IF(AND($T44&lt;&gt;"",EDATE($D44,Milestones!$AA$151)&gt;=$T44),$W44,IF(AND($S44&lt;&gt;"",EDATE($D44,Milestones!$AA$151)&gt;=$S44),$V44,$U44)))=Milestones!$AB$151),UPPER(TEXT(EDATE($D44,Milestones!$AA$151),"dd mmm yy"))&amp;" "&amp;Milestones!$AB$151&amp;" "&amp;Milestones!$AC$151&amp;";  ","")&amp;IF(AND(EDATE($D44,Milestones!$AA$152)&lt;=AsOfDate,IF($R44=0,$X44,IF(AND($T44&lt;&gt;"",EDATE($D44,Milestones!$AA$152)&gt;=$T44),$W44,IF(AND($S44&lt;&gt;"",EDATE($D44,Milestones!$AA$152)&gt;=$S44),$V44,$U44)))=Milestones!$AB$152),UPPER(TEXT(EDATE($D44,Milestones!$AA$152),"dd mmm yy"))&amp;" "&amp;Milestones!$AB$152&amp;" "&amp;Milestones!$AC$152&amp;";  ","")&amp;IF(AND(EDATE($D44,Milestones!$AA$153)&lt;=AsOfDate,IF($R44=0,$X44,IF(AND($T44&lt;&gt;"",EDATE($D44,Milestones!$AA$153)&gt;=$T44),$W44,IF(AND($S44&lt;&gt;"",EDATE($D44,Milestones!$AA$153)&gt;=$S44),$V44,$U44)))=Milestones!$AB$153),UPPER(TEXT(EDATE($D44,Milestones!$AA$153),"dd mmm yy"))&amp;" "&amp;Milestones!$AB$153&amp;" "&amp;Milestones!$AC$153&amp;";  ","")&amp;IF(AND(EDATE($D44,Milestones!$AA$154)&lt;=AsOfDate,IF($R44=0,$X44,IF(AND($T44&lt;&gt;"",EDATE($D44,Milestones!$AA$154)&gt;=$T44),$W44,IF(AND($S44&lt;&gt;"",EDATE($D44,Milestones!$AA$154)&gt;=$S44),$V44,$U44)))=Milestones!$AB$154),UPPER(TEXT(EDATE($D44,Milestones!$AA$154),"dd mmm yy"))&amp;" "&amp;Milestones!$AB$154&amp;" "&amp;Milestones!$AC$154&amp;";  ","")&amp;IF(AND(EDATE($D44,Milestones!$AA$155)&lt;=AsOfDate,IF($R44=0,$X44,IF(AND($T44&lt;&gt;"",EDATE($D44,Milestones!$AA$155)&gt;=$T44),$W44,IF(AND($S44&lt;&gt;"",EDATE($D44,Milestones!$AA$155)&gt;=$S44),$V44,$U44)))=Milestones!$AB$155),UPPER(TEXT(EDATE($D44,Milestones!$AA$155),"dd mmm yy"))&amp;" "&amp;Milestones!$AB$155&amp;" "&amp;Milestones!$AC$155&amp;";  ","")&amp;IF(AND(EDATE($D44,Milestones!$AA$156)&lt;=AsOfDate,IF($R44=0,$X44,IF(AND($T44&lt;&gt;"",EDATE($D44,Milestones!$AA$156)&gt;=$T44),$W44,IF(AND($S44&lt;&gt;"",EDATE($D44,Milestones!$AA$156)&gt;=$S44),$V44,$U44)))=Milestones!$AB$156),UPPER(TEXT(EDATE($D44,Milestones!$AA$156),"dd mmm yy"))&amp;" "&amp;Milestones!$AB$156&amp;" "&amp;Milestones!$AC$156&amp;";  ","")&amp;IF(AND(EDATE($D44,Milestones!$AA$157)&lt;=AsOfDate,IF($R44=0,$X44,IF(AND($T44&lt;&gt;"",EDATE($D44,Milestones!$AA$157)&gt;=$T44),$W44,IF(AND($S44&lt;&gt;"",EDATE($D44,Milestones!$AA$157)&gt;=$S44),$V44,$U44)))=Milestones!$AB$157),UPPER(TEXT(EDATE($D44,Milestones!$AA$157),"dd mmm yy"))&amp;" "&amp;Milestones!$AB$157&amp;" "&amp;Milestones!$AC$157&amp;";  ","")&amp;IF(AND(EDATE($D44,Milestones!$AA$158)&lt;=AsOfDate,IF($R44=0,$X44,IF(AND($T44&lt;&gt;"",EDATE($D44,Milestones!$AA$158)&gt;=$T44),$W44,IF(AND($S44&lt;&gt;"",EDATE($D44,Milestones!$AA$158)&gt;=$S44),$V44,$U44)))=Milestones!$AB$158),UPPER(TEXT(EDATE($D44,Milestones!$AA$158),"dd mmm yy"))&amp;" "&amp;Milestones!$AB$158&amp;" "&amp;Milestones!$AC$158&amp;";  ","")&amp;IF(AND(EDATE($D44,Milestones!$AA$159)&lt;=AsOfDate,IF($R44=0,$X44,IF(AND($T44&lt;&gt;"",EDATE($D44,Milestones!$AA$159)&gt;=$T44),$W44,IF(AND($S44&lt;&gt;"",EDATE($D44,Milestones!$AA$159)&gt;=$S44),$V44,$U44)))=Milestones!$AB$159),UPPER(TEXT(EDATE($D44,Milestones!$AA$159),"dd mmm yy"))&amp;" "&amp;Milestones!$AB$159&amp;" "&amp;Milestones!$AC$159&amp;";  ",""))</f>
        <v/>
      </c>
      <c r="P44" s="0" t="str">
        <f aca="false">IF(OR($A44="",$D44=""),"",IF(AND(EDATE($D44,Milestones!$AA$160)&lt;=AsOfDate,IF($R44=0,$X44,IF(AND($T44&lt;&gt;"",EDATE($D44,Milestones!$AA$160)&gt;=$T44),$W44,IF(AND($S44&lt;&gt;"",EDATE($D44,Milestones!$AA$160)&gt;=$S44),$V44,$U44)))=Milestones!$AB$160),UPPER(TEXT(EDATE($D44,Milestones!$AA$160),"dd mmm yy"))&amp;" "&amp;Milestones!$AB$160&amp;" "&amp;Milestones!$AC$160&amp;";  ","")&amp;IF(AND(EDATE($D44,Milestones!$AA$161)&lt;=AsOfDate,IF($R44=0,$X44,IF(AND($T44&lt;&gt;"",EDATE($D44,Milestones!$AA$161)&gt;=$T44),$W44,IF(AND($S44&lt;&gt;"",EDATE($D44,Milestones!$AA$161)&gt;=$S44),$V44,$U44)))=Milestones!$AB$161),UPPER(TEXT(EDATE($D44,Milestones!$AA$161),"dd mmm yy"))&amp;" "&amp;Milestones!$AB$161&amp;" "&amp;Milestones!$AC$161&amp;";  ","")&amp;IF(AND(EDATE($D44,Milestones!$AA$162)&lt;=AsOfDate,IF($R44=0,$X44,IF(AND($T44&lt;&gt;"",EDATE($D44,Milestones!$AA$162)&gt;=$T44),$W44,IF(AND($S44&lt;&gt;"",EDATE($D44,Milestones!$AA$162)&gt;=$S44),$V44,$U44)))=Milestones!$AB$162),UPPER(TEXT(EDATE($D44,Milestones!$AA$162),"dd mmm yy"))&amp;" "&amp;Milestones!$AB$162&amp;" "&amp;Milestones!$AC$162&amp;";  ","")&amp;IF(AND(EDATE($D44,Milestones!$AA$163)&lt;=AsOfDate,IF($R44=0,$X44,IF(AND($T44&lt;&gt;"",EDATE($D44,Milestones!$AA$163)&gt;=$T44),$W44,IF(AND($S44&lt;&gt;"",EDATE($D44,Milestones!$AA$163)&gt;=$S44),$V44,$U44)))=Milestones!$AB$163),UPPER(TEXT(EDATE($D44,Milestones!$AA$163),"dd mmm yy"))&amp;" "&amp;Milestones!$AB$163&amp;" "&amp;Milestones!$AC$163&amp;";  ","")&amp;IF(AND(EDATE($D44,Milestones!$AA$164)&lt;=AsOfDate,IF($R44=0,$X44,IF(AND($T44&lt;&gt;"",EDATE($D44,Milestones!$AA$164)&gt;=$T44),$W44,IF(AND($S44&lt;&gt;"",EDATE($D44,Milestones!$AA$164)&gt;=$S44),$V44,$U44)))=Milestones!$AB$164),UPPER(TEXT(EDATE($D44,Milestones!$AA$164),"dd mmm yy"))&amp;" "&amp;Milestones!$AB$164&amp;" "&amp;Milestones!$AC$164&amp;";  ","")&amp;IF(AND(EDATE($D44,Milestones!$AA$165)&lt;=AsOfDate,IF($R44=0,$X44,IF(AND($T44&lt;&gt;"",EDATE($D44,Milestones!$AA$165)&gt;=$T44),$W44,IF(AND($S44&lt;&gt;"",EDATE($D44,Milestones!$AA$165)&gt;=$S44),$V44,$U44)))=Milestones!$AB$165),UPPER(TEXT(EDATE($D44,Milestones!$AA$165),"dd mmm yy"))&amp;" "&amp;Milestones!$AB$165&amp;" "&amp;Milestones!$AC$165&amp;";  ","")&amp;IF(AND(EDATE($D44,Milestones!$AA$166)&lt;=AsOfDate,IF($R44=0,$X44,IF(AND($T44&lt;&gt;"",EDATE($D44,Milestones!$AA$166)&gt;=$T44),$W44,IF(AND($S44&lt;&gt;"",EDATE($D44,Milestones!$AA$166)&gt;=$S44),$V44,$U44)))=Milestones!$AB$166),UPPER(TEXT(EDATE($D44,Milestones!$AA$166),"dd mmm yy"))&amp;" "&amp;Milestones!$AB$166&amp;" "&amp;Milestones!$AC$166&amp;";  ","")&amp;IF(AND(EDATE($D44,Milestones!$AA$167)&lt;=AsOfDate,IF($R44=0,$X44,IF(AND($T44&lt;&gt;"",EDATE($D44,Milestones!$AA$167)&gt;=$T44),$W44,IF(AND($S44&lt;&gt;"",EDATE($D44,Milestones!$AA$167)&gt;=$S44),$V44,$U44)))=Milestones!$AB$167),UPPER(TEXT(EDATE($D44,Milestones!$AA$167),"dd mmm yy"))&amp;" "&amp;Milestones!$AB$167&amp;" "&amp;Milestones!$AC$167&amp;";  ","")&amp;IF(AND(EDATE($D44,Milestones!$AA$168)&lt;=AsOfDate,IF($R44=0,$X44,IF(AND($T44&lt;&gt;"",EDATE($D44,Milestones!$AA$168)&gt;=$T44),$W44,IF(AND($S44&lt;&gt;"",EDATE($D44,Milestones!$AA$168)&gt;=$S44),$V44,$U44)))=Milestones!$AB$168),UPPER(TEXT(EDATE($D44,Milestones!$AA$168),"dd mmm yy"))&amp;" "&amp;Milestones!$AB$168&amp;" "&amp;Milestones!$AC$168&amp;";  ","")&amp;IF(AND(EDATE($D44,Milestones!$AA$169)&lt;=AsOfDate,IF($R44=0,$X44,IF(AND($T44&lt;&gt;"",EDATE($D44,Milestones!$AA$169)&gt;=$T44),$W44,IF(AND($S44&lt;&gt;"",EDATE($D44,Milestones!$AA$169)&gt;=$S44),$V44,$U44)))=Milestones!$AB$169),UPPER(TEXT(EDATE($D44,Milestones!$AA$169),"dd mmm yy"))&amp;" "&amp;Milestones!$AB$169&amp;" "&amp;Milestones!$AC$169&amp;";  ","")&amp;IF(AND(EDATE($D44,Milestones!$AA$170)&lt;=AsOfDate,IF($R44=0,$X44,IF(AND($T44&lt;&gt;"",EDATE($D44,Milestones!$AA$170)&gt;=$T44),$W44,IF(AND($S44&lt;&gt;"",EDATE($D44,Milestones!$AA$170)&gt;=$S44),$V44,$U44)))=Milestones!$AB$170),UPPER(TEXT(EDATE($D44,Milestones!$AA$170),"dd mmm yy"))&amp;" "&amp;Milestones!$AB$170&amp;" "&amp;Milestones!$AC$170&amp;";  ","")&amp;IF(AND(EDATE($D44,Milestones!$AA$171)&lt;=AsOfDate,IF($R44=0,$X44,IF(AND($T44&lt;&gt;"",EDATE($D44,Milestones!$AA$171)&gt;=$T44),$W44,IF(AND($S44&lt;&gt;"",EDATE($D44,Milestones!$AA$171)&gt;=$S44),$V44,$U44)))=Milestones!$AB$171),UPPER(TEXT(EDATE($D44,Milestones!$AA$171),"dd mmm yy"))&amp;" "&amp;Milestones!$AB$171&amp;" "&amp;Milestones!$AC$171&amp;";  ","")&amp;IF(AND(EDATE($D44,Milestones!$AA$172)&lt;=AsOfDate,IF($R44=0,$X44,IF(AND($T44&lt;&gt;"",EDATE($D44,Milestones!$AA$172)&gt;=$T44),$W44,IF(AND($S44&lt;&gt;"",EDATE($D44,Milestones!$AA$172)&gt;=$S44),$V44,$U44)))=Milestones!$AB$172),UPPER(TEXT(EDATE($D44,Milestones!$AA$172),"dd mmm yy"))&amp;" "&amp;Milestones!$AB$172&amp;" "&amp;Milestones!$AC$172&amp;";  ","")&amp;IF(AND(EDATE($D44,Milestones!$AA$173)&lt;=AsOfDate,IF($R44=0,$X44,IF(AND($T44&lt;&gt;"",EDATE($D44,Milestones!$AA$173)&gt;=$T44),$W44,IF(AND($S44&lt;&gt;"",EDATE($D44,Milestones!$AA$173)&gt;=$S44),$V44,$U44)))=Milestones!$AB$173),UPPER(TEXT(EDATE($D44,Milestones!$AA$173),"dd mmm yy"))&amp;" "&amp;Milestones!$AB$173&amp;" "&amp;Milestones!$AC$173&amp;";  ","")&amp;IF(AND(EDATE($D44,Milestones!$AA$174)&lt;=AsOfDate,IF($R44=0,$X44,IF(AND($T44&lt;&gt;"",EDATE($D44,Milestones!$AA$174)&gt;=$T44),$W44,IF(AND($S44&lt;&gt;"",EDATE($D44,Milestones!$AA$174)&gt;=$S44),$V44,$U44)))=Milestones!$AB$174),UPPER(TEXT(EDATE($D44,Milestones!$AA$174),"dd mmm yy"))&amp;" "&amp;Milestones!$AB$174&amp;" "&amp;Milestones!$AC$174&amp;";  ","")&amp;IF(AND(EDATE($D44,Milestones!$AA$175)&lt;=AsOfDate,IF($R44=0,$X44,IF(AND($T44&lt;&gt;"",EDATE($D44,Milestones!$AA$175)&gt;=$T44),$W44,IF(AND($S44&lt;&gt;"",EDATE($D44,Milestones!$AA$175)&gt;=$S44),$V44,$U44)))=Milestones!$AB$175),UPPER(TEXT(EDATE($D44,Milestones!$AA$175),"dd mmm yy"))&amp;" "&amp;Milestones!$AB$175&amp;" "&amp;Milestones!$AC$175&amp;";  ","")&amp;IF(AND(EDATE($D44,Milestones!$AA$176)&lt;=AsOfDate,IF($R44=0,$X44,IF(AND($T44&lt;&gt;"",EDATE($D44,Milestones!$AA$176)&gt;=$T44),$W44,IF(AND($S44&lt;&gt;"",EDATE($D44,Milestones!$AA$176)&gt;=$S44),$V44,$U44)))=Milestones!$AB$176),UPPER(TEXT(EDATE($D44,Milestones!$AA$176),"dd mmm yy"))&amp;" "&amp;Milestones!$AB$176&amp;" "&amp;Milestones!$AC$176&amp;";  ","")&amp;IF(AND(EDATE($D44,Milestones!$AA$177)&lt;=AsOfDate,IF($R44=0,$X44,IF(AND($T44&lt;&gt;"",EDATE($D44,Milestones!$AA$177)&gt;=$T44),$W44,IF(AND($S44&lt;&gt;"",EDATE($D44,Milestones!$AA$177)&gt;=$S44),$V44,$U44)))=Milestones!$AB$177),UPPER(TEXT(EDATE($D44,Milestones!$AA$177),"dd mmm yy"))&amp;" "&amp;Milestones!$AB$177&amp;" "&amp;Milestones!$AC$177&amp;";  ","")&amp;IF(AND(EDATE($D44,Milestones!$AA$178)&lt;=AsOfDate,IF($R44=0,$X44,IF(AND($T44&lt;&gt;"",EDATE($D44,Milestones!$AA$178)&gt;=$T44),$W44,IF(AND($S44&lt;&gt;"",EDATE($D44,Milestones!$AA$178)&gt;=$S44),$V44,$U44)))=Milestones!$AB$178),UPPER(TEXT(EDATE($D44,Milestones!$AA$178),"dd mmm yy"))&amp;" "&amp;Milestones!$AB$178&amp;" "&amp;Milestones!$AC$178&amp;";  ","")&amp;IF(AND(EDATE($D44,Milestones!$AA$179)&lt;=AsOfDate,IF($R44=0,$X44,IF(AND($T44&lt;&gt;"",EDATE($D44,Milestones!$AA$179)&gt;=$T44),$W44,IF(AND($S44&lt;&gt;"",EDATE($D44,Milestones!$AA$179)&gt;=$S44),$V44,$U44)))=Milestones!$AB$179),UPPER(TEXT(EDATE($D44,Milestones!$AA$179),"dd mmm yy"))&amp;" "&amp;Milestones!$AB$179&amp;" "&amp;Milestones!$AC$179&amp;";  ",""))</f>
        <v/>
      </c>
      <c r="Q44" s="0" t="str">
        <f aca="false">IF(OR($A44="",$D44=""),"",IF(AND(EDATE($D44,Milestones!$AA$180)&lt;=AsOfDate,IF($R44=0,$X44,IF(AND($T44&lt;&gt;"",EDATE($D44,Milestones!$AA$180)&gt;=$T44),$W44,IF(AND($S44&lt;&gt;"",EDATE($D44,Milestones!$AA$180)&gt;=$S44),$V44,$U44)))=Milestones!$AB$180),UPPER(TEXT(EDATE($D44,Milestones!$AA$180),"dd mmm yy"))&amp;" "&amp;Milestones!$AB$180&amp;" "&amp;Milestones!$AC$180&amp;";  ","")&amp;IF(AND(EDATE($D44,Milestones!$AA$181)&lt;=AsOfDate,IF($R44=0,$X44,IF(AND($T44&lt;&gt;"",EDATE($D44,Milestones!$AA$181)&gt;=$T44),$W44,IF(AND($S44&lt;&gt;"",EDATE($D44,Milestones!$AA$181)&gt;=$S44),$V44,$U44)))=Milestones!$AB$181),UPPER(TEXT(EDATE($D44,Milestones!$AA$181),"dd mmm yy"))&amp;" "&amp;Milestones!$AB$181&amp;" "&amp;Milestones!$AC$181&amp;";  ","")&amp;IF(AND(EDATE($D44,Milestones!$AA$182)&lt;=AsOfDate,IF($R44=0,$X44,IF(AND($T44&lt;&gt;"",EDATE($D44,Milestones!$AA$182)&gt;=$T44),$W44,IF(AND($S44&lt;&gt;"",EDATE($D44,Milestones!$AA$182)&gt;=$S44),$V44,$U44)))=Milestones!$AB$182),UPPER(TEXT(EDATE($D44,Milestones!$AA$182),"dd mmm yy"))&amp;" "&amp;Milestones!$AB$182&amp;" "&amp;Milestones!$AC$182&amp;";  ","")&amp;IF(AND(EDATE($D44,Milestones!$AA$183)&lt;=AsOfDate,IF($R44=0,$X44,IF(AND($T44&lt;&gt;"",EDATE($D44,Milestones!$AA$183)&gt;=$T44),$W44,IF(AND($S44&lt;&gt;"",EDATE($D44,Milestones!$AA$183)&gt;=$S44),$V44,$U44)))=Milestones!$AB$183),UPPER(TEXT(EDATE($D44,Milestones!$AA$183),"dd mmm yy"))&amp;" "&amp;Milestones!$AB$183&amp;" "&amp;Milestones!$AC$183&amp;";  ","")&amp;IF(AND(EDATE($D44,Milestones!$AA$184)&lt;=AsOfDate,IF($R44=0,$X44,IF(AND($T44&lt;&gt;"",EDATE($D44,Milestones!$AA$184)&gt;=$T44),$W44,IF(AND($S44&lt;&gt;"",EDATE($D44,Milestones!$AA$184)&gt;=$S44),$V44,$U44)))=Milestones!$AB$184),UPPER(TEXT(EDATE($D44,Milestones!$AA$184),"dd mmm yy"))&amp;" "&amp;Milestones!$AB$184&amp;" "&amp;Milestones!$AC$184&amp;";  ","")&amp;IF(AND(EDATE($D44,Milestones!$AA$185)&lt;=AsOfDate,IF($R44=0,$X44,IF(AND($T44&lt;&gt;"",EDATE($D44,Milestones!$AA$185)&gt;=$T44),$W44,IF(AND($S44&lt;&gt;"",EDATE($D44,Milestones!$AA$185)&gt;=$S44),$V44,$U44)))=Milestones!$AB$185),UPPER(TEXT(EDATE($D44,Milestones!$AA$185),"dd mmm yy"))&amp;" "&amp;Milestones!$AB$185&amp;" "&amp;Milestones!$AC$185&amp;";  ","")&amp;IF(AND(EDATE($D44,Milestones!$AA$186)&lt;=AsOfDate,IF($R44=0,$X44,IF(AND($T44&lt;&gt;"",EDATE($D44,Milestones!$AA$186)&gt;=$T44),$W44,IF(AND($S44&lt;&gt;"",EDATE($D44,Milestones!$AA$186)&gt;=$S44),$V44,$U44)))=Milestones!$AB$186),UPPER(TEXT(EDATE($D44,Milestones!$AA$186),"dd mmm yy"))&amp;" "&amp;Milestones!$AB$186&amp;" "&amp;Milestones!$AC$186&amp;";  ","")&amp;IF(AND(EDATE($D44,Milestones!$AA$187)&lt;=AsOfDate,IF($R44=0,$X44,IF(AND($T44&lt;&gt;"",EDATE($D44,Milestones!$AA$187)&gt;=$T44),$W44,IF(AND($S44&lt;&gt;"",EDATE($D44,Milestones!$AA$187)&gt;=$S44),$V44,$U44)))=Milestones!$AB$187),UPPER(TEXT(EDATE($D44,Milestones!$AA$187),"dd mmm yy"))&amp;" "&amp;Milestones!$AB$187&amp;" "&amp;Milestones!$AC$187&amp;";  ","")&amp;IF(AND(EDATE($D44,Milestones!$AA$188)&lt;=AsOfDate,IF($R44=0,$X44,IF(AND($T44&lt;&gt;"",EDATE($D44,Milestones!$AA$188)&gt;=$T44),$W44,IF(AND($S44&lt;&gt;"",EDATE($D44,Milestones!$AA$188)&gt;=$S44),$V44,$U44)))=Milestones!$AB$188),UPPER(TEXT(EDATE($D44,Milestones!$AA$188),"dd mmm yy"))&amp;" "&amp;Milestones!$AB$188&amp;" "&amp;Milestones!$AC$188&amp;";  ","")&amp;IF(AND(EDATE($D44,Milestones!$AA$189)&lt;=AsOfDate,IF($R44=0,$X44,IF(AND($T44&lt;&gt;"",EDATE($D44,Milestones!$AA$189)&gt;=$T44),$W44,IF(AND($S44&lt;&gt;"",EDATE($D44,Milestones!$AA$189)&gt;=$S44),$V44,$U44)))=Milestones!$AB$189),UPPER(TEXT(EDATE($D44,Milestones!$AA$189),"dd mmm yy"))&amp;" "&amp;Milestones!$AB$189&amp;" "&amp;Milestones!$AC$189&amp;";  ","")&amp;IF(AND(EDATE($D44,Milestones!$AA$190)&lt;=AsOfDate,IF($R44=0,$X44,IF(AND($T44&lt;&gt;"",EDATE($D44,Milestones!$AA$190)&gt;=$T44),$W44,IF(AND($S44&lt;&gt;"",EDATE($D44,Milestones!$AA$190)&gt;=$S44),$V44,$U44)))=Milestones!$AB$190),UPPER(TEXT(EDATE($D44,Milestones!$AA$190),"dd mmm yy"))&amp;" "&amp;Milestones!$AB$190&amp;" "&amp;Milestones!$AC$190&amp;";  ","")&amp;IF(AND(EDATE($D44,Milestones!$AA$191)&lt;=AsOfDate,IF($R44=0,$X44,IF(AND($T44&lt;&gt;"",EDATE($D44,Milestones!$AA$191)&gt;=$T44),$W44,IF(AND($S44&lt;&gt;"",EDATE($D44,Milestones!$AA$191)&gt;=$S44),$V44,$U44)))=Milestones!$AB$191),UPPER(TEXT(EDATE($D44,Milestones!$AA$191),"dd mmm yy"))&amp;" "&amp;Milestones!$AB$191&amp;" "&amp;Milestones!$AC$191&amp;";  ","")&amp;IF(AND(EDATE($D44,Milestones!$AA$192)&lt;=AsOfDate,IF($R44=0,$X44,IF(AND($T44&lt;&gt;"",EDATE($D44,Milestones!$AA$192)&gt;=$T44),$W44,IF(AND($S44&lt;&gt;"",EDATE($D44,Milestones!$AA$192)&gt;=$S44),$V44,$U44)))=Milestones!$AB$192),UPPER(TEXT(EDATE($D44,Milestones!$AA$192),"dd mmm yy"))&amp;" "&amp;Milestones!$AB$192&amp;" "&amp;Milestones!$AC$192&amp;";  ","")&amp;IF(AND(EDATE($D44,Milestones!$AA$193)&lt;=AsOfDate,IF($R44=0,$X44,IF(AND($T44&lt;&gt;"",EDATE($D44,Milestones!$AA$193)&gt;=$T44),$W44,IF(AND($S44&lt;&gt;"",EDATE($D44,Milestones!$AA$193)&gt;=$S44),$V44,$U44)))=Milestones!$AB$193),UPPER(TEXT(EDATE($D44,Milestones!$AA$193),"dd mmm yy"))&amp;" "&amp;Milestones!$AB$193&amp;" "&amp;Milestones!$AC$193&amp;";  ","")&amp;IF(AND(EDATE($D44,Milestones!$AA$194)&lt;=AsOfDate,IF($R44=0,$X44,IF(AND($T44&lt;&gt;"",EDATE($D44,Milestones!$AA$194)&gt;=$T44),$W44,IF(AND($S44&lt;&gt;"",EDATE($D44,Milestones!$AA$194)&gt;=$S44),$V44,$U44)))=Milestones!$AB$194),UPPER(TEXT(EDATE($D44,Milestones!$AA$194),"dd mmm yy"))&amp;" "&amp;Milestones!$AB$194&amp;" "&amp;Milestones!$AC$194&amp;";  ","")&amp;IF(AND(EDATE($D44,Milestones!$AA$195)&lt;=AsOfDate,IF($R44=0,$X44,IF(AND($T44&lt;&gt;"",EDATE($D44,Milestones!$AA$195)&gt;=$T44),$W44,IF(AND($S44&lt;&gt;"",EDATE($D44,Milestones!$AA$195)&gt;=$S44),$V44,$U44)))=Milestones!$AB$195),UPPER(TEXT(EDATE($D44,Milestones!$AA$195),"dd mmm yy"))&amp;" "&amp;Milestones!$AB$195&amp;" "&amp;Milestones!$AC$195&amp;";  ","")&amp;IF(AND(EDATE($D44,Milestones!$AA$196)&lt;=AsOfDate,IF($R44=0,$X44,IF(AND($T44&lt;&gt;"",EDATE($D44,Milestones!$AA$196)&gt;=$T44),$W44,IF(AND($S44&lt;&gt;"",EDATE($D44,Milestones!$AA$196)&gt;=$S44),$V44,$U44)))=Milestones!$AB$196),UPPER(TEXT(EDATE($D44,Milestones!$AA$196),"dd mmm yy"))&amp;" "&amp;Milestones!$AB$196&amp;" "&amp;Milestones!$AC$196&amp;";  ","")&amp;IF(AND(EDATE($D44,Milestones!$AA$197)&lt;=AsOfDate,IF($R44=0,$X44,IF(AND($T44&lt;&gt;"",EDATE($D44,Milestones!$AA$197)&gt;=$T44),$W44,IF(AND($S44&lt;&gt;"",EDATE($D44,Milestones!$AA$197)&gt;=$S44),$V44,$U44)))=Milestones!$AB$197),UPPER(TEXT(EDATE($D44,Milestones!$AA$197),"dd mmm yy"))&amp;" "&amp;Milestones!$AB$197&amp;" "&amp;Milestones!$AC$197&amp;";  ","")&amp;IF(AND(EDATE($D44,Milestones!$AA$198)&lt;=AsOfDate,IF($R44=0,$X44,IF(AND($T44&lt;&gt;"",EDATE($D44,Milestones!$AA$198)&gt;=$T44),$W44,IF(AND($S44&lt;&gt;"",EDATE($D44,Milestones!$AA$198)&gt;=$S44),$V44,$U44)))=Milestones!$AB$198),UPPER(TEXT(EDATE($D44,Milestones!$AA$198),"dd mmm yy"))&amp;" "&amp;Milestones!$AB$198&amp;" "&amp;Milestones!$AC$198&amp;";  ","")&amp;IF(AND(EDATE($D44,Milestones!$AA$199)&lt;=AsOfDate,IF($R44=0,$X44,IF(AND($T44&lt;&gt;"",EDATE($D44,Milestones!$AA$199)&gt;=$T44),$W44,IF(AND($S44&lt;&gt;"",EDATE($D44,Milestones!$AA$199)&gt;=$S44),$V44,$U44)))=Milestones!$AB$199),UPPER(TEXT(EDATE($D44,Milestones!$AA$199),"dd mmm yy"))&amp;" "&amp;Milestones!$AB$199&amp;" "&amp;Milestones!$AC$199&amp;";  ",""))</f>
        <v/>
      </c>
      <c r="R44" s="33" t="n">
        <f aca="false">IF(Staff!$A44="","",Staff!$AI44)</f>
        <v>0</v>
      </c>
      <c r="S44" s="0" t="str">
        <f aca="false">IF(Staff!$A44="","",Staff!$AK44)</f>
        <v/>
      </c>
      <c r="T44" s="0" t="str">
        <f aca="false">IF(Staff!$A44="","",Staff!$AL44)</f>
        <v/>
      </c>
      <c r="U44" s="0" t="str">
        <f aca="false">IF(Staff!$A44="","",Staff!$AP44)</f>
        <v>None</v>
      </c>
      <c r="V44" s="0" t="str">
        <f aca="false">IF(Staff!$A44="","",Staff!$AQ44)</f>
        <v/>
      </c>
      <c r="W44" s="0" t="str">
        <f aca="false">IF(Staff!$A44="","",Staff!$AR44)</f>
        <v/>
      </c>
      <c r="X44" s="0" t="str">
        <f aca="false">IF(Staff!$A44="","",Staff!$AS44)</f>
        <v>None</v>
      </c>
    </row>
    <row r="45" customFormat="false" ht="35.05" hidden="false" customHeight="false" outlineLevel="0" collapsed="false">
      <c r="A45" s="19" t="str">
        <f aca="false">IF(Staff!$A45="","",Staff!$A45)</f>
        <v>Jordan</v>
      </c>
      <c r="B45" s="19" t="str">
        <f aca="false">IF(Staff!$A45="","",Staff!$B45)</f>
        <v>SEXTY</v>
      </c>
      <c r="C45" s="19" t="str">
        <f aca="false">IF(Staff!$A45="","",Staff!$C45)</f>
        <v>Full-Time</v>
      </c>
      <c r="D45" s="17" t="n">
        <f aca="false">IF(Staff!$A45="","",Staff!$AH45)</f>
        <v>42481</v>
      </c>
      <c r="E45" s="20" t="n">
        <f aca="false">IF(Staff!$A45="","",Staff!$O45)</f>
        <v>34</v>
      </c>
      <c r="F45" s="19" t="n">
        <f aca="false">IF(E45="","",E45*HoursPerDay)</f>
        <v>272</v>
      </c>
      <c r="G45" s="20" t="n">
        <f aca="false">IF(Staff!$A45="","",Staff!$AE45)</f>
        <v>0</v>
      </c>
      <c r="H45" s="32" t="str">
        <f aca="false">IF($A45="","",I45&amp;J45&amp;K45&amp;L45&amp;M45&amp;N45&amp;O45&amp;P45&amp;Q45)</f>
        <v>21 APR 19 FT 1;  21 AUG 19 FT 1;  21 DEC 19 FT 1;  21 APR 20 FT 1;  21 AUG 20 FT 1;  21 DEC 20 FT 1;  21 APR 21 FT 2;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IF($R45=0,$X45,IF(AND($T45&lt;&gt;"",EDATE($D45,Milestones!$AA$20)&gt;=$T45),$W45,IF(AND($S45&lt;&gt;"",EDATE($D45,Milestones!$AA$20)&gt;=$S45),$V45,$U45)))=Milestones!$AB$20),UPPER(TEXT(EDATE($D45,Milestones!$AA$20),"dd mmm yy"))&amp;" "&amp;Milestones!$AB$20&amp;" "&amp;Milestones!$AC$20&amp;";  ","")&amp;IF(AND(EDATE($D45,Milestones!$AA$21)&lt;=AsOfDate,IF($R45=0,$X45,IF(AND($T45&lt;&gt;"",EDATE($D45,Milestones!$AA$21)&gt;=$T45),$W45,IF(AND($S45&lt;&gt;"",EDATE($D45,Milestones!$AA$21)&gt;=$S45),$V45,$U45)))=Milestones!$AB$21),UPPER(TEXT(EDATE($D45,Milestones!$AA$21),"dd mmm yy"))&amp;" "&amp;Milestones!$AB$21&amp;" "&amp;Milestones!$AC$21&amp;";  ","")&amp;IF(AND(EDATE($D45,Milestones!$AA$22)&lt;=AsOfDate,IF($R45=0,$X45,IF(AND($T45&lt;&gt;"",EDATE($D45,Milestones!$AA$22)&gt;=$T45),$W45,IF(AND($S45&lt;&gt;"",EDATE($D45,Milestones!$AA$22)&gt;=$S45),$V45,$U45)))=Milestones!$AB$22),UPPER(TEXT(EDATE($D45,Milestones!$AA$22),"dd mmm yy"))&amp;" "&amp;Milestones!$AB$22&amp;" "&amp;Milestones!$AC$22&amp;";  ","")&amp;IF(AND(EDATE($D45,Milestones!$AA$23)&lt;=AsOfDate,IF($R45=0,$X45,IF(AND($T45&lt;&gt;"",EDATE($D45,Milestones!$AA$23)&gt;=$T45),$W45,IF(AND($S45&lt;&gt;"",EDATE($D45,Milestones!$AA$23)&gt;=$S45),$V45,$U45)))=Milestones!$AB$23),UPPER(TEXT(EDATE($D45,Milestones!$AA$23),"dd mmm yy"))&amp;" "&amp;Milestones!$AB$23&amp;" "&amp;Milestones!$AC$23&amp;";  ","")&amp;IF(AND(EDATE($D45,Milestones!$AA$24)&lt;=AsOfDate,IF($R45=0,$X45,IF(AND($T45&lt;&gt;"",EDATE($D45,Milestones!$AA$24)&gt;=$T45),$W45,IF(AND($S45&lt;&gt;"",EDATE($D45,Milestones!$AA$24)&gt;=$S45),$V45,$U45)))=Milestones!$AB$24),UPPER(TEXT(EDATE($D45,Milestones!$AA$24),"dd mmm yy"))&amp;" "&amp;Milestones!$AB$24&amp;" "&amp;Milestones!$AC$24&amp;";  ","")&amp;IF(AND(EDATE($D45,Milestones!$AA$25)&lt;=AsOfDate,IF($R45=0,$X45,IF(AND($T45&lt;&gt;"",EDATE($D45,Milestones!$AA$25)&gt;=$T45),$W45,IF(AND($S45&lt;&gt;"",EDATE($D45,Milestones!$AA$25)&gt;=$S45),$V45,$U45)))=Milestones!$AB$25),UPPER(TEXT(EDATE($D45,Milestones!$AA$25),"dd mmm yy"))&amp;" "&amp;Milestones!$AB$25&amp;" "&amp;Milestones!$AC$25&amp;";  ","")&amp;IF(AND(EDATE($D45,Milestones!$AA$26)&lt;=AsOfDate,IF($R45=0,$X45,IF(AND($T45&lt;&gt;"",EDATE($D45,Milestones!$AA$26)&gt;=$T45),$W45,IF(AND($S45&lt;&gt;"",EDATE($D45,Milestones!$AA$26)&gt;=$S45),$V45,$U45)))=Milestones!$AB$26),UPPER(TEXT(EDATE($D45,Milestones!$AA$26),"dd mmm yy"))&amp;" "&amp;Milestones!$AB$26&amp;" "&amp;Milestones!$AC$26&amp;";  ","")&amp;IF(AND(EDATE($D45,Milestones!$AA$27)&lt;=AsOfDate,IF($R45=0,$X45,IF(AND($T45&lt;&gt;"",EDATE($D45,Milestones!$AA$27)&gt;=$T45),$W45,IF(AND($S45&lt;&gt;"",EDATE($D45,Milestones!$AA$27)&gt;=$S45),$V45,$U45)))=Milestones!$AB$27),UPPER(TEXT(EDATE($D45,Milestones!$AA$27),"dd mmm yy"))&amp;" "&amp;Milestones!$AB$27&amp;" "&amp;Milestones!$AC$27&amp;";  ","")&amp;IF(AND(EDATE($D45,Milestones!$AA$28)&lt;=AsOfDate,IF($R45=0,$X45,IF(AND($T45&lt;&gt;"",EDATE($D45,Milestones!$AA$28)&gt;=$T45),$W45,IF(AND($S45&lt;&gt;"",EDATE($D45,Milestones!$AA$28)&gt;=$S45),$V45,$U45)))=Milestones!$AB$28),UPPER(TEXT(EDATE($D45,Milestones!$AA$28),"dd mmm yy"))&amp;" "&amp;Milestones!$AB$28&amp;" "&amp;Milestones!$AC$28&amp;";  ","")&amp;IF(AND(EDATE($D45,Milestones!$AA$29)&lt;=AsOfDate,IF($R45=0,$X45,IF(AND($T45&lt;&gt;"",EDATE($D45,Milestones!$AA$29)&gt;=$T45),$W45,IF(AND($S45&lt;&gt;"",EDATE($D45,Milestones!$AA$29)&gt;=$S45),$V45,$U45)))=Milestones!$AB$29),UPPER(TEXT(EDATE($D45,Milestones!$AA$29),"dd mmm yy"))&amp;" "&amp;Milestones!$AB$29&amp;" "&amp;Milestones!$AC$29&amp;";  ","")&amp;IF(AND(EDATE($D45,Milestones!$AA$30)&lt;=AsOfDate,IF($R45=0,$X45,IF(AND($T45&lt;&gt;"",EDATE($D45,Milestones!$AA$30)&gt;=$T45),$W45,IF(AND($S45&lt;&gt;"",EDATE($D45,Milestones!$AA$30)&gt;=$S45),$V45,$U45)))=Milestones!$AB$30),UPPER(TEXT(EDATE($D45,Milestones!$AA$30),"dd mmm yy"))&amp;" "&amp;Milestones!$AB$30&amp;" "&amp;Milestones!$AC$30&amp;";  ","")&amp;IF(AND(EDATE($D45,Milestones!$AA$31)&lt;=AsOfDate,IF($R45=0,$X45,IF(AND($T45&lt;&gt;"",EDATE($D45,Milestones!$AA$31)&gt;=$T45),$W45,IF(AND($S45&lt;&gt;"",EDATE($D45,Milestones!$AA$31)&gt;=$S45),$V45,$U45)))=Milestones!$AB$31),UPPER(TEXT(EDATE($D45,Milestones!$AA$31),"dd mmm yy"))&amp;" "&amp;Milestones!$AB$31&amp;" "&amp;Milestones!$AC$31&amp;";  ","")&amp;IF(AND(EDATE($D45,Milestones!$AA$32)&lt;=AsOfDate,IF($R45=0,$X45,IF(AND($T45&lt;&gt;"",EDATE($D45,Milestones!$AA$32)&gt;=$T45),$W45,IF(AND($S45&lt;&gt;"",EDATE($D45,Milestones!$AA$32)&gt;=$S45),$V45,$U45)))=Milestones!$AB$32),UPPER(TEXT(EDATE($D45,Milestones!$AA$32),"dd mmm yy"))&amp;" "&amp;Milestones!$AB$32&amp;" "&amp;Milestones!$AC$32&amp;";  ","")&amp;IF(AND(EDATE($D45,Milestones!$AA$33)&lt;=AsOfDate,IF($R45=0,$X45,IF(AND($T45&lt;&gt;"",EDATE($D45,Milestones!$AA$33)&gt;=$T45),$W45,IF(AND($S45&lt;&gt;"",EDATE($D45,Milestones!$AA$33)&gt;=$S45),$V45,$U45)))=Milestones!$AB$33),UPPER(TEXT(EDATE($D45,Milestones!$AA$33),"dd mmm yy"))&amp;" "&amp;Milestones!$AB$33&amp;" "&amp;Milestones!$AC$33&amp;";  ","")&amp;IF(AND(EDATE($D45,Milestones!$AA$34)&lt;=AsOfDate,IF($R45=0,$X45,IF(AND($T45&lt;&gt;"",EDATE($D45,Milestones!$AA$34)&gt;=$T45),$W45,IF(AND($S45&lt;&gt;"",EDATE($D45,Milestones!$AA$34)&gt;=$S45),$V45,$U45)))=Milestones!$AB$34),UPPER(TEXT(EDATE($D45,Milestones!$AA$34),"dd mmm yy"))&amp;" "&amp;Milestones!$AB$34&amp;" "&amp;Milestones!$AC$34&amp;";  ","")&amp;IF(AND(EDATE($D45,Milestones!$AA$35)&lt;=AsOfDate,IF($R45=0,$X45,IF(AND($T45&lt;&gt;"",EDATE($D45,Milestones!$AA$35)&gt;=$T45),$W45,IF(AND($S45&lt;&gt;"",EDATE($D45,Milestones!$AA$35)&gt;=$S45),$V45,$U45)))=Milestones!$AB$35),UPPER(TEXT(EDATE($D45,Milestones!$AA$35),"dd mmm yy"))&amp;" "&amp;Milestones!$AB$35&amp;" "&amp;Milestones!$AC$35&amp;";  ","")&amp;IF(AND(EDATE($D45,Milestones!$AA$36)&lt;=AsOfDate,IF($R45=0,$X45,IF(AND($T45&lt;&gt;"",EDATE($D45,Milestones!$AA$36)&gt;=$T45),$W45,IF(AND($S45&lt;&gt;"",EDATE($D45,Milestones!$AA$36)&gt;=$S45),$V45,$U45)))=Milestones!$AB$36),UPPER(TEXT(EDATE($D45,Milestones!$AA$36),"dd mmm yy"))&amp;" "&amp;Milestones!$AB$36&amp;" "&amp;Milestones!$AC$36&amp;";  ","")&amp;IF(AND(EDATE($D45,Milestones!$AA$37)&lt;=AsOfDate,IF($R45=0,$X45,IF(AND($T45&lt;&gt;"",EDATE($D45,Milestones!$AA$37)&gt;=$T45),$W45,IF(AND($S45&lt;&gt;"",EDATE($D45,Milestones!$AA$37)&gt;=$S45),$V45,$U45)))=Milestones!$AB$37),UPPER(TEXT(EDATE($D45,Milestones!$AA$37),"dd mmm yy"))&amp;" "&amp;Milestones!$AB$37&amp;" "&amp;Milestones!$AC$37&amp;";  ","")&amp;IF(AND(EDATE($D45,Milestones!$AA$38)&lt;=AsOfDate,IF($R45=0,$X45,IF(AND($T45&lt;&gt;"",EDATE($D45,Milestones!$AA$38)&gt;=$T45),$W45,IF(AND($S45&lt;&gt;"",EDATE($D45,Milestones!$AA$38)&gt;=$S45),$V45,$U45)))=Milestones!$AB$38),UPPER(TEXT(EDATE($D45,Milestones!$AA$38),"dd mmm yy"))&amp;" "&amp;Milestones!$AB$38&amp;" "&amp;Milestones!$AC$38&amp;";  ","")&amp;IF(AND(EDATE($D45,Milestones!$AA$39)&lt;=AsOfDate,IF($R45=0,$X45,IF(AND($T45&lt;&gt;"",EDATE($D45,Milestones!$AA$39)&gt;=$T45),$W45,IF(AND($S45&lt;&gt;"",EDATE($D45,Milestones!$AA$39)&gt;=$S45),$V45,$U45)))=Milestones!$AB$39),UPPER(TEXT(EDATE($D45,Milestones!$AA$39),"dd mmm yy"))&amp;" "&amp;Milestones!$AB$39&amp;" "&amp;Milestones!$AC$39&amp;";  ",""))</f>
        <v>21 APR 19 FT 1;  21 AUG 19 FT 1;  21 DEC 19 FT 1;  21 APR 20 FT 1;  21 AUG 20 FT 1;  21 DEC 20 FT 1;  21 APR 21 FT 2;  21 JUL 21 FT 1;  21 OCT 21 FT 1;  21 JAN 22 FT 1;  21 APR 22 FT 2;  21 JUL 22 FT 1;  21 OCT 22 FT 1;  21 JAN 23 FT 1;  </v>
      </c>
      <c r="J45" s="0" t="str">
        <f aca="false">IF(OR($A45="",$D45=""),"",IF(AND(EDATE($D45,Milestones!$AA$40)&lt;=AsOfDate,IF($R45=0,$X45,IF(AND($T45&lt;&gt;"",EDATE($D45,Milestones!$AA$40)&gt;=$T45),$W45,IF(AND($S45&lt;&gt;"",EDATE($D45,Milestones!$AA$40)&gt;=$S45),$V45,$U45)))=Milestones!$AB$40),UPPER(TEXT(EDATE($D45,Milestones!$AA$40),"dd mmm yy"))&amp;" "&amp;Milestones!$AB$40&amp;" "&amp;Milestones!$AC$40&amp;";  ","")&amp;IF(AND(EDATE($D45,Milestones!$AA$41)&lt;=AsOfDate,IF($R45=0,$X45,IF(AND($T45&lt;&gt;"",EDATE($D45,Milestones!$AA$41)&gt;=$T45),$W45,IF(AND($S45&lt;&gt;"",EDATE($D45,Milestones!$AA$41)&gt;=$S45),$V45,$U45)))=Milestones!$AB$41),UPPER(TEXT(EDATE($D45,Milestones!$AA$41),"dd mmm yy"))&amp;" "&amp;Milestones!$AB$41&amp;" "&amp;Milestones!$AC$41&amp;";  ","")&amp;IF(AND(EDATE($D45,Milestones!$AA$42)&lt;=AsOfDate,IF($R45=0,$X45,IF(AND($T45&lt;&gt;"",EDATE($D45,Milestones!$AA$42)&gt;=$T45),$W45,IF(AND($S45&lt;&gt;"",EDATE($D45,Milestones!$AA$42)&gt;=$S45),$V45,$U45)))=Milestones!$AB$42),UPPER(TEXT(EDATE($D45,Milestones!$AA$42),"dd mmm yy"))&amp;" "&amp;Milestones!$AB$42&amp;" "&amp;Milestones!$AC$42&amp;";  ","")&amp;IF(AND(EDATE($D45,Milestones!$AA$43)&lt;=AsOfDate,IF($R45=0,$X45,IF(AND($T45&lt;&gt;"",EDATE($D45,Milestones!$AA$43)&gt;=$T45),$W45,IF(AND($S45&lt;&gt;"",EDATE($D45,Milestones!$AA$43)&gt;=$S45),$V45,$U45)))=Milestones!$AB$43),UPPER(TEXT(EDATE($D45,Milestones!$AA$43),"dd mmm yy"))&amp;" "&amp;Milestones!$AB$43&amp;" "&amp;Milestones!$AC$43&amp;";  ","")&amp;IF(AND(EDATE($D45,Milestones!$AA$44)&lt;=AsOfDate,IF($R45=0,$X45,IF(AND($T45&lt;&gt;"",EDATE($D45,Milestones!$AA$44)&gt;=$T45),$W45,IF(AND($S45&lt;&gt;"",EDATE($D45,Milestones!$AA$44)&gt;=$S45),$V45,$U45)))=Milestones!$AB$44),UPPER(TEXT(EDATE($D45,Milestones!$AA$44),"dd mmm yy"))&amp;" "&amp;Milestones!$AB$44&amp;" "&amp;Milestones!$AC$44&amp;";  ","")&amp;IF(AND(EDATE($D45,Milestones!$AA$45)&lt;=AsOfDate,IF($R45=0,$X45,IF(AND($T45&lt;&gt;"",EDATE($D45,Milestones!$AA$45)&gt;=$T45),$W45,IF(AND($S45&lt;&gt;"",EDATE($D45,Milestones!$AA$45)&gt;=$S45),$V45,$U45)))=Milestones!$AB$45),UPPER(TEXT(EDATE($D45,Milestones!$AA$45),"dd mmm yy"))&amp;" "&amp;Milestones!$AB$45&amp;" "&amp;Milestones!$AC$45&amp;";  ","")&amp;IF(AND(EDATE($D45,Milestones!$AA$46)&lt;=AsOfDate,IF($R45=0,$X45,IF(AND($T45&lt;&gt;"",EDATE($D45,Milestones!$AA$46)&gt;=$T45),$W45,IF(AND($S45&lt;&gt;"",EDATE($D45,Milestones!$AA$46)&gt;=$S45),$V45,$U45)))=Milestones!$AB$46),UPPER(TEXT(EDATE($D45,Milestones!$AA$46),"dd mmm yy"))&amp;" "&amp;Milestones!$AB$46&amp;" "&amp;Milestones!$AC$46&amp;";  ","")&amp;IF(AND(EDATE($D45,Milestones!$AA$47)&lt;=AsOfDate,IF($R45=0,$X45,IF(AND($T45&lt;&gt;"",EDATE($D45,Milestones!$AA$47)&gt;=$T45),$W45,IF(AND($S45&lt;&gt;"",EDATE($D45,Milestones!$AA$47)&gt;=$S45),$V45,$U45)))=Milestones!$AB$47),UPPER(TEXT(EDATE($D45,Milestones!$AA$47),"dd mmm yy"))&amp;" "&amp;Milestones!$AB$47&amp;" "&amp;Milestones!$AC$47&amp;";  ","")&amp;IF(AND(EDATE($D45,Milestones!$AA$48)&lt;=AsOfDate,IF($R45=0,$X45,IF(AND($T45&lt;&gt;"",EDATE($D45,Milestones!$AA$48)&gt;=$T45),$W45,IF(AND($S45&lt;&gt;"",EDATE($D45,Milestones!$AA$48)&gt;=$S45),$V45,$U45)))=Milestones!$AB$48),UPPER(TEXT(EDATE($D45,Milestones!$AA$48),"dd mmm yy"))&amp;" "&amp;Milestones!$AB$48&amp;" "&amp;Milestones!$AC$48&amp;";  ","")&amp;IF(AND(EDATE($D45,Milestones!$AA$49)&lt;=AsOfDate,IF($R45=0,$X45,IF(AND($T45&lt;&gt;"",EDATE($D45,Milestones!$AA$49)&gt;=$T45),$W45,IF(AND($S45&lt;&gt;"",EDATE($D45,Milestones!$AA$49)&gt;=$S45),$V45,$U45)))=Milestones!$AB$49),UPPER(TEXT(EDATE($D45,Milestones!$AA$49),"dd mmm yy"))&amp;" "&amp;Milestones!$AB$49&amp;" "&amp;Milestones!$AC$49&amp;";  ","")&amp;IF(AND(EDATE($D45,Milestones!$AA$50)&lt;=AsOfDate,IF($R45=0,$X45,IF(AND($T45&lt;&gt;"",EDATE($D45,Milestones!$AA$50)&gt;=$T45),$W45,IF(AND($S45&lt;&gt;"",EDATE($D45,Milestones!$AA$50)&gt;=$S45),$V45,$U45)))=Milestones!$AB$50),UPPER(TEXT(EDATE($D45,Milestones!$AA$50),"dd mmm yy"))&amp;" "&amp;Milestones!$AB$50&amp;" "&amp;Milestones!$AC$50&amp;";  ","")&amp;IF(AND(EDATE($D45,Milestones!$AA$51)&lt;=AsOfDate,IF($R45=0,$X45,IF(AND($T45&lt;&gt;"",EDATE($D45,Milestones!$AA$51)&gt;=$T45),$W45,IF(AND($S45&lt;&gt;"",EDATE($D45,Milestones!$AA$51)&gt;=$S45),$V45,$U45)))=Milestones!$AB$51),UPPER(TEXT(EDATE($D45,Milestones!$AA$51),"dd mmm yy"))&amp;" "&amp;Milestones!$AB$51&amp;" "&amp;Milestones!$AC$51&amp;";  ","")&amp;IF(AND(EDATE($D45,Milestones!$AA$52)&lt;=AsOfDate,IF($R45=0,$X45,IF(AND($T45&lt;&gt;"",EDATE($D45,Milestones!$AA$52)&gt;=$T45),$W45,IF(AND($S45&lt;&gt;"",EDATE($D45,Milestones!$AA$52)&gt;=$S45),$V45,$U45)))=Milestones!$AB$52),UPPER(TEXT(EDATE($D45,Milestones!$AA$52),"dd mmm yy"))&amp;" "&amp;Milestones!$AB$52&amp;" "&amp;Milestones!$AC$52&amp;";  ","")&amp;IF(AND(EDATE($D45,Milestones!$AA$53)&lt;=AsOfDate,IF($R45=0,$X45,IF(AND($T45&lt;&gt;"",EDATE($D45,Milestones!$AA$53)&gt;=$T45),$W45,IF(AND($S45&lt;&gt;"",EDATE($D45,Milestones!$AA$53)&gt;=$S45),$V45,$U45)))=Milestones!$AB$53),UPPER(TEXT(EDATE($D45,Milestones!$AA$53),"dd mmm yy"))&amp;" "&amp;Milestones!$AB$53&amp;" "&amp;Milestones!$AC$53&amp;";  ","")&amp;IF(AND(EDATE($D45,Milestones!$AA$54)&lt;=AsOfDate,IF($R45=0,$X45,IF(AND($T45&lt;&gt;"",EDATE($D45,Milestones!$AA$54)&gt;=$T45),$W45,IF(AND($S45&lt;&gt;"",EDATE($D45,Milestones!$AA$54)&gt;=$S45),$V45,$U45)))=Milestones!$AB$54),UPPER(TEXT(EDATE($D45,Milestones!$AA$54),"dd mmm yy"))&amp;" "&amp;Milestones!$AB$54&amp;" "&amp;Milestones!$AC$54&amp;";  ","")&amp;IF(AND(EDATE($D45,Milestones!$AA$55)&lt;=AsOfDate,IF($R45=0,$X45,IF(AND($T45&lt;&gt;"",EDATE($D45,Milestones!$AA$55)&gt;=$T45),$W45,IF(AND($S45&lt;&gt;"",EDATE($D45,Milestones!$AA$55)&gt;=$S45),$V45,$U45)))=Milestones!$AB$55),UPPER(TEXT(EDATE($D45,Milestones!$AA$55),"dd mmm yy"))&amp;" "&amp;Milestones!$AB$55&amp;" "&amp;Milestones!$AC$55&amp;";  ","")&amp;IF(AND(EDATE($D45,Milestones!$AA$56)&lt;=AsOfDate,IF($R45=0,$X45,IF(AND($T45&lt;&gt;"",EDATE($D45,Milestones!$AA$56)&gt;=$T45),$W45,IF(AND($S45&lt;&gt;"",EDATE($D45,Milestones!$AA$56)&gt;=$S45),$V45,$U45)))=Milestones!$AB$56),UPPER(TEXT(EDATE($D45,Milestones!$AA$56),"dd mmm yy"))&amp;" "&amp;Milestones!$AB$56&amp;" "&amp;Milestones!$AC$56&amp;";  ","")&amp;IF(AND(EDATE($D45,Milestones!$AA$57)&lt;=AsOfDate,IF($R45=0,$X45,IF(AND($T45&lt;&gt;"",EDATE($D45,Milestones!$AA$57)&gt;=$T45),$W45,IF(AND($S45&lt;&gt;"",EDATE($D45,Milestones!$AA$57)&gt;=$S45),$V45,$U45)))=Milestones!$AB$57),UPPER(TEXT(EDATE($D45,Milestones!$AA$57),"dd mmm yy"))&amp;" "&amp;Milestones!$AB$57&amp;" "&amp;Milestones!$AC$57&amp;";  ","")&amp;IF(AND(EDATE($D45,Milestones!$AA$58)&lt;=AsOfDate,IF($R45=0,$X45,IF(AND($T45&lt;&gt;"",EDATE($D45,Milestones!$AA$58)&gt;=$T45),$W45,IF(AND($S45&lt;&gt;"",EDATE($D45,Milestones!$AA$58)&gt;=$S45),$V45,$U45)))=Milestones!$AB$58),UPPER(TEXT(EDATE($D45,Milestones!$AA$58),"dd mmm yy"))&amp;" "&amp;Milestones!$AB$58&amp;" "&amp;Milestones!$AC$58&amp;";  ","")&amp;IF(AND(EDATE($D45,Milestones!$AA$59)&lt;=AsOfDate,IF($R45=0,$X45,IF(AND($T45&lt;&gt;"",EDATE($D45,Milestones!$AA$59)&gt;=$T45),$W45,IF(AND($S45&lt;&gt;"",EDATE($D45,Milestones!$AA$59)&gt;=$S45),$V45,$U45)))=Milestones!$AB$59),UPPER(TEXT(EDATE($D45,Milestones!$AA$59),"dd mmm yy"))&amp;" "&amp;Milestones!$AB$59&amp;" "&amp;Milestones!$AC$59&amp;";  ",""))</f>
        <v>21 APR 23 FT 2;  21 JUL 23 FT 1;  21 OCT 23 FT 1;  21 JAN 24 FT 1;  21 APR 24 FT 2;  21 JUL 24 FT 1;  21 OCT 24 FT 1;  21 JAN 25 FT 1;  21 APR 25 FT 2;  21 JUL 25 FT 1;  21 OCT 25 FT 1;  </v>
      </c>
      <c r="K45" s="0" t="str">
        <f aca="false">IF(OR($A45="",$D45=""),"",IF(AND(EDATE($D45,Milestones!$AA$60)&lt;=AsOfDate,IF($R45=0,$X45,IF(AND($T45&lt;&gt;"",EDATE($D45,Milestones!$AA$60)&gt;=$T45),$W45,IF(AND($S45&lt;&gt;"",EDATE($D45,Milestones!$AA$60)&gt;=$S45),$V45,$U45)))=Milestones!$AB$60),UPPER(TEXT(EDATE($D45,Milestones!$AA$60),"dd mmm yy"))&amp;" "&amp;Milestones!$AB$60&amp;" "&amp;Milestones!$AC$60&amp;";  ","")&amp;IF(AND(EDATE($D45,Milestones!$AA$61)&lt;=AsOfDate,IF($R45=0,$X45,IF(AND($T45&lt;&gt;"",EDATE($D45,Milestones!$AA$61)&gt;=$T45),$W45,IF(AND($S45&lt;&gt;"",EDATE($D45,Milestones!$AA$61)&gt;=$S45),$V45,$U45)))=Milestones!$AB$61),UPPER(TEXT(EDATE($D45,Milestones!$AA$61),"dd mmm yy"))&amp;" "&amp;Milestones!$AB$61&amp;" "&amp;Milestones!$AC$61&amp;";  ","")&amp;IF(AND(EDATE($D45,Milestones!$AA$62)&lt;=AsOfDate,IF($R45=0,$X45,IF(AND($T45&lt;&gt;"",EDATE($D45,Milestones!$AA$62)&gt;=$T45),$W45,IF(AND($S45&lt;&gt;"",EDATE($D45,Milestones!$AA$62)&gt;=$S45),$V45,$U45)))=Milestones!$AB$62),UPPER(TEXT(EDATE($D45,Milestones!$AA$62),"dd mmm yy"))&amp;" "&amp;Milestones!$AB$62&amp;" "&amp;Milestones!$AC$62&amp;";  ","")&amp;IF(AND(EDATE($D45,Milestones!$AA$63)&lt;=AsOfDate,IF($R45=0,$X45,IF(AND($T45&lt;&gt;"",EDATE($D45,Milestones!$AA$63)&gt;=$T45),$W45,IF(AND($S45&lt;&gt;"",EDATE($D45,Milestones!$AA$63)&gt;=$S45),$V45,$U45)))=Milestones!$AB$63),UPPER(TEXT(EDATE($D45,Milestones!$AA$63),"dd mmm yy"))&amp;" "&amp;Milestones!$AB$63&amp;" "&amp;Milestones!$AC$63&amp;";  ","")&amp;IF(AND(EDATE($D45,Milestones!$AA$64)&lt;=AsOfDate,IF($R45=0,$X45,IF(AND($T45&lt;&gt;"",EDATE($D45,Milestones!$AA$64)&gt;=$T45),$W45,IF(AND($S45&lt;&gt;"",EDATE($D45,Milestones!$AA$64)&gt;=$S45),$V45,$U45)))=Milestones!$AB$64),UPPER(TEXT(EDATE($D45,Milestones!$AA$64),"dd mmm yy"))&amp;" "&amp;Milestones!$AB$64&amp;" "&amp;Milestones!$AC$64&amp;";  ","")&amp;IF(AND(EDATE($D45,Milestones!$AA$65)&lt;=AsOfDate,IF($R45=0,$X45,IF(AND($T45&lt;&gt;"",EDATE($D45,Milestones!$AA$65)&gt;=$T45),$W45,IF(AND($S45&lt;&gt;"",EDATE($D45,Milestones!$AA$65)&gt;=$S45),$V45,$U45)))=Milestones!$AB$65),UPPER(TEXT(EDATE($D45,Milestones!$AA$65),"dd mmm yy"))&amp;" "&amp;Milestones!$AB$65&amp;" "&amp;Milestones!$AC$65&amp;";  ","")&amp;IF(AND(EDATE($D45,Milestones!$AA$66)&lt;=AsOfDate,IF($R45=0,$X45,IF(AND($T45&lt;&gt;"",EDATE($D45,Milestones!$AA$66)&gt;=$T45),$W45,IF(AND($S45&lt;&gt;"",EDATE($D45,Milestones!$AA$66)&gt;=$S45),$V45,$U45)))=Milestones!$AB$66),UPPER(TEXT(EDATE($D45,Milestones!$AA$66),"dd mmm yy"))&amp;" "&amp;Milestones!$AB$66&amp;" "&amp;Milestones!$AC$66&amp;";  ","")&amp;IF(AND(EDATE($D45,Milestones!$AA$67)&lt;=AsOfDate,IF($R45=0,$X45,IF(AND($T45&lt;&gt;"",EDATE($D45,Milestones!$AA$67)&gt;=$T45),$W45,IF(AND($S45&lt;&gt;"",EDATE($D45,Milestones!$AA$67)&gt;=$S45),$V45,$U45)))=Milestones!$AB$67),UPPER(TEXT(EDATE($D45,Milestones!$AA$67),"dd mmm yy"))&amp;" "&amp;Milestones!$AB$67&amp;" "&amp;Milestones!$AC$67&amp;";  ","")&amp;IF(AND(EDATE($D45,Milestones!$AA$68)&lt;=AsOfDate,IF($R45=0,$X45,IF(AND($T45&lt;&gt;"",EDATE($D45,Milestones!$AA$68)&gt;=$T45),$W45,IF(AND($S45&lt;&gt;"",EDATE($D45,Milestones!$AA$68)&gt;=$S45),$V45,$U45)))=Milestones!$AB$68),UPPER(TEXT(EDATE($D45,Milestones!$AA$68),"dd mmm yy"))&amp;" "&amp;Milestones!$AB$68&amp;" "&amp;Milestones!$AC$68&amp;";  ","")&amp;IF(AND(EDATE($D45,Milestones!$AA$69)&lt;=AsOfDate,IF($R45=0,$X45,IF(AND($T45&lt;&gt;"",EDATE($D45,Milestones!$AA$69)&gt;=$T45),$W45,IF(AND($S45&lt;&gt;"",EDATE($D45,Milestones!$AA$69)&gt;=$S45),$V45,$U45)))=Milestones!$AB$69),UPPER(TEXT(EDATE($D45,Milestones!$AA$69),"dd mmm yy"))&amp;" "&amp;Milestones!$AB$69&amp;" "&amp;Milestones!$AC$69&amp;";  ","")&amp;IF(AND(EDATE($D45,Milestones!$AA$70)&lt;=AsOfDate,IF($R45=0,$X45,IF(AND($T45&lt;&gt;"",EDATE($D45,Milestones!$AA$70)&gt;=$T45),$W45,IF(AND($S45&lt;&gt;"",EDATE($D45,Milestones!$AA$70)&gt;=$S45),$V45,$U45)))=Milestones!$AB$70),UPPER(TEXT(EDATE($D45,Milestones!$AA$70),"dd mmm yy"))&amp;" "&amp;Milestones!$AB$70&amp;" "&amp;Milestones!$AC$70&amp;";  ","")&amp;IF(AND(EDATE($D45,Milestones!$AA$71)&lt;=AsOfDate,IF($R45=0,$X45,IF(AND($T45&lt;&gt;"",EDATE($D45,Milestones!$AA$71)&gt;=$T45),$W45,IF(AND($S45&lt;&gt;"",EDATE($D45,Milestones!$AA$71)&gt;=$S45),$V45,$U45)))=Milestones!$AB$71),UPPER(TEXT(EDATE($D45,Milestones!$AA$71),"dd mmm yy"))&amp;" "&amp;Milestones!$AB$71&amp;" "&amp;Milestones!$AC$71&amp;";  ","")&amp;IF(AND(EDATE($D45,Milestones!$AA$72)&lt;=AsOfDate,IF($R45=0,$X45,IF(AND($T45&lt;&gt;"",EDATE($D45,Milestones!$AA$72)&gt;=$T45),$W45,IF(AND($S45&lt;&gt;"",EDATE($D45,Milestones!$AA$72)&gt;=$S45),$V45,$U45)))=Milestones!$AB$72),UPPER(TEXT(EDATE($D45,Milestones!$AA$72),"dd mmm yy"))&amp;" "&amp;Milestones!$AB$72&amp;" "&amp;Milestones!$AC$72&amp;";  ","")&amp;IF(AND(EDATE($D45,Milestones!$AA$73)&lt;=AsOfDate,IF($R45=0,$X45,IF(AND($T45&lt;&gt;"",EDATE($D45,Milestones!$AA$73)&gt;=$T45),$W45,IF(AND($S45&lt;&gt;"",EDATE($D45,Milestones!$AA$73)&gt;=$S45),$V45,$U45)))=Milestones!$AB$73),UPPER(TEXT(EDATE($D45,Milestones!$AA$73),"dd mmm yy"))&amp;" "&amp;Milestones!$AB$73&amp;" "&amp;Milestones!$AC$73&amp;";  ","")&amp;IF(AND(EDATE($D45,Milestones!$AA$74)&lt;=AsOfDate,IF($R45=0,$X45,IF(AND($T45&lt;&gt;"",EDATE($D45,Milestones!$AA$74)&gt;=$T45),$W45,IF(AND($S45&lt;&gt;"",EDATE($D45,Milestones!$AA$74)&gt;=$S45),$V45,$U45)))=Milestones!$AB$74),UPPER(TEXT(EDATE($D45,Milestones!$AA$74),"dd mmm yy"))&amp;" "&amp;Milestones!$AB$74&amp;" "&amp;Milestones!$AC$74&amp;";  ","")&amp;IF(AND(EDATE($D45,Milestones!$AA$75)&lt;=AsOfDate,IF($R45=0,$X45,IF(AND($T45&lt;&gt;"",EDATE($D45,Milestones!$AA$75)&gt;=$T45),$W45,IF(AND($S45&lt;&gt;"",EDATE($D45,Milestones!$AA$75)&gt;=$S45),$V45,$U45)))=Milestones!$AB$75),UPPER(TEXT(EDATE($D45,Milestones!$AA$75),"dd mmm yy"))&amp;" "&amp;Milestones!$AB$75&amp;" "&amp;Milestones!$AC$75&amp;";  ","")&amp;IF(AND(EDATE($D45,Milestones!$AA$76)&lt;=AsOfDate,IF($R45=0,$X45,IF(AND($T45&lt;&gt;"",EDATE($D45,Milestones!$AA$76)&gt;=$T45),$W45,IF(AND($S45&lt;&gt;"",EDATE($D45,Milestones!$AA$76)&gt;=$S45),$V45,$U45)))=Milestones!$AB$76),UPPER(TEXT(EDATE($D45,Milestones!$AA$76),"dd mmm yy"))&amp;" "&amp;Milestones!$AB$76&amp;" "&amp;Milestones!$AC$76&amp;";  ","")&amp;IF(AND(EDATE($D45,Milestones!$AA$77)&lt;=AsOfDate,IF($R45=0,$X45,IF(AND($T45&lt;&gt;"",EDATE($D45,Milestones!$AA$77)&gt;=$T45),$W45,IF(AND($S45&lt;&gt;"",EDATE($D45,Milestones!$AA$77)&gt;=$S45),$V45,$U45)))=Milestones!$AB$77),UPPER(TEXT(EDATE($D45,Milestones!$AA$77),"dd mmm yy"))&amp;" "&amp;Milestones!$AB$77&amp;" "&amp;Milestones!$AC$77&amp;";  ","")&amp;IF(AND(EDATE($D45,Milestones!$AA$78)&lt;=AsOfDate,IF($R45=0,$X45,IF(AND($T45&lt;&gt;"",EDATE($D45,Milestones!$AA$78)&gt;=$T45),$W45,IF(AND($S45&lt;&gt;"",EDATE($D45,Milestones!$AA$78)&gt;=$S45),$V45,$U45)))=Milestones!$AB$78),UPPER(TEXT(EDATE($D45,Milestones!$AA$78),"dd mmm yy"))&amp;" "&amp;Milestones!$AB$78&amp;" "&amp;Milestones!$AC$78&amp;";  ","")&amp;IF(AND(EDATE($D45,Milestones!$AA$79)&lt;=AsOfDate,IF($R45=0,$X45,IF(AND($T45&lt;&gt;"",EDATE($D45,Milestones!$AA$79)&gt;=$T45),$W45,IF(AND($S45&lt;&gt;"",EDATE($D45,Milestones!$AA$79)&gt;=$S45),$V45,$U45)))=Milestones!$AB$79),UPPER(TEXT(EDATE($D45,Milestones!$AA$79),"dd mmm yy"))&amp;" "&amp;Milestones!$AB$79&amp;" "&amp;Milestones!$AC$79&amp;";  ",""))</f>
        <v>21 JAN 26 FT 1;  21 APR 26 FT 2;  21 JUL 26 FT 1;  </v>
      </c>
      <c r="L45" s="0" t="str">
        <f aca="false">IF(OR($A45="",$D45=""),"",IF(AND(EDATE($D45,Milestones!$AA$80)&lt;=AsOfDate,IF($R45=0,$X45,IF(AND($T45&lt;&gt;"",EDATE($D45,Milestones!$AA$80)&gt;=$T45),$W45,IF(AND($S45&lt;&gt;"",EDATE($D45,Milestones!$AA$80)&gt;=$S45),$V45,$U45)))=Milestones!$AB$80),UPPER(TEXT(EDATE($D45,Milestones!$AA$80),"dd mmm yy"))&amp;" "&amp;Milestones!$AB$80&amp;" "&amp;Milestones!$AC$80&amp;";  ","")&amp;IF(AND(EDATE($D45,Milestones!$AA$81)&lt;=AsOfDate,IF($R45=0,$X45,IF(AND($T45&lt;&gt;"",EDATE($D45,Milestones!$AA$81)&gt;=$T45),$W45,IF(AND($S45&lt;&gt;"",EDATE($D45,Milestones!$AA$81)&gt;=$S45),$V45,$U45)))=Milestones!$AB$81),UPPER(TEXT(EDATE($D45,Milestones!$AA$81),"dd mmm yy"))&amp;" "&amp;Milestones!$AB$81&amp;" "&amp;Milestones!$AC$81&amp;";  ","")&amp;IF(AND(EDATE($D45,Milestones!$AA$82)&lt;=AsOfDate,IF($R45=0,$X45,IF(AND($T45&lt;&gt;"",EDATE($D45,Milestones!$AA$82)&gt;=$T45),$W45,IF(AND($S45&lt;&gt;"",EDATE($D45,Milestones!$AA$82)&gt;=$S45),$V45,$U45)))=Milestones!$AB$82),UPPER(TEXT(EDATE($D45,Milestones!$AA$82),"dd mmm yy"))&amp;" "&amp;Milestones!$AB$82&amp;" "&amp;Milestones!$AC$82&amp;";  ","")&amp;IF(AND(EDATE($D45,Milestones!$AA$83)&lt;=AsOfDate,IF($R45=0,$X45,IF(AND($T45&lt;&gt;"",EDATE($D45,Milestones!$AA$83)&gt;=$T45),$W45,IF(AND($S45&lt;&gt;"",EDATE($D45,Milestones!$AA$83)&gt;=$S45),$V45,$U45)))=Milestones!$AB$83),UPPER(TEXT(EDATE($D45,Milestones!$AA$83),"dd mmm yy"))&amp;" "&amp;Milestones!$AB$83&amp;" "&amp;Milestones!$AC$83&amp;";  ","")&amp;IF(AND(EDATE($D45,Milestones!$AA$84)&lt;=AsOfDate,IF($R45=0,$X45,IF(AND($T45&lt;&gt;"",EDATE($D45,Milestones!$AA$84)&gt;=$T45),$W45,IF(AND($S45&lt;&gt;"",EDATE($D45,Milestones!$AA$84)&gt;=$S45),$V45,$U45)))=Milestones!$AB$84),UPPER(TEXT(EDATE($D45,Milestones!$AA$84),"dd mmm yy"))&amp;" "&amp;Milestones!$AB$84&amp;" "&amp;Milestones!$AC$84&amp;";  ","")&amp;IF(AND(EDATE($D45,Milestones!$AA$85)&lt;=AsOfDate,IF($R45=0,$X45,IF(AND($T45&lt;&gt;"",EDATE($D45,Milestones!$AA$85)&gt;=$T45),$W45,IF(AND($S45&lt;&gt;"",EDATE($D45,Milestones!$AA$85)&gt;=$S45),$V45,$U45)))=Milestones!$AB$85),UPPER(TEXT(EDATE($D45,Milestones!$AA$85),"dd mmm yy"))&amp;" "&amp;Milestones!$AB$85&amp;" "&amp;Milestones!$AC$85&amp;";  ","")&amp;IF(AND(EDATE($D45,Milestones!$AA$86)&lt;=AsOfDate,IF($R45=0,$X45,IF(AND($T45&lt;&gt;"",EDATE($D45,Milestones!$AA$86)&gt;=$T45),$W45,IF(AND($S45&lt;&gt;"",EDATE($D45,Milestones!$AA$86)&gt;=$S45),$V45,$U45)))=Milestones!$AB$86),UPPER(TEXT(EDATE($D45,Milestones!$AA$86),"dd mmm yy"))&amp;" "&amp;Milestones!$AB$86&amp;" "&amp;Milestones!$AC$86&amp;";  ","")&amp;IF(AND(EDATE($D45,Milestones!$AA$87)&lt;=AsOfDate,IF($R45=0,$X45,IF(AND($T45&lt;&gt;"",EDATE($D45,Milestones!$AA$87)&gt;=$T45),$W45,IF(AND($S45&lt;&gt;"",EDATE($D45,Milestones!$AA$87)&gt;=$S45),$V45,$U45)))=Milestones!$AB$87),UPPER(TEXT(EDATE($D45,Milestones!$AA$87),"dd mmm yy"))&amp;" "&amp;Milestones!$AB$87&amp;" "&amp;Milestones!$AC$87&amp;";  ","")&amp;IF(AND(EDATE($D45,Milestones!$AA$88)&lt;=AsOfDate,IF($R45=0,$X45,IF(AND($T45&lt;&gt;"",EDATE($D45,Milestones!$AA$88)&gt;=$T45),$W45,IF(AND($S45&lt;&gt;"",EDATE($D45,Milestones!$AA$88)&gt;=$S45),$V45,$U45)))=Milestones!$AB$88),UPPER(TEXT(EDATE($D45,Milestones!$AA$88),"dd mmm yy"))&amp;" "&amp;Milestones!$AB$88&amp;" "&amp;Milestones!$AC$88&amp;";  ","")&amp;IF(AND(EDATE($D45,Milestones!$AA$89)&lt;=AsOfDate,IF($R45=0,$X45,IF(AND($T45&lt;&gt;"",EDATE($D45,Milestones!$AA$89)&gt;=$T45),$W45,IF(AND($S45&lt;&gt;"",EDATE($D45,Milestones!$AA$89)&gt;=$S45),$V45,$U45)))=Milestones!$AB$89),UPPER(TEXT(EDATE($D45,Milestones!$AA$89),"dd mmm yy"))&amp;" "&amp;Milestones!$AB$89&amp;" "&amp;Milestones!$AC$89&amp;";  ","")&amp;IF(AND(EDATE($D45,Milestones!$AA$90)&lt;=AsOfDate,IF($R45=0,$X45,IF(AND($T45&lt;&gt;"",EDATE($D45,Milestones!$AA$90)&gt;=$T45),$W45,IF(AND($S45&lt;&gt;"",EDATE($D45,Milestones!$AA$90)&gt;=$S45),$V45,$U45)))=Milestones!$AB$90),UPPER(TEXT(EDATE($D45,Milestones!$AA$90),"dd mmm yy"))&amp;" "&amp;Milestones!$AB$90&amp;" "&amp;Milestones!$AC$90&amp;";  ","")&amp;IF(AND(EDATE($D45,Milestones!$AA$91)&lt;=AsOfDate,IF($R45=0,$X45,IF(AND($T45&lt;&gt;"",EDATE($D45,Milestones!$AA$91)&gt;=$T45),$W45,IF(AND($S45&lt;&gt;"",EDATE($D45,Milestones!$AA$91)&gt;=$S45),$V45,$U45)))=Milestones!$AB$91),UPPER(TEXT(EDATE($D45,Milestones!$AA$91),"dd mmm yy"))&amp;" "&amp;Milestones!$AB$91&amp;" "&amp;Milestones!$AC$91&amp;";  ","")&amp;IF(AND(EDATE($D45,Milestones!$AA$92)&lt;=AsOfDate,IF($R45=0,$X45,IF(AND($T45&lt;&gt;"",EDATE($D45,Milestones!$AA$92)&gt;=$T45),$W45,IF(AND($S45&lt;&gt;"",EDATE($D45,Milestones!$AA$92)&gt;=$S45),$V45,$U45)))=Milestones!$AB$92),UPPER(TEXT(EDATE($D45,Milestones!$AA$92),"dd mmm yy"))&amp;" "&amp;Milestones!$AB$92&amp;" "&amp;Milestones!$AC$92&amp;";  ","")&amp;IF(AND(EDATE($D45,Milestones!$AA$93)&lt;=AsOfDate,IF($R45=0,$X45,IF(AND($T45&lt;&gt;"",EDATE($D45,Milestones!$AA$93)&gt;=$T45),$W45,IF(AND($S45&lt;&gt;"",EDATE($D45,Milestones!$AA$93)&gt;=$S45),$V45,$U45)))=Milestones!$AB$93),UPPER(TEXT(EDATE($D45,Milestones!$AA$93),"dd mmm yy"))&amp;" "&amp;Milestones!$AB$93&amp;" "&amp;Milestones!$AC$93&amp;";  ","")&amp;IF(AND(EDATE($D45,Milestones!$AA$94)&lt;=AsOfDate,IF($R45=0,$X45,IF(AND($T45&lt;&gt;"",EDATE($D45,Milestones!$AA$94)&gt;=$T45),$W45,IF(AND($S45&lt;&gt;"",EDATE($D45,Milestones!$AA$94)&gt;=$S45),$V45,$U45)))=Milestones!$AB$94),UPPER(TEXT(EDATE($D45,Milestones!$AA$94),"dd mmm yy"))&amp;" "&amp;Milestones!$AB$94&amp;" "&amp;Milestones!$AC$94&amp;";  ","")&amp;IF(AND(EDATE($D45,Milestones!$AA$95)&lt;=AsOfDate,IF($R45=0,$X45,IF(AND($T45&lt;&gt;"",EDATE($D45,Milestones!$AA$95)&gt;=$T45),$W45,IF(AND($S45&lt;&gt;"",EDATE($D45,Milestones!$AA$95)&gt;=$S45),$V45,$U45)))=Milestones!$AB$95),UPPER(TEXT(EDATE($D45,Milestones!$AA$95),"dd mmm yy"))&amp;" "&amp;Milestones!$AB$95&amp;" "&amp;Milestones!$AC$95&amp;";  ","")&amp;IF(AND(EDATE($D45,Milestones!$AA$96)&lt;=AsOfDate,IF($R45=0,$X45,IF(AND($T45&lt;&gt;"",EDATE($D45,Milestones!$AA$96)&gt;=$T45),$W45,IF(AND($S45&lt;&gt;"",EDATE($D45,Milestones!$AA$96)&gt;=$S45),$V45,$U45)))=Milestones!$AB$96),UPPER(TEXT(EDATE($D45,Milestones!$AA$96),"dd mmm yy"))&amp;" "&amp;Milestones!$AB$96&amp;" "&amp;Milestones!$AC$96&amp;";  ","")&amp;IF(AND(EDATE($D45,Milestones!$AA$97)&lt;=AsOfDate,IF($R45=0,$X45,IF(AND($T45&lt;&gt;"",EDATE($D45,Milestones!$AA$97)&gt;=$T45),$W45,IF(AND($S45&lt;&gt;"",EDATE($D45,Milestones!$AA$97)&gt;=$S45),$V45,$U45)))=Milestones!$AB$97),UPPER(TEXT(EDATE($D45,Milestones!$AA$97),"dd mmm yy"))&amp;" "&amp;Milestones!$AB$97&amp;" "&amp;Milestones!$AC$97&amp;";  ","")&amp;IF(AND(EDATE($D45,Milestones!$AA$98)&lt;=AsOfDate,IF($R45=0,$X45,IF(AND($T45&lt;&gt;"",EDATE($D45,Milestones!$AA$98)&gt;=$T45),$W45,IF(AND($S45&lt;&gt;"",EDATE($D45,Milestones!$AA$98)&gt;=$S45),$V45,$U45)))=Milestones!$AB$98),UPPER(TEXT(EDATE($D45,Milestones!$AA$98),"dd mmm yy"))&amp;" "&amp;Milestones!$AB$98&amp;" "&amp;Milestones!$AC$98&amp;";  ","")&amp;IF(AND(EDATE($D45,Milestones!$AA$99)&lt;=AsOfDate,IF($R45=0,$X45,IF(AND($T45&lt;&gt;"",EDATE($D45,Milestones!$AA$99)&gt;=$T45),$W45,IF(AND($S45&lt;&gt;"",EDATE($D45,Milestones!$AA$99)&gt;=$S45),$V45,$U45)))=Milestones!$AB$99),UPPER(TEXT(EDATE($D45,Milestones!$AA$99),"dd mmm yy"))&amp;" "&amp;Milestones!$AB$99&amp;" "&amp;Milestones!$AC$99&amp;";  ",""))</f>
        <v/>
      </c>
      <c r="M45" s="0" t="str">
        <f aca="false">IF(OR($A45="",$D45=""),"",IF(AND(EDATE($D45,Milestones!$AA$100)&lt;=AsOfDate,IF($R45=0,$X45,IF(AND($T45&lt;&gt;"",EDATE($D45,Milestones!$AA$100)&gt;=$T45),$W45,IF(AND($S45&lt;&gt;"",EDATE($D45,Milestones!$AA$100)&gt;=$S45),$V45,$U45)))=Milestones!$AB$100),UPPER(TEXT(EDATE($D45,Milestones!$AA$100),"dd mmm yy"))&amp;" "&amp;Milestones!$AB$100&amp;" "&amp;Milestones!$AC$100&amp;";  ","")&amp;IF(AND(EDATE($D45,Milestones!$AA$101)&lt;=AsOfDate,IF($R45=0,$X45,IF(AND($T45&lt;&gt;"",EDATE($D45,Milestones!$AA$101)&gt;=$T45),$W45,IF(AND($S45&lt;&gt;"",EDATE($D45,Milestones!$AA$101)&gt;=$S45),$V45,$U45)))=Milestones!$AB$101),UPPER(TEXT(EDATE($D45,Milestones!$AA$101),"dd mmm yy"))&amp;" "&amp;Milestones!$AB$101&amp;" "&amp;Milestones!$AC$101&amp;";  ","")&amp;IF(AND(EDATE($D45,Milestones!$AA$102)&lt;=AsOfDate,IF($R45=0,$X45,IF(AND($T45&lt;&gt;"",EDATE($D45,Milestones!$AA$102)&gt;=$T45),$W45,IF(AND($S45&lt;&gt;"",EDATE($D45,Milestones!$AA$102)&gt;=$S45),$V45,$U45)))=Milestones!$AB$102),UPPER(TEXT(EDATE($D45,Milestones!$AA$102),"dd mmm yy"))&amp;" "&amp;Milestones!$AB$102&amp;" "&amp;Milestones!$AC$102&amp;";  ","")&amp;IF(AND(EDATE($D45,Milestones!$AA$103)&lt;=AsOfDate,IF($R45=0,$X45,IF(AND($T45&lt;&gt;"",EDATE($D45,Milestones!$AA$103)&gt;=$T45),$W45,IF(AND($S45&lt;&gt;"",EDATE($D45,Milestones!$AA$103)&gt;=$S45),$V45,$U45)))=Milestones!$AB$103),UPPER(TEXT(EDATE($D45,Milestones!$AA$103),"dd mmm yy"))&amp;" "&amp;Milestones!$AB$103&amp;" "&amp;Milestones!$AC$103&amp;";  ","")&amp;IF(AND(EDATE($D45,Milestones!$AA$104)&lt;=AsOfDate,IF($R45=0,$X45,IF(AND($T45&lt;&gt;"",EDATE($D45,Milestones!$AA$104)&gt;=$T45),$W45,IF(AND($S45&lt;&gt;"",EDATE($D45,Milestones!$AA$104)&gt;=$S45),$V45,$U45)))=Milestones!$AB$104),UPPER(TEXT(EDATE($D45,Milestones!$AA$104),"dd mmm yy"))&amp;" "&amp;Milestones!$AB$104&amp;" "&amp;Milestones!$AC$104&amp;";  ","")&amp;IF(AND(EDATE($D45,Milestones!$AA$105)&lt;=AsOfDate,IF($R45=0,$X45,IF(AND($T45&lt;&gt;"",EDATE($D45,Milestones!$AA$105)&gt;=$T45),$W45,IF(AND($S45&lt;&gt;"",EDATE($D45,Milestones!$AA$105)&gt;=$S45),$V45,$U45)))=Milestones!$AB$105),UPPER(TEXT(EDATE($D45,Milestones!$AA$105),"dd mmm yy"))&amp;" "&amp;Milestones!$AB$105&amp;" "&amp;Milestones!$AC$105&amp;";  ","")&amp;IF(AND(EDATE($D45,Milestones!$AA$106)&lt;=AsOfDate,IF($R45=0,$X45,IF(AND($T45&lt;&gt;"",EDATE($D45,Milestones!$AA$106)&gt;=$T45),$W45,IF(AND($S45&lt;&gt;"",EDATE($D45,Milestones!$AA$106)&gt;=$S45),$V45,$U45)))=Milestones!$AB$106),UPPER(TEXT(EDATE($D45,Milestones!$AA$106),"dd mmm yy"))&amp;" "&amp;Milestones!$AB$106&amp;" "&amp;Milestones!$AC$106&amp;";  ","")&amp;IF(AND(EDATE($D45,Milestones!$AA$107)&lt;=AsOfDate,IF($R45=0,$X45,IF(AND($T45&lt;&gt;"",EDATE($D45,Milestones!$AA$107)&gt;=$T45),$W45,IF(AND($S45&lt;&gt;"",EDATE($D45,Milestones!$AA$107)&gt;=$S45),$V45,$U45)))=Milestones!$AB$107),UPPER(TEXT(EDATE($D45,Milestones!$AA$107),"dd mmm yy"))&amp;" "&amp;Milestones!$AB$107&amp;" "&amp;Milestones!$AC$107&amp;";  ","")&amp;IF(AND(EDATE($D45,Milestones!$AA$108)&lt;=AsOfDate,IF($R45=0,$X45,IF(AND($T45&lt;&gt;"",EDATE($D45,Milestones!$AA$108)&gt;=$T45),$W45,IF(AND($S45&lt;&gt;"",EDATE($D45,Milestones!$AA$108)&gt;=$S45),$V45,$U45)))=Milestones!$AB$108),UPPER(TEXT(EDATE($D45,Milestones!$AA$108),"dd mmm yy"))&amp;" "&amp;Milestones!$AB$108&amp;" "&amp;Milestones!$AC$108&amp;";  ","")&amp;IF(AND(EDATE($D45,Milestones!$AA$109)&lt;=AsOfDate,IF($R45=0,$X45,IF(AND($T45&lt;&gt;"",EDATE($D45,Milestones!$AA$109)&gt;=$T45),$W45,IF(AND($S45&lt;&gt;"",EDATE($D45,Milestones!$AA$109)&gt;=$S45),$V45,$U45)))=Milestones!$AB$109),UPPER(TEXT(EDATE($D45,Milestones!$AA$109),"dd mmm yy"))&amp;" "&amp;Milestones!$AB$109&amp;" "&amp;Milestones!$AC$109&amp;";  ","")&amp;IF(AND(EDATE($D45,Milestones!$AA$110)&lt;=AsOfDate,IF($R45=0,$X45,IF(AND($T45&lt;&gt;"",EDATE($D45,Milestones!$AA$110)&gt;=$T45),$W45,IF(AND($S45&lt;&gt;"",EDATE($D45,Milestones!$AA$110)&gt;=$S45),$V45,$U45)))=Milestones!$AB$110),UPPER(TEXT(EDATE($D45,Milestones!$AA$110),"dd mmm yy"))&amp;" "&amp;Milestones!$AB$110&amp;" "&amp;Milestones!$AC$110&amp;";  ","")&amp;IF(AND(EDATE($D45,Milestones!$AA$111)&lt;=AsOfDate,IF($R45=0,$X45,IF(AND($T45&lt;&gt;"",EDATE($D45,Milestones!$AA$111)&gt;=$T45),$W45,IF(AND($S45&lt;&gt;"",EDATE($D45,Milestones!$AA$111)&gt;=$S45),$V45,$U45)))=Milestones!$AB$111),UPPER(TEXT(EDATE($D45,Milestones!$AA$111),"dd mmm yy"))&amp;" "&amp;Milestones!$AB$111&amp;" "&amp;Milestones!$AC$111&amp;";  ","")&amp;IF(AND(EDATE($D45,Milestones!$AA$112)&lt;=AsOfDate,IF($R45=0,$X45,IF(AND($T45&lt;&gt;"",EDATE($D45,Milestones!$AA$112)&gt;=$T45),$W45,IF(AND($S45&lt;&gt;"",EDATE($D45,Milestones!$AA$112)&gt;=$S45),$V45,$U45)))=Milestones!$AB$112),UPPER(TEXT(EDATE($D45,Milestones!$AA$112),"dd mmm yy"))&amp;" "&amp;Milestones!$AB$112&amp;" "&amp;Milestones!$AC$112&amp;";  ","")&amp;IF(AND(EDATE($D45,Milestones!$AA$113)&lt;=AsOfDate,IF($R45=0,$X45,IF(AND($T45&lt;&gt;"",EDATE($D45,Milestones!$AA$113)&gt;=$T45),$W45,IF(AND($S45&lt;&gt;"",EDATE($D45,Milestones!$AA$113)&gt;=$S45),$V45,$U45)))=Milestones!$AB$113),UPPER(TEXT(EDATE($D45,Milestones!$AA$113),"dd mmm yy"))&amp;" "&amp;Milestones!$AB$113&amp;" "&amp;Milestones!$AC$113&amp;";  ","")&amp;IF(AND(EDATE($D45,Milestones!$AA$114)&lt;=AsOfDate,IF($R45=0,$X45,IF(AND($T45&lt;&gt;"",EDATE($D45,Milestones!$AA$114)&gt;=$T45),$W45,IF(AND($S45&lt;&gt;"",EDATE($D45,Milestones!$AA$114)&gt;=$S45),$V45,$U45)))=Milestones!$AB$114),UPPER(TEXT(EDATE($D45,Milestones!$AA$114),"dd mmm yy"))&amp;" "&amp;Milestones!$AB$114&amp;" "&amp;Milestones!$AC$114&amp;";  ","")&amp;IF(AND(EDATE($D45,Milestones!$AA$115)&lt;=AsOfDate,IF($R45=0,$X45,IF(AND($T45&lt;&gt;"",EDATE($D45,Milestones!$AA$115)&gt;=$T45),$W45,IF(AND($S45&lt;&gt;"",EDATE($D45,Milestones!$AA$115)&gt;=$S45),$V45,$U45)))=Milestones!$AB$115),UPPER(TEXT(EDATE($D45,Milestones!$AA$115),"dd mmm yy"))&amp;" "&amp;Milestones!$AB$115&amp;" "&amp;Milestones!$AC$115&amp;";  ","")&amp;IF(AND(EDATE($D45,Milestones!$AA$116)&lt;=AsOfDate,IF($R45=0,$X45,IF(AND($T45&lt;&gt;"",EDATE($D45,Milestones!$AA$116)&gt;=$T45),$W45,IF(AND($S45&lt;&gt;"",EDATE($D45,Milestones!$AA$116)&gt;=$S45),$V45,$U45)))=Milestones!$AB$116),UPPER(TEXT(EDATE($D45,Milestones!$AA$116),"dd mmm yy"))&amp;" "&amp;Milestones!$AB$116&amp;" "&amp;Milestones!$AC$116&amp;";  ","")&amp;IF(AND(EDATE($D45,Milestones!$AA$117)&lt;=AsOfDate,IF($R45=0,$X45,IF(AND($T45&lt;&gt;"",EDATE($D45,Milestones!$AA$117)&gt;=$T45),$W45,IF(AND($S45&lt;&gt;"",EDATE($D45,Milestones!$AA$117)&gt;=$S45),$V45,$U45)))=Milestones!$AB$117),UPPER(TEXT(EDATE($D45,Milestones!$AA$117),"dd mmm yy"))&amp;" "&amp;Milestones!$AB$117&amp;" "&amp;Milestones!$AC$117&amp;";  ","")&amp;IF(AND(EDATE($D45,Milestones!$AA$118)&lt;=AsOfDate,IF($R45=0,$X45,IF(AND($T45&lt;&gt;"",EDATE($D45,Milestones!$AA$118)&gt;=$T45),$W45,IF(AND($S45&lt;&gt;"",EDATE($D45,Milestones!$AA$118)&gt;=$S45),$V45,$U45)))=Milestones!$AB$118),UPPER(TEXT(EDATE($D45,Milestones!$AA$118),"dd mmm yy"))&amp;" "&amp;Milestones!$AB$118&amp;" "&amp;Milestones!$AC$118&amp;";  ","")&amp;IF(AND(EDATE($D45,Milestones!$AA$119)&lt;=AsOfDate,IF($R45=0,$X45,IF(AND($T45&lt;&gt;"",EDATE($D45,Milestones!$AA$119)&gt;=$T45),$W45,IF(AND($S45&lt;&gt;"",EDATE($D45,Milestones!$AA$119)&gt;=$S45),$V45,$U45)))=Milestones!$AB$119),UPPER(TEXT(EDATE($D45,Milestones!$AA$119),"dd mmm yy"))&amp;" "&amp;Milestones!$AB$119&amp;" "&amp;Milestones!$AC$119&amp;";  ",""))</f>
        <v/>
      </c>
      <c r="N45" s="0" t="str">
        <f aca="false">IF(OR($A45="",$D45=""),"",IF(AND(EDATE($D45,Milestones!$AA$120)&lt;=AsOfDate,IF($R45=0,$X45,IF(AND($T45&lt;&gt;"",EDATE($D45,Milestones!$AA$120)&gt;=$T45),$W45,IF(AND($S45&lt;&gt;"",EDATE($D45,Milestones!$AA$120)&gt;=$S45),$V45,$U45)))=Milestones!$AB$120),UPPER(TEXT(EDATE($D45,Milestones!$AA$120),"dd mmm yy"))&amp;" "&amp;Milestones!$AB$120&amp;" "&amp;Milestones!$AC$120&amp;";  ","")&amp;IF(AND(EDATE($D45,Milestones!$AA$121)&lt;=AsOfDate,IF($R45=0,$X45,IF(AND($T45&lt;&gt;"",EDATE($D45,Milestones!$AA$121)&gt;=$T45),$W45,IF(AND($S45&lt;&gt;"",EDATE($D45,Milestones!$AA$121)&gt;=$S45),$V45,$U45)))=Milestones!$AB$121),UPPER(TEXT(EDATE($D45,Milestones!$AA$121),"dd mmm yy"))&amp;" "&amp;Milestones!$AB$121&amp;" "&amp;Milestones!$AC$121&amp;";  ","")&amp;IF(AND(EDATE($D45,Milestones!$AA$122)&lt;=AsOfDate,IF($R45=0,$X45,IF(AND($T45&lt;&gt;"",EDATE($D45,Milestones!$AA$122)&gt;=$T45),$W45,IF(AND($S45&lt;&gt;"",EDATE($D45,Milestones!$AA$122)&gt;=$S45),$V45,$U45)))=Milestones!$AB$122),UPPER(TEXT(EDATE($D45,Milestones!$AA$122),"dd mmm yy"))&amp;" "&amp;Milestones!$AB$122&amp;" "&amp;Milestones!$AC$122&amp;";  ","")&amp;IF(AND(EDATE($D45,Milestones!$AA$123)&lt;=AsOfDate,IF($R45=0,$X45,IF(AND($T45&lt;&gt;"",EDATE($D45,Milestones!$AA$123)&gt;=$T45),$W45,IF(AND($S45&lt;&gt;"",EDATE($D45,Milestones!$AA$123)&gt;=$S45),$V45,$U45)))=Milestones!$AB$123),UPPER(TEXT(EDATE($D45,Milestones!$AA$123),"dd mmm yy"))&amp;" "&amp;Milestones!$AB$123&amp;" "&amp;Milestones!$AC$123&amp;";  ","")&amp;IF(AND(EDATE($D45,Milestones!$AA$124)&lt;=AsOfDate,IF($R45=0,$X45,IF(AND($T45&lt;&gt;"",EDATE($D45,Milestones!$AA$124)&gt;=$T45),$W45,IF(AND($S45&lt;&gt;"",EDATE($D45,Milestones!$AA$124)&gt;=$S45),$V45,$U45)))=Milestones!$AB$124),UPPER(TEXT(EDATE($D45,Milestones!$AA$124),"dd mmm yy"))&amp;" "&amp;Milestones!$AB$124&amp;" "&amp;Milestones!$AC$124&amp;";  ","")&amp;IF(AND(EDATE($D45,Milestones!$AA$125)&lt;=AsOfDate,IF($R45=0,$X45,IF(AND($T45&lt;&gt;"",EDATE($D45,Milestones!$AA$125)&gt;=$T45),$W45,IF(AND($S45&lt;&gt;"",EDATE($D45,Milestones!$AA$125)&gt;=$S45),$V45,$U45)))=Milestones!$AB$125),UPPER(TEXT(EDATE($D45,Milestones!$AA$125),"dd mmm yy"))&amp;" "&amp;Milestones!$AB$125&amp;" "&amp;Milestones!$AC$125&amp;";  ","")&amp;IF(AND(EDATE($D45,Milestones!$AA$126)&lt;=AsOfDate,IF($R45=0,$X45,IF(AND($T45&lt;&gt;"",EDATE($D45,Milestones!$AA$126)&gt;=$T45),$W45,IF(AND($S45&lt;&gt;"",EDATE($D45,Milestones!$AA$126)&gt;=$S45),$V45,$U45)))=Milestones!$AB$126),UPPER(TEXT(EDATE($D45,Milestones!$AA$126),"dd mmm yy"))&amp;" "&amp;Milestones!$AB$126&amp;" "&amp;Milestones!$AC$126&amp;";  ","")&amp;IF(AND(EDATE($D45,Milestones!$AA$127)&lt;=AsOfDate,IF($R45=0,$X45,IF(AND($T45&lt;&gt;"",EDATE($D45,Milestones!$AA$127)&gt;=$T45),$W45,IF(AND($S45&lt;&gt;"",EDATE($D45,Milestones!$AA$127)&gt;=$S45),$V45,$U45)))=Milestones!$AB$127),UPPER(TEXT(EDATE($D45,Milestones!$AA$127),"dd mmm yy"))&amp;" "&amp;Milestones!$AB$127&amp;" "&amp;Milestones!$AC$127&amp;";  ","")&amp;IF(AND(EDATE($D45,Milestones!$AA$128)&lt;=AsOfDate,IF($R45=0,$X45,IF(AND($T45&lt;&gt;"",EDATE($D45,Milestones!$AA$128)&gt;=$T45),$W45,IF(AND($S45&lt;&gt;"",EDATE($D45,Milestones!$AA$128)&gt;=$S45),$V45,$U45)))=Milestones!$AB$128),UPPER(TEXT(EDATE($D45,Milestones!$AA$128),"dd mmm yy"))&amp;" "&amp;Milestones!$AB$128&amp;" "&amp;Milestones!$AC$128&amp;";  ","")&amp;IF(AND(EDATE($D45,Milestones!$AA$129)&lt;=AsOfDate,IF($R45=0,$X45,IF(AND($T45&lt;&gt;"",EDATE($D45,Milestones!$AA$129)&gt;=$T45),$W45,IF(AND($S45&lt;&gt;"",EDATE($D45,Milestones!$AA$129)&gt;=$S45),$V45,$U45)))=Milestones!$AB$129),UPPER(TEXT(EDATE($D45,Milestones!$AA$129),"dd mmm yy"))&amp;" "&amp;Milestones!$AB$129&amp;" "&amp;Milestones!$AC$129&amp;";  ","")&amp;IF(AND(EDATE($D45,Milestones!$AA$130)&lt;=AsOfDate,IF($R45=0,$X45,IF(AND($T45&lt;&gt;"",EDATE($D45,Milestones!$AA$130)&gt;=$T45),$W45,IF(AND($S45&lt;&gt;"",EDATE($D45,Milestones!$AA$130)&gt;=$S45),$V45,$U45)))=Milestones!$AB$130),UPPER(TEXT(EDATE($D45,Milestones!$AA$130),"dd mmm yy"))&amp;" "&amp;Milestones!$AB$130&amp;" "&amp;Milestones!$AC$130&amp;";  ","")&amp;IF(AND(EDATE($D45,Milestones!$AA$131)&lt;=AsOfDate,IF($R45=0,$X45,IF(AND($T45&lt;&gt;"",EDATE($D45,Milestones!$AA$131)&gt;=$T45),$W45,IF(AND($S45&lt;&gt;"",EDATE($D45,Milestones!$AA$131)&gt;=$S45),$V45,$U45)))=Milestones!$AB$131),UPPER(TEXT(EDATE($D45,Milestones!$AA$131),"dd mmm yy"))&amp;" "&amp;Milestones!$AB$131&amp;" "&amp;Milestones!$AC$131&amp;";  ","")&amp;IF(AND(EDATE($D45,Milestones!$AA$132)&lt;=AsOfDate,IF($R45=0,$X45,IF(AND($T45&lt;&gt;"",EDATE($D45,Milestones!$AA$132)&gt;=$T45),$W45,IF(AND($S45&lt;&gt;"",EDATE($D45,Milestones!$AA$132)&gt;=$S45),$V45,$U45)))=Milestones!$AB$132),UPPER(TEXT(EDATE($D45,Milestones!$AA$132),"dd mmm yy"))&amp;" "&amp;Milestones!$AB$132&amp;" "&amp;Milestones!$AC$132&amp;";  ","")&amp;IF(AND(EDATE($D45,Milestones!$AA$133)&lt;=AsOfDate,IF($R45=0,$X45,IF(AND($T45&lt;&gt;"",EDATE($D45,Milestones!$AA$133)&gt;=$T45),$W45,IF(AND($S45&lt;&gt;"",EDATE($D45,Milestones!$AA$133)&gt;=$S45),$V45,$U45)))=Milestones!$AB$133),UPPER(TEXT(EDATE($D45,Milestones!$AA$133),"dd mmm yy"))&amp;" "&amp;Milestones!$AB$133&amp;" "&amp;Milestones!$AC$133&amp;";  ","")&amp;IF(AND(EDATE($D45,Milestones!$AA$134)&lt;=AsOfDate,IF($R45=0,$X45,IF(AND($T45&lt;&gt;"",EDATE($D45,Milestones!$AA$134)&gt;=$T45),$W45,IF(AND($S45&lt;&gt;"",EDATE($D45,Milestones!$AA$134)&gt;=$S45),$V45,$U45)))=Milestones!$AB$134),UPPER(TEXT(EDATE($D45,Milestones!$AA$134),"dd mmm yy"))&amp;" "&amp;Milestones!$AB$134&amp;" "&amp;Milestones!$AC$134&amp;";  ","")&amp;IF(AND(EDATE($D45,Milestones!$AA$135)&lt;=AsOfDate,IF($R45=0,$X45,IF(AND($T45&lt;&gt;"",EDATE($D45,Milestones!$AA$135)&gt;=$T45),$W45,IF(AND($S45&lt;&gt;"",EDATE($D45,Milestones!$AA$135)&gt;=$S45),$V45,$U45)))=Milestones!$AB$135),UPPER(TEXT(EDATE($D45,Milestones!$AA$135),"dd mmm yy"))&amp;" "&amp;Milestones!$AB$135&amp;" "&amp;Milestones!$AC$135&amp;";  ","")&amp;IF(AND(EDATE($D45,Milestones!$AA$136)&lt;=AsOfDate,IF($R45=0,$X45,IF(AND($T45&lt;&gt;"",EDATE($D45,Milestones!$AA$136)&gt;=$T45),$W45,IF(AND($S45&lt;&gt;"",EDATE($D45,Milestones!$AA$136)&gt;=$S45),$V45,$U45)))=Milestones!$AB$136),UPPER(TEXT(EDATE($D45,Milestones!$AA$136),"dd mmm yy"))&amp;" "&amp;Milestones!$AB$136&amp;" "&amp;Milestones!$AC$136&amp;";  ","")&amp;IF(AND(EDATE($D45,Milestones!$AA$137)&lt;=AsOfDate,IF($R45=0,$X45,IF(AND($T45&lt;&gt;"",EDATE($D45,Milestones!$AA$137)&gt;=$T45),$W45,IF(AND($S45&lt;&gt;"",EDATE($D45,Milestones!$AA$137)&gt;=$S45),$V45,$U45)))=Milestones!$AB$137),UPPER(TEXT(EDATE($D45,Milestones!$AA$137),"dd mmm yy"))&amp;" "&amp;Milestones!$AB$137&amp;" "&amp;Milestones!$AC$137&amp;";  ","")&amp;IF(AND(EDATE($D45,Milestones!$AA$138)&lt;=AsOfDate,IF($R45=0,$X45,IF(AND($T45&lt;&gt;"",EDATE($D45,Milestones!$AA$138)&gt;=$T45),$W45,IF(AND($S45&lt;&gt;"",EDATE($D45,Milestones!$AA$138)&gt;=$S45),$V45,$U45)))=Milestones!$AB$138),UPPER(TEXT(EDATE($D45,Milestones!$AA$138),"dd mmm yy"))&amp;" "&amp;Milestones!$AB$138&amp;" "&amp;Milestones!$AC$138&amp;";  ","")&amp;IF(AND(EDATE($D45,Milestones!$AA$139)&lt;=AsOfDate,IF($R45=0,$X45,IF(AND($T45&lt;&gt;"",EDATE($D45,Milestones!$AA$139)&gt;=$T45),$W45,IF(AND($S45&lt;&gt;"",EDATE($D45,Milestones!$AA$139)&gt;=$S45),$V45,$U45)))=Milestones!$AB$139),UPPER(TEXT(EDATE($D45,Milestones!$AA$139),"dd mmm yy"))&amp;" "&amp;Milestones!$AB$139&amp;" "&amp;Milestones!$AC$139&amp;";  ",""))</f>
        <v/>
      </c>
      <c r="O45" s="0" t="str">
        <f aca="false">IF(OR($A45="",$D45=""),"",IF(AND(EDATE($D45,Milestones!$AA$140)&lt;=AsOfDate,IF($R45=0,$X45,IF(AND($T45&lt;&gt;"",EDATE($D45,Milestones!$AA$140)&gt;=$T45),$W45,IF(AND($S45&lt;&gt;"",EDATE($D45,Milestones!$AA$140)&gt;=$S45),$V45,$U45)))=Milestones!$AB$140),UPPER(TEXT(EDATE($D45,Milestones!$AA$140),"dd mmm yy"))&amp;" "&amp;Milestones!$AB$140&amp;" "&amp;Milestones!$AC$140&amp;";  ","")&amp;IF(AND(EDATE($D45,Milestones!$AA$141)&lt;=AsOfDate,IF($R45=0,$X45,IF(AND($T45&lt;&gt;"",EDATE($D45,Milestones!$AA$141)&gt;=$T45),$W45,IF(AND($S45&lt;&gt;"",EDATE($D45,Milestones!$AA$141)&gt;=$S45),$V45,$U45)))=Milestones!$AB$141),UPPER(TEXT(EDATE($D45,Milestones!$AA$141),"dd mmm yy"))&amp;" "&amp;Milestones!$AB$141&amp;" "&amp;Milestones!$AC$141&amp;";  ","")&amp;IF(AND(EDATE($D45,Milestones!$AA$142)&lt;=AsOfDate,IF($R45=0,$X45,IF(AND($T45&lt;&gt;"",EDATE($D45,Milestones!$AA$142)&gt;=$T45),$W45,IF(AND($S45&lt;&gt;"",EDATE($D45,Milestones!$AA$142)&gt;=$S45),$V45,$U45)))=Milestones!$AB$142),UPPER(TEXT(EDATE($D45,Milestones!$AA$142),"dd mmm yy"))&amp;" "&amp;Milestones!$AB$142&amp;" "&amp;Milestones!$AC$142&amp;";  ","")&amp;IF(AND(EDATE($D45,Milestones!$AA$143)&lt;=AsOfDate,IF($R45=0,$X45,IF(AND($T45&lt;&gt;"",EDATE($D45,Milestones!$AA$143)&gt;=$T45),$W45,IF(AND($S45&lt;&gt;"",EDATE($D45,Milestones!$AA$143)&gt;=$S45),$V45,$U45)))=Milestones!$AB$143),UPPER(TEXT(EDATE($D45,Milestones!$AA$143),"dd mmm yy"))&amp;" "&amp;Milestones!$AB$143&amp;" "&amp;Milestones!$AC$143&amp;";  ","")&amp;IF(AND(EDATE($D45,Milestones!$AA$144)&lt;=AsOfDate,IF($R45=0,$X45,IF(AND($T45&lt;&gt;"",EDATE($D45,Milestones!$AA$144)&gt;=$T45),$W45,IF(AND($S45&lt;&gt;"",EDATE($D45,Milestones!$AA$144)&gt;=$S45),$V45,$U45)))=Milestones!$AB$144),UPPER(TEXT(EDATE($D45,Milestones!$AA$144),"dd mmm yy"))&amp;" "&amp;Milestones!$AB$144&amp;" "&amp;Milestones!$AC$144&amp;";  ","")&amp;IF(AND(EDATE($D45,Milestones!$AA$145)&lt;=AsOfDate,IF($R45=0,$X45,IF(AND($T45&lt;&gt;"",EDATE($D45,Milestones!$AA$145)&gt;=$T45),$W45,IF(AND($S45&lt;&gt;"",EDATE($D45,Milestones!$AA$145)&gt;=$S45),$V45,$U45)))=Milestones!$AB$145),UPPER(TEXT(EDATE($D45,Milestones!$AA$145),"dd mmm yy"))&amp;" "&amp;Milestones!$AB$145&amp;" "&amp;Milestones!$AC$145&amp;";  ","")&amp;IF(AND(EDATE($D45,Milestones!$AA$146)&lt;=AsOfDate,IF($R45=0,$X45,IF(AND($T45&lt;&gt;"",EDATE($D45,Milestones!$AA$146)&gt;=$T45),$W45,IF(AND($S45&lt;&gt;"",EDATE($D45,Milestones!$AA$146)&gt;=$S45),$V45,$U45)))=Milestones!$AB$146),UPPER(TEXT(EDATE($D45,Milestones!$AA$146),"dd mmm yy"))&amp;" "&amp;Milestones!$AB$146&amp;" "&amp;Milestones!$AC$146&amp;";  ","")&amp;IF(AND(EDATE($D45,Milestones!$AA$147)&lt;=AsOfDate,IF($R45=0,$X45,IF(AND($T45&lt;&gt;"",EDATE($D45,Milestones!$AA$147)&gt;=$T45),$W45,IF(AND($S45&lt;&gt;"",EDATE($D45,Milestones!$AA$147)&gt;=$S45),$V45,$U45)))=Milestones!$AB$147),UPPER(TEXT(EDATE($D45,Milestones!$AA$147),"dd mmm yy"))&amp;" "&amp;Milestones!$AB$147&amp;" "&amp;Milestones!$AC$147&amp;";  ","")&amp;IF(AND(EDATE($D45,Milestones!$AA$148)&lt;=AsOfDate,IF($R45=0,$X45,IF(AND($T45&lt;&gt;"",EDATE($D45,Milestones!$AA$148)&gt;=$T45),$W45,IF(AND($S45&lt;&gt;"",EDATE($D45,Milestones!$AA$148)&gt;=$S45),$V45,$U45)))=Milestones!$AB$148),UPPER(TEXT(EDATE($D45,Milestones!$AA$148),"dd mmm yy"))&amp;" "&amp;Milestones!$AB$148&amp;" "&amp;Milestones!$AC$148&amp;";  ","")&amp;IF(AND(EDATE($D45,Milestones!$AA$149)&lt;=AsOfDate,IF($R45=0,$X45,IF(AND($T45&lt;&gt;"",EDATE($D45,Milestones!$AA$149)&gt;=$T45),$W45,IF(AND($S45&lt;&gt;"",EDATE($D45,Milestones!$AA$149)&gt;=$S45),$V45,$U45)))=Milestones!$AB$149),UPPER(TEXT(EDATE($D45,Milestones!$AA$149),"dd mmm yy"))&amp;" "&amp;Milestones!$AB$149&amp;" "&amp;Milestones!$AC$149&amp;";  ","")&amp;IF(AND(EDATE($D45,Milestones!$AA$150)&lt;=AsOfDate,IF($R45=0,$X45,IF(AND($T45&lt;&gt;"",EDATE($D45,Milestones!$AA$150)&gt;=$T45),$W45,IF(AND($S45&lt;&gt;"",EDATE($D45,Milestones!$AA$150)&gt;=$S45),$V45,$U45)))=Milestones!$AB$150),UPPER(TEXT(EDATE($D45,Milestones!$AA$150),"dd mmm yy"))&amp;" "&amp;Milestones!$AB$150&amp;" "&amp;Milestones!$AC$150&amp;";  ","")&amp;IF(AND(EDATE($D45,Milestones!$AA$151)&lt;=AsOfDate,IF($R45=0,$X45,IF(AND($T45&lt;&gt;"",EDATE($D45,Milestones!$AA$151)&gt;=$T45),$W45,IF(AND($S45&lt;&gt;"",EDATE($D45,Milestones!$AA$151)&gt;=$S45),$V45,$U45)))=Milestones!$AB$151),UPPER(TEXT(EDATE($D45,Milestones!$AA$151),"dd mmm yy"))&amp;" "&amp;Milestones!$AB$151&amp;" "&amp;Milestones!$AC$151&amp;";  ","")&amp;IF(AND(EDATE($D45,Milestones!$AA$152)&lt;=AsOfDate,IF($R45=0,$X45,IF(AND($T45&lt;&gt;"",EDATE($D45,Milestones!$AA$152)&gt;=$T45),$W45,IF(AND($S45&lt;&gt;"",EDATE($D45,Milestones!$AA$152)&gt;=$S45),$V45,$U45)))=Milestones!$AB$152),UPPER(TEXT(EDATE($D45,Milestones!$AA$152),"dd mmm yy"))&amp;" "&amp;Milestones!$AB$152&amp;" "&amp;Milestones!$AC$152&amp;";  ","")&amp;IF(AND(EDATE($D45,Milestones!$AA$153)&lt;=AsOfDate,IF($R45=0,$X45,IF(AND($T45&lt;&gt;"",EDATE($D45,Milestones!$AA$153)&gt;=$T45),$W45,IF(AND($S45&lt;&gt;"",EDATE($D45,Milestones!$AA$153)&gt;=$S45),$V45,$U45)))=Milestones!$AB$153),UPPER(TEXT(EDATE($D45,Milestones!$AA$153),"dd mmm yy"))&amp;" "&amp;Milestones!$AB$153&amp;" "&amp;Milestones!$AC$153&amp;";  ","")&amp;IF(AND(EDATE($D45,Milestones!$AA$154)&lt;=AsOfDate,IF($R45=0,$X45,IF(AND($T45&lt;&gt;"",EDATE($D45,Milestones!$AA$154)&gt;=$T45),$W45,IF(AND($S45&lt;&gt;"",EDATE($D45,Milestones!$AA$154)&gt;=$S45),$V45,$U45)))=Milestones!$AB$154),UPPER(TEXT(EDATE($D45,Milestones!$AA$154),"dd mmm yy"))&amp;" "&amp;Milestones!$AB$154&amp;" "&amp;Milestones!$AC$154&amp;";  ","")&amp;IF(AND(EDATE($D45,Milestones!$AA$155)&lt;=AsOfDate,IF($R45=0,$X45,IF(AND($T45&lt;&gt;"",EDATE($D45,Milestones!$AA$155)&gt;=$T45),$W45,IF(AND($S45&lt;&gt;"",EDATE($D45,Milestones!$AA$155)&gt;=$S45),$V45,$U45)))=Milestones!$AB$155),UPPER(TEXT(EDATE($D45,Milestones!$AA$155),"dd mmm yy"))&amp;" "&amp;Milestones!$AB$155&amp;" "&amp;Milestones!$AC$155&amp;";  ","")&amp;IF(AND(EDATE($D45,Milestones!$AA$156)&lt;=AsOfDate,IF($R45=0,$X45,IF(AND($T45&lt;&gt;"",EDATE($D45,Milestones!$AA$156)&gt;=$T45),$W45,IF(AND($S45&lt;&gt;"",EDATE($D45,Milestones!$AA$156)&gt;=$S45),$V45,$U45)))=Milestones!$AB$156),UPPER(TEXT(EDATE($D45,Milestones!$AA$156),"dd mmm yy"))&amp;" "&amp;Milestones!$AB$156&amp;" "&amp;Milestones!$AC$156&amp;";  ","")&amp;IF(AND(EDATE($D45,Milestones!$AA$157)&lt;=AsOfDate,IF($R45=0,$X45,IF(AND($T45&lt;&gt;"",EDATE($D45,Milestones!$AA$157)&gt;=$T45),$W45,IF(AND($S45&lt;&gt;"",EDATE($D45,Milestones!$AA$157)&gt;=$S45),$V45,$U45)))=Milestones!$AB$157),UPPER(TEXT(EDATE($D45,Milestones!$AA$157),"dd mmm yy"))&amp;" "&amp;Milestones!$AB$157&amp;" "&amp;Milestones!$AC$157&amp;";  ","")&amp;IF(AND(EDATE($D45,Milestones!$AA$158)&lt;=AsOfDate,IF($R45=0,$X45,IF(AND($T45&lt;&gt;"",EDATE($D45,Milestones!$AA$158)&gt;=$T45),$W45,IF(AND($S45&lt;&gt;"",EDATE($D45,Milestones!$AA$158)&gt;=$S45),$V45,$U45)))=Milestones!$AB$158),UPPER(TEXT(EDATE($D45,Milestones!$AA$158),"dd mmm yy"))&amp;" "&amp;Milestones!$AB$158&amp;" "&amp;Milestones!$AC$158&amp;";  ","")&amp;IF(AND(EDATE($D45,Milestones!$AA$159)&lt;=AsOfDate,IF($R45=0,$X45,IF(AND($T45&lt;&gt;"",EDATE($D45,Milestones!$AA$159)&gt;=$T45),$W45,IF(AND($S45&lt;&gt;"",EDATE($D45,Milestones!$AA$159)&gt;=$S45),$V45,$U45)))=Milestones!$AB$159),UPPER(TEXT(EDATE($D45,Milestones!$AA$159),"dd mmm yy"))&amp;" "&amp;Milestones!$AB$159&amp;" "&amp;Milestones!$AC$159&amp;";  ",""))</f>
        <v/>
      </c>
      <c r="P45" s="0" t="str">
        <f aca="false">IF(OR($A45="",$D45=""),"",IF(AND(EDATE($D45,Milestones!$AA$160)&lt;=AsOfDate,IF($R45=0,$X45,IF(AND($T45&lt;&gt;"",EDATE($D45,Milestones!$AA$160)&gt;=$T45),$W45,IF(AND($S45&lt;&gt;"",EDATE($D45,Milestones!$AA$160)&gt;=$S45),$V45,$U45)))=Milestones!$AB$160),UPPER(TEXT(EDATE($D45,Milestones!$AA$160),"dd mmm yy"))&amp;" "&amp;Milestones!$AB$160&amp;" "&amp;Milestones!$AC$160&amp;";  ","")&amp;IF(AND(EDATE($D45,Milestones!$AA$161)&lt;=AsOfDate,IF($R45=0,$X45,IF(AND($T45&lt;&gt;"",EDATE($D45,Milestones!$AA$161)&gt;=$T45),$W45,IF(AND($S45&lt;&gt;"",EDATE($D45,Milestones!$AA$161)&gt;=$S45),$V45,$U45)))=Milestones!$AB$161),UPPER(TEXT(EDATE($D45,Milestones!$AA$161),"dd mmm yy"))&amp;" "&amp;Milestones!$AB$161&amp;" "&amp;Milestones!$AC$161&amp;";  ","")&amp;IF(AND(EDATE($D45,Milestones!$AA$162)&lt;=AsOfDate,IF($R45=0,$X45,IF(AND($T45&lt;&gt;"",EDATE($D45,Milestones!$AA$162)&gt;=$T45),$W45,IF(AND($S45&lt;&gt;"",EDATE($D45,Milestones!$AA$162)&gt;=$S45),$V45,$U45)))=Milestones!$AB$162),UPPER(TEXT(EDATE($D45,Milestones!$AA$162),"dd mmm yy"))&amp;" "&amp;Milestones!$AB$162&amp;" "&amp;Milestones!$AC$162&amp;";  ","")&amp;IF(AND(EDATE($D45,Milestones!$AA$163)&lt;=AsOfDate,IF($R45=0,$X45,IF(AND($T45&lt;&gt;"",EDATE($D45,Milestones!$AA$163)&gt;=$T45),$W45,IF(AND($S45&lt;&gt;"",EDATE($D45,Milestones!$AA$163)&gt;=$S45),$V45,$U45)))=Milestones!$AB$163),UPPER(TEXT(EDATE($D45,Milestones!$AA$163),"dd mmm yy"))&amp;" "&amp;Milestones!$AB$163&amp;" "&amp;Milestones!$AC$163&amp;";  ","")&amp;IF(AND(EDATE($D45,Milestones!$AA$164)&lt;=AsOfDate,IF($R45=0,$X45,IF(AND($T45&lt;&gt;"",EDATE($D45,Milestones!$AA$164)&gt;=$T45),$W45,IF(AND($S45&lt;&gt;"",EDATE($D45,Milestones!$AA$164)&gt;=$S45),$V45,$U45)))=Milestones!$AB$164),UPPER(TEXT(EDATE($D45,Milestones!$AA$164),"dd mmm yy"))&amp;" "&amp;Milestones!$AB$164&amp;" "&amp;Milestones!$AC$164&amp;";  ","")&amp;IF(AND(EDATE($D45,Milestones!$AA$165)&lt;=AsOfDate,IF($R45=0,$X45,IF(AND($T45&lt;&gt;"",EDATE($D45,Milestones!$AA$165)&gt;=$T45),$W45,IF(AND($S45&lt;&gt;"",EDATE($D45,Milestones!$AA$165)&gt;=$S45),$V45,$U45)))=Milestones!$AB$165),UPPER(TEXT(EDATE($D45,Milestones!$AA$165),"dd mmm yy"))&amp;" "&amp;Milestones!$AB$165&amp;" "&amp;Milestones!$AC$165&amp;";  ","")&amp;IF(AND(EDATE($D45,Milestones!$AA$166)&lt;=AsOfDate,IF($R45=0,$X45,IF(AND($T45&lt;&gt;"",EDATE($D45,Milestones!$AA$166)&gt;=$T45),$W45,IF(AND($S45&lt;&gt;"",EDATE($D45,Milestones!$AA$166)&gt;=$S45),$V45,$U45)))=Milestones!$AB$166),UPPER(TEXT(EDATE($D45,Milestones!$AA$166),"dd mmm yy"))&amp;" "&amp;Milestones!$AB$166&amp;" "&amp;Milestones!$AC$166&amp;";  ","")&amp;IF(AND(EDATE($D45,Milestones!$AA$167)&lt;=AsOfDate,IF($R45=0,$X45,IF(AND($T45&lt;&gt;"",EDATE($D45,Milestones!$AA$167)&gt;=$T45),$W45,IF(AND($S45&lt;&gt;"",EDATE($D45,Milestones!$AA$167)&gt;=$S45),$V45,$U45)))=Milestones!$AB$167),UPPER(TEXT(EDATE($D45,Milestones!$AA$167),"dd mmm yy"))&amp;" "&amp;Milestones!$AB$167&amp;" "&amp;Milestones!$AC$167&amp;";  ","")&amp;IF(AND(EDATE($D45,Milestones!$AA$168)&lt;=AsOfDate,IF($R45=0,$X45,IF(AND($T45&lt;&gt;"",EDATE($D45,Milestones!$AA$168)&gt;=$T45),$W45,IF(AND($S45&lt;&gt;"",EDATE($D45,Milestones!$AA$168)&gt;=$S45),$V45,$U45)))=Milestones!$AB$168),UPPER(TEXT(EDATE($D45,Milestones!$AA$168),"dd mmm yy"))&amp;" "&amp;Milestones!$AB$168&amp;" "&amp;Milestones!$AC$168&amp;";  ","")&amp;IF(AND(EDATE($D45,Milestones!$AA$169)&lt;=AsOfDate,IF($R45=0,$X45,IF(AND($T45&lt;&gt;"",EDATE($D45,Milestones!$AA$169)&gt;=$T45),$W45,IF(AND($S45&lt;&gt;"",EDATE($D45,Milestones!$AA$169)&gt;=$S45),$V45,$U45)))=Milestones!$AB$169),UPPER(TEXT(EDATE($D45,Milestones!$AA$169),"dd mmm yy"))&amp;" "&amp;Milestones!$AB$169&amp;" "&amp;Milestones!$AC$169&amp;";  ","")&amp;IF(AND(EDATE($D45,Milestones!$AA$170)&lt;=AsOfDate,IF($R45=0,$X45,IF(AND($T45&lt;&gt;"",EDATE($D45,Milestones!$AA$170)&gt;=$T45),$W45,IF(AND($S45&lt;&gt;"",EDATE($D45,Milestones!$AA$170)&gt;=$S45),$V45,$U45)))=Milestones!$AB$170),UPPER(TEXT(EDATE($D45,Milestones!$AA$170),"dd mmm yy"))&amp;" "&amp;Milestones!$AB$170&amp;" "&amp;Milestones!$AC$170&amp;";  ","")&amp;IF(AND(EDATE($D45,Milestones!$AA$171)&lt;=AsOfDate,IF($R45=0,$X45,IF(AND($T45&lt;&gt;"",EDATE($D45,Milestones!$AA$171)&gt;=$T45),$W45,IF(AND($S45&lt;&gt;"",EDATE($D45,Milestones!$AA$171)&gt;=$S45),$V45,$U45)))=Milestones!$AB$171),UPPER(TEXT(EDATE($D45,Milestones!$AA$171),"dd mmm yy"))&amp;" "&amp;Milestones!$AB$171&amp;" "&amp;Milestones!$AC$171&amp;";  ","")&amp;IF(AND(EDATE($D45,Milestones!$AA$172)&lt;=AsOfDate,IF($R45=0,$X45,IF(AND($T45&lt;&gt;"",EDATE($D45,Milestones!$AA$172)&gt;=$T45),$W45,IF(AND($S45&lt;&gt;"",EDATE($D45,Milestones!$AA$172)&gt;=$S45),$V45,$U45)))=Milestones!$AB$172),UPPER(TEXT(EDATE($D45,Milestones!$AA$172),"dd mmm yy"))&amp;" "&amp;Milestones!$AB$172&amp;" "&amp;Milestones!$AC$172&amp;";  ","")&amp;IF(AND(EDATE($D45,Milestones!$AA$173)&lt;=AsOfDate,IF($R45=0,$X45,IF(AND($T45&lt;&gt;"",EDATE($D45,Milestones!$AA$173)&gt;=$T45),$W45,IF(AND($S45&lt;&gt;"",EDATE($D45,Milestones!$AA$173)&gt;=$S45),$V45,$U45)))=Milestones!$AB$173),UPPER(TEXT(EDATE($D45,Milestones!$AA$173),"dd mmm yy"))&amp;" "&amp;Milestones!$AB$173&amp;" "&amp;Milestones!$AC$173&amp;";  ","")&amp;IF(AND(EDATE($D45,Milestones!$AA$174)&lt;=AsOfDate,IF($R45=0,$X45,IF(AND($T45&lt;&gt;"",EDATE($D45,Milestones!$AA$174)&gt;=$T45),$W45,IF(AND($S45&lt;&gt;"",EDATE($D45,Milestones!$AA$174)&gt;=$S45),$V45,$U45)))=Milestones!$AB$174),UPPER(TEXT(EDATE($D45,Milestones!$AA$174),"dd mmm yy"))&amp;" "&amp;Milestones!$AB$174&amp;" "&amp;Milestones!$AC$174&amp;";  ","")&amp;IF(AND(EDATE($D45,Milestones!$AA$175)&lt;=AsOfDate,IF($R45=0,$X45,IF(AND($T45&lt;&gt;"",EDATE($D45,Milestones!$AA$175)&gt;=$T45),$W45,IF(AND($S45&lt;&gt;"",EDATE($D45,Milestones!$AA$175)&gt;=$S45),$V45,$U45)))=Milestones!$AB$175),UPPER(TEXT(EDATE($D45,Milestones!$AA$175),"dd mmm yy"))&amp;" "&amp;Milestones!$AB$175&amp;" "&amp;Milestones!$AC$175&amp;";  ","")&amp;IF(AND(EDATE($D45,Milestones!$AA$176)&lt;=AsOfDate,IF($R45=0,$X45,IF(AND($T45&lt;&gt;"",EDATE($D45,Milestones!$AA$176)&gt;=$T45),$W45,IF(AND($S45&lt;&gt;"",EDATE($D45,Milestones!$AA$176)&gt;=$S45),$V45,$U45)))=Milestones!$AB$176),UPPER(TEXT(EDATE($D45,Milestones!$AA$176),"dd mmm yy"))&amp;" "&amp;Milestones!$AB$176&amp;" "&amp;Milestones!$AC$176&amp;";  ","")&amp;IF(AND(EDATE($D45,Milestones!$AA$177)&lt;=AsOfDate,IF($R45=0,$X45,IF(AND($T45&lt;&gt;"",EDATE($D45,Milestones!$AA$177)&gt;=$T45),$W45,IF(AND($S45&lt;&gt;"",EDATE($D45,Milestones!$AA$177)&gt;=$S45),$V45,$U45)))=Milestones!$AB$177),UPPER(TEXT(EDATE($D45,Milestones!$AA$177),"dd mmm yy"))&amp;" "&amp;Milestones!$AB$177&amp;" "&amp;Milestones!$AC$177&amp;";  ","")&amp;IF(AND(EDATE($D45,Milestones!$AA$178)&lt;=AsOfDate,IF($R45=0,$X45,IF(AND($T45&lt;&gt;"",EDATE($D45,Milestones!$AA$178)&gt;=$T45),$W45,IF(AND($S45&lt;&gt;"",EDATE($D45,Milestones!$AA$178)&gt;=$S45),$V45,$U45)))=Milestones!$AB$178),UPPER(TEXT(EDATE($D45,Milestones!$AA$178),"dd mmm yy"))&amp;" "&amp;Milestones!$AB$178&amp;" "&amp;Milestones!$AC$178&amp;";  ","")&amp;IF(AND(EDATE($D45,Milestones!$AA$179)&lt;=AsOfDate,IF($R45=0,$X45,IF(AND($T45&lt;&gt;"",EDATE($D45,Milestones!$AA$179)&gt;=$T45),$W45,IF(AND($S45&lt;&gt;"",EDATE($D45,Milestones!$AA$179)&gt;=$S45),$V45,$U45)))=Milestones!$AB$179),UPPER(TEXT(EDATE($D45,Milestones!$AA$179),"dd mmm yy"))&amp;" "&amp;Milestones!$AB$179&amp;" "&amp;Milestones!$AC$179&amp;";  ",""))</f>
        <v/>
      </c>
      <c r="Q45" s="0" t="str">
        <f aca="false">IF(OR($A45="",$D45=""),"",IF(AND(EDATE($D45,Milestones!$AA$180)&lt;=AsOfDate,IF($R45=0,$X45,IF(AND($T45&lt;&gt;"",EDATE($D45,Milestones!$AA$180)&gt;=$T45),$W45,IF(AND($S45&lt;&gt;"",EDATE($D45,Milestones!$AA$180)&gt;=$S45),$V45,$U45)))=Milestones!$AB$180),UPPER(TEXT(EDATE($D45,Milestones!$AA$180),"dd mmm yy"))&amp;" "&amp;Milestones!$AB$180&amp;" "&amp;Milestones!$AC$180&amp;";  ","")&amp;IF(AND(EDATE($D45,Milestones!$AA$181)&lt;=AsOfDate,IF($R45=0,$X45,IF(AND($T45&lt;&gt;"",EDATE($D45,Milestones!$AA$181)&gt;=$T45),$W45,IF(AND($S45&lt;&gt;"",EDATE($D45,Milestones!$AA$181)&gt;=$S45),$V45,$U45)))=Milestones!$AB$181),UPPER(TEXT(EDATE($D45,Milestones!$AA$181),"dd mmm yy"))&amp;" "&amp;Milestones!$AB$181&amp;" "&amp;Milestones!$AC$181&amp;";  ","")&amp;IF(AND(EDATE($D45,Milestones!$AA$182)&lt;=AsOfDate,IF($R45=0,$X45,IF(AND($T45&lt;&gt;"",EDATE($D45,Milestones!$AA$182)&gt;=$T45),$W45,IF(AND($S45&lt;&gt;"",EDATE($D45,Milestones!$AA$182)&gt;=$S45),$V45,$U45)))=Milestones!$AB$182),UPPER(TEXT(EDATE($D45,Milestones!$AA$182),"dd mmm yy"))&amp;" "&amp;Milestones!$AB$182&amp;" "&amp;Milestones!$AC$182&amp;";  ","")&amp;IF(AND(EDATE($D45,Milestones!$AA$183)&lt;=AsOfDate,IF($R45=0,$X45,IF(AND($T45&lt;&gt;"",EDATE($D45,Milestones!$AA$183)&gt;=$T45),$W45,IF(AND($S45&lt;&gt;"",EDATE($D45,Milestones!$AA$183)&gt;=$S45),$V45,$U45)))=Milestones!$AB$183),UPPER(TEXT(EDATE($D45,Milestones!$AA$183),"dd mmm yy"))&amp;" "&amp;Milestones!$AB$183&amp;" "&amp;Milestones!$AC$183&amp;";  ","")&amp;IF(AND(EDATE($D45,Milestones!$AA$184)&lt;=AsOfDate,IF($R45=0,$X45,IF(AND($T45&lt;&gt;"",EDATE($D45,Milestones!$AA$184)&gt;=$T45),$W45,IF(AND($S45&lt;&gt;"",EDATE($D45,Milestones!$AA$184)&gt;=$S45),$V45,$U45)))=Milestones!$AB$184),UPPER(TEXT(EDATE($D45,Milestones!$AA$184),"dd mmm yy"))&amp;" "&amp;Milestones!$AB$184&amp;" "&amp;Milestones!$AC$184&amp;";  ","")&amp;IF(AND(EDATE($D45,Milestones!$AA$185)&lt;=AsOfDate,IF($R45=0,$X45,IF(AND($T45&lt;&gt;"",EDATE($D45,Milestones!$AA$185)&gt;=$T45),$W45,IF(AND($S45&lt;&gt;"",EDATE($D45,Milestones!$AA$185)&gt;=$S45),$V45,$U45)))=Milestones!$AB$185),UPPER(TEXT(EDATE($D45,Milestones!$AA$185),"dd mmm yy"))&amp;" "&amp;Milestones!$AB$185&amp;" "&amp;Milestones!$AC$185&amp;";  ","")&amp;IF(AND(EDATE($D45,Milestones!$AA$186)&lt;=AsOfDate,IF($R45=0,$X45,IF(AND($T45&lt;&gt;"",EDATE($D45,Milestones!$AA$186)&gt;=$T45),$W45,IF(AND($S45&lt;&gt;"",EDATE($D45,Milestones!$AA$186)&gt;=$S45),$V45,$U45)))=Milestones!$AB$186),UPPER(TEXT(EDATE($D45,Milestones!$AA$186),"dd mmm yy"))&amp;" "&amp;Milestones!$AB$186&amp;" "&amp;Milestones!$AC$186&amp;";  ","")&amp;IF(AND(EDATE($D45,Milestones!$AA$187)&lt;=AsOfDate,IF($R45=0,$X45,IF(AND($T45&lt;&gt;"",EDATE($D45,Milestones!$AA$187)&gt;=$T45),$W45,IF(AND($S45&lt;&gt;"",EDATE($D45,Milestones!$AA$187)&gt;=$S45),$V45,$U45)))=Milestones!$AB$187),UPPER(TEXT(EDATE($D45,Milestones!$AA$187),"dd mmm yy"))&amp;" "&amp;Milestones!$AB$187&amp;" "&amp;Milestones!$AC$187&amp;";  ","")&amp;IF(AND(EDATE($D45,Milestones!$AA$188)&lt;=AsOfDate,IF($R45=0,$X45,IF(AND($T45&lt;&gt;"",EDATE($D45,Milestones!$AA$188)&gt;=$T45),$W45,IF(AND($S45&lt;&gt;"",EDATE($D45,Milestones!$AA$188)&gt;=$S45),$V45,$U45)))=Milestones!$AB$188),UPPER(TEXT(EDATE($D45,Milestones!$AA$188),"dd mmm yy"))&amp;" "&amp;Milestones!$AB$188&amp;" "&amp;Milestones!$AC$188&amp;";  ","")&amp;IF(AND(EDATE($D45,Milestones!$AA$189)&lt;=AsOfDate,IF($R45=0,$X45,IF(AND($T45&lt;&gt;"",EDATE($D45,Milestones!$AA$189)&gt;=$T45),$W45,IF(AND($S45&lt;&gt;"",EDATE($D45,Milestones!$AA$189)&gt;=$S45),$V45,$U45)))=Milestones!$AB$189),UPPER(TEXT(EDATE($D45,Milestones!$AA$189),"dd mmm yy"))&amp;" "&amp;Milestones!$AB$189&amp;" "&amp;Milestones!$AC$189&amp;";  ","")&amp;IF(AND(EDATE($D45,Milestones!$AA$190)&lt;=AsOfDate,IF($R45=0,$X45,IF(AND($T45&lt;&gt;"",EDATE($D45,Milestones!$AA$190)&gt;=$T45),$W45,IF(AND($S45&lt;&gt;"",EDATE($D45,Milestones!$AA$190)&gt;=$S45),$V45,$U45)))=Milestones!$AB$190),UPPER(TEXT(EDATE($D45,Milestones!$AA$190),"dd mmm yy"))&amp;" "&amp;Milestones!$AB$190&amp;" "&amp;Milestones!$AC$190&amp;";  ","")&amp;IF(AND(EDATE($D45,Milestones!$AA$191)&lt;=AsOfDate,IF($R45=0,$X45,IF(AND($T45&lt;&gt;"",EDATE($D45,Milestones!$AA$191)&gt;=$T45),$W45,IF(AND($S45&lt;&gt;"",EDATE($D45,Milestones!$AA$191)&gt;=$S45),$V45,$U45)))=Milestones!$AB$191),UPPER(TEXT(EDATE($D45,Milestones!$AA$191),"dd mmm yy"))&amp;" "&amp;Milestones!$AB$191&amp;" "&amp;Milestones!$AC$191&amp;";  ","")&amp;IF(AND(EDATE($D45,Milestones!$AA$192)&lt;=AsOfDate,IF($R45=0,$X45,IF(AND($T45&lt;&gt;"",EDATE($D45,Milestones!$AA$192)&gt;=$T45),$W45,IF(AND($S45&lt;&gt;"",EDATE($D45,Milestones!$AA$192)&gt;=$S45),$V45,$U45)))=Milestones!$AB$192),UPPER(TEXT(EDATE($D45,Milestones!$AA$192),"dd mmm yy"))&amp;" "&amp;Milestones!$AB$192&amp;" "&amp;Milestones!$AC$192&amp;";  ","")&amp;IF(AND(EDATE($D45,Milestones!$AA$193)&lt;=AsOfDate,IF($R45=0,$X45,IF(AND($T45&lt;&gt;"",EDATE($D45,Milestones!$AA$193)&gt;=$T45),$W45,IF(AND($S45&lt;&gt;"",EDATE($D45,Milestones!$AA$193)&gt;=$S45),$V45,$U45)))=Milestones!$AB$193),UPPER(TEXT(EDATE($D45,Milestones!$AA$193),"dd mmm yy"))&amp;" "&amp;Milestones!$AB$193&amp;" "&amp;Milestones!$AC$193&amp;";  ","")&amp;IF(AND(EDATE($D45,Milestones!$AA$194)&lt;=AsOfDate,IF($R45=0,$X45,IF(AND($T45&lt;&gt;"",EDATE($D45,Milestones!$AA$194)&gt;=$T45),$W45,IF(AND($S45&lt;&gt;"",EDATE($D45,Milestones!$AA$194)&gt;=$S45),$V45,$U45)))=Milestones!$AB$194),UPPER(TEXT(EDATE($D45,Milestones!$AA$194),"dd mmm yy"))&amp;" "&amp;Milestones!$AB$194&amp;" "&amp;Milestones!$AC$194&amp;";  ","")&amp;IF(AND(EDATE($D45,Milestones!$AA$195)&lt;=AsOfDate,IF($R45=0,$X45,IF(AND($T45&lt;&gt;"",EDATE($D45,Milestones!$AA$195)&gt;=$T45),$W45,IF(AND($S45&lt;&gt;"",EDATE($D45,Milestones!$AA$195)&gt;=$S45),$V45,$U45)))=Milestones!$AB$195),UPPER(TEXT(EDATE($D45,Milestones!$AA$195),"dd mmm yy"))&amp;" "&amp;Milestones!$AB$195&amp;" "&amp;Milestones!$AC$195&amp;";  ","")&amp;IF(AND(EDATE($D45,Milestones!$AA$196)&lt;=AsOfDate,IF($R45=0,$X45,IF(AND($T45&lt;&gt;"",EDATE($D45,Milestones!$AA$196)&gt;=$T45),$W45,IF(AND($S45&lt;&gt;"",EDATE($D45,Milestones!$AA$196)&gt;=$S45),$V45,$U45)))=Milestones!$AB$196),UPPER(TEXT(EDATE($D45,Milestones!$AA$196),"dd mmm yy"))&amp;" "&amp;Milestones!$AB$196&amp;" "&amp;Milestones!$AC$196&amp;";  ","")&amp;IF(AND(EDATE($D45,Milestones!$AA$197)&lt;=AsOfDate,IF($R45=0,$X45,IF(AND($T45&lt;&gt;"",EDATE($D45,Milestones!$AA$197)&gt;=$T45),$W45,IF(AND($S45&lt;&gt;"",EDATE($D45,Milestones!$AA$197)&gt;=$S45),$V45,$U45)))=Milestones!$AB$197),UPPER(TEXT(EDATE($D45,Milestones!$AA$197),"dd mmm yy"))&amp;" "&amp;Milestones!$AB$197&amp;" "&amp;Milestones!$AC$197&amp;";  ","")&amp;IF(AND(EDATE($D45,Milestones!$AA$198)&lt;=AsOfDate,IF($R45=0,$X45,IF(AND($T45&lt;&gt;"",EDATE($D45,Milestones!$AA$198)&gt;=$T45),$W45,IF(AND($S45&lt;&gt;"",EDATE($D45,Milestones!$AA$198)&gt;=$S45),$V45,$U45)))=Milestones!$AB$198),UPPER(TEXT(EDATE($D45,Milestones!$AA$198),"dd mmm yy"))&amp;" "&amp;Milestones!$AB$198&amp;" "&amp;Milestones!$AC$198&amp;";  ","")&amp;IF(AND(EDATE($D45,Milestones!$AA$199)&lt;=AsOfDate,IF($R45=0,$X45,IF(AND($T45&lt;&gt;"",EDATE($D45,Milestones!$AA$199)&gt;=$T45),$W45,IF(AND($S45&lt;&gt;"",EDATE($D45,Milestones!$AA$199)&gt;=$S45),$V45,$U45)))=Milestones!$AB$199),UPPER(TEXT(EDATE($D45,Milestones!$AA$199),"dd mmm yy"))&amp;" "&amp;Milestones!$AB$199&amp;" "&amp;Milestones!$AC$199&amp;";  ",""))</f>
        <v/>
      </c>
      <c r="R45" s="33" t="n">
        <f aca="false">IF(Staff!$A45="","",Staff!$AI45)</f>
        <v>1</v>
      </c>
      <c r="S45" s="0" t="str">
        <f aca="false">IF(Staff!$A45="","",Staff!$AK45)</f>
        <v/>
      </c>
      <c r="T45" s="0" t="str">
        <f aca="false">IF(Staff!$A45="","",Staff!$AL45)</f>
        <v/>
      </c>
      <c r="U45" s="0" t="str">
        <f aca="false">IF(Staff!$A45="","",Staff!$AP45)</f>
        <v>FT</v>
      </c>
      <c r="V45" s="0" t="str">
        <f aca="false">IF(Staff!$A45="","",Staff!$AQ45)</f>
        <v/>
      </c>
      <c r="W45" s="0" t="str">
        <f aca="false">IF(Staff!$A45="","",Staff!$AR45)</f>
        <v/>
      </c>
      <c r="X45" s="0" t="str">
        <f aca="false">IF(Staff!$A45="","",Staff!$AS45)</f>
        <v>FT</v>
      </c>
    </row>
    <row r="46" customFormat="false" ht="15" hidden="false" customHeight="false" outlineLevel="0" collapsed="false">
      <c r="A46" s="19" t="str">
        <f aca="false">IF(Staff!$A46="","",Staff!$A46)</f>
        <v>Joshua</v>
      </c>
      <c r="B46" s="19" t="str">
        <f aca="false">IF(Staff!$A46="","",Staff!$B46)</f>
        <v>Velarde</v>
      </c>
      <c r="C46" s="19" t="str">
        <f aca="false">IF(Staff!$A46="","",Staff!$C46)</f>
        <v>Casual</v>
      </c>
      <c r="D46" s="17" t="n">
        <f aca="false">IF(Staff!$A46="","",Staff!$AH46)</f>
        <v>46083</v>
      </c>
      <c r="E46" s="20" t="n">
        <f aca="false">IF(Staff!$A46="","",Staff!$O46)</f>
        <v>0</v>
      </c>
      <c r="F46" s="19" t="n">
        <f aca="false">IF(E46="","",E46*HoursPerDay)</f>
        <v>0</v>
      </c>
      <c r="G46" s="20" t="n">
        <f aca="false">IF(Staff!$A46="","",Staff!$AE46)</f>
        <v>0</v>
      </c>
      <c r="H46" s="32" t="str">
        <f aca="false">IF($A46="","",I46&amp;J46&amp;K46&amp;L46&amp;M46&amp;N46&amp;O46&amp;P46&amp;Q46)</f>
        <v/>
      </c>
      <c r="I46" s="0" t="str">
        <f aca="false">IF(OR($A46="",$D46=""),"",IF(AND(EDATE($D46,Milestones!$AA$20)&lt;=AsOfDate,IF($R46=0,$X46,IF(AND($T46&lt;&gt;"",EDATE($D46,Milestones!$AA$20)&gt;=$T46),$W46,IF(AND($S46&lt;&gt;"",EDATE($D46,Milestones!$AA$20)&gt;=$S46),$V46,$U46)))=Milestones!$AB$20),UPPER(TEXT(EDATE($D46,Milestones!$AA$20),"dd mmm yy"))&amp;" "&amp;Milestones!$AB$20&amp;" "&amp;Milestones!$AC$20&amp;";  ","")&amp;IF(AND(EDATE($D46,Milestones!$AA$21)&lt;=AsOfDate,IF($R46=0,$X46,IF(AND($T46&lt;&gt;"",EDATE($D46,Milestones!$AA$21)&gt;=$T46),$W46,IF(AND($S46&lt;&gt;"",EDATE($D46,Milestones!$AA$21)&gt;=$S46),$V46,$U46)))=Milestones!$AB$21),UPPER(TEXT(EDATE($D46,Milestones!$AA$21),"dd mmm yy"))&amp;" "&amp;Milestones!$AB$21&amp;" "&amp;Milestones!$AC$21&amp;";  ","")&amp;IF(AND(EDATE($D46,Milestones!$AA$22)&lt;=AsOfDate,IF($R46=0,$X46,IF(AND($T46&lt;&gt;"",EDATE($D46,Milestones!$AA$22)&gt;=$T46),$W46,IF(AND($S46&lt;&gt;"",EDATE($D46,Milestones!$AA$22)&gt;=$S46),$V46,$U46)))=Milestones!$AB$22),UPPER(TEXT(EDATE($D46,Milestones!$AA$22),"dd mmm yy"))&amp;" "&amp;Milestones!$AB$22&amp;" "&amp;Milestones!$AC$22&amp;";  ","")&amp;IF(AND(EDATE($D46,Milestones!$AA$23)&lt;=AsOfDate,IF($R46=0,$X46,IF(AND($T46&lt;&gt;"",EDATE($D46,Milestones!$AA$23)&gt;=$T46),$W46,IF(AND($S46&lt;&gt;"",EDATE($D46,Milestones!$AA$23)&gt;=$S46),$V46,$U46)))=Milestones!$AB$23),UPPER(TEXT(EDATE($D46,Milestones!$AA$23),"dd mmm yy"))&amp;" "&amp;Milestones!$AB$23&amp;" "&amp;Milestones!$AC$23&amp;";  ","")&amp;IF(AND(EDATE($D46,Milestones!$AA$24)&lt;=AsOfDate,IF($R46=0,$X46,IF(AND($T46&lt;&gt;"",EDATE($D46,Milestones!$AA$24)&gt;=$T46),$W46,IF(AND($S46&lt;&gt;"",EDATE($D46,Milestones!$AA$24)&gt;=$S46),$V46,$U46)))=Milestones!$AB$24),UPPER(TEXT(EDATE($D46,Milestones!$AA$24),"dd mmm yy"))&amp;" "&amp;Milestones!$AB$24&amp;" "&amp;Milestones!$AC$24&amp;";  ","")&amp;IF(AND(EDATE($D46,Milestones!$AA$25)&lt;=AsOfDate,IF($R46=0,$X46,IF(AND($T46&lt;&gt;"",EDATE($D46,Milestones!$AA$25)&gt;=$T46),$W46,IF(AND($S46&lt;&gt;"",EDATE($D46,Milestones!$AA$25)&gt;=$S46),$V46,$U46)))=Milestones!$AB$25),UPPER(TEXT(EDATE($D46,Milestones!$AA$25),"dd mmm yy"))&amp;" "&amp;Milestones!$AB$25&amp;" "&amp;Milestones!$AC$25&amp;";  ","")&amp;IF(AND(EDATE($D46,Milestones!$AA$26)&lt;=AsOfDate,IF($R46=0,$X46,IF(AND($T46&lt;&gt;"",EDATE($D46,Milestones!$AA$26)&gt;=$T46),$W46,IF(AND($S46&lt;&gt;"",EDATE($D46,Milestones!$AA$26)&gt;=$S46),$V46,$U46)))=Milestones!$AB$26),UPPER(TEXT(EDATE($D46,Milestones!$AA$26),"dd mmm yy"))&amp;" "&amp;Milestones!$AB$26&amp;" "&amp;Milestones!$AC$26&amp;";  ","")&amp;IF(AND(EDATE($D46,Milestones!$AA$27)&lt;=AsOfDate,IF($R46=0,$X46,IF(AND($T46&lt;&gt;"",EDATE($D46,Milestones!$AA$27)&gt;=$T46),$W46,IF(AND($S46&lt;&gt;"",EDATE($D46,Milestones!$AA$27)&gt;=$S46),$V46,$U46)))=Milestones!$AB$27),UPPER(TEXT(EDATE($D46,Milestones!$AA$27),"dd mmm yy"))&amp;" "&amp;Milestones!$AB$27&amp;" "&amp;Milestones!$AC$27&amp;";  ","")&amp;IF(AND(EDATE($D46,Milestones!$AA$28)&lt;=AsOfDate,IF($R46=0,$X46,IF(AND($T46&lt;&gt;"",EDATE($D46,Milestones!$AA$28)&gt;=$T46),$W46,IF(AND($S46&lt;&gt;"",EDATE($D46,Milestones!$AA$28)&gt;=$S46),$V46,$U46)))=Milestones!$AB$28),UPPER(TEXT(EDATE($D46,Milestones!$AA$28),"dd mmm yy"))&amp;" "&amp;Milestones!$AB$28&amp;" "&amp;Milestones!$AC$28&amp;";  ","")&amp;IF(AND(EDATE($D46,Milestones!$AA$29)&lt;=AsOfDate,IF($R46=0,$X46,IF(AND($T46&lt;&gt;"",EDATE($D46,Milestones!$AA$29)&gt;=$T46),$W46,IF(AND($S46&lt;&gt;"",EDATE($D46,Milestones!$AA$29)&gt;=$S46),$V46,$U46)))=Milestones!$AB$29),UPPER(TEXT(EDATE($D46,Milestones!$AA$29),"dd mmm yy"))&amp;" "&amp;Milestones!$AB$29&amp;" "&amp;Milestones!$AC$29&amp;";  ","")&amp;IF(AND(EDATE($D46,Milestones!$AA$30)&lt;=AsOfDate,IF($R46=0,$X46,IF(AND($T46&lt;&gt;"",EDATE($D46,Milestones!$AA$30)&gt;=$T46),$W46,IF(AND($S46&lt;&gt;"",EDATE($D46,Milestones!$AA$30)&gt;=$S46),$V46,$U46)))=Milestones!$AB$30),UPPER(TEXT(EDATE($D46,Milestones!$AA$30),"dd mmm yy"))&amp;" "&amp;Milestones!$AB$30&amp;" "&amp;Milestones!$AC$30&amp;";  ","")&amp;IF(AND(EDATE($D46,Milestones!$AA$31)&lt;=AsOfDate,IF($R46=0,$X46,IF(AND($T46&lt;&gt;"",EDATE($D46,Milestones!$AA$31)&gt;=$T46),$W46,IF(AND($S46&lt;&gt;"",EDATE($D46,Milestones!$AA$31)&gt;=$S46),$V46,$U46)))=Milestones!$AB$31),UPPER(TEXT(EDATE($D46,Milestones!$AA$31),"dd mmm yy"))&amp;" "&amp;Milestones!$AB$31&amp;" "&amp;Milestones!$AC$31&amp;";  ","")&amp;IF(AND(EDATE($D46,Milestones!$AA$32)&lt;=AsOfDate,IF($R46=0,$X46,IF(AND($T46&lt;&gt;"",EDATE($D46,Milestones!$AA$32)&gt;=$T46),$W46,IF(AND($S46&lt;&gt;"",EDATE($D46,Milestones!$AA$32)&gt;=$S46),$V46,$U46)))=Milestones!$AB$32),UPPER(TEXT(EDATE($D46,Milestones!$AA$32),"dd mmm yy"))&amp;" "&amp;Milestones!$AB$32&amp;" "&amp;Milestones!$AC$32&amp;";  ","")&amp;IF(AND(EDATE($D46,Milestones!$AA$33)&lt;=AsOfDate,IF($R46=0,$X46,IF(AND($T46&lt;&gt;"",EDATE($D46,Milestones!$AA$33)&gt;=$T46),$W46,IF(AND($S46&lt;&gt;"",EDATE($D46,Milestones!$AA$33)&gt;=$S46),$V46,$U46)))=Milestones!$AB$33),UPPER(TEXT(EDATE($D46,Milestones!$AA$33),"dd mmm yy"))&amp;" "&amp;Milestones!$AB$33&amp;" "&amp;Milestones!$AC$33&amp;";  ","")&amp;IF(AND(EDATE($D46,Milestones!$AA$34)&lt;=AsOfDate,IF($R46=0,$X46,IF(AND($T46&lt;&gt;"",EDATE($D46,Milestones!$AA$34)&gt;=$T46),$W46,IF(AND($S46&lt;&gt;"",EDATE($D46,Milestones!$AA$34)&gt;=$S46),$V46,$U46)))=Milestones!$AB$34),UPPER(TEXT(EDATE($D46,Milestones!$AA$34),"dd mmm yy"))&amp;" "&amp;Milestones!$AB$34&amp;" "&amp;Milestones!$AC$34&amp;";  ","")&amp;IF(AND(EDATE($D46,Milestones!$AA$35)&lt;=AsOfDate,IF($R46=0,$X46,IF(AND($T46&lt;&gt;"",EDATE($D46,Milestones!$AA$35)&gt;=$T46),$W46,IF(AND($S46&lt;&gt;"",EDATE($D46,Milestones!$AA$35)&gt;=$S46),$V46,$U46)))=Milestones!$AB$35),UPPER(TEXT(EDATE($D46,Milestones!$AA$35),"dd mmm yy"))&amp;" "&amp;Milestones!$AB$35&amp;" "&amp;Milestones!$AC$35&amp;";  ","")&amp;IF(AND(EDATE($D46,Milestones!$AA$36)&lt;=AsOfDate,IF($R46=0,$X46,IF(AND($T46&lt;&gt;"",EDATE($D46,Milestones!$AA$36)&gt;=$T46),$W46,IF(AND($S46&lt;&gt;"",EDATE($D46,Milestones!$AA$36)&gt;=$S46),$V46,$U46)))=Milestones!$AB$36),UPPER(TEXT(EDATE($D46,Milestones!$AA$36),"dd mmm yy"))&amp;" "&amp;Milestones!$AB$36&amp;" "&amp;Milestones!$AC$36&amp;";  ","")&amp;IF(AND(EDATE($D46,Milestones!$AA$37)&lt;=AsOfDate,IF($R46=0,$X46,IF(AND($T46&lt;&gt;"",EDATE($D46,Milestones!$AA$37)&gt;=$T46),$W46,IF(AND($S46&lt;&gt;"",EDATE($D46,Milestones!$AA$37)&gt;=$S46),$V46,$U46)))=Milestones!$AB$37),UPPER(TEXT(EDATE($D46,Milestones!$AA$37),"dd mmm yy"))&amp;" "&amp;Milestones!$AB$37&amp;" "&amp;Milestones!$AC$37&amp;";  ","")&amp;IF(AND(EDATE($D46,Milestones!$AA$38)&lt;=AsOfDate,IF($R46=0,$X46,IF(AND($T46&lt;&gt;"",EDATE($D46,Milestones!$AA$38)&gt;=$T46),$W46,IF(AND($S46&lt;&gt;"",EDATE($D46,Milestones!$AA$38)&gt;=$S46),$V46,$U46)))=Milestones!$AB$38),UPPER(TEXT(EDATE($D46,Milestones!$AA$38),"dd mmm yy"))&amp;" "&amp;Milestones!$AB$38&amp;" "&amp;Milestones!$AC$38&amp;";  ","")&amp;IF(AND(EDATE($D46,Milestones!$AA$39)&lt;=AsOfDate,IF($R46=0,$X46,IF(AND($T46&lt;&gt;"",EDATE($D46,Milestones!$AA$39)&gt;=$T46),$W46,IF(AND($S46&lt;&gt;"",EDATE($D46,Milestones!$AA$39)&gt;=$S46),$V46,$U46)))=Milestones!$AB$39),UPPER(TEXT(EDATE($D46,Milestones!$AA$39),"dd mmm yy"))&amp;" "&amp;Milestones!$AB$39&amp;" "&amp;Milestones!$AC$39&amp;";  ",""))</f>
        <v/>
      </c>
      <c r="J46" s="0" t="str">
        <f aca="false">IF(OR($A46="",$D46=""),"",IF(AND(EDATE($D46,Milestones!$AA$40)&lt;=AsOfDate,IF($R46=0,$X46,IF(AND($T46&lt;&gt;"",EDATE($D46,Milestones!$AA$40)&gt;=$T46),$W46,IF(AND($S46&lt;&gt;"",EDATE($D46,Milestones!$AA$40)&gt;=$S46),$V46,$U46)))=Milestones!$AB$40),UPPER(TEXT(EDATE($D46,Milestones!$AA$40),"dd mmm yy"))&amp;" "&amp;Milestones!$AB$40&amp;" "&amp;Milestones!$AC$40&amp;";  ","")&amp;IF(AND(EDATE($D46,Milestones!$AA$41)&lt;=AsOfDate,IF($R46=0,$X46,IF(AND($T46&lt;&gt;"",EDATE($D46,Milestones!$AA$41)&gt;=$T46),$W46,IF(AND($S46&lt;&gt;"",EDATE($D46,Milestones!$AA$41)&gt;=$S46),$V46,$U46)))=Milestones!$AB$41),UPPER(TEXT(EDATE($D46,Milestones!$AA$41),"dd mmm yy"))&amp;" "&amp;Milestones!$AB$41&amp;" "&amp;Milestones!$AC$41&amp;";  ","")&amp;IF(AND(EDATE($D46,Milestones!$AA$42)&lt;=AsOfDate,IF($R46=0,$X46,IF(AND($T46&lt;&gt;"",EDATE($D46,Milestones!$AA$42)&gt;=$T46),$W46,IF(AND($S46&lt;&gt;"",EDATE($D46,Milestones!$AA$42)&gt;=$S46),$V46,$U46)))=Milestones!$AB$42),UPPER(TEXT(EDATE($D46,Milestones!$AA$42),"dd mmm yy"))&amp;" "&amp;Milestones!$AB$42&amp;" "&amp;Milestones!$AC$42&amp;";  ","")&amp;IF(AND(EDATE($D46,Milestones!$AA$43)&lt;=AsOfDate,IF($R46=0,$X46,IF(AND($T46&lt;&gt;"",EDATE($D46,Milestones!$AA$43)&gt;=$T46),$W46,IF(AND($S46&lt;&gt;"",EDATE($D46,Milestones!$AA$43)&gt;=$S46),$V46,$U46)))=Milestones!$AB$43),UPPER(TEXT(EDATE($D46,Milestones!$AA$43),"dd mmm yy"))&amp;" "&amp;Milestones!$AB$43&amp;" "&amp;Milestones!$AC$43&amp;";  ","")&amp;IF(AND(EDATE($D46,Milestones!$AA$44)&lt;=AsOfDate,IF($R46=0,$X46,IF(AND($T46&lt;&gt;"",EDATE($D46,Milestones!$AA$44)&gt;=$T46),$W46,IF(AND($S46&lt;&gt;"",EDATE($D46,Milestones!$AA$44)&gt;=$S46),$V46,$U46)))=Milestones!$AB$44),UPPER(TEXT(EDATE($D46,Milestones!$AA$44),"dd mmm yy"))&amp;" "&amp;Milestones!$AB$44&amp;" "&amp;Milestones!$AC$44&amp;";  ","")&amp;IF(AND(EDATE($D46,Milestones!$AA$45)&lt;=AsOfDate,IF($R46=0,$X46,IF(AND($T46&lt;&gt;"",EDATE($D46,Milestones!$AA$45)&gt;=$T46),$W46,IF(AND($S46&lt;&gt;"",EDATE($D46,Milestones!$AA$45)&gt;=$S46),$V46,$U46)))=Milestones!$AB$45),UPPER(TEXT(EDATE($D46,Milestones!$AA$45),"dd mmm yy"))&amp;" "&amp;Milestones!$AB$45&amp;" "&amp;Milestones!$AC$45&amp;";  ","")&amp;IF(AND(EDATE($D46,Milestones!$AA$46)&lt;=AsOfDate,IF($R46=0,$X46,IF(AND($T46&lt;&gt;"",EDATE($D46,Milestones!$AA$46)&gt;=$T46),$W46,IF(AND($S46&lt;&gt;"",EDATE($D46,Milestones!$AA$46)&gt;=$S46),$V46,$U46)))=Milestones!$AB$46),UPPER(TEXT(EDATE($D46,Milestones!$AA$46),"dd mmm yy"))&amp;" "&amp;Milestones!$AB$46&amp;" "&amp;Milestones!$AC$46&amp;";  ","")&amp;IF(AND(EDATE($D46,Milestones!$AA$47)&lt;=AsOfDate,IF($R46=0,$X46,IF(AND($T46&lt;&gt;"",EDATE($D46,Milestones!$AA$47)&gt;=$T46),$W46,IF(AND($S46&lt;&gt;"",EDATE($D46,Milestones!$AA$47)&gt;=$S46),$V46,$U46)))=Milestones!$AB$47),UPPER(TEXT(EDATE($D46,Milestones!$AA$47),"dd mmm yy"))&amp;" "&amp;Milestones!$AB$47&amp;" "&amp;Milestones!$AC$47&amp;";  ","")&amp;IF(AND(EDATE($D46,Milestones!$AA$48)&lt;=AsOfDate,IF($R46=0,$X46,IF(AND($T46&lt;&gt;"",EDATE($D46,Milestones!$AA$48)&gt;=$T46),$W46,IF(AND($S46&lt;&gt;"",EDATE($D46,Milestones!$AA$48)&gt;=$S46),$V46,$U46)))=Milestones!$AB$48),UPPER(TEXT(EDATE($D46,Milestones!$AA$48),"dd mmm yy"))&amp;" "&amp;Milestones!$AB$48&amp;" "&amp;Milestones!$AC$48&amp;";  ","")&amp;IF(AND(EDATE($D46,Milestones!$AA$49)&lt;=AsOfDate,IF($R46=0,$X46,IF(AND($T46&lt;&gt;"",EDATE($D46,Milestones!$AA$49)&gt;=$T46),$W46,IF(AND($S46&lt;&gt;"",EDATE($D46,Milestones!$AA$49)&gt;=$S46),$V46,$U46)))=Milestones!$AB$49),UPPER(TEXT(EDATE($D46,Milestones!$AA$49),"dd mmm yy"))&amp;" "&amp;Milestones!$AB$49&amp;" "&amp;Milestones!$AC$49&amp;";  ","")&amp;IF(AND(EDATE($D46,Milestones!$AA$50)&lt;=AsOfDate,IF($R46=0,$X46,IF(AND($T46&lt;&gt;"",EDATE($D46,Milestones!$AA$50)&gt;=$T46),$W46,IF(AND($S46&lt;&gt;"",EDATE($D46,Milestones!$AA$50)&gt;=$S46),$V46,$U46)))=Milestones!$AB$50),UPPER(TEXT(EDATE($D46,Milestones!$AA$50),"dd mmm yy"))&amp;" "&amp;Milestones!$AB$50&amp;" "&amp;Milestones!$AC$50&amp;";  ","")&amp;IF(AND(EDATE($D46,Milestones!$AA$51)&lt;=AsOfDate,IF($R46=0,$X46,IF(AND($T46&lt;&gt;"",EDATE($D46,Milestones!$AA$51)&gt;=$T46),$W46,IF(AND($S46&lt;&gt;"",EDATE($D46,Milestones!$AA$51)&gt;=$S46),$V46,$U46)))=Milestones!$AB$51),UPPER(TEXT(EDATE($D46,Milestones!$AA$51),"dd mmm yy"))&amp;" "&amp;Milestones!$AB$51&amp;" "&amp;Milestones!$AC$51&amp;";  ","")&amp;IF(AND(EDATE($D46,Milestones!$AA$52)&lt;=AsOfDate,IF($R46=0,$X46,IF(AND($T46&lt;&gt;"",EDATE($D46,Milestones!$AA$52)&gt;=$T46),$W46,IF(AND($S46&lt;&gt;"",EDATE($D46,Milestones!$AA$52)&gt;=$S46),$V46,$U46)))=Milestones!$AB$52),UPPER(TEXT(EDATE($D46,Milestones!$AA$52),"dd mmm yy"))&amp;" "&amp;Milestones!$AB$52&amp;" "&amp;Milestones!$AC$52&amp;";  ","")&amp;IF(AND(EDATE($D46,Milestones!$AA$53)&lt;=AsOfDate,IF($R46=0,$X46,IF(AND($T46&lt;&gt;"",EDATE($D46,Milestones!$AA$53)&gt;=$T46),$W46,IF(AND($S46&lt;&gt;"",EDATE($D46,Milestones!$AA$53)&gt;=$S46),$V46,$U46)))=Milestones!$AB$53),UPPER(TEXT(EDATE($D46,Milestones!$AA$53),"dd mmm yy"))&amp;" "&amp;Milestones!$AB$53&amp;" "&amp;Milestones!$AC$53&amp;";  ","")&amp;IF(AND(EDATE($D46,Milestones!$AA$54)&lt;=AsOfDate,IF($R46=0,$X46,IF(AND($T46&lt;&gt;"",EDATE($D46,Milestones!$AA$54)&gt;=$T46),$W46,IF(AND($S46&lt;&gt;"",EDATE($D46,Milestones!$AA$54)&gt;=$S46),$V46,$U46)))=Milestones!$AB$54),UPPER(TEXT(EDATE($D46,Milestones!$AA$54),"dd mmm yy"))&amp;" "&amp;Milestones!$AB$54&amp;" "&amp;Milestones!$AC$54&amp;";  ","")&amp;IF(AND(EDATE($D46,Milestones!$AA$55)&lt;=AsOfDate,IF($R46=0,$X46,IF(AND($T46&lt;&gt;"",EDATE($D46,Milestones!$AA$55)&gt;=$T46),$W46,IF(AND($S46&lt;&gt;"",EDATE($D46,Milestones!$AA$55)&gt;=$S46),$V46,$U46)))=Milestones!$AB$55),UPPER(TEXT(EDATE($D46,Milestones!$AA$55),"dd mmm yy"))&amp;" "&amp;Milestones!$AB$55&amp;" "&amp;Milestones!$AC$55&amp;";  ","")&amp;IF(AND(EDATE($D46,Milestones!$AA$56)&lt;=AsOfDate,IF($R46=0,$X46,IF(AND($T46&lt;&gt;"",EDATE($D46,Milestones!$AA$56)&gt;=$T46),$W46,IF(AND($S46&lt;&gt;"",EDATE($D46,Milestones!$AA$56)&gt;=$S46),$V46,$U46)))=Milestones!$AB$56),UPPER(TEXT(EDATE($D46,Milestones!$AA$56),"dd mmm yy"))&amp;" "&amp;Milestones!$AB$56&amp;" "&amp;Milestones!$AC$56&amp;";  ","")&amp;IF(AND(EDATE($D46,Milestones!$AA$57)&lt;=AsOfDate,IF($R46=0,$X46,IF(AND($T46&lt;&gt;"",EDATE($D46,Milestones!$AA$57)&gt;=$T46),$W46,IF(AND($S46&lt;&gt;"",EDATE($D46,Milestones!$AA$57)&gt;=$S46),$V46,$U46)))=Milestones!$AB$57),UPPER(TEXT(EDATE($D46,Milestones!$AA$57),"dd mmm yy"))&amp;" "&amp;Milestones!$AB$57&amp;" "&amp;Milestones!$AC$57&amp;";  ","")&amp;IF(AND(EDATE($D46,Milestones!$AA$58)&lt;=AsOfDate,IF($R46=0,$X46,IF(AND($T46&lt;&gt;"",EDATE($D46,Milestones!$AA$58)&gt;=$T46),$W46,IF(AND($S46&lt;&gt;"",EDATE($D46,Milestones!$AA$58)&gt;=$S46),$V46,$U46)))=Milestones!$AB$58),UPPER(TEXT(EDATE($D46,Milestones!$AA$58),"dd mmm yy"))&amp;" "&amp;Milestones!$AB$58&amp;" "&amp;Milestones!$AC$58&amp;";  ","")&amp;IF(AND(EDATE($D46,Milestones!$AA$59)&lt;=AsOfDate,IF($R46=0,$X46,IF(AND($T46&lt;&gt;"",EDATE($D46,Milestones!$AA$59)&gt;=$T46),$W46,IF(AND($S46&lt;&gt;"",EDATE($D46,Milestones!$AA$59)&gt;=$S46),$V46,$U46)))=Milestones!$AB$59),UPPER(TEXT(EDATE($D46,Milestones!$AA$59),"dd mmm yy"))&amp;" "&amp;Milestones!$AB$59&amp;" "&amp;Milestones!$AC$59&amp;";  ",""))</f>
        <v/>
      </c>
      <c r="K46" s="0" t="str">
        <f aca="false">IF(OR($A46="",$D46=""),"",IF(AND(EDATE($D46,Milestones!$AA$60)&lt;=AsOfDate,IF($R46=0,$X46,IF(AND($T46&lt;&gt;"",EDATE($D46,Milestones!$AA$60)&gt;=$T46),$W46,IF(AND($S46&lt;&gt;"",EDATE($D46,Milestones!$AA$60)&gt;=$S46),$V46,$U46)))=Milestones!$AB$60),UPPER(TEXT(EDATE($D46,Milestones!$AA$60),"dd mmm yy"))&amp;" "&amp;Milestones!$AB$60&amp;" "&amp;Milestones!$AC$60&amp;";  ","")&amp;IF(AND(EDATE($D46,Milestones!$AA$61)&lt;=AsOfDate,IF($R46=0,$X46,IF(AND($T46&lt;&gt;"",EDATE($D46,Milestones!$AA$61)&gt;=$T46),$W46,IF(AND($S46&lt;&gt;"",EDATE($D46,Milestones!$AA$61)&gt;=$S46),$V46,$U46)))=Milestones!$AB$61),UPPER(TEXT(EDATE($D46,Milestones!$AA$61),"dd mmm yy"))&amp;" "&amp;Milestones!$AB$61&amp;" "&amp;Milestones!$AC$61&amp;";  ","")&amp;IF(AND(EDATE($D46,Milestones!$AA$62)&lt;=AsOfDate,IF($R46=0,$X46,IF(AND($T46&lt;&gt;"",EDATE($D46,Milestones!$AA$62)&gt;=$T46),$W46,IF(AND($S46&lt;&gt;"",EDATE($D46,Milestones!$AA$62)&gt;=$S46),$V46,$U46)))=Milestones!$AB$62),UPPER(TEXT(EDATE($D46,Milestones!$AA$62),"dd mmm yy"))&amp;" "&amp;Milestones!$AB$62&amp;" "&amp;Milestones!$AC$62&amp;";  ","")&amp;IF(AND(EDATE($D46,Milestones!$AA$63)&lt;=AsOfDate,IF($R46=0,$X46,IF(AND($T46&lt;&gt;"",EDATE($D46,Milestones!$AA$63)&gt;=$T46),$W46,IF(AND($S46&lt;&gt;"",EDATE($D46,Milestones!$AA$63)&gt;=$S46),$V46,$U46)))=Milestones!$AB$63),UPPER(TEXT(EDATE($D46,Milestones!$AA$63),"dd mmm yy"))&amp;" "&amp;Milestones!$AB$63&amp;" "&amp;Milestones!$AC$63&amp;";  ","")&amp;IF(AND(EDATE($D46,Milestones!$AA$64)&lt;=AsOfDate,IF($R46=0,$X46,IF(AND($T46&lt;&gt;"",EDATE($D46,Milestones!$AA$64)&gt;=$T46),$W46,IF(AND($S46&lt;&gt;"",EDATE($D46,Milestones!$AA$64)&gt;=$S46),$V46,$U46)))=Milestones!$AB$64),UPPER(TEXT(EDATE($D46,Milestones!$AA$64),"dd mmm yy"))&amp;" "&amp;Milestones!$AB$64&amp;" "&amp;Milestones!$AC$64&amp;";  ","")&amp;IF(AND(EDATE($D46,Milestones!$AA$65)&lt;=AsOfDate,IF($R46=0,$X46,IF(AND($T46&lt;&gt;"",EDATE($D46,Milestones!$AA$65)&gt;=$T46),$W46,IF(AND($S46&lt;&gt;"",EDATE($D46,Milestones!$AA$65)&gt;=$S46),$V46,$U46)))=Milestones!$AB$65),UPPER(TEXT(EDATE($D46,Milestones!$AA$65),"dd mmm yy"))&amp;" "&amp;Milestones!$AB$65&amp;" "&amp;Milestones!$AC$65&amp;";  ","")&amp;IF(AND(EDATE($D46,Milestones!$AA$66)&lt;=AsOfDate,IF($R46=0,$X46,IF(AND($T46&lt;&gt;"",EDATE($D46,Milestones!$AA$66)&gt;=$T46),$W46,IF(AND($S46&lt;&gt;"",EDATE($D46,Milestones!$AA$66)&gt;=$S46),$V46,$U46)))=Milestones!$AB$66),UPPER(TEXT(EDATE($D46,Milestones!$AA$66),"dd mmm yy"))&amp;" "&amp;Milestones!$AB$66&amp;" "&amp;Milestones!$AC$66&amp;";  ","")&amp;IF(AND(EDATE($D46,Milestones!$AA$67)&lt;=AsOfDate,IF($R46=0,$X46,IF(AND($T46&lt;&gt;"",EDATE($D46,Milestones!$AA$67)&gt;=$T46),$W46,IF(AND($S46&lt;&gt;"",EDATE($D46,Milestones!$AA$67)&gt;=$S46),$V46,$U46)))=Milestones!$AB$67),UPPER(TEXT(EDATE($D46,Milestones!$AA$67),"dd mmm yy"))&amp;" "&amp;Milestones!$AB$67&amp;" "&amp;Milestones!$AC$67&amp;";  ","")&amp;IF(AND(EDATE($D46,Milestones!$AA$68)&lt;=AsOfDate,IF($R46=0,$X46,IF(AND($T46&lt;&gt;"",EDATE($D46,Milestones!$AA$68)&gt;=$T46),$W46,IF(AND($S46&lt;&gt;"",EDATE($D46,Milestones!$AA$68)&gt;=$S46),$V46,$U46)))=Milestones!$AB$68),UPPER(TEXT(EDATE($D46,Milestones!$AA$68),"dd mmm yy"))&amp;" "&amp;Milestones!$AB$68&amp;" "&amp;Milestones!$AC$68&amp;";  ","")&amp;IF(AND(EDATE($D46,Milestones!$AA$69)&lt;=AsOfDate,IF($R46=0,$X46,IF(AND($T46&lt;&gt;"",EDATE($D46,Milestones!$AA$69)&gt;=$T46),$W46,IF(AND($S46&lt;&gt;"",EDATE($D46,Milestones!$AA$69)&gt;=$S46),$V46,$U46)))=Milestones!$AB$69),UPPER(TEXT(EDATE($D46,Milestones!$AA$69),"dd mmm yy"))&amp;" "&amp;Milestones!$AB$69&amp;" "&amp;Milestones!$AC$69&amp;";  ","")&amp;IF(AND(EDATE($D46,Milestones!$AA$70)&lt;=AsOfDate,IF($R46=0,$X46,IF(AND($T46&lt;&gt;"",EDATE($D46,Milestones!$AA$70)&gt;=$T46),$W46,IF(AND($S46&lt;&gt;"",EDATE($D46,Milestones!$AA$70)&gt;=$S46),$V46,$U46)))=Milestones!$AB$70),UPPER(TEXT(EDATE($D46,Milestones!$AA$70),"dd mmm yy"))&amp;" "&amp;Milestones!$AB$70&amp;" "&amp;Milestones!$AC$70&amp;";  ","")&amp;IF(AND(EDATE($D46,Milestones!$AA$71)&lt;=AsOfDate,IF($R46=0,$X46,IF(AND($T46&lt;&gt;"",EDATE($D46,Milestones!$AA$71)&gt;=$T46),$W46,IF(AND($S46&lt;&gt;"",EDATE($D46,Milestones!$AA$71)&gt;=$S46),$V46,$U46)))=Milestones!$AB$71),UPPER(TEXT(EDATE($D46,Milestones!$AA$71),"dd mmm yy"))&amp;" "&amp;Milestones!$AB$71&amp;" "&amp;Milestones!$AC$71&amp;";  ","")&amp;IF(AND(EDATE($D46,Milestones!$AA$72)&lt;=AsOfDate,IF($R46=0,$X46,IF(AND($T46&lt;&gt;"",EDATE($D46,Milestones!$AA$72)&gt;=$T46),$W46,IF(AND($S46&lt;&gt;"",EDATE($D46,Milestones!$AA$72)&gt;=$S46),$V46,$U46)))=Milestones!$AB$72),UPPER(TEXT(EDATE($D46,Milestones!$AA$72),"dd mmm yy"))&amp;" "&amp;Milestones!$AB$72&amp;" "&amp;Milestones!$AC$72&amp;";  ","")&amp;IF(AND(EDATE($D46,Milestones!$AA$73)&lt;=AsOfDate,IF($R46=0,$X46,IF(AND($T46&lt;&gt;"",EDATE($D46,Milestones!$AA$73)&gt;=$T46),$W46,IF(AND($S46&lt;&gt;"",EDATE($D46,Milestones!$AA$73)&gt;=$S46),$V46,$U46)))=Milestones!$AB$73),UPPER(TEXT(EDATE($D46,Milestones!$AA$73),"dd mmm yy"))&amp;" "&amp;Milestones!$AB$73&amp;" "&amp;Milestones!$AC$73&amp;";  ","")&amp;IF(AND(EDATE($D46,Milestones!$AA$74)&lt;=AsOfDate,IF($R46=0,$X46,IF(AND($T46&lt;&gt;"",EDATE($D46,Milestones!$AA$74)&gt;=$T46),$W46,IF(AND($S46&lt;&gt;"",EDATE($D46,Milestones!$AA$74)&gt;=$S46),$V46,$U46)))=Milestones!$AB$74),UPPER(TEXT(EDATE($D46,Milestones!$AA$74),"dd mmm yy"))&amp;" "&amp;Milestones!$AB$74&amp;" "&amp;Milestones!$AC$74&amp;";  ","")&amp;IF(AND(EDATE($D46,Milestones!$AA$75)&lt;=AsOfDate,IF($R46=0,$X46,IF(AND($T46&lt;&gt;"",EDATE($D46,Milestones!$AA$75)&gt;=$T46),$W46,IF(AND($S46&lt;&gt;"",EDATE($D46,Milestones!$AA$75)&gt;=$S46),$V46,$U46)))=Milestones!$AB$75),UPPER(TEXT(EDATE($D46,Milestones!$AA$75),"dd mmm yy"))&amp;" "&amp;Milestones!$AB$75&amp;" "&amp;Milestones!$AC$75&amp;";  ","")&amp;IF(AND(EDATE($D46,Milestones!$AA$76)&lt;=AsOfDate,IF($R46=0,$X46,IF(AND($T46&lt;&gt;"",EDATE($D46,Milestones!$AA$76)&gt;=$T46),$W46,IF(AND($S46&lt;&gt;"",EDATE($D46,Milestones!$AA$76)&gt;=$S46),$V46,$U46)))=Milestones!$AB$76),UPPER(TEXT(EDATE($D46,Milestones!$AA$76),"dd mmm yy"))&amp;" "&amp;Milestones!$AB$76&amp;" "&amp;Milestones!$AC$76&amp;";  ","")&amp;IF(AND(EDATE($D46,Milestones!$AA$77)&lt;=AsOfDate,IF($R46=0,$X46,IF(AND($T46&lt;&gt;"",EDATE($D46,Milestones!$AA$77)&gt;=$T46),$W46,IF(AND($S46&lt;&gt;"",EDATE($D46,Milestones!$AA$77)&gt;=$S46),$V46,$U46)))=Milestones!$AB$77),UPPER(TEXT(EDATE($D46,Milestones!$AA$77),"dd mmm yy"))&amp;" "&amp;Milestones!$AB$77&amp;" "&amp;Milestones!$AC$77&amp;";  ","")&amp;IF(AND(EDATE($D46,Milestones!$AA$78)&lt;=AsOfDate,IF($R46=0,$X46,IF(AND($T46&lt;&gt;"",EDATE($D46,Milestones!$AA$78)&gt;=$T46),$W46,IF(AND($S46&lt;&gt;"",EDATE($D46,Milestones!$AA$78)&gt;=$S46),$V46,$U46)))=Milestones!$AB$78),UPPER(TEXT(EDATE($D46,Milestones!$AA$78),"dd mmm yy"))&amp;" "&amp;Milestones!$AB$78&amp;" "&amp;Milestones!$AC$78&amp;";  ","")&amp;IF(AND(EDATE($D46,Milestones!$AA$79)&lt;=AsOfDate,IF($R46=0,$X46,IF(AND($T46&lt;&gt;"",EDATE($D46,Milestones!$AA$79)&gt;=$T46),$W46,IF(AND($S46&lt;&gt;"",EDATE($D46,Milestones!$AA$79)&gt;=$S46),$V46,$U46)))=Milestones!$AB$79),UPPER(TEXT(EDATE($D46,Milestones!$AA$79),"dd mmm yy"))&amp;" "&amp;Milestones!$AB$79&amp;" "&amp;Milestones!$AC$79&amp;";  ",""))</f>
        <v/>
      </c>
      <c r="L46" s="0" t="str">
        <f aca="false">IF(OR($A46="",$D46=""),"",IF(AND(EDATE($D46,Milestones!$AA$80)&lt;=AsOfDate,IF($R46=0,$X46,IF(AND($T46&lt;&gt;"",EDATE($D46,Milestones!$AA$80)&gt;=$T46),$W46,IF(AND($S46&lt;&gt;"",EDATE($D46,Milestones!$AA$80)&gt;=$S46),$V46,$U46)))=Milestones!$AB$80),UPPER(TEXT(EDATE($D46,Milestones!$AA$80),"dd mmm yy"))&amp;" "&amp;Milestones!$AB$80&amp;" "&amp;Milestones!$AC$80&amp;";  ","")&amp;IF(AND(EDATE($D46,Milestones!$AA$81)&lt;=AsOfDate,IF($R46=0,$X46,IF(AND($T46&lt;&gt;"",EDATE($D46,Milestones!$AA$81)&gt;=$T46),$W46,IF(AND($S46&lt;&gt;"",EDATE($D46,Milestones!$AA$81)&gt;=$S46),$V46,$U46)))=Milestones!$AB$81),UPPER(TEXT(EDATE($D46,Milestones!$AA$81),"dd mmm yy"))&amp;" "&amp;Milestones!$AB$81&amp;" "&amp;Milestones!$AC$81&amp;";  ","")&amp;IF(AND(EDATE($D46,Milestones!$AA$82)&lt;=AsOfDate,IF($R46=0,$X46,IF(AND($T46&lt;&gt;"",EDATE($D46,Milestones!$AA$82)&gt;=$T46),$W46,IF(AND($S46&lt;&gt;"",EDATE($D46,Milestones!$AA$82)&gt;=$S46),$V46,$U46)))=Milestones!$AB$82),UPPER(TEXT(EDATE($D46,Milestones!$AA$82),"dd mmm yy"))&amp;" "&amp;Milestones!$AB$82&amp;" "&amp;Milestones!$AC$82&amp;";  ","")&amp;IF(AND(EDATE($D46,Milestones!$AA$83)&lt;=AsOfDate,IF($R46=0,$X46,IF(AND($T46&lt;&gt;"",EDATE($D46,Milestones!$AA$83)&gt;=$T46),$W46,IF(AND($S46&lt;&gt;"",EDATE($D46,Milestones!$AA$83)&gt;=$S46),$V46,$U46)))=Milestones!$AB$83),UPPER(TEXT(EDATE($D46,Milestones!$AA$83),"dd mmm yy"))&amp;" "&amp;Milestones!$AB$83&amp;" "&amp;Milestones!$AC$83&amp;";  ","")&amp;IF(AND(EDATE($D46,Milestones!$AA$84)&lt;=AsOfDate,IF($R46=0,$X46,IF(AND($T46&lt;&gt;"",EDATE($D46,Milestones!$AA$84)&gt;=$T46),$W46,IF(AND($S46&lt;&gt;"",EDATE($D46,Milestones!$AA$84)&gt;=$S46),$V46,$U46)))=Milestones!$AB$84),UPPER(TEXT(EDATE($D46,Milestones!$AA$84),"dd mmm yy"))&amp;" "&amp;Milestones!$AB$84&amp;" "&amp;Milestones!$AC$84&amp;";  ","")&amp;IF(AND(EDATE($D46,Milestones!$AA$85)&lt;=AsOfDate,IF($R46=0,$X46,IF(AND($T46&lt;&gt;"",EDATE($D46,Milestones!$AA$85)&gt;=$T46),$W46,IF(AND($S46&lt;&gt;"",EDATE($D46,Milestones!$AA$85)&gt;=$S46),$V46,$U46)))=Milestones!$AB$85),UPPER(TEXT(EDATE($D46,Milestones!$AA$85),"dd mmm yy"))&amp;" "&amp;Milestones!$AB$85&amp;" "&amp;Milestones!$AC$85&amp;";  ","")&amp;IF(AND(EDATE($D46,Milestones!$AA$86)&lt;=AsOfDate,IF($R46=0,$X46,IF(AND($T46&lt;&gt;"",EDATE($D46,Milestones!$AA$86)&gt;=$T46),$W46,IF(AND($S46&lt;&gt;"",EDATE($D46,Milestones!$AA$86)&gt;=$S46),$V46,$U46)))=Milestones!$AB$86),UPPER(TEXT(EDATE($D46,Milestones!$AA$86),"dd mmm yy"))&amp;" "&amp;Milestones!$AB$86&amp;" "&amp;Milestones!$AC$86&amp;";  ","")&amp;IF(AND(EDATE($D46,Milestones!$AA$87)&lt;=AsOfDate,IF($R46=0,$X46,IF(AND($T46&lt;&gt;"",EDATE($D46,Milestones!$AA$87)&gt;=$T46),$W46,IF(AND($S46&lt;&gt;"",EDATE($D46,Milestones!$AA$87)&gt;=$S46),$V46,$U46)))=Milestones!$AB$87),UPPER(TEXT(EDATE($D46,Milestones!$AA$87),"dd mmm yy"))&amp;" "&amp;Milestones!$AB$87&amp;" "&amp;Milestones!$AC$87&amp;";  ","")&amp;IF(AND(EDATE($D46,Milestones!$AA$88)&lt;=AsOfDate,IF($R46=0,$X46,IF(AND($T46&lt;&gt;"",EDATE($D46,Milestones!$AA$88)&gt;=$T46),$W46,IF(AND($S46&lt;&gt;"",EDATE($D46,Milestones!$AA$88)&gt;=$S46),$V46,$U46)))=Milestones!$AB$88),UPPER(TEXT(EDATE($D46,Milestones!$AA$88),"dd mmm yy"))&amp;" "&amp;Milestones!$AB$88&amp;" "&amp;Milestones!$AC$88&amp;";  ","")&amp;IF(AND(EDATE($D46,Milestones!$AA$89)&lt;=AsOfDate,IF($R46=0,$X46,IF(AND($T46&lt;&gt;"",EDATE($D46,Milestones!$AA$89)&gt;=$T46),$W46,IF(AND($S46&lt;&gt;"",EDATE($D46,Milestones!$AA$89)&gt;=$S46),$V46,$U46)))=Milestones!$AB$89),UPPER(TEXT(EDATE($D46,Milestones!$AA$89),"dd mmm yy"))&amp;" "&amp;Milestones!$AB$89&amp;" "&amp;Milestones!$AC$89&amp;";  ","")&amp;IF(AND(EDATE($D46,Milestones!$AA$90)&lt;=AsOfDate,IF($R46=0,$X46,IF(AND($T46&lt;&gt;"",EDATE($D46,Milestones!$AA$90)&gt;=$T46),$W46,IF(AND($S46&lt;&gt;"",EDATE($D46,Milestones!$AA$90)&gt;=$S46),$V46,$U46)))=Milestones!$AB$90),UPPER(TEXT(EDATE($D46,Milestones!$AA$90),"dd mmm yy"))&amp;" "&amp;Milestones!$AB$90&amp;" "&amp;Milestones!$AC$90&amp;";  ","")&amp;IF(AND(EDATE($D46,Milestones!$AA$91)&lt;=AsOfDate,IF($R46=0,$X46,IF(AND($T46&lt;&gt;"",EDATE($D46,Milestones!$AA$91)&gt;=$T46),$W46,IF(AND($S46&lt;&gt;"",EDATE($D46,Milestones!$AA$91)&gt;=$S46),$V46,$U46)))=Milestones!$AB$91),UPPER(TEXT(EDATE($D46,Milestones!$AA$91),"dd mmm yy"))&amp;" "&amp;Milestones!$AB$91&amp;" "&amp;Milestones!$AC$91&amp;";  ","")&amp;IF(AND(EDATE($D46,Milestones!$AA$92)&lt;=AsOfDate,IF($R46=0,$X46,IF(AND($T46&lt;&gt;"",EDATE($D46,Milestones!$AA$92)&gt;=$T46),$W46,IF(AND($S46&lt;&gt;"",EDATE($D46,Milestones!$AA$92)&gt;=$S46),$V46,$U46)))=Milestones!$AB$92),UPPER(TEXT(EDATE($D46,Milestones!$AA$92),"dd mmm yy"))&amp;" "&amp;Milestones!$AB$92&amp;" "&amp;Milestones!$AC$92&amp;";  ","")&amp;IF(AND(EDATE($D46,Milestones!$AA$93)&lt;=AsOfDate,IF($R46=0,$X46,IF(AND($T46&lt;&gt;"",EDATE($D46,Milestones!$AA$93)&gt;=$T46),$W46,IF(AND($S46&lt;&gt;"",EDATE($D46,Milestones!$AA$93)&gt;=$S46),$V46,$U46)))=Milestones!$AB$93),UPPER(TEXT(EDATE($D46,Milestones!$AA$93),"dd mmm yy"))&amp;" "&amp;Milestones!$AB$93&amp;" "&amp;Milestones!$AC$93&amp;";  ","")&amp;IF(AND(EDATE($D46,Milestones!$AA$94)&lt;=AsOfDate,IF($R46=0,$X46,IF(AND($T46&lt;&gt;"",EDATE($D46,Milestones!$AA$94)&gt;=$T46),$W46,IF(AND($S46&lt;&gt;"",EDATE($D46,Milestones!$AA$94)&gt;=$S46),$V46,$U46)))=Milestones!$AB$94),UPPER(TEXT(EDATE($D46,Milestones!$AA$94),"dd mmm yy"))&amp;" "&amp;Milestones!$AB$94&amp;" "&amp;Milestones!$AC$94&amp;";  ","")&amp;IF(AND(EDATE($D46,Milestones!$AA$95)&lt;=AsOfDate,IF($R46=0,$X46,IF(AND($T46&lt;&gt;"",EDATE($D46,Milestones!$AA$95)&gt;=$T46),$W46,IF(AND($S46&lt;&gt;"",EDATE($D46,Milestones!$AA$95)&gt;=$S46),$V46,$U46)))=Milestones!$AB$95),UPPER(TEXT(EDATE($D46,Milestones!$AA$95),"dd mmm yy"))&amp;" "&amp;Milestones!$AB$95&amp;" "&amp;Milestones!$AC$95&amp;";  ","")&amp;IF(AND(EDATE($D46,Milestones!$AA$96)&lt;=AsOfDate,IF($R46=0,$X46,IF(AND($T46&lt;&gt;"",EDATE($D46,Milestones!$AA$96)&gt;=$T46),$W46,IF(AND($S46&lt;&gt;"",EDATE($D46,Milestones!$AA$96)&gt;=$S46),$V46,$U46)))=Milestones!$AB$96),UPPER(TEXT(EDATE($D46,Milestones!$AA$96),"dd mmm yy"))&amp;" "&amp;Milestones!$AB$96&amp;" "&amp;Milestones!$AC$96&amp;";  ","")&amp;IF(AND(EDATE($D46,Milestones!$AA$97)&lt;=AsOfDate,IF($R46=0,$X46,IF(AND($T46&lt;&gt;"",EDATE($D46,Milestones!$AA$97)&gt;=$T46),$W46,IF(AND($S46&lt;&gt;"",EDATE($D46,Milestones!$AA$97)&gt;=$S46),$V46,$U46)))=Milestones!$AB$97),UPPER(TEXT(EDATE($D46,Milestones!$AA$97),"dd mmm yy"))&amp;" "&amp;Milestones!$AB$97&amp;" "&amp;Milestones!$AC$97&amp;";  ","")&amp;IF(AND(EDATE($D46,Milestones!$AA$98)&lt;=AsOfDate,IF($R46=0,$X46,IF(AND($T46&lt;&gt;"",EDATE($D46,Milestones!$AA$98)&gt;=$T46),$W46,IF(AND($S46&lt;&gt;"",EDATE($D46,Milestones!$AA$98)&gt;=$S46),$V46,$U46)))=Milestones!$AB$98),UPPER(TEXT(EDATE($D46,Milestones!$AA$98),"dd mmm yy"))&amp;" "&amp;Milestones!$AB$98&amp;" "&amp;Milestones!$AC$98&amp;";  ","")&amp;IF(AND(EDATE($D46,Milestones!$AA$99)&lt;=AsOfDate,IF($R46=0,$X46,IF(AND($T46&lt;&gt;"",EDATE($D46,Milestones!$AA$99)&gt;=$T46),$W46,IF(AND($S46&lt;&gt;"",EDATE($D46,Milestones!$AA$99)&gt;=$S46),$V46,$U46)))=Milestones!$AB$99),UPPER(TEXT(EDATE($D46,Milestones!$AA$99),"dd mmm yy"))&amp;" "&amp;Milestones!$AB$99&amp;" "&amp;Milestones!$AC$99&amp;";  ",""))</f>
        <v/>
      </c>
      <c r="M46" s="0" t="str">
        <f aca="false">IF(OR($A46="",$D46=""),"",IF(AND(EDATE($D46,Milestones!$AA$100)&lt;=AsOfDate,IF($R46=0,$X46,IF(AND($T46&lt;&gt;"",EDATE($D46,Milestones!$AA$100)&gt;=$T46),$W46,IF(AND($S46&lt;&gt;"",EDATE($D46,Milestones!$AA$100)&gt;=$S46),$V46,$U46)))=Milestones!$AB$100),UPPER(TEXT(EDATE($D46,Milestones!$AA$100),"dd mmm yy"))&amp;" "&amp;Milestones!$AB$100&amp;" "&amp;Milestones!$AC$100&amp;";  ","")&amp;IF(AND(EDATE($D46,Milestones!$AA$101)&lt;=AsOfDate,IF($R46=0,$X46,IF(AND($T46&lt;&gt;"",EDATE($D46,Milestones!$AA$101)&gt;=$T46),$W46,IF(AND($S46&lt;&gt;"",EDATE($D46,Milestones!$AA$101)&gt;=$S46),$V46,$U46)))=Milestones!$AB$101),UPPER(TEXT(EDATE($D46,Milestones!$AA$101),"dd mmm yy"))&amp;" "&amp;Milestones!$AB$101&amp;" "&amp;Milestones!$AC$101&amp;";  ","")&amp;IF(AND(EDATE($D46,Milestones!$AA$102)&lt;=AsOfDate,IF($R46=0,$X46,IF(AND($T46&lt;&gt;"",EDATE($D46,Milestones!$AA$102)&gt;=$T46),$W46,IF(AND($S46&lt;&gt;"",EDATE($D46,Milestones!$AA$102)&gt;=$S46),$V46,$U46)))=Milestones!$AB$102),UPPER(TEXT(EDATE($D46,Milestones!$AA$102),"dd mmm yy"))&amp;" "&amp;Milestones!$AB$102&amp;" "&amp;Milestones!$AC$102&amp;";  ","")&amp;IF(AND(EDATE($D46,Milestones!$AA$103)&lt;=AsOfDate,IF($R46=0,$X46,IF(AND($T46&lt;&gt;"",EDATE($D46,Milestones!$AA$103)&gt;=$T46),$W46,IF(AND($S46&lt;&gt;"",EDATE($D46,Milestones!$AA$103)&gt;=$S46),$V46,$U46)))=Milestones!$AB$103),UPPER(TEXT(EDATE($D46,Milestones!$AA$103),"dd mmm yy"))&amp;" "&amp;Milestones!$AB$103&amp;" "&amp;Milestones!$AC$103&amp;";  ","")&amp;IF(AND(EDATE($D46,Milestones!$AA$104)&lt;=AsOfDate,IF($R46=0,$X46,IF(AND($T46&lt;&gt;"",EDATE($D46,Milestones!$AA$104)&gt;=$T46),$W46,IF(AND($S46&lt;&gt;"",EDATE($D46,Milestones!$AA$104)&gt;=$S46),$V46,$U46)))=Milestones!$AB$104),UPPER(TEXT(EDATE($D46,Milestones!$AA$104),"dd mmm yy"))&amp;" "&amp;Milestones!$AB$104&amp;" "&amp;Milestones!$AC$104&amp;";  ","")&amp;IF(AND(EDATE($D46,Milestones!$AA$105)&lt;=AsOfDate,IF($R46=0,$X46,IF(AND($T46&lt;&gt;"",EDATE($D46,Milestones!$AA$105)&gt;=$T46),$W46,IF(AND($S46&lt;&gt;"",EDATE($D46,Milestones!$AA$105)&gt;=$S46),$V46,$U46)))=Milestones!$AB$105),UPPER(TEXT(EDATE($D46,Milestones!$AA$105),"dd mmm yy"))&amp;" "&amp;Milestones!$AB$105&amp;" "&amp;Milestones!$AC$105&amp;";  ","")&amp;IF(AND(EDATE($D46,Milestones!$AA$106)&lt;=AsOfDate,IF($R46=0,$X46,IF(AND($T46&lt;&gt;"",EDATE($D46,Milestones!$AA$106)&gt;=$T46),$W46,IF(AND($S46&lt;&gt;"",EDATE($D46,Milestones!$AA$106)&gt;=$S46),$V46,$U46)))=Milestones!$AB$106),UPPER(TEXT(EDATE($D46,Milestones!$AA$106),"dd mmm yy"))&amp;" "&amp;Milestones!$AB$106&amp;" "&amp;Milestones!$AC$106&amp;";  ","")&amp;IF(AND(EDATE($D46,Milestones!$AA$107)&lt;=AsOfDate,IF($R46=0,$X46,IF(AND($T46&lt;&gt;"",EDATE($D46,Milestones!$AA$107)&gt;=$T46),$W46,IF(AND($S46&lt;&gt;"",EDATE($D46,Milestones!$AA$107)&gt;=$S46),$V46,$U46)))=Milestones!$AB$107),UPPER(TEXT(EDATE($D46,Milestones!$AA$107),"dd mmm yy"))&amp;" "&amp;Milestones!$AB$107&amp;" "&amp;Milestones!$AC$107&amp;";  ","")&amp;IF(AND(EDATE($D46,Milestones!$AA$108)&lt;=AsOfDate,IF($R46=0,$X46,IF(AND($T46&lt;&gt;"",EDATE($D46,Milestones!$AA$108)&gt;=$T46),$W46,IF(AND($S46&lt;&gt;"",EDATE($D46,Milestones!$AA$108)&gt;=$S46),$V46,$U46)))=Milestones!$AB$108),UPPER(TEXT(EDATE($D46,Milestones!$AA$108),"dd mmm yy"))&amp;" "&amp;Milestones!$AB$108&amp;" "&amp;Milestones!$AC$108&amp;";  ","")&amp;IF(AND(EDATE($D46,Milestones!$AA$109)&lt;=AsOfDate,IF($R46=0,$X46,IF(AND($T46&lt;&gt;"",EDATE($D46,Milestones!$AA$109)&gt;=$T46),$W46,IF(AND($S46&lt;&gt;"",EDATE($D46,Milestones!$AA$109)&gt;=$S46),$V46,$U46)))=Milestones!$AB$109),UPPER(TEXT(EDATE($D46,Milestones!$AA$109),"dd mmm yy"))&amp;" "&amp;Milestones!$AB$109&amp;" "&amp;Milestones!$AC$109&amp;";  ","")&amp;IF(AND(EDATE($D46,Milestones!$AA$110)&lt;=AsOfDate,IF($R46=0,$X46,IF(AND($T46&lt;&gt;"",EDATE($D46,Milestones!$AA$110)&gt;=$T46),$W46,IF(AND($S46&lt;&gt;"",EDATE($D46,Milestones!$AA$110)&gt;=$S46),$V46,$U46)))=Milestones!$AB$110),UPPER(TEXT(EDATE($D46,Milestones!$AA$110),"dd mmm yy"))&amp;" "&amp;Milestones!$AB$110&amp;" "&amp;Milestones!$AC$110&amp;";  ","")&amp;IF(AND(EDATE($D46,Milestones!$AA$111)&lt;=AsOfDate,IF($R46=0,$X46,IF(AND($T46&lt;&gt;"",EDATE($D46,Milestones!$AA$111)&gt;=$T46),$W46,IF(AND($S46&lt;&gt;"",EDATE($D46,Milestones!$AA$111)&gt;=$S46),$V46,$U46)))=Milestones!$AB$111),UPPER(TEXT(EDATE($D46,Milestones!$AA$111),"dd mmm yy"))&amp;" "&amp;Milestones!$AB$111&amp;" "&amp;Milestones!$AC$111&amp;";  ","")&amp;IF(AND(EDATE($D46,Milestones!$AA$112)&lt;=AsOfDate,IF($R46=0,$X46,IF(AND($T46&lt;&gt;"",EDATE($D46,Milestones!$AA$112)&gt;=$T46),$W46,IF(AND($S46&lt;&gt;"",EDATE($D46,Milestones!$AA$112)&gt;=$S46),$V46,$U46)))=Milestones!$AB$112),UPPER(TEXT(EDATE($D46,Milestones!$AA$112),"dd mmm yy"))&amp;" "&amp;Milestones!$AB$112&amp;" "&amp;Milestones!$AC$112&amp;";  ","")&amp;IF(AND(EDATE($D46,Milestones!$AA$113)&lt;=AsOfDate,IF($R46=0,$X46,IF(AND($T46&lt;&gt;"",EDATE($D46,Milestones!$AA$113)&gt;=$T46),$W46,IF(AND($S46&lt;&gt;"",EDATE($D46,Milestones!$AA$113)&gt;=$S46),$V46,$U46)))=Milestones!$AB$113),UPPER(TEXT(EDATE($D46,Milestones!$AA$113),"dd mmm yy"))&amp;" "&amp;Milestones!$AB$113&amp;" "&amp;Milestones!$AC$113&amp;";  ","")&amp;IF(AND(EDATE($D46,Milestones!$AA$114)&lt;=AsOfDate,IF($R46=0,$X46,IF(AND($T46&lt;&gt;"",EDATE($D46,Milestones!$AA$114)&gt;=$T46),$W46,IF(AND($S46&lt;&gt;"",EDATE($D46,Milestones!$AA$114)&gt;=$S46),$V46,$U46)))=Milestones!$AB$114),UPPER(TEXT(EDATE($D46,Milestones!$AA$114),"dd mmm yy"))&amp;" "&amp;Milestones!$AB$114&amp;" "&amp;Milestones!$AC$114&amp;";  ","")&amp;IF(AND(EDATE($D46,Milestones!$AA$115)&lt;=AsOfDate,IF($R46=0,$X46,IF(AND($T46&lt;&gt;"",EDATE($D46,Milestones!$AA$115)&gt;=$T46),$W46,IF(AND($S46&lt;&gt;"",EDATE($D46,Milestones!$AA$115)&gt;=$S46),$V46,$U46)))=Milestones!$AB$115),UPPER(TEXT(EDATE($D46,Milestones!$AA$115),"dd mmm yy"))&amp;" "&amp;Milestones!$AB$115&amp;" "&amp;Milestones!$AC$115&amp;";  ","")&amp;IF(AND(EDATE($D46,Milestones!$AA$116)&lt;=AsOfDate,IF($R46=0,$X46,IF(AND($T46&lt;&gt;"",EDATE($D46,Milestones!$AA$116)&gt;=$T46),$W46,IF(AND($S46&lt;&gt;"",EDATE($D46,Milestones!$AA$116)&gt;=$S46),$V46,$U46)))=Milestones!$AB$116),UPPER(TEXT(EDATE($D46,Milestones!$AA$116),"dd mmm yy"))&amp;" "&amp;Milestones!$AB$116&amp;" "&amp;Milestones!$AC$116&amp;";  ","")&amp;IF(AND(EDATE($D46,Milestones!$AA$117)&lt;=AsOfDate,IF($R46=0,$X46,IF(AND($T46&lt;&gt;"",EDATE($D46,Milestones!$AA$117)&gt;=$T46),$W46,IF(AND($S46&lt;&gt;"",EDATE($D46,Milestones!$AA$117)&gt;=$S46),$V46,$U46)))=Milestones!$AB$117),UPPER(TEXT(EDATE($D46,Milestones!$AA$117),"dd mmm yy"))&amp;" "&amp;Milestones!$AB$117&amp;" "&amp;Milestones!$AC$117&amp;";  ","")&amp;IF(AND(EDATE($D46,Milestones!$AA$118)&lt;=AsOfDate,IF($R46=0,$X46,IF(AND($T46&lt;&gt;"",EDATE($D46,Milestones!$AA$118)&gt;=$T46),$W46,IF(AND($S46&lt;&gt;"",EDATE($D46,Milestones!$AA$118)&gt;=$S46),$V46,$U46)))=Milestones!$AB$118),UPPER(TEXT(EDATE($D46,Milestones!$AA$118),"dd mmm yy"))&amp;" "&amp;Milestones!$AB$118&amp;" "&amp;Milestones!$AC$118&amp;";  ","")&amp;IF(AND(EDATE($D46,Milestones!$AA$119)&lt;=AsOfDate,IF($R46=0,$X46,IF(AND($T46&lt;&gt;"",EDATE($D46,Milestones!$AA$119)&gt;=$T46),$W46,IF(AND($S46&lt;&gt;"",EDATE($D46,Milestones!$AA$119)&gt;=$S46),$V46,$U46)))=Milestones!$AB$119),UPPER(TEXT(EDATE($D46,Milestones!$AA$119),"dd mmm yy"))&amp;" "&amp;Milestones!$AB$119&amp;" "&amp;Milestones!$AC$119&amp;";  ",""))</f>
        <v/>
      </c>
      <c r="N46" s="0" t="str">
        <f aca="false">IF(OR($A46="",$D46=""),"",IF(AND(EDATE($D46,Milestones!$AA$120)&lt;=AsOfDate,IF($R46=0,$X46,IF(AND($T46&lt;&gt;"",EDATE($D46,Milestones!$AA$120)&gt;=$T46),$W46,IF(AND($S46&lt;&gt;"",EDATE($D46,Milestones!$AA$120)&gt;=$S46),$V46,$U46)))=Milestones!$AB$120),UPPER(TEXT(EDATE($D46,Milestones!$AA$120),"dd mmm yy"))&amp;" "&amp;Milestones!$AB$120&amp;" "&amp;Milestones!$AC$120&amp;";  ","")&amp;IF(AND(EDATE($D46,Milestones!$AA$121)&lt;=AsOfDate,IF($R46=0,$X46,IF(AND($T46&lt;&gt;"",EDATE($D46,Milestones!$AA$121)&gt;=$T46),$W46,IF(AND($S46&lt;&gt;"",EDATE($D46,Milestones!$AA$121)&gt;=$S46),$V46,$U46)))=Milestones!$AB$121),UPPER(TEXT(EDATE($D46,Milestones!$AA$121),"dd mmm yy"))&amp;" "&amp;Milestones!$AB$121&amp;" "&amp;Milestones!$AC$121&amp;";  ","")&amp;IF(AND(EDATE($D46,Milestones!$AA$122)&lt;=AsOfDate,IF($R46=0,$X46,IF(AND($T46&lt;&gt;"",EDATE($D46,Milestones!$AA$122)&gt;=$T46),$W46,IF(AND($S46&lt;&gt;"",EDATE($D46,Milestones!$AA$122)&gt;=$S46),$V46,$U46)))=Milestones!$AB$122),UPPER(TEXT(EDATE($D46,Milestones!$AA$122),"dd mmm yy"))&amp;" "&amp;Milestones!$AB$122&amp;" "&amp;Milestones!$AC$122&amp;";  ","")&amp;IF(AND(EDATE($D46,Milestones!$AA$123)&lt;=AsOfDate,IF($R46=0,$X46,IF(AND($T46&lt;&gt;"",EDATE($D46,Milestones!$AA$123)&gt;=$T46),$W46,IF(AND($S46&lt;&gt;"",EDATE($D46,Milestones!$AA$123)&gt;=$S46),$V46,$U46)))=Milestones!$AB$123),UPPER(TEXT(EDATE($D46,Milestones!$AA$123),"dd mmm yy"))&amp;" "&amp;Milestones!$AB$123&amp;" "&amp;Milestones!$AC$123&amp;";  ","")&amp;IF(AND(EDATE($D46,Milestones!$AA$124)&lt;=AsOfDate,IF($R46=0,$X46,IF(AND($T46&lt;&gt;"",EDATE($D46,Milestones!$AA$124)&gt;=$T46),$W46,IF(AND($S46&lt;&gt;"",EDATE($D46,Milestones!$AA$124)&gt;=$S46),$V46,$U46)))=Milestones!$AB$124),UPPER(TEXT(EDATE($D46,Milestones!$AA$124),"dd mmm yy"))&amp;" "&amp;Milestones!$AB$124&amp;" "&amp;Milestones!$AC$124&amp;";  ","")&amp;IF(AND(EDATE($D46,Milestones!$AA$125)&lt;=AsOfDate,IF($R46=0,$X46,IF(AND($T46&lt;&gt;"",EDATE($D46,Milestones!$AA$125)&gt;=$T46),$W46,IF(AND($S46&lt;&gt;"",EDATE($D46,Milestones!$AA$125)&gt;=$S46),$V46,$U46)))=Milestones!$AB$125),UPPER(TEXT(EDATE($D46,Milestones!$AA$125),"dd mmm yy"))&amp;" "&amp;Milestones!$AB$125&amp;" "&amp;Milestones!$AC$125&amp;";  ","")&amp;IF(AND(EDATE($D46,Milestones!$AA$126)&lt;=AsOfDate,IF($R46=0,$X46,IF(AND($T46&lt;&gt;"",EDATE($D46,Milestones!$AA$126)&gt;=$T46),$W46,IF(AND($S46&lt;&gt;"",EDATE($D46,Milestones!$AA$126)&gt;=$S46),$V46,$U46)))=Milestones!$AB$126),UPPER(TEXT(EDATE($D46,Milestones!$AA$126),"dd mmm yy"))&amp;" "&amp;Milestones!$AB$126&amp;" "&amp;Milestones!$AC$126&amp;";  ","")&amp;IF(AND(EDATE($D46,Milestones!$AA$127)&lt;=AsOfDate,IF($R46=0,$X46,IF(AND($T46&lt;&gt;"",EDATE($D46,Milestones!$AA$127)&gt;=$T46),$W46,IF(AND($S46&lt;&gt;"",EDATE($D46,Milestones!$AA$127)&gt;=$S46),$V46,$U46)))=Milestones!$AB$127),UPPER(TEXT(EDATE($D46,Milestones!$AA$127),"dd mmm yy"))&amp;" "&amp;Milestones!$AB$127&amp;" "&amp;Milestones!$AC$127&amp;";  ","")&amp;IF(AND(EDATE($D46,Milestones!$AA$128)&lt;=AsOfDate,IF($R46=0,$X46,IF(AND($T46&lt;&gt;"",EDATE($D46,Milestones!$AA$128)&gt;=$T46),$W46,IF(AND($S46&lt;&gt;"",EDATE($D46,Milestones!$AA$128)&gt;=$S46),$V46,$U46)))=Milestones!$AB$128),UPPER(TEXT(EDATE($D46,Milestones!$AA$128),"dd mmm yy"))&amp;" "&amp;Milestones!$AB$128&amp;" "&amp;Milestones!$AC$128&amp;";  ","")&amp;IF(AND(EDATE($D46,Milestones!$AA$129)&lt;=AsOfDate,IF($R46=0,$X46,IF(AND($T46&lt;&gt;"",EDATE($D46,Milestones!$AA$129)&gt;=$T46),$W46,IF(AND($S46&lt;&gt;"",EDATE($D46,Milestones!$AA$129)&gt;=$S46),$V46,$U46)))=Milestones!$AB$129),UPPER(TEXT(EDATE($D46,Milestones!$AA$129),"dd mmm yy"))&amp;" "&amp;Milestones!$AB$129&amp;" "&amp;Milestones!$AC$129&amp;";  ","")&amp;IF(AND(EDATE($D46,Milestones!$AA$130)&lt;=AsOfDate,IF($R46=0,$X46,IF(AND($T46&lt;&gt;"",EDATE($D46,Milestones!$AA$130)&gt;=$T46),$W46,IF(AND($S46&lt;&gt;"",EDATE($D46,Milestones!$AA$130)&gt;=$S46),$V46,$U46)))=Milestones!$AB$130),UPPER(TEXT(EDATE($D46,Milestones!$AA$130),"dd mmm yy"))&amp;" "&amp;Milestones!$AB$130&amp;" "&amp;Milestones!$AC$130&amp;";  ","")&amp;IF(AND(EDATE($D46,Milestones!$AA$131)&lt;=AsOfDate,IF($R46=0,$X46,IF(AND($T46&lt;&gt;"",EDATE($D46,Milestones!$AA$131)&gt;=$T46),$W46,IF(AND($S46&lt;&gt;"",EDATE($D46,Milestones!$AA$131)&gt;=$S46),$V46,$U46)))=Milestones!$AB$131),UPPER(TEXT(EDATE($D46,Milestones!$AA$131),"dd mmm yy"))&amp;" "&amp;Milestones!$AB$131&amp;" "&amp;Milestones!$AC$131&amp;";  ","")&amp;IF(AND(EDATE($D46,Milestones!$AA$132)&lt;=AsOfDate,IF($R46=0,$X46,IF(AND($T46&lt;&gt;"",EDATE($D46,Milestones!$AA$132)&gt;=$T46),$W46,IF(AND($S46&lt;&gt;"",EDATE($D46,Milestones!$AA$132)&gt;=$S46),$V46,$U46)))=Milestones!$AB$132),UPPER(TEXT(EDATE($D46,Milestones!$AA$132),"dd mmm yy"))&amp;" "&amp;Milestones!$AB$132&amp;" "&amp;Milestones!$AC$132&amp;";  ","")&amp;IF(AND(EDATE($D46,Milestones!$AA$133)&lt;=AsOfDate,IF($R46=0,$X46,IF(AND($T46&lt;&gt;"",EDATE($D46,Milestones!$AA$133)&gt;=$T46),$W46,IF(AND($S46&lt;&gt;"",EDATE($D46,Milestones!$AA$133)&gt;=$S46),$V46,$U46)))=Milestones!$AB$133),UPPER(TEXT(EDATE($D46,Milestones!$AA$133),"dd mmm yy"))&amp;" "&amp;Milestones!$AB$133&amp;" "&amp;Milestones!$AC$133&amp;";  ","")&amp;IF(AND(EDATE($D46,Milestones!$AA$134)&lt;=AsOfDate,IF($R46=0,$X46,IF(AND($T46&lt;&gt;"",EDATE($D46,Milestones!$AA$134)&gt;=$T46),$W46,IF(AND($S46&lt;&gt;"",EDATE($D46,Milestones!$AA$134)&gt;=$S46),$V46,$U46)))=Milestones!$AB$134),UPPER(TEXT(EDATE($D46,Milestones!$AA$134),"dd mmm yy"))&amp;" "&amp;Milestones!$AB$134&amp;" "&amp;Milestones!$AC$134&amp;";  ","")&amp;IF(AND(EDATE($D46,Milestones!$AA$135)&lt;=AsOfDate,IF($R46=0,$X46,IF(AND($T46&lt;&gt;"",EDATE($D46,Milestones!$AA$135)&gt;=$T46),$W46,IF(AND($S46&lt;&gt;"",EDATE($D46,Milestones!$AA$135)&gt;=$S46),$V46,$U46)))=Milestones!$AB$135),UPPER(TEXT(EDATE($D46,Milestones!$AA$135),"dd mmm yy"))&amp;" "&amp;Milestones!$AB$135&amp;" "&amp;Milestones!$AC$135&amp;";  ","")&amp;IF(AND(EDATE($D46,Milestones!$AA$136)&lt;=AsOfDate,IF($R46=0,$X46,IF(AND($T46&lt;&gt;"",EDATE($D46,Milestones!$AA$136)&gt;=$T46),$W46,IF(AND($S46&lt;&gt;"",EDATE($D46,Milestones!$AA$136)&gt;=$S46),$V46,$U46)))=Milestones!$AB$136),UPPER(TEXT(EDATE($D46,Milestones!$AA$136),"dd mmm yy"))&amp;" "&amp;Milestones!$AB$136&amp;" "&amp;Milestones!$AC$136&amp;";  ","")&amp;IF(AND(EDATE($D46,Milestones!$AA$137)&lt;=AsOfDate,IF($R46=0,$X46,IF(AND($T46&lt;&gt;"",EDATE($D46,Milestones!$AA$137)&gt;=$T46),$W46,IF(AND($S46&lt;&gt;"",EDATE($D46,Milestones!$AA$137)&gt;=$S46),$V46,$U46)))=Milestones!$AB$137),UPPER(TEXT(EDATE($D46,Milestones!$AA$137),"dd mmm yy"))&amp;" "&amp;Milestones!$AB$137&amp;" "&amp;Milestones!$AC$137&amp;";  ","")&amp;IF(AND(EDATE($D46,Milestones!$AA$138)&lt;=AsOfDate,IF($R46=0,$X46,IF(AND($T46&lt;&gt;"",EDATE($D46,Milestones!$AA$138)&gt;=$T46),$W46,IF(AND($S46&lt;&gt;"",EDATE($D46,Milestones!$AA$138)&gt;=$S46),$V46,$U46)))=Milestones!$AB$138),UPPER(TEXT(EDATE($D46,Milestones!$AA$138),"dd mmm yy"))&amp;" "&amp;Milestones!$AB$138&amp;" "&amp;Milestones!$AC$138&amp;";  ","")&amp;IF(AND(EDATE($D46,Milestones!$AA$139)&lt;=AsOfDate,IF($R46=0,$X46,IF(AND($T46&lt;&gt;"",EDATE($D46,Milestones!$AA$139)&gt;=$T46),$W46,IF(AND($S46&lt;&gt;"",EDATE($D46,Milestones!$AA$139)&gt;=$S46),$V46,$U46)))=Milestones!$AB$139),UPPER(TEXT(EDATE($D46,Milestones!$AA$139),"dd mmm yy"))&amp;" "&amp;Milestones!$AB$139&amp;" "&amp;Milestones!$AC$139&amp;";  ",""))</f>
        <v/>
      </c>
      <c r="O46" s="0" t="str">
        <f aca="false">IF(OR($A46="",$D46=""),"",IF(AND(EDATE($D46,Milestones!$AA$140)&lt;=AsOfDate,IF($R46=0,$X46,IF(AND($T46&lt;&gt;"",EDATE($D46,Milestones!$AA$140)&gt;=$T46),$W46,IF(AND($S46&lt;&gt;"",EDATE($D46,Milestones!$AA$140)&gt;=$S46),$V46,$U46)))=Milestones!$AB$140),UPPER(TEXT(EDATE($D46,Milestones!$AA$140),"dd mmm yy"))&amp;" "&amp;Milestones!$AB$140&amp;" "&amp;Milestones!$AC$140&amp;";  ","")&amp;IF(AND(EDATE($D46,Milestones!$AA$141)&lt;=AsOfDate,IF($R46=0,$X46,IF(AND($T46&lt;&gt;"",EDATE($D46,Milestones!$AA$141)&gt;=$T46),$W46,IF(AND($S46&lt;&gt;"",EDATE($D46,Milestones!$AA$141)&gt;=$S46),$V46,$U46)))=Milestones!$AB$141),UPPER(TEXT(EDATE($D46,Milestones!$AA$141),"dd mmm yy"))&amp;" "&amp;Milestones!$AB$141&amp;" "&amp;Milestones!$AC$141&amp;";  ","")&amp;IF(AND(EDATE($D46,Milestones!$AA$142)&lt;=AsOfDate,IF($R46=0,$X46,IF(AND($T46&lt;&gt;"",EDATE($D46,Milestones!$AA$142)&gt;=$T46),$W46,IF(AND($S46&lt;&gt;"",EDATE($D46,Milestones!$AA$142)&gt;=$S46),$V46,$U46)))=Milestones!$AB$142),UPPER(TEXT(EDATE($D46,Milestones!$AA$142),"dd mmm yy"))&amp;" "&amp;Milestones!$AB$142&amp;" "&amp;Milestones!$AC$142&amp;";  ","")&amp;IF(AND(EDATE($D46,Milestones!$AA$143)&lt;=AsOfDate,IF($R46=0,$X46,IF(AND($T46&lt;&gt;"",EDATE($D46,Milestones!$AA$143)&gt;=$T46),$W46,IF(AND($S46&lt;&gt;"",EDATE($D46,Milestones!$AA$143)&gt;=$S46),$V46,$U46)))=Milestones!$AB$143),UPPER(TEXT(EDATE($D46,Milestones!$AA$143),"dd mmm yy"))&amp;" "&amp;Milestones!$AB$143&amp;" "&amp;Milestones!$AC$143&amp;";  ","")&amp;IF(AND(EDATE($D46,Milestones!$AA$144)&lt;=AsOfDate,IF($R46=0,$X46,IF(AND($T46&lt;&gt;"",EDATE($D46,Milestones!$AA$144)&gt;=$T46),$W46,IF(AND($S46&lt;&gt;"",EDATE($D46,Milestones!$AA$144)&gt;=$S46),$V46,$U46)))=Milestones!$AB$144),UPPER(TEXT(EDATE($D46,Milestones!$AA$144),"dd mmm yy"))&amp;" "&amp;Milestones!$AB$144&amp;" "&amp;Milestones!$AC$144&amp;";  ","")&amp;IF(AND(EDATE($D46,Milestones!$AA$145)&lt;=AsOfDate,IF($R46=0,$X46,IF(AND($T46&lt;&gt;"",EDATE($D46,Milestones!$AA$145)&gt;=$T46),$W46,IF(AND($S46&lt;&gt;"",EDATE($D46,Milestones!$AA$145)&gt;=$S46),$V46,$U46)))=Milestones!$AB$145),UPPER(TEXT(EDATE($D46,Milestones!$AA$145),"dd mmm yy"))&amp;" "&amp;Milestones!$AB$145&amp;" "&amp;Milestones!$AC$145&amp;";  ","")&amp;IF(AND(EDATE($D46,Milestones!$AA$146)&lt;=AsOfDate,IF($R46=0,$X46,IF(AND($T46&lt;&gt;"",EDATE($D46,Milestones!$AA$146)&gt;=$T46),$W46,IF(AND($S46&lt;&gt;"",EDATE($D46,Milestones!$AA$146)&gt;=$S46),$V46,$U46)))=Milestones!$AB$146),UPPER(TEXT(EDATE($D46,Milestones!$AA$146),"dd mmm yy"))&amp;" "&amp;Milestones!$AB$146&amp;" "&amp;Milestones!$AC$146&amp;";  ","")&amp;IF(AND(EDATE($D46,Milestones!$AA$147)&lt;=AsOfDate,IF($R46=0,$X46,IF(AND($T46&lt;&gt;"",EDATE($D46,Milestones!$AA$147)&gt;=$T46),$W46,IF(AND($S46&lt;&gt;"",EDATE($D46,Milestones!$AA$147)&gt;=$S46),$V46,$U46)))=Milestones!$AB$147),UPPER(TEXT(EDATE($D46,Milestones!$AA$147),"dd mmm yy"))&amp;" "&amp;Milestones!$AB$147&amp;" "&amp;Milestones!$AC$147&amp;";  ","")&amp;IF(AND(EDATE($D46,Milestones!$AA$148)&lt;=AsOfDate,IF($R46=0,$X46,IF(AND($T46&lt;&gt;"",EDATE($D46,Milestones!$AA$148)&gt;=$T46),$W46,IF(AND($S46&lt;&gt;"",EDATE($D46,Milestones!$AA$148)&gt;=$S46),$V46,$U46)))=Milestones!$AB$148),UPPER(TEXT(EDATE($D46,Milestones!$AA$148),"dd mmm yy"))&amp;" "&amp;Milestones!$AB$148&amp;" "&amp;Milestones!$AC$148&amp;";  ","")&amp;IF(AND(EDATE($D46,Milestones!$AA$149)&lt;=AsOfDate,IF($R46=0,$X46,IF(AND($T46&lt;&gt;"",EDATE($D46,Milestones!$AA$149)&gt;=$T46),$W46,IF(AND($S46&lt;&gt;"",EDATE($D46,Milestones!$AA$149)&gt;=$S46),$V46,$U46)))=Milestones!$AB$149),UPPER(TEXT(EDATE($D46,Milestones!$AA$149),"dd mmm yy"))&amp;" "&amp;Milestones!$AB$149&amp;" "&amp;Milestones!$AC$149&amp;";  ","")&amp;IF(AND(EDATE($D46,Milestones!$AA$150)&lt;=AsOfDate,IF($R46=0,$X46,IF(AND($T46&lt;&gt;"",EDATE($D46,Milestones!$AA$150)&gt;=$T46),$W46,IF(AND($S46&lt;&gt;"",EDATE($D46,Milestones!$AA$150)&gt;=$S46),$V46,$U46)))=Milestones!$AB$150),UPPER(TEXT(EDATE($D46,Milestones!$AA$150),"dd mmm yy"))&amp;" "&amp;Milestones!$AB$150&amp;" "&amp;Milestones!$AC$150&amp;";  ","")&amp;IF(AND(EDATE($D46,Milestones!$AA$151)&lt;=AsOfDate,IF($R46=0,$X46,IF(AND($T46&lt;&gt;"",EDATE($D46,Milestones!$AA$151)&gt;=$T46),$W46,IF(AND($S46&lt;&gt;"",EDATE($D46,Milestones!$AA$151)&gt;=$S46),$V46,$U46)))=Milestones!$AB$151),UPPER(TEXT(EDATE($D46,Milestones!$AA$151),"dd mmm yy"))&amp;" "&amp;Milestones!$AB$151&amp;" "&amp;Milestones!$AC$151&amp;";  ","")&amp;IF(AND(EDATE($D46,Milestones!$AA$152)&lt;=AsOfDate,IF($R46=0,$X46,IF(AND($T46&lt;&gt;"",EDATE($D46,Milestones!$AA$152)&gt;=$T46),$W46,IF(AND($S46&lt;&gt;"",EDATE($D46,Milestones!$AA$152)&gt;=$S46),$V46,$U46)))=Milestones!$AB$152),UPPER(TEXT(EDATE($D46,Milestones!$AA$152),"dd mmm yy"))&amp;" "&amp;Milestones!$AB$152&amp;" "&amp;Milestones!$AC$152&amp;";  ","")&amp;IF(AND(EDATE($D46,Milestones!$AA$153)&lt;=AsOfDate,IF($R46=0,$X46,IF(AND($T46&lt;&gt;"",EDATE($D46,Milestones!$AA$153)&gt;=$T46),$W46,IF(AND($S46&lt;&gt;"",EDATE($D46,Milestones!$AA$153)&gt;=$S46),$V46,$U46)))=Milestones!$AB$153),UPPER(TEXT(EDATE($D46,Milestones!$AA$153),"dd mmm yy"))&amp;" "&amp;Milestones!$AB$153&amp;" "&amp;Milestones!$AC$153&amp;";  ","")&amp;IF(AND(EDATE($D46,Milestones!$AA$154)&lt;=AsOfDate,IF($R46=0,$X46,IF(AND($T46&lt;&gt;"",EDATE($D46,Milestones!$AA$154)&gt;=$T46),$W46,IF(AND($S46&lt;&gt;"",EDATE($D46,Milestones!$AA$154)&gt;=$S46),$V46,$U46)))=Milestones!$AB$154),UPPER(TEXT(EDATE($D46,Milestones!$AA$154),"dd mmm yy"))&amp;" "&amp;Milestones!$AB$154&amp;" "&amp;Milestones!$AC$154&amp;";  ","")&amp;IF(AND(EDATE($D46,Milestones!$AA$155)&lt;=AsOfDate,IF($R46=0,$X46,IF(AND($T46&lt;&gt;"",EDATE($D46,Milestones!$AA$155)&gt;=$T46),$W46,IF(AND($S46&lt;&gt;"",EDATE($D46,Milestones!$AA$155)&gt;=$S46),$V46,$U46)))=Milestones!$AB$155),UPPER(TEXT(EDATE($D46,Milestones!$AA$155),"dd mmm yy"))&amp;" "&amp;Milestones!$AB$155&amp;" "&amp;Milestones!$AC$155&amp;";  ","")&amp;IF(AND(EDATE($D46,Milestones!$AA$156)&lt;=AsOfDate,IF($R46=0,$X46,IF(AND($T46&lt;&gt;"",EDATE($D46,Milestones!$AA$156)&gt;=$T46),$W46,IF(AND($S46&lt;&gt;"",EDATE($D46,Milestones!$AA$156)&gt;=$S46),$V46,$U46)))=Milestones!$AB$156),UPPER(TEXT(EDATE($D46,Milestones!$AA$156),"dd mmm yy"))&amp;" "&amp;Milestones!$AB$156&amp;" "&amp;Milestones!$AC$156&amp;";  ","")&amp;IF(AND(EDATE($D46,Milestones!$AA$157)&lt;=AsOfDate,IF($R46=0,$X46,IF(AND($T46&lt;&gt;"",EDATE($D46,Milestones!$AA$157)&gt;=$T46),$W46,IF(AND($S46&lt;&gt;"",EDATE($D46,Milestones!$AA$157)&gt;=$S46),$V46,$U46)))=Milestones!$AB$157),UPPER(TEXT(EDATE($D46,Milestones!$AA$157),"dd mmm yy"))&amp;" "&amp;Milestones!$AB$157&amp;" "&amp;Milestones!$AC$157&amp;";  ","")&amp;IF(AND(EDATE($D46,Milestones!$AA$158)&lt;=AsOfDate,IF($R46=0,$X46,IF(AND($T46&lt;&gt;"",EDATE($D46,Milestones!$AA$158)&gt;=$T46),$W46,IF(AND($S46&lt;&gt;"",EDATE($D46,Milestones!$AA$158)&gt;=$S46),$V46,$U46)))=Milestones!$AB$158),UPPER(TEXT(EDATE($D46,Milestones!$AA$158),"dd mmm yy"))&amp;" "&amp;Milestones!$AB$158&amp;" "&amp;Milestones!$AC$158&amp;";  ","")&amp;IF(AND(EDATE($D46,Milestones!$AA$159)&lt;=AsOfDate,IF($R46=0,$X46,IF(AND($T46&lt;&gt;"",EDATE($D46,Milestones!$AA$159)&gt;=$T46),$W46,IF(AND($S46&lt;&gt;"",EDATE($D46,Milestones!$AA$159)&gt;=$S46),$V46,$U46)))=Milestones!$AB$159),UPPER(TEXT(EDATE($D46,Milestones!$AA$159),"dd mmm yy"))&amp;" "&amp;Milestones!$AB$159&amp;" "&amp;Milestones!$AC$159&amp;";  ",""))</f>
        <v/>
      </c>
      <c r="P46" s="0" t="str">
        <f aca="false">IF(OR($A46="",$D46=""),"",IF(AND(EDATE($D46,Milestones!$AA$160)&lt;=AsOfDate,IF($R46=0,$X46,IF(AND($T46&lt;&gt;"",EDATE($D46,Milestones!$AA$160)&gt;=$T46),$W46,IF(AND($S46&lt;&gt;"",EDATE($D46,Milestones!$AA$160)&gt;=$S46),$V46,$U46)))=Milestones!$AB$160),UPPER(TEXT(EDATE($D46,Milestones!$AA$160),"dd mmm yy"))&amp;" "&amp;Milestones!$AB$160&amp;" "&amp;Milestones!$AC$160&amp;";  ","")&amp;IF(AND(EDATE($D46,Milestones!$AA$161)&lt;=AsOfDate,IF($R46=0,$X46,IF(AND($T46&lt;&gt;"",EDATE($D46,Milestones!$AA$161)&gt;=$T46),$W46,IF(AND($S46&lt;&gt;"",EDATE($D46,Milestones!$AA$161)&gt;=$S46),$V46,$U46)))=Milestones!$AB$161),UPPER(TEXT(EDATE($D46,Milestones!$AA$161),"dd mmm yy"))&amp;" "&amp;Milestones!$AB$161&amp;" "&amp;Milestones!$AC$161&amp;";  ","")&amp;IF(AND(EDATE($D46,Milestones!$AA$162)&lt;=AsOfDate,IF($R46=0,$X46,IF(AND($T46&lt;&gt;"",EDATE($D46,Milestones!$AA$162)&gt;=$T46),$W46,IF(AND($S46&lt;&gt;"",EDATE($D46,Milestones!$AA$162)&gt;=$S46),$V46,$U46)))=Milestones!$AB$162),UPPER(TEXT(EDATE($D46,Milestones!$AA$162),"dd mmm yy"))&amp;" "&amp;Milestones!$AB$162&amp;" "&amp;Milestones!$AC$162&amp;";  ","")&amp;IF(AND(EDATE($D46,Milestones!$AA$163)&lt;=AsOfDate,IF($R46=0,$X46,IF(AND($T46&lt;&gt;"",EDATE($D46,Milestones!$AA$163)&gt;=$T46),$W46,IF(AND($S46&lt;&gt;"",EDATE($D46,Milestones!$AA$163)&gt;=$S46),$V46,$U46)))=Milestones!$AB$163),UPPER(TEXT(EDATE($D46,Milestones!$AA$163),"dd mmm yy"))&amp;" "&amp;Milestones!$AB$163&amp;" "&amp;Milestones!$AC$163&amp;";  ","")&amp;IF(AND(EDATE($D46,Milestones!$AA$164)&lt;=AsOfDate,IF($R46=0,$X46,IF(AND($T46&lt;&gt;"",EDATE($D46,Milestones!$AA$164)&gt;=$T46),$W46,IF(AND($S46&lt;&gt;"",EDATE($D46,Milestones!$AA$164)&gt;=$S46),$V46,$U46)))=Milestones!$AB$164),UPPER(TEXT(EDATE($D46,Milestones!$AA$164),"dd mmm yy"))&amp;" "&amp;Milestones!$AB$164&amp;" "&amp;Milestones!$AC$164&amp;";  ","")&amp;IF(AND(EDATE($D46,Milestones!$AA$165)&lt;=AsOfDate,IF($R46=0,$X46,IF(AND($T46&lt;&gt;"",EDATE($D46,Milestones!$AA$165)&gt;=$T46),$W46,IF(AND($S46&lt;&gt;"",EDATE($D46,Milestones!$AA$165)&gt;=$S46),$V46,$U46)))=Milestones!$AB$165),UPPER(TEXT(EDATE($D46,Milestones!$AA$165),"dd mmm yy"))&amp;" "&amp;Milestones!$AB$165&amp;" "&amp;Milestones!$AC$165&amp;";  ","")&amp;IF(AND(EDATE($D46,Milestones!$AA$166)&lt;=AsOfDate,IF($R46=0,$X46,IF(AND($T46&lt;&gt;"",EDATE($D46,Milestones!$AA$166)&gt;=$T46),$W46,IF(AND($S46&lt;&gt;"",EDATE($D46,Milestones!$AA$166)&gt;=$S46),$V46,$U46)))=Milestones!$AB$166),UPPER(TEXT(EDATE($D46,Milestones!$AA$166),"dd mmm yy"))&amp;" "&amp;Milestones!$AB$166&amp;" "&amp;Milestones!$AC$166&amp;";  ","")&amp;IF(AND(EDATE($D46,Milestones!$AA$167)&lt;=AsOfDate,IF($R46=0,$X46,IF(AND($T46&lt;&gt;"",EDATE($D46,Milestones!$AA$167)&gt;=$T46),$W46,IF(AND($S46&lt;&gt;"",EDATE($D46,Milestones!$AA$167)&gt;=$S46),$V46,$U46)))=Milestones!$AB$167),UPPER(TEXT(EDATE($D46,Milestones!$AA$167),"dd mmm yy"))&amp;" "&amp;Milestones!$AB$167&amp;" "&amp;Milestones!$AC$167&amp;";  ","")&amp;IF(AND(EDATE($D46,Milestones!$AA$168)&lt;=AsOfDate,IF($R46=0,$X46,IF(AND($T46&lt;&gt;"",EDATE($D46,Milestones!$AA$168)&gt;=$T46),$W46,IF(AND($S46&lt;&gt;"",EDATE($D46,Milestones!$AA$168)&gt;=$S46),$V46,$U46)))=Milestones!$AB$168),UPPER(TEXT(EDATE($D46,Milestones!$AA$168),"dd mmm yy"))&amp;" "&amp;Milestones!$AB$168&amp;" "&amp;Milestones!$AC$168&amp;";  ","")&amp;IF(AND(EDATE($D46,Milestones!$AA$169)&lt;=AsOfDate,IF($R46=0,$X46,IF(AND($T46&lt;&gt;"",EDATE($D46,Milestones!$AA$169)&gt;=$T46),$W46,IF(AND($S46&lt;&gt;"",EDATE($D46,Milestones!$AA$169)&gt;=$S46),$V46,$U46)))=Milestones!$AB$169),UPPER(TEXT(EDATE($D46,Milestones!$AA$169),"dd mmm yy"))&amp;" "&amp;Milestones!$AB$169&amp;" "&amp;Milestones!$AC$169&amp;";  ","")&amp;IF(AND(EDATE($D46,Milestones!$AA$170)&lt;=AsOfDate,IF($R46=0,$X46,IF(AND($T46&lt;&gt;"",EDATE($D46,Milestones!$AA$170)&gt;=$T46),$W46,IF(AND($S46&lt;&gt;"",EDATE($D46,Milestones!$AA$170)&gt;=$S46),$V46,$U46)))=Milestones!$AB$170),UPPER(TEXT(EDATE($D46,Milestones!$AA$170),"dd mmm yy"))&amp;" "&amp;Milestones!$AB$170&amp;" "&amp;Milestones!$AC$170&amp;";  ","")&amp;IF(AND(EDATE($D46,Milestones!$AA$171)&lt;=AsOfDate,IF($R46=0,$X46,IF(AND($T46&lt;&gt;"",EDATE($D46,Milestones!$AA$171)&gt;=$T46),$W46,IF(AND($S46&lt;&gt;"",EDATE($D46,Milestones!$AA$171)&gt;=$S46),$V46,$U46)))=Milestones!$AB$171),UPPER(TEXT(EDATE($D46,Milestones!$AA$171),"dd mmm yy"))&amp;" "&amp;Milestones!$AB$171&amp;" "&amp;Milestones!$AC$171&amp;";  ","")&amp;IF(AND(EDATE($D46,Milestones!$AA$172)&lt;=AsOfDate,IF($R46=0,$X46,IF(AND($T46&lt;&gt;"",EDATE($D46,Milestones!$AA$172)&gt;=$T46),$W46,IF(AND($S46&lt;&gt;"",EDATE($D46,Milestones!$AA$172)&gt;=$S46),$V46,$U46)))=Milestones!$AB$172),UPPER(TEXT(EDATE($D46,Milestones!$AA$172),"dd mmm yy"))&amp;" "&amp;Milestones!$AB$172&amp;" "&amp;Milestones!$AC$172&amp;";  ","")&amp;IF(AND(EDATE($D46,Milestones!$AA$173)&lt;=AsOfDate,IF($R46=0,$X46,IF(AND($T46&lt;&gt;"",EDATE($D46,Milestones!$AA$173)&gt;=$T46),$W46,IF(AND($S46&lt;&gt;"",EDATE($D46,Milestones!$AA$173)&gt;=$S46),$V46,$U46)))=Milestones!$AB$173),UPPER(TEXT(EDATE($D46,Milestones!$AA$173),"dd mmm yy"))&amp;" "&amp;Milestones!$AB$173&amp;" "&amp;Milestones!$AC$173&amp;";  ","")&amp;IF(AND(EDATE($D46,Milestones!$AA$174)&lt;=AsOfDate,IF($R46=0,$X46,IF(AND($T46&lt;&gt;"",EDATE($D46,Milestones!$AA$174)&gt;=$T46),$W46,IF(AND($S46&lt;&gt;"",EDATE($D46,Milestones!$AA$174)&gt;=$S46),$V46,$U46)))=Milestones!$AB$174),UPPER(TEXT(EDATE($D46,Milestones!$AA$174),"dd mmm yy"))&amp;" "&amp;Milestones!$AB$174&amp;" "&amp;Milestones!$AC$174&amp;";  ","")&amp;IF(AND(EDATE($D46,Milestones!$AA$175)&lt;=AsOfDate,IF($R46=0,$X46,IF(AND($T46&lt;&gt;"",EDATE($D46,Milestones!$AA$175)&gt;=$T46),$W46,IF(AND($S46&lt;&gt;"",EDATE($D46,Milestones!$AA$175)&gt;=$S46),$V46,$U46)))=Milestones!$AB$175),UPPER(TEXT(EDATE($D46,Milestones!$AA$175),"dd mmm yy"))&amp;" "&amp;Milestones!$AB$175&amp;" "&amp;Milestones!$AC$175&amp;";  ","")&amp;IF(AND(EDATE($D46,Milestones!$AA$176)&lt;=AsOfDate,IF($R46=0,$X46,IF(AND($T46&lt;&gt;"",EDATE($D46,Milestones!$AA$176)&gt;=$T46),$W46,IF(AND($S46&lt;&gt;"",EDATE($D46,Milestones!$AA$176)&gt;=$S46),$V46,$U46)))=Milestones!$AB$176),UPPER(TEXT(EDATE($D46,Milestones!$AA$176),"dd mmm yy"))&amp;" "&amp;Milestones!$AB$176&amp;" "&amp;Milestones!$AC$176&amp;";  ","")&amp;IF(AND(EDATE($D46,Milestones!$AA$177)&lt;=AsOfDate,IF($R46=0,$X46,IF(AND($T46&lt;&gt;"",EDATE($D46,Milestones!$AA$177)&gt;=$T46),$W46,IF(AND($S46&lt;&gt;"",EDATE($D46,Milestones!$AA$177)&gt;=$S46),$V46,$U46)))=Milestones!$AB$177),UPPER(TEXT(EDATE($D46,Milestones!$AA$177),"dd mmm yy"))&amp;" "&amp;Milestones!$AB$177&amp;" "&amp;Milestones!$AC$177&amp;";  ","")&amp;IF(AND(EDATE($D46,Milestones!$AA$178)&lt;=AsOfDate,IF($R46=0,$X46,IF(AND($T46&lt;&gt;"",EDATE($D46,Milestones!$AA$178)&gt;=$T46),$W46,IF(AND($S46&lt;&gt;"",EDATE($D46,Milestones!$AA$178)&gt;=$S46),$V46,$U46)))=Milestones!$AB$178),UPPER(TEXT(EDATE($D46,Milestones!$AA$178),"dd mmm yy"))&amp;" "&amp;Milestones!$AB$178&amp;" "&amp;Milestones!$AC$178&amp;";  ","")&amp;IF(AND(EDATE($D46,Milestones!$AA$179)&lt;=AsOfDate,IF($R46=0,$X46,IF(AND($T46&lt;&gt;"",EDATE($D46,Milestones!$AA$179)&gt;=$T46),$W46,IF(AND($S46&lt;&gt;"",EDATE($D46,Milestones!$AA$179)&gt;=$S46),$V46,$U46)))=Milestones!$AB$179),UPPER(TEXT(EDATE($D46,Milestones!$AA$179),"dd mmm yy"))&amp;" "&amp;Milestones!$AB$179&amp;" "&amp;Milestones!$AC$179&amp;";  ",""))</f>
        <v/>
      </c>
      <c r="Q46" s="0" t="str">
        <f aca="false">IF(OR($A46="",$D46=""),"",IF(AND(EDATE($D46,Milestones!$AA$180)&lt;=AsOfDate,IF($R46=0,$X46,IF(AND($T46&lt;&gt;"",EDATE($D46,Milestones!$AA$180)&gt;=$T46),$W46,IF(AND($S46&lt;&gt;"",EDATE($D46,Milestones!$AA$180)&gt;=$S46),$V46,$U46)))=Milestones!$AB$180),UPPER(TEXT(EDATE($D46,Milestones!$AA$180),"dd mmm yy"))&amp;" "&amp;Milestones!$AB$180&amp;" "&amp;Milestones!$AC$180&amp;";  ","")&amp;IF(AND(EDATE($D46,Milestones!$AA$181)&lt;=AsOfDate,IF($R46=0,$X46,IF(AND($T46&lt;&gt;"",EDATE($D46,Milestones!$AA$181)&gt;=$T46),$W46,IF(AND($S46&lt;&gt;"",EDATE($D46,Milestones!$AA$181)&gt;=$S46),$V46,$U46)))=Milestones!$AB$181),UPPER(TEXT(EDATE($D46,Milestones!$AA$181),"dd mmm yy"))&amp;" "&amp;Milestones!$AB$181&amp;" "&amp;Milestones!$AC$181&amp;";  ","")&amp;IF(AND(EDATE($D46,Milestones!$AA$182)&lt;=AsOfDate,IF($R46=0,$X46,IF(AND($T46&lt;&gt;"",EDATE($D46,Milestones!$AA$182)&gt;=$T46),$W46,IF(AND($S46&lt;&gt;"",EDATE($D46,Milestones!$AA$182)&gt;=$S46),$V46,$U46)))=Milestones!$AB$182),UPPER(TEXT(EDATE($D46,Milestones!$AA$182),"dd mmm yy"))&amp;" "&amp;Milestones!$AB$182&amp;" "&amp;Milestones!$AC$182&amp;";  ","")&amp;IF(AND(EDATE($D46,Milestones!$AA$183)&lt;=AsOfDate,IF($R46=0,$X46,IF(AND($T46&lt;&gt;"",EDATE($D46,Milestones!$AA$183)&gt;=$T46),$W46,IF(AND($S46&lt;&gt;"",EDATE($D46,Milestones!$AA$183)&gt;=$S46),$V46,$U46)))=Milestones!$AB$183),UPPER(TEXT(EDATE($D46,Milestones!$AA$183),"dd mmm yy"))&amp;" "&amp;Milestones!$AB$183&amp;" "&amp;Milestones!$AC$183&amp;";  ","")&amp;IF(AND(EDATE($D46,Milestones!$AA$184)&lt;=AsOfDate,IF($R46=0,$X46,IF(AND($T46&lt;&gt;"",EDATE($D46,Milestones!$AA$184)&gt;=$T46),$W46,IF(AND($S46&lt;&gt;"",EDATE($D46,Milestones!$AA$184)&gt;=$S46),$V46,$U46)))=Milestones!$AB$184),UPPER(TEXT(EDATE($D46,Milestones!$AA$184),"dd mmm yy"))&amp;" "&amp;Milestones!$AB$184&amp;" "&amp;Milestones!$AC$184&amp;";  ","")&amp;IF(AND(EDATE($D46,Milestones!$AA$185)&lt;=AsOfDate,IF($R46=0,$X46,IF(AND($T46&lt;&gt;"",EDATE($D46,Milestones!$AA$185)&gt;=$T46),$W46,IF(AND($S46&lt;&gt;"",EDATE($D46,Milestones!$AA$185)&gt;=$S46),$V46,$U46)))=Milestones!$AB$185),UPPER(TEXT(EDATE($D46,Milestones!$AA$185),"dd mmm yy"))&amp;" "&amp;Milestones!$AB$185&amp;" "&amp;Milestones!$AC$185&amp;";  ","")&amp;IF(AND(EDATE($D46,Milestones!$AA$186)&lt;=AsOfDate,IF($R46=0,$X46,IF(AND($T46&lt;&gt;"",EDATE($D46,Milestones!$AA$186)&gt;=$T46),$W46,IF(AND($S46&lt;&gt;"",EDATE($D46,Milestones!$AA$186)&gt;=$S46),$V46,$U46)))=Milestones!$AB$186),UPPER(TEXT(EDATE($D46,Milestones!$AA$186),"dd mmm yy"))&amp;" "&amp;Milestones!$AB$186&amp;" "&amp;Milestones!$AC$186&amp;";  ","")&amp;IF(AND(EDATE($D46,Milestones!$AA$187)&lt;=AsOfDate,IF($R46=0,$X46,IF(AND($T46&lt;&gt;"",EDATE($D46,Milestones!$AA$187)&gt;=$T46),$W46,IF(AND($S46&lt;&gt;"",EDATE($D46,Milestones!$AA$187)&gt;=$S46),$V46,$U46)))=Milestones!$AB$187),UPPER(TEXT(EDATE($D46,Milestones!$AA$187),"dd mmm yy"))&amp;" "&amp;Milestones!$AB$187&amp;" "&amp;Milestones!$AC$187&amp;";  ","")&amp;IF(AND(EDATE($D46,Milestones!$AA$188)&lt;=AsOfDate,IF($R46=0,$X46,IF(AND($T46&lt;&gt;"",EDATE($D46,Milestones!$AA$188)&gt;=$T46),$W46,IF(AND($S46&lt;&gt;"",EDATE($D46,Milestones!$AA$188)&gt;=$S46),$V46,$U46)))=Milestones!$AB$188),UPPER(TEXT(EDATE($D46,Milestones!$AA$188),"dd mmm yy"))&amp;" "&amp;Milestones!$AB$188&amp;" "&amp;Milestones!$AC$188&amp;";  ","")&amp;IF(AND(EDATE($D46,Milestones!$AA$189)&lt;=AsOfDate,IF($R46=0,$X46,IF(AND($T46&lt;&gt;"",EDATE($D46,Milestones!$AA$189)&gt;=$T46),$W46,IF(AND($S46&lt;&gt;"",EDATE($D46,Milestones!$AA$189)&gt;=$S46),$V46,$U46)))=Milestones!$AB$189),UPPER(TEXT(EDATE($D46,Milestones!$AA$189),"dd mmm yy"))&amp;" "&amp;Milestones!$AB$189&amp;" "&amp;Milestones!$AC$189&amp;";  ","")&amp;IF(AND(EDATE($D46,Milestones!$AA$190)&lt;=AsOfDate,IF($R46=0,$X46,IF(AND($T46&lt;&gt;"",EDATE($D46,Milestones!$AA$190)&gt;=$T46),$W46,IF(AND($S46&lt;&gt;"",EDATE($D46,Milestones!$AA$190)&gt;=$S46),$V46,$U46)))=Milestones!$AB$190),UPPER(TEXT(EDATE($D46,Milestones!$AA$190),"dd mmm yy"))&amp;" "&amp;Milestones!$AB$190&amp;" "&amp;Milestones!$AC$190&amp;";  ","")&amp;IF(AND(EDATE($D46,Milestones!$AA$191)&lt;=AsOfDate,IF($R46=0,$X46,IF(AND($T46&lt;&gt;"",EDATE($D46,Milestones!$AA$191)&gt;=$T46),$W46,IF(AND($S46&lt;&gt;"",EDATE($D46,Milestones!$AA$191)&gt;=$S46),$V46,$U46)))=Milestones!$AB$191),UPPER(TEXT(EDATE($D46,Milestones!$AA$191),"dd mmm yy"))&amp;" "&amp;Milestones!$AB$191&amp;" "&amp;Milestones!$AC$191&amp;";  ","")&amp;IF(AND(EDATE($D46,Milestones!$AA$192)&lt;=AsOfDate,IF($R46=0,$X46,IF(AND($T46&lt;&gt;"",EDATE($D46,Milestones!$AA$192)&gt;=$T46),$W46,IF(AND($S46&lt;&gt;"",EDATE($D46,Milestones!$AA$192)&gt;=$S46),$V46,$U46)))=Milestones!$AB$192),UPPER(TEXT(EDATE($D46,Milestones!$AA$192),"dd mmm yy"))&amp;" "&amp;Milestones!$AB$192&amp;" "&amp;Milestones!$AC$192&amp;";  ","")&amp;IF(AND(EDATE($D46,Milestones!$AA$193)&lt;=AsOfDate,IF($R46=0,$X46,IF(AND($T46&lt;&gt;"",EDATE($D46,Milestones!$AA$193)&gt;=$T46),$W46,IF(AND($S46&lt;&gt;"",EDATE($D46,Milestones!$AA$193)&gt;=$S46),$V46,$U46)))=Milestones!$AB$193),UPPER(TEXT(EDATE($D46,Milestones!$AA$193),"dd mmm yy"))&amp;" "&amp;Milestones!$AB$193&amp;" "&amp;Milestones!$AC$193&amp;";  ","")&amp;IF(AND(EDATE($D46,Milestones!$AA$194)&lt;=AsOfDate,IF($R46=0,$X46,IF(AND($T46&lt;&gt;"",EDATE($D46,Milestones!$AA$194)&gt;=$T46),$W46,IF(AND($S46&lt;&gt;"",EDATE($D46,Milestones!$AA$194)&gt;=$S46),$V46,$U46)))=Milestones!$AB$194),UPPER(TEXT(EDATE($D46,Milestones!$AA$194),"dd mmm yy"))&amp;" "&amp;Milestones!$AB$194&amp;" "&amp;Milestones!$AC$194&amp;";  ","")&amp;IF(AND(EDATE($D46,Milestones!$AA$195)&lt;=AsOfDate,IF($R46=0,$X46,IF(AND($T46&lt;&gt;"",EDATE($D46,Milestones!$AA$195)&gt;=$T46),$W46,IF(AND($S46&lt;&gt;"",EDATE($D46,Milestones!$AA$195)&gt;=$S46),$V46,$U46)))=Milestones!$AB$195),UPPER(TEXT(EDATE($D46,Milestones!$AA$195),"dd mmm yy"))&amp;" "&amp;Milestones!$AB$195&amp;" "&amp;Milestones!$AC$195&amp;";  ","")&amp;IF(AND(EDATE($D46,Milestones!$AA$196)&lt;=AsOfDate,IF($R46=0,$X46,IF(AND($T46&lt;&gt;"",EDATE($D46,Milestones!$AA$196)&gt;=$T46),$W46,IF(AND($S46&lt;&gt;"",EDATE($D46,Milestones!$AA$196)&gt;=$S46),$V46,$U46)))=Milestones!$AB$196),UPPER(TEXT(EDATE($D46,Milestones!$AA$196),"dd mmm yy"))&amp;" "&amp;Milestones!$AB$196&amp;" "&amp;Milestones!$AC$196&amp;";  ","")&amp;IF(AND(EDATE($D46,Milestones!$AA$197)&lt;=AsOfDate,IF($R46=0,$X46,IF(AND($T46&lt;&gt;"",EDATE($D46,Milestones!$AA$197)&gt;=$T46),$W46,IF(AND($S46&lt;&gt;"",EDATE($D46,Milestones!$AA$197)&gt;=$S46),$V46,$U46)))=Milestones!$AB$197),UPPER(TEXT(EDATE($D46,Milestones!$AA$197),"dd mmm yy"))&amp;" "&amp;Milestones!$AB$197&amp;" "&amp;Milestones!$AC$197&amp;";  ","")&amp;IF(AND(EDATE($D46,Milestones!$AA$198)&lt;=AsOfDate,IF($R46=0,$X46,IF(AND($T46&lt;&gt;"",EDATE($D46,Milestones!$AA$198)&gt;=$T46),$W46,IF(AND($S46&lt;&gt;"",EDATE($D46,Milestones!$AA$198)&gt;=$S46),$V46,$U46)))=Milestones!$AB$198),UPPER(TEXT(EDATE($D46,Milestones!$AA$198),"dd mmm yy"))&amp;" "&amp;Milestones!$AB$198&amp;" "&amp;Milestones!$AC$198&amp;";  ","")&amp;IF(AND(EDATE($D46,Milestones!$AA$199)&lt;=AsOfDate,IF($R46=0,$X46,IF(AND($T46&lt;&gt;"",EDATE($D46,Milestones!$AA$199)&gt;=$T46),$W46,IF(AND($S46&lt;&gt;"",EDATE($D46,Milestones!$AA$199)&gt;=$S46),$V46,$U46)))=Milestones!$AB$199),UPPER(TEXT(EDATE($D46,Milestones!$AA$199),"dd mmm yy"))&amp;" "&amp;Milestones!$AB$199&amp;" "&amp;Milestones!$AC$199&amp;";  ",""))</f>
        <v/>
      </c>
      <c r="R46" s="33" t="n">
        <f aca="false">IF(Staff!$A46="","",Staff!$AI46)</f>
        <v>0</v>
      </c>
      <c r="S46" s="0" t="str">
        <f aca="false">IF(Staff!$A46="","",Staff!$AK46)</f>
        <v/>
      </c>
      <c r="T46" s="0" t="str">
        <f aca="false">IF(Staff!$A46="","",Staff!$AL46)</f>
        <v/>
      </c>
      <c r="U46" s="0" t="str">
        <f aca="false">IF(Staff!$A46="","",Staff!$AP46)</f>
        <v>None</v>
      </c>
      <c r="V46" s="0" t="str">
        <f aca="false">IF(Staff!$A46="","",Staff!$AQ46)</f>
        <v/>
      </c>
      <c r="W46" s="0" t="str">
        <f aca="false">IF(Staff!$A46="","",Staff!$AR46)</f>
        <v/>
      </c>
      <c r="X46" s="0" t="str">
        <f aca="false">IF(Staff!$A46="","",Staff!$AS46)</f>
        <v>None</v>
      </c>
    </row>
    <row r="47" customFormat="false" ht="15" hidden="false" customHeight="false" outlineLevel="0" collapsed="false">
      <c r="A47" s="19" t="str">
        <f aca="false">IF(Staff!$A47="","",Staff!$A47)</f>
        <v>Juan</v>
      </c>
      <c r="B47" s="19" t="str">
        <f aca="false">IF(Staff!$A47="","",Staff!$B47)</f>
        <v>Lopez</v>
      </c>
      <c r="C47" s="19" t="str">
        <f aca="false">IF(Staff!$A47="","",Staff!$C47)</f>
        <v>Casual</v>
      </c>
      <c r="D47" s="17" t="n">
        <f aca="false">IF(Staff!$A47="","",Staff!$AH47)</f>
        <v>45033</v>
      </c>
      <c r="E47" s="20" t="n">
        <f aca="false">IF(Staff!$A47="","",Staff!$O47)</f>
        <v>0</v>
      </c>
      <c r="F47" s="19" t="n">
        <f aca="false">IF(E47="","",E47*HoursPerDay)</f>
        <v>0</v>
      </c>
      <c r="G47" s="20" t="n">
        <f aca="false">IF(Staff!$A47="","",Staff!$AE47)</f>
        <v>0</v>
      </c>
      <c r="H47" s="32" t="str">
        <f aca="false">IF($A47="","",I47&amp;J47&amp;K47&amp;L47&amp;M47&amp;N47&amp;O47&amp;P47&amp;Q47)</f>
        <v/>
      </c>
      <c r="I47" s="0" t="str">
        <f aca="false">IF(OR($A47="",$D47=""),"",IF(AND(EDATE($D47,Milestones!$AA$20)&lt;=AsOfDate,IF($R47=0,$X47,IF(AND($T47&lt;&gt;"",EDATE($D47,Milestones!$AA$20)&gt;=$T47),$W47,IF(AND($S47&lt;&gt;"",EDATE($D47,Milestones!$AA$20)&gt;=$S47),$V47,$U47)))=Milestones!$AB$20),UPPER(TEXT(EDATE($D47,Milestones!$AA$20),"dd mmm yy"))&amp;" "&amp;Milestones!$AB$20&amp;" "&amp;Milestones!$AC$20&amp;";  ","")&amp;IF(AND(EDATE($D47,Milestones!$AA$21)&lt;=AsOfDate,IF($R47=0,$X47,IF(AND($T47&lt;&gt;"",EDATE($D47,Milestones!$AA$21)&gt;=$T47),$W47,IF(AND($S47&lt;&gt;"",EDATE($D47,Milestones!$AA$21)&gt;=$S47),$V47,$U47)))=Milestones!$AB$21),UPPER(TEXT(EDATE($D47,Milestones!$AA$21),"dd mmm yy"))&amp;" "&amp;Milestones!$AB$21&amp;" "&amp;Milestones!$AC$21&amp;";  ","")&amp;IF(AND(EDATE($D47,Milestones!$AA$22)&lt;=AsOfDate,IF($R47=0,$X47,IF(AND($T47&lt;&gt;"",EDATE($D47,Milestones!$AA$22)&gt;=$T47),$W47,IF(AND($S47&lt;&gt;"",EDATE($D47,Milestones!$AA$22)&gt;=$S47),$V47,$U47)))=Milestones!$AB$22),UPPER(TEXT(EDATE($D47,Milestones!$AA$22),"dd mmm yy"))&amp;" "&amp;Milestones!$AB$22&amp;" "&amp;Milestones!$AC$22&amp;";  ","")&amp;IF(AND(EDATE($D47,Milestones!$AA$23)&lt;=AsOfDate,IF($R47=0,$X47,IF(AND($T47&lt;&gt;"",EDATE($D47,Milestones!$AA$23)&gt;=$T47),$W47,IF(AND($S47&lt;&gt;"",EDATE($D47,Milestones!$AA$23)&gt;=$S47),$V47,$U47)))=Milestones!$AB$23),UPPER(TEXT(EDATE($D47,Milestones!$AA$23),"dd mmm yy"))&amp;" "&amp;Milestones!$AB$23&amp;" "&amp;Milestones!$AC$23&amp;";  ","")&amp;IF(AND(EDATE($D47,Milestones!$AA$24)&lt;=AsOfDate,IF($R47=0,$X47,IF(AND($T47&lt;&gt;"",EDATE($D47,Milestones!$AA$24)&gt;=$T47),$W47,IF(AND($S47&lt;&gt;"",EDATE($D47,Milestones!$AA$24)&gt;=$S47),$V47,$U47)))=Milestones!$AB$24),UPPER(TEXT(EDATE($D47,Milestones!$AA$24),"dd mmm yy"))&amp;" "&amp;Milestones!$AB$24&amp;" "&amp;Milestones!$AC$24&amp;";  ","")&amp;IF(AND(EDATE($D47,Milestones!$AA$25)&lt;=AsOfDate,IF($R47=0,$X47,IF(AND($T47&lt;&gt;"",EDATE($D47,Milestones!$AA$25)&gt;=$T47),$W47,IF(AND($S47&lt;&gt;"",EDATE($D47,Milestones!$AA$25)&gt;=$S47),$V47,$U47)))=Milestones!$AB$25),UPPER(TEXT(EDATE($D47,Milestones!$AA$25),"dd mmm yy"))&amp;" "&amp;Milestones!$AB$25&amp;" "&amp;Milestones!$AC$25&amp;";  ","")&amp;IF(AND(EDATE($D47,Milestones!$AA$26)&lt;=AsOfDate,IF($R47=0,$X47,IF(AND($T47&lt;&gt;"",EDATE($D47,Milestones!$AA$26)&gt;=$T47),$W47,IF(AND($S47&lt;&gt;"",EDATE($D47,Milestones!$AA$26)&gt;=$S47),$V47,$U47)))=Milestones!$AB$26),UPPER(TEXT(EDATE($D47,Milestones!$AA$26),"dd mmm yy"))&amp;" "&amp;Milestones!$AB$26&amp;" "&amp;Milestones!$AC$26&amp;";  ","")&amp;IF(AND(EDATE($D47,Milestones!$AA$27)&lt;=AsOfDate,IF($R47=0,$X47,IF(AND($T47&lt;&gt;"",EDATE($D47,Milestones!$AA$27)&gt;=$T47),$W47,IF(AND($S47&lt;&gt;"",EDATE($D47,Milestones!$AA$27)&gt;=$S47),$V47,$U47)))=Milestones!$AB$27),UPPER(TEXT(EDATE($D47,Milestones!$AA$27),"dd mmm yy"))&amp;" "&amp;Milestones!$AB$27&amp;" "&amp;Milestones!$AC$27&amp;";  ","")&amp;IF(AND(EDATE($D47,Milestones!$AA$28)&lt;=AsOfDate,IF($R47=0,$X47,IF(AND($T47&lt;&gt;"",EDATE($D47,Milestones!$AA$28)&gt;=$T47),$W47,IF(AND($S47&lt;&gt;"",EDATE($D47,Milestones!$AA$28)&gt;=$S47),$V47,$U47)))=Milestones!$AB$28),UPPER(TEXT(EDATE($D47,Milestones!$AA$28),"dd mmm yy"))&amp;" "&amp;Milestones!$AB$28&amp;" "&amp;Milestones!$AC$28&amp;";  ","")&amp;IF(AND(EDATE($D47,Milestones!$AA$29)&lt;=AsOfDate,IF($R47=0,$X47,IF(AND($T47&lt;&gt;"",EDATE($D47,Milestones!$AA$29)&gt;=$T47),$W47,IF(AND($S47&lt;&gt;"",EDATE($D47,Milestones!$AA$29)&gt;=$S47),$V47,$U47)))=Milestones!$AB$29),UPPER(TEXT(EDATE($D47,Milestones!$AA$29),"dd mmm yy"))&amp;" "&amp;Milestones!$AB$29&amp;" "&amp;Milestones!$AC$29&amp;";  ","")&amp;IF(AND(EDATE($D47,Milestones!$AA$30)&lt;=AsOfDate,IF($R47=0,$X47,IF(AND($T47&lt;&gt;"",EDATE($D47,Milestones!$AA$30)&gt;=$T47),$W47,IF(AND($S47&lt;&gt;"",EDATE($D47,Milestones!$AA$30)&gt;=$S47),$V47,$U47)))=Milestones!$AB$30),UPPER(TEXT(EDATE($D47,Milestones!$AA$30),"dd mmm yy"))&amp;" "&amp;Milestones!$AB$30&amp;" "&amp;Milestones!$AC$30&amp;";  ","")&amp;IF(AND(EDATE($D47,Milestones!$AA$31)&lt;=AsOfDate,IF($R47=0,$X47,IF(AND($T47&lt;&gt;"",EDATE($D47,Milestones!$AA$31)&gt;=$T47),$W47,IF(AND($S47&lt;&gt;"",EDATE($D47,Milestones!$AA$31)&gt;=$S47),$V47,$U47)))=Milestones!$AB$31),UPPER(TEXT(EDATE($D47,Milestones!$AA$31),"dd mmm yy"))&amp;" "&amp;Milestones!$AB$31&amp;" "&amp;Milestones!$AC$31&amp;";  ","")&amp;IF(AND(EDATE($D47,Milestones!$AA$32)&lt;=AsOfDate,IF($R47=0,$X47,IF(AND($T47&lt;&gt;"",EDATE($D47,Milestones!$AA$32)&gt;=$T47),$W47,IF(AND($S47&lt;&gt;"",EDATE($D47,Milestones!$AA$32)&gt;=$S47),$V47,$U47)))=Milestones!$AB$32),UPPER(TEXT(EDATE($D47,Milestones!$AA$32),"dd mmm yy"))&amp;" "&amp;Milestones!$AB$32&amp;" "&amp;Milestones!$AC$32&amp;";  ","")&amp;IF(AND(EDATE($D47,Milestones!$AA$33)&lt;=AsOfDate,IF($R47=0,$X47,IF(AND($T47&lt;&gt;"",EDATE($D47,Milestones!$AA$33)&gt;=$T47),$W47,IF(AND($S47&lt;&gt;"",EDATE($D47,Milestones!$AA$33)&gt;=$S47),$V47,$U47)))=Milestones!$AB$33),UPPER(TEXT(EDATE($D47,Milestones!$AA$33),"dd mmm yy"))&amp;" "&amp;Milestones!$AB$33&amp;" "&amp;Milestones!$AC$33&amp;";  ","")&amp;IF(AND(EDATE($D47,Milestones!$AA$34)&lt;=AsOfDate,IF($R47=0,$X47,IF(AND($T47&lt;&gt;"",EDATE($D47,Milestones!$AA$34)&gt;=$T47),$W47,IF(AND($S47&lt;&gt;"",EDATE($D47,Milestones!$AA$34)&gt;=$S47),$V47,$U47)))=Milestones!$AB$34),UPPER(TEXT(EDATE($D47,Milestones!$AA$34),"dd mmm yy"))&amp;" "&amp;Milestones!$AB$34&amp;" "&amp;Milestones!$AC$34&amp;";  ","")&amp;IF(AND(EDATE($D47,Milestones!$AA$35)&lt;=AsOfDate,IF($R47=0,$X47,IF(AND($T47&lt;&gt;"",EDATE($D47,Milestones!$AA$35)&gt;=$T47),$W47,IF(AND($S47&lt;&gt;"",EDATE($D47,Milestones!$AA$35)&gt;=$S47),$V47,$U47)))=Milestones!$AB$35),UPPER(TEXT(EDATE($D47,Milestones!$AA$35),"dd mmm yy"))&amp;" "&amp;Milestones!$AB$35&amp;" "&amp;Milestones!$AC$35&amp;";  ","")&amp;IF(AND(EDATE($D47,Milestones!$AA$36)&lt;=AsOfDate,IF($R47=0,$X47,IF(AND($T47&lt;&gt;"",EDATE($D47,Milestones!$AA$36)&gt;=$T47),$W47,IF(AND($S47&lt;&gt;"",EDATE($D47,Milestones!$AA$36)&gt;=$S47),$V47,$U47)))=Milestones!$AB$36),UPPER(TEXT(EDATE($D47,Milestones!$AA$36),"dd mmm yy"))&amp;" "&amp;Milestones!$AB$36&amp;" "&amp;Milestones!$AC$36&amp;";  ","")&amp;IF(AND(EDATE($D47,Milestones!$AA$37)&lt;=AsOfDate,IF($R47=0,$X47,IF(AND($T47&lt;&gt;"",EDATE($D47,Milestones!$AA$37)&gt;=$T47),$W47,IF(AND($S47&lt;&gt;"",EDATE($D47,Milestones!$AA$37)&gt;=$S47),$V47,$U47)))=Milestones!$AB$37),UPPER(TEXT(EDATE($D47,Milestones!$AA$37),"dd mmm yy"))&amp;" "&amp;Milestones!$AB$37&amp;" "&amp;Milestones!$AC$37&amp;";  ","")&amp;IF(AND(EDATE($D47,Milestones!$AA$38)&lt;=AsOfDate,IF($R47=0,$X47,IF(AND($T47&lt;&gt;"",EDATE($D47,Milestones!$AA$38)&gt;=$T47),$W47,IF(AND($S47&lt;&gt;"",EDATE($D47,Milestones!$AA$38)&gt;=$S47),$V47,$U47)))=Milestones!$AB$38),UPPER(TEXT(EDATE($D47,Milestones!$AA$38),"dd mmm yy"))&amp;" "&amp;Milestones!$AB$38&amp;" "&amp;Milestones!$AC$38&amp;";  ","")&amp;IF(AND(EDATE($D47,Milestones!$AA$39)&lt;=AsOfDate,IF($R47=0,$X47,IF(AND($T47&lt;&gt;"",EDATE($D47,Milestones!$AA$39)&gt;=$T47),$W47,IF(AND($S47&lt;&gt;"",EDATE($D47,Milestones!$AA$39)&gt;=$S47),$V47,$U47)))=Milestones!$AB$39),UPPER(TEXT(EDATE($D47,Milestones!$AA$39),"dd mmm yy"))&amp;" "&amp;Milestones!$AB$39&amp;" "&amp;Milestones!$AC$39&amp;";  ",""))</f>
        <v/>
      </c>
      <c r="J47" s="0" t="str">
        <f aca="false">IF(OR($A47="",$D47=""),"",IF(AND(EDATE($D47,Milestones!$AA$40)&lt;=AsOfDate,IF($R47=0,$X47,IF(AND($T47&lt;&gt;"",EDATE($D47,Milestones!$AA$40)&gt;=$T47),$W47,IF(AND($S47&lt;&gt;"",EDATE($D47,Milestones!$AA$40)&gt;=$S47),$V47,$U47)))=Milestones!$AB$40),UPPER(TEXT(EDATE($D47,Milestones!$AA$40),"dd mmm yy"))&amp;" "&amp;Milestones!$AB$40&amp;" "&amp;Milestones!$AC$40&amp;";  ","")&amp;IF(AND(EDATE($D47,Milestones!$AA$41)&lt;=AsOfDate,IF($R47=0,$X47,IF(AND($T47&lt;&gt;"",EDATE($D47,Milestones!$AA$41)&gt;=$T47),$W47,IF(AND($S47&lt;&gt;"",EDATE($D47,Milestones!$AA$41)&gt;=$S47),$V47,$U47)))=Milestones!$AB$41),UPPER(TEXT(EDATE($D47,Milestones!$AA$41),"dd mmm yy"))&amp;" "&amp;Milestones!$AB$41&amp;" "&amp;Milestones!$AC$41&amp;";  ","")&amp;IF(AND(EDATE($D47,Milestones!$AA$42)&lt;=AsOfDate,IF($R47=0,$X47,IF(AND($T47&lt;&gt;"",EDATE($D47,Milestones!$AA$42)&gt;=$T47),$W47,IF(AND($S47&lt;&gt;"",EDATE($D47,Milestones!$AA$42)&gt;=$S47),$V47,$U47)))=Milestones!$AB$42),UPPER(TEXT(EDATE($D47,Milestones!$AA$42),"dd mmm yy"))&amp;" "&amp;Milestones!$AB$42&amp;" "&amp;Milestones!$AC$42&amp;";  ","")&amp;IF(AND(EDATE($D47,Milestones!$AA$43)&lt;=AsOfDate,IF($R47=0,$X47,IF(AND($T47&lt;&gt;"",EDATE($D47,Milestones!$AA$43)&gt;=$T47),$W47,IF(AND($S47&lt;&gt;"",EDATE($D47,Milestones!$AA$43)&gt;=$S47),$V47,$U47)))=Milestones!$AB$43),UPPER(TEXT(EDATE($D47,Milestones!$AA$43),"dd mmm yy"))&amp;" "&amp;Milestones!$AB$43&amp;" "&amp;Milestones!$AC$43&amp;";  ","")&amp;IF(AND(EDATE($D47,Milestones!$AA$44)&lt;=AsOfDate,IF($R47=0,$X47,IF(AND($T47&lt;&gt;"",EDATE($D47,Milestones!$AA$44)&gt;=$T47),$W47,IF(AND($S47&lt;&gt;"",EDATE($D47,Milestones!$AA$44)&gt;=$S47),$V47,$U47)))=Milestones!$AB$44),UPPER(TEXT(EDATE($D47,Milestones!$AA$44),"dd mmm yy"))&amp;" "&amp;Milestones!$AB$44&amp;" "&amp;Milestones!$AC$44&amp;";  ","")&amp;IF(AND(EDATE($D47,Milestones!$AA$45)&lt;=AsOfDate,IF($R47=0,$X47,IF(AND($T47&lt;&gt;"",EDATE($D47,Milestones!$AA$45)&gt;=$T47),$W47,IF(AND($S47&lt;&gt;"",EDATE($D47,Milestones!$AA$45)&gt;=$S47),$V47,$U47)))=Milestones!$AB$45),UPPER(TEXT(EDATE($D47,Milestones!$AA$45),"dd mmm yy"))&amp;" "&amp;Milestones!$AB$45&amp;" "&amp;Milestones!$AC$45&amp;";  ","")&amp;IF(AND(EDATE($D47,Milestones!$AA$46)&lt;=AsOfDate,IF($R47=0,$X47,IF(AND($T47&lt;&gt;"",EDATE($D47,Milestones!$AA$46)&gt;=$T47),$W47,IF(AND($S47&lt;&gt;"",EDATE($D47,Milestones!$AA$46)&gt;=$S47),$V47,$U47)))=Milestones!$AB$46),UPPER(TEXT(EDATE($D47,Milestones!$AA$46),"dd mmm yy"))&amp;" "&amp;Milestones!$AB$46&amp;" "&amp;Milestones!$AC$46&amp;";  ","")&amp;IF(AND(EDATE($D47,Milestones!$AA$47)&lt;=AsOfDate,IF($R47=0,$X47,IF(AND($T47&lt;&gt;"",EDATE($D47,Milestones!$AA$47)&gt;=$T47),$W47,IF(AND($S47&lt;&gt;"",EDATE($D47,Milestones!$AA$47)&gt;=$S47),$V47,$U47)))=Milestones!$AB$47),UPPER(TEXT(EDATE($D47,Milestones!$AA$47),"dd mmm yy"))&amp;" "&amp;Milestones!$AB$47&amp;" "&amp;Milestones!$AC$47&amp;";  ","")&amp;IF(AND(EDATE($D47,Milestones!$AA$48)&lt;=AsOfDate,IF($R47=0,$X47,IF(AND($T47&lt;&gt;"",EDATE($D47,Milestones!$AA$48)&gt;=$T47),$W47,IF(AND($S47&lt;&gt;"",EDATE($D47,Milestones!$AA$48)&gt;=$S47),$V47,$U47)))=Milestones!$AB$48),UPPER(TEXT(EDATE($D47,Milestones!$AA$48),"dd mmm yy"))&amp;" "&amp;Milestones!$AB$48&amp;" "&amp;Milestones!$AC$48&amp;";  ","")&amp;IF(AND(EDATE($D47,Milestones!$AA$49)&lt;=AsOfDate,IF($R47=0,$X47,IF(AND($T47&lt;&gt;"",EDATE($D47,Milestones!$AA$49)&gt;=$T47),$W47,IF(AND($S47&lt;&gt;"",EDATE($D47,Milestones!$AA$49)&gt;=$S47),$V47,$U47)))=Milestones!$AB$49),UPPER(TEXT(EDATE($D47,Milestones!$AA$49),"dd mmm yy"))&amp;" "&amp;Milestones!$AB$49&amp;" "&amp;Milestones!$AC$49&amp;";  ","")&amp;IF(AND(EDATE($D47,Milestones!$AA$50)&lt;=AsOfDate,IF($R47=0,$X47,IF(AND($T47&lt;&gt;"",EDATE($D47,Milestones!$AA$50)&gt;=$T47),$W47,IF(AND($S47&lt;&gt;"",EDATE($D47,Milestones!$AA$50)&gt;=$S47),$V47,$U47)))=Milestones!$AB$50),UPPER(TEXT(EDATE($D47,Milestones!$AA$50),"dd mmm yy"))&amp;" "&amp;Milestones!$AB$50&amp;" "&amp;Milestones!$AC$50&amp;";  ","")&amp;IF(AND(EDATE($D47,Milestones!$AA$51)&lt;=AsOfDate,IF($R47=0,$X47,IF(AND($T47&lt;&gt;"",EDATE($D47,Milestones!$AA$51)&gt;=$T47),$W47,IF(AND($S47&lt;&gt;"",EDATE($D47,Milestones!$AA$51)&gt;=$S47),$V47,$U47)))=Milestones!$AB$51),UPPER(TEXT(EDATE($D47,Milestones!$AA$51),"dd mmm yy"))&amp;" "&amp;Milestones!$AB$51&amp;" "&amp;Milestones!$AC$51&amp;";  ","")&amp;IF(AND(EDATE($D47,Milestones!$AA$52)&lt;=AsOfDate,IF($R47=0,$X47,IF(AND($T47&lt;&gt;"",EDATE($D47,Milestones!$AA$52)&gt;=$T47),$W47,IF(AND($S47&lt;&gt;"",EDATE($D47,Milestones!$AA$52)&gt;=$S47),$V47,$U47)))=Milestones!$AB$52),UPPER(TEXT(EDATE($D47,Milestones!$AA$52),"dd mmm yy"))&amp;" "&amp;Milestones!$AB$52&amp;" "&amp;Milestones!$AC$52&amp;";  ","")&amp;IF(AND(EDATE($D47,Milestones!$AA$53)&lt;=AsOfDate,IF($R47=0,$X47,IF(AND($T47&lt;&gt;"",EDATE($D47,Milestones!$AA$53)&gt;=$T47),$W47,IF(AND($S47&lt;&gt;"",EDATE($D47,Milestones!$AA$53)&gt;=$S47),$V47,$U47)))=Milestones!$AB$53),UPPER(TEXT(EDATE($D47,Milestones!$AA$53),"dd mmm yy"))&amp;" "&amp;Milestones!$AB$53&amp;" "&amp;Milestones!$AC$53&amp;";  ","")&amp;IF(AND(EDATE($D47,Milestones!$AA$54)&lt;=AsOfDate,IF($R47=0,$X47,IF(AND($T47&lt;&gt;"",EDATE($D47,Milestones!$AA$54)&gt;=$T47),$W47,IF(AND($S47&lt;&gt;"",EDATE($D47,Milestones!$AA$54)&gt;=$S47),$V47,$U47)))=Milestones!$AB$54),UPPER(TEXT(EDATE($D47,Milestones!$AA$54),"dd mmm yy"))&amp;" "&amp;Milestones!$AB$54&amp;" "&amp;Milestones!$AC$54&amp;";  ","")&amp;IF(AND(EDATE($D47,Milestones!$AA$55)&lt;=AsOfDate,IF($R47=0,$X47,IF(AND($T47&lt;&gt;"",EDATE($D47,Milestones!$AA$55)&gt;=$T47),$W47,IF(AND($S47&lt;&gt;"",EDATE($D47,Milestones!$AA$55)&gt;=$S47),$V47,$U47)))=Milestones!$AB$55),UPPER(TEXT(EDATE($D47,Milestones!$AA$55),"dd mmm yy"))&amp;" "&amp;Milestones!$AB$55&amp;" "&amp;Milestones!$AC$55&amp;";  ","")&amp;IF(AND(EDATE($D47,Milestones!$AA$56)&lt;=AsOfDate,IF($R47=0,$X47,IF(AND($T47&lt;&gt;"",EDATE($D47,Milestones!$AA$56)&gt;=$T47),$W47,IF(AND($S47&lt;&gt;"",EDATE($D47,Milestones!$AA$56)&gt;=$S47),$V47,$U47)))=Milestones!$AB$56),UPPER(TEXT(EDATE($D47,Milestones!$AA$56),"dd mmm yy"))&amp;" "&amp;Milestones!$AB$56&amp;" "&amp;Milestones!$AC$56&amp;";  ","")&amp;IF(AND(EDATE($D47,Milestones!$AA$57)&lt;=AsOfDate,IF($R47=0,$X47,IF(AND($T47&lt;&gt;"",EDATE($D47,Milestones!$AA$57)&gt;=$T47),$W47,IF(AND($S47&lt;&gt;"",EDATE($D47,Milestones!$AA$57)&gt;=$S47),$V47,$U47)))=Milestones!$AB$57),UPPER(TEXT(EDATE($D47,Milestones!$AA$57),"dd mmm yy"))&amp;" "&amp;Milestones!$AB$57&amp;" "&amp;Milestones!$AC$57&amp;";  ","")&amp;IF(AND(EDATE($D47,Milestones!$AA$58)&lt;=AsOfDate,IF($R47=0,$X47,IF(AND($T47&lt;&gt;"",EDATE($D47,Milestones!$AA$58)&gt;=$T47),$W47,IF(AND($S47&lt;&gt;"",EDATE($D47,Milestones!$AA$58)&gt;=$S47),$V47,$U47)))=Milestones!$AB$58),UPPER(TEXT(EDATE($D47,Milestones!$AA$58),"dd mmm yy"))&amp;" "&amp;Milestones!$AB$58&amp;" "&amp;Milestones!$AC$58&amp;";  ","")&amp;IF(AND(EDATE($D47,Milestones!$AA$59)&lt;=AsOfDate,IF($R47=0,$X47,IF(AND($T47&lt;&gt;"",EDATE($D47,Milestones!$AA$59)&gt;=$T47),$W47,IF(AND($S47&lt;&gt;"",EDATE($D47,Milestones!$AA$59)&gt;=$S47),$V47,$U47)))=Milestones!$AB$59),UPPER(TEXT(EDATE($D47,Milestones!$AA$59),"dd mmm yy"))&amp;" "&amp;Milestones!$AB$59&amp;" "&amp;Milestones!$AC$59&amp;";  ",""))</f>
        <v/>
      </c>
      <c r="K47" s="0" t="str">
        <f aca="false">IF(OR($A47="",$D47=""),"",IF(AND(EDATE($D47,Milestones!$AA$60)&lt;=AsOfDate,IF($R47=0,$X47,IF(AND($T47&lt;&gt;"",EDATE($D47,Milestones!$AA$60)&gt;=$T47),$W47,IF(AND($S47&lt;&gt;"",EDATE($D47,Milestones!$AA$60)&gt;=$S47),$V47,$U47)))=Milestones!$AB$60),UPPER(TEXT(EDATE($D47,Milestones!$AA$60),"dd mmm yy"))&amp;" "&amp;Milestones!$AB$60&amp;" "&amp;Milestones!$AC$60&amp;";  ","")&amp;IF(AND(EDATE($D47,Milestones!$AA$61)&lt;=AsOfDate,IF($R47=0,$X47,IF(AND($T47&lt;&gt;"",EDATE($D47,Milestones!$AA$61)&gt;=$T47),$W47,IF(AND($S47&lt;&gt;"",EDATE($D47,Milestones!$AA$61)&gt;=$S47),$V47,$U47)))=Milestones!$AB$61),UPPER(TEXT(EDATE($D47,Milestones!$AA$61),"dd mmm yy"))&amp;" "&amp;Milestones!$AB$61&amp;" "&amp;Milestones!$AC$61&amp;";  ","")&amp;IF(AND(EDATE($D47,Milestones!$AA$62)&lt;=AsOfDate,IF($R47=0,$X47,IF(AND($T47&lt;&gt;"",EDATE($D47,Milestones!$AA$62)&gt;=$T47),$W47,IF(AND($S47&lt;&gt;"",EDATE($D47,Milestones!$AA$62)&gt;=$S47),$V47,$U47)))=Milestones!$AB$62),UPPER(TEXT(EDATE($D47,Milestones!$AA$62),"dd mmm yy"))&amp;" "&amp;Milestones!$AB$62&amp;" "&amp;Milestones!$AC$62&amp;";  ","")&amp;IF(AND(EDATE($D47,Milestones!$AA$63)&lt;=AsOfDate,IF($R47=0,$X47,IF(AND($T47&lt;&gt;"",EDATE($D47,Milestones!$AA$63)&gt;=$T47),$W47,IF(AND($S47&lt;&gt;"",EDATE($D47,Milestones!$AA$63)&gt;=$S47),$V47,$U47)))=Milestones!$AB$63),UPPER(TEXT(EDATE($D47,Milestones!$AA$63),"dd mmm yy"))&amp;" "&amp;Milestones!$AB$63&amp;" "&amp;Milestones!$AC$63&amp;";  ","")&amp;IF(AND(EDATE($D47,Milestones!$AA$64)&lt;=AsOfDate,IF($R47=0,$X47,IF(AND($T47&lt;&gt;"",EDATE($D47,Milestones!$AA$64)&gt;=$T47),$W47,IF(AND($S47&lt;&gt;"",EDATE($D47,Milestones!$AA$64)&gt;=$S47),$V47,$U47)))=Milestones!$AB$64),UPPER(TEXT(EDATE($D47,Milestones!$AA$64),"dd mmm yy"))&amp;" "&amp;Milestones!$AB$64&amp;" "&amp;Milestones!$AC$64&amp;";  ","")&amp;IF(AND(EDATE($D47,Milestones!$AA$65)&lt;=AsOfDate,IF($R47=0,$X47,IF(AND($T47&lt;&gt;"",EDATE($D47,Milestones!$AA$65)&gt;=$T47),$W47,IF(AND($S47&lt;&gt;"",EDATE($D47,Milestones!$AA$65)&gt;=$S47),$V47,$U47)))=Milestones!$AB$65),UPPER(TEXT(EDATE($D47,Milestones!$AA$65),"dd mmm yy"))&amp;" "&amp;Milestones!$AB$65&amp;" "&amp;Milestones!$AC$65&amp;";  ","")&amp;IF(AND(EDATE($D47,Milestones!$AA$66)&lt;=AsOfDate,IF($R47=0,$X47,IF(AND($T47&lt;&gt;"",EDATE($D47,Milestones!$AA$66)&gt;=$T47),$W47,IF(AND($S47&lt;&gt;"",EDATE($D47,Milestones!$AA$66)&gt;=$S47),$V47,$U47)))=Milestones!$AB$66),UPPER(TEXT(EDATE($D47,Milestones!$AA$66),"dd mmm yy"))&amp;" "&amp;Milestones!$AB$66&amp;" "&amp;Milestones!$AC$66&amp;";  ","")&amp;IF(AND(EDATE($D47,Milestones!$AA$67)&lt;=AsOfDate,IF($R47=0,$X47,IF(AND($T47&lt;&gt;"",EDATE($D47,Milestones!$AA$67)&gt;=$T47),$W47,IF(AND($S47&lt;&gt;"",EDATE($D47,Milestones!$AA$67)&gt;=$S47),$V47,$U47)))=Milestones!$AB$67),UPPER(TEXT(EDATE($D47,Milestones!$AA$67),"dd mmm yy"))&amp;" "&amp;Milestones!$AB$67&amp;" "&amp;Milestones!$AC$67&amp;";  ","")&amp;IF(AND(EDATE($D47,Milestones!$AA$68)&lt;=AsOfDate,IF($R47=0,$X47,IF(AND($T47&lt;&gt;"",EDATE($D47,Milestones!$AA$68)&gt;=$T47),$W47,IF(AND($S47&lt;&gt;"",EDATE($D47,Milestones!$AA$68)&gt;=$S47),$V47,$U47)))=Milestones!$AB$68),UPPER(TEXT(EDATE($D47,Milestones!$AA$68),"dd mmm yy"))&amp;" "&amp;Milestones!$AB$68&amp;" "&amp;Milestones!$AC$68&amp;";  ","")&amp;IF(AND(EDATE($D47,Milestones!$AA$69)&lt;=AsOfDate,IF($R47=0,$X47,IF(AND($T47&lt;&gt;"",EDATE($D47,Milestones!$AA$69)&gt;=$T47),$W47,IF(AND($S47&lt;&gt;"",EDATE($D47,Milestones!$AA$69)&gt;=$S47),$V47,$U47)))=Milestones!$AB$69),UPPER(TEXT(EDATE($D47,Milestones!$AA$69),"dd mmm yy"))&amp;" "&amp;Milestones!$AB$69&amp;" "&amp;Milestones!$AC$69&amp;";  ","")&amp;IF(AND(EDATE($D47,Milestones!$AA$70)&lt;=AsOfDate,IF($R47=0,$X47,IF(AND($T47&lt;&gt;"",EDATE($D47,Milestones!$AA$70)&gt;=$T47),$W47,IF(AND($S47&lt;&gt;"",EDATE($D47,Milestones!$AA$70)&gt;=$S47),$V47,$U47)))=Milestones!$AB$70),UPPER(TEXT(EDATE($D47,Milestones!$AA$70),"dd mmm yy"))&amp;" "&amp;Milestones!$AB$70&amp;" "&amp;Milestones!$AC$70&amp;";  ","")&amp;IF(AND(EDATE($D47,Milestones!$AA$71)&lt;=AsOfDate,IF($R47=0,$X47,IF(AND($T47&lt;&gt;"",EDATE($D47,Milestones!$AA$71)&gt;=$T47),$W47,IF(AND($S47&lt;&gt;"",EDATE($D47,Milestones!$AA$71)&gt;=$S47),$V47,$U47)))=Milestones!$AB$71),UPPER(TEXT(EDATE($D47,Milestones!$AA$71),"dd mmm yy"))&amp;" "&amp;Milestones!$AB$71&amp;" "&amp;Milestones!$AC$71&amp;";  ","")&amp;IF(AND(EDATE($D47,Milestones!$AA$72)&lt;=AsOfDate,IF($R47=0,$X47,IF(AND($T47&lt;&gt;"",EDATE($D47,Milestones!$AA$72)&gt;=$T47),$W47,IF(AND($S47&lt;&gt;"",EDATE($D47,Milestones!$AA$72)&gt;=$S47),$V47,$U47)))=Milestones!$AB$72),UPPER(TEXT(EDATE($D47,Milestones!$AA$72),"dd mmm yy"))&amp;" "&amp;Milestones!$AB$72&amp;" "&amp;Milestones!$AC$72&amp;";  ","")&amp;IF(AND(EDATE($D47,Milestones!$AA$73)&lt;=AsOfDate,IF($R47=0,$X47,IF(AND($T47&lt;&gt;"",EDATE($D47,Milestones!$AA$73)&gt;=$T47),$W47,IF(AND($S47&lt;&gt;"",EDATE($D47,Milestones!$AA$73)&gt;=$S47),$V47,$U47)))=Milestones!$AB$73),UPPER(TEXT(EDATE($D47,Milestones!$AA$73),"dd mmm yy"))&amp;" "&amp;Milestones!$AB$73&amp;" "&amp;Milestones!$AC$73&amp;";  ","")&amp;IF(AND(EDATE($D47,Milestones!$AA$74)&lt;=AsOfDate,IF($R47=0,$X47,IF(AND($T47&lt;&gt;"",EDATE($D47,Milestones!$AA$74)&gt;=$T47),$W47,IF(AND($S47&lt;&gt;"",EDATE($D47,Milestones!$AA$74)&gt;=$S47),$V47,$U47)))=Milestones!$AB$74),UPPER(TEXT(EDATE($D47,Milestones!$AA$74),"dd mmm yy"))&amp;" "&amp;Milestones!$AB$74&amp;" "&amp;Milestones!$AC$74&amp;";  ","")&amp;IF(AND(EDATE($D47,Milestones!$AA$75)&lt;=AsOfDate,IF($R47=0,$X47,IF(AND($T47&lt;&gt;"",EDATE($D47,Milestones!$AA$75)&gt;=$T47),$W47,IF(AND($S47&lt;&gt;"",EDATE($D47,Milestones!$AA$75)&gt;=$S47),$V47,$U47)))=Milestones!$AB$75),UPPER(TEXT(EDATE($D47,Milestones!$AA$75),"dd mmm yy"))&amp;" "&amp;Milestones!$AB$75&amp;" "&amp;Milestones!$AC$75&amp;";  ","")&amp;IF(AND(EDATE($D47,Milestones!$AA$76)&lt;=AsOfDate,IF($R47=0,$X47,IF(AND($T47&lt;&gt;"",EDATE($D47,Milestones!$AA$76)&gt;=$T47),$W47,IF(AND($S47&lt;&gt;"",EDATE($D47,Milestones!$AA$76)&gt;=$S47),$V47,$U47)))=Milestones!$AB$76),UPPER(TEXT(EDATE($D47,Milestones!$AA$76),"dd mmm yy"))&amp;" "&amp;Milestones!$AB$76&amp;" "&amp;Milestones!$AC$76&amp;";  ","")&amp;IF(AND(EDATE($D47,Milestones!$AA$77)&lt;=AsOfDate,IF($R47=0,$X47,IF(AND($T47&lt;&gt;"",EDATE($D47,Milestones!$AA$77)&gt;=$T47),$W47,IF(AND($S47&lt;&gt;"",EDATE($D47,Milestones!$AA$77)&gt;=$S47),$V47,$U47)))=Milestones!$AB$77),UPPER(TEXT(EDATE($D47,Milestones!$AA$77),"dd mmm yy"))&amp;" "&amp;Milestones!$AB$77&amp;" "&amp;Milestones!$AC$77&amp;";  ","")&amp;IF(AND(EDATE($D47,Milestones!$AA$78)&lt;=AsOfDate,IF($R47=0,$X47,IF(AND($T47&lt;&gt;"",EDATE($D47,Milestones!$AA$78)&gt;=$T47),$W47,IF(AND($S47&lt;&gt;"",EDATE($D47,Milestones!$AA$78)&gt;=$S47),$V47,$U47)))=Milestones!$AB$78),UPPER(TEXT(EDATE($D47,Milestones!$AA$78),"dd mmm yy"))&amp;" "&amp;Milestones!$AB$78&amp;" "&amp;Milestones!$AC$78&amp;";  ","")&amp;IF(AND(EDATE($D47,Milestones!$AA$79)&lt;=AsOfDate,IF($R47=0,$X47,IF(AND($T47&lt;&gt;"",EDATE($D47,Milestones!$AA$79)&gt;=$T47),$W47,IF(AND($S47&lt;&gt;"",EDATE($D47,Milestones!$AA$79)&gt;=$S47),$V47,$U47)))=Milestones!$AB$79),UPPER(TEXT(EDATE($D47,Milestones!$AA$79),"dd mmm yy"))&amp;" "&amp;Milestones!$AB$79&amp;" "&amp;Milestones!$AC$79&amp;";  ",""))</f>
        <v/>
      </c>
      <c r="L47" s="0" t="str">
        <f aca="false">IF(OR($A47="",$D47=""),"",IF(AND(EDATE($D47,Milestones!$AA$80)&lt;=AsOfDate,IF($R47=0,$X47,IF(AND($T47&lt;&gt;"",EDATE($D47,Milestones!$AA$80)&gt;=$T47),$W47,IF(AND($S47&lt;&gt;"",EDATE($D47,Milestones!$AA$80)&gt;=$S47),$V47,$U47)))=Milestones!$AB$80),UPPER(TEXT(EDATE($D47,Milestones!$AA$80),"dd mmm yy"))&amp;" "&amp;Milestones!$AB$80&amp;" "&amp;Milestones!$AC$80&amp;";  ","")&amp;IF(AND(EDATE($D47,Milestones!$AA$81)&lt;=AsOfDate,IF($R47=0,$X47,IF(AND($T47&lt;&gt;"",EDATE($D47,Milestones!$AA$81)&gt;=$T47),$W47,IF(AND($S47&lt;&gt;"",EDATE($D47,Milestones!$AA$81)&gt;=$S47),$V47,$U47)))=Milestones!$AB$81),UPPER(TEXT(EDATE($D47,Milestones!$AA$81),"dd mmm yy"))&amp;" "&amp;Milestones!$AB$81&amp;" "&amp;Milestones!$AC$81&amp;";  ","")&amp;IF(AND(EDATE($D47,Milestones!$AA$82)&lt;=AsOfDate,IF($R47=0,$X47,IF(AND($T47&lt;&gt;"",EDATE($D47,Milestones!$AA$82)&gt;=$T47),$W47,IF(AND($S47&lt;&gt;"",EDATE($D47,Milestones!$AA$82)&gt;=$S47),$V47,$U47)))=Milestones!$AB$82),UPPER(TEXT(EDATE($D47,Milestones!$AA$82),"dd mmm yy"))&amp;" "&amp;Milestones!$AB$82&amp;" "&amp;Milestones!$AC$82&amp;";  ","")&amp;IF(AND(EDATE($D47,Milestones!$AA$83)&lt;=AsOfDate,IF($R47=0,$X47,IF(AND($T47&lt;&gt;"",EDATE($D47,Milestones!$AA$83)&gt;=$T47),$W47,IF(AND($S47&lt;&gt;"",EDATE($D47,Milestones!$AA$83)&gt;=$S47),$V47,$U47)))=Milestones!$AB$83),UPPER(TEXT(EDATE($D47,Milestones!$AA$83),"dd mmm yy"))&amp;" "&amp;Milestones!$AB$83&amp;" "&amp;Milestones!$AC$83&amp;";  ","")&amp;IF(AND(EDATE($D47,Milestones!$AA$84)&lt;=AsOfDate,IF($R47=0,$X47,IF(AND($T47&lt;&gt;"",EDATE($D47,Milestones!$AA$84)&gt;=$T47),$W47,IF(AND($S47&lt;&gt;"",EDATE($D47,Milestones!$AA$84)&gt;=$S47),$V47,$U47)))=Milestones!$AB$84),UPPER(TEXT(EDATE($D47,Milestones!$AA$84),"dd mmm yy"))&amp;" "&amp;Milestones!$AB$84&amp;" "&amp;Milestones!$AC$84&amp;";  ","")&amp;IF(AND(EDATE($D47,Milestones!$AA$85)&lt;=AsOfDate,IF($R47=0,$X47,IF(AND($T47&lt;&gt;"",EDATE($D47,Milestones!$AA$85)&gt;=$T47),$W47,IF(AND($S47&lt;&gt;"",EDATE($D47,Milestones!$AA$85)&gt;=$S47),$V47,$U47)))=Milestones!$AB$85),UPPER(TEXT(EDATE($D47,Milestones!$AA$85),"dd mmm yy"))&amp;" "&amp;Milestones!$AB$85&amp;" "&amp;Milestones!$AC$85&amp;";  ","")&amp;IF(AND(EDATE($D47,Milestones!$AA$86)&lt;=AsOfDate,IF($R47=0,$X47,IF(AND($T47&lt;&gt;"",EDATE($D47,Milestones!$AA$86)&gt;=$T47),$W47,IF(AND($S47&lt;&gt;"",EDATE($D47,Milestones!$AA$86)&gt;=$S47),$V47,$U47)))=Milestones!$AB$86),UPPER(TEXT(EDATE($D47,Milestones!$AA$86),"dd mmm yy"))&amp;" "&amp;Milestones!$AB$86&amp;" "&amp;Milestones!$AC$86&amp;";  ","")&amp;IF(AND(EDATE($D47,Milestones!$AA$87)&lt;=AsOfDate,IF($R47=0,$X47,IF(AND($T47&lt;&gt;"",EDATE($D47,Milestones!$AA$87)&gt;=$T47),$W47,IF(AND($S47&lt;&gt;"",EDATE($D47,Milestones!$AA$87)&gt;=$S47),$V47,$U47)))=Milestones!$AB$87),UPPER(TEXT(EDATE($D47,Milestones!$AA$87),"dd mmm yy"))&amp;" "&amp;Milestones!$AB$87&amp;" "&amp;Milestones!$AC$87&amp;";  ","")&amp;IF(AND(EDATE($D47,Milestones!$AA$88)&lt;=AsOfDate,IF($R47=0,$X47,IF(AND($T47&lt;&gt;"",EDATE($D47,Milestones!$AA$88)&gt;=$T47),$W47,IF(AND($S47&lt;&gt;"",EDATE($D47,Milestones!$AA$88)&gt;=$S47),$V47,$U47)))=Milestones!$AB$88),UPPER(TEXT(EDATE($D47,Milestones!$AA$88),"dd mmm yy"))&amp;" "&amp;Milestones!$AB$88&amp;" "&amp;Milestones!$AC$88&amp;";  ","")&amp;IF(AND(EDATE($D47,Milestones!$AA$89)&lt;=AsOfDate,IF($R47=0,$X47,IF(AND($T47&lt;&gt;"",EDATE($D47,Milestones!$AA$89)&gt;=$T47),$W47,IF(AND($S47&lt;&gt;"",EDATE($D47,Milestones!$AA$89)&gt;=$S47),$V47,$U47)))=Milestones!$AB$89),UPPER(TEXT(EDATE($D47,Milestones!$AA$89),"dd mmm yy"))&amp;" "&amp;Milestones!$AB$89&amp;" "&amp;Milestones!$AC$89&amp;";  ","")&amp;IF(AND(EDATE($D47,Milestones!$AA$90)&lt;=AsOfDate,IF($R47=0,$X47,IF(AND($T47&lt;&gt;"",EDATE($D47,Milestones!$AA$90)&gt;=$T47),$W47,IF(AND($S47&lt;&gt;"",EDATE($D47,Milestones!$AA$90)&gt;=$S47),$V47,$U47)))=Milestones!$AB$90),UPPER(TEXT(EDATE($D47,Milestones!$AA$90),"dd mmm yy"))&amp;" "&amp;Milestones!$AB$90&amp;" "&amp;Milestones!$AC$90&amp;";  ","")&amp;IF(AND(EDATE($D47,Milestones!$AA$91)&lt;=AsOfDate,IF($R47=0,$X47,IF(AND($T47&lt;&gt;"",EDATE($D47,Milestones!$AA$91)&gt;=$T47),$W47,IF(AND($S47&lt;&gt;"",EDATE($D47,Milestones!$AA$91)&gt;=$S47),$V47,$U47)))=Milestones!$AB$91),UPPER(TEXT(EDATE($D47,Milestones!$AA$91),"dd mmm yy"))&amp;" "&amp;Milestones!$AB$91&amp;" "&amp;Milestones!$AC$91&amp;";  ","")&amp;IF(AND(EDATE($D47,Milestones!$AA$92)&lt;=AsOfDate,IF($R47=0,$X47,IF(AND($T47&lt;&gt;"",EDATE($D47,Milestones!$AA$92)&gt;=$T47),$W47,IF(AND($S47&lt;&gt;"",EDATE($D47,Milestones!$AA$92)&gt;=$S47),$V47,$U47)))=Milestones!$AB$92),UPPER(TEXT(EDATE($D47,Milestones!$AA$92),"dd mmm yy"))&amp;" "&amp;Milestones!$AB$92&amp;" "&amp;Milestones!$AC$92&amp;";  ","")&amp;IF(AND(EDATE($D47,Milestones!$AA$93)&lt;=AsOfDate,IF($R47=0,$X47,IF(AND($T47&lt;&gt;"",EDATE($D47,Milestones!$AA$93)&gt;=$T47),$W47,IF(AND($S47&lt;&gt;"",EDATE($D47,Milestones!$AA$93)&gt;=$S47),$V47,$U47)))=Milestones!$AB$93),UPPER(TEXT(EDATE($D47,Milestones!$AA$93),"dd mmm yy"))&amp;" "&amp;Milestones!$AB$93&amp;" "&amp;Milestones!$AC$93&amp;";  ","")&amp;IF(AND(EDATE($D47,Milestones!$AA$94)&lt;=AsOfDate,IF($R47=0,$X47,IF(AND($T47&lt;&gt;"",EDATE($D47,Milestones!$AA$94)&gt;=$T47),$W47,IF(AND($S47&lt;&gt;"",EDATE($D47,Milestones!$AA$94)&gt;=$S47),$V47,$U47)))=Milestones!$AB$94),UPPER(TEXT(EDATE($D47,Milestones!$AA$94),"dd mmm yy"))&amp;" "&amp;Milestones!$AB$94&amp;" "&amp;Milestones!$AC$94&amp;";  ","")&amp;IF(AND(EDATE($D47,Milestones!$AA$95)&lt;=AsOfDate,IF($R47=0,$X47,IF(AND($T47&lt;&gt;"",EDATE($D47,Milestones!$AA$95)&gt;=$T47),$W47,IF(AND($S47&lt;&gt;"",EDATE($D47,Milestones!$AA$95)&gt;=$S47),$V47,$U47)))=Milestones!$AB$95),UPPER(TEXT(EDATE($D47,Milestones!$AA$95),"dd mmm yy"))&amp;" "&amp;Milestones!$AB$95&amp;" "&amp;Milestones!$AC$95&amp;";  ","")&amp;IF(AND(EDATE($D47,Milestones!$AA$96)&lt;=AsOfDate,IF($R47=0,$X47,IF(AND($T47&lt;&gt;"",EDATE($D47,Milestones!$AA$96)&gt;=$T47),$W47,IF(AND($S47&lt;&gt;"",EDATE($D47,Milestones!$AA$96)&gt;=$S47),$V47,$U47)))=Milestones!$AB$96),UPPER(TEXT(EDATE($D47,Milestones!$AA$96),"dd mmm yy"))&amp;" "&amp;Milestones!$AB$96&amp;" "&amp;Milestones!$AC$96&amp;";  ","")&amp;IF(AND(EDATE($D47,Milestones!$AA$97)&lt;=AsOfDate,IF($R47=0,$X47,IF(AND($T47&lt;&gt;"",EDATE($D47,Milestones!$AA$97)&gt;=$T47),$W47,IF(AND($S47&lt;&gt;"",EDATE($D47,Milestones!$AA$97)&gt;=$S47),$V47,$U47)))=Milestones!$AB$97),UPPER(TEXT(EDATE($D47,Milestones!$AA$97),"dd mmm yy"))&amp;" "&amp;Milestones!$AB$97&amp;" "&amp;Milestones!$AC$97&amp;";  ","")&amp;IF(AND(EDATE($D47,Milestones!$AA$98)&lt;=AsOfDate,IF($R47=0,$X47,IF(AND($T47&lt;&gt;"",EDATE($D47,Milestones!$AA$98)&gt;=$T47),$W47,IF(AND($S47&lt;&gt;"",EDATE($D47,Milestones!$AA$98)&gt;=$S47),$V47,$U47)))=Milestones!$AB$98),UPPER(TEXT(EDATE($D47,Milestones!$AA$98),"dd mmm yy"))&amp;" "&amp;Milestones!$AB$98&amp;" "&amp;Milestones!$AC$98&amp;";  ","")&amp;IF(AND(EDATE($D47,Milestones!$AA$99)&lt;=AsOfDate,IF($R47=0,$X47,IF(AND($T47&lt;&gt;"",EDATE($D47,Milestones!$AA$99)&gt;=$T47),$W47,IF(AND($S47&lt;&gt;"",EDATE($D47,Milestones!$AA$99)&gt;=$S47),$V47,$U47)))=Milestones!$AB$99),UPPER(TEXT(EDATE($D47,Milestones!$AA$99),"dd mmm yy"))&amp;" "&amp;Milestones!$AB$99&amp;" "&amp;Milestones!$AC$99&amp;";  ",""))</f>
        <v/>
      </c>
      <c r="M47" s="0" t="str">
        <f aca="false">IF(OR($A47="",$D47=""),"",IF(AND(EDATE($D47,Milestones!$AA$100)&lt;=AsOfDate,IF($R47=0,$X47,IF(AND($T47&lt;&gt;"",EDATE($D47,Milestones!$AA$100)&gt;=$T47),$W47,IF(AND($S47&lt;&gt;"",EDATE($D47,Milestones!$AA$100)&gt;=$S47),$V47,$U47)))=Milestones!$AB$100),UPPER(TEXT(EDATE($D47,Milestones!$AA$100),"dd mmm yy"))&amp;" "&amp;Milestones!$AB$100&amp;" "&amp;Milestones!$AC$100&amp;";  ","")&amp;IF(AND(EDATE($D47,Milestones!$AA$101)&lt;=AsOfDate,IF($R47=0,$X47,IF(AND($T47&lt;&gt;"",EDATE($D47,Milestones!$AA$101)&gt;=$T47),$W47,IF(AND($S47&lt;&gt;"",EDATE($D47,Milestones!$AA$101)&gt;=$S47),$V47,$U47)))=Milestones!$AB$101),UPPER(TEXT(EDATE($D47,Milestones!$AA$101),"dd mmm yy"))&amp;" "&amp;Milestones!$AB$101&amp;" "&amp;Milestones!$AC$101&amp;";  ","")&amp;IF(AND(EDATE($D47,Milestones!$AA$102)&lt;=AsOfDate,IF($R47=0,$X47,IF(AND($T47&lt;&gt;"",EDATE($D47,Milestones!$AA$102)&gt;=$T47),$W47,IF(AND($S47&lt;&gt;"",EDATE($D47,Milestones!$AA$102)&gt;=$S47),$V47,$U47)))=Milestones!$AB$102),UPPER(TEXT(EDATE($D47,Milestones!$AA$102),"dd mmm yy"))&amp;" "&amp;Milestones!$AB$102&amp;" "&amp;Milestones!$AC$102&amp;";  ","")&amp;IF(AND(EDATE($D47,Milestones!$AA$103)&lt;=AsOfDate,IF($R47=0,$X47,IF(AND($T47&lt;&gt;"",EDATE($D47,Milestones!$AA$103)&gt;=$T47),$W47,IF(AND($S47&lt;&gt;"",EDATE($D47,Milestones!$AA$103)&gt;=$S47),$V47,$U47)))=Milestones!$AB$103),UPPER(TEXT(EDATE($D47,Milestones!$AA$103),"dd mmm yy"))&amp;" "&amp;Milestones!$AB$103&amp;" "&amp;Milestones!$AC$103&amp;";  ","")&amp;IF(AND(EDATE($D47,Milestones!$AA$104)&lt;=AsOfDate,IF($R47=0,$X47,IF(AND($T47&lt;&gt;"",EDATE($D47,Milestones!$AA$104)&gt;=$T47),$W47,IF(AND($S47&lt;&gt;"",EDATE($D47,Milestones!$AA$104)&gt;=$S47),$V47,$U47)))=Milestones!$AB$104),UPPER(TEXT(EDATE($D47,Milestones!$AA$104),"dd mmm yy"))&amp;" "&amp;Milestones!$AB$104&amp;" "&amp;Milestones!$AC$104&amp;";  ","")&amp;IF(AND(EDATE($D47,Milestones!$AA$105)&lt;=AsOfDate,IF($R47=0,$X47,IF(AND($T47&lt;&gt;"",EDATE($D47,Milestones!$AA$105)&gt;=$T47),$W47,IF(AND($S47&lt;&gt;"",EDATE($D47,Milestones!$AA$105)&gt;=$S47),$V47,$U47)))=Milestones!$AB$105),UPPER(TEXT(EDATE($D47,Milestones!$AA$105),"dd mmm yy"))&amp;" "&amp;Milestones!$AB$105&amp;" "&amp;Milestones!$AC$105&amp;";  ","")&amp;IF(AND(EDATE($D47,Milestones!$AA$106)&lt;=AsOfDate,IF($R47=0,$X47,IF(AND($T47&lt;&gt;"",EDATE($D47,Milestones!$AA$106)&gt;=$T47),$W47,IF(AND($S47&lt;&gt;"",EDATE($D47,Milestones!$AA$106)&gt;=$S47),$V47,$U47)))=Milestones!$AB$106),UPPER(TEXT(EDATE($D47,Milestones!$AA$106),"dd mmm yy"))&amp;" "&amp;Milestones!$AB$106&amp;" "&amp;Milestones!$AC$106&amp;";  ","")&amp;IF(AND(EDATE($D47,Milestones!$AA$107)&lt;=AsOfDate,IF($R47=0,$X47,IF(AND($T47&lt;&gt;"",EDATE($D47,Milestones!$AA$107)&gt;=$T47),$W47,IF(AND($S47&lt;&gt;"",EDATE($D47,Milestones!$AA$107)&gt;=$S47),$V47,$U47)))=Milestones!$AB$107),UPPER(TEXT(EDATE($D47,Milestones!$AA$107),"dd mmm yy"))&amp;" "&amp;Milestones!$AB$107&amp;" "&amp;Milestones!$AC$107&amp;";  ","")&amp;IF(AND(EDATE($D47,Milestones!$AA$108)&lt;=AsOfDate,IF($R47=0,$X47,IF(AND($T47&lt;&gt;"",EDATE($D47,Milestones!$AA$108)&gt;=$T47),$W47,IF(AND($S47&lt;&gt;"",EDATE($D47,Milestones!$AA$108)&gt;=$S47),$V47,$U47)))=Milestones!$AB$108),UPPER(TEXT(EDATE($D47,Milestones!$AA$108),"dd mmm yy"))&amp;" "&amp;Milestones!$AB$108&amp;" "&amp;Milestones!$AC$108&amp;";  ","")&amp;IF(AND(EDATE($D47,Milestones!$AA$109)&lt;=AsOfDate,IF($R47=0,$X47,IF(AND($T47&lt;&gt;"",EDATE($D47,Milestones!$AA$109)&gt;=$T47),$W47,IF(AND($S47&lt;&gt;"",EDATE($D47,Milestones!$AA$109)&gt;=$S47),$V47,$U47)))=Milestones!$AB$109),UPPER(TEXT(EDATE($D47,Milestones!$AA$109),"dd mmm yy"))&amp;" "&amp;Milestones!$AB$109&amp;" "&amp;Milestones!$AC$109&amp;";  ","")&amp;IF(AND(EDATE($D47,Milestones!$AA$110)&lt;=AsOfDate,IF($R47=0,$X47,IF(AND($T47&lt;&gt;"",EDATE($D47,Milestones!$AA$110)&gt;=$T47),$W47,IF(AND($S47&lt;&gt;"",EDATE($D47,Milestones!$AA$110)&gt;=$S47),$V47,$U47)))=Milestones!$AB$110),UPPER(TEXT(EDATE($D47,Milestones!$AA$110),"dd mmm yy"))&amp;" "&amp;Milestones!$AB$110&amp;" "&amp;Milestones!$AC$110&amp;";  ","")&amp;IF(AND(EDATE($D47,Milestones!$AA$111)&lt;=AsOfDate,IF($R47=0,$X47,IF(AND($T47&lt;&gt;"",EDATE($D47,Milestones!$AA$111)&gt;=$T47),$W47,IF(AND($S47&lt;&gt;"",EDATE($D47,Milestones!$AA$111)&gt;=$S47),$V47,$U47)))=Milestones!$AB$111),UPPER(TEXT(EDATE($D47,Milestones!$AA$111),"dd mmm yy"))&amp;" "&amp;Milestones!$AB$111&amp;" "&amp;Milestones!$AC$111&amp;";  ","")&amp;IF(AND(EDATE($D47,Milestones!$AA$112)&lt;=AsOfDate,IF($R47=0,$X47,IF(AND($T47&lt;&gt;"",EDATE($D47,Milestones!$AA$112)&gt;=$T47),$W47,IF(AND($S47&lt;&gt;"",EDATE($D47,Milestones!$AA$112)&gt;=$S47),$V47,$U47)))=Milestones!$AB$112),UPPER(TEXT(EDATE($D47,Milestones!$AA$112),"dd mmm yy"))&amp;" "&amp;Milestones!$AB$112&amp;" "&amp;Milestones!$AC$112&amp;";  ","")&amp;IF(AND(EDATE($D47,Milestones!$AA$113)&lt;=AsOfDate,IF($R47=0,$X47,IF(AND($T47&lt;&gt;"",EDATE($D47,Milestones!$AA$113)&gt;=$T47),$W47,IF(AND($S47&lt;&gt;"",EDATE($D47,Milestones!$AA$113)&gt;=$S47),$V47,$U47)))=Milestones!$AB$113),UPPER(TEXT(EDATE($D47,Milestones!$AA$113),"dd mmm yy"))&amp;" "&amp;Milestones!$AB$113&amp;" "&amp;Milestones!$AC$113&amp;";  ","")&amp;IF(AND(EDATE($D47,Milestones!$AA$114)&lt;=AsOfDate,IF($R47=0,$X47,IF(AND($T47&lt;&gt;"",EDATE($D47,Milestones!$AA$114)&gt;=$T47),$W47,IF(AND($S47&lt;&gt;"",EDATE($D47,Milestones!$AA$114)&gt;=$S47),$V47,$U47)))=Milestones!$AB$114),UPPER(TEXT(EDATE($D47,Milestones!$AA$114),"dd mmm yy"))&amp;" "&amp;Milestones!$AB$114&amp;" "&amp;Milestones!$AC$114&amp;";  ","")&amp;IF(AND(EDATE($D47,Milestones!$AA$115)&lt;=AsOfDate,IF($R47=0,$X47,IF(AND($T47&lt;&gt;"",EDATE($D47,Milestones!$AA$115)&gt;=$T47),$W47,IF(AND($S47&lt;&gt;"",EDATE($D47,Milestones!$AA$115)&gt;=$S47),$V47,$U47)))=Milestones!$AB$115),UPPER(TEXT(EDATE($D47,Milestones!$AA$115),"dd mmm yy"))&amp;" "&amp;Milestones!$AB$115&amp;" "&amp;Milestones!$AC$115&amp;";  ","")&amp;IF(AND(EDATE($D47,Milestones!$AA$116)&lt;=AsOfDate,IF($R47=0,$X47,IF(AND($T47&lt;&gt;"",EDATE($D47,Milestones!$AA$116)&gt;=$T47),$W47,IF(AND($S47&lt;&gt;"",EDATE($D47,Milestones!$AA$116)&gt;=$S47),$V47,$U47)))=Milestones!$AB$116),UPPER(TEXT(EDATE($D47,Milestones!$AA$116),"dd mmm yy"))&amp;" "&amp;Milestones!$AB$116&amp;" "&amp;Milestones!$AC$116&amp;";  ","")&amp;IF(AND(EDATE($D47,Milestones!$AA$117)&lt;=AsOfDate,IF($R47=0,$X47,IF(AND($T47&lt;&gt;"",EDATE($D47,Milestones!$AA$117)&gt;=$T47),$W47,IF(AND($S47&lt;&gt;"",EDATE($D47,Milestones!$AA$117)&gt;=$S47),$V47,$U47)))=Milestones!$AB$117),UPPER(TEXT(EDATE($D47,Milestones!$AA$117),"dd mmm yy"))&amp;" "&amp;Milestones!$AB$117&amp;" "&amp;Milestones!$AC$117&amp;";  ","")&amp;IF(AND(EDATE($D47,Milestones!$AA$118)&lt;=AsOfDate,IF($R47=0,$X47,IF(AND($T47&lt;&gt;"",EDATE($D47,Milestones!$AA$118)&gt;=$T47),$W47,IF(AND($S47&lt;&gt;"",EDATE($D47,Milestones!$AA$118)&gt;=$S47),$V47,$U47)))=Milestones!$AB$118),UPPER(TEXT(EDATE($D47,Milestones!$AA$118),"dd mmm yy"))&amp;" "&amp;Milestones!$AB$118&amp;" "&amp;Milestones!$AC$118&amp;";  ","")&amp;IF(AND(EDATE($D47,Milestones!$AA$119)&lt;=AsOfDate,IF($R47=0,$X47,IF(AND($T47&lt;&gt;"",EDATE($D47,Milestones!$AA$119)&gt;=$T47),$W47,IF(AND($S47&lt;&gt;"",EDATE($D47,Milestones!$AA$119)&gt;=$S47),$V47,$U47)))=Milestones!$AB$119),UPPER(TEXT(EDATE($D47,Milestones!$AA$119),"dd mmm yy"))&amp;" "&amp;Milestones!$AB$119&amp;" "&amp;Milestones!$AC$119&amp;";  ",""))</f>
        <v/>
      </c>
      <c r="N47" s="0" t="str">
        <f aca="false">IF(OR($A47="",$D47=""),"",IF(AND(EDATE($D47,Milestones!$AA$120)&lt;=AsOfDate,IF($R47=0,$X47,IF(AND($T47&lt;&gt;"",EDATE($D47,Milestones!$AA$120)&gt;=$T47),$W47,IF(AND($S47&lt;&gt;"",EDATE($D47,Milestones!$AA$120)&gt;=$S47),$V47,$U47)))=Milestones!$AB$120),UPPER(TEXT(EDATE($D47,Milestones!$AA$120),"dd mmm yy"))&amp;" "&amp;Milestones!$AB$120&amp;" "&amp;Milestones!$AC$120&amp;";  ","")&amp;IF(AND(EDATE($D47,Milestones!$AA$121)&lt;=AsOfDate,IF($R47=0,$X47,IF(AND($T47&lt;&gt;"",EDATE($D47,Milestones!$AA$121)&gt;=$T47),$W47,IF(AND($S47&lt;&gt;"",EDATE($D47,Milestones!$AA$121)&gt;=$S47),$V47,$U47)))=Milestones!$AB$121),UPPER(TEXT(EDATE($D47,Milestones!$AA$121),"dd mmm yy"))&amp;" "&amp;Milestones!$AB$121&amp;" "&amp;Milestones!$AC$121&amp;";  ","")&amp;IF(AND(EDATE($D47,Milestones!$AA$122)&lt;=AsOfDate,IF($R47=0,$X47,IF(AND($T47&lt;&gt;"",EDATE($D47,Milestones!$AA$122)&gt;=$T47),$W47,IF(AND($S47&lt;&gt;"",EDATE($D47,Milestones!$AA$122)&gt;=$S47),$V47,$U47)))=Milestones!$AB$122),UPPER(TEXT(EDATE($D47,Milestones!$AA$122),"dd mmm yy"))&amp;" "&amp;Milestones!$AB$122&amp;" "&amp;Milestones!$AC$122&amp;";  ","")&amp;IF(AND(EDATE($D47,Milestones!$AA$123)&lt;=AsOfDate,IF($R47=0,$X47,IF(AND($T47&lt;&gt;"",EDATE($D47,Milestones!$AA$123)&gt;=$T47),$W47,IF(AND($S47&lt;&gt;"",EDATE($D47,Milestones!$AA$123)&gt;=$S47),$V47,$U47)))=Milestones!$AB$123),UPPER(TEXT(EDATE($D47,Milestones!$AA$123),"dd mmm yy"))&amp;" "&amp;Milestones!$AB$123&amp;" "&amp;Milestones!$AC$123&amp;";  ","")&amp;IF(AND(EDATE($D47,Milestones!$AA$124)&lt;=AsOfDate,IF($R47=0,$X47,IF(AND($T47&lt;&gt;"",EDATE($D47,Milestones!$AA$124)&gt;=$T47),$W47,IF(AND($S47&lt;&gt;"",EDATE($D47,Milestones!$AA$124)&gt;=$S47),$V47,$U47)))=Milestones!$AB$124),UPPER(TEXT(EDATE($D47,Milestones!$AA$124),"dd mmm yy"))&amp;" "&amp;Milestones!$AB$124&amp;" "&amp;Milestones!$AC$124&amp;";  ","")&amp;IF(AND(EDATE($D47,Milestones!$AA$125)&lt;=AsOfDate,IF($R47=0,$X47,IF(AND($T47&lt;&gt;"",EDATE($D47,Milestones!$AA$125)&gt;=$T47),$W47,IF(AND($S47&lt;&gt;"",EDATE($D47,Milestones!$AA$125)&gt;=$S47),$V47,$U47)))=Milestones!$AB$125),UPPER(TEXT(EDATE($D47,Milestones!$AA$125),"dd mmm yy"))&amp;" "&amp;Milestones!$AB$125&amp;" "&amp;Milestones!$AC$125&amp;";  ","")&amp;IF(AND(EDATE($D47,Milestones!$AA$126)&lt;=AsOfDate,IF($R47=0,$X47,IF(AND($T47&lt;&gt;"",EDATE($D47,Milestones!$AA$126)&gt;=$T47),$W47,IF(AND($S47&lt;&gt;"",EDATE($D47,Milestones!$AA$126)&gt;=$S47),$V47,$U47)))=Milestones!$AB$126),UPPER(TEXT(EDATE($D47,Milestones!$AA$126),"dd mmm yy"))&amp;" "&amp;Milestones!$AB$126&amp;" "&amp;Milestones!$AC$126&amp;";  ","")&amp;IF(AND(EDATE($D47,Milestones!$AA$127)&lt;=AsOfDate,IF($R47=0,$X47,IF(AND($T47&lt;&gt;"",EDATE($D47,Milestones!$AA$127)&gt;=$T47),$W47,IF(AND($S47&lt;&gt;"",EDATE($D47,Milestones!$AA$127)&gt;=$S47),$V47,$U47)))=Milestones!$AB$127),UPPER(TEXT(EDATE($D47,Milestones!$AA$127),"dd mmm yy"))&amp;" "&amp;Milestones!$AB$127&amp;" "&amp;Milestones!$AC$127&amp;";  ","")&amp;IF(AND(EDATE($D47,Milestones!$AA$128)&lt;=AsOfDate,IF($R47=0,$X47,IF(AND($T47&lt;&gt;"",EDATE($D47,Milestones!$AA$128)&gt;=$T47),$W47,IF(AND($S47&lt;&gt;"",EDATE($D47,Milestones!$AA$128)&gt;=$S47),$V47,$U47)))=Milestones!$AB$128),UPPER(TEXT(EDATE($D47,Milestones!$AA$128),"dd mmm yy"))&amp;" "&amp;Milestones!$AB$128&amp;" "&amp;Milestones!$AC$128&amp;";  ","")&amp;IF(AND(EDATE($D47,Milestones!$AA$129)&lt;=AsOfDate,IF($R47=0,$X47,IF(AND($T47&lt;&gt;"",EDATE($D47,Milestones!$AA$129)&gt;=$T47),$W47,IF(AND($S47&lt;&gt;"",EDATE($D47,Milestones!$AA$129)&gt;=$S47),$V47,$U47)))=Milestones!$AB$129),UPPER(TEXT(EDATE($D47,Milestones!$AA$129),"dd mmm yy"))&amp;" "&amp;Milestones!$AB$129&amp;" "&amp;Milestones!$AC$129&amp;";  ","")&amp;IF(AND(EDATE($D47,Milestones!$AA$130)&lt;=AsOfDate,IF($R47=0,$X47,IF(AND($T47&lt;&gt;"",EDATE($D47,Milestones!$AA$130)&gt;=$T47),$W47,IF(AND($S47&lt;&gt;"",EDATE($D47,Milestones!$AA$130)&gt;=$S47),$V47,$U47)))=Milestones!$AB$130),UPPER(TEXT(EDATE($D47,Milestones!$AA$130),"dd mmm yy"))&amp;" "&amp;Milestones!$AB$130&amp;" "&amp;Milestones!$AC$130&amp;";  ","")&amp;IF(AND(EDATE($D47,Milestones!$AA$131)&lt;=AsOfDate,IF($R47=0,$X47,IF(AND($T47&lt;&gt;"",EDATE($D47,Milestones!$AA$131)&gt;=$T47),$W47,IF(AND($S47&lt;&gt;"",EDATE($D47,Milestones!$AA$131)&gt;=$S47),$V47,$U47)))=Milestones!$AB$131),UPPER(TEXT(EDATE($D47,Milestones!$AA$131),"dd mmm yy"))&amp;" "&amp;Milestones!$AB$131&amp;" "&amp;Milestones!$AC$131&amp;";  ","")&amp;IF(AND(EDATE($D47,Milestones!$AA$132)&lt;=AsOfDate,IF($R47=0,$X47,IF(AND($T47&lt;&gt;"",EDATE($D47,Milestones!$AA$132)&gt;=$T47),$W47,IF(AND($S47&lt;&gt;"",EDATE($D47,Milestones!$AA$132)&gt;=$S47),$V47,$U47)))=Milestones!$AB$132),UPPER(TEXT(EDATE($D47,Milestones!$AA$132),"dd mmm yy"))&amp;" "&amp;Milestones!$AB$132&amp;" "&amp;Milestones!$AC$132&amp;";  ","")&amp;IF(AND(EDATE($D47,Milestones!$AA$133)&lt;=AsOfDate,IF($R47=0,$X47,IF(AND($T47&lt;&gt;"",EDATE($D47,Milestones!$AA$133)&gt;=$T47),$W47,IF(AND($S47&lt;&gt;"",EDATE($D47,Milestones!$AA$133)&gt;=$S47),$V47,$U47)))=Milestones!$AB$133),UPPER(TEXT(EDATE($D47,Milestones!$AA$133),"dd mmm yy"))&amp;" "&amp;Milestones!$AB$133&amp;" "&amp;Milestones!$AC$133&amp;";  ","")&amp;IF(AND(EDATE($D47,Milestones!$AA$134)&lt;=AsOfDate,IF($R47=0,$X47,IF(AND($T47&lt;&gt;"",EDATE($D47,Milestones!$AA$134)&gt;=$T47),$W47,IF(AND($S47&lt;&gt;"",EDATE($D47,Milestones!$AA$134)&gt;=$S47),$V47,$U47)))=Milestones!$AB$134),UPPER(TEXT(EDATE($D47,Milestones!$AA$134),"dd mmm yy"))&amp;" "&amp;Milestones!$AB$134&amp;" "&amp;Milestones!$AC$134&amp;";  ","")&amp;IF(AND(EDATE($D47,Milestones!$AA$135)&lt;=AsOfDate,IF($R47=0,$X47,IF(AND($T47&lt;&gt;"",EDATE($D47,Milestones!$AA$135)&gt;=$T47),$W47,IF(AND($S47&lt;&gt;"",EDATE($D47,Milestones!$AA$135)&gt;=$S47),$V47,$U47)))=Milestones!$AB$135),UPPER(TEXT(EDATE($D47,Milestones!$AA$135),"dd mmm yy"))&amp;" "&amp;Milestones!$AB$135&amp;" "&amp;Milestones!$AC$135&amp;";  ","")&amp;IF(AND(EDATE($D47,Milestones!$AA$136)&lt;=AsOfDate,IF($R47=0,$X47,IF(AND($T47&lt;&gt;"",EDATE($D47,Milestones!$AA$136)&gt;=$T47),$W47,IF(AND($S47&lt;&gt;"",EDATE($D47,Milestones!$AA$136)&gt;=$S47),$V47,$U47)))=Milestones!$AB$136),UPPER(TEXT(EDATE($D47,Milestones!$AA$136),"dd mmm yy"))&amp;" "&amp;Milestones!$AB$136&amp;" "&amp;Milestones!$AC$136&amp;";  ","")&amp;IF(AND(EDATE($D47,Milestones!$AA$137)&lt;=AsOfDate,IF($R47=0,$X47,IF(AND($T47&lt;&gt;"",EDATE($D47,Milestones!$AA$137)&gt;=$T47),$W47,IF(AND($S47&lt;&gt;"",EDATE($D47,Milestones!$AA$137)&gt;=$S47),$V47,$U47)))=Milestones!$AB$137),UPPER(TEXT(EDATE($D47,Milestones!$AA$137),"dd mmm yy"))&amp;" "&amp;Milestones!$AB$137&amp;" "&amp;Milestones!$AC$137&amp;";  ","")&amp;IF(AND(EDATE($D47,Milestones!$AA$138)&lt;=AsOfDate,IF($R47=0,$X47,IF(AND($T47&lt;&gt;"",EDATE($D47,Milestones!$AA$138)&gt;=$T47),$W47,IF(AND($S47&lt;&gt;"",EDATE($D47,Milestones!$AA$138)&gt;=$S47),$V47,$U47)))=Milestones!$AB$138),UPPER(TEXT(EDATE($D47,Milestones!$AA$138),"dd mmm yy"))&amp;" "&amp;Milestones!$AB$138&amp;" "&amp;Milestones!$AC$138&amp;";  ","")&amp;IF(AND(EDATE($D47,Milestones!$AA$139)&lt;=AsOfDate,IF($R47=0,$X47,IF(AND($T47&lt;&gt;"",EDATE($D47,Milestones!$AA$139)&gt;=$T47),$W47,IF(AND($S47&lt;&gt;"",EDATE($D47,Milestones!$AA$139)&gt;=$S47),$V47,$U47)))=Milestones!$AB$139),UPPER(TEXT(EDATE($D47,Milestones!$AA$139),"dd mmm yy"))&amp;" "&amp;Milestones!$AB$139&amp;" "&amp;Milestones!$AC$139&amp;";  ",""))</f>
        <v/>
      </c>
      <c r="O47" s="0" t="str">
        <f aca="false">IF(OR($A47="",$D47=""),"",IF(AND(EDATE($D47,Milestones!$AA$140)&lt;=AsOfDate,IF($R47=0,$X47,IF(AND($T47&lt;&gt;"",EDATE($D47,Milestones!$AA$140)&gt;=$T47),$W47,IF(AND($S47&lt;&gt;"",EDATE($D47,Milestones!$AA$140)&gt;=$S47),$V47,$U47)))=Milestones!$AB$140),UPPER(TEXT(EDATE($D47,Milestones!$AA$140),"dd mmm yy"))&amp;" "&amp;Milestones!$AB$140&amp;" "&amp;Milestones!$AC$140&amp;";  ","")&amp;IF(AND(EDATE($D47,Milestones!$AA$141)&lt;=AsOfDate,IF($R47=0,$X47,IF(AND($T47&lt;&gt;"",EDATE($D47,Milestones!$AA$141)&gt;=$T47),$W47,IF(AND($S47&lt;&gt;"",EDATE($D47,Milestones!$AA$141)&gt;=$S47),$V47,$U47)))=Milestones!$AB$141),UPPER(TEXT(EDATE($D47,Milestones!$AA$141),"dd mmm yy"))&amp;" "&amp;Milestones!$AB$141&amp;" "&amp;Milestones!$AC$141&amp;";  ","")&amp;IF(AND(EDATE($D47,Milestones!$AA$142)&lt;=AsOfDate,IF($R47=0,$X47,IF(AND($T47&lt;&gt;"",EDATE($D47,Milestones!$AA$142)&gt;=$T47),$W47,IF(AND($S47&lt;&gt;"",EDATE($D47,Milestones!$AA$142)&gt;=$S47),$V47,$U47)))=Milestones!$AB$142),UPPER(TEXT(EDATE($D47,Milestones!$AA$142),"dd mmm yy"))&amp;" "&amp;Milestones!$AB$142&amp;" "&amp;Milestones!$AC$142&amp;";  ","")&amp;IF(AND(EDATE($D47,Milestones!$AA$143)&lt;=AsOfDate,IF($R47=0,$X47,IF(AND($T47&lt;&gt;"",EDATE($D47,Milestones!$AA$143)&gt;=$T47),$W47,IF(AND($S47&lt;&gt;"",EDATE($D47,Milestones!$AA$143)&gt;=$S47),$V47,$U47)))=Milestones!$AB$143),UPPER(TEXT(EDATE($D47,Milestones!$AA$143),"dd mmm yy"))&amp;" "&amp;Milestones!$AB$143&amp;" "&amp;Milestones!$AC$143&amp;";  ","")&amp;IF(AND(EDATE($D47,Milestones!$AA$144)&lt;=AsOfDate,IF($R47=0,$X47,IF(AND($T47&lt;&gt;"",EDATE($D47,Milestones!$AA$144)&gt;=$T47),$W47,IF(AND($S47&lt;&gt;"",EDATE($D47,Milestones!$AA$144)&gt;=$S47),$V47,$U47)))=Milestones!$AB$144),UPPER(TEXT(EDATE($D47,Milestones!$AA$144),"dd mmm yy"))&amp;" "&amp;Milestones!$AB$144&amp;" "&amp;Milestones!$AC$144&amp;";  ","")&amp;IF(AND(EDATE($D47,Milestones!$AA$145)&lt;=AsOfDate,IF($R47=0,$X47,IF(AND($T47&lt;&gt;"",EDATE($D47,Milestones!$AA$145)&gt;=$T47),$W47,IF(AND($S47&lt;&gt;"",EDATE($D47,Milestones!$AA$145)&gt;=$S47),$V47,$U47)))=Milestones!$AB$145),UPPER(TEXT(EDATE($D47,Milestones!$AA$145),"dd mmm yy"))&amp;" "&amp;Milestones!$AB$145&amp;" "&amp;Milestones!$AC$145&amp;";  ","")&amp;IF(AND(EDATE($D47,Milestones!$AA$146)&lt;=AsOfDate,IF($R47=0,$X47,IF(AND($T47&lt;&gt;"",EDATE($D47,Milestones!$AA$146)&gt;=$T47),$W47,IF(AND($S47&lt;&gt;"",EDATE($D47,Milestones!$AA$146)&gt;=$S47),$V47,$U47)))=Milestones!$AB$146),UPPER(TEXT(EDATE($D47,Milestones!$AA$146),"dd mmm yy"))&amp;" "&amp;Milestones!$AB$146&amp;" "&amp;Milestones!$AC$146&amp;";  ","")&amp;IF(AND(EDATE($D47,Milestones!$AA$147)&lt;=AsOfDate,IF($R47=0,$X47,IF(AND($T47&lt;&gt;"",EDATE($D47,Milestones!$AA$147)&gt;=$T47),$W47,IF(AND($S47&lt;&gt;"",EDATE($D47,Milestones!$AA$147)&gt;=$S47),$V47,$U47)))=Milestones!$AB$147),UPPER(TEXT(EDATE($D47,Milestones!$AA$147),"dd mmm yy"))&amp;" "&amp;Milestones!$AB$147&amp;" "&amp;Milestones!$AC$147&amp;";  ","")&amp;IF(AND(EDATE($D47,Milestones!$AA$148)&lt;=AsOfDate,IF($R47=0,$X47,IF(AND($T47&lt;&gt;"",EDATE($D47,Milestones!$AA$148)&gt;=$T47),$W47,IF(AND($S47&lt;&gt;"",EDATE($D47,Milestones!$AA$148)&gt;=$S47),$V47,$U47)))=Milestones!$AB$148),UPPER(TEXT(EDATE($D47,Milestones!$AA$148),"dd mmm yy"))&amp;" "&amp;Milestones!$AB$148&amp;" "&amp;Milestones!$AC$148&amp;";  ","")&amp;IF(AND(EDATE($D47,Milestones!$AA$149)&lt;=AsOfDate,IF($R47=0,$X47,IF(AND($T47&lt;&gt;"",EDATE($D47,Milestones!$AA$149)&gt;=$T47),$W47,IF(AND($S47&lt;&gt;"",EDATE($D47,Milestones!$AA$149)&gt;=$S47),$V47,$U47)))=Milestones!$AB$149),UPPER(TEXT(EDATE($D47,Milestones!$AA$149),"dd mmm yy"))&amp;" "&amp;Milestones!$AB$149&amp;" "&amp;Milestones!$AC$149&amp;";  ","")&amp;IF(AND(EDATE($D47,Milestones!$AA$150)&lt;=AsOfDate,IF($R47=0,$X47,IF(AND($T47&lt;&gt;"",EDATE($D47,Milestones!$AA$150)&gt;=$T47),$W47,IF(AND($S47&lt;&gt;"",EDATE($D47,Milestones!$AA$150)&gt;=$S47),$V47,$U47)))=Milestones!$AB$150),UPPER(TEXT(EDATE($D47,Milestones!$AA$150),"dd mmm yy"))&amp;" "&amp;Milestones!$AB$150&amp;" "&amp;Milestones!$AC$150&amp;";  ","")&amp;IF(AND(EDATE($D47,Milestones!$AA$151)&lt;=AsOfDate,IF($R47=0,$X47,IF(AND($T47&lt;&gt;"",EDATE($D47,Milestones!$AA$151)&gt;=$T47),$W47,IF(AND($S47&lt;&gt;"",EDATE($D47,Milestones!$AA$151)&gt;=$S47),$V47,$U47)))=Milestones!$AB$151),UPPER(TEXT(EDATE($D47,Milestones!$AA$151),"dd mmm yy"))&amp;" "&amp;Milestones!$AB$151&amp;" "&amp;Milestones!$AC$151&amp;";  ","")&amp;IF(AND(EDATE($D47,Milestones!$AA$152)&lt;=AsOfDate,IF($R47=0,$X47,IF(AND($T47&lt;&gt;"",EDATE($D47,Milestones!$AA$152)&gt;=$T47),$W47,IF(AND($S47&lt;&gt;"",EDATE($D47,Milestones!$AA$152)&gt;=$S47),$V47,$U47)))=Milestones!$AB$152),UPPER(TEXT(EDATE($D47,Milestones!$AA$152),"dd mmm yy"))&amp;" "&amp;Milestones!$AB$152&amp;" "&amp;Milestones!$AC$152&amp;";  ","")&amp;IF(AND(EDATE($D47,Milestones!$AA$153)&lt;=AsOfDate,IF($R47=0,$X47,IF(AND($T47&lt;&gt;"",EDATE($D47,Milestones!$AA$153)&gt;=$T47),$W47,IF(AND($S47&lt;&gt;"",EDATE($D47,Milestones!$AA$153)&gt;=$S47),$V47,$U47)))=Milestones!$AB$153),UPPER(TEXT(EDATE($D47,Milestones!$AA$153),"dd mmm yy"))&amp;" "&amp;Milestones!$AB$153&amp;" "&amp;Milestones!$AC$153&amp;";  ","")&amp;IF(AND(EDATE($D47,Milestones!$AA$154)&lt;=AsOfDate,IF($R47=0,$X47,IF(AND($T47&lt;&gt;"",EDATE($D47,Milestones!$AA$154)&gt;=$T47),$W47,IF(AND($S47&lt;&gt;"",EDATE($D47,Milestones!$AA$154)&gt;=$S47),$V47,$U47)))=Milestones!$AB$154),UPPER(TEXT(EDATE($D47,Milestones!$AA$154),"dd mmm yy"))&amp;" "&amp;Milestones!$AB$154&amp;" "&amp;Milestones!$AC$154&amp;";  ","")&amp;IF(AND(EDATE($D47,Milestones!$AA$155)&lt;=AsOfDate,IF($R47=0,$X47,IF(AND($T47&lt;&gt;"",EDATE($D47,Milestones!$AA$155)&gt;=$T47),$W47,IF(AND($S47&lt;&gt;"",EDATE($D47,Milestones!$AA$155)&gt;=$S47),$V47,$U47)))=Milestones!$AB$155),UPPER(TEXT(EDATE($D47,Milestones!$AA$155),"dd mmm yy"))&amp;" "&amp;Milestones!$AB$155&amp;" "&amp;Milestones!$AC$155&amp;";  ","")&amp;IF(AND(EDATE($D47,Milestones!$AA$156)&lt;=AsOfDate,IF($R47=0,$X47,IF(AND($T47&lt;&gt;"",EDATE($D47,Milestones!$AA$156)&gt;=$T47),$W47,IF(AND($S47&lt;&gt;"",EDATE($D47,Milestones!$AA$156)&gt;=$S47),$V47,$U47)))=Milestones!$AB$156),UPPER(TEXT(EDATE($D47,Milestones!$AA$156),"dd mmm yy"))&amp;" "&amp;Milestones!$AB$156&amp;" "&amp;Milestones!$AC$156&amp;";  ","")&amp;IF(AND(EDATE($D47,Milestones!$AA$157)&lt;=AsOfDate,IF($R47=0,$X47,IF(AND($T47&lt;&gt;"",EDATE($D47,Milestones!$AA$157)&gt;=$T47),$W47,IF(AND($S47&lt;&gt;"",EDATE($D47,Milestones!$AA$157)&gt;=$S47),$V47,$U47)))=Milestones!$AB$157),UPPER(TEXT(EDATE($D47,Milestones!$AA$157),"dd mmm yy"))&amp;" "&amp;Milestones!$AB$157&amp;" "&amp;Milestones!$AC$157&amp;";  ","")&amp;IF(AND(EDATE($D47,Milestones!$AA$158)&lt;=AsOfDate,IF($R47=0,$X47,IF(AND($T47&lt;&gt;"",EDATE($D47,Milestones!$AA$158)&gt;=$T47),$W47,IF(AND($S47&lt;&gt;"",EDATE($D47,Milestones!$AA$158)&gt;=$S47),$V47,$U47)))=Milestones!$AB$158),UPPER(TEXT(EDATE($D47,Milestones!$AA$158),"dd mmm yy"))&amp;" "&amp;Milestones!$AB$158&amp;" "&amp;Milestones!$AC$158&amp;";  ","")&amp;IF(AND(EDATE($D47,Milestones!$AA$159)&lt;=AsOfDate,IF($R47=0,$X47,IF(AND($T47&lt;&gt;"",EDATE($D47,Milestones!$AA$159)&gt;=$T47),$W47,IF(AND($S47&lt;&gt;"",EDATE($D47,Milestones!$AA$159)&gt;=$S47),$V47,$U47)))=Milestones!$AB$159),UPPER(TEXT(EDATE($D47,Milestones!$AA$159),"dd mmm yy"))&amp;" "&amp;Milestones!$AB$159&amp;" "&amp;Milestones!$AC$159&amp;";  ",""))</f>
        <v/>
      </c>
      <c r="P47" s="0" t="str">
        <f aca="false">IF(OR($A47="",$D47=""),"",IF(AND(EDATE($D47,Milestones!$AA$160)&lt;=AsOfDate,IF($R47=0,$X47,IF(AND($T47&lt;&gt;"",EDATE($D47,Milestones!$AA$160)&gt;=$T47),$W47,IF(AND($S47&lt;&gt;"",EDATE($D47,Milestones!$AA$160)&gt;=$S47),$V47,$U47)))=Milestones!$AB$160),UPPER(TEXT(EDATE($D47,Milestones!$AA$160),"dd mmm yy"))&amp;" "&amp;Milestones!$AB$160&amp;" "&amp;Milestones!$AC$160&amp;";  ","")&amp;IF(AND(EDATE($D47,Milestones!$AA$161)&lt;=AsOfDate,IF($R47=0,$X47,IF(AND($T47&lt;&gt;"",EDATE($D47,Milestones!$AA$161)&gt;=$T47),$W47,IF(AND($S47&lt;&gt;"",EDATE($D47,Milestones!$AA$161)&gt;=$S47),$V47,$U47)))=Milestones!$AB$161),UPPER(TEXT(EDATE($D47,Milestones!$AA$161),"dd mmm yy"))&amp;" "&amp;Milestones!$AB$161&amp;" "&amp;Milestones!$AC$161&amp;";  ","")&amp;IF(AND(EDATE($D47,Milestones!$AA$162)&lt;=AsOfDate,IF($R47=0,$X47,IF(AND($T47&lt;&gt;"",EDATE($D47,Milestones!$AA$162)&gt;=$T47),$W47,IF(AND($S47&lt;&gt;"",EDATE($D47,Milestones!$AA$162)&gt;=$S47),$V47,$U47)))=Milestones!$AB$162),UPPER(TEXT(EDATE($D47,Milestones!$AA$162),"dd mmm yy"))&amp;" "&amp;Milestones!$AB$162&amp;" "&amp;Milestones!$AC$162&amp;";  ","")&amp;IF(AND(EDATE($D47,Milestones!$AA$163)&lt;=AsOfDate,IF($R47=0,$X47,IF(AND($T47&lt;&gt;"",EDATE($D47,Milestones!$AA$163)&gt;=$T47),$W47,IF(AND($S47&lt;&gt;"",EDATE($D47,Milestones!$AA$163)&gt;=$S47),$V47,$U47)))=Milestones!$AB$163),UPPER(TEXT(EDATE($D47,Milestones!$AA$163),"dd mmm yy"))&amp;" "&amp;Milestones!$AB$163&amp;" "&amp;Milestones!$AC$163&amp;";  ","")&amp;IF(AND(EDATE($D47,Milestones!$AA$164)&lt;=AsOfDate,IF($R47=0,$X47,IF(AND($T47&lt;&gt;"",EDATE($D47,Milestones!$AA$164)&gt;=$T47),$W47,IF(AND($S47&lt;&gt;"",EDATE($D47,Milestones!$AA$164)&gt;=$S47),$V47,$U47)))=Milestones!$AB$164),UPPER(TEXT(EDATE($D47,Milestones!$AA$164),"dd mmm yy"))&amp;" "&amp;Milestones!$AB$164&amp;" "&amp;Milestones!$AC$164&amp;";  ","")&amp;IF(AND(EDATE($D47,Milestones!$AA$165)&lt;=AsOfDate,IF($R47=0,$X47,IF(AND($T47&lt;&gt;"",EDATE($D47,Milestones!$AA$165)&gt;=$T47),$W47,IF(AND($S47&lt;&gt;"",EDATE($D47,Milestones!$AA$165)&gt;=$S47),$V47,$U47)))=Milestones!$AB$165),UPPER(TEXT(EDATE($D47,Milestones!$AA$165),"dd mmm yy"))&amp;" "&amp;Milestones!$AB$165&amp;" "&amp;Milestones!$AC$165&amp;";  ","")&amp;IF(AND(EDATE($D47,Milestones!$AA$166)&lt;=AsOfDate,IF($R47=0,$X47,IF(AND($T47&lt;&gt;"",EDATE($D47,Milestones!$AA$166)&gt;=$T47),$W47,IF(AND($S47&lt;&gt;"",EDATE($D47,Milestones!$AA$166)&gt;=$S47),$V47,$U47)))=Milestones!$AB$166),UPPER(TEXT(EDATE($D47,Milestones!$AA$166),"dd mmm yy"))&amp;" "&amp;Milestones!$AB$166&amp;" "&amp;Milestones!$AC$166&amp;";  ","")&amp;IF(AND(EDATE($D47,Milestones!$AA$167)&lt;=AsOfDate,IF($R47=0,$X47,IF(AND($T47&lt;&gt;"",EDATE($D47,Milestones!$AA$167)&gt;=$T47),$W47,IF(AND($S47&lt;&gt;"",EDATE($D47,Milestones!$AA$167)&gt;=$S47),$V47,$U47)))=Milestones!$AB$167),UPPER(TEXT(EDATE($D47,Milestones!$AA$167),"dd mmm yy"))&amp;" "&amp;Milestones!$AB$167&amp;" "&amp;Milestones!$AC$167&amp;";  ","")&amp;IF(AND(EDATE($D47,Milestones!$AA$168)&lt;=AsOfDate,IF($R47=0,$X47,IF(AND($T47&lt;&gt;"",EDATE($D47,Milestones!$AA$168)&gt;=$T47),$W47,IF(AND($S47&lt;&gt;"",EDATE($D47,Milestones!$AA$168)&gt;=$S47),$V47,$U47)))=Milestones!$AB$168),UPPER(TEXT(EDATE($D47,Milestones!$AA$168),"dd mmm yy"))&amp;" "&amp;Milestones!$AB$168&amp;" "&amp;Milestones!$AC$168&amp;";  ","")&amp;IF(AND(EDATE($D47,Milestones!$AA$169)&lt;=AsOfDate,IF($R47=0,$X47,IF(AND($T47&lt;&gt;"",EDATE($D47,Milestones!$AA$169)&gt;=$T47),$W47,IF(AND($S47&lt;&gt;"",EDATE($D47,Milestones!$AA$169)&gt;=$S47),$V47,$U47)))=Milestones!$AB$169),UPPER(TEXT(EDATE($D47,Milestones!$AA$169),"dd mmm yy"))&amp;" "&amp;Milestones!$AB$169&amp;" "&amp;Milestones!$AC$169&amp;";  ","")&amp;IF(AND(EDATE($D47,Milestones!$AA$170)&lt;=AsOfDate,IF($R47=0,$X47,IF(AND($T47&lt;&gt;"",EDATE($D47,Milestones!$AA$170)&gt;=$T47),$W47,IF(AND($S47&lt;&gt;"",EDATE($D47,Milestones!$AA$170)&gt;=$S47),$V47,$U47)))=Milestones!$AB$170),UPPER(TEXT(EDATE($D47,Milestones!$AA$170),"dd mmm yy"))&amp;" "&amp;Milestones!$AB$170&amp;" "&amp;Milestones!$AC$170&amp;";  ","")&amp;IF(AND(EDATE($D47,Milestones!$AA$171)&lt;=AsOfDate,IF($R47=0,$X47,IF(AND($T47&lt;&gt;"",EDATE($D47,Milestones!$AA$171)&gt;=$T47),$W47,IF(AND($S47&lt;&gt;"",EDATE($D47,Milestones!$AA$171)&gt;=$S47),$V47,$U47)))=Milestones!$AB$171),UPPER(TEXT(EDATE($D47,Milestones!$AA$171),"dd mmm yy"))&amp;" "&amp;Milestones!$AB$171&amp;" "&amp;Milestones!$AC$171&amp;";  ","")&amp;IF(AND(EDATE($D47,Milestones!$AA$172)&lt;=AsOfDate,IF($R47=0,$X47,IF(AND($T47&lt;&gt;"",EDATE($D47,Milestones!$AA$172)&gt;=$T47),$W47,IF(AND($S47&lt;&gt;"",EDATE($D47,Milestones!$AA$172)&gt;=$S47),$V47,$U47)))=Milestones!$AB$172),UPPER(TEXT(EDATE($D47,Milestones!$AA$172),"dd mmm yy"))&amp;" "&amp;Milestones!$AB$172&amp;" "&amp;Milestones!$AC$172&amp;";  ","")&amp;IF(AND(EDATE($D47,Milestones!$AA$173)&lt;=AsOfDate,IF($R47=0,$X47,IF(AND($T47&lt;&gt;"",EDATE($D47,Milestones!$AA$173)&gt;=$T47),$W47,IF(AND($S47&lt;&gt;"",EDATE($D47,Milestones!$AA$173)&gt;=$S47),$V47,$U47)))=Milestones!$AB$173),UPPER(TEXT(EDATE($D47,Milestones!$AA$173),"dd mmm yy"))&amp;" "&amp;Milestones!$AB$173&amp;" "&amp;Milestones!$AC$173&amp;";  ","")&amp;IF(AND(EDATE($D47,Milestones!$AA$174)&lt;=AsOfDate,IF($R47=0,$X47,IF(AND($T47&lt;&gt;"",EDATE($D47,Milestones!$AA$174)&gt;=$T47),$W47,IF(AND($S47&lt;&gt;"",EDATE($D47,Milestones!$AA$174)&gt;=$S47),$V47,$U47)))=Milestones!$AB$174),UPPER(TEXT(EDATE($D47,Milestones!$AA$174),"dd mmm yy"))&amp;" "&amp;Milestones!$AB$174&amp;" "&amp;Milestones!$AC$174&amp;";  ","")&amp;IF(AND(EDATE($D47,Milestones!$AA$175)&lt;=AsOfDate,IF($R47=0,$X47,IF(AND($T47&lt;&gt;"",EDATE($D47,Milestones!$AA$175)&gt;=$T47),$W47,IF(AND($S47&lt;&gt;"",EDATE($D47,Milestones!$AA$175)&gt;=$S47),$V47,$U47)))=Milestones!$AB$175),UPPER(TEXT(EDATE($D47,Milestones!$AA$175),"dd mmm yy"))&amp;" "&amp;Milestones!$AB$175&amp;" "&amp;Milestones!$AC$175&amp;";  ","")&amp;IF(AND(EDATE($D47,Milestones!$AA$176)&lt;=AsOfDate,IF($R47=0,$X47,IF(AND($T47&lt;&gt;"",EDATE($D47,Milestones!$AA$176)&gt;=$T47),$W47,IF(AND($S47&lt;&gt;"",EDATE($D47,Milestones!$AA$176)&gt;=$S47),$V47,$U47)))=Milestones!$AB$176),UPPER(TEXT(EDATE($D47,Milestones!$AA$176),"dd mmm yy"))&amp;" "&amp;Milestones!$AB$176&amp;" "&amp;Milestones!$AC$176&amp;";  ","")&amp;IF(AND(EDATE($D47,Milestones!$AA$177)&lt;=AsOfDate,IF($R47=0,$X47,IF(AND($T47&lt;&gt;"",EDATE($D47,Milestones!$AA$177)&gt;=$T47),$W47,IF(AND($S47&lt;&gt;"",EDATE($D47,Milestones!$AA$177)&gt;=$S47),$V47,$U47)))=Milestones!$AB$177),UPPER(TEXT(EDATE($D47,Milestones!$AA$177),"dd mmm yy"))&amp;" "&amp;Milestones!$AB$177&amp;" "&amp;Milestones!$AC$177&amp;";  ","")&amp;IF(AND(EDATE($D47,Milestones!$AA$178)&lt;=AsOfDate,IF($R47=0,$X47,IF(AND($T47&lt;&gt;"",EDATE($D47,Milestones!$AA$178)&gt;=$T47),$W47,IF(AND($S47&lt;&gt;"",EDATE($D47,Milestones!$AA$178)&gt;=$S47),$V47,$U47)))=Milestones!$AB$178),UPPER(TEXT(EDATE($D47,Milestones!$AA$178),"dd mmm yy"))&amp;" "&amp;Milestones!$AB$178&amp;" "&amp;Milestones!$AC$178&amp;";  ","")&amp;IF(AND(EDATE($D47,Milestones!$AA$179)&lt;=AsOfDate,IF($R47=0,$X47,IF(AND($T47&lt;&gt;"",EDATE($D47,Milestones!$AA$179)&gt;=$T47),$W47,IF(AND($S47&lt;&gt;"",EDATE($D47,Milestones!$AA$179)&gt;=$S47),$V47,$U47)))=Milestones!$AB$179),UPPER(TEXT(EDATE($D47,Milestones!$AA$179),"dd mmm yy"))&amp;" "&amp;Milestones!$AB$179&amp;" "&amp;Milestones!$AC$179&amp;";  ",""))</f>
        <v/>
      </c>
      <c r="Q47" s="0" t="str">
        <f aca="false">IF(OR($A47="",$D47=""),"",IF(AND(EDATE($D47,Milestones!$AA$180)&lt;=AsOfDate,IF($R47=0,$X47,IF(AND($T47&lt;&gt;"",EDATE($D47,Milestones!$AA$180)&gt;=$T47),$W47,IF(AND($S47&lt;&gt;"",EDATE($D47,Milestones!$AA$180)&gt;=$S47),$V47,$U47)))=Milestones!$AB$180),UPPER(TEXT(EDATE($D47,Milestones!$AA$180),"dd mmm yy"))&amp;" "&amp;Milestones!$AB$180&amp;" "&amp;Milestones!$AC$180&amp;";  ","")&amp;IF(AND(EDATE($D47,Milestones!$AA$181)&lt;=AsOfDate,IF($R47=0,$X47,IF(AND($T47&lt;&gt;"",EDATE($D47,Milestones!$AA$181)&gt;=$T47),$W47,IF(AND($S47&lt;&gt;"",EDATE($D47,Milestones!$AA$181)&gt;=$S47),$V47,$U47)))=Milestones!$AB$181),UPPER(TEXT(EDATE($D47,Milestones!$AA$181),"dd mmm yy"))&amp;" "&amp;Milestones!$AB$181&amp;" "&amp;Milestones!$AC$181&amp;";  ","")&amp;IF(AND(EDATE($D47,Milestones!$AA$182)&lt;=AsOfDate,IF($R47=0,$X47,IF(AND($T47&lt;&gt;"",EDATE($D47,Milestones!$AA$182)&gt;=$T47),$W47,IF(AND($S47&lt;&gt;"",EDATE($D47,Milestones!$AA$182)&gt;=$S47),$V47,$U47)))=Milestones!$AB$182),UPPER(TEXT(EDATE($D47,Milestones!$AA$182),"dd mmm yy"))&amp;" "&amp;Milestones!$AB$182&amp;" "&amp;Milestones!$AC$182&amp;";  ","")&amp;IF(AND(EDATE($D47,Milestones!$AA$183)&lt;=AsOfDate,IF($R47=0,$X47,IF(AND($T47&lt;&gt;"",EDATE($D47,Milestones!$AA$183)&gt;=$T47),$W47,IF(AND($S47&lt;&gt;"",EDATE($D47,Milestones!$AA$183)&gt;=$S47),$V47,$U47)))=Milestones!$AB$183),UPPER(TEXT(EDATE($D47,Milestones!$AA$183),"dd mmm yy"))&amp;" "&amp;Milestones!$AB$183&amp;" "&amp;Milestones!$AC$183&amp;";  ","")&amp;IF(AND(EDATE($D47,Milestones!$AA$184)&lt;=AsOfDate,IF($R47=0,$X47,IF(AND($T47&lt;&gt;"",EDATE($D47,Milestones!$AA$184)&gt;=$T47),$W47,IF(AND($S47&lt;&gt;"",EDATE($D47,Milestones!$AA$184)&gt;=$S47),$V47,$U47)))=Milestones!$AB$184),UPPER(TEXT(EDATE($D47,Milestones!$AA$184),"dd mmm yy"))&amp;" "&amp;Milestones!$AB$184&amp;" "&amp;Milestones!$AC$184&amp;";  ","")&amp;IF(AND(EDATE($D47,Milestones!$AA$185)&lt;=AsOfDate,IF($R47=0,$X47,IF(AND($T47&lt;&gt;"",EDATE($D47,Milestones!$AA$185)&gt;=$T47),$W47,IF(AND($S47&lt;&gt;"",EDATE($D47,Milestones!$AA$185)&gt;=$S47),$V47,$U47)))=Milestones!$AB$185),UPPER(TEXT(EDATE($D47,Milestones!$AA$185),"dd mmm yy"))&amp;" "&amp;Milestones!$AB$185&amp;" "&amp;Milestones!$AC$185&amp;";  ","")&amp;IF(AND(EDATE($D47,Milestones!$AA$186)&lt;=AsOfDate,IF($R47=0,$X47,IF(AND($T47&lt;&gt;"",EDATE($D47,Milestones!$AA$186)&gt;=$T47),$W47,IF(AND($S47&lt;&gt;"",EDATE($D47,Milestones!$AA$186)&gt;=$S47),$V47,$U47)))=Milestones!$AB$186),UPPER(TEXT(EDATE($D47,Milestones!$AA$186),"dd mmm yy"))&amp;" "&amp;Milestones!$AB$186&amp;" "&amp;Milestones!$AC$186&amp;";  ","")&amp;IF(AND(EDATE($D47,Milestones!$AA$187)&lt;=AsOfDate,IF($R47=0,$X47,IF(AND($T47&lt;&gt;"",EDATE($D47,Milestones!$AA$187)&gt;=$T47),$W47,IF(AND($S47&lt;&gt;"",EDATE($D47,Milestones!$AA$187)&gt;=$S47),$V47,$U47)))=Milestones!$AB$187),UPPER(TEXT(EDATE($D47,Milestones!$AA$187),"dd mmm yy"))&amp;" "&amp;Milestones!$AB$187&amp;" "&amp;Milestones!$AC$187&amp;";  ","")&amp;IF(AND(EDATE($D47,Milestones!$AA$188)&lt;=AsOfDate,IF($R47=0,$X47,IF(AND($T47&lt;&gt;"",EDATE($D47,Milestones!$AA$188)&gt;=$T47),$W47,IF(AND($S47&lt;&gt;"",EDATE($D47,Milestones!$AA$188)&gt;=$S47),$V47,$U47)))=Milestones!$AB$188),UPPER(TEXT(EDATE($D47,Milestones!$AA$188),"dd mmm yy"))&amp;" "&amp;Milestones!$AB$188&amp;" "&amp;Milestones!$AC$188&amp;";  ","")&amp;IF(AND(EDATE($D47,Milestones!$AA$189)&lt;=AsOfDate,IF($R47=0,$X47,IF(AND($T47&lt;&gt;"",EDATE($D47,Milestones!$AA$189)&gt;=$T47),$W47,IF(AND($S47&lt;&gt;"",EDATE($D47,Milestones!$AA$189)&gt;=$S47),$V47,$U47)))=Milestones!$AB$189),UPPER(TEXT(EDATE($D47,Milestones!$AA$189),"dd mmm yy"))&amp;" "&amp;Milestones!$AB$189&amp;" "&amp;Milestones!$AC$189&amp;";  ","")&amp;IF(AND(EDATE($D47,Milestones!$AA$190)&lt;=AsOfDate,IF($R47=0,$X47,IF(AND($T47&lt;&gt;"",EDATE($D47,Milestones!$AA$190)&gt;=$T47),$W47,IF(AND($S47&lt;&gt;"",EDATE($D47,Milestones!$AA$190)&gt;=$S47),$V47,$U47)))=Milestones!$AB$190),UPPER(TEXT(EDATE($D47,Milestones!$AA$190),"dd mmm yy"))&amp;" "&amp;Milestones!$AB$190&amp;" "&amp;Milestones!$AC$190&amp;";  ","")&amp;IF(AND(EDATE($D47,Milestones!$AA$191)&lt;=AsOfDate,IF($R47=0,$X47,IF(AND($T47&lt;&gt;"",EDATE($D47,Milestones!$AA$191)&gt;=$T47),$W47,IF(AND($S47&lt;&gt;"",EDATE($D47,Milestones!$AA$191)&gt;=$S47),$V47,$U47)))=Milestones!$AB$191),UPPER(TEXT(EDATE($D47,Milestones!$AA$191),"dd mmm yy"))&amp;" "&amp;Milestones!$AB$191&amp;" "&amp;Milestones!$AC$191&amp;";  ","")&amp;IF(AND(EDATE($D47,Milestones!$AA$192)&lt;=AsOfDate,IF($R47=0,$X47,IF(AND($T47&lt;&gt;"",EDATE($D47,Milestones!$AA$192)&gt;=$T47),$W47,IF(AND($S47&lt;&gt;"",EDATE($D47,Milestones!$AA$192)&gt;=$S47),$V47,$U47)))=Milestones!$AB$192),UPPER(TEXT(EDATE($D47,Milestones!$AA$192),"dd mmm yy"))&amp;" "&amp;Milestones!$AB$192&amp;" "&amp;Milestones!$AC$192&amp;";  ","")&amp;IF(AND(EDATE($D47,Milestones!$AA$193)&lt;=AsOfDate,IF($R47=0,$X47,IF(AND($T47&lt;&gt;"",EDATE($D47,Milestones!$AA$193)&gt;=$T47),$W47,IF(AND($S47&lt;&gt;"",EDATE($D47,Milestones!$AA$193)&gt;=$S47),$V47,$U47)))=Milestones!$AB$193),UPPER(TEXT(EDATE($D47,Milestones!$AA$193),"dd mmm yy"))&amp;" "&amp;Milestones!$AB$193&amp;" "&amp;Milestones!$AC$193&amp;";  ","")&amp;IF(AND(EDATE($D47,Milestones!$AA$194)&lt;=AsOfDate,IF($R47=0,$X47,IF(AND($T47&lt;&gt;"",EDATE($D47,Milestones!$AA$194)&gt;=$T47),$W47,IF(AND($S47&lt;&gt;"",EDATE($D47,Milestones!$AA$194)&gt;=$S47),$V47,$U47)))=Milestones!$AB$194),UPPER(TEXT(EDATE($D47,Milestones!$AA$194),"dd mmm yy"))&amp;" "&amp;Milestones!$AB$194&amp;" "&amp;Milestones!$AC$194&amp;";  ","")&amp;IF(AND(EDATE($D47,Milestones!$AA$195)&lt;=AsOfDate,IF($R47=0,$X47,IF(AND($T47&lt;&gt;"",EDATE($D47,Milestones!$AA$195)&gt;=$T47),$W47,IF(AND($S47&lt;&gt;"",EDATE($D47,Milestones!$AA$195)&gt;=$S47),$V47,$U47)))=Milestones!$AB$195),UPPER(TEXT(EDATE($D47,Milestones!$AA$195),"dd mmm yy"))&amp;" "&amp;Milestones!$AB$195&amp;" "&amp;Milestones!$AC$195&amp;";  ","")&amp;IF(AND(EDATE($D47,Milestones!$AA$196)&lt;=AsOfDate,IF($R47=0,$X47,IF(AND($T47&lt;&gt;"",EDATE($D47,Milestones!$AA$196)&gt;=$T47),$W47,IF(AND($S47&lt;&gt;"",EDATE($D47,Milestones!$AA$196)&gt;=$S47),$V47,$U47)))=Milestones!$AB$196),UPPER(TEXT(EDATE($D47,Milestones!$AA$196),"dd mmm yy"))&amp;" "&amp;Milestones!$AB$196&amp;" "&amp;Milestones!$AC$196&amp;";  ","")&amp;IF(AND(EDATE($D47,Milestones!$AA$197)&lt;=AsOfDate,IF($R47=0,$X47,IF(AND($T47&lt;&gt;"",EDATE($D47,Milestones!$AA$197)&gt;=$T47),$W47,IF(AND($S47&lt;&gt;"",EDATE($D47,Milestones!$AA$197)&gt;=$S47),$V47,$U47)))=Milestones!$AB$197),UPPER(TEXT(EDATE($D47,Milestones!$AA$197),"dd mmm yy"))&amp;" "&amp;Milestones!$AB$197&amp;" "&amp;Milestones!$AC$197&amp;";  ","")&amp;IF(AND(EDATE($D47,Milestones!$AA$198)&lt;=AsOfDate,IF($R47=0,$X47,IF(AND($T47&lt;&gt;"",EDATE($D47,Milestones!$AA$198)&gt;=$T47),$W47,IF(AND($S47&lt;&gt;"",EDATE($D47,Milestones!$AA$198)&gt;=$S47),$V47,$U47)))=Milestones!$AB$198),UPPER(TEXT(EDATE($D47,Milestones!$AA$198),"dd mmm yy"))&amp;" "&amp;Milestones!$AB$198&amp;" "&amp;Milestones!$AC$198&amp;";  ","")&amp;IF(AND(EDATE($D47,Milestones!$AA$199)&lt;=AsOfDate,IF($R47=0,$X47,IF(AND($T47&lt;&gt;"",EDATE($D47,Milestones!$AA$199)&gt;=$T47),$W47,IF(AND($S47&lt;&gt;"",EDATE($D47,Milestones!$AA$199)&gt;=$S47),$V47,$U47)))=Milestones!$AB$199),UPPER(TEXT(EDATE($D47,Milestones!$AA$199),"dd mmm yy"))&amp;" "&amp;Milestones!$AB$199&amp;" "&amp;Milestones!$AC$199&amp;";  ",""))</f>
        <v/>
      </c>
      <c r="R47" s="33" t="n">
        <f aca="false">IF(Staff!$A47="","",Staff!$AI47)</f>
        <v>0</v>
      </c>
      <c r="S47" s="0" t="str">
        <f aca="false">IF(Staff!$A47="","",Staff!$AK47)</f>
        <v/>
      </c>
      <c r="T47" s="0" t="str">
        <f aca="false">IF(Staff!$A47="","",Staff!$AL47)</f>
        <v/>
      </c>
      <c r="U47" s="0" t="str">
        <f aca="false">IF(Staff!$A47="","",Staff!$AP47)</f>
        <v>None</v>
      </c>
      <c r="V47" s="0" t="str">
        <f aca="false">IF(Staff!$A47="","",Staff!$AQ47)</f>
        <v/>
      </c>
      <c r="W47" s="0" t="str">
        <f aca="false">IF(Staff!$A47="","",Staff!$AR47)</f>
        <v/>
      </c>
      <c r="X47" s="0" t="str">
        <f aca="false">IF(Staff!$A47="","",Staff!$AS47)</f>
        <v>None</v>
      </c>
    </row>
    <row r="48" customFormat="false" ht="15" hidden="false" customHeight="false" outlineLevel="0" collapsed="false">
      <c r="A48" s="19" t="str">
        <f aca="false">IF(Staff!$A48="","",Staff!$A48)</f>
        <v>Karl</v>
      </c>
      <c r="B48" s="19" t="str">
        <f aca="false">IF(Staff!$A48="","",Staff!$B48)</f>
        <v>Jenner</v>
      </c>
      <c r="C48" s="19" t="str">
        <f aca="false">IF(Staff!$A48="","",Staff!$C48)</f>
        <v>Casual</v>
      </c>
      <c r="D48" s="17" t="n">
        <f aca="false">IF(Staff!$A48="","",Staff!$AH48)</f>
        <v>44812</v>
      </c>
      <c r="E48" s="20" t="n">
        <f aca="false">IF(Staff!$A48="","",Staff!$O48)</f>
        <v>0</v>
      </c>
      <c r="F48" s="19" t="n">
        <f aca="false">IF(E48="","",E48*HoursPerDay)</f>
        <v>0</v>
      </c>
      <c r="G48" s="20" t="n">
        <f aca="false">IF(Staff!$A48="","",Staff!$AE48)</f>
        <v>0</v>
      </c>
      <c r="H48" s="32" t="str">
        <f aca="false">IF($A48="","",I48&amp;J48&amp;K48&amp;L48&amp;M48&amp;N48&amp;O48&amp;P48&amp;Q48)</f>
        <v/>
      </c>
      <c r="I48" s="0" t="str">
        <f aca="false">IF(OR($A48="",$D48=""),"",IF(AND(EDATE($D48,Milestones!$AA$20)&lt;=AsOfDate,IF($R48=0,$X48,IF(AND($T48&lt;&gt;"",EDATE($D48,Milestones!$AA$20)&gt;=$T48),$W48,IF(AND($S48&lt;&gt;"",EDATE($D48,Milestones!$AA$20)&gt;=$S48),$V48,$U48)))=Milestones!$AB$20),UPPER(TEXT(EDATE($D48,Milestones!$AA$20),"dd mmm yy"))&amp;" "&amp;Milestones!$AB$20&amp;" "&amp;Milestones!$AC$20&amp;";  ","")&amp;IF(AND(EDATE($D48,Milestones!$AA$21)&lt;=AsOfDate,IF($R48=0,$X48,IF(AND($T48&lt;&gt;"",EDATE($D48,Milestones!$AA$21)&gt;=$T48),$W48,IF(AND($S48&lt;&gt;"",EDATE($D48,Milestones!$AA$21)&gt;=$S48),$V48,$U48)))=Milestones!$AB$21),UPPER(TEXT(EDATE($D48,Milestones!$AA$21),"dd mmm yy"))&amp;" "&amp;Milestones!$AB$21&amp;" "&amp;Milestones!$AC$21&amp;";  ","")&amp;IF(AND(EDATE($D48,Milestones!$AA$22)&lt;=AsOfDate,IF($R48=0,$X48,IF(AND($T48&lt;&gt;"",EDATE($D48,Milestones!$AA$22)&gt;=$T48),$W48,IF(AND($S48&lt;&gt;"",EDATE($D48,Milestones!$AA$22)&gt;=$S48),$V48,$U48)))=Milestones!$AB$22),UPPER(TEXT(EDATE($D48,Milestones!$AA$22),"dd mmm yy"))&amp;" "&amp;Milestones!$AB$22&amp;" "&amp;Milestones!$AC$22&amp;";  ","")&amp;IF(AND(EDATE($D48,Milestones!$AA$23)&lt;=AsOfDate,IF($R48=0,$X48,IF(AND($T48&lt;&gt;"",EDATE($D48,Milestones!$AA$23)&gt;=$T48),$W48,IF(AND($S48&lt;&gt;"",EDATE($D48,Milestones!$AA$23)&gt;=$S48),$V48,$U48)))=Milestones!$AB$23),UPPER(TEXT(EDATE($D48,Milestones!$AA$23),"dd mmm yy"))&amp;" "&amp;Milestones!$AB$23&amp;" "&amp;Milestones!$AC$23&amp;";  ","")&amp;IF(AND(EDATE($D48,Milestones!$AA$24)&lt;=AsOfDate,IF($R48=0,$X48,IF(AND($T48&lt;&gt;"",EDATE($D48,Milestones!$AA$24)&gt;=$T48),$W48,IF(AND($S48&lt;&gt;"",EDATE($D48,Milestones!$AA$24)&gt;=$S48),$V48,$U48)))=Milestones!$AB$24),UPPER(TEXT(EDATE($D48,Milestones!$AA$24),"dd mmm yy"))&amp;" "&amp;Milestones!$AB$24&amp;" "&amp;Milestones!$AC$24&amp;";  ","")&amp;IF(AND(EDATE($D48,Milestones!$AA$25)&lt;=AsOfDate,IF($R48=0,$X48,IF(AND($T48&lt;&gt;"",EDATE($D48,Milestones!$AA$25)&gt;=$T48),$W48,IF(AND($S48&lt;&gt;"",EDATE($D48,Milestones!$AA$25)&gt;=$S48),$V48,$U48)))=Milestones!$AB$25),UPPER(TEXT(EDATE($D48,Milestones!$AA$25),"dd mmm yy"))&amp;" "&amp;Milestones!$AB$25&amp;" "&amp;Milestones!$AC$25&amp;";  ","")&amp;IF(AND(EDATE($D48,Milestones!$AA$26)&lt;=AsOfDate,IF($R48=0,$X48,IF(AND($T48&lt;&gt;"",EDATE($D48,Milestones!$AA$26)&gt;=$T48),$W48,IF(AND($S48&lt;&gt;"",EDATE($D48,Milestones!$AA$26)&gt;=$S48),$V48,$U48)))=Milestones!$AB$26),UPPER(TEXT(EDATE($D48,Milestones!$AA$26),"dd mmm yy"))&amp;" "&amp;Milestones!$AB$26&amp;" "&amp;Milestones!$AC$26&amp;";  ","")&amp;IF(AND(EDATE($D48,Milestones!$AA$27)&lt;=AsOfDate,IF($R48=0,$X48,IF(AND($T48&lt;&gt;"",EDATE($D48,Milestones!$AA$27)&gt;=$T48),$W48,IF(AND($S48&lt;&gt;"",EDATE($D48,Milestones!$AA$27)&gt;=$S48),$V48,$U48)))=Milestones!$AB$27),UPPER(TEXT(EDATE($D48,Milestones!$AA$27),"dd mmm yy"))&amp;" "&amp;Milestones!$AB$27&amp;" "&amp;Milestones!$AC$27&amp;";  ","")&amp;IF(AND(EDATE($D48,Milestones!$AA$28)&lt;=AsOfDate,IF($R48=0,$X48,IF(AND($T48&lt;&gt;"",EDATE($D48,Milestones!$AA$28)&gt;=$T48),$W48,IF(AND($S48&lt;&gt;"",EDATE($D48,Milestones!$AA$28)&gt;=$S48),$V48,$U48)))=Milestones!$AB$28),UPPER(TEXT(EDATE($D48,Milestones!$AA$28),"dd mmm yy"))&amp;" "&amp;Milestones!$AB$28&amp;" "&amp;Milestones!$AC$28&amp;";  ","")&amp;IF(AND(EDATE($D48,Milestones!$AA$29)&lt;=AsOfDate,IF($R48=0,$X48,IF(AND($T48&lt;&gt;"",EDATE($D48,Milestones!$AA$29)&gt;=$T48),$W48,IF(AND($S48&lt;&gt;"",EDATE($D48,Milestones!$AA$29)&gt;=$S48),$V48,$U48)))=Milestones!$AB$29),UPPER(TEXT(EDATE($D48,Milestones!$AA$29),"dd mmm yy"))&amp;" "&amp;Milestones!$AB$29&amp;" "&amp;Milestones!$AC$29&amp;";  ","")&amp;IF(AND(EDATE($D48,Milestones!$AA$30)&lt;=AsOfDate,IF($R48=0,$X48,IF(AND($T48&lt;&gt;"",EDATE($D48,Milestones!$AA$30)&gt;=$T48),$W48,IF(AND($S48&lt;&gt;"",EDATE($D48,Milestones!$AA$30)&gt;=$S48),$V48,$U48)))=Milestones!$AB$30),UPPER(TEXT(EDATE($D48,Milestones!$AA$30),"dd mmm yy"))&amp;" "&amp;Milestones!$AB$30&amp;" "&amp;Milestones!$AC$30&amp;";  ","")&amp;IF(AND(EDATE($D48,Milestones!$AA$31)&lt;=AsOfDate,IF($R48=0,$X48,IF(AND($T48&lt;&gt;"",EDATE($D48,Milestones!$AA$31)&gt;=$T48),$W48,IF(AND($S48&lt;&gt;"",EDATE($D48,Milestones!$AA$31)&gt;=$S48),$V48,$U48)))=Milestones!$AB$31),UPPER(TEXT(EDATE($D48,Milestones!$AA$31),"dd mmm yy"))&amp;" "&amp;Milestones!$AB$31&amp;" "&amp;Milestones!$AC$31&amp;";  ","")&amp;IF(AND(EDATE($D48,Milestones!$AA$32)&lt;=AsOfDate,IF($R48=0,$X48,IF(AND($T48&lt;&gt;"",EDATE($D48,Milestones!$AA$32)&gt;=$T48),$W48,IF(AND($S48&lt;&gt;"",EDATE($D48,Milestones!$AA$32)&gt;=$S48),$V48,$U48)))=Milestones!$AB$32),UPPER(TEXT(EDATE($D48,Milestones!$AA$32),"dd mmm yy"))&amp;" "&amp;Milestones!$AB$32&amp;" "&amp;Milestones!$AC$32&amp;";  ","")&amp;IF(AND(EDATE($D48,Milestones!$AA$33)&lt;=AsOfDate,IF($R48=0,$X48,IF(AND($T48&lt;&gt;"",EDATE($D48,Milestones!$AA$33)&gt;=$T48),$W48,IF(AND($S48&lt;&gt;"",EDATE($D48,Milestones!$AA$33)&gt;=$S48),$V48,$U48)))=Milestones!$AB$33),UPPER(TEXT(EDATE($D48,Milestones!$AA$33),"dd mmm yy"))&amp;" "&amp;Milestones!$AB$33&amp;" "&amp;Milestones!$AC$33&amp;";  ","")&amp;IF(AND(EDATE($D48,Milestones!$AA$34)&lt;=AsOfDate,IF($R48=0,$X48,IF(AND($T48&lt;&gt;"",EDATE($D48,Milestones!$AA$34)&gt;=$T48),$W48,IF(AND($S48&lt;&gt;"",EDATE($D48,Milestones!$AA$34)&gt;=$S48),$V48,$U48)))=Milestones!$AB$34),UPPER(TEXT(EDATE($D48,Milestones!$AA$34),"dd mmm yy"))&amp;" "&amp;Milestones!$AB$34&amp;" "&amp;Milestones!$AC$34&amp;";  ","")&amp;IF(AND(EDATE($D48,Milestones!$AA$35)&lt;=AsOfDate,IF($R48=0,$X48,IF(AND($T48&lt;&gt;"",EDATE($D48,Milestones!$AA$35)&gt;=$T48),$W48,IF(AND($S48&lt;&gt;"",EDATE($D48,Milestones!$AA$35)&gt;=$S48),$V48,$U48)))=Milestones!$AB$35),UPPER(TEXT(EDATE($D48,Milestones!$AA$35),"dd mmm yy"))&amp;" "&amp;Milestones!$AB$35&amp;" "&amp;Milestones!$AC$35&amp;";  ","")&amp;IF(AND(EDATE($D48,Milestones!$AA$36)&lt;=AsOfDate,IF($R48=0,$X48,IF(AND($T48&lt;&gt;"",EDATE($D48,Milestones!$AA$36)&gt;=$T48),$W48,IF(AND($S48&lt;&gt;"",EDATE($D48,Milestones!$AA$36)&gt;=$S48),$V48,$U48)))=Milestones!$AB$36),UPPER(TEXT(EDATE($D48,Milestones!$AA$36),"dd mmm yy"))&amp;" "&amp;Milestones!$AB$36&amp;" "&amp;Milestones!$AC$36&amp;";  ","")&amp;IF(AND(EDATE($D48,Milestones!$AA$37)&lt;=AsOfDate,IF($R48=0,$X48,IF(AND($T48&lt;&gt;"",EDATE($D48,Milestones!$AA$37)&gt;=$T48),$W48,IF(AND($S48&lt;&gt;"",EDATE($D48,Milestones!$AA$37)&gt;=$S48),$V48,$U48)))=Milestones!$AB$37),UPPER(TEXT(EDATE($D48,Milestones!$AA$37),"dd mmm yy"))&amp;" "&amp;Milestones!$AB$37&amp;" "&amp;Milestones!$AC$37&amp;";  ","")&amp;IF(AND(EDATE($D48,Milestones!$AA$38)&lt;=AsOfDate,IF($R48=0,$X48,IF(AND($T48&lt;&gt;"",EDATE($D48,Milestones!$AA$38)&gt;=$T48),$W48,IF(AND($S48&lt;&gt;"",EDATE($D48,Milestones!$AA$38)&gt;=$S48),$V48,$U48)))=Milestones!$AB$38),UPPER(TEXT(EDATE($D48,Milestones!$AA$38),"dd mmm yy"))&amp;" "&amp;Milestones!$AB$38&amp;" "&amp;Milestones!$AC$38&amp;";  ","")&amp;IF(AND(EDATE($D48,Milestones!$AA$39)&lt;=AsOfDate,IF($R48=0,$X48,IF(AND($T48&lt;&gt;"",EDATE($D48,Milestones!$AA$39)&gt;=$T48),$W48,IF(AND($S48&lt;&gt;"",EDATE($D48,Milestones!$AA$39)&gt;=$S48),$V48,$U48)))=Milestones!$AB$39),UPPER(TEXT(EDATE($D48,Milestones!$AA$39),"dd mmm yy"))&amp;" "&amp;Milestones!$AB$39&amp;" "&amp;Milestones!$AC$39&amp;";  ",""))</f>
        <v/>
      </c>
      <c r="J48" s="0" t="str">
        <f aca="false">IF(OR($A48="",$D48=""),"",IF(AND(EDATE($D48,Milestones!$AA$40)&lt;=AsOfDate,IF($R48=0,$X48,IF(AND($T48&lt;&gt;"",EDATE($D48,Milestones!$AA$40)&gt;=$T48),$W48,IF(AND($S48&lt;&gt;"",EDATE($D48,Milestones!$AA$40)&gt;=$S48),$V48,$U48)))=Milestones!$AB$40),UPPER(TEXT(EDATE($D48,Milestones!$AA$40),"dd mmm yy"))&amp;" "&amp;Milestones!$AB$40&amp;" "&amp;Milestones!$AC$40&amp;";  ","")&amp;IF(AND(EDATE($D48,Milestones!$AA$41)&lt;=AsOfDate,IF($R48=0,$X48,IF(AND($T48&lt;&gt;"",EDATE($D48,Milestones!$AA$41)&gt;=$T48),$W48,IF(AND($S48&lt;&gt;"",EDATE($D48,Milestones!$AA$41)&gt;=$S48),$V48,$U48)))=Milestones!$AB$41),UPPER(TEXT(EDATE($D48,Milestones!$AA$41),"dd mmm yy"))&amp;" "&amp;Milestones!$AB$41&amp;" "&amp;Milestones!$AC$41&amp;";  ","")&amp;IF(AND(EDATE($D48,Milestones!$AA$42)&lt;=AsOfDate,IF($R48=0,$X48,IF(AND($T48&lt;&gt;"",EDATE($D48,Milestones!$AA$42)&gt;=$T48),$W48,IF(AND($S48&lt;&gt;"",EDATE($D48,Milestones!$AA$42)&gt;=$S48),$V48,$U48)))=Milestones!$AB$42),UPPER(TEXT(EDATE($D48,Milestones!$AA$42),"dd mmm yy"))&amp;" "&amp;Milestones!$AB$42&amp;" "&amp;Milestones!$AC$42&amp;";  ","")&amp;IF(AND(EDATE($D48,Milestones!$AA$43)&lt;=AsOfDate,IF($R48=0,$X48,IF(AND($T48&lt;&gt;"",EDATE($D48,Milestones!$AA$43)&gt;=$T48),$W48,IF(AND($S48&lt;&gt;"",EDATE($D48,Milestones!$AA$43)&gt;=$S48),$V48,$U48)))=Milestones!$AB$43),UPPER(TEXT(EDATE($D48,Milestones!$AA$43),"dd mmm yy"))&amp;" "&amp;Milestones!$AB$43&amp;" "&amp;Milestones!$AC$43&amp;";  ","")&amp;IF(AND(EDATE($D48,Milestones!$AA$44)&lt;=AsOfDate,IF($R48=0,$X48,IF(AND($T48&lt;&gt;"",EDATE($D48,Milestones!$AA$44)&gt;=$T48),$W48,IF(AND($S48&lt;&gt;"",EDATE($D48,Milestones!$AA$44)&gt;=$S48),$V48,$U48)))=Milestones!$AB$44),UPPER(TEXT(EDATE($D48,Milestones!$AA$44),"dd mmm yy"))&amp;" "&amp;Milestones!$AB$44&amp;" "&amp;Milestones!$AC$44&amp;";  ","")&amp;IF(AND(EDATE($D48,Milestones!$AA$45)&lt;=AsOfDate,IF($R48=0,$X48,IF(AND($T48&lt;&gt;"",EDATE($D48,Milestones!$AA$45)&gt;=$T48),$W48,IF(AND($S48&lt;&gt;"",EDATE($D48,Milestones!$AA$45)&gt;=$S48),$V48,$U48)))=Milestones!$AB$45),UPPER(TEXT(EDATE($D48,Milestones!$AA$45),"dd mmm yy"))&amp;" "&amp;Milestones!$AB$45&amp;" "&amp;Milestones!$AC$45&amp;";  ","")&amp;IF(AND(EDATE($D48,Milestones!$AA$46)&lt;=AsOfDate,IF($R48=0,$X48,IF(AND($T48&lt;&gt;"",EDATE($D48,Milestones!$AA$46)&gt;=$T48),$W48,IF(AND($S48&lt;&gt;"",EDATE($D48,Milestones!$AA$46)&gt;=$S48),$V48,$U48)))=Milestones!$AB$46),UPPER(TEXT(EDATE($D48,Milestones!$AA$46),"dd mmm yy"))&amp;" "&amp;Milestones!$AB$46&amp;" "&amp;Milestones!$AC$46&amp;";  ","")&amp;IF(AND(EDATE($D48,Milestones!$AA$47)&lt;=AsOfDate,IF($R48=0,$X48,IF(AND($T48&lt;&gt;"",EDATE($D48,Milestones!$AA$47)&gt;=$T48),$W48,IF(AND($S48&lt;&gt;"",EDATE($D48,Milestones!$AA$47)&gt;=$S48),$V48,$U48)))=Milestones!$AB$47),UPPER(TEXT(EDATE($D48,Milestones!$AA$47),"dd mmm yy"))&amp;" "&amp;Milestones!$AB$47&amp;" "&amp;Milestones!$AC$47&amp;";  ","")&amp;IF(AND(EDATE($D48,Milestones!$AA$48)&lt;=AsOfDate,IF($R48=0,$X48,IF(AND($T48&lt;&gt;"",EDATE($D48,Milestones!$AA$48)&gt;=$T48),$W48,IF(AND($S48&lt;&gt;"",EDATE($D48,Milestones!$AA$48)&gt;=$S48),$V48,$U48)))=Milestones!$AB$48),UPPER(TEXT(EDATE($D48,Milestones!$AA$48),"dd mmm yy"))&amp;" "&amp;Milestones!$AB$48&amp;" "&amp;Milestones!$AC$48&amp;";  ","")&amp;IF(AND(EDATE($D48,Milestones!$AA$49)&lt;=AsOfDate,IF($R48=0,$X48,IF(AND($T48&lt;&gt;"",EDATE($D48,Milestones!$AA$49)&gt;=$T48),$W48,IF(AND($S48&lt;&gt;"",EDATE($D48,Milestones!$AA$49)&gt;=$S48),$V48,$U48)))=Milestones!$AB$49),UPPER(TEXT(EDATE($D48,Milestones!$AA$49),"dd mmm yy"))&amp;" "&amp;Milestones!$AB$49&amp;" "&amp;Milestones!$AC$49&amp;";  ","")&amp;IF(AND(EDATE($D48,Milestones!$AA$50)&lt;=AsOfDate,IF($R48=0,$X48,IF(AND($T48&lt;&gt;"",EDATE($D48,Milestones!$AA$50)&gt;=$T48),$W48,IF(AND($S48&lt;&gt;"",EDATE($D48,Milestones!$AA$50)&gt;=$S48),$V48,$U48)))=Milestones!$AB$50),UPPER(TEXT(EDATE($D48,Milestones!$AA$50),"dd mmm yy"))&amp;" "&amp;Milestones!$AB$50&amp;" "&amp;Milestones!$AC$50&amp;";  ","")&amp;IF(AND(EDATE($D48,Milestones!$AA$51)&lt;=AsOfDate,IF($R48=0,$X48,IF(AND($T48&lt;&gt;"",EDATE($D48,Milestones!$AA$51)&gt;=$T48),$W48,IF(AND($S48&lt;&gt;"",EDATE($D48,Milestones!$AA$51)&gt;=$S48),$V48,$U48)))=Milestones!$AB$51),UPPER(TEXT(EDATE($D48,Milestones!$AA$51),"dd mmm yy"))&amp;" "&amp;Milestones!$AB$51&amp;" "&amp;Milestones!$AC$51&amp;";  ","")&amp;IF(AND(EDATE($D48,Milestones!$AA$52)&lt;=AsOfDate,IF($R48=0,$X48,IF(AND($T48&lt;&gt;"",EDATE($D48,Milestones!$AA$52)&gt;=$T48),$W48,IF(AND($S48&lt;&gt;"",EDATE($D48,Milestones!$AA$52)&gt;=$S48),$V48,$U48)))=Milestones!$AB$52),UPPER(TEXT(EDATE($D48,Milestones!$AA$52),"dd mmm yy"))&amp;" "&amp;Milestones!$AB$52&amp;" "&amp;Milestones!$AC$52&amp;";  ","")&amp;IF(AND(EDATE($D48,Milestones!$AA$53)&lt;=AsOfDate,IF($R48=0,$X48,IF(AND($T48&lt;&gt;"",EDATE($D48,Milestones!$AA$53)&gt;=$T48),$W48,IF(AND($S48&lt;&gt;"",EDATE($D48,Milestones!$AA$53)&gt;=$S48),$V48,$U48)))=Milestones!$AB$53),UPPER(TEXT(EDATE($D48,Milestones!$AA$53),"dd mmm yy"))&amp;" "&amp;Milestones!$AB$53&amp;" "&amp;Milestones!$AC$53&amp;";  ","")&amp;IF(AND(EDATE($D48,Milestones!$AA$54)&lt;=AsOfDate,IF($R48=0,$X48,IF(AND($T48&lt;&gt;"",EDATE($D48,Milestones!$AA$54)&gt;=$T48),$W48,IF(AND($S48&lt;&gt;"",EDATE($D48,Milestones!$AA$54)&gt;=$S48),$V48,$U48)))=Milestones!$AB$54),UPPER(TEXT(EDATE($D48,Milestones!$AA$54),"dd mmm yy"))&amp;" "&amp;Milestones!$AB$54&amp;" "&amp;Milestones!$AC$54&amp;";  ","")&amp;IF(AND(EDATE($D48,Milestones!$AA$55)&lt;=AsOfDate,IF($R48=0,$X48,IF(AND($T48&lt;&gt;"",EDATE($D48,Milestones!$AA$55)&gt;=$T48),$W48,IF(AND($S48&lt;&gt;"",EDATE($D48,Milestones!$AA$55)&gt;=$S48),$V48,$U48)))=Milestones!$AB$55),UPPER(TEXT(EDATE($D48,Milestones!$AA$55),"dd mmm yy"))&amp;" "&amp;Milestones!$AB$55&amp;" "&amp;Milestones!$AC$55&amp;";  ","")&amp;IF(AND(EDATE($D48,Milestones!$AA$56)&lt;=AsOfDate,IF($R48=0,$X48,IF(AND($T48&lt;&gt;"",EDATE($D48,Milestones!$AA$56)&gt;=$T48),$W48,IF(AND($S48&lt;&gt;"",EDATE($D48,Milestones!$AA$56)&gt;=$S48),$V48,$U48)))=Milestones!$AB$56),UPPER(TEXT(EDATE($D48,Milestones!$AA$56),"dd mmm yy"))&amp;" "&amp;Milestones!$AB$56&amp;" "&amp;Milestones!$AC$56&amp;";  ","")&amp;IF(AND(EDATE($D48,Milestones!$AA$57)&lt;=AsOfDate,IF($R48=0,$X48,IF(AND($T48&lt;&gt;"",EDATE($D48,Milestones!$AA$57)&gt;=$T48),$W48,IF(AND($S48&lt;&gt;"",EDATE($D48,Milestones!$AA$57)&gt;=$S48),$V48,$U48)))=Milestones!$AB$57),UPPER(TEXT(EDATE($D48,Milestones!$AA$57),"dd mmm yy"))&amp;" "&amp;Milestones!$AB$57&amp;" "&amp;Milestones!$AC$57&amp;";  ","")&amp;IF(AND(EDATE($D48,Milestones!$AA$58)&lt;=AsOfDate,IF($R48=0,$X48,IF(AND($T48&lt;&gt;"",EDATE($D48,Milestones!$AA$58)&gt;=$T48),$W48,IF(AND($S48&lt;&gt;"",EDATE($D48,Milestones!$AA$58)&gt;=$S48),$V48,$U48)))=Milestones!$AB$58),UPPER(TEXT(EDATE($D48,Milestones!$AA$58),"dd mmm yy"))&amp;" "&amp;Milestones!$AB$58&amp;" "&amp;Milestones!$AC$58&amp;";  ","")&amp;IF(AND(EDATE($D48,Milestones!$AA$59)&lt;=AsOfDate,IF($R48=0,$X48,IF(AND($T48&lt;&gt;"",EDATE($D48,Milestones!$AA$59)&gt;=$T48),$W48,IF(AND($S48&lt;&gt;"",EDATE($D48,Milestones!$AA$59)&gt;=$S48),$V48,$U48)))=Milestones!$AB$59),UPPER(TEXT(EDATE($D48,Milestones!$AA$59),"dd mmm yy"))&amp;" "&amp;Milestones!$AB$59&amp;" "&amp;Milestones!$AC$59&amp;";  ",""))</f>
        <v/>
      </c>
      <c r="K48" s="0" t="str">
        <f aca="false">IF(OR($A48="",$D48=""),"",IF(AND(EDATE($D48,Milestones!$AA$60)&lt;=AsOfDate,IF($R48=0,$X48,IF(AND($T48&lt;&gt;"",EDATE($D48,Milestones!$AA$60)&gt;=$T48),$W48,IF(AND($S48&lt;&gt;"",EDATE($D48,Milestones!$AA$60)&gt;=$S48),$V48,$U48)))=Milestones!$AB$60),UPPER(TEXT(EDATE($D48,Milestones!$AA$60),"dd mmm yy"))&amp;" "&amp;Milestones!$AB$60&amp;" "&amp;Milestones!$AC$60&amp;";  ","")&amp;IF(AND(EDATE($D48,Milestones!$AA$61)&lt;=AsOfDate,IF($R48=0,$X48,IF(AND($T48&lt;&gt;"",EDATE($D48,Milestones!$AA$61)&gt;=$T48),$W48,IF(AND($S48&lt;&gt;"",EDATE($D48,Milestones!$AA$61)&gt;=$S48),$V48,$U48)))=Milestones!$AB$61),UPPER(TEXT(EDATE($D48,Milestones!$AA$61),"dd mmm yy"))&amp;" "&amp;Milestones!$AB$61&amp;" "&amp;Milestones!$AC$61&amp;";  ","")&amp;IF(AND(EDATE($D48,Milestones!$AA$62)&lt;=AsOfDate,IF($R48=0,$X48,IF(AND($T48&lt;&gt;"",EDATE($D48,Milestones!$AA$62)&gt;=$T48),$W48,IF(AND($S48&lt;&gt;"",EDATE($D48,Milestones!$AA$62)&gt;=$S48),$V48,$U48)))=Milestones!$AB$62),UPPER(TEXT(EDATE($D48,Milestones!$AA$62),"dd mmm yy"))&amp;" "&amp;Milestones!$AB$62&amp;" "&amp;Milestones!$AC$62&amp;";  ","")&amp;IF(AND(EDATE($D48,Milestones!$AA$63)&lt;=AsOfDate,IF($R48=0,$X48,IF(AND($T48&lt;&gt;"",EDATE($D48,Milestones!$AA$63)&gt;=$T48),$W48,IF(AND($S48&lt;&gt;"",EDATE($D48,Milestones!$AA$63)&gt;=$S48),$V48,$U48)))=Milestones!$AB$63),UPPER(TEXT(EDATE($D48,Milestones!$AA$63),"dd mmm yy"))&amp;" "&amp;Milestones!$AB$63&amp;" "&amp;Milestones!$AC$63&amp;";  ","")&amp;IF(AND(EDATE($D48,Milestones!$AA$64)&lt;=AsOfDate,IF($R48=0,$X48,IF(AND($T48&lt;&gt;"",EDATE($D48,Milestones!$AA$64)&gt;=$T48),$W48,IF(AND($S48&lt;&gt;"",EDATE($D48,Milestones!$AA$64)&gt;=$S48),$V48,$U48)))=Milestones!$AB$64),UPPER(TEXT(EDATE($D48,Milestones!$AA$64),"dd mmm yy"))&amp;" "&amp;Milestones!$AB$64&amp;" "&amp;Milestones!$AC$64&amp;";  ","")&amp;IF(AND(EDATE($D48,Milestones!$AA$65)&lt;=AsOfDate,IF($R48=0,$X48,IF(AND($T48&lt;&gt;"",EDATE($D48,Milestones!$AA$65)&gt;=$T48),$W48,IF(AND($S48&lt;&gt;"",EDATE($D48,Milestones!$AA$65)&gt;=$S48),$V48,$U48)))=Milestones!$AB$65),UPPER(TEXT(EDATE($D48,Milestones!$AA$65),"dd mmm yy"))&amp;" "&amp;Milestones!$AB$65&amp;" "&amp;Milestones!$AC$65&amp;";  ","")&amp;IF(AND(EDATE($D48,Milestones!$AA$66)&lt;=AsOfDate,IF($R48=0,$X48,IF(AND($T48&lt;&gt;"",EDATE($D48,Milestones!$AA$66)&gt;=$T48),$W48,IF(AND($S48&lt;&gt;"",EDATE($D48,Milestones!$AA$66)&gt;=$S48),$V48,$U48)))=Milestones!$AB$66),UPPER(TEXT(EDATE($D48,Milestones!$AA$66),"dd mmm yy"))&amp;" "&amp;Milestones!$AB$66&amp;" "&amp;Milestones!$AC$66&amp;";  ","")&amp;IF(AND(EDATE($D48,Milestones!$AA$67)&lt;=AsOfDate,IF($R48=0,$X48,IF(AND($T48&lt;&gt;"",EDATE($D48,Milestones!$AA$67)&gt;=$T48),$W48,IF(AND($S48&lt;&gt;"",EDATE($D48,Milestones!$AA$67)&gt;=$S48),$V48,$U48)))=Milestones!$AB$67),UPPER(TEXT(EDATE($D48,Milestones!$AA$67),"dd mmm yy"))&amp;" "&amp;Milestones!$AB$67&amp;" "&amp;Milestones!$AC$67&amp;";  ","")&amp;IF(AND(EDATE($D48,Milestones!$AA$68)&lt;=AsOfDate,IF($R48=0,$X48,IF(AND($T48&lt;&gt;"",EDATE($D48,Milestones!$AA$68)&gt;=$T48),$W48,IF(AND($S48&lt;&gt;"",EDATE($D48,Milestones!$AA$68)&gt;=$S48),$V48,$U48)))=Milestones!$AB$68),UPPER(TEXT(EDATE($D48,Milestones!$AA$68),"dd mmm yy"))&amp;" "&amp;Milestones!$AB$68&amp;" "&amp;Milestones!$AC$68&amp;";  ","")&amp;IF(AND(EDATE($D48,Milestones!$AA$69)&lt;=AsOfDate,IF($R48=0,$X48,IF(AND($T48&lt;&gt;"",EDATE($D48,Milestones!$AA$69)&gt;=$T48),$W48,IF(AND($S48&lt;&gt;"",EDATE($D48,Milestones!$AA$69)&gt;=$S48),$V48,$U48)))=Milestones!$AB$69),UPPER(TEXT(EDATE($D48,Milestones!$AA$69),"dd mmm yy"))&amp;" "&amp;Milestones!$AB$69&amp;" "&amp;Milestones!$AC$69&amp;";  ","")&amp;IF(AND(EDATE($D48,Milestones!$AA$70)&lt;=AsOfDate,IF($R48=0,$X48,IF(AND($T48&lt;&gt;"",EDATE($D48,Milestones!$AA$70)&gt;=$T48),$W48,IF(AND($S48&lt;&gt;"",EDATE($D48,Milestones!$AA$70)&gt;=$S48),$V48,$U48)))=Milestones!$AB$70),UPPER(TEXT(EDATE($D48,Milestones!$AA$70),"dd mmm yy"))&amp;" "&amp;Milestones!$AB$70&amp;" "&amp;Milestones!$AC$70&amp;";  ","")&amp;IF(AND(EDATE($D48,Milestones!$AA$71)&lt;=AsOfDate,IF($R48=0,$X48,IF(AND($T48&lt;&gt;"",EDATE($D48,Milestones!$AA$71)&gt;=$T48),$W48,IF(AND($S48&lt;&gt;"",EDATE($D48,Milestones!$AA$71)&gt;=$S48),$V48,$U48)))=Milestones!$AB$71),UPPER(TEXT(EDATE($D48,Milestones!$AA$71),"dd mmm yy"))&amp;" "&amp;Milestones!$AB$71&amp;" "&amp;Milestones!$AC$71&amp;";  ","")&amp;IF(AND(EDATE($D48,Milestones!$AA$72)&lt;=AsOfDate,IF($R48=0,$X48,IF(AND($T48&lt;&gt;"",EDATE($D48,Milestones!$AA$72)&gt;=$T48),$W48,IF(AND($S48&lt;&gt;"",EDATE($D48,Milestones!$AA$72)&gt;=$S48),$V48,$U48)))=Milestones!$AB$72),UPPER(TEXT(EDATE($D48,Milestones!$AA$72),"dd mmm yy"))&amp;" "&amp;Milestones!$AB$72&amp;" "&amp;Milestones!$AC$72&amp;";  ","")&amp;IF(AND(EDATE($D48,Milestones!$AA$73)&lt;=AsOfDate,IF($R48=0,$X48,IF(AND($T48&lt;&gt;"",EDATE($D48,Milestones!$AA$73)&gt;=$T48),$W48,IF(AND($S48&lt;&gt;"",EDATE($D48,Milestones!$AA$73)&gt;=$S48),$V48,$U48)))=Milestones!$AB$73),UPPER(TEXT(EDATE($D48,Milestones!$AA$73),"dd mmm yy"))&amp;" "&amp;Milestones!$AB$73&amp;" "&amp;Milestones!$AC$73&amp;";  ","")&amp;IF(AND(EDATE($D48,Milestones!$AA$74)&lt;=AsOfDate,IF($R48=0,$X48,IF(AND($T48&lt;&gt;"",EDATE($D48,Milestones!$AA$74)&gt;=$T48),$W48,IF(AND($S48&lt;&gt;"",EDATE($D48,Milestones!$AA$74)&gt;=$S48),$V48,$U48)))=Milestones!$AB$74),UPPER(TEXT(EDATE($D48,Milestones!$AA$74),"dd mmm yy"))&amp;" "&amp;Milestones!$AB$74&amp;" "&amp;Milestones!$AC$74&amp;";  ","")&amp;IF(AND(EDATE($D48,Milestones!$AA$75)&lt;=AsOfDate,IF($R48=0,$X48,IF(AND($T48&lt;&gt;"",EDATE($D48,Milestones!$AA$75)&gt;=$T48),$W48,IF(AND($S48&lt;&gt;"",EDATE($D48,Milestones!$AA$75)&gt;=$S48),$V48,$U48)))=Milestones!$AB$75),UPPER(TEXT(EDATE($D48,Milestones!$AA$75),"dd mmm yy"))&amp;" "&amp;Milestones!$AB$75&amp;" "&amp;Milestones!$AC$75&amp;";  ","")&amp;IF(AND(EDATE($D48,Milestones!$AA$76)&lt;=AsOfDate,IF($R48=0,$X48,IF(AND($T48&lt;&gt;"",EDATE($D48,Milestones!$AA$76)&gt;=$T48),$W48,IF(AND($S48&lt;&gt;"",EDATE($D48,Milestones!$AA$76)&gt;=$S48),$V48,$U48)))=Milestones!$AB$76),UPPER(TEXT(EDATE($D48,Milestones!$AA$76),"dd mmm yy"))&amp;" "&amp;Milestones!$AB$76&amp;" "&amp;Milestones!$AC$76&amp;";  ","")&amp;IF(AND(EDATE($D48,Milestones!$AA$77)&lt;=AsOfDate,IF($R48=0,$X48,IF(AND($T48&lt;&gt;"",EDATE($D48,Milestones!$AA$77)&gt;=$T48),$W48,IF(AND($S48&lt;&gt;"",EDATE($D48,Milestones!$AA$77)&gt;=$S48),$V48,$U48)))=Milestones!$AB$77),UPPER(TEXT(EDATE($D48,Milestones!$AA$77),"dd mmm yy"))&amp;" "&amp;Milestones!$AB$77&amp;" "&amp;Milestones!$AC$77&amp;";  ","")&amp;IF(AND(EDATE($D48,Milestones!$AA$78)&lt;=AsOfDate,IF($R48=0,$X48,IF(AND($T48&lt;&gt;"",EDATE($D48,Milestones!$AA$78)&gt;=$T48),$W48,IF(AND($S48&lt;&gt;"",EDATE($D48,Milestones!$AA$78)&gt;=$S48),$V48,$U48)))=Milestones!$AB$78),UPPER(TEXT(EDATE($D48,Milestones!$AA$78),"dd mmm yy"))&amp;" "&amp;Milestones!$AB$78&amp;" "&amp;Milestones!$AC$78&amp;";  ","")&amp;IF(AND(EDATE($D48,Milestones!$AA$79)&lt;=AsOfDate,IF($R48=0,$X48,IF(AND($T48&lt;&gt;"",EDATE($D48,Milestones!$AA$79)&gt;=$T48),$W48,IF(AND($S48&lt;&gt;"",EDATE($D48,Milestones!$AA$79)&gt;=$S48),$V48,$U48)))=Milestones!$AB$79),UPPER(TEXT(EDATE($D48,Milestones!$AA$79),"dd mmm yy"))&amp;" "&amp;Milestones!$AB$79&amp;" "&amp;Milestones!$AC$79&amp;";  ",""))</f>
        <v/>
      </c>
      <c r="L48" s="0" t="str">
        <f aca="false">IF(OR($A48="",$D48=""),"",IF(AND(EDATE($D48,Milestones!$AA$80)&lt;=AsOfDate,IF($R48=0,$X48,IF(AND($T48&lt;&gt;"",EDATE($D48,Milestones!$AA$80)&gt;=$T48),$W48,IF(AND($S48&lt;&gt;"",EDATE($D48,Milestones!$AA$80)&gt;=$S48),$V48,$U48)))=Milestones!$AB$80),UPPER(TEXT(EDATE($D48,Milestones!$AA$80),"dd mmm yy"))&amp;" "&amp;Milestones!$AB$80&amp;" "&amp;Milestones!$AC$80&amp;";  ","")&amp;IF(AND(EDATE($D48,Milestones!$AA$81)&lt;=AsOfDate,IF($R48=0,$X48,IF(AND($T48&lt;&gt;"",EDATE($D48,Milestones!$AA$81)&gt;=$T48),$W48,IF(AND($S48&lt;&gt;"",EDATE($D48,Milestones!$AA$81)&gt;=$S48),$V48,$U48)))=Milestones!$AB$81),UPPER(TEXT(EDATE($D48,Milestones!$AA$81),"dd mmm yy"))&amp;" "&amp;Milestones!$AB$81&amp;" "&amp;Milestones!$AC$81&amp;";  ","")&amp;IF(AND(EDATE($D48,Milestones!$AA$82)&lt;=AsOfDate,IF($R48=0,$X48,IF(AND($T48&lt;&gt;"",EDATE($D48,Milestones!$AA$82)&gt;=$T48),$W48,IF(AND($S48&lt;&gt;"",EDATE($D48,Milestones!$AA$82)&gt;=$S48),$V48,$U48)))=Milestones!$AB$82),UPPER(TEXT(EDATE($D48,Milestones!$AA$82),"dd mmm yy"))&amp;" "&amp;Milestones!$AB$82&amp;" "&amp;Milestones!$AC$82&amp;";  ","")&amp;IF(AND(EDATE($D48,Milestones!$AA$83)&lt;=AsOfDate,IF($R48=0,$X48,IF(AND($T48&lt;&gt;"",EDATE($D48,Milestones!$AA$83)&gt;=$T48),$W48,IF(AND($S48&lt;&gt;"",EDATE($D48,Milestones!$AA$83)&gt;=$S48),$V48,$U48)))=Milestones!$AB$83),UPPER(TEXT(EDATE($D48,Milestones!$AA$83),"dd mmm yy"))&amp;" "&amp;Milestones!$AB$83&amp;" "&amp;Milestones!$AC$83&amp;";  ","")&amp;IF(AND(EDATE($D48,Milestones!$AA$84)&lt;=AsOfDate,IF($R48=0,$X48,IF(AND($T48&lt;&gt;"",EDATE($D48,Milestones!$AA$84)&gt;=$T48),$W48,IF(AND($S48&lt;&gt;"",EDATE($D48,Milestones!$AA$84)&gt;=$S48),$V48,$U48)))=Milestones!$AB$84),UPPER(TEXT(EDATE($D48,Milestones!$AA$84),"dd mmm yy"))&amp;" "&amp;Milestones!$AB$84&amp;" "&amp;Milestones!$AC$84&amp;";  ","")&amp;IF(AND(EDATE($D48,Milestones!$AA$85)&lt;=AsOfDate,IF($R48=0,$X48,IF(AND($T48&lt;&gt;"",EDATE($D48,Milestones!$AA$85)&gt;=$T48),$W48,IF(AND($S48&lt;&gt;"",EDATE($D48,Milestones!$AA$85)&gt;=$S48),$V48,$U48)))=Milestones!$AB$85),UPPER(TEXT(EDATE($D48,Milestones!$AA$85),"dd mmm yy"))&amp;" "&amp;Milestones!$AB$85&amp;" "&amp;Milestones!$AC$85&amp;";  ","")&amp;IF(AND(EDATE($D48,Milestones!$AA$86)&lt;=AsOfDate,IF($R48=0,$X48,IF(AND($T48&lt;&gt;"",EDATE($D48,Milestones!$AA$86)&gt;=$T48),$W48,IF(AND($S48&lt;&gt;"",EDATE($D48,Milestones!$AA$86)&gt;=$S48),$V48,$U48)))=Milestones!$AB$86),UPPER(TEXT(EDATE($D48,Milestones!$AA$86),"dd mmm yy"))&amp;" "&amp;Milestones!$AB$86&amp;" "&amp;Milestones!$AC$86&amp;";  ","")&amp;IF(AND(EDATE($D48,Milestones!$AA$87)&lt;=AsOfDate,IF($R48=0,$X48,IF(AND($T48&lt;&gt;"",EDATE($D48,Milestones!$AA$87)&gt;=$T48),$W48,IF(AND($S48&lt;&gt;"",EDATE($D48,Milestones!$AA$87)&gt;=$S48),$V48,$U48)))=Milestones!$AB$87),UPPER(TEXT(EDATE($D48,Milestones!$AA$87),"dd mmm yy"))&amp;" "&amp;Milestones!$AB$87&amp;" "&amp;Milestones!$AC$87&amp;";  ","")&amp;IF(AND(EDATE($D48,Milestones!$AA$88)&lt;=AsOfDate,IF($R48=0,$X48,IF(AND($T48&lt;&gt;"",EDATE($D48,Milestones!$AA$88)&gt;=$T48),$W48,IF(AND($S48&lt;&gt;"",EDATE($D48,Milestones!$AA$88)&gt;=$S48),$V48,$U48)))=Milestones!$AB$88),UPPER(TEXT(EDATE($D48,Milestones!$AA$88),"dd mmm yy"))&amp;" "&amp;Milestones!$AB$88&amp;" "&amp;Milestones!$AC$88&amp;";  ","")&amp;IF(AND(EDATE($D48,Milestones!$AA$89)&lt;=AsOfDate,IF($R48=0,$X48,IF(AND($T48&lt;&gt;"",EDATE($D48,Milestones!$AA$89)&gt;=$T48),$W48,IF(AND($S48&lt;&gt;"",EDATE($D48,Milestones!$AA$89)&gt;=$S48),$V48,$U48)))=Milestones!$AB$89),UPPER(TEXT(EDATE($D48,Milestones!$AA$89),"dd mmm yy"))&amp;" "&amp;Milestones!$AB$89&amp;" "&amp;Milestones!$AC$89&amp;";  ","")&amp;IF(AND(EDATE($D48,Milestones!$AA$90)&lt;=AsOfDate,IF($R48=0,$X48,IF(AND($T48&lt;&gt;"",EDATE($D48,Milestones!$AA$90)&gt;=$T48),$W48,IF(AND($S48&lt;&gt;"",EDATE($D48,Milestones!$AA$90)&gt;=$S48),$V48,$U48)))=Milestones!$AB$90),UPPER(TEXT(EDATE($D48,Milestones!$AA$90),"dd mmm yy"))&amp;" "&amp;Milestones!$AB$90&amp;" "&amp;Milestones!$AC$90&amp;";  ","")&amp;IF(AND(EDATE($D48,Milestones!$AA$91)&lt;=AsOfDate,IF($R48=0,$X48,IF(AND($T48&lt;&gt;"",EDATE($D48,Milestones!$AA$91)&gt;=$T48),$W48,IF(AND($S48&lt;&gt;"",EDATE($D48,Milestones!$AA$91)&gt;=$S48),$V48,$U48)))=Milestones!$AB$91),UPPER(TEXT(EDATE($D48,Milestones!$AA$91),"dd mmm yy"))&amp;" "&amp;Milestones!$AB$91&amp;" "&amp;Milestones!$AC$91&amp;";  ","")&amp;IF(AND(EDATE($D48,Milestones!$AA$92)&lt;=AsOfDate,IF($R48=0,$X48,IF(AND($T48&lt;&gt;"",EDATE($D48,Milestones!$AA$92)&gt;=$T48),$W48,IF(AND($S48&lt;&gt;"",EDATE($D48,Milestones!$AA$92)&gt;=$S48),$V48,$U48)))=Milestones!$AB$92),UPPER(TEXT(EDATE($D48,Milestones!$AA$92),"dd mmm yy"))&amp;" "&amp;Milestones!$AB$92&amp;" "&amp;Milestones!$AC$92&amp;";  ","")&amp;IF(AND(EDATE($D48,Milestones!$AA$93)&lt;=AsOfDate,IF($R48=0,$X48,IF(AND($T48&lt;&gt;"",EDATE($D48,Milestones!$AA$93)&gt;=$T48),$W48,IF(AND($S48&lt;&gt;"",EDATE($D48,Milestones!$AA$93)&gt;=$S48),$V48,$U48)))=Milestones!$AB$93),UPPER(TEXT(EDATE($D48,Milestones!$AA$93),"dd mmm yy"))&amp;" "&amp;Milestones!$AB$93&amp;" "&amp;Milestones!$AC$93&amp;";  ","")&amp;IF(AND(EDATE($D48,Milestones!$AA$94)&lt;=AsOfDate,IF($R48=0,$X48,IF(AND($T48&lt;&gt;"",EDATE($D48,Milestones!$AA$94)&gt;=$T48),$W48,IF(AND($S48&lt;&gt;"",EDATE($D48,Milestones!$AA$94)&gt;=$S48),$V48,$U48)))=Milestones!$AB$94),UPPER(TEXT(EDATE($D48,Milestones!$AA$94),"dd mmm yy"))&amp;" "&amp;Milestones!$AB$94&amp;" "&amp;Milestones!$AC$94&amp;";  ","")&amp;IF(AND(EDATE($D48,Milestones!$AA$95)&lt;=AsOfDate,IF($R48=0,$X48,IF(AND($T48&lt;&gt;"",EDATE($D48,Milestones!$AA$95)&gt;=$T48),$W48,IF(AND($S48&lt;&gt;"",EDATE($D48,Milestones!$AA$95)&gt;=$S48),$V48,$U48)))=Milestones!$AB$95),UPPER(TEXT(EDATE($D48,Milestones!$AA$95),"dd mmm yy"))&amp;" "&amp;Milestones!$AB$95&amp;" "&amp;Milestones!$AC$95&amp;";  ","")&amp;IF(AND(EDATE($D48,Milestones!$AA$96)&lt;=AsOfDate,IF($R48=0,$X48,IF(AND($T48&lt;&gt;"",EDATE($D48,Milestones!$AA$96)&gt;=$T48),$W48,IF(AND($S48&lt;&gt;"",EDATE($D48,Milestones!$AA$96)&gt;=$S48),$V48,$U48)))=Milestones!$AB$96),UPPER(TEXT(EDATE($D48,Milestones!$AA$96),"dd mmm yy"))&amp;" "&amp;Milestones!$AB$96&amp;" "&amp;Milestones!$AC$96&amp;";  ","")&amp;IF(AND(EDATE($D48,Milestones!$AA$97)&lt;=AsOfDate,IF($R48=0,$X48,IF(AND($T48&lt;&gt;"",EDATE($D48,Milestones!$AA$97)&gt;=$T48),$W48,IF(AND($S48&lt;&gt;"",EDATE($D48,Milestones!$AA$97)&gt;=$S48),$V48,$U48)))=Milestones!$AB$97),UPPER(TEXT(EDATE($D48,Milestones!$AA$97),"dd mmm yy"))&amp;" "&amp;Milestones!$AB$97&amp;" "&amp;Milestones!$AC$97&amp;";  ","")&amp;IF(AND(EDATE($D48,Milestones!$AA$98)&lt;=AsOfDate,IF($R48=0,$X48,IF(AND($T48&lt;&gt;"",EDATE($D48,Milestones!$AA$98)&gt;=$T48),$W48,IF(AND($S48&lt;&gt;"",EDATE($D48,Milestones!$AA$98)&gt;=$S48),$V48,$U48)))=Milestones!$AB$98),UPPER(TEXT(EDATE($D48,Milestones!$AA$98),"dd mmm yy"))&amp;" "&amp;Milestones!$AB$98&amp;" "&amp;Milestones!$AC$98&amp;";  ","")&amp;IF(AND(EDATE($D48,Milestones!$AA$99)&lt;=AsOfDate,IF($R48=0,$X48,IF(AND($T48&lt;&gt;"",EDATE($D48,Milestones!$AA$99)&gt;=$T48),$W48,IF(AND($S48&lt;&gt;"",EDATE($D48,Milestones!$AA$99)&gt;=$S48),$V48,$U48)))=Milestones!$AB$99),UPPER(TEXT(EDATE($D48,Milestones!$AA$99),"dd mmm yy"))&amp;" "&amp;Milestones!$AB$99&amp;" "&amp;Milestones!$AC$99&amp;";  ",""))</f>
        <v/>
      </c>
      <c r="M48" s="0" t="str">
        <f aca="false">IF(OR($A48="",$D48=""),"",IF(AND(EDATE($D48,Milestones!$AA$100)&lt;=AsOfDate,IF($R48=0,$X48,IF(AND($T48&lt;&gt;"",EDATE($D48,Milestones!$AA$100)&gt;=$T48),$W48,IF(AND($S48&lt;&gt;"",EDATE($D48,Milestones!$AA$100)&gt;=$S48),$V48,$U48)))=Milestones!$AB$100),UPPER(TEXT(EDATE($D48,Milestones!$AA$100),"dd mmm yy"))&amp;" "&amp;Milestones!$AB$100&amp;" "&amp;Milestones!$AC$100&amp;";  ","")&amp;IF(AND(EDATE($D48,Milestones!$AA$101)&lt;=AsOfDate,IF($R48=0,$X48,IF(AND($T48&lt;&gt;"",EDATE($D48,Milestones!$AA$101)&gt;=$T48),$W48,IF(AND($S48&lt;&gt;"",EDATE($D48,Milestones!$AA$101)&gt;=$S48),$V48,$U48)))=Milestones!$AB$101),UPPER(TEXT(EDATE($D48,Milestones!$AA$101),"dd mmm yy"))&amp;" "&amp;Milestones!$AB$101&amp;" "&amp;Milestones!$AC$101&amp;";  ","")&amp;IF(AND(EDATE($D48,Milestones!$AA$102)&lt;=AsOfDate,IF($R48=0,$X48,IF(AND($T48&lt;&gt;"",EDATE($D48,Milestones!$AA$102)&gt;=$T48),$W48,IF(AND($S48&lt;&gt;"",EDATE($D48,Milestones!$AA$102)&gt;=$S48),$V48,$U48)))=Milestones!$AB$102),UPPER(TEXT(EDATE($D48,Milestones!$AA$102),"dd mmm yy"))&amp;" "&amp;Milestones!$AB$102&amp;" "&amp;Milestones!$AC$102&amp;";  ","")&amp;IF(AND(EDATE($D48,Milestones!$AA$103)&lt;=AsOfDate,IF($R48=0,$X48,IF(AND($T48&lt;&gt;"",EDATE($D48,Milestones!$AA$103)&gt;=$T48),$W48,IF(AND($S48&lt;&gt;"",EDATE($D48,Milestones!$AA$103)&gt;=$S48),$V48,$U48)))=Milestones!$AB$103),UPPER(TEXT(EDATE($D48,Milestones!$AA$103),"dd mmm yy"))&amp;" "&amp;Milestones!$AB$103&amp;" "&amp;Milestones!$AC$103&amp;";  ","")&amp;IF(AND(EDATE($D48,Milestones!$AA$104)&lt;=AsOfDate,IF($R48=0,$X48,IF(AND($T48&lt;&gt;"",EDATE($D48,Milestones!$AA$104)&gt;=$T48),$W48,IF(AND($S48&lt;&gt;"",EDATE($D48,Milestones!$AA$104)&gt;=$S48),$V48,$U48)))=Milestones!$AB$104),UPPER(TEXT(EDATE($D48,Milestones!$AA$104),"dd mmm yy"))&amp;" "&amp;Milestones!$AB$104&amp;" "&amp;Milestones!$AC$104&amp;";  ","")&amp;IF(AND(EDATE($D48,Milestones!$AA$105)&lt;=AsOfDate,IF($R48=0,$X48,IF(AND($T48&lt;&gt;"",EDATE($D48,Milestones!$AA$105)&gt;=$T48),$W48,IF(AND($S48&lt;&gt;"",EDATE($D48,Milestones!$AA$105)&gt;=$S48),$V48,$U48)))=Milestones!$AB$105),UPPER(TEXT(EDATE($D48,Milestones!$AA$105),"dd mmm yy"))&amp;" "&amp;Milestones!$AB$105&amp;" "&amp;Milestones!$AC$105&amp;";  ","")&amp;IF(AND(EDATE($D48,Milestones!$AA$106)&lt;=AsOfDate,IF($R48=0,$X48,IF(AND($T48&lt;&gt;"",EDATE($D48,Milestones!$AA$106)&gt;=$T48),$W48,IF(AND($S48&lt;&gt;"",EDATE($D48,Milestones!$AA$106)&gt;=$S48),$V48,$U48)))=Milestones!$AB$106),UPPER(TEXT(EDATE($D48,Milestones!$AA$106),"dd mmm yy"))&amp;" "&amp;Milestones!$AB$106&amp;" "&amp;Milestones!$AC$106&amp;";  ","")&amp;IF(AND(EDATE($D48,Milestones!$AA$107)&lt;=AsOfDate,IF($R48=0,$X48,IF(AND($T48&lt;&gt;"",EDATE($D48,Milestones!$AA$107)&gt;=$T48),$W48,IF(AND($S48&lt;&gt;"",EDATE($D48,Milestones!$AA$107)&gt;=$S48),$V48,$U48)))=Milestones!$AB$107),UPPER(TEXT(EDATE($D48,Milestones!$AA$107),"dd mmm yy"))&amp;" "&amp;Milestones!$AB$107&amp;" "&amp;Milestones!$AC$107&amp;";  ","")&amp;IF(AND(EDATE($D48,Milestones!$AA$108)&lt;=AsOfDate,IF($R48=0,$X48,IF(AND($T48&lt;&gt;"",EDATE($D48,Milestones!$AA$108)&gt;=$T48),$W48,IF(AND($S48&lt;&gt;"",EDATE($D48,Milestones!$AA$108)&gt;=$S48),$V48,$U48)))=Milestones!$AB$108),UPPER(TEXT(EDATE($D48,Milestones!$AA$108),"dd mmm yy"))&amp;" "&amp;Milestones!$AB$108&amp;" "&amp;Milestones!$AC$108&amp;";  ","")&amp;IF(AND(EDATE($D48,Milestones!$AA$109)&lt;=AsOfDate,IF($R48=0,$X48,IF(AND($T48&lt;&gt;"",EDATE($D48,Milestones!$AA$109)&gt;=$T48),$W48,IF(AND($S48&lt;&gt;"",EDATE($D48,Milestones!$AA$109)&gt;=$S48),$V48,$U48)))=Milestones!$AB$109),UPPER(TEXT(EDATE($D48,Milestones!$AA$109),"dd mmm yy"))&amp;" "&amp;Milestones!$AB$109&amp;" "&amp;Milestones!$AC$109&amp;";  ","")&amp;IF(AND(EDATE($D48,Milestones!$AA$110)&lt;=AsOfDate,IF($R48=0,$X48,IF(AND($T48&lt;&gt;"",EDATE($D48,Milestones!$AA$110)&gt;=$T48),$W48,IF(AND($S48&lt;&gt;"",EDATE($D48,Milestones!$AA$110)&gt;=$S48),$V48,$U48)))=Milestones!$AB$110),UPPER(TEXT(EDATE($D48,Milestones!$AA$110),"dd mmm yy"))&amp;" "&amp;Milestones!$AB$110&amp;" "&amp;Milestones!$AC$110&amp;";  ","")&amp;IF(AND(EDATE($D48,Milestones!$AA$111)&lt;=AsOfDate,IF($R48=0,$X48,IF(AND($T48&lt;&gt;"",EDATE($D48,Milestones!$AA$111)&gt;=$T48),$W48,IF(AND($S48&lt;&gt;"",EDATE($D48,Milestones!$AA$111)&gt;=$S48),$V48,$U48)))=Milestones!$AB$111),UPPER(TEXT(EDATE($D48,Milestones!$AA$111),"dd mmm yy"))&amp;" "&amp;Milestones!$AB$111&amp;" "&amp;Milestones!$AC$111&amp;";  ","")&amp;IF(AND(EDATE($D48,Milestones!$AA$112)&lt;=AsOfDate,IF($R48=0,$X48,IF(AND($T48&lt;&gt;"",EDATE($D48,Milestones!$AA$112)&gt;=$T48),$W48,IF(AND($S48&lt;&gt;"",EDATE($D48,Milestones!$AA$112)&gt;=$S48),$V48,$U48)))=Milestones!$AB$112),UPPER(TEXT(EDATE($D48,Milestones!$AA$112),"dd mmm yy"))&amp;" "&amp;Milestones!$AB$112&amp;" "&amp;Milestones!$AC$112&amp;";  ","")&amp;IF(AND(EDATE($D48,Milestones!$AA$113)&lt;=AsOfDate,IF($R48=0,$X48,IF(AND($T48&lt;&gt;"",EDATE($D48,Milestones!$AA$113)&gt;=$T48),$W48,IF(AND($S48&lt;&gt;"",EDATE($D48,Milestones!$AA$113)&gt;=$S48),$V48,$U48)))=Milestones!$AB$113),UPPER(TEXT(EDATE($D48,Milestones!$AA$113),"dd mmm yy"))&amp;" "&amp;Milestones!$AB$113&amp;" "&amp;Milestones!$AC$113&amp;";  ","")&amp;IF(AND(EDATE($D48,Milestones!$AA$114)&lt;=AsOfDate,IF($R48=0,$X48,IF(AND($T48&lt;&gt;"",EDATE($D48,Milestones!$AA$114)&gt;=$T48),$W48,IF(AND($S48&lt;&gt;"",EDATE($D48,Milestones!$AA$114)&gt;=$S48),$V48,$U48)))=Milestones!$AB$114),UPPER(TEXT(EDATE($D48,Milestones!$AA$114),"dd mmm yy"))&amp;" "&amp;Milestones!$AB$114&amp;" "&amp;Milestones!$AC$114&amp;";  ","")&amp;IF(AND(EDATE($D48,Milestones!$AA$115)&lt;=AsOfDate,IF($R48=0,$X48,IF(AND($T48&lt;&gt;"",EDATE($D48,Milestones!$AA$115)&gt;=$T48),$W48,IF(AND($S48&lt;&gt;"",EDATE($D48,Milestones!$AA$115)&gt;=$S48),$V48,$U48)))=Milestones!$AB$115),UPPER(TEXT(EDATE($D48,Milestones!$AA$115),"dd mmm yy"))&amp;" "&amp;Milestones!$AB$115&amp;" "&amp;Milestones!$AC$115&amp;";  ","")&amp;IF(AND(EDATE($D48,Milestones!$AA$116)&lt;=AsOfDate,IF($R48=0,$X48,IF(AND($T48&lt;&gt;"",EDATE($D48,Milestones!$AA$116)&gt;=$T48),$W48,IF(AND($S48&lt;&gt;"",EDATE($D48,Milestones!$AA$116)&gt;=$S48),$V48,$U48)))=Milestones!$AB$116),UPPER(TEXT(EDATE($D48,Milestones!$AA$116),"dd mmm yy"))&amp;" "&amp;Milestones!$AB$116&amp;" "&amp;Milestones!$AC$116&amp;";  ","")&amp;IF(AND(EDATE($D48,Milestones!$AA$117)&lt;=AsOfDate,IF($R48=0,$X48,IF(AND($T48&lt;&gt;"",EDATE($D48,Milestones!$AA$117)&gt;=$T48),$W48,IF(AND($S48&lt;&gt;"",EDATE($D48,Milestones!$AA$117)&gt;=$S48),$V48,$U48)))=Milestones!$AB$117),UPPER(TEXT(EDATE($D48,Milestones!$AA$117),"dd mmm yy"))&amp;" "&amp;Milestones!$AB$117&amp;" "&amp;Milestones!$AC$117&amp;";  ","")&amp;IF(AND(EDATE($D48,Milestones!$AA$118)&lt;=AsOfDate,IF($R48=0,$X48,IF(AND($T48&lt;&gt;"",EDATE($D48,Milestones!$AA$118)&gt;=$T48),$W48,IF(AND($S48&lt;&gt;"",EDATE($D48,Milestones!$AA$118)&gt;=$S48),$V48,$U48)))=Milestones!$AB$118),UPPER(TEXT(EDATE($D48,Milestones!$AA$118),"dd mmm yy"))&amp;" "&amp;Milestones!$AB$118&amp;" "&amp;Milestones!$AC$118&amp;";  ","")&amp;IF(AND(EDATE($D48,Milestones!$AA$119)&lt;=AsOfDate,IF($R48=0,$X48,IF(AND($T48&lt;&gt;"",EDATE($D48,Milestones!$AA$119)&gt;=$T48),$W48,IF(AND($S48&lt;&gt;"",EDATE($D48,Milestones!$AA$119)&gt;=$S48),$V48,$U48)))=Milestones!$AB$119),UPPER(TEXT(EDATE($D48,Milestones!$AA$119),"dd mmm yy"))&amp;" "&amp;Milestones!$AB$119&amp;" "&amp;Milestones!$AC$119&amp;";  ",""))</f>
        <v/>
      </c>
      <c r="N48" s="0" t="str">
        <f aca="false">IF(OR($A48="",$D48=""),"",IF(AND(EDATE($D48,Milestones!$AA$120)&lt;=AsOfDate,IF($R48=0,$X48,IF(AND($T48&lt;&gt;"",EDATE($D48,Milestones!$AA$120)&gt;=$T48),$W48,IF(AND($S48&lt;&gt;"",EDATE($D48,Milestones!$AA$120)&gt;=$S48),$V48,$U48)))=Milestones!$AB$120),UPPER(TEXT(EDATE($D48,Milestones!$AA$120),"dd mmm yy"))&amp;" "&amp;Milestones!$AB$120&amp;" "&amp;Milestones!$AC$120&amp;";  ","")&amp;IF(AND(EDATE($D48,Milestones!$AA$121)&lt;=AsOfDate,IF($R48=0,$X48,IF(AND($T48&lt;&gt;"",EDATE($D48,Milestones!$AA$121)&gt;=$T48),$W48,IF(AND($S48&lt;&gt;"",EDATE($D48,Milestones!$AA$121)&gt;=$S48),$V48,$U48)))=Milestones!$AB$121),UPPER(TEXT(EDATE($D48,Milestones!$AA$121),"dd mmm yy"))&amp;" "&amp;Milestones!$AB$121&amp;" "&amp;Milestones!$AC$121&amp;";  ","")&amp;IF(AND(EDATE($D48,Milestones!$AA$122)&lt;=AsOfDate,IF($R48=0,$X48,IF(AND($T48&lt;&gt;"",EDATE($D48,Milestones!$AA$122)&gt;=$T48),$W48,IF(AND($S48&lt;&gt;"",EDATE($D48,Milestones!$AA$122)&gt;=$S48),$V48,$U48)))=Milestones!$AB$122),UPPER(TEXT(EDATE($D48,Milestones!$AA$122),"dd mmm yy"))&amp;" "&amp;Milestones!$AB$122&amp;" "&amp;Milestones!$AC$122&amp;";  ","")&amp;IF(AND(EDATE($D48,Milestones!$AA$123)&lt;=AsOfDate,IF($R48=0,$X48,IF(AND($T48&lt;&gt;"",EDATE($D48,Milestones!$AA$123)&gt;=$T48),$W48,IF(AND($S48&lt;&gt;"",EDATE($D48,Milestones!$AA$123)&gt;=$S48),$V48,$U48)))=Milestones!$AB$123),UPPER(TEXT(EDATE($D48,Milestones!$AA$123),"dd mmm yy"))&amp;" "&amp;Milestones!$AB$123&amp;" "&amp;Milestones!$AC$123&amp;";  ","")&amp;IF(AND(EDATE($D48,Milestones!$AA$124)&lt;=AsOfDate,IF($R48=0,$X48,IF(AND($T48&lt;&gt;"",EDATE($D48,Milestones!$AA$124)&gt;=$T48),$W48,IF(AND($S48&lt;&gt;"",EDATE($D48,Milestones!$AA$124)&gt;=$S48),$V48,$U48)))=Milestones!$AB$124),UPPER(TEXT(EDATE($D48,Milestones!$AA$124),"dd mmm yy"))&amp;" "&amp;Milestones!$AB$124&amp;" "&amp;Milestones!$AC$124&amp;";  ","")&amp;IF(AND(EDATE($D48,Milestones!$AA$125)&lt;=AsOfDate,IF($R48=0,$X48,IF(AND($T48&lt;&gt;"",EDATE($D48,Milestones!$AA$125)&gt;=$T48),$W48,IF(AND($S48&lt;&gt;"",EDATE($D48,Milestones!$AA$125)&gt;=$S48),$V48,$U48)))=Milestones!$AB$125),UPPER(TEXT(EDATE($D48,Milestones!$AA$125),"dd mmm yy"))&amp;" "&amp;Milestones!$AB$125&amp;" "&amp;Milestones!$AC$125&amp;";  ","")&amp;IF(AND(EDATE($D48,Milestones!$AA$126)&lt;=AsOfDate,IF($R48=0,$X48,IF(AND($T48&lt;&gt;"",EDATE($D48,Milestones!$AA$126)&gt;=$T48),$W48,IF(AND($S48&lt;&gt;"",EDATE($D48,Milestones!$AA$126)&gt;=$S48),$V48,$U48)))=Milestones!$AB$126),UPPER(TEXT(EDATE($D48,Milestones!$AA$126),"dd mmm yy"))&amp;" "&amp;Milestones!$AB$126&amp;" "&amp;Milestones!$AC$126&amp;";  ","")&amp;IF(AND(EDATE($D48,Milestones!$AA$127)&lt;=AsOfDate,IF($R48=0,$X48,IF(AND($T48&lt;&gt;"",EDATE($D48,Milestones!$AA$127)&gt;=$T48),$W48,IF(AND($S48&lt;&gt;"",EDATE($D48,Milestones!$AA$127)&gt;=$S48),$V48,$U48)))=Milestones!$AB$127),UPPER(TEXT(EDATE($D48,Milestones!$AA$127),"dd mmm yy"))&amp;" "&amp;Milestones!$AB$127&amp;" "&amp;Milestones!$AC$127&amp;";  ","")&amp;IF(AND(EDATE($D48,Milestones!$AA$128)&lt;=AsOfDate,IF($R48=0,$X48,IF(AND($T48&lt;&gt;"",EDATE($D48,Milestones!$AA$128)&gt;=$T48),$W48,IF(AND($S48&lt;&gt;"",EDATE($D48,Milestones!$AA$128)&gt;=$S48),$V48,$U48)))=Milestones!$AB$128),UPPER(TEXT(EDATE($D48,Milestones!$AA$128),"dd mmm yy"))&amp;" "&amp;Milestones!$AB$128&amp;" "&amp;Milestones!$AC$128&amp;";  ","")&amp;IF(AND(EDATE($D48,Milestones!$AA$129)&lt;=AsOfDate,IF($R48=0,$X48,IF(AND($T48&lt;&gt;"",EDATE($D48,Milestones!$AA$129)&gt;=$T48),$W48,IF(AND($S48&lt;&gt;"",EDATE($D48,Milestones!$AA$129)&gt;=$S48),$V48,$U48)))=Milestones!$AB$129),UPPER(TEXT(EDATE($D48,Milestones!$AA$129),"dd mmm yy"))&amp;" "&amp;Milestones!$AB$129&amp;" "&amp;Milestones!$AC$129&amp;";  ","")&amp;IF(AND(EDATE($D48,Milestones!$AA$130)&lt;=AsOfDate,IF($R48=0,$X48,IF(AND($T48&lt;&gt;"",EDATE($D48,Milestones!$AA$130)&gt;=$T48),$W48,IF(AND($S48&lt;&gt;"",EDATE($D48,Milestones!$AA$130)&gt;=$S48),$V48,$U48)))=Milestones!$AB$130),UPPER(TEXT(EDATE($D48,Milestones!$AA$130),"dd mmm yy"))&amp;" "&amp;Milestones!$AB$130&amp;" "&amp;Milestones!$AC$130&amp;";  ","")&amp;IF(AND(EDATE($D48,Milestones!$AA$131)&lt;=AsOfDate,IF($R48=0,$X48,IF(AND($T48&lt;&gt;"",EDATE($D48,Milestones!$AA$131)&gt;=$T48),$W48,IF(AND($S48&lt;&gt;"",EDATE($D48,Milestones!$AA$131)&gt;=$S48),$V48,$U48)))=Milestones!$AB$131),UPPER(TEXT(EDATE($D48,Milestones!$AA$131),"dd mmm yy"))&amp;" "&amp;Milestones!$AB$131&amp;" "&amp;Milestones!$AC$131&amp;";  ","")&amp;IF(AND(EDATE($D48,Milestones!$AA$132)&lt;=AsOfDate,IF($R48=0,$X48,IF(AND($T48&lt;&gt;"",EDATE($D48,Milestones!$AA$132)&gt;=$T48),$W48,IF(AND($S48&lt;&gt;"",EDATE($D48,Milestones!$AA$132)&gt;=$S48),$V48,$U48)))=Milestones!$AB$132),UPPER(TEXT(EDATE($D48,Milestones!$AA$132),"dd mmm yy"))&amp;" "&amp;Milestones!$AB$132&amp;" "&amp;Milestones!$AC$132&amp;";  ","")&amp;IF(AND(EDATE($D48,Milestones!$AA$133)&lt;=AsOfDate,IF($R48=0,$X48,IF(AND($T48&lt;&gt;"",EDATE($D48,Milestones!$AA$133)&gt;=$T48),$W48,IF(AND($S48&lt;&gt;"",EDATE($D48,Milestones!$AA$133)&gt;=$S48),$V48,$U48)))=Milestones!$AB$133),UPPER(TEXT(EDATE($D48,Milestones!$AA$133),"dd mmm yy"))&amp;" "&amp;Milestones!$AB$133&amp;" "&amp;Milestones!$AC$133&amp;";  ","")&amp;IF(AND(EDATE($D48,Milestones!$AA$134)&lt;=AsOfDate,IF($R48=0,$X48,IF(AND($T48&lt;&gt;"",EDATE($D48,Milestones!$AA$134)&gt;=$T48),$W48,IF(AND($S48&lt;&gt;"",EDATE($D48,Milestones!$AA$134)&gt;=$S48),$V48,$U48)))=Milestones!$AB$134),UPPER(TEXT(EDATE($D48,Milestones!$AA$134),"dd mmm yy"))&amp;" "&amp;Milestones!$AB$134&amp;" "&amp;Milestones!$AC$134&amp;";  ","")&amp;IF(AND(EDATE($D48,Milestones!$AA$135)&lt;=AsOfDate,IF($R48=0,$X48,IF(AND($T48&lt;&gt;"",EDATE($D48,Milestones!$AA$135)&gt;=$T48),$W48,IF(AND($S48&lt;&gt;"",EDATE($D48,Milestones!$AA$135)&gt;=$S48),$V48,$U48)))=Milestones!$AB$135),UPPER(TEXT(EDATE($D48,Milestones!$AA$135),"dd mmm yy"))&amp;" "&amp;Milestones!$AB$135&amp;" "&amp;Milestones!$AC$135&amp;";  ","")&amp;IF(AND(EDATE($D48,Milestones!$AA$136)&lt;=AsOfDate,IF($R48=0,$X48,IF(AND($T48&lt;&gt;"",EDATE($D48,Milestones!$AA$136)&gt;=$T48),$W48,IF(AND($S48&lt;&gt;"",EDATE($D48,Milestones!$AA$136)&gt;=$S48),$V48,$U48)))=Milestones!$AB$136),UPPER(TEXT(EDATE($D48,Milestones!$AA$136),"dd mmm yy"))&amp;" "&amp;Milestones!$AB$136&amp;" "&amp;Milestones!$AC$136&amp;";  ","")&amp;IF(AND(EDATE($D48,Milestones!$AA$137)&lt;=AsOfDate,IF($R48=0,$X48,IF(AND($T48&lt;&gt;"",EDATE($D48,Milestones!$AA$137)&gt;=$T48),$W48,IF(AND($S48&lt;&gt;"",EDATE($D48,Milestones!$AA$137)&gt;=$S48),$V48,$U48)))=Milestones!$AB$137),UPPER(TEXT(EDATE($D48,Milestones!$AA$137),"dd mmm yy"))&amp;" "&amp;Milestones!$AB$137&amp;" "&amp;Milestones!$AC$137&amp;";  ","")&amp;IF(AND(EDATE($D48,Milestones!$AA$138)&lt;=AsOfDate,IF($R48=0,$X48,IF(AND($T48&lt;&gt;"",EDATE($D48,Milestones!$AA$138)&gt;=$T48),$W48,IF(AND($S48&lt;&gt;"",EDATE($D48,Milestones!$AA$138)&gt;=$S48),$V48,$U48)))=Milestones!$AB$138),UPPER(TEXT(EDATE($D48,Milestones!$AA$138),"dd mmm yy"))&amp;" "&amp;Milestones!$AB$138&amp;" "&amp;Milestones!$AC$138&amp;";  ","")&amp;IF(AND(EDATE($D48,Milestones!$AA$139)&lt;=AsOfDate,IF($R48=0,$X48,IF(AND($T48&lt;&gt;"",EDATE($D48,Milestones!$AA$139)&gt;=$T48),$W48,IF(AND($S48&lt;&gt;"",EDATE($D48,Milestones!$AA$139)&gt;=$S48),$V48,$U48)))=Milestones!$AB$139),UPPER(TEXT(EDATE($D48,Milestones!$AA$139),"dd mmm yy"))&amp;" "&amp;Milestones!$AB$139&amp;" "&amp;Milestones!$AC$139&amp;";  ",""))</f>
        <v/>
      </c>
      <c r="O48" s="0" t="str">
        <f aca="false">IF(OR($A48="",$D48=""),"",IF(AND(EDATE($D48,Milestones!$AA$140)&lt;=AsOfDate,IF($R48=0,$X48,IF(AND($T48&lt;&gt;"",EDATE($D48,Milestones!$AA$140)&gt;=$T48),$W48,IF(AND($S48&lt;&gt;"",EDATE($D48,Milestones!$AA$140)&gt;=$S48),$V48,$U48)))=Milestones!$AB$140),UPPER(TEXT(EDATE($D48,Milestones!$AA$140),"dd mmm yy"))&amp;" "&amp;Milestones!$AB$140&amp;" "&amp;Milestones!$AC$140&amp;";  ","")&amp;IF(AND(EDATE($D48,Milestones!$AA$141)&lt;=AsOfDate,IF($R48=0,$X48,IF(AND($T48&lt;&gt;"",EDATE($D48,Milestones!$AA$141)&gt;=$T48),$W48,IF(AND($S48&lt;&gt;"",EDATE($D48,Milestones!$AA$141)&gt;=$S48),$V48,$U48)))=Milestones!$AB$141),UPPER(TEXT(EDATE($D48,Milestones!$AA$141),"dd mmm yy"))&amp;" "&amp;Milestones!$AB$141&amp;" "&amp;Milestones!$AC$141&amp;";  ","")&amp;IF(AND(EDATE($D48,Milestones!$AA$142)&lt;=AsOfDate,IF($R48=0,$X48,IF(AND($T48&lt;&gt;"",EDATE($D48,Milestones!$AA$142)&gt;=$T48),$W48,IF(AND($S48&lt;&gt;"",EDATE($D48,Milestones!$AA$142)&gt;=$S48),$V48,$U48)))=Milestones!$AB$142),UPPER(TEXT(EDATE($D48,Milestones!$AA$142),"dd mmm yy"))&amp;" "&amp;Milestones!$AB$142&amp;" "&amp;Milestones!$AC$142&amp;";  ","")&amp;IF(AND(EDATE($D48,Milestones!$AA$143)&lt;=AsOfDate,IF($R48=0,$X48,IF(AND($T48&lt;&gt;"",EDATE($D48,Milestones!$AA$143)&gt;=$T48),$W48,IF(AND($S48&lt;&gt;"",EDATE($D48,Milestones!$AA$143)&gt;=$S48),$V48,$U48)))=Milestones!$AB$143),UPPER(TEXT(EDATE($D48,Milestones!$AA$143),"dd mmm yy"))&amp;" "&amp;Milestones!$AB$143&amp;" "&amp;Milestones!$AC$143&amp;";  ","")&amp;IF(AND(EDATE($D48,Milestones!$AA$144)&lt;=AsOfDate,IF($R48=0,$X48,IF(AND($T48&lt;&gt;"",EDATE($D48,Milestones!$AA$144)&gt;=$T48),$W48,IF(AND($S48&lt;&gt;"",EDATE($D48,Milestones!$AA$144)&gt;=$S48),$V48,$U48)))=Milestones!$AB$144),UPPER(TEXT(EDATE($D48,Milestones!$AA$144),"dd mmm yy"))&amp;" "&amp;Milestones!$AB$144&amp;" "&amp;Milestones!$AC$144&amp;";  ","")&amp;IF(AND(EDATE($D48,Milestones!$AA$145)&lt;=AsOfDate,IF($R48=0,$X48,IF(AND($T48&lt;&gt;"",EDATE($D48,Milestones!$AA$145)&gt;=$T48),$W48,IF(AND($S48&lt;&gt;"",EDATE($D48,Milestones!$AA$145)&gt;=$S48),$V48,$U48)))=Milestones!$AB$145),UPPER(TEXT(EDATE($D48,Milestones!$AA$145),"dd mmm yy"))&amp;" "&amp;Milestones!$AB$145&amp;" "&amp;Milestones!$AC$145&amp;";  ","")&amp;IF(AND(EDATE($D48,Milestones!$AA$146)&lt;=AsOfDate,IF($R48=0,$X48,IF(AND($T48&lt;&gt;"",EDATE($D48,Milestones!$AA$146)&gt;=$T48),$W48,IF(AND($S48&lt;&gt;"",EDATE($D48,Milestones!$AA$146)&gt;=$S48),$V48,$U48)))=Milestones!$AB$146),UPPER(TEXT(EDATE($D48,Milestones!$AA$146),"dd mmm yy"))&amp;" "&amp;Milestones!$AB$146&amp;" "&amp;Milestones!$AC$146&amp;";  ","")&amp;IF(AND(EDATE($D48,Milestones!$AA$147)&lt;=AsOfDate,IF($R48=0,$X48,IF(AND($T48&lt;&gt;"",EDATE($D48,Milestones!$AA$147)&gt;=$T48),$W48,IF(AND($S48&lt;&gt;"",EDATE($D48,Milestones!$AA$147)&gt;=$S48),$V48,$U48)))=Milestones!$AB$147),UPPER(TEXT(EDATE($D48,Milestones!$AA$147),"dd mmm yy"))&amp;" "&amp;Milestones!$AB$147&amp;" "&amp;Milestones!$AC$147&amp;";  ","")&amp;IF(AND(EDATE($D48,Milestones!$AA$148)&lt;=AsOfDate,IF($R48=0,$X48,IF(AND($T48&lt;&gt;"",EDATE($D48,Milestones!$AA$148)&gt;=$T48),$W48,IF(AND($S48&lt;&gt;"",EDATE($D48,Milestones!$AA$148)&gt;=$S48),$V48,$U48)))=Milestones!$AB$148),UPPER(TEXT(EDATE($D48,Milestones!$AA$148),"dd mmm yy"))&amp;" "&amp;Milestones!$AB$148&amp;" "&amp;Milestones!$AC$148&amp;";  ","")&amp;IF(AND(EDATE($D48,Milestones!$AA$149)&lt;=AsOfDate,IF($R48=0,$X48,IF(AND($T48&lt;&gt;"",EDATE($D48,Milestones!$AA$149)&gt;=$T48),$W48,IF(AND($S48&lt;&gt;"",EDATE($D48,Milestones!$AA$149)&gt;=$S48),$V48,$U48)))=Milestones!$AB$149),UPPER(TEXT(EDATE($D48,Milestones!$AA$149),"dd mmm yy"))&amp;" "&amp;Milestones!$AB$149&amp;" "&amp;Milestones!$AC$149&amp;";  ","")&amp;IF(AND(EDATE($D48,Milestones!$AA$150)&lt;=AsOfDate,IF($R48=0,$X48,IF(AND($T48&lt;&gt;"",EDATE($D48,Milestones!$AA$150)&gt;=$T48),$W48,IF(AND($S48&lt;&gt;"",EDATE($D48,Milestones!$AA$150)&gt;=$S48),$V48,$U48)))=Milestones!$AB$150),UPPER(TEXT(EDATE($D48,Milestones!$AA$150),"dd mmm yy"))&amp;" "&amp;Milestones!$AB$150&amp;" "&amp;Milestones!$AC$150&amp;";  ","")&amp;IF(AND(EDATE($D48,Milestones!$AA$151)&lt;=AsOfDate,IF($R48=0,$X48,IF(AND($T48&lt;&gt;"",EDATE($D48,Milestones!$AA$151)&gt;=$T48),$W48,IF(AND($S48&lt;&gt;"",EDATE($D48,Milestones!$AA$151)&gt;=$S48),$V48,$U48)))=Milestones!$AB$151),UPPER(TEXT(EDATE($D48,Milestones!$AA$151),"dd mmm yy"))&amp;" "&amp;Milestones!$AB$151&amp;" "&amp;Milestones!$AC$151&amp;";  ","")&amp;IF(AND(EDATE($D48,Milestones!$AA$152)&lt;=AsOfDate,IF($R48=0,$X48,IF(AND($T48&lt;&gt;"",EDATE($D48,Milestones!$AA$152)&gt;=$T48),$W48,IF(AND($S48&lt;&gt;"",EDATE($D48,Milestones!$AA$152)&gt;=$S48),$V48,$U48)))=Milestones!$AB$152),UPPER(TEXT(EDATE($D48,Milestones!$AA$152),"dd mmm yy"))&amp;" "&amp;Milestones!$AB$152&amp;" "&amp;Milestones!$AC$152&amp;";  ","")&amp;IF(AND(EDATE($D48,Milestones!$AA$153)&lt;=AsOfDate,IF($R48=0,$X48,IF(AND($T48&lt;&gt;"",EDATE($D48,Milestones!$AA$153)&gt;=$T48),$W48,IF(AND($S48&lt;&gt;"",EDATE($D48,Milestones!$AA$153)&gt;=$S48),$V48,$U48)))=Milestones!$AB$153),UPPER(TEXT(EDATE($D48,Milestones!$AA$153),"dd mmm yy"))&amp;" "&amp;Milestones!$AB$153&amp;" "&amp;Milestones!$AC$153&amp;";  ","")&amp;IF(AND(EDATE($D48,Milestones!$AA$154)&lt;=AsOfDate,IF($R48=0,$X48,IF(AND($T48&lt;&gt;"",EDATE($D48,Milestones!$AA$154)&gt;=$T48),$W48,IF(AND($S48&lt;&gt;"",EDATE($D48,Milestones!$AA$154)&gt;=$S48),$V48,$U48)))=Milestones!$AB$154),UPPER(TEXT(EDATE($D48,Milestones!$AA$154),"dd mmm yy"))&amp;" "&amp;Milestones!$AB$154&amp;" "&amp;Milestones!$AC$154&amp;";  ","")&amp;IF(AND(EDATE($D48,Milestones!$AA$155)&lt;=AsOfDate,IF($R48=0,$X48,IF(AND($T48&lt;&gt;"",EDATE($D48,Milestones!$AA$155)&gt;=$T48),$W48,IF(AND($S48&lt;&gt;"",EDATE($D48,Milestones!$AA$155)&gt;=$S48),$V48,$U48)))=Milestones!$AB$155),UPPER(TEXT(EDATE($D48,Milestones!$AA$155),"dd mmm yy"))&amp;" "&amp;Milestones!$AB$155&amp;" "&amp;Milestones!$AC$155&amp;";  ","")&amp;IF(AND(EDATE($D48,Milestones!$AA$156)&lt;=AsOfDate,IF($R48=0,$X48,IF(AND($T48&lt;&gt;"",EDATE($D48,Milestones!$AA$156)&gt;=$T48),$W48,IF(AND($S48&lt;&gt;"",EDATE($D48,Milestones!$AA$156)&gt;=$S48),$V48,$U48)))=Milestones!$AB$156),UPPER(TEXT(EDATE($D48,Milestones!$AA$156),"dd mmm yy"))&amp;" "&amp;Milestones!$AB$156&amp;" "&amp;Milestones!$AC$156&amp;";  ","")&amp;IF(AND(EDATE($D48,Milestones!$AA$157)&lt;=AsOfDate,IF($R48=0,$X48,IF(AND($T48&lt;&gt;"",EDATE($D48,Milestones!$AA$157)&gt;=$T48),$W48,IF(AND($S48&lt;&gt;"",EDATE($D48,Milestones!$AA$157)&gt;=$S48),$V48,$U48)))=Milestones!$AB$157),UPPER(TEXT(EDATE($D48,Milestones!$AA$157),"dd mmm yy"))&amp;" "&amp;Milestones!$AB$157&amp;" "&amp;Milestones!$AC$157&amp;";  ","")&amp;IF(AND(EDATE($D48,Milestones!$AA$158)&lt;=AsOfDate,IF($R48=0,$X48,IF(AND($T48&lt;&gt;"",EDATE($D48,Milestones!$AA$158)&gt;=$T48),$W48,IF(AND($S48&lt;&gt;"",EDATE($D48,Milestones!$AA$158)&gt;=$S48),$V48,$U48)))=Milestones!$AB$158),UPPER(TEXT(EDATE($D48,Milestones!$AA$158),"dd mmm yy"))&amp;" "&amp;Milestones!$AB$158&amp;" "&amp;Milestones!$AC$158&amp;";  ","")&amp;IF(AND(EDATE($D48,Milestones!$AA$159)&lt;=AsOfDate,IF($R48=0,$X48,IF(AND($T48&lt;&gt;"",EDATE($D48,Milestones!$AA$159)&gt;=$T48),$W48,IF(AND($S48&lt;&gt;"",EDATE($D48,Milestones!$AA$159)&gt;=$S48),$V48,$U48)))=Milestones!$AB$159),UPPER(TEXT(EDATE($D48,Milestones!$AA$159),"dd mmm yy"))&amp;" "&amp;Milestones!$AB$159&amp;" "&amp;Milestones!$AC$159&amp;";  ",""))</f>
        <v/>
      </c>
      <c r="P48" s="0" t="str">
        <f aca="false">IF(OR($A48="",$D48=""),"",IF(AND(EDATE($D48,Milestones!$AA$160)&lt;=AsOfDate,IF($R48=0,$X48,IF(AND($T48&lt;&gt;"",EDATE($D48,Milestones!$AA$160)&gt;=$T48),$W48,IF(AND($S48&lt;&gt;"",EDATE($D48,Milestones!$AA$160)&gt;=$S48),$V48,$U48)))=Milestones!$AB$160),UPPER(TEXT(EDATE($D48,Milestones!$AA$160),"dd mmm yy"))&amp;" "&amp;Milestones!$AB$160&amp;" "&amp;Milestones!$AC$160&amp;";  ","")&amp;IF(AND(EDATE($D48,Milestones!$AA$161)&lt;=AsOfDate,IF($R48=0,$X48,IF(AND($T48&lt;&gt;"",EDATE($D48,Milestones!$AA$161)&gt;=$T48),$W48,IF(AND($S48&lt;&gt;"",EDATE($D48,Milestones!$AA$161)&gt;=$S48),$V48,$U48)))=Milestones!$AB$161),UPPER(TEXT(EDATE($D48,Milestones!$AA$161),"dd mmm yy"))&amp;" "&amp;Milestones!$AB$161&amp;" "&amp;Milestones!$AC$161&amp;";  ","")&amp;IF(AND(EDATE($D48,Milestones!$AA$162)&lt;=AsOfDate,IF($R48=0,$X48,IF(AND($T48&lt;&gt;"",EDATE($D48,Milestones!$AA$162)&gt;=$T48),$W48,IF(AND($S48&lt;&gt;"",EDATE($D48,Milestones!$AA$162)&gt;=$S48),$V48,$U48)))=Milestones!$AB$162),UPPER(TEXT(EDATE($D48,Milestones!$AA$162),"dd mmm yy"))&amp;" "&amp;Milestones!$AB$162&amp;" "&amp;Milestones!$AC$162&amp;";  ","")&amp;IF(AND(EDATE($D48,Milestones!$AA$163)&lt;=AsOfDate,IF($R48=0,$X48,IF(AND($T48&lt;&gt;"",EDATE($D48,Milestones!$AA$163)&gt;=$T48),$W48,IF(AND($S48&lt;&gt;"",EDATE($D48,Milestones!$AA$163)&gt;=$S48),$V48,$U48)))=Milestones!$AB$163),UPPER(TEXT(EDATE($D48,Milestones!$AA$163),"dd mmm yy"))&amp;" "&amp;Milestones!$AB$163&amp;" "&amp;Milestones!$AC$163&amp;";  ","")&amp;IF(AND(EDATE($D48,Milestones!$AA$164)&lt;=AsOfDate,IF($R48=0,$X48,IF(AND($T48&lt;&gt;"",EDATE($D48,Milestones!$AA$164)&gt;=$T48),$W48,IF(AND($S48&lt;&gt;"",EDATE($D48,Milestones!$AA$164)&gt;=$S48),$V48,$U48)))=Milestones!$AB$164),UPPER(TEXT(EDATE($D48,Milestones!$AA$164),"dd mmm yy"))&amp;" "&amp;Milestones!$AB$164&amp;" "&amp;Milestones!$AC$164&amp;";  ","")&amp;IF(AND(EDATE($D48,Milestones!$AA$165)&lt;=AsOfDate,IF($R48=0,$X48,IF(AND($T48&lt;&gt;"",EDATE($D48,Milestones!$AA$165)&gt;=$T48),$W48,IF(AND($S48&lt;&gt;"",EDATE($D48,Milestones!$AA$165)&gt;=$S48),$V48,$U48)))=Milestones!$AB$165),UPPER(TEXT(EDATE($D48,Milestones!$AA$165),"dd mmm yy"))&amp;" "&amp;Milestones!$AB$165&amp;" "&amp;Milestones!$AC$165&amp;";  ","")&amp;IF(AND(EDATE($D48,Milestones!$AA$166)&lt;=AsOfDate,IF($R48=0,$X48,IF(AND($T48&lt;&gt;"",EDATE($D48,Milestones!$AA$166)&gt;=$T48),$W48,IF(AND($S48&lt;&gt;"",EDATE($D48,Milestones!$AA$166)&gt;=$S48),$V48,$U48)))=Milestones!$AB$166),UPPER(TEXT(EDATE($D48,Milestones!$AA$166),"dd mmm yy"))&amp;" "&amp;Milestones!$AB$166&amp;" "&amp;Milestones!$AC$166&amp;";  ","")&amp;IF(AND(EDATE($D48,Milestones!$AA$167)&lt;=AsOfDate,IF($R48=0,$X48,IF(AND($T48&lt;&gt;"",EDATE($D48,Milestones!$AA$167)&gt;=$T48),$W48,IF(AND($S48&lt;&gt;"",EDATE($D48,Milestones!$AA$167)&gt;=$S48),$V48,$U48)))=Milestones!$AB$167),UPPER(TEXT(EDATE($D48,Milestones!$AA$167),"dd mmm yy"))&amp;" "&amp;Milestones!$AB$167&amp;" "&amp;Milestones!$AC$167&amp;";  ","")&amp;IF(AND(EDATE($D48,Milestones!$AA$168)&lt;=AsOfDate,IF($R48=0,$X48,IF(AND($T48&lt;&gt;"",EDATE($D48,Milestones!$AA$168)&gt;=$T48),$W48,IF(AND($S48&lt;&gt;"",EDATE($D48,Milestones!$AA$168)&gt;=$S48),$V48,$U48)))=Milestones!$AB$168),UPPER(TEXT(EDATE($D48,Milestones!$AA$168),"dd mmm yy"))&amp;" "&amp;Milestones!$AB$168&amp;" "&amp;Milestones!$AC$168&amp;";  ","")&amp;IF(AND(EDATE($D48,Milestones!$AA$169)&lt;=AsOfDate,IF($R48=0,$X48,IF(AND($T48&lt;&gt;"",EDATE($D48,Milestones!$AA$169)&gt;=$T48),$W48,IF(AND($S48&lt;&gt;"",EDATE($D48,Milestones!$AA$169)&gt;=$S48),$V48,$U48)))=Milestones!$AB$169),UPPER(TEXT(EDATE($D48,Milestones!$AA$169),"dd mmm yy"))&amp;" "&amp;Milestones!$AB$169&amp;" "&amp;Milestones!$AC$169&amp;";  ","")&amp;IF(AND(EDATE($D48,Milestones!$AA$170)&lt;=AsOfDate,IF($R48=0,$X48,IF(AND($T48&lt;&gt;"",EDATE($D48,Milestones!$AA$170)&gt;=$T48),$W48,IF(AND($S48&lt;&gt;"",EDATE($D48,Milestones!$AA$170)&gt;=$S48),$V48,$U48)))=Milestones!$AB$170),UPPER(TEXT(EDATE($D48,Milestones!$AA$170),"dd mmm yy"))&amp;" "&amp;Milestones!$AB$170&amp;" "&amp;Milestones!$AC$170&amp;";  ","")&amp;IF(AND(EDATE($D48,Milestones!$AA$171)&lt;=AsOfDate,IF($R48=0,$X48,IF(AND($T48&lt;&gt;"",EDATE($D48,Milestones!$AA$171)&gt;=$T48),$W48,IF(AND($S48&lt;&gt;"",EDATE($D48,Milestones!$AA$171)&gt;=$S48),$V48,$U48)))=Milestones!$AB$171),UPPER(TEXT(EDATE($D48,Milestones!$AA$171),"dd mmm yy"))&amp;" "&amp;Milestones!$AB$171&amp;" "&amp;Milestones!$AC$171&amp;";  ","")&amp;IF(AND(EDATE($D48,Milestones!$AA$172)&lt;=AsOfDate,IF($R48=0,$X48,IF(AND($T48&lt;&gt;"",EDATE($D48,Milestones!$AA$172)&gt;=$T48),$W48,IF(AND($S48&lt;&gt;"",EDATE($D48,Milestones!$AA$172)&gt;=$S48),$V48,$U48)))=Milestones!$AB$172),UPPER(TEXT(EDATE($D48,Milestones!$AA$172),"dd mmm yy"))&amp;" "&amp;Milestones!$AB$172&amp;" "&amp;Milestones!$AC$172&amp;";  ","")&amp;IF(AND(EDATE($D48,Milestones!$AA$173)&lt;=AsOfDate,IF($R48=0,$X48,IF(AND($T48&lt;&gt;"",EDATE($D48,Milestones!$AA$173)&gt;=$T48),$W48,IF(AND($S48&lt;&gt;"",EDATE($D48,Milestones!$AA$173)&gt;=$S48),$V48,$U48)))=Milestones!$AB$173),UPPER(TEXT(EDATE($D48,Milestones!$AA$173),"dd mmm yy"))&amp;" "&amp;Milestones!$AB$173&amp;" "&amp;Milestones!$AC$173&amp;";  ","")&amp;IF(AND(EDATE($D48,Milestones!$AA$174)&lt;=AsOfDate,IF($R48=0,$X48,IF(AND($T48&lt;&gt;"",EDATE($D48,Milestones!$AA$174)&gt;=$T48),$W48,IF(AND($S48&lt;&gt;"",EDATE($D48,Milestones!$AA$174)&gt;=$S48),$V48,$U48)))=Milestones!$AB$174),UPPER(TEXT(EDATE($D48,Milestones!$AA$174),"dd mmm yy"))&amp;" "&amp;Milestones!$AB$174&amp;" "&amp;Milestones!$AC$174&amp;";  ","")&amp;IF(AND(EDATE($D48,Milestones!$AA$175)&lt;=AsOfDate,IF($R48=0,$X48,IF(AND($T48&lt;&gt;"",EDATE($D48,Milestones!$AA$175)&gt;=$T48),$W48,IF(AND($S48&lt;&gt;"",EDATE($D48,Milestones!$AA$175)&gt;=$S48),$V48,$U48)))=Milestones!$AB$175),UPPER(TEXT(EDATE($D48,Milestones!$AA$175),"dd mmm yy"))&amp;" "&amp;Milestones!$AB$175&amp;" "&amp;Milestones!$AC$175&amp;";  ","")&amp;IF(AND(EDATE($D48,Milestones!$AA$176)&lt;=AsOfDate,IF($R48=0,$X48,IF(AND($T48&lt;&gt;"",EDATE($D48,Milestones!$AA$176)&gt;=$T48),$W48,IF(AND($S48&lt;&gt;"",EDATE($D48,Milestones!$AA$176)&gt;=$S48),$V48,$U48)))=Milestones!$AB$176),UPPER(TEXT(EDATE($D48,Milestones!$AA$176),"dd mmm yy"))&amp;" "&amp;Milestones!$AB$176&amp;" "&amp;Milestones!$AC$176&amp;";  ","")&amp;IF(AND(EDATE($D48,Milestones!$AA$177)&lt;=AsOfDate,IF($R48=0,$X48,IF(AND($T48&lt;&gt;"",EDATE($D48,Milestones!$AA$177)&gt;=$T48),$W48,IF(AND($S48&lt;&gt;"",EDATE($D48,Milestones!$AA$177)&gt;=$S48),$V48,$U48)))=Milestones!$AB$177),UPPER(TEXT(EDATE($D48,Milestones!$AA$177),"dd mmm yy"))&amp;" "&amp;Milestones!$AB$177&amp;" "&amp;Milestones!$AC$177&amp;";  ","")&amp;IF(AND(EDATE($D48,Milestones!$AA$178)&lt;=AsOfDate,IF($R48=0,$X48,IF(AND($T48&lt;&gt;"",EDATE($D48,Milestones!$AA$178)&gt;=$T48),$W48,IF(AND($S48&lt;&gt;"",EDATE($D48,Milestones!$AA$178)&gt;=$S48),$V48,$U48)))=Milestones!$AB$178),UPPER(TEXT(EDATE($D48,Milestones!$AA$178),"dd mmm yy"))&amp;" "&amp;Milestones!$AB$178&amp;" "&amp;Milestones!$AC$178&amp;";  ","")&amp;IF(AND(EDATE($D48,Milestones!$AA$179)&lt;=AsOfDate,IF($R48=0,$X48,IF(AND($T48&lt;&gt;"",EDATE($D48,Milestones!$AA$179)&gt;=$T48),$W48,IF(AND($S48&lt;&gt;"",EDATE($D48,Milestones!$AA$179)&gt;=$S48),$V48,$U48)))=Milestones!$AB$179),UPPER(TEXT(EDATE($D48,Milestones!$AA$179),"dd mmm yy"))&amp;" "&amp;Milestones!$AB$179&amp;" "&amp;Milestones!$AC$179&amp;";  ",""))</f>
        <v/>
      </c>
      <c r="Q48" s="0" t="str">
        <f aca="false">IF(OR($A48="",$D48=""),"",IF(AND(EDATE($D48,Milestones!$AA$180)&lt;=AsOfDate,IF($R48=0,$X48,IF(AND($T48&lt;&gt;"",EDATE($D48,Milestones!$AA$180)&gt;=$T48),$W48,IF(AND($S48&lt;&gt;"",EDATE($D48,Milestones!$AA$180)&gt;=$S48),$V48,$U48)))=Milestones!$AB$180),UPPER(TEXT(EDATE($D48,Milestones!$AA$180),"dd mmm yy"))&amp;" "&amp;Milestones!$AB$180&amp;" "&amp;Milestones!$AC$180&amp;";  ","")&amp;IF(AND(EDATE($D48,Milestones!$AA$181)&lt;=AsOfDate,IF($R48=0,$X48,IF(AND($T48&lt;&gt;"",EDATE($D48,Milestones!$AA$181)&gt;=$T48),$W48,IF(AND($S48&lt;&gt;"",EDATE($D48,Milestones!$AA$181)&gt;=$S48),$V48,$U48)))=Milestones!$AB$181),UPPER(TEXT(EDATE($D48,Milestones!$AA$181),"dd mmm yy"))&amp;" "&amp;Milestones!$AB$181&amp;" "&amp;Milestones!$AC$181&amp;";  ","")&amp;IF(AND(EDATE($D48,Milestones!$AA$182)&lt;=AsOfDate,IF($R48=0,$X48,IF(AND($T48&lt;&gt;"",EDATE($D48,Milestones!$AA$182)&gt;=$T48),$W48,IF(AND($S48&lt;&gt;"",EDATE($D48,Milestones!$AA$182)&gt;=$S48),$V48,$U48)))=Milestones!$AB$182),UPPER(TEXT(EDATE($D48,Milestones!$AA$182),"dd mmm yy"))&amp;" "&amp;Milestones!$AB$182&amp;" "&amp;Milestones!$AC$182&amp;";  ","")&amp;IF(AND(EDATE($D48,Milestones!$AA$183)&lt;=AsOfDate,IF($R48=0,$X48,IF(AND($T48&lt;&gt;"",EDATE($D48,Milestones!$AA$183)&gt;=$T48),$W48,IF(AND($S48&lt;&gt;"",EDATE($D48,Milestones!$AA$183)&gt;=$S48),$V48,$U48)))=Milestones!$AB$183),UPPER(TEXT(EDATE($D48,Milestones!$AA$183),"dd mmm yy"))&amp;" "&amp;Milestones!$AB$183&amp;" "&amp;Milestones!$AC$183&amp;";  ","")&amp;IF(AND(EDATE($D48,Milestones!$AA$184)&lt;=AsOfDate,IF($R48=0,$X48,IF(AND($T48&lt;&gt;"",EDATE($D48,Milestones!$AA$184)&gt;=$T48),$W48,IF(AND($S48&lt;&gt;"",EDATE($D48,Milestones!$AA$184)&gt;=$S48),$V48,$U48)))=Milestones!$AB$184),UPPER(TEXT(EDATE($D48,Milestones!$AA$184),"dd mmm yy"))&amp;" "&amp;Milestones!$AB$184&amp;" "&amp;Milestones!$AC$184&amp;";  ","")&amp;IF(AND(EDATE($D48,Milestones!$AA$185)&lt;=AsOfDate,IF($R48=0,$X48,IF(AND($T48&lt;&gt;"",EDATE($D48,Milestones!$AA$185)&gt;=$T48),$W48,IF(AND($S48&lt;&gt;"",EDATE($D48,Milestones!$AA$185)&gt;=$S48),$V48,$U48)))=Milestones!$AB$185),UPPER(TEXT(EDATE($D48,Milestones!$AA$185),"dd mmm yy"))&amp;" "&amp;Milestones!$AB$185&amp;" "&amp;Milestones!$AC$185&amp;";  ","")&amp;IF(AND(EDATE($D48,Milestones!$AA$186)&lt;=AsOfDate,IF($R48=0,$X48,IF(AND($T48&lt;&gt;"",EDATE($D48,Milestones!$AA$186)&gt;=$T48),$W48,IF(AND($S48&lt;&gt;"",EDATE($D48,Milestones!$AA$186)&gt;=$S48),$V48,$U48)))=Milestones!$AB$186),UPPER(TEXT(EDATE($D48,Milestones!$AA$186),"dd mmm yy"))&amp;" "&amp;Milestones!$AB$186&amp;" "&amp;Milestones!$AC$186&amp;";  ","")&amp;IF(AND(EDATE($D48,Milestones!$AA$187)&lt;=AsOfDate,IF($R48=0,$X48,IF(AND($T48&lt;&gt;"",EDATE($D48,Milestones!$AA$187)&gt;=$T48),$W48,IF(AND($S48&lt;&gt;"",EDATE($D48,Milestones!$AA$187)&gt;=$S48),$V48,$U48)))=Milestones!$AB$187),UPPER(TEXT(EDATE($D48,Milestones!$AA$187),"dd mmm yy"))&amp;" "&amp;Milestones!$AB$187&amp;" "&amp;Milestones!$AC$187&amp;";  ","")&amp;IF(AND(EDATE($D48,Milestones!$AA$188)&lt;=AsOfDate,IF($R48=0,$X48,IF(AND($T48&lt;&gt;"",EDATE($D48,Milestones!$AA$188)&gt;=$T48),$W48,IF(AND($S48&lt;&gt;"",EDATE($D48,Milestones!$AA$188)&gt;=$S48),$V48,$U48)))=Milestones!$AB$188),UPPER(TEXT(EDATE($D48,Milestones!$AA$188),"dd mmm yy"))&amp;" "&amp;Milestones!$AB$188&amp;" "&amp;Milestones!$AC$188&amp;";  ","")&amp;IF(AND(EDATE($D48,Milestones!$AA$189)&lt;=AsOfDate,IF($R48=0,$X48,IF(AND($T48&lt;&gt;"",EDATE($D48,Milestones!$AA$189)&gt;=$T48),$W48,IF(AND($S48&lt;&gt;"",EDATE($D48,Milestones!$AA$189)&gt;=$S48),$V48,$U48)))=Milestones!$AB$189),UPPER(TEXT(EDATE($D48,Milestones!$AA$189),"dd mmm yy"))&amp;" "&amp;Milestones!$AB$189&amp;" "&amp;Milestones!$AC$189&amp;";  ","")&amp;IF(AND(EDATE($D48,Milestones!$AA$190)&lt;=AsOfDate,IF($R48=0,$X48,IF(AND($T48&lt;&gt;"",EDATE($D48,Milestones!$AA$190)&gt;=$T48),$W48,IF(AND($S48&lt;&gt;"",EDATE($D48,Milestones!$AA$190)&gt;=$S48),$V48,$U48)))=Milestones!$AB$190),UPPER(TEXT(EDATE($D48,Milestones!$AA$190),"dd mmm yy"))&amp;" "&amp;Milestones!$AB$190&amp;" "&amp;Milestones!$AC$190&amp;";  ","")&amp;IF(AND(EDATE($D48,Milestones!$AA$191)&lt;=AsOfDate,IF($R48=0,$X48,IF(AND($T48&lt;&gt;"",EDATE($D48,Milestones!$AA$191)&gt;=$T48),$W48,IF(AND($S48&lt;&gt;"",EDATE($D48,Milestones!$AA$191)&gt;=$S48),$V48,$U48)))=Milestones!$AB$191),UPPER(TEXT(EDATE($D48,Milestones!$AA$191),"dd mmm yy"))&amp;" "&amp;Milestones!$AB$191&amp;" "&amp;Milestones!$AC$191&amp;";  ","")&amp;IF(AND(EDATE($D48,Milestones!$AA$192)&lt;=AsOfDate,IF($R48=0,$X48,IF(AND($T48&lt;&gt;"",EDATE($D48,Milestones!$AA$192)&gt;=$T48),$W48,IF(AND($S48&lt;&gt;"",EDATE($D48,Milestones!$AA$192)&gt;=$S48),$V48,$U48)))=Milestones!$AB$192),UPPER(TEXT(EDATE($D48,Milestones!$AA$192),"dd mmm yy"))&amp;" "&amp;Milestones!$AB$192&amp;" "&amp;Milestones!$AC$192&amp;";  ","")&amp;IF(AND(EDATE($D48,Milestones!$AA$193)&lt;=AsOfDate,IF($R48=0,$X48,IF(AND($T48&lt;&gt;"",EDATE($D48,Milestones!$AA$193)&gt;=$T48),$W48,IF(AND($S48&lt;&gt;"",EDATE($D48,Milestones!$AA$193)&gt;=$S48),$V48,$U48)))=Milestones!$AB$193),UPPER(TEXT(EDATE($D48,Milestones!$AA$193),"dd mmm yy"))&amp;" "&amp;Milestones!$AB$193&amp;" "&amp;Milestones!$AC$193&amp;";  ","")&amp;IF(AND(EDATE($D48,Milestones!$AA$194)&lt;=AsOfDate,IF($R48=0,$X48,IF(AND($T48&lt;&gt;"",EDATE($D48,Milestones!$AA$194)&gt;=$T48),$W48,IF(AND($S48&lt;&gt;"",EDATE($D48,Milestones!$AA$194)&gt;=$S48),$V48,$U48)))=Milestones!$AB$194),UPPER(TEXT(EDATE($D48,Milestones!$AA$194),"dd mmm yy"))&amp;" "&amp;Milestones!$AB$194&amp;" "&amp;Milestones!$AC$194&amp;";  ","")&amp;IF(AND(EDATE($D48,Milestones!$AA$195)&lt;=AsOfDate,IF($R48=0,$X48,IF(AND($T48&lt;&gt;"",EDATE($D48,Milestones!$AA$195)&gt;=$T48),$W48,IF(AND($S48&lt;&gt;"",EDATE($D48,Milestones!$AA$195)&gt;=$S48),$V48,$U48)))=Milestones!$AB$195),UPPER(TEXT(EDATE($D48,Milestones!$AA$195),"dd mmm yy"))&amp;" "&amp;Milestones!$AB$195&amp;" "&amp;Milestones!$AC$195&amp;";  ","")&amp;IF(AND(EDATE($D48,Milestones!$AA$196)&lt;=AsOfDate,IF($R48=0,$X48,IF(AND($T48&lt;&gt;"",EDATE($D48,Milestones!$AA$196)&gt;=$T48),$W48,IF(AND($S48&lt;&gt;"",EDATE($D48,Milestones!$AA$196)&gt;=$S48),$V48,$U48)))=Milestones!$AB$196),UPPER(TEXT(EDATE($D48,Milestones!$AA$196),"dd mmm yy"))&amp;" "&amp;Milestones!$AB$196&amp;" "&amp;Milestones!$AC$196&amp;";  ","")&amp;IF(AND(EDATE($D48,Milestones!$AA$197)&lt;=AsOfDate,IF($R48=0,$X48,IF(AND($T48&lt;&gt;"",EDATE($D48,Milestones!$AA$197)&gt;=$T48),$W48,IF(AND($S48&lt;&gt;"",EDATE($D48,Milestones!$AA$197)&gt;=$S48),$V48,$U48)))=Milestones!$AB$197),UPPER(TEXT(EDATE($D48,Milestones!$AA$197),"dd mmm yy"))&amp;" "&amp;Milestones!$AB$197&amp;" "&amp;Milestones!$AC$197&amp;";  ","")&amp;IF(AND(EDATE($D48,Milestones!$AA$198)&lt;=AsOfDate,IF($R48=0,$X48,IF(AND($T48&lt;&gt;"",EDATE($D48,Milestones!$AA$198)&gt;=$T48),$W48,IF(AND($S48&lt;&gt;"",EDATE($D48,Milestones!$AA$198)&gt;=$S48),$V48,$U48)))=Milestones!$AB$198),UPPER(TEXT(EDATE($D48,Milestones!$AA$198),"dd mmm yy"))&amp;" "&amp;Milestones!$AB$198&amp;" "&amp;Milestones!$AC$198&amp;";  ","")&amp;IF(AND(EDATE($D48,Milestones!$AA$199)&lt;=AsOfDate,IF($R48=0,$X48,IF(AND($T48&lt;&gt;"",EDATE($D48,Milestones!$AA$199)&gt;=$T48),$W48,IF(AND($S48&lt;&gt;"",EDATE($D48,Milestones!$AA$199)&gt;=$S48),$V48,$U48)))=Milestones!$AB$199),UPPER(TEXT(EDATE($D48,Milestones!$AA$199),"dd mmm yy"))&amp;" "&amp;Milestones!$AB$199&amp;" "&amp;Milestones!$AC$199&amp;";  ",""))</f>
        <v/>
      </c>
      <c r="R48" s="33" t="n">
        <f aca="false">IF(Staff!$A48="","",Staff!$AI48)</f>
        <v>0</v>
      </c>
      <c r="S48" s="0" t="str">
        <f aca="false">IF(Staff!$A48="","",Staff!$AK48)</f>
        <v/>
      </c>
      <c r="T48" s="0" t="str">
        <f aca="false">IF(Staff!$A48="","",Staff!$AL48)</f>
        <v/>
      </c>
      <c r="U48" s="0" t="str">
        <f aca="false">IF(Staff!$A48="","",Staff!$AP48)</f>
        <v>None</v>
      </c>
      <c r="V48" s="0" t="str">
        <f aca="false">IF(Staff!$A48="","",Staff!$AQ48)</f>
        <v/>
      </c>
      <c r="W48" s="0" t="str">
        <f aca="false">IF(Staff!$A48="","",Staff!$AR48)</f>
        <v/>
      </c>
      <c r="X48" s="0" t="str">
        <f aca="false">IF(Staff!$A48="","",Staff!$AS48)</f>
        <v>None</v>
      </c>
    </row>
    <row r="49" customFormat="false" ht="15" hidden="false" customHeight="false" outlineLevel="0" collapsed="false">
      <c r="A49" s="19" t="str">
        <f aca="false">IF(Staff!$A49="","",Staff!$A49)</f>
        <v>Kent</v>
      </c>
      <c r="B49" s="19" t="str">
        <f aca="false">IF(Staff!$A49="","",Staff!$B49)</f>
        <v>Dejos</v>
      </c>
      <c r="C49" s="19" t="str">
        <f aca="false">IF(Staff!$A49="","",Staff!$C49)</f>
        <v>Part-Time</v>
      </c>
      <c r="D49" s="17" t="n">
        <f aca="false">IF(Staff!$A49="","",Staff!$AH49)</f>
        <v>45482</v>
      </c>
      <c r="E49" s="20" t="n">
        <f aca="false">IF(Staff!$A49="","",Staff!$O49)</f>
        <v>0</v>
      </c>
      <c r="F49" s="19" t="n">
        <f aca="false">IF(E49="","",E49*HoursPerDay)</f>
        <v>0</v>
      </c>
      <c r="G49" s="20" t="n">
        <f aca="false">IF(Staff!$A49="","",Staff!$AE49)</f>
        <v>0</v>
      </c>
      <c r="H49" s="32" t="str">
        <f aca="false">IF($A49="","",I49&amp;J49&amp;K49&amp;L49&amp;M49&amp;N49&amp;O49&amp;P49&amp;Q49)</f>
        <v/>
      </c>
      <c r="I49" s="0" t="str">
        <f aca="false">IF(OR($A49="",$D49=""),"",IF(AND(EDATE($D49,Milestones!$AA$20)&lt;=AsOfDate,IF($R49=0,$X49,IF(AND($T49&lt;&gt;"",EDATE($D49,Milestones!$AA$20)&gt;=$T49),$W49,IF(AND($S49&lt;&gt;"",EDATE($D49,Milestones!$AA$20)&gt;=$S49),$V49,$U49)))=Milestones!$AB$20),UPPER(TEXT(EDATE($D49,Milestones!$AA$20),"dd mmm yy"))&amp;" "&amp;Milestones!$AB$20&amp;" "&amp;Milestones!$AC$20&amp;";  ","")&amp;IF(AND(EDATE($D49,Milestones!$AA$21)&lt;=AsOfDate,IF($R49=0,$X49,IF(AND($T49&lt;&gt;"",EDATE($D49,Milestones!$AA$21)&gt;=$T49),$W49,IF(AND($S49&lt;&gt;"",EDATE($D49,Milestones!$AA$21)&gt;=$S49),$V49,$U49)))=Milestones!$AB$21),UPPER(TEXT(EDATE($D49,Milestones!$AA$21),"dd mmm yy"))&amp;" "&amp;Milestones!$AB$21&amp;" "&amp;Milestones!$AC$21&amp;";  ","")&amp;IF(AND(EDATE($D49,Milestones!$AA$22)&lt;=AsOfDate,IF($R49=0,$X49,IF(AND($T49&lt;&gt;"",EDATE($D49,Milestones!$AA$22)&gt;=$T49),$W49,IF(AND($S49&lt;&gt;"",EDATE($D49,Milestones!$AA$22)&gt;=$S49),$V49,$U49)))=Milestones!$AB$22),UPPER(TEXT(EDATE($D49,Milestones!$AA$22),"dd mmm yy"))&amp;" "&amp;Milestones!$AB$22&amp;" "&amp;Milestones!$AC$22&amp;";  ","")&amp;IF(AND(EDATE($D49,Milestones!$AA$23)&lt;=AsOfDate,IF($R49=0,$X49,IF(AND($T49&lt;&gt;"",EDATE($D49,Milestones!$AA$23)&gt;=$T49),$W49,IF(AND($S49&lt;&gt;"",EDATE($D49,Milestones!$AA$23)&gt;=$S49),$V49,$U49)))=Milestones!$AB$23),UPPER(TEXT(EDATE($D49,Milestones!$AA$23),"dd mmm yy"))&amp;" "&amp;Milestones!$AB$23&amp;" "&amp;Milestones!$AC$23&amp;";  ","")&amp;IF(AND(EDATE($D49,Milestones!$AA$24)&lt;=AsOfDate,IF($R49=0,$X49,IF(AND($T49&lt;&gt;"",EDATE($D49,Milestones!$AA$24)&gt;=$T49),$W49,IF(AND($S49&lt;&gt;"",EDATE($D49,Milestones!$AA$24)&gt;=$S49),$V49,$U49)))=Milestones!$AB$24),UPPER(TEXT(EDATE($D49,Milestones!$AA$24),"dd mmm yy"))&amp;" "&amp;Milestones!$AB$24&amp;" "&amp;Milestones!$AC$24&amp;";  ","")&amp;IF(AND(EDATE($D49,Milestones!$AA$25)&lt;=AsOfDate,IF($R49=0,$X49,IF(AND($T49&lt;&gt;"",EDATE($D49,Milestones!$AA$25)&gt;=$T49),$W49,IF(AND($S49&lt;&gt;"",EDATE($D49,Milestones!$AA$25)&gt;=$S49),$V49,$U49)))=Milestones!$AB$25),UPPER(TEXT(EDATE($D49,Milestones!$AA$25),"dd mmm yy"))&amp;" "&amp;Milestones!$AB$25&amp;" "&amp;Milestones!$AC$25&amp;";  ","")&amp;IF(AND(EDATE($D49,Milestones!$AA$26)&lt;=AsOfDate,IF($R49=0,$X49,IF(AND($T49&lt;&gt;"",EDATE($D49,Milestones!$AA$26)&gt;=$T49),$W49,IF(AND($S49&lt;&gt;"",EDATE($D49,Milestones!$AA$26)&gt;=$S49),$V49,$U49)))=Milestones!$AB$26),UPPER(TEXT(EDATE($D49,Milestones!$AA$26),"dd mmm yy"))&amp;" "&amp;Milestones!$AB$26&amp;" "&amp;Milestones!$AC$26&amp;";  ","")&amp;IF(AND(EDATE($D49,Milestones!$AA$27)&lt;=AsOfDate,IF($R49=0,$X49,IF(AND($T49&lt;&gt;"",EDATE($D49,Milestones!$AA$27)&gt;=$T49),$W49,IF(AND($S49&lt;&gt;"",EDATE($D49,Milestones!$AA$27)&gt;=$S49),$V49,$U49)))=Milestones!$AB$27),UPPER(TEXT(EDATE($D49,Milestones!$AA$27),"dd mmm yy"))&amp;" "&amp;Milestones!$AB$27&amp;" "&amp;Milestones!$AC$27&amp;";  ","")&amp;IF(AND(EDATE($D49,Milestones!$AA$28)&lt;=AsOfDate,IF($R49=0,$X49,IF(AND($T49&lt;&gt;"",EDATE($D49,Milestones!$AA$28)&gt;=$T49),$W49,IF(AND($S49&lt;&gt;"",EDATE($D49,Milestones!$AA$28)&gt;=$S49),$V49,$U49)))=Milestones!$AB$28),UPPER(TEXT(EDATE($D49,Milestones!$AA$28),"dd mmm yy"))&amp;" "&amp;Milestones!$AB$28&amp;" "&amp;Milestones!$AC$28&amp;";  ","")&amp;IF(AND(EDATE($D49,Milestones!$AA$29)&lt;=AsOfDate,IF($R49=0,$X49,IF(AND($T49&lt;&gt;"",EDATE($D49,Milestones!$AA$29)&gt;=$T49),$W49,IF(AND($S49&lt;&gt;"",EDATE($D49,Milestones!$AA$29)&gt;=$S49),$V49,$U49)))=Milestones!$AB$29),UPPER(TEXT(EDATE($D49,Milestones!$AA$29),"dd mmm yy"))&amp;" "&amp;Milestones!$AB$29&amp;" "&amp;Milestones!$AC$29&amp;";  ","")&amp;IF(AND(EDATE($D49,Milestones!$AA$30)&lt;=AsOfDate,IF($R49=0,$X49,IF(AND($T49&lt;&gt;"",EDATE($D49,Milestones!$AA$30)&gt;=$T49),$W49,IF(AND($S49&lt;&gt;"",EDATE($D49,Milestones!$AA$30)&gt;=$S49),$V49,$U49)))=Milestones!$AB$30),UPPER(TEXT(EDATE($D49,Milestones!$AA$30),"dd mmm yy"))&amp;" "&amp;Milestones!$AB$30&amp;" "&amp;Milestones!$AC$30&amp;";  ","")&amp;IF(AND(EDATE($D49,Milestones!$AA$31)&lt;=AsOfDate,IF($R49=0,$X49,IF(AND($T49&lt;&gt;"",EDATE($D49,Milestones!$AA$31)&gt;=$T49),$W49,IF(AND($S49&lt;&gt;"",EDATE($D49,Milestones!$AA$31)&gt;=$S49),$V49,$U49)))=Milestones!$AB$31),UPPER(TEXT(EDATE($D49,Milestones!$AA$31),"dd mmm yy"))&amp;" "&amp;Milestones!$AB$31&amp;" "&amp;Milestones!$AC$31&amp;";  ","")&amp;IF(AND(EDATE($D49,Milestones!$AA$32)&lt;=AsOfDate,IF($R49=0,$X49,IF(AND($T49&lt;&gt;"",EDATE($D49,Milestones!$AA$32)&gt;=$T49),$W49,IF(AND($S49&lt;&gt;"",EDATE($D49,Milestones!$AA$32)&gt;=$S49),$V49,$U49)))=Milestones!$AB$32),UPPER(TEXT(EDATE($D49,Milestones!$AA$32),"dd mmm yy"))&amp;" "&amp;Milestones!$AB$32&amp;" "&amp;Milestones!$AC$32&amp;";  ","")&amp;IF(AND(EDATE($D49,Milestones!$AA$33)&lt;=AsOfDate,IF($R49=0,$X49,IF(AND($T49&lt;&gt;"",EDATE($D49,Milestones!$AA$33)&gt;=$T49),$W49,IF(AND($S49&lt;&gt;"",EDATE($D49,Milestones!$AA$33)&gt;=$S49),$V49,$U49)))=Milestones!$AB$33),UPPER(TEXT(EDATE($D49,Milestones!$AA$33),"dd mmm yy"))&amp;" "&amp;Milestones!$AB$33&amp;" "&amp;Milestones!$AC$33&amp;";  ","")&amp;IF(AND(EDATE($D49,Milestones!$AA$34)&lt;=AsOfDate,IF($R49=0,$X49,IF(AND($T49&lt;&gt;"",EDATE($D49,Milestones!$AA$34)&gt;=$T49),$W49,IF(AND($S49&lt;&gt;"",EDATE($D49,Milestones!$AA$34)&gt;=$S49),$V49,$U49)))=Milestones!$AB$34),UPPER(TEXT(EDATE($D49,Milestones!$AA$34),"dd mmm yy"))&amp;" "&amp;Milestones!$AB$34&amp;" "&amp;Milestones!$AC$34&amp;";  ","")&amp;IF(AND(EDATE($D49,Milestones!$AA$35)&lt;=AsOfDate,IF($R49=0,$X49,IF(AND($T49&lt;&gt;"",EDATE($D49,Milestones!$AA$35)&gt;=$T49),$W49,IF(AND($S49&lt;&gt;"",EDATE($D49,Milestones!$AA$35)&gt;=$S49),$V49,$U49)))=Milestones!$AB$35),UPPER(TEXT(EDATE($D49,Milestones!$AA$35),"dd mmm yy"))&amp;" "&amp;Milestones!$AB$35&amp;" "&amp;Milestones!$AC$35&amp;";  ","")&amp;IF(AND(EDATE($D49,Milestones!$AA$36)&lt;=AsOfDate,IF($R49=0,$X49,IF(AND($T49&lt;&gt;"",EDATE($D49,Milestones!$AA$36)&gt;=$T49),$W49,IF(AND($S49&lt;&gt;"",EDATE($D49,Milestones!$AA$36)&gt;=$S49),$V49,$U49)))=Milestones!$AB$36),UPPER(TEXT(EDATE($D49,Milestones!$AA$36),"dd mmm yy"))&amp;" "&amp;Milestones!$AB$36&amp;" "&amp;Milestones!$AC$36&amp;";  ","")&amp;IF(AND(EDATE($D49,Milestones!$AA$37)&lt;=AsOfDate,IF($R49=0,$X49,IF(AND($T49&lt;&gt;"",EDATE($D49,Milestones!$AA$37)&gt;=$T49),$W49,IF(AND($S49&lt;&gt;"",EDATE($D49,Milestones!$AA$37)&gt;=$S49),$V49,$U49)))=Milestones!$AB$37),UPPER(TEXT(EDATE($D49,Milestones!$AA$37),"dd mmm yy"))&amp;" "&amp;Milestones!$AB$37&amp;" "&amp;Milestones!$AC$37&amp;";  ","")&amp;IF(AND(EDATE($D49,Milestones!$AA$38)&lt;=AsOfDate,IF($R49=0,$X49,IF(AND($T49&lt;&gt;"",EDATE($D49,Milestones!$AA$38)&gt;=$T49),$W49,IF(AND($S49&lt;&gt;"",EDATE($D49,Milestones!$AA$38)&gt;=$S49),$V49,$U49)))=Milestones!$AB$38),UPPER(TEXT(EDATE($D49,Milestones!$AA$38),"dd mmm yy"))&amp;" "&amp;Milestones!$AB$38&amp;" "&amp;Milestones!$AC$38&amp;";  ","")&amp;IF(AND(EDATE($D49,Milestones!$AA$39)&lt;=AsOfDate,IF($R49=0,$X49,IF(AND($T49&lt;&gt;"",EDATE($D49,Milestones!$AA$39)&gt;=$T49),$W49,IF(AND($S49&lt;&gt;"",EDATE($D49,Milestones!$AA$39)&gt;=$S49),$V49,$U49)))=Milestones!$AB$39),UPPER(TEXT(EDATE($D49,Milestones!$AA$39),"dd mmm yy"))&amp;" "&amp;Milestones!$AB$39&amp;" "&amp;Milestones!$AC$39&amp;";  ",""))</f>
        <v/>
      </c>
      <c r="J49" s="0" t="str">
        <f aca="false">IF(OR($A49="",$D49=""),"",IF(AND(EDATE($D49,Milestones!$AA$40)&lt;=AsOfDate,IF($R49=0,$X49,IF(AND($T49&lt;&gt;"",EDATE($D49,Milestones!$AA$40)&gt;=$T49),$W49,IF(AND($S49&lt;&gt;"",EDATE($D49,Milestones!$AA$40)&gt;=$S49),$V49,$U49)))=Milestones!$AB$40),UPPER(TEXT(EDATE($D49,Milestones!$AA$40),"dd mmm yy"))&amp;" "&amp;Milestones!$AB$40&amp;" "&amp;Milestones!$AC$40&amp;";  ","")&amp;IF(AND(EDATE($D49,Milestones!$AA$41)&lt;=AsOfDate,IF($R49=0,$X49,IF(AND($T49&lt;&gt;"",EDATE($D49,Milestones!$AA$41)&gt;=$T49),$W49,IF(AND($S49&lt;&gt;"",EDATE($D49,Milestones!$AA$41)&gt;=$S49),$V49,$U49)))=Milestones!$AB$41),UPPER(TEXT(EDATE($D49,Milestones!$AA$41),"dd mmm yy"))&amp;" "&amp;Milestones!$AB$41&amp;" "&amp;Milestones!$AC$41&amp;";  ","")&amp;IF(AND(EDATE($D49,Milestones!$AA$42)&lt;=AsOfDate,IF($R49=0,$X49,IF(AND($T49&lt;&gt;"",EDATE($D49,Milestones!$AA$42)&gt;=$T49),$W49,IF(AND($S49&lt;&gt;"",EDATE($D49,Milestones!$AA$42)&gt;=$S49),$V49,$U49)))=Milestones!$AB$42),UPPER(TEXT(EDATE($D49,Milestones!$AA$42),"dd mmm yy"))&amp;" "&amp;Milestones!$AB$42&amp;" "&amp;Milestones!$AC$42&amp;";  ","")&amp;IF(AND(EDATE($D49,Milestones!$AA$43)&lt;=AsOfDate,IF($R49=0,$X49,IF(AND($T49&lt;&gt;"",EDATE($D49,Milestones!$AA$43)&gt;=$T49),$W49,IF(AND($S49&lt;&gt;"",EDATE($D49,Milestones!$AA$43)&gt;=$S49),$V49,$U49)))=Milestones!$AB$43),UPPER(TEXT(EDATE($D49,Milestones!$AA$43),"dd mmm yy"))&amp;" "&amp;Milestones!$AB$43&amp;" "&amp;Milestones!$AC$43&amp;";  ","")&amp;IF(AND(EDATE($D49,Milestones!$AA$44)&lt;=AsOfDate,IF($R49=0,$X49,IF(AND($T49&lt;&gt;"",EDATE($D49,Milestones!$AA$44)&gt;=$T49),$W49,IF(AND($S49&lt;&gt;"",EDATE($D49,Milestones!$AA$44)&gt;=$S49),$V49,$U49)))=Milestones!$AB$44),UPPER(TEXT(EDATE($D49,Milestones!$AA$44),"dd mmm yy"))&amp;" "&amp;Milestones!$AB$44&amp;" "&amp;Milestones!$AC$44&amp;";  ","")&amp;IF(AND(EDATE($D49,Milestones!$AA$45)&lt;=AsOfDate,IF($R49=0,$X49,IF(AND($T49&lt;&gt;"",EDATE($D49,Milestones!$AA$45)&gt;=$T49),$W49,IF(AND($S49&lt;&gt;"",EDATE($D49,Milestones!$AA$45)&gt;=$S49),$V49,$U49)))=Milestones!$AB$45),UPPER(TEXT(EDATE($D49,Milestones!$AA$45),"dd mmm yy"))&amp;" "&amp;Milestones!$AB$45&amp;" "&amp;Milestones!$AC$45&amp;";  ","")&amp;IF(AND(EDATE($D49,Milestones!$AA$46)&lt;=AsOfDate,IF($R49=0,$X49,IF(AND($T49&lt;&gt;"",EDATE($D49,Milestones!$AA$46)&gt;=$T49),$W49,IF(AND($S49&lt;&gt;"",EDATE($D49,Milestones!$AA$46)&gt;=$S49),$V49,$U49)))=Milestones!$AB$46),UPPER(TEXT(EDATE($D49,Milestones!$AA$46),"dd mmm yy"))&amp;" "&amp;Milestones!$AB$46&amp;" "&amp;Milestones!$AC$46&amp;";  ","")&amp;IF(AND(EDATE($D49,Milestones!$AA$47)&lt;=AsOfDate,IF($R49=0,$X49,IF(AND($T49&lt;&gt;"",EDATE($D49,Milestones!$AA$47)&gt;=$T49),$W49,IF(AND($S49&lt;&gt;"",EDATE($D49,Milestones!$AA$47)&gt;=$S49),$V49,$U49)))=Milestones!$AB$47),UPPER(TEXT(EDATE($D49,Milestones!$AA$47),"dd mmm yy"))&amp;" "&amp;Milestones!$AB$47&amp;" "&amp;Milestones!$AC$47&amp;";  ","")&amp;IF(AND(EDATE($D49,Milestones!$AA$48)&lt;=AsOfDate,IF($R49=0,$X49,IF(AND($T49&lt;&gt;"",EDATE($D49,Milestones!$AA$48)&gt;=$T49),$W49,IF(AND($S49&lt;&gt;"",EDATE($D49,Milestones!$AA$48)&gt;=$S49),$V49,$U49)))=Milestones!$AB$48),UPPER(TEXT(EDATE($D49,Milestones!$AA$48),"dd mmm yy"))&amp;" "&amp;Milestones!$AB$48&amp;" "&amp;Milestones!$AC$48&amp;";  ","")&amp;IF(AND(EDATE($D49,Milestones!$AA$49)&lt;=AsOfDate,IF($R49=0,$X49,IF(AND($T49&lt;&gt;"",EDATE($D49,Milestones!$AA$49)&gt;=$T49),$W49,IF(AND($S49&lt;&gt;"",EDATE($D49,Milestones!$AA$49)&gt;=$S49),$V49,$U49)))=Milestones!$AB$49),UPPER(TEXT(EDATE($D49,Milestones!$AA$49),"dd mmm yy"))&amp;" "&amp;Milestones!$AB$49&amp;" "&amp;Milestones!$AC$49&amp;";  ","")&amp;IF(AND(EDATE($D49,Milestones!$AA$50)&lt;=AsOfDate,IF($R49=0,$X49,IF(AND($T49&lt;&gt;"",EDATE($D49,Milestones!$AA$50)&gt;=$T49),$W49,IF(AND($S49&lt;&gt;"",EDATE($D49,Milestones!$AA$50)&gt;=$S49),$V49,$U49)))=Milestones!$AB$50),UPPER(TEXT(EDATE($D49,Milestones!$AA$50),"dd mmm yy"))&amp;" "&amp;Milestones!$AB$50&amp;" "&amp;Milestones!$AC$50&amp;";  ","")&amp;IF(AND(EDATE($D49,Milestones!$AA$51)&lt;=AsOfDate,IF($R49=0,$X49,IF(AND($T49&lt;&gt;"",EDATE($D49,Milestones!$AA$51)&gt;=$T49),$W49,IF(AND($S49&lt;&gt;"",EDATE($D49,Milestones!$AA$51)&gt;=$S49),$V49,$U49)))=Milestones!$AB$51),UPPER(TEXT(EDATE($D49,Milestones!$AA$51),"dd mmm yy"))&amp;" "&amp;Milestones!$AB$51&amp;" "&amp;Milestones!$AC$51&amp;";  ","")&amp;IF(AND(EDATE($D49,Milestones!$AA$52)&lt;=AsOfDate,IF($R49=0,$X49,IF(AND($T49&lt;&gt;"",EDATE($D49,Milestones!$AA$52)&gt;=$T49),$W49,IF(AND($S49&lt;&gt;"",EDATE($D49,Milestones!$AA$52)&gt;=$S49),$V49,$U49)))=Milestones!$AB$52),UPPER(TEXT(EDATE($D49,Milestones!$AA$52),"dd mmm yy"))&amp;" "&amp;Milestones!$AB$52&amp;" "&amp;Milestones!$AC$52&amp;";  ","")&amp;IF(AND(EDATE($D49,Milestones!$AA$53)&lt;=AsOfDate,IF($R49=0,$X49,IF(AND($T49&lt;&gt;"",EDATE($D49,Milestones!$AA$53)&gt;=$T49),$W49,IF(AND($S49&lt;&gt;"",EDATE($D49,Milestones!$AA$53)&gt;=$S49),$V49,$U49)))=Milestones!$AB$53),UPPER(TEXT(EDATE($D49,Milestones!$AA$53),"dd mmm yy"))&amp;" "&amp;Milestones!$AB$53&amp;" "&amp;Milestones!$AC$53&amp;";  ","")&amp;IF(AND(EDATE($D49,Milestones!$AA$54)&lt;=AsOfDate,IF($R49=0,$X49,IF(AND($T49&lt;&gt;"",EDATE($D49,Milestones!$AA$54)&gt;=$T49),$W49,IF(AND($S49&lt;&gt;"",EDATE($D49,Milestones!$AA$54)&gt;=$S49),$V49,$U49)))=Milestones!$AB$54),UPPER(TEXT(EDATE($D49,Milestones!$AA$54),"dd mmm yy"))&amp;" "&amp;Milestones!$AB$54&amp;" "&amp;Milestones!$AC$54&amp;";  ","")&amp;IF(AND(EDATE($D49,Milestones!$AA$55)&lt;=AsOfDate,IF($R49=0,$X49,IF(AND($T49&lt;&gt;"",EDATE($D49,Milestones!$AA$55)&gt;=$T49),$W49,IF(AND($S49&lt;&gt;"",EDATE($D49,Milestones!$AA$55)&gt;=$S49),$V49,$U49)))=Milestones!$AB$55),UPPER(TEXT(EDATE($D49,Milestones!$AA$55),"dd mmm yy"))&amp;" "&amp;Milestones!$AB$55&amp;" "&amp;Milestones!$AC$55&amp;";  ","")&amp;IF(AND(EDATE($D49,Milestones!$AA$56)&lt;=AsOfDate,IF($R49=0,$X49,IF(AND($T49&lt;&gt;"",EDATE($D49,Milestones!$AA$56)&gt;=$T49),$W49,IF(AND($S49&lt;&gt;"",EDATE($D49,Milestones!$AA$56)&gt;=$S49),$V49,$U49)))=Milestones!$AB$56),UPPER(TEXT(EDATE($D49,Milestones!$AA$56),"dd mmm yy"))&amp;" "&amp;Milestones!$AB$56&amp;" "&amp;Milestones!$AC$56&amp;";  ","")&amp;IF(AND(EDATE($D49,Milestones!$AA$57)&lt;=AsOfDate,IF($R49=0,$X49,IF(AND($T49&lt;&gt;"",EDATE($D49,Milestones!$AA$57)&gt;=$T49),$W49,IF(AND($S49&lt;&gt;"",EDATE($D49,Milestones!$AA$57)&gt;=$S49),$V49,$U49)))=Milestones!$AB$57),UPPER(TEXT(EDATE($D49,Milestones!$AA$57),"dd mmm yy"))&amp;" "&amp;Milestones!$AB$57&amp;" "&amp;Milestones!$AC$57&amp;";  ","")&amp;IF(AND(EDATE($D49,Milestones!$AA$58)&lt;=AsOfDate,IF($R49=0,$X49,IF(AND($T49&lt;&gt;"",EDATE($D49,Milestones!$AA$58)&gt;=$T49),$W49,IF(AND($S49&lt;&gt;"",EDATE($D49,Milestones!$AA$58)&gt;=$S49),$V49,$U49)))=Milestones!$AB$58),UPPER(TEXT(EDATE($D49,Milestones!$AA$58),"dd mmm yy"))&amp;" "&amp;Milestones!$AB$58&amp;" "&amp;Milestones!$AC$58&amp;";  ","")&amp;IF(AND(EDATE($D49,Milestones!$AA$59)&lt;=AsOfDate,IF($R49=0,$X49,IF(AND($T49&lt;&gt;"",EDATE($D49,Milestones!$AA$59)&gt;=$T49),$W49,IF(AND($S49&lt;&gt;"",EDATE($D49,Milestones!$AA$59)&gt;=$S49),$V49,$U49)))=Milestones!$AB$59),UPPER(TEXT(EDATE($D49,Milestones!$AA$59),"dd mmm yy"))&amp;" "&amp;Milestones!$AB$59&amp;" "&amp;Milestones!$AC$59&amp;";  ",""))</f>
        <v/>
      </c>
      <c r="K49" s="0" t="str">
        <f aca="false">IF(OR($A49="",$D49=""),"",IF(AND(EDATE($D49,Milestones!$AA$60)&lt;=AsOfDate,IF($R49=0,$X49,IF(AND($T49&lt;&gt;"",EDATE($D49,Milestones!$AA$60)&gt;=$T49),$W49,IF(AND($S49&lt;&gt;"",EDATE($D49,Milestones!$AA$60)&gt;=$S49),$V49,$U49)))=Milestones!$AB$60),UPPER(TEXT(EDATE($D49,Milestones!$AA$60),"dd mmm yy"))&amp;" "&amp;Milestones!$AB$60&amp;" "&amp;Milestones!$AC$60&amp;";  ","")&amp;IF(AND(EDATE($D49,Milestones!$AA$61)&lt;=AsOfDate,IF($R49=0,$X49,IF(AND($T49&lt;&gt;"",EDATE($D49,Milestones!$AA$61)&gt;=$T49),$W49,IF(AND($S49&lt;&gt;"",EDATE($D49,Milestones!$AA$61)&gt;=$S49),$V49,$U49)))=Milestones!$AB$61),UPPER(TEXT(EDATE($D49,Milestones!$AA$61),"dd mmm yy"))&amp;" "&amp;Milestones!$AB$61&amp;" "&amp;Milestones!$AC$61&amp;";  ","")&amp;IF(AND(EDATE($D49,Milestones!$AA$62)&lt;=AsOfDate,IF($R49=0,$X49,IF(AND($T49&lt;&gt;"",EDATE($D49,Milestones!$AA$62)&gt;=$T49),$W49,IF(AND($S49&lt;&gt;"",EDATE($D49,Milestones!$AA$62)&gt;=$S49),$V49,$U49)))=Milestones!$AB$62),UPPER(TEXT(EDATE($D49,Milestones!$AA$62),"dd mmm yy"))&amp;" "&amp;Milestones!$AB$62&amp;" "&amp;Milestones!$AC$62&amp;";  ","")&amp;IF(AND(EDATE($D49,Milestones!$AA$63)&lt;=AsOfDate,IF($R49=0,$X49,IF(AND($T49&lt;&gt;"",EDATE($D49,Milestones!$AA$63)&gt;=$T49),$W49,IF(AND($S49&lt;&gt;"",EDATE($D49,Milestones!$AA$63)&gt;=$S49),$V49,$U49)))=Milestones!$AB$63),UPPER(TEXT(EDATE($D49,Milestones!$AA$63),"dd mmm yy"))&amp;" "&amp;Milestones!$AB$63&amp;" "&amp;Milestones!$AC$63&amp;";  ","")&amp;IF(AND(EDATE($D49,Milestones!$AA$64)&lt;=AsOfDate,IF($R49=0,$X49,IF(AND($T49&lt;&gt;"",EDATE($D49,Milestones!$AA$64)&gt;=$T49),$W49,IF(AND($S49&lt;&gt;"",EDATE($D49,Milestones!$AA$64)&gt;=$S49),$V49,$U49)))=Milestones!$AB$64),UPPER(TEXT(EDATE($D49,Milestones!$AA$64),"dd mmm yy"))&amp;" "&amp;Milestones!$AB$64&amp;" "&amp;Milestones!$AC$64&amp;";  ","")&amp;IF(AND(EDATE($D49,Milestones!$AA$65)&lt;=AsOfDate,IF($R49=0,$X49,IF(AND($T49&lt;&gt;"",EDATE($D49,Milestones!$AA$65)&gt;=$T49),$W49,IF(AND($S49&lt;&gt;"",EDATE($D49,Milestones!$AA$65)&gt;=$S49),$V49,$U49)))=Milestones!$AB$65),UPPER(TEXT(EDATE($D49,Milestones!$AA$65),"dd mmm yy"))&amp;" "&amp;Milestones!$AB$65&amp;" "&amp;Milestones!$AC$65&amp;";  ","")&amp;IF(AND(EDATE($D49,Milestones!$AA$66)&lt;=AsOfDate,IF($R49=0,$X49,IF(AND($T49&lt;&gt;"",EDATE($D49,Milestones!$AA$66)&gt;=$T49),$W49,IF(AND($S49&lt;&gt;"",EDATE($D49,Milestones!$AA$66)&gt;=$S49),$V49,$U49)))=Milestones!$AB$66),UPPER(TEXT(EDATE($D49,Milestones!$AA$66),"dd mmm yy"))&amp;" "&amp;Milestones!$AB$66&amp;" "&amp;Milestones!$AC$66&amp;";  ","")&amp;IF(AND(EDATE($D49,Milestones!$AA$67)&lt;=AsOfDate,IF($R49=0,$X49,IF(AND($T49&lt;&gt;"",EDATE($D49,Milestones!$AA$67)&gt;=$T49),$W49,IF(AND($S49&lt;&gt;"",EDATE($D49,Milestones!$AA$67)&gt;=$S49),$V49,$U49)))=Milestones!$AB$67),UPPER(TEXT(EDATE($D49,Milestones!$AA$67),"dd mmm yy"))&amp;" "&amp;Milestones!$AB$67&amp;" "&amp;Milestones!$AC$67&amp;";  ","")&amp;IF(AND(EDATE($D49,Milestones!$AA$68)&lt;=AsOfDate,IF($R49=0,$X49,IF(AND($T49&lt;&gt;"",EDATE($D49,Milestones!$AA$68)&gt;=$T49),$W49,IF(AND($S49&lt;&gt;"",EDATE($D49,Milestones!$AA$68)&gt;=$S49),$V49,$U49)))=Milestones!$AB$68),UPPER(TEXT(EDATE($D49,Milestones!$AA$68),"dd mmm yy"))&amp;" "&amp;Milestones!$AB$68&amp;" "&amp;Milestones!$AC$68&amp;";  ","")&amp;IF(AND(EDATE($D49,Milestones!$AA$69)&lt;=AsOfDate,IF($R49=0,$X49,IF(AND($T49&lt;&gt;"",EDATE($D49,Milestones!$AA$69)&gt;=$T49),$W49,IF(AND($S49&lt;&gt;"",EDATE($D49,Milestones!$AA$69)&gt;=$S49),$V49,$U49)))=Milestones!$AB$69),UPPER(TEXT(EDATE($D49,Milestones!$AA$69),"dd mmm yy"))&amp;" "&amp;Milestones!$AB$69&amp;" "&amp;Milestones!$AC$69&amp;";  ","")&amp;IF(AND(EDATE($D49,Milestones!$AA$70)&lt;=AsOfDate,IF($R49=0,$X49,IF(AND($T49&lt;&gt;"",EDATE($D49,Milestones!$AA$70)&gt;=$T49),$W49,IF(AND($S49&lt;&gt;"",EDATE($D49,Milestones!$AA$70)&gt;=$S49),$V49,$U49)))=Milestones!$AB$70),UPPER(TEXT(EDATE($D49,Milestones!$AA$70),"dd mmm yy"))&amp;" "&amp;Milestones!$AB$70&amp;" "&amp;Milestones!$AC$70&amp;";  ","")&amp;IF(AND(EDATE($D49,Milestones!$AA$71)&lt;=AsOfDate,IF($R49=0,$X49,IF(AND($T49&lt;&gt;"",EDATE($D49,Milestones!$AA$71)&gt;=$T49),$W49,IF(AND($S49&lt;&gt;"",EDATE($D49,Milestones!$AA$71)&gt;=$S49),$V49,$U49)))=Milestones!$AB$71),UPPER(TEXT(EDATE($D49,Milestones!$AA$71),"dd mmm yy"))&amp;" "&amp;Milestones!$AB$71&amp;" "&amp;Milestones!$AC$71&amp;";  ","")&amp;IF(AND(EDATE($D49,Milestones!$AA$72)&lt;=AsOfDate,IF($R49=0,$X49,IF(AND($T49&lt;&gt;"",EDATE($D49,Milestones!$AA$72)&gt;=$T49),$W49,IF(AND($S49&lt;&gt;"",EDATE($D49,Milestones!$AA$72)&gt;=$S49),$V49,$U49)))=Milestones!$AB$72),UPPER(TEXT(EDATE($D49,Milestones!$AA$72),"dd mmm yy"))&amp;" "&amp;Milestones!$AB$72&amp;" "&amp;Milestones!$AC$72&amp;";  ","")&amp;IF(AND(EDATE($D49,Milestones!$AA$73)&lt;=AsOfDate,IF($R49=0,$X49,IF(AND($T49&lt;&gt;"",EDATE($D49,Milestones!$AA$73)&gt;=$T49),$W49,IF(AND($S49&lt;&gt;"",EDATE($D49,Milestones!$AA$73)&gt;=$S49),$V49,$U49)))=Milestones!$AB$73),UPPER(TEXT(EDATE($D49,Milestones!$AA$73),"dd mmm yy"))&amp;" "&amp;Milestones!$AB$73&amp;" "&amp;Milestones!$AC$73&amp;";  ","")&amp;IF(AND(EDATE($D49,Milestones!$AA$74)&lt;=AsOfDate,IF($R49=0,$X49,IF(AND($T49&lt;&gt;"",EDATE($D49,Milestones!$AA$74)&gt;=$T49),$W49,IF(AND($S49&lt;&gt;"",EDATE($D49,Milestones!$AA$74)&gt;=$S49),$V49,$U49)))=Milestones!$AB$74),UPPER(TEXT(EDATE($D49,Milestones!$AA$74),"dd mmm yy"))&amp;" "&amp;Milestones!$AB$74&amp;" "&amp;Milestones!$AC$74&amp;";  ","")&amp;IF(AND(EDATE($D49,Milestones!$AA$75)&lt;=AsOfDate,IF($R49=0,$X49,IF(AND($T49&lt;&gt;"",EDATE($D49,Milestones!$AA$75)&gt;=$T49),$W49,IF(AND($S49&lt;&gt;"",EDATE($D49,Milestones!$AA$75)&gt;=$S49),$V49,$U49)))=Milestones!$AB$75),UPPER(TEXT(EDATE($D49,Milestones!$AA$75),"dd mmm yy"))&amp;" "&amp;Milestones!$AB$75&amp;" "&amp;Milestones!$AC$75&amp;";  ","")&amp;IF(AND(EDATE($D49,Milestones!$AA$76)&lt;=AsOfDate,IF($R49=0,$X49,IF(AND($T49&lt;&gt;"",EDATE($D49,Milestones!$AA$76)&gt;=$T49),$W49,IF(AND($S49&lt;&gt;"",EDATE($D49,Milestones!$AA$76)&gt;=$S49),$V49,$U49)))=Milestones!$AB$76),UPPER(TEXT(EDATE($D49,Milestones!$AA$76),"dd mmm yy"))&amp;" "&amp;Milestones!$AB$76&amp;" "&amp;Milestones!$AC$76&amp;";  ","")&amp;IF(AND(EDATE($D49,Milestones!$AA$77)&lt;=AsOfDate,IF($R49=0,$X49,IF(AND($T49&lt;&gt;"",EDATE($D49,Milestones!$AA$77)&gt;=$T49),$W49,IF(AND($S49&lt;&gt;"",EDATE($D49,Milestones!$AA$77)&gt;=$S49),$V49,$U49)))=Milestones!$AB$77),UPPER(TEXT(EDATE($D49,Milestones!$AA$77),"dd mmm yy"))&amp;" "&amp;Milestones!$AB$77&amp;" "&amp;Milestones!$AC$77&amp;";  ","")&amp;IF(AND(EDATE($D49,Milestones!$AA$78)&lt;=AsOfDate,IF($R49=0,$X49,IF(AND($T49&lt;&gt;"",EDATE($D49,Milestones!$AA$78)&gt;=$T49),$W49,IF(AND($S49&lt;&gt;"",EDATE($D49,Milestones!$AA$78)&gt;=$S49),$V49,$U49)))=Milestones!$AB$78),UPPER(TEXT(EDATE($D49,Milestones!$AA$78),"dd mmm yy"))&amp;" "&amp;Milestones!$AB$78&amp;" "&amp;Milestones!$AC$78&amp;";  ","")&amp;IF(AND(EDATE($D49,Milestones!$AA$79)&lt;=AsOfDate,IF($R49=0,$X49,IF(AND($T49&lt;&gt;"",EDATE($D49,Milestones!$AA$79)&gt;=$T49),$W49,IF(AND($S49&lt;&gt;"",EDATE($D49,Milestones!$AA$79)&gt;=$S49),$V49,$U49)))=Milestones!$AB$79),UPPER(TEXT(EDATE($D49,Milestones!$AA$79),"dd mmm yy"))&amp;" "&amp;Milestones!$AB$79&amp;" "&amp;Milestones!$AC$79&amp;";  ",""))</f>
        <v/>
      </c>
      <c r="L49" s="0" t="str">
        <f aca="false">IF(OR($A49="",$D49=""),"",IF(AND(EDATE($D49,Milestones!$AA$80)&lt;=AsOfDate,IF($R49=0,$X49,IF(AND($T49&lt;&gt;"",EDATE($D49,Milestones!$AA$80)&gt;=$T49),$W49,IF(AND($S49&lt;&gt;"",EDATE($D49,Milestones!$AA$80)&gt;=$S49),$V49,$U49)))=Milestones!$AB$80),UPPER(TEXT(EDATE($D49,Milestones!$AA$80),"dd mmm yy"))&amp;" "&amp;Milestones!$AB$80&amp;" "&amp;Milestones!$AC$80&amp;";  ","")&amp;IF(AND(EDATE($D49,Milestones!$AA$81)&lt;=AsOfDate,IF($R49=0,$X49,IF(AND($T49&lt;&gt;"",EDATE($D49,Milestones!$AA$81)&gt;=$T49),$W49,IF(AND($S49&lt;&gt;"",EDATE($D49,Milestones!$AA$81)&gt;=$S49),$V49,$U49)))=Milestones!$AB$81),UPPER(TEXT(EDATE($D49,Milestones!$AA$81),"dd mmm yy"))&amp;" "&amp;Milestones!$AB$81&amp;" "&amp;Milestones!$AC$81&amp;";  ","")&amp;IF(AND(EDATE($D49,Milestones!$AA$82)&lt;=AsOfDate,IF($R49=0,$X49,IF(AND($T49&lt;&gt;"",EDATE($D49,Milestones!$AA$82)&gt;=$T49),$W49,IF(AND($S49&lt;&gt;"",EDATE($D49,Milestones!$AA$82)&gt;=$S49),$V49,$U49)))=Milestones!$AB$82),UPPER(TEXT(EDATE($D49,Milestones!$AA$82),"dd mmm yy"))&amp;" "&amp;Milestones!$AB$82&amp;" "&amp;Milestones!$AC$82&amp;";  ","")&amp;IF(AND(EDATE($D49,Milestones!$AA$83)&lt;=AsOfDate,IF($R49=0,$X49,IF(AND($T49&lt;&gt;"",EDATE($D49,Milestones!$AA$83)&gt;=$T49),$W49,IF(AND($S49&lt;&gt;"",EDATE($D49,Milestones!$AA$83)&gt;=$S49),$V49,$U49)))=Milestones!$AB$83),UPPER(TEXT(EDATE($D49,Milestones!$AA$83),"dd mmm yy"))&amp;" "&amp;Milestones!$AB$83&amp;" "&amp;Milestones!$AC$83&amp;";  ","")&amp;IF(AND(EDATE($D49,Milestones!$AA$84)&lt;=AsOfDate,IF($R49=0,$X49,IF(AND($T49&lt;&gt;"",EDATE($D49,Milestones!$AA$84)&gt;=$T49),$W49,IF(AND($S49&lt;&gt;"",EDATE($D49,Milestones!$AA$84)&gt;=$S49),$V49,$U49)))=Milestones!$AB$84),UPPER(TEXT(EDATE($D49,Milestones!$AA$84),"dd mmm yy"))&amp;" "&amp;Milestones!$AB$84&amp;" "&amp;Milestones!$AC$84&amp;";  ","")&amp;IF(AND(EDATE($D49,Milestones!$AA$85)&lt;=AsOfDate,IF($R49=0,$X49,IF(AND($T49&lt;&gt;"",EDATE($D49,Milestones!$AA$85)&gt;=$T49),$W49,IF(AND($S49&lt;&gt;"",EDATE($D49,Milestones!$AA$85)&gt;=$S49),$V49,$U49)))=Milestones!$AB$85),UPPER(TEXT(EDATE($D49,Milestones!$AA$85),"dd mmm yy"))&amp;" "&amp;Milestones!$AB$85&amp;" "&amp;Milestones!$AC$85&amp;";  ","")&amp;IF(AND(EDATE($D49,Milestones!$AA$86)&lt;=AsOfDate,IF($R49=0,$X49,IF(AND($T49&lt;&gt;"",EDATE($D49,Milestones!$AA$86)&gt;=$T49),$W49,IF(AND($S49&lt;&gt;"",EDATE($D49,Milestones!$AA$86)&gt;=$S49),$V49,$U49)))=Milestones!$AB$86),UPPER(TEXT(EDATE($D49,Milestones!$AA$86),"dd mmm yy"))&amp;" "&amp;Milestones!$AB$86&amp;" "&amp;Milestones!$AC$86&amp;";  ","")&amp;IF(AND(EDATE($D49,Milestones!$AA$87)&lt;=AsOfDate,IF($R49=0,$X49,IF(AND($T49&lt;&gt;"",EDATE($D49,Milestones!$AA$87)&gt;=$T49),$W49,IF(AND($S49&lt;&gt;"",EDATE($D49,Milestones!$AA$87)&gt;=$S49),$V49,$U49)))=Milestones!$AB$87),UPPER(TEXT(EDATE($D49,Milestones!$AA$87),"dd mmm yy"))&amp;" "&amp;Milestones!$AB$87&amp;" "&amp;Milestones!$AC$87&amp;";  ","")&amp;IF(AND(EDATE($D49,Milestones!$AA$88)&lt;=AsOfDate,IF($R49=0,$X49,IF(AND($T49&lt;&gt;"",EDATE($D49,Milestones!$AA$88)&gt;=$T49),$W49,IF(AND($S49&lt;&gt;"",EDATE($D49,Milestones!$AA$88)&gt;=$S49),$V49,$U49)))=Milestones!$AB$88),UPPER(TEXT(EDATE($D49,Milestones!$AA$88),"dd mmm yy"))&amp;" "&amp;Milestones!$AB$88&amp;" "&amp;Milestones!$AC$88&amp;";  ","")&amp;IF(AND(EDATE($D49,Milestones!$AA$89)&lt;=AsOfDate,IF($R49=0,$X49,IF(AND($T49&lt;&gt;"",EDATE($D49,Milestones!$AA$89)&gt;=$T49),$W49,IF(AND($S49&lt;&gt;"",EDATE($D49,Milestones!$AA$89)&gt;=$S49),$V49,$U49)))=Milestones!$AB$89),UPPER(TEXT(EDATE($D49,Milestones!$AA$89),"dd mmm yy"))&amp;" "&amp;Milestones!$AB$89&amp;" "&amp;Milestones!$AC$89&amp;";  ","")&amp;IF(AND(EDATE($D49,Milestones!$AA$90)&lt;=AsOfDate,IF($R49=0,$X49,IF(AND($T49&lt;&gt;"",EDATE($D49,Milestones!$AA$90)&gt;=$T49),$W49,IF(AND($S49&lt;&gt;"",EDATE($D49,Milestones!$AA$90)&gt;=$S49),$V49,$U49)))=Milestones!$AB$90),UPPER(TEXT(EDATE($D49,Milestones!$AA$90),"dd mmm yy"))&amp;" "&amp;Milestones!$AB$90&amp;" "&amp;Milestones!$AC$90&amp;";  ","")&amp;IF(AND(EDATE($D49,Milestones!$AA$91)&lt;=AsOfDate,IF($R49=0,$X49,IF(AND($T49&lt;&gt;"",EDATE($D49,Milestones!$AA$91)&gt;=$T49),$W49,IF(AND($S49&lt;&gt;"",EDATE($D49,Milestones!$AA$91)&gt;=$S49),$V49,$U49)))=Milestones!$AB$91),UPPER(TEXT(EDATE($D49,Milestones!$AA$91),"dd mmm yy"))&amp;" "&amp;Milestones!$AB$91&amp;" "&amp;Milestones!$AC$91&amp;";  ","")&amp;IF(AND(EDATE($D49,Milestones!$AA$92)&lt;=AsOfDate,IF($R49=0,$X49,IF(AND($T49&lt;&gt;"",EDATE($D49,Milestones!$AA$92)&gt;=$T49),$W49,IF(AND($S49&lt;&gt;"",EDATE($D49,Milestones!$AA$92)&gt;=$S49),$V49,$U49)))=Milestones!$AB$92),UPPER(TEXT(EDATE($D49,Milestones!$AA$92),"dd mmm yy"))&amp;" "&amp;Milestones!$AB$92&amp;" "&amp;Milestones!$AC$92&amp;";  ","")&amp;IF(AND(EDATE($D49,Milestones!$AA$93)&lt;=AsOfDate,IF($R49=0,$X49,IF(AND($T49&lt;&gt;"",EDATE($D49,Milestones!$AA$93)&gt;=$T49),$W49,IF(AND($S49&lt;&gt;"",EDATE($D49,Milestones!$AA$93)&gt;=$S49),$V49,$U49)))=Milestones!$AB$93),UPPER(TEXT(EDATE($D49,Milestones!$AA$93),"dd mmm yy"))&amp;" "&amp;Milestones!$AB$93&amp;" "&amp;Milestones!$AC$93&amp;";  ","")&amp;IF(AND(EDATE($D49,Milestones!$AA$94)&lt;=AsOfDate,IF($R49=0,$X49,IF(AND($T49&lt;&gt;"",EDATE($D49,Milestones!$AA$94)&gt;=$T49),$W49,IF(AND($S49&lt;&gt;"",EDATE($D49,Milestones!$AA$94)&gt;=$S49),$V49,$U49)))=Milestones!$AB$94),UPPER(TEXT(EDATE($D49,Milestones!$AA$94),"dd mmm yy"))&amp;" "&amp;Milestones!$AB$94&amp;" "&amp;Milestones!$AC$94&amp;";  ","")&amp;IF(AND(EDATE($D49,Milestones!$AA$95)&lt;=AsOfDate,IF($R49=0,$X49,IF(AND($T49&lt;&gt;"",EDATE($D49,Milestones!$AA$95)&gt;=$T49),$W49,IF(AND($S49&lt;&gt;"",EDATE($D49,Milestones!$AA$95)&gt;=$S49),$V49,$U49)))=Milestones!$AB$95),UPPER(TEXT(EDATE($D49,Milestones!$AA$95),"dd mmm yy"))&amp;" "&amp;Milestones!$AB$95&amp;" "&amp;Milestones!$AC$95&amp;";  ","")&amp;IF(AND(EDATE($D49,Milestones!$AA$96)&lt;=AsOfDate,IF($R49=0,$X49,IF(AND($T49&lt;&gt;"",EDATE($D49,Milestones!$AA$96)&gt;=$T49),$W49,IF(AND($S49&lt;&gt;"",EDATE($D49,Milestones!$AA$96)&gt;=$S49),$V49,$U49)))=Milestones!$AB$96),UPPER(TEXT(EDATE($D49,Milestones!$AA$96),"dd mmm yy"))&amp;" "&amp;Milestones!$AB$96&amp;" "&amp;Milestones!$AC$96&amp;";  ","")&amp;IF(AND(EDATE($D49,Milestones!$AA$97)&lt;=AsOfDate,IF($R49=0,$X49,IF(AND($T49&lt;&gt;"",EDATE($D49,Milestones!$AA$97)&gt;=$T49),$W49,IF(AND($S49&lt;&gt;"",EDATE($D49,Milestones!$AA$97)&gt;=$S49),$V49,$U49)))=Milestones!$AB$97),UPPER(TEXT(EDATE($D49,Milestones!$AA$97),"dd mmm yy"))&amp;" "&amp;Milestones!$AB$97&amp;" "&amp;Milestones!$AC$97&amp;";  ","")&amp;IF(AND(EDATE($D49,Milestones!$AA$98)&lt;=AsOfDate,IF($R49=0,$X49,IF(AND($T49&lt;&gt;"",EDATE($D49,Milestones!$AA$98)&gt;=$T49),$W49,IF(AND($S49&lt;&gt;"",EDATE($D49,Milestones!$AA$98)&gt;=$S49),$V49,$U49)))=Milestones!$AB$98),UPPER(TEXT(EDATE($D49,Milestones!$AA$98),"dd mmm yy"))&amp;" "&amp;Milestones!$AB$98&amp;" "&amp;Milestones!$AC$98&amp;";  ","")&amp;IF(AND(EDATE($D49,Milestones!$AA$99)&lt;=AsOfDate,IF($R49=0,$X49,IF(AND($T49&lt;&gt;"",EDATE($D49,Milestones!$AA$99)&gt;=$T49),$W49,IF(AND($S49&lt;&gt;"",EDATE($D49,Milestones!$AA$99)&gt;=$S49),$V49,$U49)))=Milestones!$AB$99),UPPER(TEXT(EDATE($D49,Milestones!$AA$99),"dd mmm yy"))&amp;" "&amp;Milestones!$AB$99&amp;" "&amp;Milestones!$AC$99&amp;";  ",""))</f>
        <v/>
      </c>
      <c r="M49" s="0" t="str">
        <f aca="false">IF(OR($A49="",$D49=""),"",IF(AND(EDATE($D49,Milestones!$AA$100)&lt;=AsOfDate,IF($R49=0,$X49,IF(AND($T49&lt;&gt;"",EDATE($D49,Milestones!$AA$100)&gt;=$T49),$W49,IF(AND($S49&lt;&gt;"",EDATE($D49,Milestones!$AA$100)&gt;=$S49),$V49,$U49)))=Milestones!$AB$100),UPPER(TEXT(EDATE($D49,Milestones!$AA$100),"dd mmm yy"))&amp;" "&amp;Milestones!$AB$100&amp;" "&amp;Milestones!$AC$100&amp;";  ","")&amp;IF(AND(EDATE($D49,Milestones!$AA$101)&lt;=AsOfDate,IF($R49=0,$X49,IF(AND($T49&lt;&gt;"",EDATE($D49,Milestones!$AA$101)&gt;=$T49),$W49,IF(AND($S49&lt;&gt;"",EDATE($D49,Milestones!$AA$101)&gt;=$S49),$V49,$U49)))=Milestones!$AB$101),UPPER(TEXT(EDATE($D49,Milestones!$AA$101),"dd mmm yy"))&amp;" "&amp;Milestones!$AB$101&amp;" "&amp;Milestones!$AC$101&amp;";  ","")&amp;IF(AND(EDATE($D49,Milestones!$AA$102)&lt;=AsOfDate,IF($R49=0,$X49,IF(AND($T49&lt;&gt;"",EDATE($D49,Milestones!$AA$102)&gt;=$T49),$W49,IF(AND($S49&lt;&gt;"",EDATE($D49,Milestones!$AA$102)&gt;=$S49),$V49,$U49)))=Milestones!$AB$102),UPPER(TEXT(EDATE($D49,Milestones!$AA$102),"dd mmm yy"))&amp;" "&amp;Milestones!$AB$102&amp;" "&amp;Milestones!$AC$102&amp;";  ","")&amp;IF(AND(EDATE($D49,Milestones!$AA$103)&lt;=AsOfDate,IF($R49=0,$X49,IF(AND($T49&lt;&gt;"",EDATE($D49,Milestones!$AA$103)&gt;=$T49),$W49,IF(AND($S49&lt;&gt;"",EDATE($D49,Milestones!$AA$103)&gt;=$S49),$V49,$U49)))=Milestones!$AB$103),UPPER(TEXT(EDATE($D49,Milestones!$AA$103),"dd mmm yy"))&amp;" "&amp;Milestones!$AB$103&amp;" "&amp;Milestones!$AC$103&amp;";  ","")&amp;IF(AND(EDATE($D49,Milestones!$AA$104)&lt;=AsOfDate,IF($R49=0,$X49,IF(AND($T49&lt;&gt;"",EDATE($D49,Milestones!$AA$104)&gt;=$T49),$W49,IF(AND($S49&lt;&gt;"",EDATE($D49,Milestones!$AA$104)&gt;=$S49),$V49,$U49)))=Milestones!$AB$104),UPPER(TEXT(EDATE($D49,Milestones!$AA$104),"dd mmm yy"))&amp;" "&amp;Milestones!$AB$104&amp;" "&amp;Milestones!$AC$104&amp;";  ","")&amp;IF(AND(EDATE($D49,Milestones!$AA$105)&lt;=AsOfDate,IF($R49=0,$X49,IF(AND($T49&lt;&gt;"",EDATE($D49,Milestones!$AA$105)&gt;=$T49),$W49,IF(AND($S49&lt;&gt;"",EDATE($D49,Milestones!$AA$105)&gt;=$S49),$V49,$U49)))=Milestones!$AB$105),UPPER(TEXT(EDATE($D49,Milestones!$AA$105),"dd mmm yy"))&amp;" "&amp;Milestones!$AB$105&amp;" "&amp;Milestones!$AC$105&amp;";  ","")&amp;IF(AND(EDATE($D49,Milestones!$AA$106)&lt;=AsOfDate,IF($R49=0,$X49,IF(AND($T49&lt;&gt;"",EDATE($D49,Milestones!$AA$106)&gt;=$T49),$W49,IF(AND($S49&lt;&gt;"",EDATE($D49,Milestones!$AA$106)&gt;=$S49),$V49,$U49)))=Milestones!$AB$106),UPPER(TEXT(EDATE($D49,Milestones!$AA$106),"dd mmm yy"))&amp;" "&amp;Milestones!$AB$106&amp;" "&amp;Milestones!$AC$106&amp;";  ","")&amp;IF(AND(EDATE($D49,Milestones!$AA$107)&lt;=AsOfDate,IF($R49=0,$X49,IF(AND($T49&lt;&gt;"",EDATE($D49,Milestones!$AA$107)&gt;=$T49),$W49,IF(AND($S49&lt;&gt;"",EDATE($D49,Milestones!$AA$107)&gt;=$S49),$V49,$U49)))=Milestones!$AB$107),UPPER(TEXT(EDATE($D49,Milestones!$AA$107),"dd mmm yy"))&amp;" "&amp;Milestones!$AB$107&amp;" "&amp;Milestones!$AC$107&amp;";  ","")&amp;IF(AND(EDATE($D49,Milestones!$AA$108)&lt;=AsOfDate,IF($R49=0,$X49,IF(AND($T49&lt;&gt;"",EDATE($D49,Milestones!$AA$108)&gt;=$T49),$W49,IF(AND($S49&lt;&gt;"",EDATE($D49,Milestones!$AA$108)&gt;=$S49),$V49,$U49)))=Milestones!$AB$108),UPPER(TEXT(EDATE($D49,Milestones!$AA$108),"dd mmm yy"))&amp;" "&amp;Milestones!$AB$108&amp;" "&amp;Milestones!$AC$108&amp;";  ","")&amp;IF(AND(EDATE($D49,Milestones!$AA$109)&lt;=AsOfDate,IF($R49=0,$X49,IF(AND($T49&lt;&gt;"",EDATE($D49,Milestones!$AA$109)&gt;=$T49),$W49,IF(AND($S49&lt;&gt;"",EDATE($D49,Milestones!$AA$109)&gt;=$S49),$V49,$U49)))=Milestones!$AB$109),UPPER(TEXT(EDATE($D49,Milestones!$AA$109),"dd mmm yy"))&amp;" "&amp;Milestones!$AB$109&amp;" "&amp;Milestones!$AC$109&amp;";  ","")&amp;IF(AND(EDATE($D49,Milestones!$AA$110)&lt;=AsOfDate,IF($R49=0,$X49,IF(AND($T49&lt;&gt;"",EDATE($D49,Milestones!$AA$110)&gt;=$T49),$W49,IF(AND($S49&lt;&gt;"",EDATE($D49,Milestones!$AA$110)&gt;=$S49),$V49,$U49)))=Milestones!$AB$110),UPPER(TEXT(EDATE($D49,Milestones!$AA$110),"dd mmm yy"))&amp;" "&amp;Milestones!$AB$110&amp;" "&amp;Milestones!$AC$110&amp;";  ","")&amp;IF(AND(EDATE($D49,Milestones!$AA$111)&lt;=AsOfDate,IF($R49=0,$X49,IF(AND($T49&lt;&gt;"",EDATE($D49,Milestones!$AA$111)&gt;=$T49),$W49,IF(AND($S49&lt;&gt;"",EDATE($D49,Milestones!$AA$111)&gt;=$S49),$V49,$U49)))=Milestones!$AB$111),UPPER(TEXT(EDATE($D49,Milestones!$AA$111),"dd mmm yy"))&amp;" "&amp;Milestones!$AB$111&amp;" "&amp;Milestones!$AC$111&amp;";  ","")&amp;IF(AND(EDATE($D49,Milestones!$AA$112)&lt;=AsOfDate,IF($R49=0,$X49,IF(AND($T49&lt;&gt;"",EDATE($D49,Milestones!$AA$112)&gt;=$T49),$W49,IF(AND($S49&lt;&gt;"",EDATE($D49,Milestones!$AA$112)&gt;=$S49),$V49,$U49)))=Milestones!$AB$112),UPPER(TEXT(EDATE($D49,Milestones!$AA$112),"dd mmm yy"))&amp;" "&amp;Milestones!$AB$112&amp;" "&amp;Milestones!$AC$112&amp;";  ","")&amp;IF(AND(EDATE($D49,Milestones!$AA$113)&lt;=AsOfDate,IF($R49=0,$X49,IF(AND($T49&lt;&gt;"",EDATE($D49,Milestones!$AA$113)&gt;=$T49),$W49,IF(AND($S49&lt;&gt;"",EDATE($D49,Milestones!$AA$113)&gt;=$S49),$V49,$U49)))=Milestones!$AB$113),UPPER(TEXT(EDATE($D49,Milestones!$AA$113),"dd mmm yy"))&amp;" "&amp;Milestones!$AB$113&amp;" "&amp;Milestones!$AC$113&amp;";  ","")&amp;IF(AND(EDATE($D49,Milestones!$AA$114)&lt;=AsOfDate,IF($R49=0,$X49,IF(AND($T49&lt;&gt;"",EDATE($D49,Milestones!$AA$114)&gt;=$T49),$W49,IF(AND($S49&lt;&gt;"",EDATE($D49,Milestones!$AA$114)&gt;=$S49),$V49,$U49)))=Milestones!$AB$114),UPPER(TEXT(EDATE($D49,Milestones!$AA$114),"dd mmm yy"))&amp;" "&amp;Milestones!$AB$114&amp;" "&amp;Milestones!$AC$114&amp;";  ","")&amp;IF(AND(EDATE($D49,Milestones!$AA$115)&lt;=AsOfDate,IF($R49=0,$X49,IF(AND($T49&lt;&gt;"",EDATE($D49,Milestones!$AA$115)&gt;=$T49),$W49,IF(AND($S49&lt;&gt;"",EDATE($D49,Milestones!$AA$115)&gt;=$S49),$V49,$U49)))=Milestones!$AB$115),UPPER(TEXT(EDATE($D49,Milestones!$AA$115),"dd mmm yy"))&amp;" "&amp;Milestones!$AB$115&amp;" "&amp;Milestones!$AC$115&amp;";  ","")&amp;IF(AND(EDATE($D49,Milestones!$AA$116)&lt;=AsOfDate,IF($R49=0,$X49,IF(AND($T49&lt;&gt;"",EDATE($D49,Milestones!$AA$116)&gt;=$T49),$W49,IF(AND($S49&lt;&gt;"",EDATE($D49,Milestones!$AA$116)&gt;=$S49),$V49,$U49)))=Milestones!$AB$116),UPPER(TEXT(EDATE($D49,Milestones!$AA$116),"dd mmm yy"))&amp;" "&amp;Milestones!$AB$116&amp;" "&amp;Milestones!$AC$116&amp;";  ","")&amp;IF(AND(EDATE($D49,Milestones!$AA$117)&lt;=AsOfDate,IF($R49=0,$X49,IF(AND($T49&lt;&gt;"",EDATE($D49,Milestones!$AA$117)&gt;=$T49),$W49,IF(AND($S49&lt;&gt;"",EDATE($D49,Milestones!$AA$117)&gt;=$S49),$V49,$U49)))=Milestones!$AB$117),UPPER(TEXT(EDATE($D49,Milestones!$AA$117),"dd mmm yy"))&amp;" "&amp;Milestones!$AB$117&amp;" "&amp;Milestones!$AC$117&amp;";  ","")&amp;IF(AND(EDATE($D49,Milestones!$AA$118)&lt;=AsOfDate,IF($R49=0,$X49,IF(AND($T49&lt;&gt;"",EDATE($D49,Milestones!$AA$118)&gt;=$T49),$W49,IF(AND($S49&lt;&gt;"",EDATE($D49,Milestones!$AA$118)&gt;=$S49),$V49,$U49)))=Milestones!$AB$118),UPPER(TEXT(EDATE($D49,Milestones!$AA$118),"dd mmm yy"))&amp;" "&amp;Milestones!$AB$118&amp;" "&amp;Milestones!$AC$118&amp;";  ","")&amp;IF(AND(EDATE($D49,Milestones!$AA$119)&lt;=AsOfDate,IF($R49=0,$X49,IF(AND($T49&lt;&gt;"",EDATE($D49,Milestones!$AA$119)&gt;=$T49),$W49,IF(AND($S49&lt;&gt;"",EDATE($D49,Milestones!$AA$119)&gt;=$S49),$V49,$U49)))=Milestones!$AB$119),UPPER(TEXT(EDATE($D49,Milestones!$AA$119),"dd mmm yy"))&amp;" "&amp;Milestones!$AB$119&amp;" "&amp;Milestones!$AC$119&amp;";  ",""))</f>
        <v/>
      </c>
      <c r="N49" s="0" t="str">
        <f aca="false">IF(OR($A49="",$D49=""),"",IF(AND(EDATE($D49,Milestones!$AA$120)&lt;=AsOfDate,IF($R49=0,$X49,IF(AND($T49&lt;&gt;"",EDATE($D49,Milestones!$AA$120)&gt;=$T49),$W49,IF(AND($S49&lt;&gt;"",EDATE($D49,Milestones!$AA$120)&gt;=$S49),$V49,$U49)))=Milestones!$AB$120),UPPER(TEXT(EDATE($D49,Milestones!$AA$120),"dd mmm yy"))&amp;" "&amp;Milestones!$AB$120&amp;" "&amp;Milestones!$AC$120&amp;";  ","")&amp;IF(AND(EDATE($D49,Milestones!$AA$121)&lt;=AsOfDate,IF($R49=0,$X49,IF(AND($T49&lt;&gt;"",EDATE($D49,Milestones!$AA$121)&gt;=$T49),$W49,IF(AND($S49&lt;&gt;"",EDATE($D49,Milestones!$AA$121)&gt;=$S49),$V49,$U49)))=Milestones!$AB$121),UPPER(TEXT(EDATE($D49,Milestones!$AA$121),"dd mmm yy"))&amp;" "&amp;Milestones!$AB$121&amp;" "&amp;Milestones!$AC$121&amp;";  ","")&amp;IF(AND(EDATE($D49,Milestones!$AA$122)&lt;=AsOfDate,IF($R49=0,$X49,IF(AND($T49&lt;&gt;"",EDATE($D49,Milestones!$AA$122)&gt;=$T49),$W49,IF(AND($S49&lt;&gt;"",EDATE($D49,Milestones!$AA$122)&gt;=$S49),$V49,$U49)))=Milestones!$AB$122),UPPER(TEXT(EDATE($D49,Milestones!$AA$122),"dd mmm yy"))&amp;" "&amp;Milestones!$AB$122&amp;" "&amp;Milestones!$AC$122&amp;";  ","")&amp;IF(AND(EDATE($D49,Milestones!$AA$123)&lt;=AsOfDate,IF($R49=0,$X49,IF(AND($T49&lt;&gt;"",EDATE($D49,Milestones!$AA$123)&gt;=$T49),$W49,IF(AND($S49&lt;&gt;"",EDATE($D49,Milestones!$AA$123)&gt;=$S49),$V49,$U49)))=Milestones!$AB$123),UPPER(TEXT(EDATE($D49,Milestones!$AA$123),"dd mmm yy"))&amp;" "&amp;Milestones!$AB$123&amp;" "&amp;Milestones!$AC$123&amp;";  ","")&amp;IF(AND(EDATE($D49,Milestones!$AA$124)&lt;=AsOfDate,IF($R49=0,$X49,IF(AND($T49&lt;&gt;"",EDATE($D49,Milestones!$AA$124)&gt;=$T49),$W49,IF(AND($S49&lt;&gt;"",EDATE($D49,Milestones!$AA$124)&gt;=$S49),$V49,$U49)))=Milestones!$AB$124),UPPER(TEXT(EDATE($D49,Milestones!$AA$124),"dd mmm yy"))&amp;" "&amp;Milestones!$AB$124&amp;" "&amp;Milestones!$AC$124&amp;";  ","")&amp;IF(AND(EDATE($D49,Milestones!$AA$125)&lt;=AsOfDate,IF($R49=0,$X49,IF(AND($T49&lt;&gt;"",EDATE($D49,Milestones!$AA$125)&gt;=$T49),$W49,IF(AND($S49&lt;&gt;"",EDATE($D49,Milestones!$AA$125)&gt;=$S49),$V49,$U49)))=Milestones!$AB$125),UPPER(TEXT(EDATE($D49,Milestones!$AA$125),"dd mmm yy"))&amp;" "&amp;Milestones!$AB$125&amp;" "&amp;Milestones!$AC$125&amp;";  ","")&amp;IF(AND(EDATE($D49,Milestones!$AA$126)&lt;=AsOfDate,IF($R49=0,$X49,IF(AND($T49&lt;&gt;"",EDATE($D49,Milestones!$AA$126)&gt;=$T49),$W49,IF(AND($S49&lt;&gt;"",EDATE($D49,Milestones!$AA$126)&gt;=$S49),$V49,$U49)))=Milestones!$AB$126),UPPER(TEXT(EDATE($D49,Milestones!$AA$126),"dd mmm yy"))&amp;" "&amp;Milestones!$AB$126&amp;" "&amp;Milestones!$AC$126&amp;";  ","")&amp;IF(AND(EDATE($D49,Milestones!$AA$127)&lt;=AsOfDate,IF($R49=0,$X49,IF(AND($T49&lt;&gt;"",EDATE($D49,Milestones!$AA$127)&gt;=$T49),$W49,IF(AND($S49&lt;&gt;"",EDATE($D49,Milestones!$AA$127)&gt;=$S49),$V49,$U49)))=Milestones!$AB$127),UPPER(TEXT(EDATE($D49,Milestones!$AA$127),"dd mmm yy"))&amp;" "&amp;Milestones!$AB$127&amp;" "&amp;Milestones!$AC$127&amp;";  ","")&amp;IF(AND(EDATE($D49,Milestones!$AA$128)&lt;=AsOfDate,IF($R49=0,$X49,IF(AND($T49&lt;&gt;"",EDATE($D49,Milestones!$AA$128)&gt;=$T49),$W49,IF(AND($S49&lt;&gt;"",EDATE($D49,Milestones!$AA$128)&gt;=$S49),$V49,$U49)))=Milestones!$AB$128),UPPER(TEXT(EDATE($D49,Milestones!$AA$128),"dd mmm yy"))&amp;" "&amp;Milestones!$AB$128&amp;" "&amp;Milestones!$AC$128&amp;";  ","")&amp;IF(AND(EDATE($D49,Milestones!$AA$129)&lt;=AsOfDate,IF($R49=0,$X49,IF(AND($T49&lt;&gt;"",EDATE($D49,Milestones!$AA$129)&gt;=$T49),$W49,IF(AND($S49&lt;&gt;"",EDATE($D49,Milestones!$AA$129)&gt;=$S49),$V49,$U49)))=Milestones!$AB$129),UPPER(TEXT(EDATE($D49,Milestones!$AA$129),"dd mmm yy"))&amp;" "&amp;Milestones!$AB$129&amp;" "&amp;Milestones!$AC$129&amp;";  ","")&amp;IF(AND(EDATE($D49,Milestones!$AA$130)&lt;=AsOfDate,IF($R49=0,$X49,IF(AND($T49&lt;&gt;"",EDATE($D49,Milestones!$AA$130)&gt;=$T49),$W49,IF(AND($S49&lt;&gt;"",EDATE($D49,Milestones!$AA$130)&gt;=$S49),$V49,$U49)))=Milestones!$AB$130),UPPER(TEXT(EDATE($D49,Milestones!$AA$130),"dd mmm yy"))&amp;" "&amp;Milestones!$AB$130&amp;" "&amp;Milestones!$AC$130&amp;";  ","")&amp;IF(AND(EDATE($D49,Milestones!$AA$131)&lt;=AsOfDate,IF($R49=0,$X49,IF(AND($T49&lt;&gt;"",EDATE($D49,Milestones!$AA$131)&gt;=$T49),$W49,IF(AND($S49&lt;&gt;"",EDATE($D49,Milestones!$AA$131)&gt;=$S49),$V49,$U49)))=Milestones!$AB$131),UPPER(TEXT(EDATE($D49,Milestones!$AA$131),"dd mmm yy"))&amp;" "&amp;Milestones!$AB$131&amp;" "&amp;Milestones!$AC$131&amp;";  ","")&amp;IF(AND(EDATE($D49,Milestones!$AA$132)&lt;=AsOfDate,IF($R49=0,$X49,IF(AND($T49&lt;&gt;"",EDATE($D49,Milestones!$AA$132)&gt;=$T49),$W49,IF(AND($S49&lt;&gt;"",EDATE($D49,Milestones!$AA$132)&gt;=$S49),$V49,$U49)))=Milestones!$AB$132),UPPER(TEXT(EDATE($D49,Milestones!$AA$132),"dd mmm yy"))&amp;" "&amp;Milestones!$AB$132&amp;" "&amp;Milestones!$AC$132&amp;";  ","")&amp;IF(AND(EDATE($D49,Milestones!$AA$133)&lt;=AsOfDate,IF($R49=0,$X49,IF(AND($T49&lt;&gt;"",EDATE($D49,Milestones!$AA$133)&gt;=$T49),$W49,IF(AND($S49&lt;&gt;"",EDATE($D49,Milestones!$AA$133)&gt;=$S49),$V49,$U49)))=Milestones!$AB$133),UPPER(TEXT(EDATE($D49,Milestones!$AA$133),"dd mmm yy"))&amp;" "&amp;Milestones!$AB$133&amp;" "&amp;Milestones!$AC$133&amp;";  ","")&amp;IF(AND(EDATE($D49,Milestones!$AA$134)&lt;=AsOfDate,IF($R49=0,$X49,IF(AND($T49&lt;&gt;"",EDATE($D49,Milestones!$AA$134)&gt;=$T49),$W49,IF(AND($S49&lt;&gt;"",EDATE($D49,Milestones!$AA$134)&gt;=$S49),$V49,$U49)))=Milestones!$AB$134),UPPER(TEXT(EDATE($D49,Milestones!$AA$134),"dd mmm yy"))&amp;" "&amp;Milestones!$AB$134&amp;" "&amp;Milestones!$AC$134&amp;";  ","")&amp;IF(AND(EDATE($D49,Milestones!$AA$135)&lt;=AsOfDate,IF($R49=0,$X49,IF(AND($T49&lt;&gt;"",EDATE($D49,Milestones!$AA$135)&gt;=$T49),$W49,IF(AND($S49&lt;&gt;"",EDATE($D49,Milestones!$AA$135)&gt;=$S49),$V49,$U49)))=Milestones!$AB$135),UPPER(TEXT(EDATE($D49,Milestones!$AA$135),"dd mmm yy"))&amp;" "&amp;Milestones!$AB$135&amp;" "&amp;Milestones!$AC$135&amp;";  ","")&amp;IF(AND(EDATE($D49,Milestones!$AA$136)&lt;=AsOfDate,IF($R49=0,$X49,IF(AND($T49&lt;&gt;"",EDATE($D49,Milestones!$AA$136)&gt;=$T49),$W49,IF(AND($S49&lt;&gt;"",EDATE($D49,Milestones!$AA$136)&gt;=$S49),$V49,$U49)))=Milestones!$AB$136),UPPER(TEXT(EDATE($D49,Milestones!$AA$136),"dd mmm yy"))&amp;" "&amp;Milestones!$AB$136&amp;" "&amp;Milestones!$AC$136&amp;";  ","")&amp;IF(AND(EDATE($D49,Milestones!$AA$137)&lt;=AsOfDate,IF($R49=0,$X49,IF(AND($T49&lt;&gt;"",EDATE($D49,Milestones!$AA$137)&gt;=$T49),$W49,IF(AND($S49&lt;&gt;"",EDATE($D49,Milestones!$AA$137)&gt;=$S49),$V49,$U49)))=Milestones!$AB$137),UPPER(TEXT(EDATE($D49,Milestones!$AA$137),"dd mmm yy"))&amp;" "&amp;Milestones!$AB$137&amp;" "&amp;Milestones!$AC$137&amp;";  ","")&amp;IF(AND(EDATE($D49,Milestones!$AA$138)&lt;=AsOfDate,IF($R49=0,$X49,IF(AND($T49&lt;&gt;"",EDATE($D49,Milestones!$AA$138)&gt;=$T49),$W49,IF(AND($S49&lt;&gt;"",EDATE($D49,Milestones!$AA$138)&gt;=$S49),$V49,$U49)))=Milestones!$AB$138),UPPER(TEXT(EDATE($D49,Milestones!$AA$138),"dd mmm yy"))&amp;" "&amp;Milestones!$AB$138&amp;" "&amp;Milestones!$AC$138&amp;";  ","")&amp;IF(AND(EDATE($D49,Milestones!$AA$139)&lt;=AsOfDate,IF($R49=0,$X49,IF(AND($T49&lt;&gt;"",EDATE($D49,Milestones!$AA$139)&gt;=$T49),$W49,IF(AND($S49&lt;&gt;"",EDATE($D49,Milestones!$AA$139)&gt;=$S49),$V49,$U49)))=Milestones!$AB$139),UPPER(TEXT(EDATE($D49,Milestones!$AA$139),"dd mmm yy"))&amp;" "&amp;Milestones!$AB$139&amp;" "&amp;Milestones!$AC$139&amp;";  ",""))</f>
        <v/>
      </c>
      <c r="O49" s="0" t="str">
        <f aca="false">IF(OR($A49="",$D49=""),"",IF(AND(EDATE($D49,Milestones!$AA$140)&lt;=AsOfDate,IF($R49=0,$X49,IF(AND($T49&lt;&gt;"",EDATE($D49,Milestones!$AA$140)&gt;=$T49),$W49,IF(AND($S49&lt;&gt;"",EDATE($D49,Milestones!$AA$140)&gt;=$S49),$V49,$U49)))=Milestones!$AB$140),UPPER(TEXT(EDATE($D49,Milestones!$AA$140),"dd mmm yy"))&amp;" "&amp;Milestones!$AB$140&amp;" "&amp;Milestones!$AC$140&amp;";  ","")&amp;IF(AND(EDATE($D49,Milestones!$AA$141)&lt;=AsOfDate,IF($R49=0,$X49,IF(AND($T49&lt;&gt;"",EDATE($D49,Milestones!$AA$141)&gt;=$T49),$W49,IF(AND($S49&lt;&gt;"",EDATE($D49,Milestones!$AA$141)&gt;=$S49),$V49,$U49)))=Milestones!$AB$141),UPPER(TEXT(EDATE($D49,Milestones!$AA$141),"dd mmm yy"))&amp;" "&amp;Milestones!$AB$141&amp;" "&amp;Milestones!$AC$141&amp;";  ","")&amp;IF(AND(EDATE($D49,Milestones!$AA$142)&lt;=AsOfDate,IF($R49=0,$X49,IF(AND($T49&lt;&gt;"",EDATE($D49,Milestones!$AA$142)&gt;=$T49),$W49,IF(AND($S49&lt;&gt;"",EDATE($D49,Milestones!$AA$142)&gt;=$S49),$V49,$U49)))=Milestones!$AB$142),UPPER(TEXT(EDATE($D49,Milestones!$AA$142),"dd mmm yy"))&amp;" "&amp;Milestones!$AB$142&amp;" "&amp;Milestones!$AC$142&amp;";  ","")&amp;IF(AND(EDATE($D49,Milestones!$AA$143)&lt;=AsOfDate,IF($R49=0,$X49,IF(AND($T49&lt;&gt;"",EDATE($D49,Milestones!$AA$143)&gt;=$T49),$W49,IF(AND($S49&lt;&gt;"",EDATE($D49,Milestones!$AA$143)&gt;=$S49),$V49,$U49)))=Milestones!$AB$143),UPPER(TEXT(EDATE($D49,Milestones!$AA$143),"dd mmm yy"))&amp;" "&amp;Milestones!$AB$143&amp;" "&amp;Milestones!$AC$143&amp;";  ","")&amp;IF(AND(EDATE($D49,Milestones!$AA$144)&lt;=AsOfDate,IF($R49=0,$X49,IF(AND($T49&lt;&gt;"",EDATE($D49,Milestones!$AA$144)&gt;=$T49),$W49,IF(AND($S49&lt;&gt;"",EDATE($D49,Milestones!$AA$144)&gt;=$S49),$V49,$U49)))=Milestones!$AB$144),UPPER(TEXT(EDATE($D49,Milestones!$AA$144),"dd mmm yy"))&amp;" "&amp;Milestones!$AB$144&amp;" "&amp;Milestones!$AC$144&amp;";  ","")&amp;IF(AND(EDATE($D49,Milestones!$AA$145)&lt;=AsOfDate,IF($R49=0,$X49,IF(AND($T49&lt;&gt;"",EDATE($D49,Milestones!$AA$145)&gt;=$T49),$W49,IF(AND($S49&lt;&gt;"",EDATE($D49,Milestones!$AA$145)&gt;=$S49),$V49,$U49)))=Milestones!$AB$145),UPPER(TEXT(EDATE($D49,Milestones!$AA$145),"dd mmm yy"))&amp;" "&amp;Milestones!$AB$145&amp;" "&amp;Milestones!$AC$145&amp;";  ","")&amp;IF(AND(EDATE($D49,Milestones!$AA$146)&lt;=AsOfDate,IF($R49=0,$X49,IF(AND($T49&lt;&gt;"",EDATE($D49,Milestones!$AA$146)&gt;=$T49),$W49,IF(AND($S49&lt;&gt;"",EDATE($D49,Milestones!$AA$146)&gt;=$S49),$V49,$U49)))=Milestones!$AB$146),UPPER(TEXT(EDATE($D49,Milestones!$AA$146),"dd mmm yy"))&amp;" "&amp;Milestones!$AB$146&amp;" "&amp;Milestones!$AC$146&amp;";  ","")&amp;IF(AND(EDATE($D49,Milestones!$AA$147)&lt;=AsOfDate,IF($R49=0,$X49,IF(AND($T49&lt;&gt;"",EDATE($D49,Milestones!$AA$147)&gt;=$T49),$W49,IF(AND($S49&lt;&gt;"",EDATE($D49,Milestones!$AA$147)&gt;=$S49),$V49,$U49)))=Milestones!$AB$147),UPPER(TEXT(EDATE($D49,Milestones!$AA$147),"dd mmm yy"))&amp;" "&amp;Milestones!$AB$147&amp;" "&amp;Milestones!$AC$147&amp;";  ","")&amp;IF(AND(EDATE($D49,Milestones!$AA$148)&lt;=AsOfDate,IF($R49=0,$X49,IF(AND($T49&lt;&gt;"",EDATE($D49,Milestones!$AA$148)&gt;=$T49),$W49,IF(AND($S49&lt;&gt;"",EDATE($D49,Milestones!$AA$148)&gt;=$S49),$V49,$U49)))=Milestones!$AB$148),UPPER(TEXT(EDATE($D49,Milestones!$AA$148),"dd mmm yy"))&amp;" "&amp;Milestones!$AB$148&amp;" "&amp;Milestones!$AC$148&amp;";  ","")&amp;IF(AND(EDATE($D49,Milestones!$AA$149)&lt;=AsOfDate,IF($R49=0,$X49,IF(AND($T49&lt;&gt;"",EDATE($D49,Milestones!$AA$149)&gt;=$T49),$W49,IF(AND($S49&lt;&gt;"",EDATE($D49,Milestones!$AA$149)&gt;=$S49),$V49,$U49)))=Milestones!$AB$149),UPPER(TEXT(EDATE($D49,Milestones!$AA$149),"dd mmm yy"))&amp;" "&amp;Milestones!$AB$149&amp;" "&amp;Milestones!$AC$149&amp;";  ","")&amp;IF(AND(EDATE($D49,Milestones!$AA$150)&lt;=AsOfDate,IF($R49=0,$X49,IF(AND($T49&lt;&gt;"",EDATE($D49,Milestones!$AA$150)&gt;=$T49),$W49,IF(AND($S49&lt;&gt;"",EDATE($D49,Milestones!$AA$150)&gt;=$S49),$V49,$U49)))=Milestones!$AB$150),UPPER(TEXT(EDATE($D49,Milestones!$AA$150),"dd mmm yy"))&amp;" "&amp;Milestones!$AB$150&amp;" "&amp;Milestones!$AC$150&amp;";  ","")&amp;IF(AND(EDATE($D49,Milestones!$AA$151)&lt;=AsOfDate,IF($R49=0,$X49,IF(AND($T49&lt;&gt;"",EDATE($D49,Milestones!$AA$151)&gt;=$T49),$W49,IF(AND($S49&lt;&gt;"",EDATE($D49,Milestones!$AA$151)&gt;=$S49),$V49,$U49)))=Milestones!$AB$151),UPPER(TEXT(EDATE($D49,Milestones!$AA$151),"dd mmm yy"))&amp;" "&amp;Milestones!$AB$151&amp;" "&amp;Milestones!$AC$151&amp;";  ","")&amp;IF(AND(EDATE($D49,Milestones!$AA$152)&lt;=AsOfDate,IF($R49=0,$X49,IF(AND($T49&lt;&gt;"",EDATE($D49,Milestones!$AA$152)&gt;=$T49),$W49,IF(AND($S49&lt;&gt;"",EDATE($D49,Milestones!$AA$152)&gt;=$S49),$V49,$U49)))=Milestones!$AB$152),UPPER(TEXT(EDATE($D49,Milestones!$AA$152),"dd mmm yy"))&amp;" "&amp;Milestones!$AB$152&amp;" "&amp;Milestones!$AC$152&amp;";  ","")&amp;IF(AND(EDATE($D49,Milestones!$AA$153)&lt;=AsOfDate,IF($R49=0,$X49,IF(AND($T49&lt;&gt;"",EDATE($D49,Milestones!$AA$153)&gt;=$T49),$W49,IF(AND($S49&lt;&gt;"",EDATE($D49,Milestones!$AA$153)&gt;=$S49),$V49,$U49)))=Milestones!$AB$153),UPPER(TEXT(EDATE($D49,Milestones!$AA$153),"dd mmm yy"))&amp;" "&amp;Milestones!$AB$153&amp;" "&amp;Milestones!$AC$153&amp;";  ","")&amp;IF(AND(EDATE($D49,Milestones!$AA$154)&lt;=AsOfDate,IF($R49=0,$X49,IF(AND($T49&lt;&gt;"",EDATE($D49,Milestones!$AA$154)&gt;=$T49),$W49,IF(AND($S49&lt;&gt;"",EDATE($D49,Milestones!$AA$154)&gt;=$S49),$V49,$U49)))=Milestones!$AB$154),UPPER(TEXT(EDATE($D49,Milestones!$AA$154),"dd mmm yy"))&amp;" "&amp;Milestones!$AB$154&amp;" "&amp;Milestones!$AC$154&amp;";  ","")&amp;IF(AND(EDATE($D49,Milestones!$AA$155)&lt;=AsOfDate,IF($R49=0,$X49,IF(AND($T49&lt;&gt;"",EDATE($D49,Milestones!$AA$155)&gt;=$T49),$W49,IF(AND($S49&lt;&gt;"",EDATE($D49,Milestones!$AA$155)&gt;=$S49),$V49,$U49)))=Milestones!$AB$155),UPPER(TEXT(EDATE($D49,Milestones!$AA$155),"dd mmm yy"))&amp;" "&amp;Milestones!$AB$155&amp;" "&amp;Milestones!$AC$155&amp;";  ","")&amp;IF(AND(EDATE($D49,Milestones!$AA$156)&lt;=AsOfDate,IF($R49=0,$X49,IF(AND($T49&lt;&gt;"",EDATE($D49,Milestones!$AA$156)&gt;=$T49),$W49,IF(AND($S49&lt;&gt;"",EDATE($D49,Milestones!$AA$156)&gt;=$S49),$V49,$U49)))=Milestones!$AB$156),UPPER(TEXT(EDATE($D49,Milestones!$AA$156),"dd mmm yy"))&amp;" "&amp;Milestones!$AB$156&amp;" "&amp;Milestones!$AC$156&amp;";  ","")&amp;IF(AND(EDATE($D49,Milestones!$AA$157)&lt;=AsOfDate,IF($R49=0,$X49,IF(AND($T49&lt;&gt;"",EDATE($D49,Milestones!$AA$157)&gt;=$T49),$W49,IF(AND($S49&lt;&gt;"",EDATE($D49,Milestones!$AA$157)&gt;=$S49),$V49,$U49)))=Milestones!$AB$157),UPPER(TEXT(EDATE($D49,Milestones!$AA$157),"dd mmm yy"))&amp;" "&amp;Milestones!$AB$157&amp;" "&amp;Milestones!$AC$157&amp;";  ","")&amp;IF(AND(EDATE($D49,Milestones!$AA$158)&lt;=AsOfDate,IF($R49=0,$X49,IF(AND($T49&lt;&gt;"",EDATE($D49,Milestones!$AA$158)&gt;=$T49),$W49,IF(AND($S49&lt;&gt;"",EDATE($D49,Milestones!$AA$158)&gt;=$S49),$V49,$U49)))=Milestones!$AB$158),UPPER(TEXT(EDATE($D49,Milestones!$AA$158),"dd mmm yy"))&amp;" "&amp;Milestones!$AB$158&amp;" "&amp;Milestones!$AC$158&amp;";  ","")&amp;IF(AND(EDATE($D49,Milestones!$AA$159)&lt;=AsOfDate,IF($R49=0,$X49,IF(AND($T49&lt;&gt;"",EDATE($D49,Milestones!$AA$159)&gt;=$T49),$W49,IF(AND($S49&lt;&gt;"",EDATE($D49,Milestones!$AA$159)&gt;=$S49),$V49,$U49)))=Milestones!$AB$159),UPPER(TEXT(EDATE($D49,Milestones!$AA$159),"dd mmm yy"))&amp;" "&amp;Milestones!$AB$159&amp;" "&amp;Milestones!$AC$159&amp;";  ",""))</f>
        <v/>
      </c>
      <c r="P49" s="0" t="str">
        <f aca="false">IF(OR($A49="",$D49=""),"",IF(AND(EDATE($D49,Milestones!$AA$160)&lt;=AsOfDate,IF($R49=0,$X49,IF(AND($T49&lt;&gt;"",EDATE($D49,Milestones!$AA$160)&gt;=$T49),$W49,IF(AND($S49&lt;&gt;"",EDATE($D49,Milestones!$AA$160)&gt;=$S49),$V49,$U49)))=Milestones!$AB$160),UPPER(TEXT(EDATE($D49,Milestones!$AA$160),"dd mmm yy"))&amp;" "&amp;Milestones!$AB$160&amp;" "&amp;Milestones!$AC$160&amp;";  ","")&amp;IF(AND(EDATE($D49,Milestones!$AA$161)&lt;=AsOfDate,IF($R49=0,$X49,IF(AND($T49&lt;&gt;"",EDATE($D49,Milestones!$AA$161)&gt;=$T49),$W49,IF(AND($S49&lt;&gt;"",EDATE($D49,Milestones!$AA$161)&gt;=$S49),$V49,$U49)))=Milestones!$AB$161),UPPER(TEXT(EDATE($D49,Milestones!$AA$161),"dd mmm yy"))&amp;" "&amp;Milestones!$AB$161&amp;" "&amp;Milestones!$AC$161&amp;";  ","")&amp;IF(AND(EDATE($D49,Milestones!$AA$162)&lt;=AsOfDate,IF($R49=0,$X49,IF(AND($T49&lt;&gt;"",EDATE($D49,Milestones!$AA$162)&gt;=$T49),$W49,IF(AND($S49&lt;&gt;"",EDATE($D49,Milestones!$AA$162)&gt;=$S49),$V49,$U49)))=Milestones!$AB$162),UPPER(TEXT(EDATE($D49,Milestones!$AA$162),"dd mmm yy"))&amp;" "&amp;Milestones!$AB$162&amp;" "&amp;Milestones!$AC$162&amp;";  ","")&amp;IF(AND(EDATE($D49,Milestones!$AA$163)&lt;=AsOfDate,IF($R49=0,$X49,IF(AND($T49&lt;&gt;"",EDATE($D49,Milestones!$AA$163)&gt;=$T49),$W49,IF(AND($S49&lt;&gt;"",EDATE($D49,Milestones!$AA$163)&gt;=$S49),$V49,$U49)))=Milestones!$AB$163),UPPER(TEXT(EDATE($D49,Milestones!$AA$163),"dd mmm yy"))&amp;" "&amp;Milestones!$AB$163&amp;" "&amp;Milestones!$AC$163&amp;";  ","")&amp;IF(AND(EDATE($D49,Milestones!$AA$164)&lt;=AsOfDate,IF($R49=0,$X49,IF(AND($T49&lt;&gt;"",EDATE($D49,Milestones!$AA$164)&gt;=$T49),$W49,IF(AND($S49&lt;&gt;"",EDATE($D49,Milestones!$AA$164)&gt;=$S49),$V49,$U49)))=Milestones!$AB$164),UPPER(TEXT(EDATE($D49,Milestones!$AA$164),"dd mmm yy"))&amp;" "&amp;Milestones!$AB$164&amp;" "&amp;Milestones!$AC$164&amp;";  ","")&amp;IF(AND(EDATE($D49,Milestones!$AA$165)&lt;=AsOfDate,IF($R49=0,$X49,IF(AND($T49&lt;&gt;"",EDATE($D49,Milestones!$AA$165)&gt;=$T49),$W49,IF(AND($S49&lt;&gt;"",EDATE($D49,Milestones!$AA$165)&gt;=$S49),$V49,$U49)))=Milestones!$AB$165),UPPER(TEXT(EDATE($D49,Milestones!$AA$165),"dd mmm yy"))&amp;" "&amp;Milestones!$AB$165&amp;" "&amp;Milestones!$AC$165&amp;";  ","")&amp;IF(AND(EDATE($D49,Milestones!$AA$166)&lt;=AsOfDate,IF($R49=0,$X49,IF(AND($T49&lt;&gt;"",EDATE($D49,Milestones!$AA$166)&gt;=$T49),$W49,IF(AND($S49&lt;&gt;"",EDATE($D49,Milestones!$AA$166)&gt;=$S49),$V49,$U49)))=Milestones!$AB$166),UPPER(TEXT(EDATE($D49,Milestones!$AA$166),"dd mmm yy"))&amp;" "&amp;Milestones!$AB$166&amp;" "&amp;Milestones!$AC$166&amp;";  ","")&amp;IF(AND(EDATE($D49,Milestones!$AA$167)&lt;=AsOfDate,IF($R49=0,$X49,IF(AND($T49&lt;&gt;"",EDATE($D49,Milestones!$AA$167)&gt;=$T49),$W49,IF(AND($S49&lt;&gt;"",EDATE($D49,Milestones!$AA$167)&gt;=$S49),$V49,$U49)))=Milestones!$AB$167),UPPER(TEXT(EDATE($D49,Milestones!$AA$167),"dd mmm yy"))&amp;" "&amp;Milestones!$AB$167&amp;" "&amp;Milestones!$AC$167&amp;";  ","")&amp;IF(AND(EDATE($D49,Milestones!$AA$168)&lt;=AsOfDate,IF($R49=0,$X49,IF(AND($T49&lt;&gt;"",EDATE($D49,Milestones!$AA$168)&gt;=$T49),$W49,IF(AND($S49&lt;&gt;"",EDATE($D49,Milestones!$AA$168)&gt;=$S49),$V49,$U49)))=Milestones!$AB$168),UPPER(TEXT(EDATE($D49,Milestones!$AA$168),"dd mmm yy"))&amp;" "&amp;Milestones!$AB$168&amp;" "&amp;Milestones!$AC$168&amp;";  ","")&amp;IF(AND(EDATE($D49,Milestones!$AA$169)&lt;=AsOfDate,IF($R49=0,$X49,IF(AND($T49&lt;&gt;"",EDATE($D49,Milestones!$AA$169)&gt;=$T49),$W49,IF(AND($S49&lt;&gt;"",EDATE($D49,Milestones!$AA$169)&gt;=$S49),$V49,$U49)))=Milestones!$AB$169),UPPER(TEXT(EDATE($D49,Milestones!$AA$169),"dd mmm yy"))&amp;" "&amp;Milestones!$AB$169&amp;" "&amp;Milestones!$AC$169&amp;";  ","")&amp;IF(AND(EDATE($D49,Milestones!$AA$170)&lt;=AsOfDate,IF($R49=0,$X49,IF(AND($T49&lt;&gt;"",EDATE($D49,Milestones!$AA$170)&gt;=$T49),$W49,IF(AND($S49&lt;&gt;"",EDATE($D49,Milestones!$AA$170)&gt;=$S49),$V49,$U49)))=Milestones!$AB$170),UPPER(TEXT(EDATE($D49,Milestones!$AA$170),"dd mmm yy"))&amp;" "&amp;Milestones!$AB$170&amp;" "&amp;Milestones!$AC$170&amp;";  ","")&amp;IF(AND(EDATE($D49,Milestones!$AA$171)&lt;=AsOfDate,IF($R49=0,$X49,IF(AND($T49&lt;&gt;"",EDATE($D49,Milestones!$AA$171)&gt;=$T49),$W49,IF(AND($S49&lt;&gt;"",EDATE($D49,Milestones!$AA$171)&gt;=$S49),$V49,$U49)))=Milestones!$AB$171),UPPER(TEXT(EDATE($D49,Milestones!$AA$171),"dd mmm yy"))&amp;" "&amp;Milestones!$AB$171&amp;" "&amp;Milestones!$AC$171&amp;";  ","")&amp;IF(AND(EDATE($D49,Milestones!$AA$172)&lt;=AsOfDate,IF($R49=0,$X49,IF(AND($T49&lt;&gt;"",EDATE($D49,Milestones!$AA$172)&gt;=$T49),$W49,IF(AND($S49&lt;&gt;"",EDATE($D49,Milestones!$AA$172)&gt;=$S49),$V49,$U49)))=Milestones!$AB$172),UPPER(TEXT(EDATE($D49,Milestones!$AA$172),"dd mmm yy"))&amp;" "&amp;Milestones!$AB$172&amp;" "&amp;Milestones!$AC$172&amp;";  ","")&amp;IF(AND(EDATE($D49,Milestones!$AA$173)&lt;=AsOfDate,IF($R49=0,$X49,IF(AND($T49&lt;&gt;"",EDATE($D49,Milestones!$AA$173)&gt;=$T49),$W49,IF(AND($S49&lt;&gt;"",EDATE($D49,Milestones!$AA$173)&gt;=$S49),$V49,$U49)))=Milestones!$AB$173),UPPER(TEXT(EDATE($D49,Milestones!$AA$173),"dd mmm yy"))&amp;" "&amp;Milestones!$AB$173&amp;" "&amp;Milestones!$AC$173&amp;";  ","")&amp;IF(AND(EDATE($D49,Milestones!$AA$174)&lt;=AsOfDate,IF($R49=0,$X49,IF(AND($T49&lt;&gt;"",EDATE($D49,Milestones!$AA$174)&gt;=$T49),$W49,IF(AND($S49&lt;&gt;"",EDATE($D49,Milestones!$AA$174)&gt;=$S49),$V49,$U49)))=Milestones!$AB$174),UPPER(TEXT(EDATE($D49,Milestones!$AA$174),"dd mmm yy"))&amp;" "&amp;Milestones!$AB$174&amp;" "&amp;Milestones!$AC$174&amp;";  ","")&amp;IF(AND(EDATE($D49,Milestones!$AA$175)&lt;=AsOfDate,IF($R49=0,$X49,IF(AND($T49&lt;&gt;"",EDATE($D49,Milestones!$AA$175)&gt;=$T49),$W49,IF(AND($S49&lt;&gt;"",EDATE($D49,Milestones!$AA$175)&gt;=$S49),$V49,$U49)))=Milestones!$AB$175),UPPER(TEXT(EDATE($D49,Milestones!$AA$175),"dd mmm yy"))&amp;" "&amp;Milestones!$AB$175&amp;" "&amp;Milestones!$AC$175&amp;";  ","")&amp;IF(AND(EDATE($D49,Milestones!$AA$176)&lt;=AsOfDate,IF($R49=0,$X49,IF(AND($T49&lt;&gt;"",EDATE($D49,Milestones!$AA$176)&gt;=$T49),$W49,IF(AND($S49&lt;&gt;"",EDATE($D49,Milestones!$AA$176)&gt;=$S49),$V49,$U49)))=Milestones!$AB$176),UPPER(TEXT(EDATE($D49,Milestones!$AA$176),"dd mmm yy"))&amp;" "&amp;Milestones!$AB$176&amp;" "&amp;Milestones!$AC$176&amp;";  ","")&amp;IF(AND(EDATE($D49,Milestones!$AA$177)&lt;=AsOfDate,IF($R49=0,$X49,IF(AND($T49&lt;&gt;"",EDATE($D49,Milestones!$AA$177)&gt;=$T49),$W49,IF(AND($S49&lt;&gt;"",EDATE($D49,Milestones!$AA$177)&gt;=$S49),$V49,$U49)))=Milestones!$AB$177),UPPER(TEXT(EDATE($D49,Milestones!$AA$177),"dd mmm yy"))&amp;" "&amp;Milestones!$AB$177&amp;" "&amp;Milestones!$AC$177&amp;";  ","")&amp;IF(AND(EDATE($D49,Milestones!$AA$178)&lt;=AsOfDate,IF($R49=0,$X49,IF(AND($T49&lt;&gt;"",EDATE($D49,Milestones!$AA$178)&gt;=$T49),$W49,IF(AND($S49&lt;&gt;"",EDATE($D49,Milestones!$AA$178)&gt;=$S49),$V49,$U49)))=Milestones!$AB$178),UPPER(TEXT(EDATE($D49,Milestones!$AA$178),"dd mmm yy"))&amp;" "&amp;Milestones!$AB$178&amp;" "&amp;Milestones!$AC$178&amp;";  ","")&amp;IF(AND(EDATE($D49,Milestones!$AA$179)&lt;=AsOfDate,IF($R49=0,$X49,IF(AND($T49&lt;&gt;"",EDATE($D49,Milestones!$AA$179)&gt;=$T49),$W49,IF(AND($S49&lt;&gt;"",EDATE($D49,Milestones!$AA$179)&gt;=$S49),$V49,$U49)))=Milestones!$AB$179),UPPER(TEXT(EDATE($D49,Milestones!$AA$179),"dd mmm yy"))&amp;" "&amp;Milestones!$AB$179&amp;" "&amp;Milestones!$AC$179&amp;";  ",""))</f>
        <v/>
      </c>
      <c r="Q49" s="0" t="str">
        <f aca="false">IF(OR($A49="",$D49=""),"",IF(AND(EDATE($D49,Milestones!$AA$180)&lt;=AsOfDate,IF($R49=0,$X49,IF(AND($T49&lt;&gt;"",EDATE($D49,Milestones!$AA$180)&gt;=$T49),$W49,IF(AND($S49&lt;&gt;"",EDATE($D49,Milestones!$AA$180)&gt;=$S49),$V49,$U49)))=Milestones!$AB$180),UPPER(TEXT(EDATE($D49,Milestones!$AA$180),"dd mmm yy"))&amp;" "&amp;Milestones!$AB$180&amp;" "&amp;Milestones!$AC$180&amp;";  ","")&amp;IF(AND(EDATE($D49,Milestones!$AA$181)&lt;=AsOfDate,IF($R49=0,$X49,IF(AND($T49&lt;&gt;"",EDATE($D49,Milestones!$AA$181)&gt;=$T49),$W49,IF(AND($S49&lt;&gt;"",EDATE($D49,Milestones!$AA$181)&gt;=$S49),$V49,$U49)))=Milestones!$AB$181),UPPER(TEXT(EDATE($D49,Milestones!$AA$181),"dd mmm yy"))&amp;" "&amp;Milestones!$AB$181&amp;" "&amp;Milestones!$AC$181&amp;";  ","")&amp;IF(AND(EDATE($D49,Milestones!$AA$182)&lt;=AsOfDate,IF($R49=0,$X49,IF(AND($T49&lt;&gt;"",EDATE($D49,Milestones!$AA$182)&gt;=$T49),$W49,IF(AND($S49&lt;&gt;"",EDATE($D49,Milestones!$AA$182)&gt;=$S49),$V49,$U49)))=Milestones!$AB$182),UPPER(TEXT(EDATE($D49,Milestones!$AA$182),"dd mmm yy"))&amp;" "&amp;Milestones!$AB$182&amp;" "&amp;Milestones!$AC$182&amp;";  ","")&amp;IF(AND(EDATE($D49,Milestones!$AA$183)&lt;=AsOfDate,IF($R49=0,$X49,IF(AND($T49&lt;&gt;"",EDATE($D49,Milestones!$AA$183)&gt;=$T49),$W49,IF(AND($S49&lt;&gt;"",EDATE($D49,Milestones!$AA$183)&gt;=$S49),$V49,$U49)))=Milestones!$AB$183),UPPER(TEXT(EDATE($D49,Milestones!$AA$183),"dd mmm yy"))&amp;" "&amp;Milestones!$AB$183&amp;" "&amp;Milestones!$AC$183&amp;";  ","")&amp;IF(AND(EDATE($D49,Milestones!$AA$184)&lt;=AsOfDate,IF($R49=0,$X49,IF(AND($T49&lt;&gt;"",EDATE($D49,Milestones!$AA$184)&gt;=$T49),$W49,IF(AND($S49&lt;&gt;"",EDATE($D49,Milestones!$AA$184)&gt;=$S49),$V49,$U49)))=Milestones!$AB$184),UPPER(TEXT(EDATE($D49,Milestones!$AA$184),"dd mmm yy"))&amp;" "&amp;Milestones!$AB$184&amp;" "&amp;Milestones!$AC$184&amp;";  ","")&amp;IF(AND(EDATE($D49,Milestones!$AA$185)&lt;=AsOfDate,IF($R49=0,$X49,IF(AND($T49&lt;&gt;"",EDATE($D49,Milestones!$AA$185)&gt;=$T49),$W49,IF(AND($S49&lt;&gt;"",EDATE($D49,Milestones!$AA$185)&gt;=$S49),$V49,$U49)))=Milestones!$AB$185),UPPER(TEXT(EDATE($D49,Milestones!$AA$185),"dd mmm yy"))&amp;" "&amp;Milestones!$AB$185&amp;" "&amp;Milestones!$AC$185&amp;";  ","")&amp;IF(AND(EDATE($D49,Milestones!$AA$186)&lt;=AsOfDate,IF($R49=0,$X49,IF(AND($T49&lt;&gt;"",EDATE($D49,Milestones!$AA$186)&gt;=$T49),$W49,IF(AND($S49&lt;&gt;"",EDATE($D49,Milestones!$AA$186)&gt;=$S49),$V49,$U49)))=Milestones!$AB$186),UPPER(TEXT(EDATE($D49,Milestones!$AA$186),"dd mmm yy"))&amp;" "&amp;Milestones!$AB$186&amp;" "&amp;Milestones!$AC$186&amp;";  ","")&amp;IF(AND(EDATE($D49,Milestones!$AA$187)&lt;=AsOfDate,IF($R49=0,$X49,IF(AND($T49&lt;&gt;"",EDATE($D49,Milestones!$AA$187)&gt;=$T49),$W49,IF(AND($S49&lt;&gt;"",EDATE($D49,Milestones!$AA$187)&gt;=$S49),$V49,$U49)))=Milestones!$AB$187),UPPER(TEXT(EDATE($D49,Milestones!$AA$187),"dd mmm yy"))&amp;" "&amp;Milestones!$AB$187&amp;" "&amp;Milestones!$AC$187&amp;";  ","")&amp;IF(AND(EDATE($D49,Milestones!$AA$188)&lt;=AsOfDate,IF($R49=0,$X49,IF(AND($T49&lt;&gt;"",EDATE($D49,Milestones!$AA$188)&gt;=$T49),$W49,IF(AND($S49&lt;&gt;"",EDATE($D49,Milestones!$AA$188)&gt;=$S49),$V49,$U49)))=Milestones!$AB$188),UPPER(TEXT(EDATE($D49,Milestones!$AA$188),"dd mmm yy"))&amp;" "&amp;Milestones!$AB$188&amp;" "&amp;Milestones!$AC$188&amp;";  ","")&amp;IF(AND(EDATE($D49,Milestones!$AA$189)&lt;=AsOfDate,IF($R49=0,$X49,IF(AND($T49&lt;&gt;"",EDATE($D49,Milestones!$AA$189)&gt;=$T49),$W49,IF(AND($S49&lt;&gt;"",EDATE($D49,Milestones!$AA$189)&gt;=$S49),$V49,$U49)))=Milestones!$AB$189),UPPER(TEXT(EDATE($D49,Milestones!$AA$189),"dd mmm yy"))&amp;" "&amp;Milestones!$AB$189&amp;" "&amp;Milestones!$AC$189&amp;";  ","")&amp;IF(AND(EDATE($D49,Milestones!$AA$190)&lt;=AsOfDate,IF($R49=0,$X49,IF(AND($T49&lt;&gt;"",EDATE($D49,Milestones!$AA$190)&gt;=$T49),$W49,IF(AND($S49&lt;&gt;"",EDATE($D49,Milestones!$AA$190)&gt;=$S49),$V49,$U49)))=Milestones!$AB$190),UPPER(TEXT(EDATE($D49,Milestones!$AA$190),"dd mmm yy"))&amp;" "&amp;Milestones!$AB$190&amp;" "&amp;Milestones!$AC$190&amp;";  ","")&amp;IF(AND(EDATE($D49,Milestones!$AA$191)&lt;=AsOfDate,IF($R49=0,$X49,IF(AND($T49&lt;&gt;"",EDATE($D49,Milestones!$AA$191)&gt;=$T49),$W49,IF(AND($S49&lt;&gt;"",EDATE($D49,Milestones!$AA$191)&gt;=$S49),$V49,$U49)))=Milestones!$AB$191),UPPER(TEXT(EDATE($D49,Milestones!$AA$191),"dd mmm yy"))&amp;" "&amp;Milestones!$AB$191&amp;" "&amp;Milestones!$AC$191&amp;";  ","")&amp;IF(AND(EDATE($D49,Milestones!$AA$192)&lt;=AsOfDate,IF($R49=0,$X49,IF(AND($T49&lt;&gt;"",EDATE($D49,Milestones!$AA$192)&gt;=$T49),$W49,IF(AND($S49&lt;&gt;"",EDATE($D49,Milestones!$AA$192)&gt;=$S49),$V49,$U49)))=Milestones!$AB$192),UPPER(TEXT(EDATE($D49,Milestones!$AA$192),"dd mmm yy"))&amp;" "&amp;Milestones!$AB$192&amp;" "&amp;Milestones!$AC$192&amp;";  ","")&amp;IF(AND(EDATE($D49,Milestones!$AA$193)&lt;=AsOfDate,IF($R49=0,$X49,IF(AND($T49&lt;&gt;"",EDATE($D49,Milestones!$AA$193)&gt;=$T49),$W49,IF(AND($S49&lt;&gt;"",EDATE($D49,Milestones!$AA$193)&gt;=$S49),$V49,$U49)))=Milestones!$AB$193),UPPER(TEXT(EDATE($D49,Milestones!$AA$193),"dd mmm yy"))&amp;" "&amp;Milestones!$AB$193&amp;" "&amp;Milestones!$AC$193&amp;";  ","")&amp;IF(AND(EDATE($D49,Milestones!$AA$194)&lt;=AsOfDate,IF($R49=0,$X49,IF(AND($T49&lt;&gt;"",EDATE($D49,Milestones!$AA$194)&gt;=$T49),$W49,IF(AND($S49&lt;&gt;"",EDATE($D49,Milestones!$AA$194)&gt;=$S49),$V49,$U49)))=Milestones!$AB$194),UPPER(TEXT(EDATE($D49,Milestones!$AA$194),"dd mmm yy"))&amp;" "&amp;Milestones!$AB$194&amp;" "&amp;Milestones!$AC$194&amp;";  ","")&amp;IF(AND(EDATE($D49,Milestones!$AA$195)&lt;=AsOfDate,IF($R49=0,$X49,IF(AND($T49&lt;&gt;"",EDATE($D49,Milestones!$AA$195)&gt;=$T49),$W49,IF(AND($S49&lt;&gt;"",EDATE($D49,Milestones!$AA$195)&gt;=$S49),$V49,$U49)))=Milestones!$AB$195),UPPER(TEXT(EDATE($D49,Milestones!$AA$195),"dd mmm yy"))&amp;" "&amp;Milestones!$AB$195&amp;" "&amp;Milestones!$AC$195&amp;";  ","")&amp;IF(AND(EDATE($D49,Milestones!$AA$196)&lt;=AsOfDate,IF($R49=0,$X49,IF(AND($T49&lt;&gt;"",EDATE($D49,Milestones!$AA$196)&gt;=$T49),$W49,IF(AND($S49&lt;&gt;"",EDATE($D49,Milestones!$AA$196)&gt;=$S49),$V49,$U49)))=Milestones!$AB$196),UPPER(TEXT(EDATE($D49,Milestones!$AA$196),"dd mmm yy"))&amp;" "&amp;Milestones!$AB$196&amp;" "&amp;Milestones!$AC$196&amp;";  ","")&amp;IF(AND(EDATE($D49,Milestones!$AA$197)&lt;=AsOfDate,IF($R49=0,$X49,IF(AND($T49&lt;&gt;"",EDATE($D49,Milestones!$AA$197)&gt;=$T49),$W49,IF(AND($S49&lt;&gt;"",EDATE($D49,Milestones!$AA$197)&gt;=$S49),$V49,$U49)))=Milestones!$AB$197),UPPER(TEXT(EDATE($D49,Milestones!$AA$197),"dd mmm yy"))&amp;" "&amp;Milestones!$AB$197&amp;" "&amp;Milestones!$AC$197&amp;";  ","")&amp;IF(AND(EDATE($D49,Milestones!$AA$198)&lt;=AsOfDate,IF($R49=0,$X49,IF(AND($T49&lt;&gt;"",EDATE($D49,Milestones!$AA$198)&gt;=$T49),$W49,IF(AND($S49&lt;&gt;"",EDATE($D49,Milestones!$AA$198)&gt;=$S49),$V49,$U49)))=Milestones!$AB$198),UPPER(TEXT(EDATE($D49,Milestones!$AA$198),"dd mmm yy"))&amp;" "&amp;Milestones!$AB$198&amp;" "&amp;Milestones!$AC$198&amp;";  ","")&amp;IF(AND(EDATE($D49,Milestones!$AA$199)&lt;=AsOfDate,IF($R49=0,$X49,IF(AND($T49&lt;&gt;"",EDATE($D49,Milestones!$AA$199)&gt;=$T49),$W49,IF(AND($S49&lt;&gt;"",EDATE($D49,Milestones!$AA$199)&gt;=$S49),$V49,$U49)))=Milestones!$AB$199),UPPER(TEXT(EDATE($D49,Milestones!$AA$199),"dd mmm yy"))&amp;" "&amp;Milestones!$AB$199&amp;" "&amp;Milestones!$AC$199&amp;";  ",""))</f>
        <v/>
      </c>
      <c r="R49" s="33" t="n">
        <f aca="false">IF(Staff!$A49="","",Staff!$AI49)</f>
        <v>1</v>
      </c>
      <c r="S49" s="0" t="str">
        <f aca="false">IF(Staff!$A49="","",Staff!$AK49)</f>
        <v/>
      </c>
      <c r="T49" s="0" t="str">
        <f aca="false">IF(Staff!$A49="","",Staff!$AL49)</f>
        <v/>
      </c>
      <c r="U49" s="0" t="str">
        <f aca="false">IF(Staff!$A49="","",Staff!$AP49)</f>
        <v>None</v>
      </c>
      <c r="V49" s="0" t="str">
        <f aca="false">IF(Staff!$A49="","",Staff!$AQ49)</f>
        <v/>
      </c>
      <c r="W49" s="0" t="str">
        <f aca="false">IF(Staff!$A49="","",Staff!$AR49)</f>
        <v/>
      </c>
      <c r="X49" s="0" t="str">
        <f aca="false">IF(Staff!$A49="","",Staff!$AS49)</f>
        <v>None</v>
      </c>
    </row>
    <row r="50" customFormat="false" ht="15" hidden="false" customHeight="false" outlineLevel="0" collapsed="false">
      <c r="A50" s="19" t="str">
        <f aca="false">IF(Staff!$A50="","",Staff!$A50)</f>
        <v>Kyle</v>
      </c>
      <c r="B50" s="19" t="str">
        <f aca="false">IF(Staff!$A50="","",Staff!$B50)</f>
        <v>Krishnappa</v>
      </c>
      <c r="C50" s="19" t="str">
        <f aca="false">IF(Staff!$A50="","",Staff!$C50)</f>
        <v>Full-Time</v>
      </c>
      <c r="D50" s="17" t="n">
        <f aca="false">IF(Staff!$A50="","",Staff!$AH50)</f>
        <v>44670</v>
      </c>
      <c r="E50" s="20" t="n">
        <f aca="false">IF(Staff!$A50="","",Staff!$O50)</f>
        <v>5</v>
      </c>
      <c r="F50" s="19" t="n">
        <f aca="false">IF(E50="","",E50*HoursPerDay)</f>
        <v>40</v>
      </c>
      <c r="G50" s="20" t="n">
        <f aca="false">IF(Staff!$A50="","",Staff!$AE50)</f>
        <v>0</v>
      </c>
      <c r="H50" s="32" t="str">
        <f aca="false">IF($A50="","",I50&amp;J50&amp;K50&amp;L50&amp;M50&amp;N50&amp;O50&amp;P50&amp;Q50)</f>
        <v>19 APR 25 FT 1;  19 AUG 25 FT 1;  19 DEC 25 FT 1;  19 APR 26 FT 1;  19 AUG 26 FT 1;  </v>
      </c>
      <c r="I50" s="0" t="str">
        <f aca="false">IF(OR($A50="",$D50=""),"",IF(AND(EDATE($D50,Milestones!$AA$20)&lt;=AsOfDate,IF($R50=0,$X50,IF(AND($T50&lt;&gt;"",EDATE($D50,Milestones!$AA$20)&gt;=$T50),$W50,IF(AND($S50&lt;&gt;"",EDATE($D50,Milestones!$AA$20)&gt;=$S50),$V50,$U50)))=Milestones!$AB$20),UPPER(TEXT(EDATE($D50,Milestones!$AA$20),"dd mmm yy"))&amp;" "&amp;Milestones!$AB$20&amp;" "&amp;Milestones!$AC$20&amp;";  ","")&amp;IF(AND(EDATE($D50,Milestones!$AA$21)&lt;=AsOfDate,IF($R50=0,$X50,IF(AND($T50&lt;&gt;"",EDATE($D50,Milestones!$AA$21)&gt;=$T50),$W50,IF(AND($S50&lt;&gt;"",EDATE($D50,Milestones!$AA$21)&gt;=$S50),$V50,$U50)))=Milestones!$AB$21),UPPER(TEXT(EDATE($D50,Milestones!$AA$21),"dd mmm yy"))&amp;" "&amp;Milestones!$AB$21&amp;" "&amp;Milestones!$AC$21&amp;";  ","")&amp;IF(AND(EDATE($D50,Milestones!$AA$22)&lt;=AsOfDate,IF($R50=0,$X50,IF(AND($T50&lt;&gt;"",EDATE($D50,Milestones!$AA$22)&gt;=$T50),$W50,IF(AND($S50&lt;&gt;"",EDATE($D50,Milestones!$AA$22)&gt;=$S50),$V50,$U50)))=Milestones!$AB$22),UPPER(TEXT(EDATE($D50,Milestones!$AA$22),"dd mmm yy"))&amp;" "&amp;Milestones!$AB$22&amp;" "&amp;Milestones!$AC$22&amp;";  ","")&amp;IF(AND(EDATE($D50,Milestones!$AA$23)&lt;=AsOfDate,IF($R50=0,$X50,IF(AND($T50&lt;&gt;"",EDATE($D50,Milestones!$AA$23)&gt;=$T50),$W50,IF(AND($S50&lt;&gt;"",EDATE($D50,Milestones!$AA$23)&gt;=$S50),$V50,$U50)))=Milestones!$AB$23),UPPER(TEXT(EDATE($D50,Milestones!$AA$23),"dd mmm yy"))&amp;" "&amp;Milestones!$AB$23&amp;" "&amp;Milestones!$AC$23&amp;";  ","")&amp;IF(AND(EDATE($D50,Milestones!$AA$24)&lt;=AsOfDate,IF($R50=0,$X50,IF(AND($T50&lt;&gt;"",EDATE($D50,Milestones!$AA$24)&gt;=$T50),$W50,IF(AND($S50&lt;&gt;"",EDATE($D50,Milestones!$AA$24)&gt;=$S50),$V50,$U50)))=Milestones!$AB$24),UPPER(TEXT(EDATE($D50,Milestones!$AA$24),"dd mmm yy"))&amp;" "&amp;Milestones!$AB$24&amp;" "&amp;Milestones!$AC$24&amp;";  ","")&amp;IF(AND(EDATE($D50,Milestones!$AA$25)&lt;=AsOfDate,IF($R50=0,$X50,IF(AND($T50&lt;&gt;"",EDATE($D50,Milestones!$AA$25)&gt;=$T50),$W50,IF(AND($S50&lt;&gt;"",EDATE($D50,Milestones!$AA$25)&gt;=$S50),$V50,$U50)))=Milestones!$AB$25),UPPER(TEXT(EDATE($D50,Milestones!$AA$25),"dd mmm yy"))&amp;" "&amp;Milestones!$AB$25&amp;" "&amp;Milestones!$AC$25&amp;";  ","")&amp;IF(AND(EDATE($D50,Milestones!$AA$26)&lt;=AsOfDate,IF($R50=0,$X50,IF(AND($T50&lt;&gt;"",EDATE($D50,Milestones!$AA$26)&gt;=$T50),$W50,IF(AND($S50&lt;&gt;"",EDATE($D50,Milestones!$AA$26)&gt;=$S50),$V50,$U50)))=Milestones!$AB$26),UPPER(TEXT(EDATE($D50,Milestones!$AA$26),"dd mmm yy"))&amp;" "&amp;Milestones!$AB$26&amp;" "&amp;Milestones!$AC$26&amp;";  ","")&amp;IF(AND(EDATE($D50,Milestones!$AA$27)&lt;=AsOfDate,IF($R50=0,$X50,IF(AND($T50&lt;&gt;"",EDATE($D50,Milestones!$AA$27)&gt;=$T50),$W50,IF(AND($S50&lt;&gt;"",EDATE($D50,Milestones!$AA$27)&gt;=$S50),$V50,$U50)))=Milestones!$AB$27),UPPER(TEXT(EDATE($D50,Milestones!$AA$27),"dd mmm yy"))&amp;" "&amp;Milestones!$AB$27&amp;" "&amp;Milestones!$AC$27&amp;";  ","")&amp;IF(AND(EDATE($D50,Milestones!$AA$28)&lt;=AsOfDate,IF($R50=0,$X50,IF(AND($T50&lt;&gt;"",EDATE($D50,Milestones!$AA$28)&gt;=$T50),$W50,IF(AND($S50&lt;&gt;"",EDATE($D50,Milestones!$AA$28)&gt;=$S50),$V50,$U50)))=Milestones!$AB$28),UPPER(TEXT(EDATE($D50,Milestones!$AA$28),"dd mmm yy"))&amp;" "&amp;Milestones!$AB$28&amp;" "&amp;Milestones!$AC$28&amp;";  ","")&amp;IF(AND(EDATE($D50,Milestones!$AA$29)&lt;=AsOfDate,IF($R50=0,$X50,IF(AND($T50&lt;&gt;"",EDATE($D50,Milestones!$AA$29)&gt;=$T50),$W50,IF(AND($S50&lt;&gt;"",EDATE($D50,Milestones!$AA$29)&gt;=$S50),$V50,$U50)))=Milestones!$AB$29),UPPER(TEXT(EDATE($D50,Milestones!$AA$29),"dd mmm yy"))&amp;" "&amp;Milestones!$AB$29&amp;" "&amp;Milestones!$AC$29&amp;";  ","")&amp;IF(AND(EDATE($D50,Milestones!$AA$30)&lt;=AsOfDate,IF($R50=0,$X50,IF(AND($T50&lt;&gt;"",EDATE($D50,Milestones!$AA$30)&gt;=$T50),$W50,IF(AND($S50&lt;&gt;"",EDATE($D50,Milestones!$AA$30)&gt;=$S50),$V50,$U50)))=Milestones!$AB$30),UPPER(TEXT(EDATE($D50,Milestones!$AA$30),"dd mmm yy"))&amp;" "&amp;Milestones!$AB$30&amp;" "&amp;Milestones!$AC$30&amp;";  ","")&amp;IF(AND(EDATE($D50,Milestones!$AA$31)&lt;=AsOfDate,IF($R50=0,$X50,IF(AND($T50&lt;&gt;"",EDATE($D50,Milestones!$AA$31)&gt;=$T50),$W50,IF(AND($S50&lt;&gt;"",EDATE($D50,Milestones!$AA$31)&gt;=$S50),$V50,$U50)))=Milestones!$AB$31),UPPER(TEXT(EDATE($D50,Milestones!$AA$31),"dd mmm yy"))&amp;" "&amp;Milestones!$AB$31&amp;" "&amp;Milestones!$AC$31&amp;";  ","")&amp;IF(AND(EDATE($D50,Milestones!$AA$32)&lt;=AsOfDate,IF($R50=0,$X50,IF(AND($T50&lt;&gt;"",EDATE($D50,Milestones!$AA$32)&gt;=$T50),$W50,IF(AND($S50&lt;&gt;"",EDATE($D50,Milestones!$AA$32)&gt;=$S50),$V50,$U50)))=Milestones!$AB$32),UPPER(TEXT(EDATE($D50,Milestones!$AA$32),"dd mmm yy"))&amp;" "&amp;Milestones!$AB$32&amp;" "&amp;Milestones!$AC$32&amp;";  ","")&amp;IF(AND(EDATE($D50,Milestones!$AA$33)&lt;=AsOfDate,IF($R50=0,$X50,IF(AND($T50&lt;&gt;"",EDATE($D50,Milestones!$AA$33)&gt;=$T50),$W50,IF(AND($S50&lt;&gt;"",EDATE($D50,Milestones!$AA$33)&gt;=$S50),$V50,$U50)))=Milestones!$AB$33),UPPER(TEXT(EDATE($D50,Milestones!$AA$33),"dd mmm yy"))&amp;" "&amp;Milestones!$AB$33&amp;" "&amp;Milestones!$AC$33&amp;";  ","")&amp;IF(AND(EDATE($D50,Milestones!$AA$34)&lt;=AsOfDate,IF($R50=0,$X50,IF(AND($T50&lt;&gt;"",EDATE($D50,Milestones!$AA$34)&gt;=$T50),$W50,IF(AND($S50&lt;&gt;"",EDATE($D50,Milestones!$AA$34)&gt;=$S50),$V50,$U50)))=Milestones!$AB$34),UPPER(TEXT(EDATE($D50,Milestones!$AA$34),"dd mmm yy"))&amp;" "&amp;Milestones!$AB$34&amp;" "&amp;Milestones!$AC$34&amp;";  ","")&amp;IF(AND(EDATE($D50,Milestones!$AA$35)&lt;=AsOfDate,IF($R50=0,$X50,IF(AND($T50&lt;&gt;"",EDATE($D50,Milestones!$AA$35)&gt;=$T50),$W50,IF(AND($S50&lt;&gt;"",EDATE($D50,Milestones!$AA$35)&gt;=$S50),$V50,$U50)))=Milestones!$AB$35),UPPER(TEXT(EDATE($D50,Milestones!$AA$35),"dd mmm yy"))&amp;" "&amp;Milestones!$AB$35&amp;" "&amp;Milestones!$AC$35&amp;";  ","")&amp;IF(AND(EDATE($D50,Milestones!$AA$36)&lt;=AsOfDate,IF($R50=0,$X50,IF(AND($T50&lt;&gt;"",EDATE($D50,Milestones!$AA$36)&gt;=$T50),$W50,IF(AND($S50&lt;&gt;"",EDATE($D50,Milestones!$AA$36)&gt;=$S50),$V50,$U50)))=Milestones!$AB$36),UPPER(TEXT(EDATE($D50,Milestones!$AA$36),"dd mmm yy"))&amp;" "&amp;Milestones!$AB$36&amp;" "&amp;Milestones!$AC$36&amp;";  ","")&amp;IF(AND(EDATE($D50,Milestones!$AA$37)&lt;=AsOfDate,IF($R50=0,$X50,IF(AND($T50&lt;&gt;"",EDATE($D50,Milestones!$AA$37)&gt;=$T50),$W50,IF(AND($S50&lt;&gt;"",EDATE($D50,Milestones!$AA$37)&gt;=$S50),$V50,$U50)))=Milestones!$AB$37),UPPER(TEXT(EDATE($D50,Milestones!$AA$37),"dd mmm yy"))&amp;" "&amp;Milestones!$AB$37&amp;" "&amp;Milestones!$AC$37&amp;";  ","")&amp;IF(AND(EDATE($D50,Milestones!$AA$38)&lt;=AsOfDate,IF($R50=0,$X50,IF(AND($T50&lt;&gt;"",EDATE($D50,Milestones!$AA$38)&gt;=$T50),$W50,IF(AND($S50&lt;&gt;"",EDATE($D50,Milestones!$AA$38)&gt;=$S50),$V50,$U50)))=Milestones!$AB$38),UPPER(TEXT(EDATE($D50,Milestones!$AA$38),"dd mmm yy"))&amp;" "&amp;Milestones!$AB$38&amp;" "&amp;Milestones!$AC$38&amp;";  ","")&amp;IF(AND(EDATE($D50,Milestones!$AA$39)&lt;=AsOfDate,IF($R50=0,$X50,IF(AND($T50&lt;&gt;"",EDATE($D50,Milestones!$AA$39)&gt;=$T50),$W50,IF(AND($S50&lt;&gt;"",EDATE($D50,Milestones!$AA$39)&gt;=$S50),$V50,$U50)))=Milestones!$AB$39),UPPER(TEXT(EDATE($D50,Milestones!$AA$39),"dd mmm yy"))&amp;" "&amp;Milestones!$AB$39&amp;" "&amp;Milestones!$AC$39&amp;";  ",""))</f>
        <v>19 APR 25 FT 1;  19 AUG 25 FT 1;  19 DEC 25 FT 1;  19 APR 26 FT 1;  19 AUG 26 FT 1;  </v>
      </c>
      <c r="J50" s="0" t="str">
        <f aca="false">IF(OR($A50="",$D50=""),"",IF(AND(EDATE($D50,Milestones!$AA$40)&lt;=AsOfDate,IF($R50=0,$X50,IF(AND($T50&lt;&gt;"",EDATE($D50,Milestones!$AA$40)&gt;=$T50),$W50,IF(AND($S50&lt;&gt;"",EDATE($D50,Milestones!$AA$40)&gt;=$S50),$V50,$U50)))=Milestones!$AB$40),UPPER(TEXT(EDATE($D50,Milestones!$AA$40),"dd mmm yy"))&amp;" "&amp;Milestones!$AB$40&amp;" "&amp;Milestones!$AC$40&amp;";  ","")&amp;IF(AND(EDATE($D50,Milestones!$AA$41)&lt;=AsOfDate,IF($R50=0,$X50,IF(AND($T50&lt;&gt;"",EDATE($D50,Milestones!$AA$41)&gt;=$T50),$W50,IF(AND($S50&lt;&gt;"",EDATE($D50,Milestones!$AA$41)&gt;=$S50),$V50,$U50)))=Milestones!$AB$41),UPPER(TEXT(EDATE($D50,Milestones!$AA$41),"dd mmm yy"))&amp;" "&amp;Milestones!$AB$41&amp;" "&amp;Milestones!$AC$41&amp;";  ","")&amp;IF(AND(EDATE($D50,Milestones!$AA$42)&lt;=AsOfDate,IF($R50=0,$X50,IF(AND($T50&lt;&gt;"",EDATE($D50,Milestones!$AA$42)&gt;=$T50),$W50,IF(AND($S50&lt;&gt;"",EDATE($D50,Milestones!$AA$42)&gt;=$S50),$V50,$U50)))=Milestones!$AB$42),UPPER(TEXT(EDATE($D50,Milestones!$AA$42),"dd mmm yy"))&amp;" "&amp;Milestones!$AB$42&amp;" "&amp;Milestones!$AC$42&amp;";  ","")&amp;IF(AND(EDATE($D50,Milestones!$AA$43)&lt;=AsOfDate,IF($R50=0,$X50,IF(AND($T50&lt;&gt;"",EDATE($D50,Milestones!$AA$43)&gt;=$T50),$W50,IF(AND($S50&lt;&gt;"",EDATE($D50,Milestones!$AA$43)&gt;=$S50),$V50,$U50)))=Milestones!$AB$43),UPPER(TEXT(EDATE($D50,Milestones!$AA$43),"dd mmm yy"))&amp;" "&amp;Milestones!$AB$43&amp;" "&amp;Milestones!$AC$43&amp;";  ","")&amp;IF(AND(EDATE($D50,Milestones!$AA$44)&lt;=AsOfDate,IF($R50=0,$X50,IF(AND($T50&lt;&gt;"",EDATE($D50,Milestones!$AA$44)&gt;=$T50),$W50,IF(AND($S50&lt;&gt;"",EDATE($D50,Milestones!$AA$44)&gt;=$S50),$V50,$U50)))=Milestones!$AB$44),UPPER(TEXT(EDATE($D50,Milestones!$AA$44),"dd mmm yy"))&amp;" "&amp;Milestones!$AB$44&amp;" "&amp;Milestones!$AC$44&amp;";  ","")&amp;IF(AND(EDATE($D50,Milestones!$AA$45)&lt;=AsOfDate,IF($R50=0,$X50,IF(AND($T50&lt;&gt;"",EDATE($D50,Milestones!$AA$45)&gt;=$T50),$W50,IF(AND($S50&lt;&gt;"",EDATE($D50,Milestones!$AA$45)&gt;=$S50),$V50,$U50)))=Milestones!$AB$45),UPPER(TEXT(EDATE($D50,Milestones!$AA$45),"dd mmm yy"))&amp;" "&amp;Milestones!$AB$45&amp;" "&amp;Milestones!$AC$45&amp;";  ","")&amp;IF(AND(EDATE($D50,Milestones!$AA$46)&lt;=AsOfDate,IF($R50=0,$X50,IF(AND($T50&lt;&gt;"",EDATE($D50,Milestones!$AA$46)&gt;=$T50),$W50,IF(AND($S50&lt;&gt;"",EDATE($D50,Milestones!$AA$46)&gt;=$S50),$V50,$U50)))=Milestones!$AB$46),UPPER(TEXT(EDATE($D50,Milestones!$AA$46),"dd mmm yy"))&amp;" "&amp;Milestones!$AB$46&amp;" "&amp;Milestones!$AC$46&amp;";  ","")&amp;IF(AND(EDATE($D50,Milestones!$AA$47)&lt;=AsOfDate,IF($R50=0,$X50,IF(AND($T50&lt;&gt;"",EDATE($D50,Milestones!$AA$47)&gt;=$T50),$W50,IF(AND($S50&lt;&gt;"",EDATE($D50,Milestones!$AA$47)&gt;=$S50),$V50,$U50)))=Milestones!$AB$47),UPPER(TEXT(EDATE($D50,Milestones!$AA$47),"dd mmm yy"))&amp;" "&amp;Milestones!$AB$47&amp;" "&amp;Milestones!$AC$47&amp;";  ","")&amp;IF(AND(EDATE($D50,Milestones!$AA$48)&lt;=AsOfDate,IF($R50=0,$X50,IF(AND($T50&lt;&gt;"",EDATE($D50,Milestones!$AA$48)&gt;=$T50),$W50,IF(AND($S50&lt;&gt;"",EDATE($D50,Milestones!$AA$48)&gt;=$S50),$V50,$U50)))=Milestones!$AB$48),UPPER(TEXT(EDATE($D50,Milestones!$AA$48),"dd mmm yy"))&amp;" "&amp;Milestones!$AB$48&amp;" "&amp;Milestones!$AC$48&amp;";  ","")&amp;IF(AND(EDATE($D50,Milestones!$AA$49)&lt;=AsOfDate,IF($R50=0,$X50,IF(AND($T50&lt;&gt;"",EDATE($D50,Milestones!$AA$49)&gt;=$T50),$W50,IF(AND($S50&lt;&gt;"",EDATE($D50,Milestones!$AA$49)&gt;=$S50),$V50,$U50)))=Milestones!$AB$49),UPPER(TEXT(EDATE($D50,Milestones!$AA$49),"dd mmm yy"))&amp;" "&amp;Milestones!$AB$49&amp;" "&amp;Milestones!$AC$49&amp;";  ","")&amp;IF(AND(EDATE($D50,Milestones!$AA$50)&lt;=AsOfDate,IF($R50=0,$X50,IF(AND($T50&lt;&gt;"",EDATE($D50,Milestones!$AA$50)&gt;=$T50),$W50,IF(AND($S50&lt;&gt;"",EDATE($D50,Milestones!$AA$50)&gt;=$S50),$V50,$U50)))=Milestones!$AB$50),UPPER(TEXT(EDATE($D50,Milestones!$AA$50),"dd mmm yy"))&amp;" "&amp;Milestones!$AB$50&amp;" "&amp;Milestones!$AC$50&amp;";  ","")&amp;IF(AND(EDATE($D50,Milestones!$AA$51)&lt;=AsOfDate,IF($R50=0,$X50,IF(AND($T50&lt;&gt;"",EDATE($D50,Milestones!$AA$51)&gt;=$T50),$W50,IF(AND($S50&lt;&gt;"",EDATE($D50,Milestones!$AA$51)&gt;=$S50),$V50,$U50)))=Milestones!$AB$51),UPPER(TEXT(EDATE($D50,Milestones!$AA$51),"dd mmm yy"))&amp;" "&amp;Milestones!$AB$51&amp;" "&amp;Milestones!$AC$51&amp;";  ","")&amp;IF(AND(EDATE($D50,Milestones!$AA$52)&lt;=AsOfDate,IF($R50=0,$X50,IF(AND($T50&lt;&gt;"",EDATE($D50,Milestones!$AA$52)&gt;=$T50),$W50,IF(AND($S50&lt;&gt;"",EDATE($D50,Milestones!$AA$52)&gt;=$S50),$V50,$U50)))=Milestones!$AB$52),UPPER(TEXT(EDATE($D50,Milestones!$AA$52),"dd mmm yy"))&amp;" "&amp;Milestones!$AB$52&amp;" "&amp;Milestones!$AC$52&amp;";  ","")&amp;IF(AND(EDATE($D50,Milestones!$AA$53)&lt;=AsOfDate,IF($R50=0,$X50,IF(AND($T50&lt;&gt;"",EDATE($D50,Milestones!$AA$53)&gt;=$T50),$W50,IF(AND($S50&lt;&gt;"",EDATE($D50,Milestones!$AA$53)&gt;=$S50),$V50,$U50)))=Milestones!$AB$53),UPPER(TEXT(EDATE($D50,Milestones!$AA$53),"dd mmm yy"))&amp;" "&amp;Milestones!$AB$53&amp;" "&amp;Milestones!$AC$53&amp;";  ","")&amp;IF(AND(EDATE($D50,Milestones!$AA$54)&lt;=AsOfDate,IF($R50=0,$X50,IF(AND($T50&lt;&gt;"",EDATE($D50,Milestones!$AA$54)&gt;=$T50),$W50,IF(AND($S50&lt;&gt;"",EDATE($D50,Milestones!$AA$54)&gt;=$S50),$V50,$U50)))=Milestones!$AB$54),UPPER(TEXT(EDATE($D50,Milestones!$AA$54),"dd mmm yy"))&amp;" "&amp;Milestones!$AB$54&amp;" "&amp;Milestones!$AC$54&amp;";  ","")&amp;IF(AND(EDATE($D50,Milestones!$AA$55)&lt;=AsOfDate,IF($R50=0,$X50,IF(AND($T50&lt;&gt;"",EDATE($D50,Milestones!$AA$55)&gt;=$T50),$W50,IF(AND($S50&lt;&gt;"",EDATE($D50,Milestones!$AA$55)&gt;=$S50),$V50,$U50)))=Milestones!$AB$55),UPPER(TEXT(EDATE($D50,Milestones!$AA$55),"dd mmm yy"))&amp;" "&amp;Milestones!$AB$55&amp;" "&amp;Milestones!$AC$55&amp;";  ","")&amp;IF(AND(EDATE($D50,Milestones!$AA$56)&lt;=AsOfDate,IF($R50=0,$X50,IF(AND($T50&lt;&gt;"",EDATE($D50,Milestones!$AA$56)&gt;=$T50),$W50,IF(AND($S50&lt;&gt;"",EDATE($D50,Milestones!$AA$56)&gt;=$S50),$V50,$U50)))=Milestones!$AB$56),UPPER(TEXT(EDATE($D50,Milestones!$AA$56),"dd mmm yy"))&amp;" "&amp;Milestones!$AB$56&amp;" "&amp;Milestones!$AC$56&amp;";  ","")&amp;IF(AND(EDATE($D50,Milestones!$AA$57)&lt;=AsOfDate,IF($R50=0,$X50,IF(AND($T50&lt;&gt;"",EDATE($D50,Milestones!$AA$57)&gt;=$T50),$W50,IF(AND($S50&lt;&gt;"",EDATE($D50,Milestones!$AA$57)&gt;=$S50),$V50,$U50)))=Milestones!$AB$57),UPPER(TEXT(EDATE($D50,Milestones!$AA$57),"dd mmm yy"))&amp;" "&amp;Milestones!$AB$57&amp;" "&amp;Milestones!$AC$57&amp;";  ","")&amp;IF(AND(EDATE($D50,Milestones!$AA$58)&lt;=AsOfDate,IF($R50=0,$X50,IF(AND($T50&lt;&gt;"",EDATE($D50,Milestones!$AA$58)&gt;=$T50),$W50,IF(AND($S50&lt;&gt;"",EDATE($D50,Milestones!$AA$58)&gt;=$S50),$V50,$U50)))=Milestones!$AB$58),UPPER(TEXT(EDATE($D50,Milestones!$AA$58),"dd mmm yy"))&amp;" "&amp;Milestones!$AB$58&amp;" "&amp;Milestones!$AC$58&amp;";  ","")&amp;IF(AND(EDATE($D50,Milestones!$AA$59)&lt;=AsOfDate,IF($R50=0,$X50,IF(AND($T50&lt;&gt;"",EDATE($D50,Milestones!$AA$59)&gt;=$T50),$W50,IF(AND($S50&lt;&gt;"",EDATE($D50,Milestones!$AA$59)&gt;=$S50),$V50,$U50)))=Milestones!$AB$59),UPPER(TEXT(EDATE($D50,Milestones!$AA$59),"dd mmm yy"))&amp;" "&amp;Milestones!$AB$59&amp;" "&amp;Milestones!$AC$59&amp;";  ",""))</f>
        <v/>
      </c>
      <c r="K50" s="0" t="str">
        <f aca="false">IF(OR($A50="",$D50=""),"",IF(AND(EDATE($D50,Milestones!$AA$60)&lt;=AsOfDate,IF($R50=0,$X50,IF(AND($T50&lt;&gt;"",EDATE($D50,Milestones!$AA$60)&gt;=$T50),$W50,IF(AND($S50&lt;&gt;"",EDATE($D50,Milestones!$AA$60)&gt;=$S50),$V50,$U50)))=Milestones!$AB$60),UPPER(TEXT(EDATE($D50,Milestones!$AA$60),"dd mmm yy"))&amp;" "&amp;Milestones!$AB$60&amp;" "&amp;Milestones!$AC$60&amp;";  ","")&amp;IF(AND(EDATE($D50,Milestones!$AA$61)&lt;=AsOfDate,IF($R50=0,$X50,IF(AND($T50&lt;&gt;"",EDATE($D50,Milestones!$AA$61)&gt;=$T50),$W50,IF(AND($S50&lt;&gt;"",EDATE($D50,Milestones!$AA$61)&gt;=$S50),$V50,$U50)))=Milestones!$AB$61),UPPER(TEXT(EDATE($D50,Milestones!$AA$61),"dd mmm yy"))&amp;" "&amp;Milestones!$AB$61&amp;" "&amp;Milestones!$AC$61&amp;";  ","")&amp;IF(AND(EDATE($D50,Milestones!$AA$62)&lt;=AsOfDate,IF($R50=0,$X50,IF(AND($T50&lt;&gt;"",EDATE($D50,Milestones!$AA$62)&gt;=$T50),$W50,IF(AND($S50&lt;&gt;"",EDATE($D50,Milestones!$AA$62)&gt;=$S50),$V50,$U50)))=Milestones!$AB$62),UPPER(TEXT(EDATE($D50,Milestones!$AA$62),"dd mmm yy"))&amp;" "&amp;Milestones!$AB$62&amp;" "&amp;Milestones!$AC$62&amp;";  ","")&amp;IF(AND(EDATE($D50,Milestones!$AA$63)&lt;=AsOfDate,IF($R50=0,$X50,IF(AND($T50&lt;&gt;"",EDATE($D50,Milestones!$AA$63)&gt;=$T50),$W50,IF(AND($S50&lt;&gt;"",EDATE($D50,Milestones!$AA$63)&gt;=$S50),$V50,$U50)))=Milestones!$AB$63),UPPER(TEXT(EDATE($D50,Milestones!$AA$63),"dd mmm yy"))&amp;" "&amp;Milestones!$AB$63&amp;" "&amp;Milestones!$AC$63&amp;";  ","")&amp;IF(AND(EDATE($D50,Milestones!$AA$64)&lt;=AsOfDate,IF($R50=0,$X50,IF(AND($T50&lt;&gt;"",EDATE($D50,Milestones!$AA$64)&gt;=$T50),$W50,IF(AND($S50&lt;&gt;"",EDATE($D50,Milestones!$AA$64)&gt;=$S50),$V50,$U50)))=Milestones!$AB$64),UPPER(TEXT(EDATE($D50,Milestones!$AA$64),"dd mmm yy"))&amp;" "&amp;Milestones!$AB$64&amp;" "&amp;Milestones!$AC$64&amp;";  ","")&amp;IF(AND(EDATE($D50,Milestones!$AA$65)&lt;=AsOfDate,IF($R50=0,$X50,IF(AND($T50&lt;&gt;"",EDATE($D50,Milestones!$AA$65)&gt;=$T50),$W50,IF(AND($S50&lt;&gt;"",EDATE($D50,Milestones!$AA$65)&gt;=$S50),$V50,$U50)))=Milestones!$AB$65),UPPER(TEXT(EDATE($D50,Milestones!$AA$65),"dd mmm yy"))&amp;" "&amp;Milestones!$AB$65&amp;" "&amp;Milestones!$AC$65&amp;";  ","")&amp;IF(AND(EDATE($D50,Milestones!$AA$66)&lt;=AsOfDate,IF($R50=0,$X50,IF(AND($T50&lt;&gt;"",EDATE($D50,Milestones!$AA$66)&gt;=$T50),$W50,IF(AND($S50&lt;&gt;"",EDATE($D50,Milestones!$AA$66)&gt;=$S50),$V50,$U50)))=Milestones!$AB$66),UPPER(TEXT(EDATE($D50,Milestones!$AA$66),"dd mmm yy"))&amp;" "&amp;Milestones!$AB$66&amp;" "&amp;Milestones!$AC$66&amp;";  ","")&amp;IF(AND(EDATE($D50,Milestones!$AA$67)&lt;=AsOfDate,IF($R50=0,$X50,IF(AND($T50&lt;&gt;"",EDATE($D50,Milestones!$AA$67)&gt;=$T50),$W50,IF(AND($S50&lt;&gt;"",EDATE($D50,Milestones!$AA$67)&gt;=$S50),$V50,$U50)))=Milestones!$AB$67),UPPER(TEXT(EDATE($D50,Milestones!$AA$67),"dd mmm yy"))&amp;" "&amp;Milestones!$AB$67&amp;" "&amp;Milestones!$AC$67&amp;";  ","")&amp;IF(AND(EDATE($D50,Milestones!$AA$68)&lt;=AsOfDate,IF($R50=0,$X50,IF(AND($T50&lt;&gt;"",EDATE($D50,Milestones!$AA$68)&gt;=$T50),$W50,IF(AND($S50&lt;&gt;"",EDATE($D50,Milestones!$AA$68)&gt;=$S50),$V50,$U50)))=Milestones!$AB$68),UPPER(TEXT(EDATE($D50,Milestones!$AA$68),"dd mmm yy"))&amp;" "&amp;Milestones!$AB$68&amp;" "&amp;Milestones!$AC$68&amp;";  ","")&amp;IF(AND(EDATE($D50,Milestones!$AA$69)&lt;=AsOfDate,IF($R50=0,$X50,IF(AND($T50&lt;&gt;"",EDATE($D50,Milestones!$AA$69)&gt;=$T50),$W50,IF(AND($S50&lt;&gt;"",EDATE($D50,Milestones!$AA$69)&gt;=$S50),$V50,$U50)))=Milestones!$AB$69),UPPER(TEXT(EDATE($D50,Milestones!$AA$69),"dd mmm yy"))&amp;" "&amp;Milestones!$AB$69&amp;" "&amp;Milestones!$AC$69&amp;";  ","")&amp;IF(AND(EDATE($D50,Milestones!$AA$70)&lt;=AsOfDate,IF($R50=0,$X50,IF(AND($T50&lt;&gt;"",EDATE($D50,Milestones!$AA$70)&gt;=$T50),$W50,IF(AND($S50&lt;&gt;"",EDATE($D50,Milestones!$AA$70)&gt;=$S50),$V50,$U50)))=Milestones!$AB$70),UPPER(TEXT(EDATE($D50,Milestones!$AA$70),"dd mmm yy"))&amp;" "&amp;Milestones!$AB$70&amp;" "&amp;Milestones!$AC$70&amp;";  ","")&amp;IF(AND(EDATE($D50,Milestones!$AA$71)&lt;=AsOfDate,IF($R50=0,$X50,IF(AND($T50&lt;&gt;"",EDATE($D50,Milestones!$AA$71)&gt;=$T50),$W50,IF(AND($S50&lt;&gt;"",EDATE($D50,Milestones!$AA$71)&gt;=$S50),$V50,$U50)))=Milestones!$AB$71),UPPER(TEXT(EDATE($D50,Milestones!$AA$71),"dd mmm yy"))&amp;" "&amp;Milestones!$AB$71&amp;" "&amp;Milestones!$AC$71&amp;";  ","")&amp;IF(AND(EDATE($D50,Milestones!$AA$72)&lt;=AsOfDate,IF($R50=0,$X50,IF(AND($T50&lt;&gt;"",EDATE($D50,Milestones!$AA$72)&gt;=$T50),$W50,IF(AND($S50&lt;&gt;"",EDATE($D50,Milestones!$AA$72)&gt;=$S50),$V50,$U50)))=Milestones!$AB$72),UPPER(TEXT(EDATE($D50,Milestones!$AA$72),"dd mmm yy"))&amp;" "&amp;Milestones!$AB$72&amp;" "&amp;Milestones!$AC$72&amp;";  ","")&amp;IF(AND(EDATE($D50,Milestones!$AA$73)&lt;=AsOfDate,IF($R50=0,$X50,IF(AND($T50&lt;&gt;"",EDATE($D50,Milestones!$AA$73)&gt;=$T50),$W50,IF(AND($S50&lt;&gt;"",EDATE($D50,Milestones!$AA$73)&gt;=$S50),$V50,$U50)))=Milestones!$AB$73),UPPER(TEXT(EDATE($D50,Milestones!$AA$73),"dd mmm yy"))&amp;" "&amp;Milestones!$AB$73&amp;" "&amp;Milestones!$AC$73&amp;";  ","")&amp;IF(AND(EDATE($D50,Milestones!$AA$74)&lt;=AsOfDate,IF($R50=0,$X50,IF(AND($T50&lt;&gt;"",EDATE($D50,Milestones!$AA$74)&gt;=$T50),$W50,IF(AND($S50&lt;&gt;"",EDATE($D50,Milestones!$AA$74)&gt;=$S50),$V50,$U50)))=Milestones!$AB$74),UPPER(TEXT(EDATE($D50,Milestones!$AA$74),"dd mmm yy"))&amp;" "&amp;Milestones!$AB$74&amp;" "&amp;Milestones!$AC$74&amp;";  ","")&amp;IF(AND(EDATE($D50,Milestones!$AA$75)&lt;=AsOfDate,IF($R50=0,$X50,IF(AND($T50&lt;&gt;"",EDATE($D50,Milestones!$AA$75)&gt;=$T50),$W50,IF(AND($S50&lt;&gt;"",EDATE($D50,Milestones!$AA$75)&gt;=$S50),$V50,$U50)))=Milestones!$AB$75),UPPER(TEXT(EDATE($D50,Milestones!$AA$75),"dd mmm yy"))&amp;" "&amp;Milestones!$AB$75&amp;" "&amp;Milestones!$AC$75&amp;";  ","")&amp;IF(AND(EDATE($D50,Milestones!$AA$76)&lt;=AsOfDate,IF($R50=0,$X50,IF(AND($T50&lt;&gt;"",EDATE($D50,Milestones!$AA$76)&gt;=$T50),$W50,IF(AND($S50&lt;&gt;"",EDATE($D50,Milestones!$AA$76)&gt;=$S50),$V50,$U50)))=Milestones!$AB$76),UPPER(TEXT(EDATE($D50,Milestones!$AA$76),"dd mmm yy"))&amp;" "&amp;Milestones!$AB$76&amp;" "&amp;Milestones!$AC$76&amp;";  ","")&amp;IF(AND(EDATE($D50,Milestones!$AA$77)&lt;=AsOfDate,IF($R50=0,$X50,IF(AND($T50&lt;&gt;"",EDATE($D50,Milestones!$AA$77)&gt;=$T50),$W50,IF(AND($S50&lt;&gt;"",EDATE($D50,Milestones!$AA$77)&gt;=$S50),$V50,$U50)))=Milestones!$AB$77),UPPER(TEXT(EDATE($D50,Milestones!$AA$77),"dd mmm yy"))&amp;" "&amp;Milestones!$AB$77&amp;" "&amp;Milestones!$AC$77&amp;";  ","")&amp;IF(AND(EDATE($D50,Milestones!$AA$78)&lt;=AsOfDate,IF($R50=0,$X50,IF(AND($T50&lt;&gt;"",EDATE($D50,Milestones!$AA$78)&gt;=$T50),$W50,IF(AND($S50&lt;&gt;"",EDATE($D50,Milestones!$AA$78)&gt;=$S50),$V50,$U50)))=Milestones!$AB$78),UPPER(TEXT(EDATE($D50,Milestones!$AA$78),"dd mmm yy"))&amp;" "&amp;Milestones!$AB$78&amp;" "&amp;Milestones!$AC$78&amp;";  ","")&amp;IF(AND(EDATE($D50,Milestones!$AA$79)&lt;=AsOfDate,IF($R50=0,$X50,IF(AND($T50&lt;&gt;"",EDATE($D50,Milestones!$AA$79)&gt;=$T50),$W50,IF(AND($S50&lt;&gt;"",EDATE($D50,Milestones!$AA$79)&gt;=$S50),$V50,$U50)))=Milestones!$AB$79),UPPER(TEXT(EDATE($D50,Milestones!$AA$79),"dd mmm yy"))&amp;" "&amp;Milestones!$AB$79&amp;" "&amp;Milestones!$AC$79&amp;";  ",""))</f>
        <v/>
      </c>
      <c r="L50" s="0" t="str">
        <f aca="false">IF(OR($A50="",$D50=""),"",IF(AND(EDATE($D50,Milestones!$AA$80)&lt;=AsOfDate,IF($R50=0,$X50,IF(AND($T50&lt;&gt;"",EDATE($D50,Milestones!$AA$80)&gt;=$T50),$W50,IF(AND($S50&lt;&gt;"",EDATE($D50,Milestones!$AA$80)&gt;=$S50),$V50,$U50)))=Milestones!$AB$80),UPPER(TEXT(EDATE($D50,Milestones!$AA$80),"dd mmm yy"))&amp;" "&amp;Milestones!$AB$80&amp;" "&amp;Milestones!$AC$80&amp;";  ","")&amp;IF(AND(EDATE($D50,Milestones!$AA$81)&lt;=AsOfDate,IF($R50=0,$X50,IF(AND($T50&lt;&gt;"",EDATE($D50,Milestones!$AA$81)&gt;=$T50),$W50,IF(AND($S50&lt;&gt;"",EDATE($D50,Milestones!$AA$81)&gt;=$S50),$V50,$U50)))=Milestones!$AB$81),UPPER(TEXT(EDATE($D50,Milestones!$AA$81),"dd mmm yy"))&amp;" "&amp;Milestones!$AB$81&amp;" "&amp;Milestones!$AC$81&amp;";  ","")&amp;IF(AND(EDATE($D50,Milestones!$AA$82)&lt;=AsOfDate,IF($R50=0,$X50,IF(AND($T50&lt;&gt;"",EDATE($D50,Milestones!$AA$82)&gt;=$T50),$W50,IF(AND($S50&lt;&gt;"",EDATE($D50,Milestones!$AA$82)&gt;=$S50),$V50,$U50)))=Milestones!$AB$82),UPPER(TEXT(EDATE($D50,Milestones!$AA$82),"dd mmm yy"))&amp;" "&amp;Milestones!$AB$82&amp;" "&amp;Milestones!$AC$82&amp;";  ","")&amp;IF(AND(EDATE($D50,Milestones!$AA$83)&lt;=AsOfDate,IF($R50=0,$X50,IF(AND($T50&lt;&gt;"",EDATE($D50,Milestones!$AA$83)&gt;=$T50),$W50,IF(AND($S50&lt;&gt;"",EDATE($D50,Milestones!$AA$83)&gt;=$S50),$V50,$U50)))=Milestones!$AB$83),UPPER(TEXT(EDATE($D50,Milestones!$AA$83),"dd mmm yy"))&amp;" "&amp;Milestones!$AB$83&amp;" "&amp;Milestones!$AC$83&amp;";  ","")&amp;IF(AND(EDATE($D50,Milestones!$AA$84)&lt;=AsOfDate,IF($R50=0,$X50,IF(AND($T50&lt;&gt;"",EDATE($D50,Milestones!$AA$84)&gt;=$T50),$W50,IF(AND($S50&lt;&gt;"",EDATE($D50,Milestones!$AA$84)&gt;=$S50),$V50,$U50)))=Milestones!$AB$84),UPPER(TEXT(EDATE($D50,Milestones!$AA$84),"dd mmm yy"))&amp;" "&amp;Milestones!$AB$84&amp;" "&amp;Milestones!$AC$84&amp;";  ","")&amp;IF(AND(EDATE($D50,Milestones!$AA$85)&lt;=AsOfDate,IF($R50=0,$X50,IF(AND($T50&lt;&gt;"",EDATE($D50,Milestones!$AA$85)&gt;=$T50),$W50,IF(AND($S50&lt;&gt;"",EDATE($D50,Milestones!$AA$85)&gt;=$S50),$V50,$U50)))=Milestones!$AB$85),UPPER(TEXT(EDATE($D50,Milestones!$AA$85),"dd mmm yy"))&amp;" "&amp;Milestones!$AB$85&amp;" "&amp;Milestones!$AC$85&amp;";  ","")&amp;IF(AND(EDATE($D50,Milestones!$AA$86)&lt;=AsOfDate,IF($R50=0,$X50,IF(AND($T50&lt;&gt;"",EDATE($D50,Milestones!$AA$86)&gt;=$T50),$W50,IF(AND($S50&lt;&gt;"",EDATE($D50,Milestones!$AA$86)&gt;=$S50),$V50,$U50)))=Milestones!$AB$86),UPPER(TEXT(EDATE($D50,Milestones!$AA$86),"dd mmm yy"))&amp;" "&amp;Milestones!$AB$86&amp;" "&amp;Milestones!$AC$86&amp;";  ","")&amp;IF(AND(EDATE($D50,Milestones!$AA$87)&lt;=AsOfDate,IF($R50=0,$X50,IF(AND($T50&lt;&gt;"",EDATE($D50,Milestones!$AA$87)&gt;=$T50),$W50,IF(AND($S50&lt;&gt;"",EDATE($D50,Milestones!$AA$87)&gt;=$S50),$V50,$U50)))=Milestones!$AB$87),UPPER(TEXT(EDATE($D50,Milestones!$AA$87),"dd mmm yy"))&amp;" "&amp;Milestones!$AB$87&amp;" "&amp;Milestones!$AC$87&amp;";  ","")&amp;IF(AND(EDATE($D50,Milestones!$AA$88)&lt;=AsOfDate,IF($R50=0,$X50,IF(AND($T50&lt;&gt;"",EDATE($D50,Milestones!$AA$88)&gt;=$T50),$W50,IF(AND($S50&lt;&gt;"",EDATE($D50,Milestones!$AA$88)&gt;=$S50),$V50,$U50)))=Milestones!$AB$88),UPPER(TEXT(EDATE($D50,Milestones!$AA$88),"dd mmm yy"))&amp;" "&amp;Milestones!$AB$88&amp;" "&amp;Milestones!$AC$88&amp;";  ","")&amp;IF(AND(EDATE($D50,Milestones!$AA$89)&lt;=AsOfDate,IF($R50=0,$X50,IF(AND($T50&lt;&gt;"",EDATE($D50,Milestones!$AA$89)&gt;=$T50),$W50,IF(AND($S50&lt;&gt;"",EDATE($D50,Milestones!$AA$89)&gt;=$S50),$V50,$U50)))=Milestones!$AB$89),UPPER(TEXT(EDATE($D50,Milestones!$AA$89),"dd mmm yy"))&amp;" "&amp;Milestones!$AB$89&amp;" "&amp;Milestones!$AC$89&amp;";  ","")&amp;IF(AND(EDATE($D50,Milestones!$AA$90)&lt;=AsOfDate,IF($R50=0,$X50,IF(AND($T50&lt;&gt;"",EDATE($D50,Milestones!$AA$90)&gt;=$T50),$W50,IF(AND($S50&lt;&gt;"",EDATE($D50,Milestones!$AA$90)&gt;=$S50),$V50,$U50)))=Milestones!$AB$90),UPPER(TEXT(EDATE($D50,Milestones!$AA$90),"dd mmm yy"))&amp;" "&amp;Milestones!$AB$90&amp;" "&amp;Milestones!$AC$90&amp;";  ","")&amp;IF(AND(EDATE($D50,Milestones!$AA$91)&lt;=AsOfDate,IF($R50=0,$X50,IF(AND($T50&lt;&gt;"",EDATE($D50,Milestones!$AA$91)&gt;=$T50),$W50,IF(AND($S50&lt;&gt;"",EDATE($D50,Milestones!$AA$91)&gt;=$S50),$V50,$U50)))=Milestones!$AB$91),UPPER(TEXT(EDATE($D50,Milestones!$AA$91),"dd mmm yy"))&amp;" "&amp;Milestones!$AB$91&amp;" "&amp;Milestones!$AC$91&amp;";  ","")&amp;IF(AND(EDATE($D50,Milestones!$AA$92)&lt;=AsOfDate,IF($R50=0,$X50,IF(AND($T50&lt;&gt;"",EDATE($D50,Milestones!$AA$92)&gt;=$T50),$W50,IF(AND($S50&lt;&gt;"",EDATE($D50,Milestones!$AA$92)&gt;=$S50),$V50,$U50)))=Milestones!$AB$92),UPPER(TEXT(EDATE($D50,Milestones!$AA$92),"dd mmm yy"))&amp;" "&amp;Milestones!$AB$92&amp;" "&amp;Milestones!$AC$92&amp;";  ","")&amp;IF(AND(EDATE($D50,Milestones!$AA$93)&lt;=AsOfDate,IF($R50=0,$X50,IF(AND($T50&lt;&gt;"",EDATE($D50,Milestones!$AA$93)&gt;=$T50),$W50,IF(AND($S50&lt;&gt;"",EDATE($D50,Milestones!$AA$93)&gt;=$S50),$V50,$U50)))=Milestones!$AB$93),UPPER(TEXT(EDATE($D50,Milestones!$AA$93),"dd mmm yy"))&amp;" "&amp;Milestones!$AB$93&amp;" "&amp;Milestones!$AC$93&amp;";  ","")&amp;IF(AND(EDATE($D50,Milestones!$AA$94)&lt;=AsOfDate,IF($R50=0,$X50,IF(AND($T50&lt;&gt;"",EDATE($D50,Milestones!$AA$94)&gt;=$T50),$W50,IF(AND($S50&lt;&gt;"",EDATE($D50,Milestones!$AA$94)&gt;=$S50),$V50,$U50)))=Milestones!$AB$94),UPPER(TEXT(EDATE($D50,Milestones!$AA$94),"dd mmm yy"))&amp;" "&amp;Milestones!$AB$94&amp;" "&amp;Milestones!$AC$94&amp;";  ","")&amp;IF(AND(EDATE($D50,Milestones!$AA$95)&lt;=AsOfDate,IF($R50=0,$X50,IF(AND($T50&lt;&gt;"",EDATE($D50,Milestones!$AA$95)&gt;=$T50),$W50,IF(AND($S50&lt;&gt;"",EDATE($D50,Milestones!$AA$95)&gt;=$S50),$V50,$U50)))=Milestones!$AB$95),UPPER(TEXT(EDATE($D50,Milestones!$AA$95),"dd mmm yy"))&amp;" "&amp;Milestones!$AB$95&amp;" "&amp;Milestones!$AC$95&amp;";  ","")&amp;IF(AND(EDATE($D50,Milestones!$AA$96)&lt;=AsOfDate,IF($R50=0,$X50,IF(AND($T50&lt;&gt;"",EDATE($D50,Milestones!$AA$96)&gt;=$T50),$W50,IF(AND($S50&lt;&gt;"",EDATE($D50,Milestones!$AA$96)&gt;=$S50),$V50,$U50)))=Milestones!$AB$96),UPPER(TEXT(EDATE($D50,Milestones!$AA$96),"dd mmm yy"))&amp;" "&amp;Milestones!$AB$96&amp;" "&amp;Milestones!$AC$96&amp;";  ","")&amp;IF(AND(EDATE($D50,Milestones!$AA$97)&lt;=AsOfDate,IF($R50=0,$X50,IF(AND($T50&lt;&gt;"",EDATE($D50,Milestones!$AA$97)&gt;=$T50),$W50,IF(AND($S50&lt;&gt;"",EDATE($D50,Milestones!$AA$97)&gt;=$S50),$V50,$U50)))=Milestones!$AB$97),UPPER(TEXT(EDATE($D50,Milestones!$AA$97),"dd mmm yy"))&amp;" "&amp;Milestones!$AB$97&amp;" "&amp;Milestones!$AC$97&amp;";  ","")&amp;IF(AND(EDATE($D50,Milestones!$AA$98)&lt;=AsOfDate,IF($R50=0,$X50,IF(AND($T50&lt;&gt;"",EDATE($D50,Milestones!$AA$98)&gt;=$T50),$W50,IF(AND($S50&lt;&gt;"",EDATE($D50,Milestones!$AA$98)&gt;=$S50),$V50,$U50)))=Milestones!$AB$98),UPPER(TEXT(EDATE($D50,Milestones!$AA$98),"dd mmm yy"))&amp;" "&amp;Milestones!$AB$98&amp;" "&amp;Milestones!$AC$98&amp;";  ","")&amp;IF(AND(EDATE($D50,Milestones!$AA$99)&lt;=AsOfDate,IF($R50=0,$X50,IF(AND($T50&lt;&gt;"",EDATE($D50,Milestones!$AA$99)&gt;=$T50),$W50,IF(AND($S50&lt;&gt;"",EDATE($D50,Milestones!$AA$99)&gt;=$S50),$V50,$U50)))=Milestones!$AB$99),UPPER(TEXT(EDATE($D50,Milestones!$AA$99),"dd mmm yy"))&amp;" "&amp;Milestones!$AB$99&amp;" "&amp;Milestones!$AC$99&amp;";  ",""))</f>
        <v/>
      </c>
      <c r="M50" s="0" t="str">
        <f aca="false">IF(OR($A50="",$D50=""),"",IF(AND(EDATE($D50,Milestones!$AA$100)&lt;=AsOfDate,IF($R50=0,$X50,IF(AND($T50&lt;&gt;"",EDATE($D50,Milestones!$AA$100)&gt;=$T50),$W50,IF(AND($S50&lt;&gt;"",EDATE($D50,Milestones!$AA$100)&gt;=$S50),$V50,$U50)))=Milestones!$AB$100),UPPER(TEXT(EDATE($D50,Milestones!$AA$100),"dd mmm yy"))&amp;" "&amp;Milestones!$AB$100&amp;" "&amp;Milestones!$AC$100&amp;";  ","")&amp;IF(AND(EDATE($D50,Milestones!$AA$101)&lt;=AsOfDate,IF($R50=0,$X50,IF(AND($T50&lt;&gt;"",EDATE($D50,Milestones!$AA$101)&gt;=$T50),$W50,IF(AND($S50&lt;&gt;"",EDATE($D50,Milestones!$AA$101)&gt;=$S50),$V50,$U50)))=Milestones!$AB$101),UPPER(TEXT(EDATE($D50,Milestones!$AA$101),"dd mmm yy"))&amp;" "&amp;Milestones!$AB$101&amp;" "&amp;Milestones!$AC$101&amp;";  ","")&amp;IF(AND(EDATE($D50,Milestones!$AA$102)&lt;=AsOfDate,IF($R50=0,$X50,IF(AND($T50&lt;&gt;"",EDATE($D50,Milestones!$AA$102)&gt;=$T50),$W50,IF(AND($S50&lt;&gt;"",EDATE($D50,Milestones!$AA$102)&gt;=$S50),$V50,$U50)))=Milestones!$AB$102),UPPER(TEXT(EDATE($D50,Milestones!$AA$102),"dd mmm yy"))&amp;" "&amp;Milestones!$AB$102&amp;" "&amp;Milestones!$AC$102&amp;";  ","")&amp;IF(AND(EDATE($D50,Milestones!$AA$103)&lt;=AsOfDate,IF($R50=0,$X50,IF(AND($T50&lt;&gt;"",EDATE($D50,Milestones!$AA$103)&gt;=$T50),$W50,IF(AND($S50&lt;&gt;"",EDATE($D50,Milestones!$AA$103)&gt;=$S50),$V50,$U50)))=Milestones!$AB$103),UPPER(TEXT(EDATE($D50,Milestones!$AA$103),"dd mmm yy"))&amp;" "&amp;Milestones!$AB$103&amp;" "&amp;Milestones!$AC$103&amp;";  ","")&amp;IF(AND(EDATE($D50,Milestones!$AA$104)&lt;=AsOfDate,IF($R50=0,$X50,IF(AND($T50&lt;&gt;"",EDATE($D50,Milestones!$AA$104)&gt;=$T50),$W50,IF(AND($S50&lt;&gt;"",EDATE($D50,Milestones!$AA$104)&gt;=$S50),$V50,$U50)))=Milestones!$AB$104),UPPER(TEXT(EDATE($D50,Milestones!$AA$104),"dd mmm yy"))&amp;" "&amp;Milestones!$AB$104&amp;" "&amp;Milestones!$AC$104&amp;";  ","")&amp;IF(AND(EDATE($D50,Milestones!$AA$105)&lt;=AsOfDate,IF($R50=0,$X50,IF(AND($T50&lt;&gt;"",EDATE($D50,Milestones!$AA$105)&gt;=$T50),$W50,IF(AND($S50&lt;&gt;"",EDATE($D50,Milestones!$AA$105)&gt;=$S50),$V50,$U50)))=Milestones!$AB$105),UPPER(TEXT(EDATE($D50,Milestones!$AA$105),"dd mmm yy"))&amp;" "&amp;Milestones!$AB$105&amp;" "&amp;Milestones!$AC$105&amp;";  ","")&amp;IF(AND(EDATE($D50,Milestones!$AA$106)&lt;=AsOfDate,IF($R50=0,$X50,IF(AND($T50&lt;&gt;"",EDATE($D50,Milestones!$AA$106)&gt;=$T50),$W50,IF(AND($S50&lt;&gt;"",EDATE($D50,Milestones!$AA$106)&gt;=$S50),$V50,$U50)))=Milestones!$AB$106),UPPER(TEXT(EDATE($D50,Milestones!$AA$106),"dd mmm yy"))&amp;" "&amp;Milestones!$AB$106&amp;" "&amp;Milestones!$AC$106&amp;";  ","")&amp;IF(AND(EDATE($D50,Milestones!$AA$107)&lt;=AsOfDate,IF($R50=0,$X50,IF(AND($T50&lt;&gt;"",EDATE($D50,Milestones!$AA$107)&gt;=$T50),$W50,IF(AND($S50&lt;&gt;"",EDATE($D50,Milestones!$AA$107)&gt;=$S50),$V50,$U50)))=Milestones!$AB$107),UPPER(TEXT(EDATE($D50,Milestones!$AA$107),"dd mmm yy"))&amp;" "&amp;Milestones!$AB$107&amp;" "&amp;Milestones!$AC$107&amp;";  ","")&amp;IF(AND(EDATE($D50,Milestones!$AA$108)&lt;=AsOfDate,IF($R50=0,$X50,IF(AND($T50&lt;&gt;"",EDATE($D50,Milestones!$AA$108)&gt;=$T50),$W50,IF(AND($S50&lt;&gt;"",EDATE($D50,Milestones!$AA$108)&gt;=$S50),$V50,$U50)))=Milestones!$AB$108),UPPER(TEXT(EDATE($D50,Milestones!$AA$108),"dd mmm yy"))&amp;" "&amp;Milestones!$AB$108&amp;" "&amp;Milestones!$AC$108&amp;";  ","")&amp;IF(AND(EDATE($D50,Milestones!$AA$109)&lt;=AsOfDate,IF($R50=0,$X50,IF(AND($T50&lt;&gt;"",EDATE($D50,Milestones!$AA$109)&gt;=$T50),$W50,IF(AND($S50&lt;&gt;"",EDATE($D50,Milestones!$AA$109)&gt;=$S50),$V50,$U50)))=Milestones!$AB$109),UPPER(TEXT(EDATE($D50,Milestones!$AA$109),"dd mmm yy"))&amp;" "&amp;Milestones!$AB$109&amp;" "&amp;Milestones!$AC$109&amp;";  ","")&amp;IF(AND(EDATE($D50,Milestones!$AA$110)&lt;=AsOfDate,IF($R50=0,$X50,IF(AND($T50&lt;&gt;"",EDATE($D50,Milestones!$AA$110)&gt;=$T50),$W50,IF(AND($S50&lt;&gt;"",EDATE($D50,Milestones!$AA$110)&gt;=$S50),$V50,$U50)))=Milestones!$AB$110),UPPER(TEXT(EDATE($D50,Milestones!$AA$110),"dd mmm yy"))&amp;" "&amp;Milestones!$AB$110&amp;" "&amp;Milestones!$AC$110&amp;";  ","")&amp;IF(AND(EDATE($D50,Milestones!$AA$111)&lt;=AsOfDate,IF($R50=0,$X50,IF(AND($T50&lt;&gt;"",EDATE($D50,Milestones!$AA$111)&gt;=$T50),$W50,IF(AND($S50&lt;&gt;"",EDATE($D50,Milestones!$AA$111)&gt;=$S50),$V50,$U50)))=Milestones!$AB$111),UPPER(TEXT(EDATE($D50,Milestones!$AA$111),"dd mmm yy"))&amp;" "&amp;Milestones!$AB$111&amp;" "&amp;Milestones!$AC$111&amp;";  ","")&amp;IF(AND(EDATE($D50,Milestones!$AA$112)&lt;=AsOfDate,IF($R50=0,$X50,IF(AND($T50&lt;&gt;"",EDATE($D50,Milestones!$AA$112)&gt;=$T50),$W50,IF(AND($S50&lt;&gt;"",EDATE($D50,Milestones!$AA$112)&gt;=$S50),$V50,$U50)))=Milestones!$AB$112),UPPER(TEXT(EDATE($D50,Milestones!$AA$112),"dd mmm yy"))&amp;" "&amp;Milestones!$AB$112&amp;" "&amp;Milestones!$AC$112&amp;";  ","")&amp;IF(AND(EDATE($D50,Milestones!$AA$113)&lt;=AsOfDate,IF($R50=0,$X50,IF(AND($T50&lt;&gt;"",EDATE($D50,Milestones!$AA$113)&gt;=$T50),$W50,IF(AND($S50&lt;&gt;"",EDATE($D50,Milestones!$AA$113)&gt;=$S50),$V50,$U50)))=Milestones!$AB$113),UPPER(TEXT(EDATE($D50,Milestones!$AA$113),"dd mmm yy"))&amp;" "&amp;Milestones!$AB$113&amp;" "&amp;Milestones!$AC$113&amp;";  ","")&amp;IF(AND(EDATE($D50,Milestones!$AA$114)&lt;=AsOfDate,IF($R50=0,$X50,IF(AND($T50&lt;&gt;"",EDATE($D50,Milestones!$AA$114)&gt;=$T50),$W50,IF(AND($S50&lt;&gt;"",EDATE($D50,Milestones!$AA$114)&gt;=$S50),$V50,$U50)))=Milestones!$AB$114),UPPER(TEXT(EDATE($D50,Milestones!$AA$114),"dd mmm yy"))&amp;" "&amp;Milestones!$AB$114&amp;" "&amp;Milestones!$AC$114&amp;";  ","")&amp;IF(AND(EDATE($D50,Milestones!$AA$115)&lt;=AsOfDate,IF($R50=0,$X50,IF(AND($T50&lt;&gt;"",EDATE($D50,Milestones!$AA$115)&gt;=$T50),$W50,IF(AND($S50&lt;&gt;"",EDATE($D50,Milestones!$AA$115)&gt;=$S50),$V50,$U50)))=Milestones!$AB$115),UPPER(TEXT(EDATE($D50,Milestones!$AA$115),"dd mmm yy"))&amp;" "&amp;Milestones!$AB$115&amp;" "&amp;Milestones!$AC$115&amp;";  ","")&amp;IF(AND(EDATE($D50,Milestones!$AA$116)&lt;=AsOfDate,IF($R50=0,$X50,IF(AND($T50&lt;&gt;"",EDATE($D50,Milestones!$AA$116)&gt;=$T50),$W50,IF(AND($S50&lt;&gt;"",EDATE($D50,Milestones!$AA$116)&gt;=$S50),$V50,$U50)))=Milestones!$AB$116),UPPER(TEXT(EDATE($D50,Milestones!$AA$116),"dd mmm yy"))&amp;" "&amp;Milestones!$AB$116&amp;" "&amp;Milestones!$AC$116&amp;";  ","")&amp;IF(AND(EDATE($D50,Milestones!$AA$117)&lt;=AsOfDate,IF($R50=0,$X50,IF(AND($T50&lt;&gt;"",EDATE($D50,Milestones!$AA$117)&gt;=$T50),$W50,IF(AND($S50&lt;&gt;"",EDATE($D50,Milestones!$AA$117)&gt;=$S50),$V50,$U50)))=Milestones!$AB$117),UPPER(TEXT(EDATE($D50,Milestones!$AA$117),"dd mmm yy"))&amp;" "&amp;Milestones!$AB$117&amp;" "&amp;Milestones!$AC$117&amp;";  ","")&amp;IF(AND(EDATE($D50,Milestones!$AA$118)&lt;=AsOfDate,IF($R50=0,$X50,IF(AND($T50&lt;&gt;"",EDATE($D50,Milestones!$AA$118)&gt;=$T50),$W50,IF(AND($S50&lt;&gt;"",EDATE($D50,Milestones!$AA$118)&gt;=$S50),$V50,$U50)))=Milestones!$AB$118),UPPER(TEXT(EDATE($D50,Milestones!$AA$118),"dd mmm yy"))&amp;" "&amp;Milestones!$AB$118&amp;" "&amp;Milestones!$AC$118&amp;";  ","")&amp;IF(AND(EDATE($D50,Milestones!$AA$119)&lt;=AsOfDate,IF($R50=0,$X50,IF(AND($T50&lt;&gt;"",EDATE($D50,Milestones!$AA$119)&gt;=$T50),$W50,IF(AND($S50&lt;&gt;"",EDATE($D50,Milestones!$AA$119)&gt;=$S50),$V50,$U50)))=Milestones!$AB$119),UPPER(TEXT(EDATE($D50,Milestones!$AA$119),"dd mmm yy"))&amp;" "&amp;Milestones!$AB$119&amp;" "&amp;Milestones!$AC$119&amp;";  ",""))</f>
        <v/>
      </c>
      <c r="N50" s="0" t="str">
        <f aca="false">IF(OR($A50="",$D50=""),"",IF(AND(EDATE($D50,Milestones!$AA$120)&lt;=AsOfDate,IF($R50=0,$X50,IF(AND($T50&lt;&gt;"",EDATE($D50,Milestones!$AA$120)&gt;=$T50),$W50,IF(AND($S50&lt;&gt;"",EDATE($D50,Milestones!$AA$120)&gt;=$S50),$V50,$U50)))=Milestones!$AB$120),UPPER(TEXT(EDATE($D50,Milestones!$AA$120),"dd mmm yy"))&amp;" "&amp;Milestones!$AB$120&amp;" "&amp;Milestones!$AC$120&amp;";  ","")&amp;IF(AND(EDATE($D50,Milestones!$AA$121)&lt;=AsOfDate,IF($R50=0,$X50,IF(AND($T50&lt;&gt;"",EDATE($D50,Milestones!$AA$121)&gt;=$T50),$W50,IF(AND($S50&lt;&gt;"",EDATE($D50,Milestones!$AA$121)&gt;=$S50),$V50,$U50)))=Milestones!$AB$121),UPPER(TEXT(EDATE($D50,Milestones!$AA$121),"dd mmm yy"))&amp;" "&amp;Milestones!$AB$121&amp;" "&amp;Milestones!$AC$121&amp;";  ","")&amp;IF(AND(EDATE($D50,Milestones!$AA$122)&lt;=AsOfDate,IF($R50=0,$X50,IF(AND($T50&lt;&gt;"",EDATE($D50,Milestones!$AA$122)&gt;=$T50),$W50,IF(AND($S50&lt;&gt;"",EDATE($D50,Milestones!$AA$122)&gt;=$S50),$V50,$U50)))=Milestones!$AB$122),UPPER(TEXT(EDATE($D50,Milestones!$AA$122),"dd mmm yy"))&amp;" "&amp;Milestones!$AB$122&amp;" "&amp;Milestones!$AC$122&amp;";  ","")&amp;IF(AND(EDATE($D50,Milestones!$AA$123)&lt;=AsOfDate,IF($R50=0,$X50,IF(AND($T50&lt;&gt;"",EDATE($D50,Milestones!$AA$123)&gt;=$T50),$W50,IF(AND($S50&lt;&gt;"",EDATE($D50,Milestones!$AA$123)&gt;=$S50),$V50,$U50)))=Milestones!$AB$123),UPPER(TEXT(EDATE($D50,Milestones!$AA$123),"dd mmm yy"))&amp;" "&amp;Milestones!$AB$123&amp;" "&amp;Milestones!$AC$123&amp;";  ","")&amp;IF(AND(EDATE($D50,Milestones!$AA$124)&lt;=AsOfDate,IF($R50=0,$X50,IF(AND($T50&lt;&gt;"",EDATE($D50,Milestones!$AA$124)&gt;=$T50),$W50,IF(AND($S50&lt;&gt;"",EDATE($D50,Milestones!$AA$124)&gt;=$S50),$V50,$U50)))=Milestones!$AB$124),UPPER(TEXT(EDATE($D50,Milestones!$AA$124),"dd mmm yy"))&amp;" "&amp;Milestones!$AB$124&amp;" "&amp;Milestones!$AC$124&amp;";  ","")&amp;IF(AND(EDATE($D50,Milestones!$AA$125)&lt;=AsOfDate,IF($R50=0,$X50,IF(AND($T50&lt;&gt;"",EDATE($D50,Milestones!$AA$125)&gt;=$T50),$W50,IF(AND($S50&lt;&gt;"",EDATE($D50,Milestones!$AA$125)&gt;=$S50),$V50,$U50)))=Milestones!$AB$125),UPPER(TEXT(EDATE($D50,Milestones!$AA$125),"dd mmm yy"))&amp;" "&amp;Milestones!$AB$125&amp;" "&amp;Milestones!$AC$125&amp;";  ","")&amp;IF(AND(EDATE($D50,Milestones!$AA$126)&lt;=AsOfDate,IF($R50=0,$X50,IF(AND($T50&lt;&gt;"",EDATE($D50,Milestones!$AA$126)&gt;=$T50),$W50,IF(AND($S50&lt;&gt;"",EDATE($D50,Milestones!$AA$126)&gt;=$S50),$V50,$U50)))=Milestones!$AB$126),UPPER(TEXT(EDATE($D50,Milestones!$AA$126),"dd mmm yy"))&amp;" "&amp;Milestones!$AB$126&amp;" "&amp;Milestones!$AC$126&amp;";  ","")&amp;IF(AND(EDATE($D50,Milestones!$AA$127)&lt;=AsOfDate,IF($R50=0,$X50,IF(AND($T50&lt;&gt;"",EDATE($D50,Milestones!$AA$127)&gt;=$T50),$W50,IF(AND($S50&lt;&gt;"",EDATE($D50,Milestones!$AA$127)&gt;=$S50),$V50,$U50)))=Milestones!$AB$127),UPPER(TEXT(EDATE($D50,Milestones!$AA$127),"dd mmm yy"))&amp;" "&amp;Milestones!$AB$127&amp;" "&amp;Milestones!$AC$127&amp;";  ","")&amp;IF(AND(EDATE($D50,Milestones!$AA$128)&lt;=AsOfDate,IF($R50=0,$X50,IF(AND($T50&lt;&gt;"",EDATE($D50,Milestones!$AA$128)&gt;=$T50),$W50,IF(AND($S50&lt;&gt;"",EDATE($D50,Milestones!$AA$128)&gt;=$S50),$V50,$U50)))=Milestones!$AB$128),UPPER(TEXT(EDATE($D50,Milestones!$AA$128),"dd mmm yy"))&amp;" "&amp;Milestones!$AB$128&amp;" "&amp;Milestones!$AC$128&amp;";  ","")&amp;IF(AND(EDATE($D50,Milestones!$AA$129)&lt;=AsOfDate,IF($R50=0,$X50,IF(AND($T50&lt;&gt;"",EDATE($D50,Milestones!$AA$129)&gt;=$T50),$W50,IF(AND($S50&lt;&gt;"",EDATE($D50,Milestones!$AA$129)&gt;=$S50),$V50,$U50)))=Milestones!$AB$129),UPPER(TEXT(EDATE($D50,Milestones!$AA$129),"dd mmm yy"))&amp;" "&amp;Milestones!$AB$129&amp;" "&amp;Milestones!$AC$129&amp;";  ","")&amp;IF(AND(EDATE($D50,Milestones!$AA$130)&lt;=AsOfDate,IF($R50=0,$X50,IF(AND($T50&lt;&gt;"",EDATE($D50,Milestones!$AA$130)&gt;=$T50),$W50,IF(AND($S50&lt;&gt;"",EDATE($D50,Milestones!$AA$130)&gt;=$S50),$V50,$U50)))=Milestones!$AB$130),UPPER(TEXT(EDATE($D50,Milestones!$AA$130),"dd mmm yy"))&amp;" "&amp;Milestones!$AB$130&amp;" "&amp;Milestones!$AC$130&amp;";  ","")&amp;IF(AND(EDATE($D50,Milestones!$AA$131)&lt;=AsOfDate,IF($R50=0,$X50,IF(AND($T50&lt;&gt;"",EDATE($D50,Milestones!$AA$131)&gt;=$T50),$W50,IF(AND($S50&lt;&gt;"",EDATE($D50,Milestones!$AA$131)&gt;=$S50),$V50,$U50)))=Milestones!$AB$131),UPPER(TEXT(EDATE($D50,Milestones!$AA$131),"dd mmm yy"))&amp;" "&amp;Milestones!$AB$131&amp;" "&amp;Milestones!$AC$131&amp;";  ","")&amp;IF(AND(EDATE($D50,Milestones!$AA$132)&lt;=AsOfDate,IF($R50=0,$X50,IF(AND($T50&lt;&gt;"",EDATE($D50,Milestones!$AA$132)&gt;=$T50),$W50,IF(AND($S50&lt;&gt;"",EDATE($D50,Milestones!$AA$132)&gt;=$S50),$V50,$U50)))=Milestones!$AB$132),UPPER(TEXT(EDATE($D50,Milestones!$AA$132),"dd mmm yy"))&amp;" "&amp;Milestones!$AB$132&amp;" "&amp;Milestones!$AC$132&amp;";  ","")&amp;IF(AND(EDATE($D50,Milestones!$AA$133)&lt;=AsOfDate,IF($R50=0,$X50,IF(AND($T50&lt;&gt;"",EDATE($D50,Milestones!$AA$133)&gt;=$T50),$W50,IF(AND($S50&lt;&gt;"",EDATE($D50,Milestones!$AA$133)&gt;=$S50),$V50,$U50)))=Milestones!$AB$133),UPPER(TEXT(EDATE($D50,Milestones!$AA$133),"dd mmm yy"))&amp;" "&amp;Milestones!$AB$133&amp;" "&amp;Milestones!$AC$133&amp;";  ","")&amp;IF(AND(EDATE($D50,Milestones!$AA$134)&lt;=AsOfDate,IF($R50=0,$X50,IF(AND($T50&lt;&gt;"",EDATE($D50,Milestones!$AA$134)&gt;=$T50),$W50,IF(AND($S50&lt;&gt;"",EDATE($D50,Milestones!$AA$134)&gt;=$S50),$V50,$U50)))=Milestones!$AB$134),UPPER(TEXT(EDATE($D50,Milestones!$AA$134),"dd mmm yy"))&amp;" "&amp;Milestones!$AB$134&amp;" "&amp;Milestones!$AC$134&amp;";  ","")&amp;IF(AND(EDATE($D50,Milestones!$AA$135)&lt;=AsOfDate,IF($R50=0,$X50,IF(AND($T50&lt;&gt;"",EDATE($D50,Milestones!$AA$135)&gt;=$T50),$W50,IF(AND($S50&lt;&gt;"",EDATE($D50,Milestones!$AA$135)&gt;=$S50),$V50,$U50)))=Milestones!$AB$135),UPPER(TEXT(EDATE($D50,Milestones!$AA$135),"dd mmm yy"))&amp;" "&amp;Milestones!$AB$135&amp;" "&amp;Milestones!$AC$135&amp;";  ","")&amp;IF(AND(EDATE($D50,Milestones!$AA$136)&lt;=AsOfDate,IF($R50=0,$X50,IF(AND($T50&lt;&gt;"",EDATE($D50,Milestones!$AA$136)&gt;=$T50),$W50,IF(AND($S50&lt;&gt;"",EDATE($D50,Milestones!$AA$136)&gt;=$S50),$V50,$U50)))=Milestones!$AB$136),UPPER(TEXT(EDATE($D50,Milestones!$AA$136),"dd mmm yy"))&amp;" "&amp;Milestones!$AB$136&amp;" "&amp;Milestones!$AC$136&amp;";  ","")&amp;IF(AND(EDATE($D50,Milestones!$AA$137)&lt;=AsOfDate,IF($R50=0,$X50,IF(AND($T50&lt;&gt;"",EDATE($D50,Milestones!$AA$137)&gt;=$T50),$W50,IF(AND($S50&lt;&gt;"",EDATE($D50,Milestones!$AA$137)&gt;=$S50),$V50,$U50)))=Milestones!$AB$137),UPPER(TEXT(EDATE($D50,Milestones!$AA$137),"dd mmm yy"))&amp;" "&amp;Milestones!$AB$137&amp;" "&amp;Milestones!$AC$137&amp;";  ","")&amp;IF(AND(EDATE($D50,Milestones!$AA$138)&lt;=AsOfDate,IF($R50=0,$X50,IF(AND($T50&lt;&gt;"",EDATE($D50,Milestones!$AA$138)&gt;=$T50),$W50,IF(AND($S50&lt;&gt;"",EDATE($D50,Milestones!$AA$138)&gt;=$S50),$V50,$U50)))=Milestones!$AB$138),UPPER(TEXT(EDATE($D50,Milestones!$AA$138),"dd mmm yy"))&amp;" "&amp;Milestones!$AB$138&amp;" "&amp;Milestones!$AC$138&amp;";  ","")&amp;IF(AND(EDATE($D50,Milestones!$AA$139)&lt;=AsOfDate,IF($R50=0,$X50,IF(AND($T50&lt;&gt;"",EDATE($D50,Milestones!$AA$139)&gt;=$T50),$W50,IF(AND($S50&lt;&gt;"",EDATE($D50,Milestones!$AA$139)&gt;=$S50),$V50,$U50)))=Milestones!$AB$139),UPPER(TEXT(EDATE($D50,Milestones!$AA$139),"dd mmm yy"))&amp;" "&amp;Milestones!$AB$139&amp;" "&amp;Milestones!$AC$139&amp;";  ",""))</f>
        <v/>
      </c>
      <c r="O50" s="0" t="str">
        <f aca="false">IF(OR($A50="",$D50=""),"",IF(AND(EDATE($D50,Milestones!$AA$140)&lt;=AsOfDate,IF($R50=0,$X50,IF(AND($T50&lt;&gt;"",EDATE($D50,Milestones!$AA$140)&gt;=$T50),$W50,IF(AND($S50&lt;&gt;"",EDATE($D50,Milestones!$AA$140)&gt;=$S50),$V50,$U50)))=Milestones!$AB$140),UPPER(TEXT(EDATE($D50,Milestones!$AA$140),"dd mmm yy"))&amp;" "&amp;Milestones!$AB$140&amp;" "&amp;Milestones!$AC$140&amp;";  ","")&amp;IF(AND(EDATE($D50,Milestones!$AA$141)&lt;=AsOfDate,IF($R50=0,$X50,IF(AND($T50&lt;&gt;"",EDATE($D50,Milestones!$AA$141)&gt;=$T50),$W50,IF(AND($S50&lt;&gt;"",EDATE($D50,Milestones!$AA$141)&gt;=$S50),$V50,$U50)))=Milestones!$AB$141),UPPER(TEXT(EDATE($D50,Milestones!$AA$141),"dd mmm yy"))&amp;" "&amp;Milestones!$AB$141&amp;" "&amp;Milestones!$AC$141&amp;";  ","")&amp;IF(AND(EDATE($D50,Milestones!$AA$142)&lt;=AsOfDate,IF($R50=0,$X50,IF(AND($T50&lt;&gt;"",EDATE($D50,Milestones!$AA$142)&gt;=$T50),$W50,IF(AND($S50&lt;&gt;"",EDATE($D50,Milestones!$AA$142)&gt;=$S50),$V50,$U50)))=Milestones!$AB$142),UPPER(TEXT(EDATE($D50,Milestones!$AA$142),"dd mmm yy"))&amp;" "&amp;Milestones!$AB$142&amp;" "&amp;Milestones!$AC$142&amp;";  ","")&amp;IF(AND(EDATE($D50,Milestones!$AA$143)&lt;=AsOfDate,IF($R50=0,$X50,IF(AND($T50&lt;&gt;"",EDATE($D50,Milestones!$AA$143)&gt;=$T50),$W50,IF(AND($S50&lt;&gt;"",EDATE($D50,Milestones!$AA$143)&gt;=$S50),$V50,$U50)))=Milestones!$AB$143),UPPER(TEXT(EDATE($D50,Milestones!$AA$143),"dd mmm yy"))&amp;" "&amp;Milestones!$AB$143&amp;" "&amp;Milestones!$AC$143&amp;";  ","")&amp;IF(AND(EDATE($D50,Milestones!$AA$144)&lt;=AsOfDate,IF($R50=0,$X50,IF(AND($T50&lt;&gt;"",EDATE($D50,Milestones!$AA$144)&gt;=$T50),$W50,IF(AND($S50&lt;&gt;"",EDATE($D50,Milestones!$AA$144)&gt;=$S50),$V50,$U50)))=Milestones!$AB$144),UPPER(TEXT(EDATE($D50,Milestones!$AA$144),"dd mmm yy"))&amp;" "&amp;Milestones!$AB$144&amp;" "&amp;Milestones!$AC$144&amp;";  ","")&amp;IF(AND(EDATE($D50,Milestones!$AA$145)&lt;=AsOfDate,IF($R50=0,$X50,IF(AND($T50&lt;&gt;"",EDATE($D50,Milestones!$AA$145)&gt;=$T50),$W50,IF(AND($S50&lt;&gt;"",EDATE($D50,Milestones!$AA$145)&gt;=$S50),$V50,$U50)))=Milestones!$AB$145),UPPER(TEXT(EDATE($D50,Milestones!$AA$145),"dd mmm yy"))&amp;" "&amp;Milestones!$AB$145&amp;" "&amp;Milestones!$AC$145&amp;";  ","")&amp;IF(AND(EDATE($D50,Milestones!$AA$146)&lt;=AsOfDate,IF($R50=0,$X50,IF(AND($T50&lt;&gt;"",EDATE($D50,Milestones!$AA$146)&gt;=$T50),$W50,IF(AND($S50&lt;&gt;"",EDATE($D50,Milestones!$AA$146)&gt;=$S50),$V50,$U50)))=Milestones!$AB$146),UPPER(TEXT(EDATE($D50,Milestones!$AA$146),"dd mmm yy"))&amp;" "&amp;Milestones!$AB$146&amp;" "&amp;Milestones!$AC$146&amp;";  ","")&amp;IF(AND(EDATE($D50,Milestones!$AA$147)&lt;=AsOfDate,IF($R50=0,$X50,IF(AND($T50&lt;&gt;"",EDATE($D50,Milestones!$AA$147)&gt;=$T50),$W50,IF(AND($S50&lt;&gt;"",EDATE($D50,Milestones!$AA$147)&gt;=$S50),$V50,$U50)))=Milestones!$AB$147),UPPER(TEXT(EDATE($D50,Milestones!$AA$147),"dd mmm yy"))&amp;" "&amp;Milestones!$AB$147&amp;" "&amp;Milestones!$AC$147&amp;";  ","")&amp;IF(AND(EDATE($D50,Milestones!$AA$148)&lt;=AsOfDate,IF($R50=0,$X50,IF(AND($T50&lt;&gt;"",EDATE($D50,Milestones!$AA$148)&gt;=$T50),$W50,IF(AND($S50&lt;&gt;"",EDATE($D50,Milestones!$AA$148)&gt;=$S50),$V50,$U50)))=Milestones!$AB$148),UPPER(TEXT(EDATE($D50,Milestones!$AA$148),"dd mmm yy"))&amp;" "&amp;Milestones!$AB$148&amp;" "&amp;Milestones!$AC$148&amp;";  ","")&amp;IF(AND(EDATE($D50,Milestones!$AA$149)&lt;=AsOfDate,IF($R50=0,$X50,IF(AND($T50&lt;&gt;"",EDATE($D50,Milestones!$AA$149)&gt;=$T50),$W50,IF(AND($S50&lt;&gt;"",EDATE($D50,Milestones!$AA$149)&gt;=$S50),$V50,$U50)))=Milestones!$AB$149),UPPER(TEXT(EDATE($D50,Milestones!$AA$149),"dd mmm yy"))&amp;" "&amp;Milestones!$AB$149&amp;" "&amp;Milestones!$AC$149&amp;";  ","")&amp;IF(AND(EDATE($D50,Milestones!$AA$150)&lt;=AsOfDate,IF($R50=0,$X50,IF(AND($T50&lt;&gt;"",EDATE($D50,Milestones!$AA$150)&gt;=$T50),$W50,IF(AND($S50&lt;&gt;"",EDATE($D50,Milestones!$AA$150)&gt;=$S50),$V50,$U50)))=Milestones!$AB$150),UPPER(TEXT(EDATE($D50,Milestones!$AA$150),"dd mmm yy"))&amp;" "&amp;Milestones!$AB$150&amp;" "&amp;Milestones!$AC$150&amp;";  ","")&amp;IF(AND(EDATE($D50,Milestones!$AA$151)&lt;=AsOfDate,IF($R50=0,$X50,IF(AND($T50&lt;&gt;"",EDATE($D50,Milestones!$AA$151)&gt;=$T50),$W50,IF(AND($S50&lt;&gt;"",EDATE($D50,Milestones!$AA$151)&gt;=$S50),$V50,$U50)))=Milestones!$AB$151),UPPER(TEXT(EDATE($D50,Milestones!$AA$151),"dd mmm yy"))&amp;" "&amp;Milestones!$AB$151&amp;" "&amp;Milestones!$AC$151&amp;";  ","")&amp;IF(AND(EDATE($D50,Milestones!$AA$152)&lt;=AsOfDate,IF($R50=0,$X50,IF(AND($T50&lt;&gt;"",EDATE($D50,Milestones!$AA$152)&gt;=$T50),$W50,IF(AND($S50&lt;&gt;"",EDATE($D50,Milestones!$AA$152)&gt;=$S50),$V50,$U50)))=Milestones!$AB$152),UPPER(TEXT(EDATE($D50,Milestones!$AA$152),"dd mmm yy"))&amp;" "&amp;Milestones!$AB$152&amp;" "&amp;Milestones!$AC$152&amp;";  ","")&amp;IF(AND(EDATE($D50,Milestones!$AA$153)&lt;=AsOfDate,IF($R50=0,$X50,IF(AND($T50&lt;&gt;"",EDATE($D50,Milestones!$AA$153)&gt;=$T50),$W50,IF(AND($S50&lt;&gt;"",EDATE($D50,Milestones!$AA$153)&gt;=$S50),$V50,$U50)))=Milestones!$AB$153),UPPER(TEXT(EDATE($D50,Milestones!$AA$153),"dd mmm yy"))&amp;" "&amp;Milestones!$AB$153&amp;" "&amp;Milestones!$AC$153&amp;";  ","")&amp;IF(AND(EDATE($D50,Milestones!$AA$154)&lt;=AsOfDate,IF($R50=0,$X50,IF(AND($T50&lt;&gt;"",EDATE($D50,Milestones!$AA$154)&gt;=$T50),$W50,IF(AND($S50&lt;&gt;"",EDATE($D50,Milestones!$AA$154)&gt;=$S50),$V50,$U50)))=Milestones!$AB$154),UPPER(TEXT(EDATE($D50,Milestones!$AA$154),"dd mmm yy"))&amp;" "&amp;Milestones!$AB$154&amp;" "&amp;Milestones!$AC$154&amp;";  ","")&amp;IF(AND(EDATE($D50,Milestones!$AA$155)&lt;=AsOfDate,IF($R50=0,$X50,IF(AND($T50&lt;&gt;"",EDATE($D50,Milestones!$AA$155)&gt;=$T50),$W50,IF(AND($S50&lt;&gt;"",EDATE($D50,Milestones!$AA$155)&gt;=$S50),$V50,$U50)))=Milestones!$AB$155),UPPER(TEXT(EDATE($D50,Milestones!$AA$155),"dd mmm yy"))&amp;" "&amp;Milestones!$AB$155&amp;" "&amp;Milestones!$AC$155&amp;";  ","")&amp;IF(AND(EDATE($D50,Milestones!$AA$156)&lt;=AsOfDate,IF($R50=0,$X50,IF(AND($T50&lt;&gt;"",EDATE($D50,Milestones!$AA$156)&gt;=$T50),$W50,IF(AND($S50&lt;&gt;"",EDATE($D50,Milestones!$AA$156)&gt;=$S50),$V50,$U50)))=Milestones!$AB$156),UPPER(TEXT(EDATE($D50,Milestones!$AA$156),"dd mmm yy"))&amp;" "&amp;Milestones!$AB$156&amp;" "&amp;Milestones!$AC$156&amp;";  ","")&amp;IF(AND(EDATE($D50,Milestones!$AA$157)&lt;=AsOfDate,IF($R50=0,$X50,IF(AND($T50&lt;&gt;"",EDATE($D50,Milestones!$AA$157)&gt;=$T50),$W50,IF(AND($S50&lt;&gt;"",EDATE($D50,Milestones!$AA$157)&gt;=$S50),$V50,$U50)))=Milestones!$AB$157),UPPER(TEXT(EDATE($D50,Milestones!$AA$157),"dd mmm yy"))&amp;" "&amp;Milestones!$AB$157&amp;" "&amp;Milestones!$AC$157&amp;";  ","")&amp;IF(AND(EDATE($D50,Milestones!$AA$158)&lt;=AsOfDate,IF($R50=0,$X50,IF(AND($T50&lt;&gt;"",EDATE($D50,Milestones!$AA$158)&gt;=$T50),$W50,IF(AND($S50&lt;&gt;"",EDATE($D50,Milestones!$AA$158)&gt;=$S50),$V50,$U50)))=Milestones!$AB$158),UPPER(TEXT(EDATE($D50,Milestones!$AA$158),"dd mmm yy"))&amp;" "&amp;Milestones!$AB$158&amp;" "&amp;Milestones!$AC$158&amp;";  ","")&amp;IF(AND(EDATE($D50,Milestones!$AA$159)&lt;=AsOfDate,IF($R50=0,$X50,IF(AND($T50&lt;&gt;"",EDATE($D50,Milestones!$AA$159)&gt;=$T50),$W50,IF(AND($S50&lt;&gt;"",EDATE($D50,Milestones!$AA$159)&gt;=$S50),$V50,$U50)))=Milestones!$AB$159),UPPER(TEXT(EDATE($D50,Milestones!$AA$159),"dd mmm yy"))&amp;" "&amp;Milestones!$AB$159&amp;" "&amp;Milestones!$AC$159&amp;";  ",""))</f>
        <v/>
      </c>
      <c r="P50" s="0" t="str">
        <f aca="false">IF(OR($A50="",$D50=""),"",IF(AND(EDATE($D50,Milestones!$AA$160)&lt;=AsOfDate,IF($R50=0,$X50,IF(AND($T50&lt;&gt;"",EDATE($D50,Milestones!$AA$160)&gt;=$T50),$W50,IF(AND($S50&lt;&gt;"",EDATE($D50,Milestones!$AA$160)&gt;=$S50),$V50,$U50)))=Milestones!$AB$160),UPPER(TEXT(EDATE($D50,Milestones!$AA$160),"dd mmm yy"))&amp;" "&amp;Milestones!$AB$160&amp;" "&amp;Milestones!$AC$160&amp;";  ","")&amp;IF(AND(EDATE($D50,Milestones!$AA$161)&lt;=AsOfDate,IF($R50=0,$X50,IF(AND($T50&lt;&gt;"",EDATE($D50,Milestones!$AA$161)&gt;=$T50),$W50,IF(AND($S50&lt;&gt;"",EDATE($D50,Milestones!$AA$161)&gt;=$S50),$V50,$U50)))=Milestones!$AB$161),UPPER(TEXT(EDATE($D50,Milestones!$AA$161),"dd mmm yy"))&amp;" "&amp;Milestones!$AB$161&amp;" "&amp;Milestones!$AC$161&amp;";  ","")&amp;IF(AND(EDATE($D50,Milestones!$AA$162)&lt;=AsOfDate,IF($R50=0,$X50,IF(AND($T50&lt;&gt;"",EDATE($D50,Milestones!$AA$162)&gt;=$T50),$W50,IF(AND($S50&lt;&gt;"",EDATE($D50,Milestones!$AA$162)&gt;=$S50),$V50,$U50)))=Milestones!$AB$162),UPPER(TEXT(EDATE($D50,Milestones!$AA$162),"dd mmm yy"))&amp;" "&amp;Milestones!$AB$162&amp;" "&amp;Milestones!$AC$162&amp;";  ","")&amp;IF(AND(EDATE($D50,Milestones!$AA$163)&lt;=AsOfDate,IF($R50=0,$X50,IF(AND($T50&lt;&gt;"",EDATE($D50,Milestones!$AA$163)&gt;=$T50),$W50,IF(AND($S50&lt;&gt;"",EDATE($D50,Milestones!$AA$163)&gt;=$S50),$V50,$U50)))=Milestones!$AB$163),UPPER(TEXT(EDATE($D50,Milestones!$AA$163),"dd mmm yy"))&amp;" "&amp;Milestones!$AB$163&amp;" "&amp;Milestones!$AC$163&amp;";  ","")&amp;IF(AND(EDATE($D50,Milestones!$AA$164)&lt;=AsOfDate,IF($R50=0,$X50,IF(AND($T50&lt;&gt;"",EDATE($D50,Milestones!$AA$164)&gt;=$T50),$W50,IF(AND($S50&lt;&gt;"",EDATE($D50,Milestones!$AA$164)&gt;=$S50),$V50,$U50)))=Milestones!$AB$164),UPPER(TEXT(EDATE($D50,Milestones!$AA$164),"dd mmm yy"))&amp;" "&amp;Milestones!$AB$164&amp;" "&amp;Milestones!$AC$164&amp;";  ","")&amp;IF(AND(EDATE($D50,Milestones!$AA$165)&lt;=AsOfDate,IF($R50=0,$X50,IF(AND($T50&lt;&gt;"",EDATE($D50,Milestones!$AA$165)&gt;=$T50),$W50,IF(AND($S50&lt;&gt;"",EDATE($D50,Milestones!$AA$165)&gt;=$S50),$V50,$U50)))=Milestones!$AB$165),UPPER(TEXT(EDATE($D50,Milestones!$AA$165),"dd mmm yy"))&amp;" "&amp;Milestones!$AB$165&amp;" "&amp;Milestones!$AC$165&amp;";  ","")&amp;IF(AND(EDATE($D50,Milestones!$AA$166)&lt;=AsOfDate,IF($R50=0,$X50,IF(AND($T50&lt;&gt;"",EDATE($D50,Milestones!$AA$166)&gt;=$T50),$W50,IF(AND($S50&lt;&gt;"",EDATE($D50,Milestones!$AA$166)&gt;=$S50),$V50,$U50)))=Milestones!$AB$166),UPPER(TEXT(EDATE($D50,Milestones!$AA$166),"dd mmm yy"))&amp;" "&amp;Milestones!$AB$166&amp;" "&amp;Milestones!$AC$166&amp;";  ","")&amp;IF(AND(EDATE($D50,Milestones!$AA$167)&lt;=AsOfDate,IF($R50=0,$X50,IF(AND($T50&lt;&gt;"",EDATE($D50,Milestones!$AA$167)&gt;=$T50),$W50,IF(AND($S50&lt;&gt;"",EDATE($D50,Milestones!$AA$167)&gt;=$S50),$V50,$U50)))=Milestones!$AB$167),UPPER(TEXT(EDATE($D50,Milestones!$AA$167),"dd mmm yy"))&amp;" "&amp;Milestones!$AB$167&amp;" "&amp;Milestones!$AC$167&amp;";  ","")&amp;IF(AND(EDATE($D50,Milestones!$AA$168)&lt;=AsOfDate,IF($R50=0,$X50,IF(AND($T50&lt;&gt;"",EDATE($D50,Milestones!$AA$168)&gt;=$T50),$W50,IF(AND($S50&lt;&gt;"",EDATE($D50,Milestones!$AA$168)&gt;=$S50),$V50,$U50)))=Milestones!$AB$168),UPPER(TEXT(EDATE($D50,Milestones!$AA$168),"dd mmm yy"))&amp;" "&amp;Milestones!$AB$168&amp;" "&amp;Milestones!$AC$168&amp;";  ","")&amp;IF(AND(EDATE($D50,Milestones!$AA$169)&lt;=AsOfDate,IF($R50=0,$X50,IF(AND($T50&lt;&gt;"",EDATE($D50,Milestones!$AA$169)&gt;=$T50),$W50,IF(AND($S50&lt;&gt;"",EDATE($D50,Milestones!$AA$169)&gt;=$S50),$V50,$U50)))=Milestones!$AB$169),UPPER(TEXT(EDATE($D50,Milestones!$AA$169),"dd mmm yy"))&amp;" "&amp;Milestones!$AB$169&amp;" "&amp;Milestones!$AC$169&amp;";  ","")&amp;IF(AND(EDATE($D50,Milestones!$AA$170)&lt;=AsOfDate,IF($R50=0,$X50,IF(AND($T50&lt;&gt;"",EDATE($D50,Milestones!$AA$170)&gt;=$T50),$W50,IF(AND($S50&lt;&gt;"",EDATE($D50,Milestones!$AA$170)&gt;=$S50),$V50,$U50)))=Milestones!$AB$170),UPPER(TEXT(EDATE($D50,Milestones!$AA$170),"dd mmm yy"))&amp;" "&amp;Milestones!$AB$170&amp;" "&amp;Milestones!$AC$170&amp;";  ","")&amp;IF(AND(EDATE($D50,Milestones!$AA$171)&lt;=AsOfDate,IF($R50=0,$X50,IF(AND($T50&lt;&gt;"",EDATE($D50,Milestones!$AA$171)&gt;=$T50),$W50,IF(AND($S50&lt;&gt;"",EDATE($D50,Milestones!$AA$171)&gt;=$S50),$V50,$U50)))=Milestones!$AB$171),UPPER(TEXT(EDATE($D50,Milestones!$AA$171),"dd mmm yy"))&amp;" "&amp;Milestones!$AB$171&amp;" "&amp;Milestones!$AC$171&amp;";  ","")&amp;IF(AND(EDATE($D50,Milestones!$AA$172)&lt;=AsOfDate,IF($R50=0,$X50,IF(AND($T50&lt;&gt;"",EDATE($D50,Milestones!$AA$172)&gt;=$T50),$W50,IF(AND($S50&lt;&gt;"",EDATE($D50,Milestones!$AA$172)&gt;=$S50),$V50,$U50)))=Milestones!$AB$172),UPPER(TEXT(EDATE($D50,Milestones!$AA$172),"dd mmm yy"))&amp;" "&amp;Milestones!$AB$172&amp;" "&amp;Milestones!$AC$172&amp;";  ","")&amp;IF(AND(EDATE($D50,Milestones!$AA$173)&lt;=AsOfDate,IF($R50=0,$X50,IF(AND($T50&lt;&gt;"",EDATE($D50,Milestones!$AA$173)&gt;=$T50),$W50,IF(AND($S50&lt;&gt;"",EDATE($D50,Milestones!$AA$173)&gt;=$S50),$V50,$U50)))=Milestones!$AB$173),UPPER(TEXT(EDATE($D50,Milestones!$AA$173),"dd mmm yy"))&amp;" "&amp;Milestones!$AB$173&amp;" "&amp;Milestones!$AC$173&amp;";  ","")&amp;IF(AND(EDATE($D50,Milestones!$AA$174)&lt;=AsOfDate,IF($R50=0,$X50,IF(AND($T50&lt;&gt;"",EDATE($D50,Milestones!$AA$174)&gt;=$T50),$W50,IF(AND($S50&lt;&gt;"",EDATE($D50,Milestones!$AA$174)&gt;=$S50),$V50,$U50)))=Milestones!$AB$174),UPPER(TEXT(EDATE($D50,Milestones!$AA$174),"dd mmm yy"))&amp;" "&amp;Milestones!$AB$174&amp;" "&amp;Milestones!$AC$174&amp;";  ","")&amp;IF(AND(EDATE($D50,Milestones!$AA$175)&lt;=AsOfDate,IF($R50=0,$X50,IF(AND($T50&lt;&gt;"",EDATE($D50,Milestones!$AA$175)&gt;=$T50),$W50,IF(AND($S50&lt;&gt;"",EDATE($D50,Milestones!$AA$175)&gt;=$S50),$V50,$U50)))=Milestones!$AB$175),UPPER(TEXT(EDATE($D50,Milestones!$AA$175),"dd mmm yy"))&amp;" "&amp;Milestones!$AB$175&amp;" "&amp;Milestones!$AC$175&amp;";  ","")&amp;IF(AND(EDATE($D50,Milestones!$AA$176)&lt;=AsOfDate,IF($R50=0,$X50,IF(AND($T50&lt;&gt;"",EDATE($D50,Milestones!$AA$176)&gt;=$T50),$W50,IF(AND($S50&lt;&gt;"",EDATE($D50,Milestones!$AA$176)&gt;=$S50),$V50,$U50)))=Milestones!$AB$176),UPPER(TEXT(EDATE($D50,Milestones!$AA$176),"dd mmm yy"))&amp;" "&amp;Milestones!$AB$176&amp;" "&amp;Milestones!$AC$176&amp;";  ","")&amp;IF(AND(EDATE($D50,Milestones!$AA$177)&lt;=AsOfDate,IF($R50=0,$X50,IF(AND($T50&lt;&gt;"",EDATE($D50,Milestones!$AA$177)&gt;=$T50),$W50,IF(AND($S50&lt;&gt;"",EDATE($D50,Milestones!$AA$177)&gt;=$S50),$V50,$U50)))=Milestones!$AB$177),UPPER(TEXT(EDATE($D50,Milestones!$AA$177),"dd mmm yy"))&amp;" "&amp;Milestones!$AB$177&amp;" "&amp;Milestones!$AC$177&amp;";  ","")&amp;IF(AND(EDATE($D50,Milestones!$AA$178)&lt;=AsOfDate,IF($R50=0,$X50,IF(AND($T50&lt;&gt;"",EDATE($D50,Milestones!$AA$178)&gt;=$T50),$W50,IF(AND($S50&lt;&gt;"",EDATE($D50,Milestones!$AA$178)&gt;=$S50),$V50,$U50)))=Milestones!$AB$178),UPPER(TEXT(EDATE($D50,Milestones!$AA$178),"dd mmm yy"))&amp;" "&amp;Milestones!$AB$178&amp;" "&amp;Milestones!$AC$178&amp;";  ","")&amp;IF(AND(EDATE($D50,Milestones!$AA$179)&lt;=AsOfDate,IF($R50=0,$X50,IF(AND($T50&lt;&gt;"",EDATE($D50,Milestones!$AA$179)&gt;=$T50),$W50,IF(AND($S50&lt;&gt;"",EDATE($D50,Milestones!$AA$179)&gt;=$S50),$V50,$U50)))=Milestones!$AB$179),UPPER(TEXT(EDATE($D50,Milestones!$AA$179),"dd mmm yy"))&amp;" "&amp;Milestones!$AB$179&amp;" "&amp;Milestones!$AC$179&amp;";  ",""))</f>
        <v/>
      </c>
      <c r="Q50" s="0" t="str">
        <f aca="false">IF(OR($A50="",$D50=""),"",IF(AND(EDATE($D50,Milestones!$AA$180)&lt;=AsOfDate,IF($R50=0,$X50,IF(AND($T50&lt;&gt;"",EDATE($D50,Milestones!$AA$180)&gt;=$T50),$W50,IF(AND($S50&lt;&gt;"",EDATE($D50,Milestones!$AA$180)&gt;=$S50),$V50,$U50)))=Milestones!$AB$180),UPPER(TEXT(EDATE($D50,Milestones!$AA$180),"dd mmm yy"))&amp;" "&amp;Milestones!$AB$180&amp;" "&amp;Milestones!$AC$180&amp;";  ","")&amp;IF(AND(EDATE($D50,Milestones!$AA$181)&lt;=AsOfDate,IF($R50=0,$X50,IF(AND($T50&lt;&gt;"",EDATE($D50,Milestones!$AA$181)&gt;=$T50),$W50,IF(AND($S50&lt;&gt;"",EDATE($D50,Milestones!$AA$181)&gt;=$S50),$V50,$U50)))=Milestones!$AB$181),UPPER(TEXT(EDATE($D50,Milestones!$AA$181),"dd mmm yy"))&amp;" "&amp;Milestones!$AB$181&amp;" "&amp;Milestones!$AC$181&amp;";  ","")&amp;IF(AND(EDATE($D50,Milestones!$AA$182)&lt;=AsOfDate,IF($R50=0,$X50,IF(AND($T50&lt;&gt;"",EDATE($D50,Milestones!$AA$182)&gt;=$T50),$W50,IF(AND($S50&lt;&gt;"",EDATE($D50,Milestones!$AA$182)&gt;=$S50),$V50,$U50)))=Milestones!$AB$182),UPPER(TEXT(EDATE($D50,Milestones!$AA$182),"dd mmm yy"))&amp;" "&amp;Milestones!$AB$182&amp;" "&amp;Milestones!$AC$182&amp;";  ","")&amp;IF(AND(EDATE($D50,Milestones!$AA$183)&lt;=AsOfDate,IF($R50=0,$X50,IF(AND($T50&lt;&gt;"",EDATE($D50,Milestones!$AA$183)&gt;=$T50),$W50,IF(AND($S50&lt;&gt;"",EDATE($D50,Milestones!$AA$183)&gt;=$S50),$V50,$U50)))=Milestones!$AB$183),UPPER(TEXT(EDATE($D50,Milestones!$AA$183),"dd mmm yy"))&amp;" "&amp;Milestones!$AB$183&amp;" "&amp;Milestones!$AC$183&amp;";  ","")&amp;IF(AND(EDATE($D50,Milestones!$AA$184)&lt;=AsOfDate,IF($R50=0,$X50,IF(AND($T50&lt;&gt;"",EDATE($D50,Milestones!$AA$184)&gt;=$T50),$W50,IF(AND($S50&lt;&gt;"",EDATE($D50,Milestones!$AA$184)&gt;=$S50),$V50,$U50)))=Milestones!$AB$184),UPPER(TEXT(EDATE($D50,Milestones!$AA$184),"dd mmm yy"))&amp;" "&amp;Milestones!$AB$184&amp;" "&amp;Milestones!$AC$184&amp;";  ","")&amp;IF(AND(EDATE($D50,Milestones!$AA$185)&lt;=AsOfDate,IF($R50=0,$X50,IF(AND($T50&lt;&gt;"",EDATE($D50,Milestones!$AA$185)&gt;=$T50),$W50,IF(AND($S50&lt;&gt;"",EDATE($D50,Milestones!$AA$185)&gt;=$S50),$V50,$U50)))=Milestones!$AB$185),UPPER(TEXT(EDATE($D50,Milestones!$AA$185),"dd mmm yy"))&amp;" "&amp;Milestones!$AB$185&amp;" "&amp;Milestones!$AC$185&amp;";  ","")&amp;IF(AND(EDATE($D50,Milestones!$AA$186)&lt;=AsOfDate,IF($R50=0,$X50,IF(AND($T50&lt;&gt;"",EDATE($D50,Milestones!$AA$186)&gt;=$T50),$W50,IF(AND($S50&lt;&gt;"",EDATE($D50,Milestones!$AA$186)&gt;=$S50),$V50,$U50)))=Milestones!$AB$186),UPPER(TEXT(EDATE($D50,Milestones!$AA$186),"dd mmm yy"))&amp;" "&amp;Milestones!$AB$186&amp;" "&amp;Milestones!$AC$186&amp;";  ","")&amp;IF(AND(EDATE($D50,Milestones!$AA$187)&lt;=AsOfDate,IF($R50=0,$X50,IF(AND($T50&lt;&gt;"",EDATE($D50,Milestones!$AA$187)&gt;=$T50),$W50,IF(AND($S50&lt;&gt;"",EDATE($D50,Milestones!$AA$187)&gt;=$S50),$V50,$U50)))=Milestones!$AB$187),UPPER(TEXT(EDATE($D50,Milestones!$AA$187),"dd mmm yy"))&amp;" "&amp;Milestones!$AB$187&amp;" "&amp;Milestones!$AC$187&amp;";  ","")&amp;IF(AND(EDATE($D50,Milestones!$AA$188)&lt;=AsOfDate,IF($R50=0,$X50,IF(AND($T50&lt;&gt;"",EDATE($D50,Milestones!$AA$188)&gt;=$T50),$W50,IF(AND($S50&lt;&gt;"",EDATE($D50,Milestones!$AA$188)&gt;=$S50),$V50,$U50)))=Milestones!$AB$188),UPPER(TEXT(EDATE($D50,Milestones!$AA$188),"dd mmm yy"))&amp;" "&amp;Milestones!$AB$188&amp;" "&amp;Milestones!$AC$188&amp;";  ","")&amp;IF(AND(EDATE($D50,Milestones!$AA$189)&lt;=AsOfDate,IF($R50=0,$X50,IF(AND($T50&lt;&gt;"",EDATE($D50,Milestones!$AA$189)&gt;=$T50),$W50,IF(AND($S50&lt;&gt;"",EDATE($D50,Milestones!$AA$189)&gt;=$S50),$V50,$U50)))=Milestones!$AB$189),UPPER(TEXT(EDATE($D50,Milestones!$AA$189),"dd mmm yy"))&amp;" "&amp;Milestones!$AB$189&amp;" "&amp;Milestones!$AC$189&amp;";  ","")&amp;IF(AND(EDATE($D50,Milestones!$AA$190)&lt;=AsOfDate,IF($R50=0,$X50,IF(AND($T50&lt;&gt;"",EDATE($D50,Milestones!$AA$190)&gt;=$T50),$W50,IF(AND($S50&lt;&gt;"",EDATE($D50,Milestones!$AA$190)&gt;=$S50),$V50,$U50)))=Milestones!$AB$190),UPPER(TEXT(EDATE($D50,Milestones!$AA$190),"dd mmm yy"))&amp;" "&amp;Milestones!$AB$190&amp;" "&amp;Milestones!$AC$190&amp;";  ","")&amp;IF(AND(EDATE($D50,Milestones!$AA$191)&lt;=AsOfDate,IF($R50=0,$X50,IF(AND($T50&lt;&gt;"",EDATE($D50,Milestones!$AA$191)&gt;=$T50),$W50,IF(AND($S50&lt;&gt;"",EDATE($D50,Milestones!$AA$191)&gt;=$S50),$V50,$U50)))=Milestones!$AB$191),UPPER(TEXT(EDATE($D50,Milestones!$AA$191),"dd mmm yy"))&amp;" "&amp;Milestones!$AB$191&amp;" "&amp;Milestones!$AC$191&amp;";  ","")&amp;IF(AND(EDATE($D50,Milestones!$AA$192)&lt;=AsOfDate,IF($R50=0,$X50,IF(AND($T50&lt;&gt;"",EDATE($D50,Milestones!$AA$192)&gt;=$T50),$W50,IF(AND($S50&lt;&gt;"",EDATE($D50,Milestones!$AA$192)&gt;=$S50),$V50,$U50)))=Milestones!$AB$192),UPPER(TEXT(EDATE($D50,Milestones!$AA$192),"dd mmm yy"))&amp;" "&amp;Milestones!$AB$192&amp;" "&amp;Milestones!$AC$192&amp;";  ","")&amp;IF(AND(EDATE($D50,Milestones!$AA$193)&lt;=AsOfDate,IF($R50=0,$X50,IF(AND($T50&lt;&gt;"",EDATE($D50,Milestones!$AA$193)&gt;=$T50),$W50,IF(AND($S50&lt;&gt;"",EDATE($D50,Milestones!$AA$193)&gt;=$S50),$V50,$U50)))=Milestones!$AB$193),UPPER(TEXT(EDATE($D50,Milestones!$AA$193),"dd mmm yy"))&amp;" "&amp;Milestones!$AB$193&amp;" "&amp;Milestones!$AC$193&amp;";  ","")&amp;IF(AND(EDATE($D50,Milestones!$AA$194)&lt;=AsOfDate,IF($R50=0,$X50,IF(AND($T50&lt;&gt;"",EDATE($D50,Milestones!$AA$194)&gt;=$T50),$W50,IF(AND($S50&lt;&gt;"",EDATE($D50,Milestones!$AA$194)&gt;=$S50),$V50,$U50)))=Milestones!$AB$194),UPPER(TEXT(EDATE($D50,Milestones!$AA$194),"dd mmm yy"))&amp;" "&amp;Milestones!$AB$194&amp;" "&amp;Milestones!$AC$194&amp;";  ","")&amp;IF(AND(EDATE($D50,Milestones!$AA$195)&lt;=AsOfDate,IF($R50=0,$X50,IF(AND($T50&lt;&gt;"",EDATE($D50,Milestones!$AA$195)&gt;=$T50),$W50,IF(AND($S50&lt;&gt;"",EDATE($D50,Milestones!$AA$195)&gt;=$S50),$V50,$U50)))=Milestones!$AB$195),UPPER(TEXT(EDATE($D50,Milestones!$AA$195),"dd mmm yy"))&amp;" "&amp;Milestones!$AB$195&amp;" "&amp;Milestones!$AC$195&amp;";  ","")&amp;IF(AND(EDATE($D50,Milestones!$AA$196)&lt;=AsOfDate,IF($R50=0,$X50,IF(AND($T50&lt;&gt;"",EDATE($D50,Milestones!$AA$196)&gt;=$T50),$W50,IF(AND($S50&lt;&gt;"",EDATE($D50,Milestones!$AA$196)&gt;=$S50),$V50,$U50)))=Milestones!$AB$196),UPPER(TEXT(EDATE($D50,Milestones!$AA$196),"dd mmm yy"))&amp;" "&amp;Milestones!$AB$196&amp;" "&amp;Milestones!$AC$196&amp;";  ","")&amp;IF(AND(EDATE($D50,Milestones!$AA$197)&lt;=AsOfDate,IF($R50=0,$X50,IF(AND($T50&lt;&gt;"",EDATE($D50,Milestones!$AA$197)&gt;=$T50),$W50,IF(AND($S50&lt;&gt;"",EDATE($D50,Milestones!$AA$197)&gt;=$S50),$V50,$U50)))=Milestones!$AB$197),UPPER(TEXT(EDATE($D50,Milestones!$AA$197),"dd mmm yy"))&amp;" "&amp;Milestones!$AB$197&amp;" "&amp;Milestones!$AC$197&amp;";  ","")&amp;IF(AND(EDATE($D50,Milestones!$AA$198)&lt;=AsOfDate,IF($R50=0,$X50,IF(AND($T50&lt;&gt;"",EDATE($D50,Milestones!$AA$198)&gt;=$T50),$W50,IF(AND($S50&lt;&gt;"",EDATE($D50,Milestones!$AA$198)&gt;=$S50),$V50,$U50)))=Milestones!$AB$198),UPPER(TEXT(EDATE($D50,Milestones!$AA$198),"dd mmm yy"))&amp;" "&amp;Milestones!$AB$198&amp;" "&amp;Milestones!$AC$198&amp;";  ","")&amp;IF(AND(EDATE($D50,Milestones!$AA$199)&lt;=AsOfDate,IF($R50=0,$X50,IF(AND($T50&lt;&gt;"",EDATE($D50,Milestones!$AA$199)&gt;=$T50),$W50,IF(AND($S50&lt;&gt;"",EDATE($D50,Milestones!$AA$199)&gt;=$S50),$V50,$U50)))=Milestones!$AB$199),UPPER(TEXT(EDATE($D50,Milestones!$AA$199),"dd mmm yy"))&amp;" "&amp;Milestones!$AB$199&amp;" "&amp;Milestones!$AC$199&amp;";  ",""))</f>
        <v/>
      </c>
      <c r="R50" s="33" t="n">
        <f aca="false">IF(Staff!$A50="","",Staff!$AI50)</f>
        <v>2</v>
      </c>
      <c r="S50" s="23" t="n">
        <f aca="false">IF(Staff!$A50="","",Staff!$AK50)</f>
        <v>44809</v>
      </c>
      <c r="T50" s="0" t="str">
        <f aca="false">IF(Staff!$A50="","",Staff!$AL50)</f>
        <v/>
      </c>
      <c r="U50" s="0" t="str">
        <f aca="false">IF(Staff!$A50="","",Staff!$AP50)</f>
        <v>PT</v>
      </c>
      <c r="V50" s="0" t="str">
        <f aca="false">IF(Staff!$A50="","",Staff!$AQ50)</f>
        <v>FT</v>
      </c>
      <c r="W50" s="0" t="str">
        <f aca="false">IF(Staff!$A50="","",Staff!$AR50)</f>
        <v/>
      </c>
      <c r="X50" s="0" t="str">
        <f aca="false">IF(Staff!$A50="","",Staff!$AS50)</f>
        <v>FT</v>
      </c>
    </row>
    <row r="51" customFormat="false" ht="15" hidden="false" customHeight="false" outlineLevel="0" collapsed="false">
      <c r="A51" s="19" t="str">
        <f aca="false">IF(Staff!$A51="","",Staff!$A51)</f>
        <v>Layla</v>
      </c>
      <c r="B51" s="19" t="str">
        <f aca="false">IF(Staff!$A51="","",Staff!$B51)</f>
        <v>Phillips</v>
      </c>
      <c r="C51" s="19" t="str">
        <f aca="false">IF(Staff!$A51="","",Staff!$C51)</f>
        <v>Full-Time</v>
      </c>
      <c r="D51" s="17" t="n">
        <f aca="false">IF(Staff!$A51="","",Staff!$AH51)</f>
        <v>46160</v>
      </c>
      <c r="E51" s="20" t="n">
        <f aca="false">IF(Staff!$A51="","",Staff!$O51)</f>
        <v>0</v>
      </c>
      <c r="F51" s="19" t="n">
        <f aca="false">IF(E51="","",E51*HoursPerDay)</f>
        <v>0</v>
      </c>
      <c r="G51" s="20" t="n">
        <f aca="false">IF(Staff!$A51="","",Staff!$AE51)</f>
        <v>0</v>
      </c>
      <c r="H51" s="32" t="str">
        <f aca="false">IF($A51="","",I51&amp;J51&amp;K51&amp;L51&amp;M51&amp;N51&amp;O51&amp;P51&amp;Q51)</f>
        <v/>
      </c>
      <c r="I51" s="0" t="str">
        <f aca="false">IF(OR($A51="",$D51=""),"",IF(AND(EDATE($D51,Milestones!$AA$20)&lt;=AsOfDate,IF($R51=0,$X51,IF(AND($T51&lt;&gt;"",EDATE($D51,Milestones!$AA$20)&gt;=$T51),$W51,IF(AND($S51&lt;&gt;"",EDATE($D51,Milestones!$AA$20)&gt;=$S51),$V51,$U51)))=Milestones!$AB$20),UPPER(TEXT(EDATE($D51,Milestones!$AA$20),"dd mmm yy"))&amp;" "&amp;Milestones!$AB$20&amp;" "&amp;Milestones!$AC$20&amp;";  ","")&amp;IF(AND(EDATE($D51,Milestones!$AA$21)&lt;=AsOfDate,IF($R51=0,$X51,IF(AND($T51&lt;&gt;"",EDATE($D51,Milestones!$AA$21)&gt;=$T51),$W51,IF(AND($S51&lt;&gt;"",EDATE($D51,Milestones!$AA$21)&gt;=$S51),$V51,$U51)))=Milestones!$AB$21),UPPER(TEXT(EDATE($D51,Milestones!$AA$21),"dd mmm yy"))&amp;" "&amp;Milestones!$AB$21&amp;" "&amp;Milestones!$AC$21&amp;";  ","")&amp;IF(AND(EDATE($D51,Milestones!$AA$22)&lt;=AsOfDate,IF($R51=0,$X51,IF(AND($T51&lt;&gt;"",EDATE($D51,Milestones!$AA$22)&gt;=$T51),$W51,IF(AND($S51&lt;&gt;"",EDATE($D51,Milestones!$AA$22)&gt;=$S51),$V51,$U51)))=Milestones!$AB$22),UPPER(TEXT(EDATE($D51,Milestones!$AA$22),"dd mmm yy"))&amp;" "&amp;Milestones!$AB$22&amp;" "&amp;Milestones!$AC$22&amp;";  ","")&amp;IF(AND(EDATE($D51,Milestones!$AA$23)&lt;=AsOfDate,IF($R51=0,$X51,IF(AND($T51&lt;&gt;"",EDATE($D51,Milestones!$AA$23)&gt;=$T51),$W51,IF(AND($S51&lt;&gt;"",EDATE($D51,Milestones!$AA$23)&gt;=$S51),$V51,$U51)))=Milestones!$AB$23),UPPER(TEXT(EDATE($D51,Milestones!$AA$23),"dd mmm yy"))&amp;" "&amp;Milestones!$AB$23&amp;" "&amp;Milestones!$AC$23&amp;";  ","")&amp;IF(AND(EDATE($D51,Milestones!$AA$24)&lt;=AsOfDate,IF($R51=0,$X51,IF(AND($T51&lt;&gt;"",EDATE($D51,Milestones!$AA$24)&gt;=$T51),$W51,IF(AND($S51&lt;&gt;"",EDATE($D51,Milestones!$AA$24)&gt;=$S51),$V51,$U51)))=Milestones!$AB$24),UPPER(TEXT(EDATE($D51,Milestones!$AA$24),"dd mmm yy"))&amp;" "&amp;Milestones!$AB$24&amp;" "&amp;Milestones!$AC$24&amp;";  ","")&amp;IF(AND(EDATE($D51,Milestones!$AA$25)&lt;=AsOfDate,IF($R51=0,$X51,IF(AND($T51&lt;&gt;"",EDATE($D51,Milestones!$AA$25)&gt;=$T51),$W51,IF(AND($S51&lt;&gt;"",EDATE($D51,Milestones!$AA$25)&gt;=$S51),$V51,$U51)))=Milestones!$AB$25),UPPER(TEXT(EDATE($D51,Milestones!$AA$25),"dd mmm yy"))&amp;" "&amp;Milestones!$AB$25&amp;" "&amp;Milestones!$AC$25&amp;";  ","")&amp;IF(AND(EDATE($D51,Milestones!$AA$26)&lt;=AsOfDate,IF($R51=0,$X51,IF(AND($T51&lt;&gt;"",EDATE($D51,Milestones!$AA$26)&gt;=$T51),$W51,IF(AND($S51&lt;&gt;"",EDATE($D51,Milestones!$AA$26)&gt;=$S51),$V51,$U51)))=Milestones!$AB$26),UPPER(TEXT(EDATE($D51,Milestones!$AA$26),"dd mmm yy"))&amp;" "&amp;Milestones!$AB$26&amp;" "&amp;Milestones!$AC$26&amp;";  ","")&amp;IF(AND(EDATE($D51,Milestones!$AA$27)&lt;=AsOfDate,IF($R51=0,$X51,IF(AND($T51&lt;&gt;"",EDATE($D51,Milestones!$AA$27)&gt;=$T51),$W51,IF(AND($S51&lt;&gt;"",EDATE($D51,Milestones!$AA$27)&gt;=$S51),$V51,$U51)))=Milestones!$AB$27),UPPER(TEXT(EDATE($D51,Milestones!$AA$27),"dd mmm yy"))&amp;" "&amp;Milestones!$AB$27&amp;" "&amp;Milestones!$AC$27&amp;";  ","")&amp;IF(AND(EDATE($D51,Milestones!$AA$28)&lt;=AsOfDate,IF($R51=0,$X51,IF(AND($T51&lt;&gt;"",EDATE($D51,Milestones!$AA$28)&gt;=$T51),$W51,IF(AND($S51&lt;&gt;"",EDATE($D51,Milestones!$AA$28)&gt;=$S51),$V51,$U51)))=Milestones!$AB$28),UPPER(TEXT(EDATE($D51,Milestones!$AA$28),"dd mmm yy"))&amp;" "&amp;Milestones!$AB$28&amp;" "&amp;Milestones!$AC$28&amp;";  ","")&amp;IF(AND(EDATE($D51,Milestones!$AA$29)&lt;=AsOfDate,IF($R51=0,$X51,IF(AND($T51&lt;&gt;"",EDATE($D51,Milestones!$AA$29)&gt;=$T51),$W51,IF(AND($S51&lt;&gt;"",EDATE($D51,Milestones!$AA$29)&gt;=$S51),$V51,$U51)))=Milestones!$AB$29),UPPER(TEXT(EDATE($D51,Milestones!$AA$29),"dd mmm yy"))&amp;" "&amp;Milestones!$AB$29&amp;" "&amp;Milestones!$AC$29&amp;";  ","")&amp;IF(AND(EDATE($D51,Milestones!$AA$30)&lt;=AsOfDate,IF($R51=0,$X51,IF(AND($T51&lt;&gt;"",EDATE($D51,Milestones!$AA$30)&gt;=$T51),$W51,IF(AND($S51&lt;&gt;"",EDATE($D51,Milestones!$AA$30)&gt;=$S51),$V51,$U51)))=Milestones!$AB$30),UPPER(TEXT(EDATE($D51,Milestones!$AA$30),"dd mmm yy"))&amp;" "&amp;Milestones!$AB$30&amp;" "&amp;Milestones!$AC$30&amp;";  ","")&amp;IF(AND(EDATE($D51,Milestones!$AA$31)&lt;=AsOfDate,IF($R51=0,$X51,IF(AND($T51&lt;&gt;"",EDATE($D51,Milestones!$AA$31)&gt;=$T51),$W51,IF(AND($S51&lt;&gt;"",EDATE($D51,Milestones!$AA$31)&gt;=$S51),$V51,$U51)))=Milestones!$AB$31),UPPER(TEXT(EDATE($D51,Milestones!$AA$31),"dd mmm yy"))&amp;" "&amp;Milestones!$AB$31&amp;" "&amp;Milestones!$AC$31&amp;";  ","")&amp;IF(AND(EDATE($D51,Milestones!$AA$32)&lt;=AsOfDate,IF($R51=0,$X51,IF(AND($T51&lt;&gt;"",EDATE($D51,Milestones!$AA$32)&gt;=$T51),$W51,IF(AND($S51&lt;&gt;"",EDATE($D51,Milestones!$AA$32)&gt;=$S51),$V51,$U51)))=Milestones!$AB$32),UPPER(TEXT(EDATE($D51,Milestones!$AA$32),"dd mmm yy"))&amp;" "&amp;Milestones!$AB$32&amp;" "&amp;Milestones!$AC$32&amp;";  ","")&amp;IF(AND(EDATE($D51,Milestones!$AA$33)&lt;=AsOfDate,IF($R51=0,$X51,IF(AND($T51&lt;&gt;"",EDATE($D51,Milestones!$AA$33)&gt;=$T51),$W51,IF(AND($S51&lt;&gt;"",EDATE($D51,Milestones!$AA$33)&gt;=$S51),$V51,$U51)))=Milestones!$AB$33),UPPER(TEXT(EDATE($D51,Milestones!$AA$33),"dd mmm yy"))&amp;" "&amp;Milestones!$AB$33&amp;" "&amp;Milestones!$AC$33&amp;";  ","")&amp;IF(AND(EDATE($D51,Milestones!$AA$34)&lt;=AsOfDate,IF($R51=0,$X51,IF(AND($T51&lt;&gt;"",EDATE($D51,Milestones!$AA$34)&gt;=$T51),$W51,IF(AND($S51&lt;&gt;"",EDATE($D51,Milestones!$AA$34)&gt;=$S51),$V51,$U51)))=Milestones!$AB$34),UPPER(TEXT(EDATE($D51,Milestones!$AA$34),"dd mmm yy"))&amp;" "&amp;Milestones!$AB$34&amp;" "&amp;Milestones!$AC$34&amp;";  ","")&amp;IF(AND(EDATE($D51,Milestones!$AA$35)&lt;=AsOfDate,IF($R51=0,$X51,IF(AND($T51&lt;&gt;"",EDATE($D51,Milestones!$AA$35)&gt;=$T51),$W51,IF(AND($S51&lt;&gt;"",EDATE($D51,Milestones!$AA$35)&gt;=$S51),$V51,$U51)))=Milestones!$AB$35),UPPER(TEXT(EDATE($D51,Milestones!$AA$35),"dd mmm yy"))&amp;" "&amp;Milestones!$AB$35&amp;" "&amp;Milestones!$AC$35&amp;";  ","")&amp;IF(AND(EDATE($D51,Milestones!$AA$36)&lt;=AsOfDate,IF($R51=0,$X51,IF(AND($T51&lt;&gt;"",EDATE($D51,Milestones!$AA$36)&gt;=$T51),$W51,IF(AND($S51&lt;&gt;"",EDATE($D51,Milestones!$AA$36)&gt;=$S51),$V51,$U51)))=Milestones!$AB$36),UPPER(TEXT(EDATE($D51,Milestones!$AA$36),"dd mmm yy"))&amp;" "&amp;Milestones!$AB$36&amp;" "&amp;Milestones!$AC$36&amp;";  ","")&amp;IF(AND(EDATE($D51,Milestones!$AA$37)&lt;=AsOfDate,IF($R51=0,$X51,IF(AND($T51&lt;&gt;"",EDATE($D51,Milestones!$AA$37)&gt;=$T51),$W51,IF(AND($S51&lt;&gt;"",EDATE($D51,Milestones!$AA$37)&gt;=$S51),$V51,$U51)))=Milestones!$AB$37),UPPER(TEXT(EDATE($D51,Milestones!$AA$37),"dd mmm yy"))&amp;" "&amp;Milestones!$AB$37&amp;" "&amp;Milestones!$AC$37&amp;";  ","")&amp;IF(AND(EDATE($D51,Milestones!$AA$38)&lt;=AsOfDate,IF($R51=0,$X51,IF(AND($T51&lt;&gt;"",EDATE($D51,Milestones!$AA$38)&gt;=$T51),$W51,IF(AND($S51&lt;&gt;"",EDATE($D51,Milestones!$AA$38)&gt;=$S51),$V51,$U51)))=Milestones!$AB$38),UPPER(TEXT(EDATE($D51,Milestones!$AA$38),"dd mmm yy"))&amp;" "&amp;Milestones!$AB$38&amp;" "&amp;Milestones!$AC$38&amp;";  ","")&amp;IF(AND(EDATE($D51,Milestones!$AA$39)&lt;=AsOfDate,IF($R51=0,$X51,IF(AND($T51&lt;&gt;"",EDATE($D51,Milestones!$AA$39)&gt;=$T51),$W51,IF(AND($S51&lt;&gt;"",EDATE($D51,Milestones!$AA$39)&gt;=$S51),$V51,$U51)))=Milestones!$AB$39),UPPER(TEXT(EDATE($D51,Milestones!$AA$39),"dd mmm yy"))&amp;" "&amp;Milestones!$AB$39&amp;" "&amp;Milestones!$AC$39&amp;";  ",""))</f>
        <v/>
      </c>
      <c r="J51" s="0" t="str">
        <f aca="false">IF(OR($A51="",$D51=""),"",IF(AND(EDATE($D51,Milestones!$AA$40)&lt;=AsOfDate,IF($R51=0,$X51,IF(AND($T51&lt;&gt;"",EDATE($D51,Milestones!$AA$40)&gt;=$T51),$W51,IF(AND($S51&lt;&gt;"",EDATE($D51,Milestones!$AA$40)&gt;=$S51),$V51,$U51)))=Milestones!$AB$40),UPPER(TEXT(EDATE($D51,Milestones!$AA$40),"dd mmm yy"))&amp;" "&amp;Milestones!$AB$40&amp;" "&amp;Milestones!$AC$40&amp;";  ","")&amp;IF(AND(EDATE($D51,Milestones!$AA$41)&lt;=AsOfDate,IF($R51=0,$X51,IF(AND($T51&lt;&gt;"",EDATE($D51,Milestones!$AA$41)&gt;=$T51),$W51,IF(AND($S51&lt;&gt;"",EDATE($D51,Milestones!$AA$41)&gt;=$S51),$V51,$U51)))=Milestones!$AB$41),UPPER(TEXT(EDATE($D51,Milestones!$AA$41),"dd mmm yy"))&amp;" "&amp;Milestones!$AB$41&amp;" "&amp;Milestones!$AC$41&amp;";  ","")&amp;IF(AND(EDATE($D51,Milestones!$AA$42)&lt;=AsOfDate,IF($R51=0,$X51,IF(AND($T51&lt;&gt;"",EDATE($D51,Milestones!$AA$42)&gt;=$T51),$W51,IF(AND($S51&lt;&gt;"",EDATE($D51,Milestones!$AA$42)&gt;=$S51),$V51,$U51)))=Milestones!$AB$42),UPPER(TEXT(EDATE($D51,Milestones!$AA$42),"dd mmm yy"))&amp;" "&amp;Milestones!$AB$42&amp;" "&amp;Milestones!$AC$42&amp;";  ","")&amp;IF(AND(EDATE($D51,Milestones!$AA$43)&lt;=AsOfDate,IF($R51=0,$X51,IF(AND($T51&lt;&gt;"",EDATE($D51,Milestones!$AA$43)&gt;=$T51),$W51,IF(AND($S51&lt;&gt;"",EDATE($D51,Milestones!$AA$43)&gt;=$S51),$V51,$U51)))=Milestones!$AB$43),UPPER(TEXT(EDATE($D51,Milestones!$AA$43),"dd mmm yy"))&amp;" "&amp;Milestones!$AB$43&amp;" "&amp;Milestones!$AC$43&amp;";  ","")&amp;IF(AND(EDATE($D51,Milestones!$AA$44)&lt;=AsOfDate,IF($R51=0,$X51,IF(AND($T51&lt;&gt;"",EDATE($D51,Milestones!$AA$44)&gt;=$T51),$W51,IF(AND($S51&lt;&gt;"",EDATE($D51,Milestones!$AA$44)&gt;=$S51),$V51,$U51)))=Milestones!$AB$44),UPPER(TEXT(EDATE($D51,Milestones!$AA$44),"dd mmm yy"))&amp;" "&amp;Milestones!$AB$44&amp;" "&amp;Milestones!$AC$44&amp;";  ","")&amp;IF(AND(EDATE($D51,Milestones!$AA$45)&lt;=AsOfDate,IF($R51=0,$X51,IF(AND($T51&lt;&gt;"",EDATE($D51,Milestones!$AA$45)&gt;=$T51),$W51,IF(AND($S51&lt;&gt;"",EDATE($D51,Milestones!$AA$45)&gt;=$S51),$V51,$U51)))=Milestones!$AB$45),UPPER(TEXT(EDATE($D51,Milestones!$AA$45),"dd mmm yy"))&amp;" "&amp;Milestones!$AB$45&amp;" "&amp;Milestones!$AC$45&amp;";  ","")&amp;IF(AND(EDATE($D51,Milestones!$AA$46)&lt;=AsOfDate,IF($R51=0,$X51,IF(AND($T51&lt;&gt;"",EDATE($D51,Milestones!$AA$46)&gt;=$T51),$W51,IF(AND($S51&lt;&gt;"",EDATE($D51,Milestones!$AA$46)&gt;=$S51),$V51,$U51)))=Milestones!$AB$46),UPPER(TEXT(EDATE($D51,Milestones!$AA$46),"dd mmm yy"))&amp;" "&amp;Milestones!$AB$46&amp;" "&amp;Milestones!$AC$46&amp;";  ","")&amp;IF(AND(EDATE($D51,Milestones!$AA$47)&lt;=AsOfDate,IF($R51=0,$X51,IF(AND($T51&lt;&gt;"",EDATE($D51,Milestones!$AA$47)&gt;=$T51),$W51,IF(AND($S51&lt;&gt;"",EDATE($D51,Milestones!$AA$47)&gt;=$S51),$V51,$U51)))=Milestones!$AB$47),UPPER(TEXT(EDATE($D51,Milestones!$AA$47),"dd mmm yy"))&amp;" "&amp;Milestones!$AB$47&amp;" "&amp;Milestones!$AC$47&amp;";  ","")&amp;IF(AND(EDATE($D51,Milestones!$AA$48)&lt;=AsOfDate,IF($R51=0,$X51,IF(AND($T51&lt;&gt;"",EDATE($D51,Milestones!$AA$48)&gt;=$T51),$W51,IF(AND($S51&lt;&gt;"",EDATE($D51,Milestones!$AA$48)&gt;=$S51),$V51,$U51)))=Milestones!$AB$48),UPPER(TEXT(EDATE($D51,Milestones!$AA$48),"dd mmm yy"))&amp;" "&amp;Milestones!$AB$48&amp;" "&amp;Milestones!$AC$48&amp;";  ","")&amp;IF(AND(EDATE($D51,Milestones!$AA$49)&lt;=AsOfDate,IF($R51=0,$X51,IF(AND($T51&lt;&gt;"",EDATE($D51,Milestones!$AA$49)&gt;=$T51),$W51,IF(AND($S51&lt;&gt;"",EDATE($D51,Milestones!$AA$49)&gt;=$S51),$V51,$U51)))=Milestones!$AB$49),UPPER(TEXT(EDATE($D51,Milestones!$AA$49),"dd mmm yy"))&amp;" "&amp;Milestones!$AB$49&amp;" "&amp;Milestones!$AC$49&amp;";  ","")&amp;IF(AND(EDATE($D51,Milestones!$AA$50)&lt;=AsOfDate,IF($R51=0,$X51,IF(AND($T51&lt;&gt;"",EDATE($D51,Milestones!$AA$50)&gt;=$T51),$W51,IF(AND($S51&lt;&gt;"",EDATE($D51,Milestones!$AA$50)&gt;=$S51),$V51,$U51)))=Milestones!$AB$50),UPPER(TEXT(EDATE($D51,Milestones!$AA$50),"dd mmm yy"))&amp;" "&amp;Milestones!$AB$50&amp;" "&amp;Milestones!$AC$50&amp;";  ","")&amp;IF(AND(EDATE($D51,Milestones!$AA$51)&lt;=AsOfDate,IF($R51=0,$X51,IF(AND($T51&lt;&gt;"",EDATE($D51,Milestones!$AA$51)&gt;=$T51),$W51,IF(AND($S51&lt;&gt;"",EDATE($D51,Milestones!$AA$51)&gt;=$S51),$V51,$U51)))=Milestones!$AB$51),UPPER(TEXT(EDATE($D51,Milestones!$AA$51),"dd mmm yy"))&amp;" "&amp;Milestones!$AB$51&amp;" "&amp;Milestones!$AC$51&amp;";  ","")&amp;IF(AND(EDATE($D51,Milestones!$AA$52)&lt;=AsOfDate,IF($R51=0,$X51,IF(AND($T51&lt;&gt;"",EDATE($D51,Milestones!$AA$52)&gt;=$T51),$W51,IF(AND($S51&lt;&gt;"",EDATE($D51,Milestones!$AA$52)&gt;=$S51),$V51,$U51)))=Milestones!$AB$52),UPPER(TEXT(EDATE($D51,Milestones!$AA$52),"dd mmm yy"))&amp;" "&amp;Milestones!$AB$52&amp;" "&amp;Milestones!$AC$52&amp;";  ","")&amp;IF(AND(EDATE($D51,Milestones!$AA$53)&lt;=AsOfDate,IF($R51=0,$X51,IF(AND($T51&lt;&gt;"",EDATE($D51,Milestones!$AA$53)&gt;=$T51),$W51,IF(AND($S51&lt;&gt;"",EDATE($D51,Milestones!$AA$53)&gt;=$S51),$V51,$U51)))=Milestones!$AB$53),UPPER(TEXT(EDATE($D51,Milestones!$AA$53),"dd mmm yy"))&amp;" "&amp;Milestones!$AB$53&amp;" "&amp;Milestones!$AC$53&amp;";  ","")&amp;IF(AND(EDATE($D51,Milestones!$AA$54)&lt;=AsOfDate,IF($R51=0,$X51,IF(AND($T51&lt;&gt;"",EDATE($D51,Milestones!$AA$54)&gt;=$T51),$W51,IF(AND($S51&lt;&gt;"",EDATE($D51,Milestones!$AA$54)&gt;=$S51),$V51,$U51)))=Milestones!$AB$54),UPPER(TEXT(EDATE($D51,Milestones!$AA$54),"dd mmm yy"))&amp;" "&amp;Milestones!$AB$54&amp;" "&amp;Milestones!$AC$54&amp;";  ","")&amp;IF(AND(EDATE($D51,Milestones!$AA$55)&lt;=AsOfDate,IF($R51=0,$X51,IF(AND($T51&lt;&gt;"",EDATE($D51,Milestones!$AA$55)&gt;=$T51),$W51,IF(AND($S51&lt;&gt;"",EDATE($D51,Milestones!$AA$55)&gt;=$S51),$V51,$U51)))=Milestones!$AB$55),UPPER(TEXT(EDATE($D51,Milestones!$AA$55),"dd mmm yy"))&amp;" "&amp;Milestones!$AB$55&amp;" "&amp;Milestones!$AC$55&amp;";  ","")&amp;IF(AND(EDATE($D51,Milestones!$AA$56)&lt;=AsOfDate,IF($R51=0,$X51,IF(AND($T51&lt;&gt;"",EDATE($D51,Milestones!$AA$56)&gt;=$T51),$W51,IF(AND($S51&lt;&gt;"",EDATE($D51,Milestones!$AA$56)&gt;=$S51),$V51,$U51)))=Milestones!$AB$56),UPPER(TEXT(EDATE($D51,Milestones!$AA$56),"dd mmm yy"))&amp;" "&amp;Milestones!$AB$56&amp;" "&amp;Milestones!$AC$56&amp;";  ","")&amp;IF(AND(EDATE($D51,Milestones!$AA$57)&lt;=AsOfDate,IF($R51=0,$X51,IF(AND($T51&lt;&gt;"",EDATE($D51,Milestones!$AA$57)&gt;=$T51),$W51,IF(AND($S51&lt;&gt;"",EDATE($D51,Milestones!$AA$57)&gt;=$S51),$V51,$U51)))=Milestones!$AB$57),UPPER(TEXT(EDATE($D51,Milestones!$AA$57),"dd mmm yy"))&amp;" "&amp;Milestones!$AB$57&amp;" "&amp;Milestones!$AC$57&amp;";  ","")&amp;IF(AND(EDATE($D51,Milestones!$AA$58)&lt;=AsOfDate,IF($R51=0,$X51,IF(AND($T51&lt;&gt;"",EDATE($D51,Milestones!$AA$58)&gt;=$T51),$W51,IF(AND($S51&lt;&gt;"",EDATE($D51,Milestones!$AA$58)&gt;=$S51),$V51,$U51)))=Milestones!$AB$58),UPPER(TEXT(EDATE($D51,Milestones!$AA$58),"dd mmm yy"))&amp;" "&amp;Milestones!$AB$58&amp;" "&amp;Milestones!$AC$58&amp;";  ","")&amp;IF(AND(EDATE($D51,Milestones!$AA$59)&lt;=AsOfDate,IF($R51=0,$X51,IF(AND($T51&lt;&gt;"",EDATE($D51,Milestones!$AA$59)&gt;=$T51),$W51,IF(AND($S51&lt;&gt;"",EDATE($D51,Milestones!$AA$59)&gt;=$S51),$V51,$U51)))=Milestones!$AB$59),UPPER(TEXT(EDATE($D51,Milestones!$AA$59),"dd mmm yy"))&amp;" "&amp;Milestones!$AB$59&amp;" "&amp;Milestones!$AC$59&amp;";  ",""))</f>
        <v/>
      </c>
      <c r="K51" s="0" t="str">
        <f aca="false">IF(OR($A51="",$D51=""),"",IF(AND(EDATE($D51,Milestones!$AA$60)&lt;=AsOfDate,IF($R51=0,$X51,IF(AND($T51&lt;&gt;"",EDATE($D51,Milestones!$AA$60)&gt;=$T51),$W51,IF(AND($S51&lt;&gt;"",EDATE($D51,Milestones!$AA$60)&gt;=$S51),$V51,$U51)))=Milestones!$AB$60),UPPER(TEXT(EDATE($D51,Milestones!$AA$60),"dd mmm yy"))&amp;" "&amp;Milestones!$AB$60&amp;" "&amp;Milestones!$AC$60&amp;";  ","")&amp;IF(AND(EDATE($D51,Milestones!$AA$61)&lt;=AsOfDate,IF($R51=0,$X51,IF(AND($T51&lt;&gt;"",EDATE($D51,Milestones!$AA$61)&gt;=$T51),$W51,IF(AND($S51&lt;&gt;"",EDATE($D51,Milestones!$AA$61)&gt;=$S51),$V51,$U51)))=Milestones!$AB$61),UPPER(TEXT(EDATE($D51,Milestones!$AA$61),"dd mmm yy"))&amp;" "&amp;Milestones!$AB$61&amp;" "&amp;Milestones!$AC$61&amp;";  ","")&amp;IF(AND(EDATE($D51,Milestones!$AA$62)&lt;=AsOfDate,IF($R51=0,$X51,IF(AND($T51&lt;&gt;"",EDATE($D51,Milestones!$AA$62)&gt;=$T51),$W51,IF(AND($S51&lt;&gt;"",EDATE($D51,Milestones!$AA$62)&gt;=$S51),$V51,$U51)))=Milestones!$AB$62),UPPER(TEXT(EDATE($D51,Milestones!$AA$62),"dd mmm yy"))&amp;" "&amp;Milestones!$AB$62&amp;" "&amp;Milestones!$AC$62&amp;";  ","")&amp;IF(AND(EDATE($D51,Milestones!$AA$63)&lt;=AsOfDate,IF($R51=0,$X51,IF(AND($T51&lt;&gt;"",EDATE($D51,Milestones!$AA$63)&gt;=$T51),$W51,IF(AND($S51&lt;&gt;"",EDATE($D51,Milestones!$AA$63)&gt;=$S51),$V51,$U51)))=Milestones!$AB$63),UPPER(TEXT(EDATE($D51,Milestones!$AA$63),"dd mmm yy"))&amp;" "&amp;Milestones!$AB$63&amp;" "&amp;Milestones!$AC$63&amp;";  ","")&amp;IF(AND(EDATE($D51,Milestones!$AA$64)&lt;=AsOfDate,IF($R51=0,$X51,IF(AND($T51&lt;&gt;"",EDATE($D51,Milestones!$AA$64)&gt;=$T51),$W51,IF(AND($S51&lt;&gt;"",EDATE($D51,Milestones!$AA$64)&gt;=$S51),$V51,$U51)))=Milestones!$AB$64),UPPER(TEXT(EDATE($D51,Milestones!$AA$64),"dd mmm yy"))&amp;" "&amp;Milestones!$AB$64&amp;" "&amp;Milestones!$AC$64&amp;";  ","")&amp;IF(AND(EDATE($D51,Milestones!$AA$65)&lt;=AsOfDate,IF($R51=0,$X51,IF(AND($T51&lt;&gt;"",EDATE($D51,Milestones!$AA$65)&gt;=$T51),$W51,IF(AND($S51&lt;&gt;"",EDATE($D51,Milestones!$AA$65)&gt;=$S51),$V51,$U51)))=Milestones!$AB$65),UPPER(TEXT(EDATE($D51,Milestones!$AA$65),"dd mmm yy"))&amp;" "&amp;Milestones!$AB$65&amp;" "&amp;Milestones!$AC$65&amp;";  ","")&amp;IF(AND(EDATE($D51,Milestones!$AA$66)&lt;=AsOfDate,IF($R51=0,$X51,IF(AND($T51&lt;&gt;"",EDATE($D51,Milestones!$AA$66)&gt;=$T51),$W51,IF(AND($S51&lt;&gt;"",EDATE($D51,Milestones!$AA$66)&gt;=$S51),$V51,$U51)))=Milestones!$AB$66),UPPER(TEXT(EDATE($D51,Milestones!$AA$66),"dd mmm yy"))&amp;" "&amp;Milestones!$AB$66&amp;" "&amp;Milestones!$AC$66&amp;";  ","")&amp;IF(AND(EDATE($D51,Milestones!$AA$67)&lt;=AsOfDate,IF($R51=0,$X51,IF(AND($T51&lt;&gt;"",EDATE($D51,Milestones!$AA$67)&gt;=$T51),$W51,IF(AND($S51&lt;&gt;"",EDATE($D51,Milestones!$AA$67)&gt;=$S51),$V51,$U51)))=Milestones!$AB$67),UPPER(TEXT(EDATE($D51,Milestones!$AA$67),"dd mmm yy"))&amp;" "&amp;Milestones!$AB$67&amp;" "&amp;Milestones!$AC$67&amp;";  ","")&amp;IF(AND(EDATE($D51,Milestones!$AA$68)&lt;=AsOfDate,IF($R51=0,$X51,IF(AND($T51&lt;&gt;"",EDATE($D51,Milestones!$AA$68)&gt;=$T51),$W51,IF(AND($S51&lt;&gt;"",EDATE($D51,Milestones!$AA$68)&gt;=$S51),$V51,$U51)))=Milestones!$AB$68),UPPER(TEXT(EDATE($D51,Milestones!$AA$68),"dd mmm yy"))&amp;" "&amp;Milestones!$AB$68&amp;" "&amp;Milestones!$AC$68&amp;";  ","")&amp;IF(AND(EDATE($D51,Milestones!$AA$69)&lt;=AsOfDate,IF($R51=0,$X51,IF(AND($T51&lt;&gt;"",EDATE($D51,Milestones!$AA$69)&gt;=$T51),$W51,IF(AND($S51&lt;&gt;"",EDATE($D51,Milestones!$AA$69)&gt;=$S51),$V51,$U51)))=Milestones!$AB$69),UPPER(TEXT(EDATE($D51,Milestones!$AA$69),"dd mmm yy"))&amp;" "&amp;Milestones!$AB$69&amp;" "&amp;Milestones!$AC$69&amp;";  ","")&amp;IF(AND(EDATE($D51,Milestones!$AA$70)&lt;=AsOfDate,IF($R51=0,$X51,IF(AND($T51&lt;&gt;"",EDATE($D51,Milestones!$AA$70)&gt;=$T51),$W51,IF(AND($S51&lt;&gt;"",EDATE($D51,Milestones!$AA$70)&gt;=$S51),$V51,$U51)))=Milestones!$AB$70),UPPER(TEXT(EDATE($D51,Milestones!$AA$70),"dd mmm yy"))&amp;" "&amp;Milestones!$AB$70&amp;" "&amp;Milestones!$AC$70&amp;";  ","")&amp;IF(AND(EDATE($D51,Milestones!$AA$71)&lt;=AsOfDate,IF($R51=0,$X51,IF(AND($T51&lt;&gt;"",EDATE($D51,Milestones!$AA$71)&gt;=$T51),$W51,IF(AND($S51&lt;&gt;"",EDATE($D51,Milestones!$AA$71)&gt;=$S51),$V51,$U51)))=Milestones!$AB$71),UPPER(TEXT(EDATE($D51,Milestones!$AA$71),"dd mmm yy"))&amp;" "&amp;Milestones!$AB$71&amp;" "&amp;Milestones!$AC$71&amp;";  ","")&amp;IF(AND(EDATE($D51,Milestones!$AA$72)&lt;=AsOfDate,IF($R51=0,$X51,IF(AND($T51&lt;&gt;"",EDATE($D51,Milestones!$AA$72)&gt;=$T51),$W51,IF(AND($S51&lt;&gt;"",EDATE($D51,Milestones!$AA$72)&gt;=$S51),$V51,$U51)))=Milestones!$AB$72),UPPER(TEXT(EDATE($D51,Milestones!$AA$72),"dd mmm yy"))&amp;" "&amp;Milestones!$AB$72&amp;" "&amp;Milestones!$AC$72&amp;";  ","")&amp;IF(AND(EDATE($D51,Milestones!$AA$73)&lt;=AsOfDate,IF($R51=0,$X51,IF(AND($T51&lt;&gt;"",EDATE($D51,Milestones!$AA$73)&gt;=$T51),$W51,IF(AND($S51&lt;&gt;"",EDATE($D51,Milestones!$AA$73)&gt;=$S51),$V51,$U51)))=Milestones!$AB$73),UPPER(TEXT(EDATE($D51,Milestones!$AA$73),"dd mmm yy"))&amp;" "&amp;Milestones!$AB$73&amp;" "&amp;Milestones!$AC$73&amp;";  ","")&amp;IF(AND(EDATE($D51,Milestones!$AA$74)&lt;=AsOfDate,IF($R51=0,$X51,IF(AND($T51&lt;&gt;"",EDATE($D51,Milestones!$AA$74)&gt;=$T51),$W51,IF(AND($S51&lt;&gt;"",EDATE($D51,Milestones!$AA$74)&gt;=$S51),$V51,$U51)))=Milestones!$AB$74),UPPER(TEXT(EDATE($D51,Milestones!$AA$74),"dd mmm yy"))&amp;" "&amp;Milestones!$AB$74&amp;" "&amp;Milestones!$AC$74&amp;";  ","")&amp;IF(AND(EDATE($D51,Milestones!$AA$75)&lt;=AsOfDate,IF($R51=0,$X51,IF(AND($T51&lt;&gt;"",EDATE($D51,Milestones!$AA$75)&gt;=$T51),$W51,IF(AND($S51&lt;&gt;"",EDATE($D51,Milestones!$AA$75)&gt;=$S51),$V51,$U51)))=Milestones!$AB$75),UPPER(TEXT(EDATE($D51,Milestones!$AA$75),"dd mmm yy"))&amp;" "&amp;Milestones!$AB$75&amp;" "&amp;Milestones!$AC$75&amp;";  ","")&amp;IF(AND(EDATE($D51,Milestones!$AA$76)&lt;=AsOfDate,IF($R51=0,$X51,IF(AND($T51&lt;&gt;"",EDATE($D51,Milestones!$AA$76)&gt;=$T51),$W51,IF(AND($S51&lt;&gt;"",EDATE($D51,Milestones!$AA$76)&gt;=$S51),$V51,$U51)))=Milestones!$AB$76),UPPER(TEXT(EDATE($D51,Milestones!$AA$76),"dd mmm yy"))&amp;" "&amp;Milestones!$AB$76&amp;" "&amp;Milestones!$AC$76&amp;";  ","")&amp;IF(AND(EDATE($D51,Milestones!$AA$77)&lt;=AsOfDate,IF($R51=0,$X51,IF(AND($T51&lt;&gt;"",EDATE($D51,Milestones!$AA$77)&gt;=$T51),$W51,IF(AND($S51&lt;&gt;"",EDATE($D51,Milestones!$AA$77)&gt;=$S51),$V51,$U51)))=Milestones!$AB$77),UPPER(TEXT(EDATE($D51,Milestones!$AA$77),"dd mmm yy"))&amp;" "&amp;Milestones!$AB$77&amp;" "&amp;Milestones!$AC$77&amp;";  ","")&amp;IF(AND(EDATE($D51,Milestones!$AA$78)&lt;=AsOfDate,IF($R51=0,$X51,IF(AND($T51&lt;&gt;"",EDATE($D51,Milestones!$AA$78)&gt;=$T51),$W51,IF(AND($S51&lt;&gt;"",EDATE($D51,Milestones!$AA$78)&gt;=$S51),$V51,$U51)))=Milestones!$AB$78),UPPER(TEXT(EDATE($D51,Milestones!$AA$78),"dd mmm yy"))&amp;" "&amp;Milestones!$AB$78&amp;" "&amp;Milestones!$AC$78&amp;";  ","")&amp;IF(AND(EDATE($D51,Milestones!$AA$79)&lt;=AsOfDate,IF($R51=0,$X51,IF(AND($T51&lt;&gt;"",EDATE($D51,Milestones!$AA$79)&gt;=$T51),$W51,IF(AND($S51&lt;&gt;"",EDATE($D51,Milestones!$AA$79)&gt;=$S51),$V51,$U51)))=Milestones!$AB$79),UPPER(TEXT(EDATE($D51,Milestones!$AA$79),"dd mmm yy"))&amp;" "&amp;Milestones!$AB$79&amp;" "&amp;Milestones!$AC$79&amp;";  ",""))</f>
        <v/>
      </c>
      <c r="L51" s="0" t="str">
        <f aca="false">IF(OR($A51="",$D51=""),"",IF(AND(EDATE($D51,Milestones!$AA$80)&lt;=AsOfDate,IF($R51=0,$X51,IF(AND($T51&lt;&gt;"",EDATE($D51,Milestones!$AA$80)&gt;=$T51),$W51,IF(AND($S51&lt;&gt;"",EDATE($D51,Milestones!$AA$80)&gt;=$S51),$V51,$U51)))=Milestones!$AB$80),UPPER(TEXT(EDATE($D51,Milestones!$AA$80),"dd mmm yy"))&amp;" "&amp;Milestones!$AB$80&amp;" "&amp;Milestones!$AC$80&amp;";  ","")&amp;IF(AND(EDATE($D51,Milestones!$AA$81)&lt;=AsOfDate,IF($R51=0,$X51,IF(AND($T51&lt;&gt;"",EDATE($D51,Milestones!$AA$81)&gt;=$T51),$W51,IF(AND($S51&lt;&gt;"",EDATE($D51,Milestones!$AA$81)&gt;=$S51),$V51,$U51)))=Milestones!$AB$81),UPPER(TEXT(EDATE($D51,Milestones!$AA$81),"dd mmm yy"))&amp;" "&amp;Milestones!$AB$81&amp;" "&amp;Milestones!$AC$81&amp;";  ","")&amp;IF(AND(EDATE($D51,Milestones!$AA$82)&lt;=AsOfDate,IF($R51=0,$X51,IF(AND($T51&lt;&gt;"",EDATE($D51,Milestones!$AA$82)&gt;=$T51),$W51,IF(AND($S51&lt;&gt;"",EDATE($D51,Milestones!$AA$82)&gt;=$S51),$V51,$U51)))=Milestones!$AB$82),UPPER(TEXT(EDATE($D51,Milestones!$AA$82),"dd mmm yy"))&amp;" "&amp;Milestones!$AB$82&amp;" "&amp;Milestones!$AC$82&amp;";  ","")&amp;IF(AND(EDATE($D51,Milestones!$AA$83)&lt;=AsOfDate,IF($R51=0,$X51,IF(AND($T51&lt;&gt;"",EDATE($D51,Milestones!$AA$83)&gt;=$T51),$W51,IF(AND($S51&lt;&gt;"",EDATE($D51,Milestones!$AA$83)&gt;=$S51),$V51,$U51)))=Milestones!$AB$83),UPPER(TEXT(EDATE($D51,Milestones!$AA$83),"dd mmm yy"))&amp;" "&amp;Milestones!$AB$83&amp;" "&amp;Milestones!$AC$83&amp;";  ","")&amp;IF(AND(EDATE($D51,Milestones!$AA$84)&lt;=AsOfDate,IF($R51=0,$X51,IF(AND($T51&lt;&gt;"",EDATE($D51,Milestones!$AA$84)&gt;=$T51),$W51,IF(AND($S51&lt;&gt;"",EDATE($D51,Milestones!$AA$84)&gt;=$S51),$V51,$U51)))=Milestones!$AB$84),UPPER(TEXT(EDATE($D51,Milestones!$AA$84),"dd mmm yy"))&amp;" "&amp;Milestones!$AB$84&amp;" "&amp;Milestones!$AC$84&amp;";  ","")&amp;IF(AND(EDATE($D51,Milestones!$AA$85)&lt;=AsOfDate,IF($R51=0,$X51,IF(AND($T51&lt;&gt;"",EDATE($D51,Milestones!$AA$85)&gt;=$T51),$W51,IF(AND($S51&lt;&gt;"",EDATE($D51,Milestones!$AA$85)&gt;=$S51),$V51,$U51)))=Milestones!$AB$85),UPPER(TEXT(EDATE($D51,Milestones!$AA$85),"dd mmm yy"))&amp;" "&amp;Milestones!$AB$85&amp;" "&amp;Milestones!$AC$85&amp;";  ","")&amp;IF(AND(EDATE($D51,Milestones!$AA$86)&lt;=AsOfDate,IF($R51=0,$X51,IF(AND($T51&lt;&gt;"",EDATE($D51,Milestones!$AA$86)&gt;=$T51),$W51,IF(AND($S51&lt;&gt;"",EDATE($D51,Milestones!$AA$86)&gt;=$S51),$V51,$U51)))=Milestones!$AB$86),UPPER(TEXT(EDATE($D51,Milestones!$AA$86),"dd mmm yy"))&amp;" "&amp;Milestones!$AB$86&amp;" "&amp;Milestones!$AC$86&amp;";  ","")&amp;IF(AND(EDATE($D51,Milestones!$AA$87)&lt;=AsOfDate,IF($R51=0,$X51,IF(AND($T51&lt;&gt;"",EDATE($D51,Milestones!$AA$87)&gt;=$T51),$W51,IF(AND($S51&lt;&gt;"",EDATE($D51,Milestones!$AA$87)&gt;=$S51),$V51,$U51)))=Milestones!$AB$87),UPPER(TEXT(EDATE($D51,Milestones!$AA$87),"dd mmm yy"))&amp;" "&amp;Milestones!$AB$87&amp;" "&amp;Milestones!$AC$87&amp;";  ","")&amp;IF(AND(EDATE($D51,Milestones!$AA$88)&lt;=AsOfDate,IF($R51=0,$X51,IF(AND($T51&lt;&gt;"",EDATE($D51,Milestones!$AA$88)&gt;=$T51),$W51,IF(AND($S51&lt;&gt;"",EDATE($D51,Milestones!$AA$88)&gt;=$S51),$V51,$U51)))=Milestones!$AB$88),UPPER(TEXT(EDATE($D51,Milestones!$AA$88),"dd mmm yy"))&amp;" "&amp;Milestones!$AB$88&amp;" "&amp;Milestones!$AC$88&amp;";  ","")&amp;IF(AND(EDATE($D51,Milestones!$AA$89)&lt;=AsOfDate,IF($R51=0,$X51,IF(AND($T51&lt;&gt;"",EDATE($D51,Milestones!$AA$89)&gt;=$T51),$W51,IF(AND($S51&lt;&gt;"",EDATE($D51,Milestones!$AA$89)&gt;=$S51),$V51,$U51)))=Milestones!$AB$89),UPPER(TEXT(EDATE($D51,Milestones!$AA$89),"dd mmm yy"))&amp;" "&amp;Milestones!$AB$89&amp;" "&amp;Milestones!$AC$89&amp;";  ","")&amp;IF(AND(EDATE($D51,Milestones!$AA$90)&lt;=AsOfDate,IF($R51=0,$X51,IF(AND($T51&lt;&gt;"",EDATE($D51,Milestones!$AA$90)&gt;=$T51),$W51,IF(AND($S51&lt;&gt;"",EDATE($D51,Milestones!$AA$90)&gt;=$S51),$V51,$U51)))=Milestones!$AB$90),UPPER(TEXT(EDATE($D51,Milestones!$AA$90),"dd mmm yy"))&amp;" "&amp;Milestones!$AB$90&amp;" "&amp;Milestones!$AC$90&amp;";  ","")&amp;IF(AND(EDATE($D51,Milestones!$AA$91)&lt;=AsOfDate,IF($R51=0,$X51,IF(AND($T51&lt;&gt;"",EDATE($D51,Milestones!$AA$91)&gt;=$T51),$W51,IF(AND($S51&lt;&gt;"",EDATE($D51,Milestones!$AA$91)&gt;=$S51),$V51,$U51)))=Milestones!$AB$91),UPPER(TEXT(EDATE($D51,Milestones!$AA$91),"dd mmm yy"))&amp;" "&amp;Milestones!$AB$91&amp;" "&amp;Milestones!$AC$91&amp;";  ","")&amp;IF(AND(EDATE($D51,Milestones!$AA$92)&lt;=AsOfDate,IF($R51=0,$X51,IF(AND($T51&lt;&gt;"",EDATE($D51,Milestones!$AA$92)&gt;=$T51),$W51,IF(AND($S51&lt;&gt;"",EDATE($D51,Milestones!$AA$92)&gt;=$S51),$V51,$U51)))=Milestones!$AB$92),UPPER(TEXT(EDATE($D51,Milestones!$AA$92),"dd mmm yy"))&amp;" "&amp;Milestones!$AB$92&amp;" "&amp;Milestones!$AC$92&amp;";  ","")&amp;IF(AND(EDATE($D51,Milestones!$AA$93)&lt;=AsOfDate,IF($R51=0,$X51,IF(AND($T51&lt;&gt;"",EDATE($D51,Milestones!$AA$93)&gt;=$T51),$W51,IF(AND($S51&lt;&gt;"",EDATE($D51,Milestones!$AA$93)&gt;=$S51),$V51,$U51)))=Milestones!$AB$93),UPPER(TEXT(EDATE($D51,Milestones!$AA$93),"dd mmm yy"))&amp;" "&amp;Milestones!$AB$93&amp;" "&amp;Milestones!$AC$93&amp;";  ","")&amp;IF(AND(EDATE($D51,Milestones!$AA$94)&lt;=AsOfDate,IF($R51=0,$X51,IF(AND($T51&lt;&gt;"",EDATE($D51,Milestones!$AA$94)&gt;=$T51),$W51,IF(AND($S51&lt;&gt;"",EDATE($D51,Milestones!$AA$94)&gt;=$S51),$V51,$U51)))=Milestones!$AB$94),UPPER(TEXT(EDATE($D51,Milestones!$AA$94),"dd mmm yy"))&amp;" "&amp;Milestones!$AB$94&amp;" "&amp;Milestones!$AC$94&amp;";  ","")&amp;IF(AND(EDATE($D51,Milestones!$AA$95)&lt;=AsOfDate,IF($R51=0,$X51,IF(AND($T51&lt;&gt;"",EDATE($D51,Milestones!$AA$95)&gt;=$T51),$W51,IF(AND($S51&lt;&gt;"",EDATE($D51,Milestones!$AA$95)&gt;=$S51),$V51,$U51)))=Milestones!$AB$95),UPPER(TEXT(EDATE($D51,Milestones!$AA$95),"dd mmm yy"))&amp;" "&amp;Milestones!$AB$95&amp;" "&amp;Milestones!$AC$95&amp;";  ","")&amp;IF(AND(EDATE($D51,Milestones!$AA$96)&lt;=AsOfDate,IF($R51=0,$X51,IF(AND($T51&lt;&gt;"",EDATE($D51,Milestones!$AA$96)&gt;=$T51),$W51,IF(AND($S51&lt;&gt;"",EDATE($D51,Milestones!$AA$96)&gt;=$S51),$V51,$U51)))=Milestones!$AB$96),UPPER(TEXT(EDATE($D51,Milestones!$AA$96),"dd mmm yy"))&amp;" "&amp;Milestones!$AB$96&amp;" "&amp;Milestones!$AC$96&amp;";  ","")&amp;IF(AND(EDATE($D51,Milestones!$AA$97)&lt;=AsOfDate,IF($R51=0,$X51,IF(AND($T51&lt;&gt;"",EDATE($D51,Milestones!$AA$97)&gt;=$T51),$W51,IF(AND($S51&lt;&gt;"",EDATE($D51,Milestones!$AA$97)&gt;=$S51),$V51,$U51)))=Milestones!$AB$97),UPPER(TEXT(EDATE($D51,Milestones!$AA$97),"dd mmm yy"))&amp;" "&amp;Milestones!$AB$97&amp;" "&amp;Milestones!$AC$97&amp;";  ","")&amp;IF(AND(EDATE($D51,Milestones!$AA$98)&lt;=AsOfDate,IF($R51=0,$X51,IF(AND($T51&lt;&gt;"",EDATE($D51,Milestones!$AA$98)&gt;=$T51),$W51,IF(AND($S51&lt;&gt;"",EDATE($D51,Milestones!$AA$98)&gt;=$S51),$V51,$U51)))=Milestones!$AB$98),UPPER(TEXT(EDATE($D51,Milestones!$AA$98),"dd mmm yy"))&amp;" "&amp;Milestones!$AB$98&amp;" "&amp;Milestones!$AC$98&amp;";  ","")&amp;IF(AND(EDATE($D51,Milestones!$AA$99)&lt;=AsOfDate,IF($R51=0,$X51,IF(AND($T51&lt;&gt;"",EDATE($D51,Milestones!$AA$99)&gt;=$T51),$W51,IF(AND($S51&lt;&gt;"",EDATE($D51,Milestones!$AA$99)&gt;=$S51),$V51,$U51)))=Milestones!$AB$99),UPPER(TEXT(EDATE($D51,Milestones!$AA$99),"dd mmm yy"))&amp;" "&amp;Milestones!$AB$99&amp;" "&amp;Milestones!$AC$99&amp;";  ",""))</f>
        <v/>
      </c>
      <c r="M51" s="0" t="str">
        <f aca="false">IF(OR($A51="",$D51=""),"",IF(AND(EDATE($D51,Milestones!$AA$100)&lt;=AsOfDate,IF($R51=0,$X51,IF(AND($T51&lt;&gt;"",EDATE($D51,Milestones!$AA$100)&gt;=$T51),$W51,IF(AND($S51&lt;&gt;"",EDATE($D51,Milestones!$AA$100)&gt;=$S51),$V51,$U51)))=Milestones!$AB$100),UPPER(TEXT(EDATE($D51,Milestones!$AA$100),"dd mmm yy"))&amp;" "&amp;Milestones!$AB$100&amp;" "&amp;Milestones!$AC$100&amp;";  ","")&amp;IF(AND(EDATE($D51,Milestones!$AA$101)&lt;=AsOfDate,IF($R51=0,$X51,IF(AND($T51&lt;&gt;"",EDATE($D51,Milestones!$AA$101)&gt;=$T51),$W51,IF(AND($S51&lt;&gt;"",EDATE($D51,Milestones!$AA$101)&gt;=$S51),$V51,$U51)))=Milestones!$AB$101),UPPER(TEXT(EDATE($D51,Milestones!$AA$101),"dd mmm yy"))&amp;" "&amp;Milestones!$AB$101&amp;" "&amp;Milestones!$AC$101&amp;";  ","")&amp;IF(AND(EDATE($D51,Milestones!$AA$102)&lt;=AsOfDate,IF($R51=0,$X51,IF(AND($T51&lt;&gt;"",EDATE($D51,Milestones!$AA$102)&gt;=$T51),$W51,IF(AND($S51&lt;&gt;"",EDATE($D51,Milestones!$AA$102)&gt;=$S51),$V51,$U51)))=Milestones!$AB$102),UPPER(TEXT(EDATE($D51,Milestones!$AA$102),"dd mmm yy"))&amp;" "&amp;Milestones!$AB$102&amp;" "&amp;Milestones!$AC$102&amp;";  ","")&amp;IF(AND(EDATE($D51,Milestones!$AA$103)&lt;=AsOfDate,IF($R51=0,$X51,IF(AND($T51&lt;&gt;"",EDATE($D51,Milestones!$AA$103)&gt;=$T51),$W51,IF(AND($S51&lt;&gt;"",EDATE($D51,Milestones!$AA$103)&gt;=$S51),$V51,$U51)))=Milestones!$AB$103),UPPER(TEXT(EDATE($D51,Milestones!$AA$103),"dd mmm yy"))&amp;" "&amp;Milestones!$AB$103&amp;" "&amp;Milestones!$AC$103&amp;";  ","")&amp;IF(AND(EDATE($D51,Milestones!$AA$104)&lt;=AsOfDate,IF($R51=0,$X51,IF(AND($T51&lt;&gt;"",EDATE($D51,Milestones!$AA$104)&gt;=$T51),$W51,IF(AND($S51&lt;&gt;"",EDATE($D51,Milestones!$AA$104)&gt;=$S51),$V51,$U51)))=Milestones!$AB$104),UPPER(TEXT(EDATE($D51,Milestones!$AA$104),"dd mmm yy"))&amp;" "&amp;Milestones!$AB$104&amp;" "&amp;Milestones!$AC$104&amp;";  ","")&amp;IF(AND(EDATE($D51,Milestones!$AA$105)&lt;=AsOfDate,IF($R51=0,$X51,IF(AND($T51&lt;&gt;"",EDATE($D51,Milestones!$AA$105)&gt;=$T51),$W51,IF(AND($S51&lt;&gt;"",EDATE($D51,Milestones!$AA$105)&gt;=$S51),$V51,$U51)))=Milestones!$AB$105),UPPER(TEXT(EDATE($D51,Milestones!$AA$105),"dd mmm yy"))&amp;" "&amp;Milestones!$AB$105&amp;" "&amp;Milestones!$AC$105&amp;";  ","")&amp;IF(AND(EDATE($D51,Milestones!$AA$106)&lt;=AsOfDate,IF($R51=0,$X51,IF(AND($T51&lt;&gt;"",EDATE($D51,Milestones!$AA$106)&gt;=$T51),$W51,IF(AND($S51&lt;&gt;"",EDATE($D51,Milestones!$AA$106)&gt;=$S51),$V51,$U51)))=Milestones!$AB$106),UPPER(TEXT(EDATE($D51,Milestones!$AA$106),"dd mmm yy"))&amp;" "&amp;Milestones!$AB$106&amp;" "&amp;Milestones!$AC$106&amp;";  ","")&amp;IF(AND(EDATE($D51,Milestones!$AA$107)&lt;=AsOfDate,IF($R51=0,$X51,IF(AND($T51&lt;&gt;"",EDATE($D51,Milestones!$AA$107)&gt;=$T51),$W51,IF(AND($S51&lt;&gt;"",EDATE($D51,Milestones!$AA$107)&gt;=$S51),$V51,$U51)))=Milestones!$AB$107),UPPER(TEXT(EDATE($D51,Milestones!$AA$107),"dd mmm yy"))&amp;" "&amp;Milestones!$AB$107&amp;" "&amp;Milestones!$AC$107&amp;";  ","")&amp;IF(AND(EDATE($D51,Milestones!$AA$108)&lt;=AsOfDate,IF($R51=0,$X51,IF(AND($T51&lt;&gt;"",EDATE($D51,Milestones!$AA$108)&gt;=$T51),$W51,IF(AND($S51&lt;&gt;"",EDATE($D51,Milestones!$AA$108)&gt;=$S51),$V51,$U51)))=Milestones!$AB$108),UPPER(TEXT(EDATE($D51,Milestones!$AA$108),"dd mmm yy"))&amp;" "&amp;Milestones!$AB$108&amp;" "&amp;Milestones!$AC$108&amp;";  ","")&amp;IF(AND(EDATE($D51,Milestones!$AA$109)&lt;=AsOfDate,IF($R51=0,$X51,IF(AND($T51&lt;&gt;"",EDATE($D51,Milestones!$AA$109)&gt;=$T51),$W51,IF(AND($S51&lt;&gt;"",EDATE($D51,Milestones!$AA$109)&gt;=$S51),$V51,$U51)))=Milestones!$AB$109),UPPER(TEXT(EDATE($D51,Milestones!$AA$109),"dd mmm yy"))&amp;" "&amp;Milestones!$AB$109&amp;" "&amp;Milestones!$AC$109&amp;";  ","")&amp;IF(AND(EDATE($D51,Milestones!$AA$110)&lt;=AsOfDate,IF($R51=0,$X51,IF(AND($T51&lt;&gt;"",EDATE($D51,Milestones!$AA$110)&gt;=$T51),$W51,IF(AND($S51&lt;&gt;"",EDATE($D51,Milestones!$AA$110)&gt;=$S51),$V51,$U51)))=Milestones!$AB$110),UPPER(TEXT(EDATE($D51,Milestones!$AA$110),"dd mmm yy"))&amp;" "&amp;Milestones!$AB$110&amp;" "&amp;Milestones!$AC$110&amp;";  ","")&amp;IF(AND(EDATE($D51,Milestones!$AA$111)&lt;=AsOfDate,IF($R51=0,$X51,IF(AND($T51&lt;&gt;"",EDATE($D51,Milestones!$AA$111)&gt;=$T51),$W51,IF(AND($S51&lt;&gt;"",EDATE($D51,Milestones!$AA$111)&gt;=$S51),$V51,$U51)))=Milestones!$AB$111),UPPER(TEXT(EDATE($D51,Milestones!$AA$111),"dd mmm yy"))&amp;" "&amp;Milestones!$AB$111&amp;" "&amp;Milestones!$AC$111&amp;";  ","")&amp;IF(AND(EDATE($D51,Milestones!$AA$112)&lt;=AsOfDate,IF($R51=0,$X51,IF(AND($T51&lt;&gt;"",EDATE($D51,Milestones!$AA$112)&gt;=$T51),$W51,IF(AND($S51&lt;&gt;"",EDATE($D51,Milestones!$AA$112)&gt;=$S51),$V51,$U51)))=Milestones!$AB$112),UPPER(TEXT(EDATE($D51,Milestones!$AA$112),"dd mmm yy"))&amp;" "&amp;Milestones!$AB$112&amp;" "&amp;Milestones!$AC$112&amp;";  ","")&amp;IF(AND(EDATE($D51,Milestones!$AA$113)&lt;=AsOfDate,IF($R51=0,$X51,IF(AND($T51&lt;&gt;"",EDATE($D51,Milestones!$AA$113)&gt;=$T51),$W51,IF(AND($S51&lt;&gt;"",EDATE($D51,Milestones!$AA$113)&gt;=$S51),$V51,$U51)))=Milestones!$AB$113),UPPER(TEXT(EDATE($D51,Milestones!$AA$113),"dd mmm yy"))&amp;" "&amp;Milestones!$AB$113&amp;" "&amp;Milestones!$AC$113&amp;";  ","")&amp;IF(AND(EDATE($D51,Milestones!$AA$114)&lt;=AsOfDate,IF($R51=0,$X51,IF(AND($T51&lt;&gt;"",EDATE($D51,Milestones!$AA$114)&gt;=$T51),$W51,IF(AND($S51&lt;&gt;"",EDATE($D51,Milestones!$AA$114)&gt;=$S51),$V51,$U51)))=Milestones!$AB$114),UPPER(TEXT(EDATE($D51,Milestones!$AA$114),"dd mmm yy"))&amp;" "&amp;Milestones!$AB$114&amp;" "&amp;Milestones!$AC$114&amp;";  ","")&amp;IF(AND(EDATE($D51,Milestones!$AA$115)&lt;=AsOfDate,IF($R51=0,$X51,IF(AND($T51&lt;&gt;"",EDATE($D51,Milestones!$AA$115)&gt;=$T51),$W51,IF(AND($S51&lt;&gt;"",EDATE($D51,Milestones!$AA$115)&gt;=$S51),$V51,$U51)))=Milestones!$AB$115),UPPER(TEXT(EDATE($D51,Milestones!$AA$115),"dd mmm yy"))&amp;" "&amp;Milestones!$AB$115&amp;" "&amp;Milestones!$AC$115&amp;";  ","")&amp;IF(AND(EDATE($D51,Milestones!$AA$116)&lt;=AsOfDate,IF($R51=0,$X51,IF(AND($T51&lt;&gt;"",EDATE($D51,Milestones!$AA$116)&gt;=$T51),$W51,IF(AND($S51&lt;&gt;"",EDATE($D51,Milestones!$AA$116)&gt;=$S51),$V51,$U51)))=Milestones!$AB$116),UPPER(TEXT(EDATE($D51,Milestones!$AA$116),"dd mmm yy"))&amp;" "&amp;Milestones!$AB$116&amp;" "&amp;Milestones!$AC$116&amp;";  ","")&amp;IF(AND(EDATE($D51,Milestones!$AA$117)&lt;=AsOfDate,IF($R51=0,$X51,IF(AND($T51&lt;&gt;"",EDATE($D51,Milestones!$AA$117)&gt;=$T51),$W51,IF(AND($S51&lt;&gt;"",EDATE($D51,Milestones!$AA$117)&gt;=$S51),$V51,$U51)))=Milestones!$AB$117),UPPER(TEXT(EDATE($D51,Milestones!$AA$117),"dd mmm yy"))&amp;" "&amp;Milestones!$AB$117&amp;" "&amp;Milestones!$AC$117&amp;";  ","")&amp;IF(AND(EDATE($D51,Milestones!$AA$118)&lt;=AsOfDate,IF($R51=0,$X51,IF(AND($T51&lt;&gt;"",EDATE($D51,Milestones!$AA$118)&gt;=$T51),$W51,IF(AND($S51&lt;&gt;"",EDATE($D51,Milestones!$AA$118)&gt;=$S51),$V51,$U51)))=Milestones!$AB$118),UPPER(TEXT(EDATE($D51,Milestones!$AA$118),"dd mmm yy"))&amp;" "&amp;Milestones!$AB$118&amp;" "&amp;Milestones!$AC$118&amp;";  ","")&amp;IF(AND(EDATE($D51,Milestones!$AA$119)&lt;=AsOfDate,IF($R51=0,$X51,IF(AND($T51&lt;&gt;"",EDATE($D51,Milestones!$AA$119)&gt;=$T51),$W51,IF(AND($S51&lt;&gt;"",EDATE($D51,Milestones!$AA$119)&gt;=$S51),$V51,$U51)))=Milestones!$AB$119),UPPER(TEXT(EDATE($D51,Milestones!$AA$119),"dd mmm yy"))&amp;" "&amp;Milestones!$AB$119&amp;" "&amp;Milestones!$AC$119&amp;";  ",""))</f>
        <v/>
      </c>
      <c r="N51" s="0" t="str">
        <f aca="false">IF(OR($A51="",$D51=""),"",IF(AND(EDATE($D51,Milestones!$AA$120)&lt;=AsOfDate,IF($R51=0,$X51,IF(AND($T51&lt;&gt;"",EDATE($D51,Milestones!$AA$120)&gt;=$T51),$W51,IF(AND($S51&lt;&gt;"",EDATE($D51,Milestones!$AA$120)&gt;=$S51),$V51,$U51)))=Milestones!$AB$120),UPPER(TEXT(EDATE($D51,Milestones!$AA$120),"dd mmm yy"))&amp;" "&amp;Milestones!$AB$120&amp;" "&amp;Milestones!$AC$120&amp;";  ","")&amp;IF(AND(EDATE($D51,Milestones!$AA$121)&lt;=AsOfDate,IF($R51=0,$X51,IF(AND($T51&lt;&gt;"",EDATE($D51,Milestones!$AA$121)&gt;=$T51),$W51,IF(AND($S51&lt;&gt;"",EDATE($D51,Milestones!$AA$121)&gt;=$S51),$V51,$U51)))=Milestones!$AB$121),UPPER(TEXT(EDATE($D51,Milestones!$AA$121),"dd mmm yy"))&amp;" "&amp;Milestones!$AB$121&amp;" "&amp;Milestones!$AC$121&amp;";  ","")&amp;IF(AND(EDATE($D51,Milestones!$AA$122)&lt;=AsOfDate,IF($R51=0,$X51,IF(AND($T51&lt;&gt;"",EDATE($D51,Milestones!$AA$122)&gt;=$T51),$W51,IF(AND($S51&lt;&gt;"",EDATE($D51,Milestones!$AA$122)&gt;=$S51),$V51,$U51)))=Milestones!$AB$122),UPPER(TEXT(EDATE($D51,Milestones!$AA$122),"dd mmm yy"))&amp;" "&amp;Milestones!$AB$122&amp;" "&amp;Milestones!$AC$122&amp;";  ","")&amp;IF(AND(EDATE($D51,Milestones!$AA$123)&lt;=AsOfDate,IF($R51=0,$X51,IF(AND($T51&lt;&gt;"",EDATE($D51,Milestones!$AA$123)&gt;=$T51),$W51,IF(AND($S51&lt;&gt;"",EDATE($D51,Milestones!$AA$123)&gt;=$S51),$V51,$U51)))=Milestones!$AB$123),UPPER(TEXT(EDATE($D51,Milestones!$AA$123),"dd mmm yy"))&amp;" "&amp;Milestones!$AB$123&amp;" "&amp;Milestones!$AC$123&amp;";  ","")&amp;IF(AND(EDATE($D51,Milestones!$AA$124)&lt;=AsOfDate,IF($R51=0,$X51,IF(AND($T51&lt;&gt;"",EDATE($D51,Milestones!$AA$124)&gt;=$T51),$W51,IF(AND($S51&lt;&gt;"",EDATE($D51,Milestones!$AA$124)&gt;=$S51),$V51,$U51)))=Milestones!$AB$124),UPPER(TEXT(EDATE($D51,Milestones!$AA$124),"dd mmm yy"))&amp;" "&amp;Milestones!$AB$124&amp;" "&amp;Milestones!$AC$124&amp;";  ","")&amp;IF(AND(EDATE($D51,Milestones!$AA$125)&lt;=AsOfDate,IF($R51=0,$X51,IF(AND($T51&lt;&gt;"",EDATE($D51,Milestones!$AA$125)&gt;=$T51),$W51,IF(AND($S51&lt;&gt;"",EDATE($D51,Milestones!$AA$125)&gt;=$S51),$V51,$U51)))=Milestones!$AB$125),UPPER(TEXT(EDATE($D51,Milestones!$AA$125),"dd mmm yy"))&amp;" "&amp;Milestones!$AB$125&amp;" "&amp;Milestones!$AC$125&amp;";  ","")&amp;IF(AND(EDATE($D51,Milestones!$AA$126)&lt;=AsOfDate,IF($R51=0,$X51,IF(AND($T51&lt;&gt;"",EDATE($D51,Milestones!$AA$126)&gt;=$T51),$W51,IF(AND($S51&lt;&gt;"",EDATE($D51,Milestones!$AA$126)&gt;=$S51),$V51,$U51)))=Milestones!$AB$126),UPPER(TEXT(EDATE($D51,Milestones!$AA$126),"dd mmm yy"))&amp;" "&amp;Milestones!$AB$126&amp;" "&amp;Milestones!$AC$126&amp;";  ","")&amp;IF(AND(EDATE($D51,Milestones!$AA$127)&lt;=AsOfDate,IF($R51=0,$X51,IF(AND($T51&lt;&gt;"",EDATE($D51,Milestones!$AA$127)&gt;=$T51),$W51,IF(AND($S51&lt;&gt;"",EDATE($D51,Milestones!$AA$127)&gt;=$S51),$V51,$U51)))=Milestones!$AB$127),UPPER(TEXT(EDATE($D51,Milestones!$AA$127),"dd mmm yy"))&amp;" "&amp;Milestones!$AB$127&amp;" "&amp;Milestones!$AC$127&amp;";  ","")&amp;IF(AND(EDATE($D51,Milestones!$AA$128)&lt;=AsOfDate,IF($R51=0,$X51,IF(AND($T51&lt;&gt;"",EDATE($D51,Milestones!$AA$128)&gt;=$T51),$W51,IF(AND($S51&lt;&gt;"",EDATE($D51,Milestones!$AA$128)&gt;=$S51),$V51,$U51)))=Milestones!$AB$128),UPPER(TEXT(EDATE($D51,Milestones!$AA$128),"dd mmm yy"))&amp;" "&amp;Milestones!$AB$128&amp;" "&amp;Milestones!$AC$128&amp;";  ","")&amp;IF(AND(EDATE($D51,Milestones!$AA$129)&lt;=AsOfDate,IF($R51=0,$X51,IF(AND($T51&lt;&gt;"",EDATE($D51,Milestones!$AA$129)&gt;=$T51),$W51,IF(AND($S51&lt;&gt;"",EDATE($D51,Milestones!$AA$129)&gt;=$S51),$V51,$U51)))=Milestones!$AB$129),UPPER(TEXT(EDATE($D51,Milestones!$AA$129),"dd mmm yy"))&amp;" "&amp;Milestones!$AB$129&amp;" "&amp;Milestones!$AC$129&amp;";  ","")&amp;IF(AND(EDATE($D51,Milestones!$AA$130)&lt;=AsOfDate,IF($R51=0,$X51,IF(AND($T51&lt;&gt;"",EDATE($D51,Milestones!$AA$130)&gt;=$T51),$W51,IF(AND($S51&lt;&gt;"",EDATE($D51,Milestones!$AA$130)&gt;=$S51),$V51,$U51)))=Milestones!$AB$130),UPPER(TEXT(EDATE($D51,Milestones!$AA$130),"dd mmm yy"))&amp;" "&amp;Milestones!$AB$130&amp;" "&amp;Milestones!$AC$130&amp;";  ","")&amp;IF(AND(EDATE($D51,Milestones!$AA$131)&lt;=AsOfDate,IF($R51=0,$X51,IF(AND($T51&lt;&gt;"",EDATE($D51,Milestones!$AA$131)&gt;=$T51),$W51,IF(AND($S51&lt;&gt;"",EDATE($D51,Milestones!$AA$131)&gt;=$S51),$V51,$U51)))=Milestones!$AB$131),UPPER(TEXT(EDATE($D51,Milestones!$AA$131),"dd mmm yy"))&amp;" "&amp;Milestones!$AB$131&amp;" "&amp;Milestones!$AC$131&amp;";  ","")&amp;IF(AND(EDATE($D51,Milestones!$AA$132)&lt;=AsOfDate,IF($R51=0,$X51,IF(AND($T51&lt;&gt;"",EDATE($D51,Milestones!$AA$132)&gt;=$T51),$W51,IF(AND($S51&lt;&gt;"",EDATE($D51,Milestones!$AA$132)&gt;=$S51),$V51,$U51)))=Milestones!$AB$132),UPPER(TEXT(EDATE($D51,Milestones!$AA$132),"dd mmm yy"))&amp;" "&amp;Milestones!$AB$132&amp;" "&amp;Milestones!$AC$132&amp;";  ","")&amp;IF(AND(EDATE($D51,Milestones!$AA$133)&lt;=AsOfDate,IF($R51=0,$X51,IF(AND($T51&lt;&gt;"",EDATE($D51,Milestones!$AA$133)&gt;=$T51),$W51,IF(AND($S51&lt;&gt;"",EDATE($D51,Milestones!$AA$133)&gt;=$S51),$V51,$U51)))=Milestones!$AB$133),UPPER(TEXT(EDATE($D51,Milestones!$AA$133),"dd mmm yy"))&amp;" "&amp;Milestones!$AB$133&amp;" "&amp;Milestones!$AC$133&amp;";  ","")&amp;IF(AND(EDATE($D51,Milestones!$AA$134)&lt;=AsOfDate,IF($R51=0,$X51,IF(AND($T51&lt;&gt;"",EDATE($D51,Milestones!$AA$134)&gt;=$T51),$W51,IF(AND($S51&lt;&gt;"",EDATE($D51,Milestones!$AA$134)&gt;=$S51),$V51,$U51)))=Milestones!$AB$134),UPPER(TEXT(EDATE($D51,Milestones!$AA$134),"dd mmm yy"))&amp;" "&amp;Milestones!$AB$134&amp;" "&amp;Milestones!$AC$134&amp;";  ","")&amp;IF(AND(EDATE($D51,Milestones!$AA$135)&lt;=AsOfDate,IF($R51=0,$X51,IF(AND($T51&lt;&gt;"",EDATE($D51,Milestones!$AA$135)&gt;=$T51),$W51,IF(AND($S51&lt;&gt;"",EDATE($D51,Milestones!$AA$135)&gt;=$S51),$V51,$U51)))=Milestones!$AB$135),UPPER(TEXT(EDATE($D51,Milestones!$AA$135),"dd mmm yy"))&amp;" "&amp;Milestones!$AB$135&amp;" "&amp;Milestones!$AC$135&amp;";  ","")&amp;IF(AND(EDATE($D51,Milestones!$AA$136)&lt;=AsOfDate,IF($R51=0,$X51,IF(AND($T51&lt;&gt;"",EDATE($D51,Milestones!$AA$136)&gt;=$T51),$W51,IF(AND($S51&lt;&gt;"",EDATE($D51,Milestones!$AA$136)&gt;=$S51),$V51,$U51)))=Milestones!$AB$136),UPPER(TEXT(EDATE($D51,Milestones!$AA$136),"dd mmm yy"))&amp;" "&amp;Milestones!$AB$136&amp;" "&amp;Milestones!$AC$136&amp;";  ","")&amp;IF(AND(EDATE($D51,Milestones!$AA$137)&lt;=AsOfDate,IF($R51=0,$X51,IF(AND($T51&lt;&gt;"",EDATE($D51,Milestones!$AA$137)&gt;=$T51),$W51,IF(AND($S51&lt;&gt;"",EDATE($D51,Milestones!$AA$137)&gt;=$S51),$V51,$U51)))=Milestones!$AB$137),UPPER(TEXT(EDATE($D51,Milestones!$AA$137),"dd mmm yy"))&amp;" "&amp;Milestones!$AB$137&amp;" "&amp;Milestones!$AC$137&amp;";  ","")&amp;IF(AND(EDATE($D51,Milestones!$AA$138)&lt;=AsOfDate,IF($R51=0,$X51,IF(AND($T51&lt;&gt;"",EDATE($D51,Milestones!$AA$138)&gt;=$T51),$W51,IF(AND($S51&lt;&gt;"",EDATE($D51,Milestones!$AA$138)&gt;=$S51),$V51,$U51)))=Milestones!$AB$138),UPPER(TEXT(EDATE($D51,Milestones!$AA$138),"dd mmm yy"))&amp;" "&amp;Milestones!$AB$138&amp;" "&amp;Milestones!$AC$138&amp;";  ","")&amp;IF(AND(EDATE($D51,Milestones!$AA$139)&lt;=AsOfDate,IF($R51=0,$X51,IF(AND($T51&lt;&gt;"",EDATE($D51,Milestones!$AA$139)&gt;=$T51),$W51,IF(AND($S51&lt;&gt;"",EDATE($D51,Milestones!$AA$139)&gt;=$S51),$V51,$U51)))=Milestones!$AB$139),UPPER(TEXT(EDATE($D51,Milestones!$AA$139),"dd mmm yy"))&amp;" "&amp;Milestones!$AB$139&amp;" "&amp;Milestones!$AC$139&amp;";  ",""))</f>
        <v/>
      </c>
      <c r="O51" s="0" t="str">
        <f aca="false">IF(OR($A51="",$D51=""),"",IF(AND(EDATE($D51,Milestones!$AA$140)&lt;=AsOfDate,IF($R51=0,$X51,IF(AND($T51&lt;&gt;"",EDATE($D51,Milestones!$AA$140)&gt;=$T51),$W51,IF(AND($S51&lt;&gt;"",EDATE($D51,Milestones!$AA$140)&gt;=$S51),$V51,$U51)))=Milestones!$AB$140),UPPER(TEXT(EDATE($D51,Milestones!$AA$140),"dd mmm yy"))&amp;" "&amp;Milestones!$AB$140&amp;" "&amp;Milestones!$AC$140&amp;";  ","")&amp;IF(AND(EDATE($D51,Milestones!$AA$141)&lt;=AsOfDate,IF($R51=0,$X51,IF(AND($T51&lt;&gt;"",EDATE($D51,Milestones!$AA$141)&gt;=$T51),$W51,IF(AND($S51&lt;&gt;"",EDATE($D51,Milestones!$AA$141)&gt;=$S51),$V51,$U51)))=Milestones!$AB$141),UPPER(TEXT(EDATE($D51,Milestones!$AA$141),"dd mmm yy"))&amp;" "&amp;Milestones!$AB$141&amp;" "&amp;Milestones!$AC$141&amp;";  ","")&amp;IF(AND(EDATE($D51,Milestones!$AA$142)&lt;=AsOfDate,IF($R51=0,$X51,IF(AND($T51&lt;&gt;"",EDATE($D51,Milestones!$AA$142)&gt;=$T51),$W51,IF(AND($S51&lt;&gt;"",EDATE($D51,Milestones!$AA$142)&gt;=$S51),$V51,$U51)))=Milestones!$AB$142),UPPER(TEXT(EDATE($D51,Milestones!$AA$142),"dd mmm yy"))&amp;" "&amp;Milestones!$AB$142&amp;" "&amp;Milestones!$AC$142&amp;";  ","")&amp;IF(AND(EDATE($D51,Milestones!$AA$143)&lt;=AsOfDate,IF($R51=0,$X51,IF(AND($T51&lt;&gt;"",EDATE($D51,Milestones!$AA$143)&gt;=$T51),$W51,IF(AND($S51&lt;&gt;"",EDATE($D51,Milestones!$AA$143)&gt;=$S51),$V51,$U51)))=Milestones!$AB$143),UPPER(TEXT(EDATE($D51,Milestones!$AA$143),"dd mmm yy"))&amp;" "&amp;Milestones!$AB$143&amp;" "&amp;Milestones!$AC$143&amp;";  ","")&amp;IF(AND(EDATE($D51,Milestones!$AA$144)&lt;=AsOfDate,IF($R51=0,$X51,IF(AND($T51&lt;&gt;"",EDATE($D51,Milestones!$AA$144)&gt;=$T51),$W51,IF(AND($S51&lt;&gt;"",EDATE($D51,Milestones!$AA$144)&gt;=$S51),$V51,$U51)))=Milestones!$AB$144),UPPER(TEXT(EDATE($D51,Milestones!$AA$144),"dd mmm yy"))&amp;" "&amp;Milestones!$AB$144&amp;" "&amp;Milestones!$AC$144&amp;";  ","")&amp;IF(AND(EDATE($D51,Milestones!$AA$145)&lt;=AsOfDate,IF($R51=0,$X51,IF(AND($T51&lt;&gt;"",EDATE($D51,Milestones!$AA$145)&gt;=$T51),$W51,IF(AND($S51&lt;&gt;"",EDATE($D51,Milestones!$AA$145)&gt;=$S51),$V51,$U51)))=Milestones!$AB$145),UPPER(TEXT(EDATE($D51,Milestones!$AA$145),"dd mmm yy"))&amp;" "&amp;Milestones!$AB$145&amp;" "&amp;Milestones!$AC$145&amp;";  ","")&amp;IF(AND(EDATE($D51,Milestones!$AA$146)&lt;=AsOfDate,IF($R51=0,$X51,IF(AND($T51&lt;&gt;"",EDATE($D51,Milestones!$AA$146)&gt;=$T51),$W51,IF(AND($S51&lt;&gt;"",EDATE($D51,Milestones!$AA$146)&gt;=$S51),$V51,$U51)))=Milestones!$AB$146),UPPER(TEXT(EDATE($D51,Milestones!$AA$146),"dd mmm yy"))&amp;" "&amp;Milestones!$AB$146&amp;" "&amp;Milestones!$AC$146&amp;";  ","")&amp;IF(AND(EDATE($D51,Milestones!$AA$147)&lt;=AsOfDate,IF($R51=0,$X51,IF(AND($T51&lt;&gt;"",EDATE($D51,Milestones!$AA$147)&gt;=$T51),$W51,IF(AND($S51&lt;&gt;"",EDATE($D51,Milestones!$AA$147)&gt;=$S51),$V51,$U51)))=Milestones!$AB$147),UPPER(TEXT(EDATE($D51,Milestones!$AA$147),"dd mmm yy"))&amp;" "&amp;Milestones!$AB$147&amp;" "&amp;Milestones!$AC$147&amp;";  ","")&amp;IF(AND(EDATE($D51,Milestones!$AA$148)&lt;=AsOfDate,IF($R51=0,$X51,IF(AND($T51&lt;&gt;"",EDATE($D51,Milestones!$AA$148)&gt;=$T51),$W51,IF(AND($S51&lt;&gt;"",EDATE($D51,Milestones!$AA$148)&gt;=$S51),$V51,$U51)))=Milestones!$AB$148),UPPER(TEXT(EDATE($D51,Milestones!$AA$148),"dd mmm yy"))&amp;" "&amp;Milestones!$AB$148&amp;" "&amp;Milestones!$AC$148&amp;";  ","")&amp;IF(AND(EDATE($D51,Milestones!$AA$149)&lt;=AsOfDate,IF($R51=0,$X51,IF(AND($T51&lt;&gt;"",EDATE($D51,Milestones!$AA$149)&gt;=$T51),$W51,IF(AND($S51&lt;&gt;"",EDATE($D51,Milestones!$AA$149)&gt;=$S51),$V51,$U51)))=Milestones!$AB$149),UPPER(TEXT(EDATE($D51,Milestones!$AA$149),"dd mmm yy"))&amp;" "&amp;Milestones!$AB$149&amp;" "&amp;Milestones!$AC$149&amp;";  ","")&amp;IF(AND(EDATE($D51,Milestones!$AA$150)&lt;=AsOfDate,IF($R51=0,$X51,IF(AND($T51&lt;&gt;"",EDATE($D51,Milestones!$AA$150)&gt;=$T51),$W51,IF(AND($S51&lt;&gt;"",EDATE($D51,Milestones!$AA$150)&gt;=$S51),$V51,$U51)))=Milestones!$AB$150),UPPER(TEXT(EDATE($D51,Milestones!$AA$150),"dd mmm yy"))&amp;" "&amp;Milestones!$AB$150&amp;" "&amp;Milestones!$AC$150&amp;";  ","")&amp;IF(AND(EDATE($D51,Milestones!$AA$151)&lt;=AsOfDate,IF($R51=0,$X51,IF(AND($T51&lt;&gt;"",EDATE($D51,Milestones!$AA$151)&gt;=$T51),$W51,IF(AND($S51&lt;&gt;"",EDATE($D51,Milestones!$AA$151)&gt;=$S51),$V51,$U51)))=Milestones!$AB$151),UPPER(TEXT(EDATE($D51,Milestones!$AA$151),"dd mmm yy"))&amp;" "&amp;Milestones!$AB$151&amp;" "&amp;Milestones!$AC$151&amp;";  ","")&amp;IF(AND(EDATE($D51,Milestones!$AA$152)&lt;=AsOfDate,IF($R51=0,$X51,IF(AND($T51&lt;&gt;"",EDATE($D51,Milestones!$AA$152)&gt;=$T51),$W51,IF(AND($S51&lt;&gt;"",EDATE($D51,Milestones!$AA$152)&gt;=$S51),$V51,$U51)))=Milestones!$AB$152),UPPER(TEXT(EDATE($D51,Milestones!$AA$152),"dd mmm yy"))&amp;" "&amp;Milestones!$AB$152&amp;" "&amp;Milestones!$AC$152&amp;";  ","")&amp;IF(AND(EDATE($D51,Milestones!$AA$153)&lt;=AsOfDate,IF($R51=0,$X51,IF(AND($T51&lt;&gt;"",EDATE($D51,Milestones!$AA$153)&gt;=$T51),$W51,IF(AND($S51&lt;&gt;"",EDATE($D51,Milestones!$AA$153)&gt;=$S51),$V51,$U51)))=Milestones!$AB$153),UPPER(TEXT(EDATE($D51,Milestones!$AA$153),"dd mmm yy"))&amp;" "&amp;Milestones!$AB$153&amp;" "&amp;Milestones!$AC$153&amp;";  ","")&amp;IF(AND(EDATE($D51,Milestones!$AA$154)&lt;=AsOfDate,IF($R51=0,$X51,IF(AND($T51&lt;&gt;"",EDATE($D51,Milestones!$AA$154)&gt;=$T51),$W51,IF(AND($S51&lt;&gt;"",EDATE($D51,Milestones!$AA$154)&gt;=$S51),$V51,$U51)))=Milestones!$AB$154),UPPER(TEXT(EDATE($D51,Milestones!$AA$154),"dd mmm yy"))&amp;" "&amp;Milestones!$AB$154&amp;" "&amp;Milestones!$AC$154&amp;";  ","")&amp;IF(AND(EDATE($D51,Milestones!$AA$155)&lt;=AsOfDate,IF($R51=0,$X51,IF(AND($T51&lt;&gt;"",EDATE($D51,Milestones!$AA$155)&gt;=$T51),$W51,IF(AND($S51&lt;&gt;"",EDATE($D51,Milestones!$AA$155)&gt;=$S51),$V51,$U51)))=Milestones!$AB$155),UPPER(TEXT(EDATE($D51,Milestones!$AA$155),"dd mmm yy"))&amp;" "&amp;Milestones!$AB$155&amp;" "&amp;Milestones!$AC$155&amp;";  ","")&amp;IF(AND(EDATE($D51,Milestones!$AA$156)&lt;=AsOfDate,IF($R51=0,$X51,IF(AND($T51&lt;&gt;"",EDATE($D51,Milestones!$AA$156)&gt;=$T51),$W51,IF(AND($S51&lt;&gt;"",EDATE($D51,Milestones!$AA$156)&gt;=$S51),$V51,$U51)))=Milestones!$AB$156),UPPER(TEXT(EDATE($D51,Milestones!$AA$156),"dd mmm yy"))&amp;" "&amp;Milestones!$AB$156&amp;" "&amp;Milestones!$AC$156&amp;";  ","")&amp;IF(AND(EDATE($D51,Milestones!$AA$157)&lt;=AsOfDate,IF($R51=0,$X51,IF(AND($T51&lt;&gt;"",EDATE($D51,Milestones!$AA$157)&gt;=$T51),$W51,IF(AND($S51&lt;&gt;"",EDATE($D51,Milestones!$AA$157)&gt;=$S51),$V51,$U51)))=Milestones!$AB$157),UPPER(TEXT(EDATE($D51,Milestones!$AA$157),"dd mmm yy"))&amp;" "&amp;Milestones!$AB$157&amp;" "&amp;Milestones!$AC$157&amp;";  ","")&amp;IF(AND(EDATE($D51,Milestones!$AA$158)&lt;=AsOfDate,IF($R51=0,$X51,IF(AND($T51&lt;&gt;"",EDATE($D51,Milestones!$AA$158)&gt;=$T51),$W51,IF(AND($S51&lt;&gt;"",EDATE($D51,Milestones!$AA$158)&gt;=$S51),$V51,$U51)))=Milestones!$AB$158),UPPER(TEXT(EDATE($D51,Milestones!$AA$158),"dd mmm yy"))&amp;" "&amp;Milestones!$AB$158&amp;" "&amp;Milestones!$AC$158&amp;";  ","")&amp;IF(AND(EDATE($D51,Milestones!$AA$159)&lt;=AsOfDate,IF($R51=0,$X51,IF(AND($T51&lt;&gt;"",EDATE($D51,Milestones!$AA$159)&gt;=$T51),$W51,IF(AND($S51&lt;&gt;"",EDATE($D51,Milestones!$AA$159)&gt;=$S51),$V51,$U51)))=Milestones!$AB$159),UPPER(TEXT(EDATE($D51,Milestones!$AA$159),"dd mmm yy"))&amp;" "&amp;Milestones!$AB$159&amp;" "&amp;Milestones!$AC$159&amp;";  ",""))</f>
        <v/>
      </c>
      <c r="P51" s="0" t="str">
        <f aca="false">IF(OR($A51="",$D51=""),"",IF(AND(EDATE($D51,Milestones!$AA$160)&lt;=AsOfDate,IF($R51=0,$X51,IF(AND($T51&lt;&gt;"",EDATE($D51,Milestones!$AA$160)&gt;=$T51),$W51,IF(AND($S51&lt;&gt;"",EDATE($D51,Milestones!$AA$160)&gt;=$S51),$V51,$U51)))=Milestones!$AB$160),UPPER(TEXT(EDATE($D51,Milestones!$AA$160),"dd mmm yy"))&amp;" "&amp;Milestones!$AB$160&amp;" "&amp;Milestones!$AC$160&amp;";  ","")&amp;IF(AND(EDATE($D51,Milestones!$AA$161)&lt;=AsOfDate,IF($R51=0,$X51,IF(AND($T51&lt;&gt;"",EDATE($D51,Milestones!$AA$161)&gt;=$T51),$W51,IF(AND($S51&lt;&gt;"",EDATE($D51,Milestones!$AA$161)&gt;=$S51),$V51,$U51)))=Milestones!$AB$161),UPPER(TEXT(EDATE($D51,Milestones!$AA$161),"dd mmm yy"))&amp;" "&amp;Milestones!$AB$161&amp;" "&amp;Milestones!$AC$161&amp;";  ","")&amp;IF(AND(EDATE($D51,Milestones!$AA$162)&lt;=AsOfDate,IF($R51=0,$X51,IF(AND($T51&lt;&gt;"",EDATE($D51,Milestones!$AA$162)&gt;=$T51),$W51,IF(AND($S51&lt;&gt;"",EDATE($D51,Milestones!$AA$162)&gt;=$S51),$V51,$U51)))=Milestones!$AB$162),UPPER(TEXT(EDATE($D51,Milestones!$AA$162),"dd mmm yy"))&amp;" "&amp;Milestones!$AB$162&amp;" "&amp;Milestones!$AC$162&amp;";  ","")&amp;IF(AND(EDATE($D51,Milestones!$AA$163)&lt;=AsOfDate,IF($R51=0,$X51,IF(AND($T51&lt;&gt;"",EDATE($D51,Milestones!$AA$163)&gt;=$T51),$W51,IF(AND($S51&lt;&gt;"",EDATE($D51,Milestones!$AA$163)&gt;=$S51),$V51,$U51)))=Milestones!$AB$163),UPPER(TEXT(EDATE($D51,Milestones!$AA$163),"dd mmm yy"))&amp;" "&amp;Milestones!$AB$163&amp;" "&amp;Milestones!$AC$163&amp;";  ","")&amp;IF(AND(EDATE($D51,Milestones!$AA$164)&lt;=AsOfDate,IF($R51=0,$X51,IF(AND($T51&lt;&gt;"",EDATE($D51,Milestones!$AA$164)&gt;=$T51),$W51,IF(AND($S51&lt;&gt;"",EDATE($D51,Milestones!$AA$164)&gt;=$S51),$V51,$U51)))=Milestones!$AB$164),UPPER(TEXT(EDATE($D51,Milestones!$AA$164),"dd mmm yy"))&amp;" "&amp;Milestones!$AB$164&amp;" "&amp;Milestones!$AC$164&amp;";  ","")&amp;IF(AND(EDATE($D51,Milestones!$AA$165)&lt;=AsOfDate,IF($R51=0,$X51,IF(AND($T51&lt;&gt;"",EDATE($D51,Milestones!$AA$165)&gt;=$T51),$W51,IF(AND($S51&lt;&gt;"",EDATE($D51,Milestones!$AA$165)&gt;=$S51),$V51,$U51)))=Milestones!$AB$165),UPPER(TEXT(EDATE($D51,Milestones!$AA$165),"dd mmm yy"))&amp;" "&amp;Milestones!$AB$165&amp;" "&amp;Milestones!$AC$165&amp;";  ","")&amp;IF(AND(EDATE($D51,Milestones!$AA$166)&lt;=AsOfDate,IF($R51=0,$X51,IF(AND($T51&lt;&gt;"",EDATE($D51,Milestones!$AA$166)&gt;=$T51),$W51,IF(AND($S51&lt;&gt;"",EDATE($D51,Milestones!$AA$166)&gt;=$S51),$V51,$U51)))=Milestones!$AB$166),UPPER(TEXT(EDATE($D51,Milestones!$AA$166),"dd mmm yy"))&amp;" "&amp;Milestones!$AB$166&amp;" "&amp;Milestones!$AC$166&amp;";  ","")&amp;IF(AND(EDATE($D51,Milestones!$AA$167)&lt;=AsOfDate,IF($R51=0,$X51,IF(AND($T51&lt;&gt;"",EDATE($D51,Milestones!$AA$167)&gt;=$T51),$W51,IF(AND($S51&lt;&gt;"",EDATE($D51,Milestones!$AA$167)&gt;=$S51),$V51,$U51)))=Milestones!$AB$167),UPPER(TEXT(EDATE($D51,Milestones!$AA$167),"dd mmm yy"))&amp;" "&amp;Milestones!$AB$167&amp;" "&amp;Milestones!$AC$167&amp;";  ","")&amp;IF(AND(EDATE($D51,Milestones!$AA$168)&lt;=AsOfDate,IF($R51=0,$X51,IF(AND($T51&lt;&gt;"",EDATE($D51,Milestones!$AA$168)&gt;=$T51),$W51,IF(AND($S51&lt;&gt;"",EDATE($D51,Milestones!$AA$168)&gt;=$S51),$V51,$U51)))=Milestones!$AB$168),UPPER(TEXT(EDATE($D51,Milestones!$AA$168),"dd mmm yy"))&amp;" "&amp;Milestones!$AB$168&amp;" "&amp;Milestones!$AC$168&amp;";  ","")&amp;IF(AND(EDATE($D51,Milestones!$AA$169)&lt;=AsOfDate,IF($R51=0,$X51,IF(AND($T51&lt;&gt;"",EDATE($D51,Milestones!$AA$169)&gt;=$T51),$W51,IF(AND($S51&lt;&gt;"",EDATE($D51,Milestones!$AA$169)&gt;=$S51),$V51,$U51)))=Milestones!$AB$169),UPPER(TEXT(EDATE($D51,Milestones!$AA$169),"dd mmm yy"))&amp;" "&amp;Milestones!$AB$169&amp;" "&amp;Milestones!$AC$169&amp;";  ","")&amp;IF(AND(EDATE($D51,Milestones!$AA$170)&lt;=AsOfDate,IF($R51=0,$X51,IF(AND($T51&lt;&gt;"",EDATE($D51,Milestones!$AA$170)&gt;=$T51),$W51,IF(AND($S51&lt;&gt;"",EDATE($D51,Milestones!$AA$170)&gt;=$S51),$V51,$U51)))=Milestones!$AB$170),UPPER(TEXT(EDATE($D51,Milestones!$AA$170),"dd mmm yy"))&amp;" "&amp;Milestones!$AB$170&amp;" "&amp;Milestones!$AC$170&amp;";  ","")&amp;IF(AND(EDATE($D51,Milestones!$AA$171)&lt;=AsOfDate,IF($R51=0,$X51,IF(AND($T51&lt;&gt;"",EDATE($D51,Milestones!$AA$171)&gt;=$T51),$W51,IF(AND($S51&lt;&gt;"",EDATE($D51,Milestones!$AA$171)&gt;=$S51),$V51,$U51)))=Milestones!$AB$171),UPPER(TEXT(EDATE($D51,Milestones!$AA$171),"dd mmm yy"))&amp;" "&amp;Milestones!$AB$171&amp;" "&amp;Milestones!$AC$171&amp;";  ","")&amp;IF(AND(EDATE($D51,Milestones!$AA$172)&lt;=AsOfDate,IF($R51=0,$X51,IF(AND($T51&lt;&gt;"",EDATE($D51,Milestones!$AA$172)&gt;=$T51),$W51,IF(AND($S51&lt;&gt;"",EDATE($D51,Milestones!$AA$172)&gt;=$S51),$V51,$U51)))=Milestones!$AB$172),UPPER(TEXT(EDATE($D51,Milestones!$AA$172),"dd mmm yy"))&amp;" "&amp;Milestones!$AB$172&amp;" "&amp;Milestones!$AC$172&amp;";  ","")&amp;IF(AND(EDATE($D51,Milestones!$AA$173)&lt;=AsOfDate,IF($R51=0,$X51,IF(AND($T51&lt;&gt;"",EDATE($D51,Milestones!$AA$173)&gt;=$T51),$W51,IF(AND($S51&lt;&gt;"",EDATE($D51,Milestones!$AA$173)&gt;=$S51),$V51,$U51)))=Milestones!$AB$173),UPPER(TEXT(EDATE($D51,Milestones!$AA$173),"dd mmm yy"))&amp;" "&amp;Milestones!$AB$173&amp;" "&amp;Milestones!$AC$173&amp;";  ","")&amp;IF(AND(EDATE($D51,Milestones!$AA$174)&lt;=AsOfDate,IF($R51=0,$X51,IF(AND($T51&lt;&gt;"",EDATE($D51,Milestones!$AA$174)&gt;=$T51),$W51,IF(AND($S51&lt;&gt;"",EDATE($D51,Milestones!$AA$174)&gt;=$S51),$V51,$U51)))=Milestones!$AB$174),UPPER(TEXT(EDATE($D51,Milestones!$AA$174),"dd mmm yy"))&amp;" "&amp;Milestones!$AB$174&amp;" "&amp;Milestones!$AC$174&amp;";  ","")&amp;IF(AND(EDATE($D51,Milestones!$AA$175)&lt;=AsOfDate,IF($R51=0,$X51,IF(AND($T51&lt;&gt;"",EDATE($D51,Milestones!$AA$175)&gt;=$T51),$W51,IF(AND($S51&lt;&gt;"",EDATE($D51,Milestones!$AA$175)&gt;=$S51),$V51,$U51)))=Milestones!$AB$175),UPPER(TEXT(EDATE($D51,Milestones!$AA$175),"dd mmm yy"))&amp;" "&amp;Milestones!$AB$175&amp;" "&amp;Milestones!$AC$175&amp;";  ","")&amp;IF(AND(EDATE($D51,Milestones!$AA$176)&lt;=AsOfDate,IF($R51=0,$X51,IF(AND($T51&lt;&gt;"",EDATE($D51,Milestones!$AA$176)&gt;=$T51),$W51,IF(AND($S51&lt;&gt;"",EDATE($D51,Milestones!$AA$176)&gt;=$S51),$V51,$U51)))=Milestones!$AB$176),UPPER(TEXT(EDATE($D51,Milestones!$AA$176),"dd mmm yy"))&amp;" "&amp;Milestones!$AB$176&amp;" "&amp;Milestones!$AC$176&amp;";  ","")&amp;IF(AND(EDATE($D51,Milestones!$AA$177)&lt;=AsOfDate,IF($R51=0,$X51,IF(AND($T51&lt;&gt;"",EDATE($D51,Milestones!$AA$177)&gt;=$T51),$W51,IF(AND($S51&lt;&gt;"",EDATE($D51,Milestones!$AA$177)&gt;=$S51),$V51,$U51)))=Milestones!$AB$177),UPPER(TEXT(EDATE($D51,Milestones!$AA$177),"dd mmm yy"))&amp;" "&amp;Milestones!$AB$177&amp;" "&amp;Milestones!$AC$177&amp;";  ","")&amp;IF(AND(EDATE($D51,Milestones!$AA$178)&lt;=AsOfDate,IF($R51=0,$X51,IF(AND($T51&lt;&gt;"",EDATE($D51,Milestones!$AA$178)&gt;=$T51),$W51,IF(AND($S51&lt;&gt;"",EDATE($D51,Milestones!$AA$178)&gt;=$S51),$V51,$U51)))=Milestones!$AB$178),UPPER(TEXT(EDATE($D51,Milestones!$AA$178),"dd mmm yy"))&amp;" "&amp;Milestones!$AB$178&amp;" "&amp;Milestones!$AC$178&amp;";  ","")&amp;IF(AND(EDATE($D51,Milestones!$AA$179)&lt;=AsOfDate,IF($R51=0,$X51,IF(AND($T51&lt;&gt;"",EDATE($D51,Milestones!$AA$179)&gt;=$T51),$W51,IF(AND($S51&lt;&gt;"",EDATE($D51,Milestones!$AA$179)&gt;=$S51),$V51,$U51)))=Milestones!$AB$179),UPPER(TEXT(EDATE($D51,Milestones!$AA$179),"dd mmm yy"))&amp;" "&amp;Milestones!$AB$179&amp;" "&amp;Milestones!$AC$179&amp;";  ",""))</f>
        <v/>
      </c>
      <c r="Q51" s="0" t="str">
        <f aca="false">IF(OR($A51="",$D51=""),"",IF(AND(EDATE($D51,Milestones!$AA$180)&lt;=AsOfDate,IF($R51=0,$X51,IF(AND($T51&lt;&gt;"",EDATE($D51,Milestones!$AA$180)&gt;=$T51),$W51,IF(AND($S51&lt;&gt;"",EDATE($D51,Milestones!$AA$180)&gt;=$S51),$V51,$U51)))=Milestones!$AB$180),UPPER(TEXT(EDATE($D51,Milestones!$AA$180),"dd mmm yy"))&amp;" "&amp;Milestones!$AB$180&amp;" "&amp;Milestones!$AC$180&amp;";  ","")&amp;IF(AND(EDATE($D51,Milestones!$AA$181)&lt;=AsOfDate,IF($R51=0,$X51,IF(AND($T51&lt;&gt;"",EDATE($D51,Milestones!$AA$181)&gt;=$T51),$W51,IF(AND($S51&lt;&gt;"",EDATE($D51,Milestones!$AA$181)&gt;=$S51),$V51,$U51)))=Milestones!$AB$181),UPPER(TEXT(EDATE($D51,Milestones!$AA$181),"dd mmm yy"))&amp;" "&amp;Milestones!$AB$181&amp;" "&amp;Milestones!$AC$181&amp;";  ","")&amp;IF(AND(EDATE($D51,Milestones!$AA$182)&lt;=AsOfDate,IF($R51=0,$X51,IF(AND($T51&lt;&gt;"",EDATE($D51,Milestones!$AA$182)&gt;=$T51),$W51,IF(AND($S51&lt;&gt;"",EDATE($D51,Milestones!$AA$182)&gt;=$S51),$V51,$U51)))=Milestones!$AB$182),UPPER(TEXT(EDATE($D51,Milestones!$AA$182),"dd mmm yy"))&amp;" "&amp;Milestones!$AB$182&amp;" "&amp;Milestones!$AC$182&amp;";  ","")&amp;IF(AND(EDATE($D51,Milestones!$AA$183)&lt;=AsOfDate,IF($R51=0,$X51,IF(AND($T51&lt;&gt;"",EDATE($D51,Milestones!$AA$183)&gt;=$T51),$W51,IF(AND($S51&lt;&gt;"",EDATE($D51,Milestones!$AA$183)&gt;=$S51),$V51,$U51)))=Milestones!$AB$183),UPPER(TEXT(EDATE($D51,Milestones!$AA$183),"dd mmm yy"))&amp;" "&amp;Milestones!$AB$183&amp;" "&amp;Milestones!$AC$183&amp;";  ","")&amp;IF(AND(EDATE($D51,Milestones!$AA$184)&lt;=AsOfDate,IF($R51=0,$X51,IF(AND($T51&lt;&gt;"",EDATE($D51,Milestones!$AA$184)&gt;=$T51),$W51,IF(AND($S51&lt;&gt;"",EDATE($D51,Milestones!$AA$184)&gt;=$S51),$V51,$U51)))=Milestones!$AB$184),UPPER(TEXT(EDATE($D51,Milestones!$AA$184),"dd mmm yy"))&amp;" "&amp;Milestones!$AB$184&amp;" "&amp;Milestones!$AC$184&amp;";  ","")&amp;IF(AND(EDATE($D51,Milestones!$AA$185)&lt;=AsOfDate,IF($R51=0,$X51,IF(AND($T51&lt;&gt;"",EDATE($D51,Milestones!$AA$185)&gt;=$T51),$W51,IF(AND($S51&lt;&gt;"",EDATE($D51,Milestones!$AA$185)&gt;=$S51),$V51,$U51)))=Milestones!$AB$185),UPPER(TEXT(EDATE($D51,Milestones!$AA$185),"dd mmm yy"))&amp;" "&amp;Milestones!$AB$185&amp;" "&amp;Milestones!$AC$185&amp;";  ","")&amp;IF(AND(EDATE($D51,Milestones!$AA$186)&lt;=AsOfDate,IF($R51=0,$X51,IF(AND($T51&lt;&gt;"",EDATE($D51,Milestones!$AA$186)&gt;=$T51),$W51,IF(AND($S51&lt;&gt;"",EDATE($D51,Milestones!$AA$186)&gt;=$S51),$V51,$U51)))=Milestones!$AB$186),UPPER(TEXT(EDATE($D51,Milestones!$AA$186),"dd mmm yy"))&amp;" "&amp;Milestones!$AB$186&amp;" "&amp;Milestones!$AC$186&amp;";  ","")&amp;IF(AND(EDATE($D51,Milestones!$AA$187)&lt;=AsOfDate,IF($R51=0,$X51,IF(AND($T51&lt;&gt;"",EDATE($D51,Milestones!$AA$187)&gt;=$T51),$W51,IF(AND($S51&lt;&gt;"",EDATE($D51,Milestones!$AA$187)&gt;=$S51),$V51,$U51)))=Milestones!$AB$187),UPPER(TEXT(EDATE($D51,Milestones!$AA$187),"dd mmm yy"))&amp;" "&amp;Milestones!$AB$187&amp;" "&amp;Milestones!$AC$187&amp;";  ","")&amp;IF(AND(EDATE($D51,Milestones!$AA$188)&lt;=AsOfDate,IF($R51=0,$X51,IF(AND($T51&lt;&gt;"",EDATE($D51,Milestones!$AA$188)&gt;=$T51),$W51,IF(AND($S51&lt;&gt;"",EDATE($D51,Milestones!$AA$188)&gt;=$S51),$V51,$U51)))=Milestones!$AB$188),UPPER(TEXT(EDATE($D51,Milestones!$AA$188),"dd mmm yy"))&amp;" "&amp;Milestones!$AB$188&amp;" "&amp;Milestones!$AC$188&amp;";  ","")&amp;IF(AND(EDATE($D51,Milestones!$AA$189)&lt;=AsOfDate,IF($R51=0,$X51,IF(AND($T51&lt;&gt;"",EDATE($D51,Milestones!$AA$189)&gt;=$T51),$W51,IF(AND($S51&lt;&gt;"",EDATE($D51,Milestones!$AA$189)&gt;=$S51),$V51,$U51)))=Milestones!$AB$189),UPPER(TEXT(EDATE($D51,Milestones!$AA$189),"dd mmm yy"))&amp;" "&amp;Milestones!$AB$189&amp;" "&amp;Milestones!$AC$189&amp;";  ","")&amp;IF(AND(EDATE($D51,Milestones!$AA$190)&lt;=AsOfDate,IF($R51=0,$X51,IF(AND($T51&lt;&gt;"",EDATE($D51,Milestones!$AA$190)&gt;=$T51),$W51,IF(AND($S51&lt;&gt;"",EDATE($D51,Milestones!$AA$190)&gt;=$S51),$V51,$U51)))=Milestones!$AB$190),UPPER(TEXT(EDATE($D51,Milestones!$AA$190),"dd mmm yy"))&amp;" "&amp;Milestones!$AB$190&amp;" "&amp;Milestones!$AC$190&amp;";  ","")&amp;IF(AND(EDATE($D51,Milestones!$AA$191)&lt;=AsOfDate,IF($R51=0,$X51,IF(AND($T51&lt;&gt;"",EDATE($D51,Milestones!$AA$191)&gt;=$T51),$W51,IF(AND($S51&lt;&gt;"",EDATE($D51,Milestones!$AA$191)&gt;=$S51),$V51,$U51)))=Milestones!$AB$191),UPPER(TEXT(EDATE($D51,Milestones!$AA$191),"dd mmm yy"))&amp;" "&amp;Milestones!$AB$191&amp;" "&amp;Milestones!$AC$191&amp;";  ","")&amp;IF(AND(EDATE($D51,Milestones!$AA$192)&lt;=AsOfDate,IF($R51=0,$X51,IF(AND($T51&lt;&gt;"",EDATE($D51,Milestones!$AA$192)&gt;=$T51),$W51,IF(AND($S51&lt;&gt;"",EDATE($D51,Milestones!$AA$192)&gt;=$S51),$V51,$U51)))=Milestones!$AB$192),UPPER(TEXT(EDATE($D51,Milestones!$AA$192),"dd mmm yy"))&amp;" "&amp;Milestones!$AB$192&amp;" "&amp;Milestones!$AC$192&amp;";  ","")&amp;IF(AND(EDATE($D51,Milestones!$AA$193)&lt;=AsOfDate,IF($R51=0,$X51,IF(AND($T51&lt;&gt;"",EDATE($D51,Milestones!$AA$193)&gt;=$T51),$W51,IF(AND($S51&lt;&gt;"",EDATE($D51,Milestones!$AA$193)&gt;=$S51),$V51,$U51)))=Milestones!$AB$193),UPPER(TEXT(EDATE($D51,Milestones!$AA$193),"dd mmm yy"))&amp;" "&amp;Milestones!$AB$193&amp;" "&amp;Milestones!$AC$193&amp;";  ","")&amp;IF(AND(EDATE($D51,Milestones!$AA$194)&lt;=AsOfDate,IF($R51=0,$X51,IF(AND($T51&lt;&gt;"",EDATE($D51,Milestones!$AA$194)&gt;=$T51),$W51,IF(AND($S51&lt;&gt;"",EDATE($D51,Milestones!$AA$194)&gt;=$S51),$V51,$U51)))=Milestones!$AB$194),UPPER(TEXT(EDATE($D51,Milestones!$AA$194),"dd mmm yy"))&amp;" "&amp;Milestones!$AB$194&amp;" "&amp;Milestones!$AC$194&amp;";  ","")&amp;IF(AND(EDATE($D51,Milestones!$AA$195)&lt;=AsOfDate,IF($R51=0,$X51,IF(AND($T51&lt;&gt;"",EDATE($D51,Milestones!$AA$195)&gt;=$T51),$W51,IF(AND($S51&lt;&gt;"",EDATE($D51,Milestones!$AA$195)&gt;=$S51),$V51,$U51)))=Milestones!$AB$195),UPPER(TEXT(EDATE($D51,Milestones!$AA$195),"dd mmm yy"))&amp;" "&amp;Milestones!$AB$195&amp;" "&amp;Milestones!$AC$195&amp;";  ","")&amp;IF(AND(EDATE($D51,Milestones!$AA$196)&lt;=AsOfDate,IF($R51=0,$X51,IF(AND($T51&lt;&gt;"",EDATE($D51,Milestones!$AA$196)&gt;=$T51),$W51,IF(AND($S51&lt;&gt;"",EDATE($D51,Milestones!$AA$196)&gt;=$S51),$V51,$U51)))=Milestones!$AB$196),UPPER(TEXT(EDATE($D51,Milestones!$AA$196),"dd mmm yy"))&amp;" "&amp;Milestones!$AB$196&amp;" "&amp;Milestones!$AC$196&amp;";  ","")&amp;IF(AND(EDATE($D51,Milestones!$AA$197)&lt;=AsOfDate,IF($R51=0,$X51,IF(AND($T51&lt;&gt;"",EDATE($D51,Milestones!$AA$197)&gt;=$T51),$W51,IF(AND($S51&lt;&gt;"",EDATE($D51,Milestones!$AA$197)&gt;=$S51),$V51,$U51)))=Milestones!$AB$197),UPPER(TEXT(EDATE($D51,Milestones!$AA$197),"dd mmm yy"))&amp;" "&amp;Milestones!$AB$197&amp;" "&amp;Milestones!$AC$197&amp;";  ","")&amp;IF(AND(EDATE($D51,Milestones!$AA$198)&lt;=AsOfDate,IF($R51=0,$X51,IF(AND($T51&lt;&gt;"",EDATE($D51,Milestones!$AA$198)&gt;=$T51),$W51,IF(AND($S51&lt;&gt;"",EDATE($D51,Milestones!$AA$198)&gt;=$S51),$V51,$U51)))=Milestones!$AB$198),UPPER(TEXT(EDATE($D51,Milestones!$AA$198),"dd mmm yy"))&amp;" "&amp;Milestones!$AB$198&amp;" "&amp;Milestones!$AC$198&amp;";  ","")&amp;IF(AND(EDATE($D51,Milestones!$AA$199)&lt;=AsOfDate,IF($R51=0,$X51,IF(AND($T51&lt;&gt;"",EDATE($D51,Milestones!$AA$199)&gt;=$T51),$W51,IF(AND($S51&lt;&gt;"",EDATE($D51,Milestones!$AA$199)&gt;=$S51),$V51,$U51)))=Milestones!$AB$199),UPPER(TEXT(EDATE($D51,Milestones!$AA$199),"dd mmm yy"))&amp;" "&amp;Milestones!$AB$199&amp;" "&amp;Milestones!$AC$199&amp;";  ",""))</f>
        <v/>
      </c>
      <c r="R51" s="33" t="n">
        <f aca="false">IF(Staff!$A51="","",Staff!$AI51)</f>
        <v>2</v>
      </c>
      <c r="S51" s="23" t="n">
        <f aca="false">IF(Staff!$A51="","",Staff!$AK51)</f>
        <v>46160</v>
      </c>
      <c r="T51" s="0" t="str">
        <f aca="false">IF(Staff!$A51="","",Staff!$AL51)</f>
        <v/>
      </c>
      <c r="U51" s="0" t="str">
        <f aca="false">IF(Staff!$A51="","",Staff!$AP51)</f>
        <v>None</v>
      </c>
      <c r="V51" s="0" t="str">
        <f aca="false">IF(Staff!$A51="","",Staff!$AQ51)</f>
        <v>FT</v>
      </c>
      <c r="W51" s="0" t="str">
        <f aca="false">IF(Staff!$A51="","",Staff!$AR51)</f>
        <v/>
      </c>
      <c r="X51" s="0" t="str">
        <f aca="false">IF(Staff!$A51="","",Staff!$AS51)</f>
        <v>FT</v>
      </c>
    </row>
    <row r="52" customFormat="false" ht="15" hidden="false" customHeight="false" outlineLevel="0" collapsed="false">
      <c r="A52" s="19" t="str">
        <f aca="false">IF(Staff!$A52="","",Staff!$A52)</f>
        <v>Mark</v>
      </c>
      <c r="B52" s="19" t="str">
        <f aca="false">IF(Staff!$A52="","",Staff!$B52)</f>
        <v>Brooks</v>
      </c>
      <c r="C52" s="19" t="str">
        <f aca="false">IF(Staff!$A52="","",Staff!$C52)</f>
        <v>Casual</v>
      </c>
      <c r="D52" s="17" t="n">
        <f aca="false">IF(Staff!$A52="","",Staff!$AH52)</f>
        <v>45516</v>
      </c>
      <c r="E52" s="20" t="n">
        <f aca="false">IF(Staff!$A52="","",Staff!$O52)</f>
        <v>0</v>
      </c>
      <c r="F52" s="19" t="n">
        <f aca="false">IF(E52="","",E52*HoursPerDay)</f>
        <v>0</v>
      </c>
      <c r="G52" s="20" t="n">
        <f aca="false">IF(Staff!$A52="","",Staff!$AE52)</f>
        <v>0</v>
      </c>
      <c r="H52" s="32" t="str">
        <f aca="false">IF($A52="","",I52&amp;J52&amp;K52&amp;L52&amp;M52&amp;N52&amp;O52&amp;P52&amp;Q52)</f>
        <v/>
      </c>
      <c r="I52" s="0" t="str">
        <f aca="false">IF(OR($A52="",$D52=""),"",IF(AND(EDATE($D52,Milestones!$AA$20)&lt;=AsOfDate,IF($R52=0,$X52,IF(AND($T52&lt;&gt;"",EDATE($D52,Milestones!$AA$20)&gt;=$T52),$W52,IF(AND($S52&lt;&gt;"",EDATE($D52,Milestones!$AA$20)&gt;=$S52),$V52,$U52)))=Milestones!$AB$20),UPPER(TEXT(EDATE($D52,Milestones!$AA$20),"dd mmm yy"))&amp;" "&amp;Milestones!$AB$20&amp;" "&amp;Milestones!$AC$20&amp;";  ","")&amp;IF(AND(EDATE($D52,Milestones!$AA$21)&lt;=AsOfDate,IF($R52=0,$X52,IF(AND($T52&lt;&gt;"",EDATE($D52,Milestones!$AA$21)&gt;=$T52),$W52,IF(AND($S52&lt;&gt;"",EDATE($D52,Milestones!$AA$21)&gt;=$S52),$V52,$U52)))=Milestones!$AB$21),UPPER(TEXT(EDATE($D52,Milestones!$AA$21),"dd mmm yy"))&amp;" "&amp;Milestones!$AB$21&amp;" "&amp;Milestones!$AC$21&amp;";  ","")&amp;IF(AND(EDATE($D52,Milestones!$AA$22)&lt;=AsOfDate,IF($R52=0,$X52,IF(AND($T52&lt;&gt;"",EDATE($D52,Milestones!$AA$22)&gt;=$T52),$W52,IF(AND($S52&lt;&gt;"",EDATE($D52,Milestones!$AA$22)&gt;=$S52),$V52,$U52)))=Milestones!$AB$22),UPPER(TEXT(EDATE($D52,Milestones!$AA$22),"dd mmm yy"))&amp;" "&amp;Milestones!$AB$22&amp;" "&amp;Milestones!$AC$22&amp;";  ","")&amp;IF(AND(EDATE($D52,Milestones!$AA$23)&lt;=AsOfDate,IF($R52=0,$X52,IF(AND($T52&lt;&gt;"",EDATE($D52,Milestones!$AA$23)&gt;=$T52),$W52,IF(AND($S52&lt;&gt;"",EDATE($D52,Milestones!$AA$23)&gt;=$S52),$V52,$U52)))=Milestones!$AB$23),UPPER(TEXT(EDATE($D52,Milestones!$AA$23),"dd mmm yy"))&amp;" "&amp;Milestones!$AB$23&amp;" "&amp;Milestones!$AC$23&amp;";  ","")&amp;IF(AND(EDATE($D52,Milestones!$AA$24)&lt;=AsOfDate,IF($R52=0,$X52,IF(AND($T52&lt;&gt;"",EDATE($D52,Milestones!$AA$24)&gt;=$T52),$W52,IF(AND($S52&lt;&gt;"",EDATE($D52,Milestones!$AA$24)&gt;=$S52),$V52,$U52)))=Milestones!$AB$24),UPPER(TEXT(EDATE($D52,Milestones!$AA$24),"dd mmm yy"))&amp;" "&amp;Milestones!$AB$24&amp;" "&amp;Milestones!$AC$24&amp;";  ","")&amp;IF(AND(EDATE($D52,Milestones!$AA$25)&lt;=AsOfDate,IF($R52=0,$X52,IF(AND($T52&lt;&gt;"",EDATE($D52,Milestones!$AA$25)&gt;=$T52),$W52,IF(AND($S52&lt;&gt;"",EDATE($D52,Milestones!$AA$25)&gt;=$S52),$V52,$U52)))=Milestones!$AB$25),UPPER(TEXT(EDATE($D52,Milestones!$AA$25),"dd mmm yy"))&amp;" "&amp;Milestones!$AB$25&amp;" "&amp;Milestones!$AC$25&amp;";  ","")&amp;IF(AND(EDATE($D52,Milestones!$AA$26)&lt;=AsOfDate,IF($R52=0,$X52,IF(AND($T52&lt;&gt;"",EDATE($D52,Milestones!$AA$26)&gt;=$T52),$W52,IF(AND($S52&lt;&gt;"",EDATE($D52,Milestones!$AA$26)&gt;=$S52),$V52,$U52)))=Milestones!$AB$26),UPPER(TEXT(EDATE($D52,Milestones!$AA$26),"dd mmm yy"))&amp;" "&amp;Milestones!$AB$26&amp;" "&amp;Milestones!$AC$26&amp;";  ","")&amp;IF(AND(EDATE($D52,Milestones!$AA$27)&lt;=AsOfDate,IF($R52=0,$X52,IF(AND($T52&lt;&gt;"",EDATE($D52,Milestones!$AA$27)&gt;=$T52),$W52,IF(AND($S52&lt;&gt;"",EDATE($D52,Milestones!$AA$27)&gt;=$S52),$V52,$U52)))=Milestones!$AB$27),UPPER(TEXT(EDATE($D52,Milestones!$AA$27),"dd mmm yy"))&amp;" "&amp;Milestones!$AB$27&amp;" "&amp;Milestones!$AC$27&amp;";  ","")&amp;IF(AND(EDATE($D52,Milestones!$AA$28)&lt;=AsOfDate,IF($R52=0,$X52,IF(AND($T52&lt;&gt;"",EDATE($D52,Milestones!$AA$28)&gt;=$T52),$W52,IF(AND($S52&lt;&gt;"",EDATE($D52,Milestones!$AA$28)&gt;=$S52),$V52,$U52)))=Milestones!$AB$28),UPPER(TEXT(EDATE($D52,Milestones!$AA$28),"dd mmm yy"))&amp;" "&amp;Milestones!$AB$28&amp;" "&amp;Milestones!$AC$28&amp;";  ","")&amp;IF(AND(EDATE($D52,Milestones!$AA$29)&lt;=AsOfDate,IF($R52=0,$X52,IF(AND($T52&lt;&gt;"",EDATE($D52,Milestones!$AA$29)&gt;=$T52),$W52,IF(AND($S52&lt;&gt;"",EDATE($D52,Milestones!$AA$29)&gt;=$S52),$V52,$U52)))=Milestones!$AB$29),UPPER(TEXT(EDATE($D52,Milestones!$AA$29),"dd mmm yy"))&amp;" "&amp;Milestones!$AB$29&amp;" "&amp;Milestones!$AC$29&amp;";  ","")&amp;IF(AND(EDATE($D52,Milestones!$AA$30)&lt;=AsOfDate,IF($R52=0,$X52,IF(AND($T52&lt;&gt;"",EDATE($D52,Milestones!$AA$30)&gt;=$T52),$W52,IF(AND($S52&lt;&gt;"",EDATE($D52,Milestones!$AA$30)&gt;=$S52),$V52,$U52)))=Milestones!$AB$30),UPPER(TEXT(EDATE($D52,Milestones!$AA$30),"dd mmm yy"))&amp;" "&amp;Milestones!$AB$30&amp;" "&amp;Milestones!$AC$30&amp;";  ","")&amp;IF(AND(EDATE($D52,Milestones!$AA$31)&lt;=AsOfDate,IF($R52=0,$X52,IF(AND($T52&lt;&gt;"",EDATE($D52,Milestones!$AA$31)&gt;=$T52),$W52,IF(AND($S52&lt;&gt;"",EDATE($D52,Milestones!$AA$31)&gt;=$S52),$V52,$U52)))=Milestones!$AB$31),UPPER(TEXT(EDATE($D52,Milestones!$AA$31),"dd mmm yy"))&amp;" "&amp;Milestones!$AB$31&amp;" "&amp;Milestones!$AC$31&amp;";  ","")&amp;IF(AND(EDATE($D52,Milestones!$AA$32)&lt;=AsOfDate,IF($R52=0,$X52,IF(AND($T52&lt;&gt;"",EDATE($D52,Milestones!$AA$32)&gt;=$T52),$W52,IF(AND($S52&lt;&gt;"",EDATE($D52,Milestones!$AA$32)&gt;=$S52),$V52,$U52)))=Milestones!$AB$32),UPPER(TEXT(EDATE($D52,Milestones!$AA$32),"dd mmm yy"))&amp;" "&amp;Milestones!$AB$32&amp;" "&amp;Milestones!$AC$32&amp;";  ","")&amp;IF(AND(EDATE($D52,Milestones!$AA$33)&lt;=AsOfDate,IF($R52=0,$X52,IF(AND($T52&lt;&gt;"",EDATE($D52,Milestones!$AA$33)&gt;=$T52),$W52,IF(AND($S52&lt;&gt;"",EDATE($D52,Milestones!$AA$33)&gt;=$S52),$V52,$U52)))=Milestones!$AB$33),UPPER(TEXT(EDATE($D52,Milestones!$AA$33),"dd mmm yy"))&amp;" "&amp;Milestones!$AB$33&amp;" "&amp;Milestones!$AC$33&amp;";  ","")&amp;IF(AND(EDATE($D52,Milestones!$AA$34)&lt;=AsOfDate,IF($R52=0,$X52,IF(AND($T52&lt;&gt;"",EDATE($D52,Milestones!$AA$34)&gt;=$T52),$W52,IF(AND($S52&lt;&gt;"",EDATE($D52,Milestones!$AA$34)&gt;=$S52),$V52,$U52)))=Milestones!$AB$34),UPPER(TEXT(EDATE($D52,Milestones!$AA$34),"dd mmm yy"))&amp;" "&amp;Milestones!$AB$34&amp;" "&amp;Milestones!$AC$34&amp;";  ","")&amp;IF(AND(EDATE($D52,Milestones!$AA$35)&lt;=AsOfDate,IF($R52=0,$X52,IF(AND($T52&lt;&gt;"",EDATE($D52,Milestones!$AA$35)&gt;=$T52),$W52,IF(AND($S52&lt;&gt;"",EDATE($D52,Milestones!$AA$35)&gt;=$S52),$V52,$U52)))=Milestones!$AB$35),UPPER(TEXT(EDATE($D52,Milestones!$AA$35),"dd mmm yy"))&amp;" "&amp;Milestones!$AB$35&amp;" "&amp;Milestones!$AC$35&amp;";  ","")&amp;IF(AND(EDATE($D52,Milestones!$AA$36)&lt;=AsOfDate,IF($R52=0,$X52,IF(AND($T52&lt;&gt;"",EDATE($D52,Milestones!$AA$36)&gt;=$T52),$W52,IF(AND($S52&lt;&gt;"",EDATE($D52,Milestones!$AA$36)&gt;=$S52),$V52,$U52)))=Milestones!$AB$36),UPPER(TEXT(EDATE($D52,Milestones!$AA$36),"dd mmm yy"))&amp;" "&amp;Milestones!$AB$36&amp;" "&amp;Milestones!$AC$36&amp;";  ","")&amp;IF(AND(EDATE($D52,Milestones!$AA$37)&lt;=AsOfDate,IF($R52=0,$X52,IF(AND($T52&lt;&gt;"",EDATE($D52,Milestones!$AA$37)&gt;=$T52),$W52,IF(AND($S52&lt;&gt;"",EDATE($D52,Milestones!$AA$37)&gt;=$S52),$V52,$U52)))=Milestones!$AB$37),UPPER(TEXT(EDATE($D52,Milestones!$AA$37),"dd mmm yy"))&amp;" "&amp;Milestones!$AB$37&amp;" "&amp;Milestones!$AC$37&amp;";  ","")&amp;IF(AND(EDATE($D52,Milestones!$AA$38)&lt;=AsOfDate,IF($R52=0,$X52,IF(AND($T52&lt;&gt;"",EDATE($D52,Milestones!$AA$38)&gt;=$T52),$W52,IF(AND($S52&lt;&gt;"",EDATE($D52,Milestones!$AA$38)&gt;=$S52),$V52,$U52)))=Milestones!$AB$38),UPPER(TEXT(EDATE($D52,Milestones!$AA$38),"dd mmm yy"))&amp;" "&amp;Milestones!$AB$38&amp;" "&amp;Milestones!$AC$38&amp;";  ","")&amp;IF(AND(EDATE($D52,Milestones!$AA$39)&lt;=AsOfDate,IF($R52=0,$X52,IF(AND($T52&lt;&gt;"",EDATE($D52,Milestones!$AA$39)&gt;=$T52),$W52,IF(AND($S52&lt;&gt;"",EDATE($D52,Milestones!$AA$39)&gt;=$S52),$V52,$U52)))=Milestones!$AB$39),UPPER(TEXT(EDATE($D52,Milestones!$AA$39),"dd mmm yy"))&amp;" "&amp;Milestones!$AB$39&amp;" "&amp;Milestones!$AC$39&amp;";  ",""))</f>
        <v/>
      </c>
      <c r="J52" s="0" t="str">
        <f aca="false">IF(OR($A52="",$D52=""),"",IF(AND(EDATE($D52,Milestones!$AA$40)&lt;=AsOfDate,IF($R52=0,$X52,IF(AND($T52&lt;&gt;"",EDATE($D52,Milestones!$AA$40)&gt;=$T52),$W52,IF(AND($S52&lt;&gt;"",EDATE($D52,Milestones!$AA$40)&gt;=$S52),$V52,$U52)))=Milestones!$AB$40),UPPER(TEXT(EDATE($D52,Milestones!$AA$40),"dd mmm yy"))&amp;" "&amp;Milestones!$AB$40&amp;" "&amp;Milestones!$AC$40&amp;";  ","")&amp;IF(AND(EDATE($D52,Milestones!$AA$41)&lt;=AsOfDate,IF($R52=0,$X52,IF(AND($T52&lt;&gt;"",EDATE($D52,Milestones!$AA$41)&gt;=$T52),$W52,IF(AND($S52&lt;&gt;"",EDATE($D52,Milestones!$AA$41)&gt;=$S52),$V52,$U52)))=Milestones!$AB$41),UPPER(TEXT(EDATE($D52,Milestones!$AA$41),"dd mmm yy"))&amp;" "&amp;Milestones!$AB$41&amp;" "&amp;Milestones!$AC$41&amp;";  ","")&amp;IF(AND(EDATE($D52,Milestones!$AA$42)&lt;=AsOfDate,IF($R52=0,$X52,IF(AND($T52&lt;&gt;"",EDATE($D52,Milestones!$AA$42)&gt;=$T52),$W52,IF(AND($S52&lt;&gt;"",EDATE($D52,Milestones!$AA$42)&gt;=$S52),$V52,$U52)))=Milestones!$AB$42),UPPER(TEXT(EDATE($D52,Milestones!$AA$42),"dd mmm yy"))&amp;" "&amp;Milestones!$AB$42&amp;" "&amp;Milestones!$AC$42&amp;";  ","")&amp;IF(AND(EDATE($D52,Milestones!$AA$43)&lt;=AsOfDate,IF($R52=0,$X52,IF(AND($T52&lt;&gt;"",EDATE($D52,Milestones!$AA$43)&gt;=$T52),$W52,IF(AND($S52&lt;&gt;"",EDATE($D52,Milestones!$AA$43)&gt;=$S52),$V52,$U52)))=Milestones!$AB$43),UPPER(TEXT(EDATE($D52,Milestones!$AA$43),"dd mmm yy"))&amp;" "&amp;Milestones!$AB$43&amp;" "&amp;Milestones!$AC$43&amp;";  ","")&amp;IF(AND(EDATE($D52,Milestones!$AA$44)&lt;=AsOfDate,IF($R52=0,$X52,IF(AND($T52&lt;&gt;"",EDATE($D52,Milestones!$AA$44)&gt;=$T52),$W52,IF(AND($S52&lt;&gt;"",EDATE($D52,Milestones!$AA$44)&gt;=$S52),$V52,$U52)))=Milestones!$AB$44),UPPER(TEXT(EDATE($D52,Milestones!$AA$44),"dd mmm yy"))&amp;" "&amp;Milestones!$AB$44&amp;" "&amp;Milestones!$AC$44&amp;";  ","")&amp;IF(AND(EDATE($D52,Milestones!$AA$45)&lt;=AsOfDate,IF($R52=0,$X52,IF(AND($T52&lt;&gt;"",EDATE($D52,Milestones!$AA$45)&gt;=$T52),$W52,IF(AND($S52&lt;&gt;"",EDATE($D52,Milestones!$AA$45)&gt;=$S52),$V52,$U52)))=Milestones!$AB$45),UPPER(TEXT(EDATE($D52,Milestones!$AA$45),"dd mmm yy"))&amp;" "&amp;Milestones!$AB$45&amp;" "&amp;Milestones!$AC$45&amp;";  ","")&amp;IF(AND(EDATE($D52,Milestones!$AA$46)&lt;=AsOfDate,IF($R52=0,$X52,IF(AND($T52&lt;&gt;"",EDATE($D52,Milestones!$AA$46)&gt;=$T52),$W52,IF(AND($S52&lt;&gt;"",EDATE($D52,Milestones!$AA$46)&gt;=$S52),$V52,$U52)))=Milestones!$AB$46),UPPER(TEXT(EDATE($D52,Milestones!$AA$46),"dd mmm yy"))&amp;" "&amp;Milestones!$AB$46&amp;" "&amp;Milestones!$AC$46&amp;";  ","")&amp;IF(AND(EDATE($D52,Milestones!$AA$47)&lt;=AsOfDate,IF($R52=0,$X52,IF(AND($T52&lt;&gt;"",EDATE($D52,Milestones!$AA$47)&gt;=$T52),$W52,IF(AND($S52&lt;&gt;"",EDATE($D52,Milestones!$AA$47)&gt;=$S52),$V52,$U52)))=Milestones!$AB$47),UPPER(TEXT(EDATE($D52,Milestones!$AA$47),"dd mmm yy"))&amp;" "&amp;Milestones!$AB$47&amp;" "&amp;Milestones!$AC$47&amp;";  ","")&amp;IF(AND(EDATE($D52,Milestones!$AA$48)&lt;=AsOfDate,IF($R52=0,$X52,IF(AND($T52&lt;&gt;"",EDATE($D52,Milestones!$AA$48)&gt;=$T52),$W52,IF(AND($S52&lt;&gt;"",EDATE($D52,Milestones!$AA$48)&gt;=$S52),$V52,$U52)))=Milestones!$AB$48),UPPER(TEXT(EDATE($D52,Milestones!$AA$48),"dd mmm yy"))&amp;" "&amp;Milestones!$AB$48&amp;" "&amp;Milestones!$AC$48&amp;";  ","")&amp;IF(AND(EDATE($D52,Milestones!$AA$49)&lt;=AsOfDate,IF($R52=0,$X52,IF(AND($T52&lt;&gt;"",EDATE($D52,Milestones!$AA$49)&gt;=$T52),$W52,IF(AND($S52&lt;&gt;"",EDATE($D52,Milestones!$AA$49)&gt;=$S52),$V52,$U52)))=Milestones!$AB$49),UPPER(TEXT(EDATE($D52,Milestones!$AA$49),"dd mmm yy"))&amp;" "&amp;Milestones!$AB$49&amp;" "&amp;Milestones!$AC$49&amp;";  ","")&amp;IF(AND(EDATE($D52,Milestones!$AA$50)&lt;=AsOfDate,IF($R52=0,$X52,IF(AND($T52&lt;&gt;"",EDATE($D52,Milestones!$AA$50)&gt;=$T52),$W52,IF(AND($S52&lt;&gt;"",EDATE($D52,Milestones!$AA$50)&gt;=$S52),$V52,$U52)))=Milestones!$AB$50),UPPER(TEXT(EDATE($D52,Milestones!$AA$50),"dd mmm yy"))&amp;" "&amp;Milestones!$AB$50&amp;" "&amp;Milestones!$AC$50&amp;";  ","")&amp;IF(AND(EDATE($D52,Milestones!$AA$51)&lt;=AsOfDate,IF($R52=0,$X52,IF(AND($T52&lt;&gt;"",EDATE($D52,Milestones!$AA$51)&gt;=$T52),$W52,IF(AND($S52&lt;&gt;"",EDATE($D52,Milestones!$AA$51)&gt;=$S52),$V52,$U52)))=Milestones!$AB$51),UPPER(TEXT(EDATE($D52,Milestones!$AA$51),"dd mmm yy"))&amp;" "&amp;Milestones!$AB$51&amp;" "&amp;Milestones!$AC$51&amp;";  ","")&amp;IF(AND(EDATE($D52,Milestones!$AA$52)&lt;=AsOfDate,IF($R52=0,$X52,IF(AND($T52&lt;&gt;"",EDATE($D52,Milestones!$AA$52)&gt;=$T52),$W52,IF(AND($S52&lt;&gt;"",EDATE($D52,Milestones!$AA$52)&gt;=$S52),$V52,$U52)))=Milestones!$AB$52),UPPER(TEXT(EDATE($D52,Milestones!$AA$52),"dd mmm yy"))&amp;" "&amp;Milestones!$AB$52&amp;" "&amp;Milestones!$AC$52&amp;";  ","")&amp;IF(AND(EDATE($D52,Milestones!$AA$53)&lt;=AsOfDate,IF($R52=0,$X52,IF(AND($T52&lt;&gt;"",EDATE($D52,Milestones!$AA$53)&gt;=$T52),$W52,IF(AND($S52&lt;&gt;"",EDATE($D52,Milestones!$AA$53)&gt;=$S52),$V52,$U52)))=Milestones!$AB$53),UPPER(TEXT(EDATE($D52,Milestones!$AA$53),"dd mmm yy"))&amp;" "&amp;Milestones!$AB$53&amp;" "&amp;Milestones!$AC$53&amp;";  ","")&amp;IF(AND(EDATE($D52,Milestones!$AA$54)&lt;=AsOfDate,IF($R52=0,$X52,IF(AND($T52&lt;&gt;"",EDATE($D52,Milestones!$AA$54)&gt;=$T52),$W52,IF(AND($S52&lt;&gt;"",EDATE($D52,Milestones!$AA$54)&gt;=$S52),$V52,$U52)))=Milestones!$AB$54),UPPER(TEXT(EDATE($D52,Milestones!$AA$54),"dd mmm yy"))&amp;" "&amp;Milestones!$AB$54&amp;" "&amp;Milestones!$AC$54&amp;";  ","")&amp;IF(AND(EDATE($D52,Milestones!$AA$55)&lt;=AsOfDate,IF($R52=0,$X52,IF(AND($T52&lt;&gt;"",EDATE($D52,Milestones!$AA$55)&gt;=$T52),$W52,IF(AND($S52&lt;&gt;"",EDATE($D52,Milestones!$AA$55)&gt;=$S52),$V52,$U52)))=Milestones!$AB$55),UPPER(TEXT(EDATE($D52,Milestones!$AA$55),"dd mmm yy"))&amp;" "&amp;Milestones!$AB$55&amp;" "&amp;Milestones!$AC$55&amp;";  ","")&amp;IF(AND(EDATE($D52,Milestones!$AA$56)&lt;=AsOfDate,IF($R52=0,$X52,IF(AND($T52&lt;&gt;"",EDATE($D52,Milestones!$AA$56)&gt;=$T52),$W52,IF(AND($S52&lt;&gt;"",EDATE($D52,Milestones!$AA$56)&gt;=$S52),$V52,$U52)))=Milestones!$AB$56),UPPER(TEXT(EDATE($D52,Milestones!$AA$56),"dd mmm yy"))&amp;" "&amp;Milestones!$AB$56&amp;" "&amp;Milestones!$AC$56&amp;";  ","")&amp;IF(AND(EDATE($D52,Milestones!$AA$57)&lt;=AsOfDate,IF($R52=0,$X52,IF(AND($T52&lt;&gt;"",EDATE($D52,Milestones!$AA$57)&gt;=$T52),$W52,IF(AND($S52&lt;&gt;"",EDATE($D52,Milestones!$AA$57)&gt;=$S52),$V52,$U52)))=Milestones!$AB$57),UPPER(TEXT(EDATE($D52,Milestones!$AA$57),"dd mmm yy"))&amp;" "&amp;Milestones!$AB$57&amp;" "&amp;Milestones!$AC$57&amp;";  ","")&amp;IF(AND(EDATE($D52,Milestones!$AA$58)&lt;=AsOfDate,IF($R52=0,$X52,IF(AND($T52&lt;&gt;"",EDATE($D52,Milestones!$AA$58)&gt;=$T52),$W52,IF(AND($S52&lt;&gt;"",EDATE($D52,Milestones!$AA$58)&gt;=$S52),$V52,$U52)))=Milestones!$AB$58),UPPER(TEXT(EDATE($D52,Milestones!$AA$58),"dd mmm yy"))&amp;" "&amp;Milestones!$AB$58&amp;" "&amp;Milestones!$AC$58&amp;";  ","")&amp;IF(AND(EDATE($D52,Milestones!$AA$59)&lt;=AsOfDate,IF($R52=0,$X52,IF(AND($T52&lt;&gt;"",EDATE($D52,Milestones!$AA$59)&gt;=$T52),$W52,IF(AND($S52&lt;&gt;"",EDATE($D52,Milestones!$AA$59)&gt;=$S52),$V52,$U52)))=Milestones!$AB$59),UPPER(TEXT(EDATE($D52,Milestones!$AA$59),"dd mmm yy"))&amp;" "&amp;Milestones!$AB$59&amp;" "&amp;Milestones!$AC$59&amp;";  ",""))</f>
        <v/>
      </c>
      <c r="K52" s="0" t="str">
        <f aca="false">IF(OR($A52="",$D52=""),"",IF(AND(EDATE($D52,Milestones!$AA$60)&lt;=AsOfDate,IF($R52=0,$X52,IF(AND($T52&lt;&gt;"",EDATE($D52,Milestones!$AA$60)&gt;=$T52),$W52,IF(AND($S52&lt;&gt;"",EDATE($D52,Milestones!$AA$60)&gt;=$S52),$V52,$U52)))=Milestones!$AB$60),UPPER(TEXT(EDATE($D52,Milestones!$AA$60),"dd mmm yy"))&amp;" "&amp;Milestones!$AB$60&amp;" "&amp;Milestones!$AC$60&amp;";  ","")&amp;IF(AND(EDATE($D52,Milestones!$AA$61)&lt;=AsOfDate,IF($R52=0,$X52,IF(AND($T52&lt;&gt;"",EDATE($D52,Milestones!$AA$61)&gt;=$T52),$W52,IF(AND($S52&lt;&gt;"",EDATE($D52,Milestones!$AA$61)&gt;=$S52),$V52,$U52)))=Milestones!$AB$61),UPPER(TEXT(EDATE($D52,Milestones!$AA$61),"dd mmm yy"))&amp;" "&amp;Milestones!$AB$61&amp;" "&amp;Milestones!$AC$61&amp;";  ","")&amp;IF(AND(EDATE($D52,Milestones!$AA$62)&lt;=AsOfDate,IF($R52=0,$X52,IF(AND($T52&lt;&gt;"",EDATE($D52,Milestones!$AA$62)&gt;=$T52),$W52,IF(AND($S52&lt;&gt;"",EDATE($D52,Milestones!$AA$62)&gt;=$S52),$V52,$U52)))=Milestones!$AB$62),UPPER(TEXT(EDATE($D52,Milestones!$AA$62),"dd mmm yy"))&amp;" "&amp;Milestones!$AB$62&amp;" "&amp;Milestones!$AC$62&amp;";  ","")&amp;IF(AND(EDATE($D52,Milestones!$AA$63)&lt;=AsOfDate,IF($R52=0,$X52,IF(AND($T52&lt;&gt;"",EDATE($D52,Milestones!$AA$63)&gt;=$T52),$W52,IF(AND($S52&lt;&gt;"",EDATE($D52,Milestones!$AA$63)&gt;=$S52),$V52,$U52)))=Milestones!$AB$63),UPPER(TEXT(EDATE($D52,Milestones!$AA$63),"dd mmm yy"))&amp;" "&amp;Milestones!$AB$63&amp;" "&amp;Milestones!$AC$63&amp;";  ","")&amp;IF(AND(EDATE($D52,Milestones!$AA$64)&lt;=AsOfDate,IF($R52=0,$X52,IF(AND($T52&lt;&gt;"",EDATE($D52,Milestones!$AA$64)&gt;=$T52),$W52,IF(AND($S52&lt;&gt;"",EDATE($D52,Milestones!$AA$64)&gt;=$S52),$V52,$U52)))=Milestones!$AB$64),UPPER(TEXT(EDATE($D52,Milestones!$AA$64),"dd mmm yy"))&amp;" "&amp;Milestones!$AB$64&amp;" "&amp;Milestones!$AC$64&amp;";  ","")&amp;IF(AND(EDATE($D52,Milestones!$AA$65)&lt;=AsOfDate,IF($R52=0,$X52,IF(AND($T52&lt;&gt;"",EDATE($D52,Milestones!$AA$65)&gt;=$T52),$W52,IF(AND($S52&lt;&gt;"",EDATE($D52,Milestones!$AA$65)&gt;=$S52),$V52,$U52)))=Milestones!$AB$65),UPPER(TEXT(EDATE($D52,Milestones!$AA$65),"dd mmm yy"))&amp;" "&amp;Milestones!$AB$65&amp;" "&amp;Milestones!$AC$65&amp;";  ","")&amp;IF(AND(EDATE($D52,Milestones!$AA$66)&lt;=AsOfDate,IF($R52=0,$X52,IF(AND($T52&lt;&gt;"",EDATE($D52,Milestones!$AA$66)&gt;=$T52),$W52,IF(AND($S52&lt;&gt;"",EDATE($D52,Milestones!$AA$66)&gt;=$S52),$V52,$U52)))=Milestones!$AB$66),UPPER(TEXT(EDATE($D52,Milestones!$AA$66),"dd mmm yy"))&amp;" "&amp;Milestones!$AB$66&amp;" "&amp;Milestones!$AC$66&amp;";  ","")&amp;IF(AND(EDATE($D52,Milestones!$AA$67)&lt;=AsOfDate,IF($R52=0,$X52,IF(AND($T52&lt;&gt;"",EDATE($D52,Milestones!$AA$67)&gt;=$T52),$W52,IF(AND($S52&lt;&gt;"",EDATE($D52,Milestones!$AA$67)&gt;=$S52),$V52,$U52)))=Milestones!$AB$67),UPPER(TEXT(EDATE($D52,Milestones!$AA$67),"dd mmm yy"))&amp;" "&amp;Milestones!$AB$67&amp;" "&amp;Milestones!$AC$67&amp;";  ","")&amp;IF(AND(EDATE($D52,Milestones!$AA$68)&lt;=AsOfDate,IF($R52=0,$X52,IF(AND($T52&lt;&gt;"",EDATE($D52,Milestones!$AA$68)&gt;=$T52),$W52,IF(AND($S52&lt;&gt;"",EDATE($D52,Milestones!$AA$68)&gt;=$S52),$V52,$U52)))=Milestones!$AB$68),UPPER(TEXT(EDATE($D52,Milestones!$AA$68),"dd mmm yy"))&amp;" "&amp;Milestones!$AB$68&amp;" "&amp;Milestones!$AC$68&amp;";  ","")&amp;IF(AND(EDATE($D52,Milestones!$AA$69)&lt;=AsOfDate,IF($R52=0,$X52,IF(AND($T52&lt;&gt;"",EDATE($D52,Milestones!$AA$69)&gt;=$T52),$W52,IF(AND($S52&lt;&gt;"",EDATE($D52,Milestones!$AA$69)&gt;=$S52),$V52,$U52)))=Milestones!$AB$69),UPPER(TEXT(EDATE($D52,Milestones!$AA$69),"dd mmm yy"))&amp;" "&amp;Milestones!$AB$69&amp;" "&amp;Milestones!$AC$69&amp;";  ","")&amp;IF(AND(EDATE($D52,Milestones!$AA$70)&lt;=AsOfDate,IF($R52=0,$X52,IF(AND($T52&lt;&gt;"",EDATE($D52,Milestones!$AA$70)&gt;=$T52),$W52,IF(AND($S52&lt;&gt;"",EDATE($D52,Milestones!$AA$70)&gt;=$S52),$V52,$U52)))=Milestones!$AB$70),UPPER(TEXT(EDATE($D52,Milestones!$AA$70),"dd mmm yy"))&amp;" "&amp;Milestones!$AB$70&amp;" "&amp;Milestones!$AC$70&amp;";  ","")&amp;IF(AND(EDATE($D52,Milestones!$AA$71)&lt;=AsOfDate,IF($R52=0,$X52,IF(AND($T52&lt;&gt;"",EDATE($D52,Milestones!$AA$71)&gt;=$T52),$W52,IF(AND($S52&lt;&gt;"",EDATE($D52,Milestones!$AA$71)&gt;=$S52),$V52,$U52)))=Milestones!$AB$71),UPPER(TEXT(EDATE($D52,Milestones!$AA$71),"dd mmm yy"))&amp;" "&amp;Milestones!$AB$71&amp;" "&amp;Milestones!$AC$71&amp;";  ","")&amp;IF(AND(EDATE($D52,Milestones!$AA$72)&lt;=AsOfDate,IF($R52=0,$X52,IF(AND($T52&lt;&gt;"",EDATE($D52,Milestones!$AA$72)&gt;=$T52),$W52,IF(AND($S52&lt;&gt;"",EDATE($D52,Milestones!$AA$72)&gt;=$S52),$V52,$U52)))=Milestones!$AB$72),UPPER(TEXT(EDATE($D52,Milestones!$AA$72),"dd mmm yy"))&amp;" "&amp;Milestones!$AB$72&amp;" "&amp;Milestones!$AC$72&amp;";  ","")&amp;IF(AND(EDATE($D52,Milestones!$AA$73)&lt;=AsOfDate,IF($R52=0,$X52,IF(AND($T52&lt;&gt;"",EDATE($D52,Milestones!$AA$73)&gt;=$T52),$W52,IF(AND($S52&lt;&gt;"",EDATE($D52,Milestones!$AA$73)&gt;=$S52),$V52,$U52)))=Milestones!$AB$73),UPPER(TEXT(EDATE($D52,Milestones!$AA$73),"dd mmm yy"))&amp;" "&amp;Milestones!$AB$73&amp;" "&amp;Milestones!$AC$73&amp;";  ","")&amp;IF(AND(EDATE($D52,Milestones!$AA$74)&lt;=AsOfDate,IF($R52=0,$X52,IF(AND($T52&lt;&gt;"",EDATE($D52,Milestones!$AA$74)&gt;=$T52),$W52,IF(AND($S52&lt;&gt;"",EDATE($D52,Milestones!$AA$74)&gt;=$S52),$V52,$U52)))=Milestones!$AB$74),UPPER(TEXT(EDATE($D52,Milestones!$AA$74),"dd mmm yy"))&amp;" "&amp;Milestones!$AB$74&amp;" "&amp;Milestones!$AC$74&amp;";  ","")&amp;IF(AND(EDATE($D52,Milestones!$AA$75)&lt;=AsOfDate,IF($R52=0,$X52,IF(AND($T52&lt;&gt;"",EDATE($D52,Milestones!$AA$75)&gt;=$T52),$W52,IF(AND($S52&lt;&gt;"",EDATE($D52,Milestones!$AA$75)&gt;=$S52),$V52,$U52)))=Milestones!$AB$75),UPPER(TEXT(EDATE($D52,Milestones!$AA$75),"dd mmm yy"))&amp;" "&amp;Milestones!$AB$75&amp;" "&amp;Milestones!$AC$75&amp;";  ","")&amp;IF(AND(EDATE($D52,Milestones!$AA$76)&lt;=AsOfDate,IF($R52=0,$X52,IF(AND($T52&lt;&gt;"",EDATE($D52,Milestones!$AA$76)&gt;=$T52),$W52,IF(AND($S52&lt;&gt;"",EDATE($D52,Milestones!$AA$76)&gt;=$S52),$V52,$U52)))=Milestones!$AB$76),UPPER(TEXT(EDATE($D52,Milestones!$AA$76),"dd mmm yy"))&amp;" "&amp;Milestones!$AB$76&amp;" "&amp;Milestones!$AC$76&amp;";  ","")&amp;IF(AND(EDATE($D52,Milestones!$AA$77)&lt;=AsOfDate,IF($R52=0,$X52,IF(AND($T52&lt;&gt;"",EDATE($D52,Milestones!$AA$77)&gt;=$T52),$W52,IF(AND($S52&lt;&gt;"",EDATE($D52,Milestones!$AA$77)&gt;=$S52),$V52,$U52)))=Milestones!$AB$77),UPPER(TEXT(EDATE($D52,Milestones!$AA$77),"dd mmm yy"))&amp;" "&amp;Milestones!$AB$77&amp;" "&amp;Milestones!$AC$77&amp;";  ","")&amp;IF(AND(EDATE($D52,Milestones!$AA$78)&lt;=AsOfDate,IF($R52=0,$X52,IF(AND($T52&lt;&gt;"",EDATE($D52,Milestones!$AA$78)&gt;=$T52),$W52,IF(AND($S52&lt;&gt;"",EDATE($D52,Milestones!$AA$78)&gt;=$S52),$V52,$U52)))=Milestones!$AB$78),UPPER(TEXT(EDATE($D52,Milestones!$AA$78),"dd mmm yy"))&amp;" "&amp;Milestones!$AB$78&amp;" "&amp;Milestones!$AC$78&amp;";  ","")&amp;IF(AND(EDATE($D52,Milestones!$AA$79)&lt;=AsOfDate,IF($R52=0,$X52,IF(AND($T52&lt;&gt;"",EDATE($D52,Milestones!$AA$79)&gt;=$T52),$W52,IF(AND($S52&lt;&gt;"",EDATE($D52,Milestones!$AA$79)&gt;=$S52),$V52,$U52)))=Milestones!$AB$79),UPPER(TEXT(EDATE($D52,Milestones!$AA$79),"dd mmm yy"))&amp;" "&amp;Milestones!$AB$79&amp;" "&amp;Milestones!$AC$79&amp;";  ",""))</f>
        <v/>
      </c>
      <c r="L52" s="0" t="str">
        <f aca="false">IF(OR($A52="",$D52=""),"",IF(AND(EDATE($D52,Milestones!$AA$80)&lt;=AsOfDate,IF($R52=0,$X52,IF(AND($T52&lt;&gt;"",EDATE($D52,Milestones!$AA$80)&gt;=$T52),$W52,IF(AND($S52&lt;&gt;"",EDATE($D52,Milestones!$AA$80)&gt;=$S52),$V52,$U52)))=Milestones!$AB$80),UPPER(TEXT(EDATE($D52,Milestones!$AA$80),"dd mmm yy"))&amp;" "&amp;Milestones!$AB$80&amp;" "&amp;Milestones!$AC$80&amp;";  ","")&amp;IF(AND(EDATE($D52,Milestones!$AA$81)&lt;=AsOfDate,IF($R52=0,$X52,IF(AND($T52&lt;&gt;"",EDATE($D52,Milestones!$AA$81)&gt;=$T52),$W52,IF(AND($S52&lt;&gt;"",EDATE($D52,Milestones!$AA$81)&gt;=$S52),$V52,$U52)))=Milestones!$AB$81),UPPER(TEXT(EDATE($D52,Milestones!$AA$81),"dd mmm yy"))&amp;" "&amp;Milestones!$AB$81&amp;" "&amp;Milestones!$AC$81&amp;";  ","")&amp;IF(AND(EDATE($D52,Milestones!$AA$82)&lt;=AsOfDate,IF($R52=0,$X52,IF(AND($T52&lt;&gt;"",EDATE($D52,Milestones!$AA$82)&gt;=$T52),$W52,IF(AND($S52&lt;&gt;"",EDATE($D52,Milestones!$AA$82)&gt;=$S52),$V52,$U52)))=Milestones!$AB$82),UPPER(TEXT(EDATE($D52,Milestones!$AA$82),"dd mmm yy"))&amp;" "&amp;Milestones!$AB$82&amp;" "&amp;Milestones!$AC$82&amp;";  ","")&amp;IF(AND(EDATE($D52,Milestones!$AA$83)&lt;=AsOfDate,IF($R52=0,$X52,IF(AND($T52&lt;&gt;"",EDATE($D52,Milestones!$AA$83)&gt;=$T52),$W52,IF(AND($S52&lt;&gt;"",EDATE($D52,Milestones!$AA$83)&gt;=$S52),$V52,$U52)))=Milestones!$AB$83),UPPER(TEXT(EDATE($D52,Milestones!$AA$83),"dd mmm yy"))&amp;" "&amp;Milestones!$AB$83&amp;" "&amp;Milestones!$AC$83&amp;";  ","")&amp;IF(AND(EDATE($D52,Milestones!$AA$84)&lt;=AsOfDate,IF($R52=0,$X52,IF(AND($T52&lt;&gt;"",EDATE($D52,Milestones!$AA$84)&gt;=$T52),$W52,IF(AND($S52&lt;&gt;"",EDATE($D52,Milestones!$AA$84)&gt;=$S52),$V52,$U52)))=Milestones!$AB$84),UPPER(TEXT(EDATE($D52,Milestones!$AA$84),"dd mmm yy"))&amp;" "&amp;Milestones!$AB$84&amp;" "&amp;Milestones!$AC$84&amp;";  ","")&amp;IF(AND(EDATE($D52,Milestones!$AA$85)&lt;=AsOfDate,IF($R52=0,$X52,IF(AND($T52&lt;&gt;"",EDATE($D52,Milestones!$AA$85)&gt;=$T52),$W52,IF(AND($S52&lt;&gt;"",EDATE($D52,Milestones!$AA$85)&gt;=$S52),$V52,$U52)))=Milestones!$AB$85),UPPER(TEXT(EDATE($D52,Milestones!$AA$85),"dd mmm yy"))&amp;" "&amp;Milestones!$AB$85&amp;" "&amp;Milestones!$AC$85&amp;";  ","")&amp;IF(AND(EDATE($D52,Milestones!$AA$86)&lt;=AsOfDate,IF($R52=0,$X52,IF(AND($T52&lt;&gt;"",EDATE($D52,Milestones!$AA$86)&gt;=$T52),$W52,IF(AND($S52&lt;&gt;"",EDATE($D52,Milestones!$AA$86)&gt;=$S52),$V52,$U52)))=Milestones!$AB$86),UPPER(TEXT(EDATE($D52,Milestones!$AA$86),"dd mmm yy"))&amp;" "&amp;Milestones!$AB$86&amp;" "&amp;Milestones!$AC$86&amp;";  ","")&amp;IF(AND(EDATE($D52,Milestones!$AA$87)&lt;=AsOfDate,IF($R52=0,$X52,IF(AND($T52&lt;&gt;"",EDATE($D52,Milestones!$AA$87)&gt;=$T52),$W52,IF(AND($S52&lt;&gt;"",EDATE($D52,Milestones!$AA$87)&gt;=$S52),$V52,$U52)))=Milestones!$AB$87),UPPER(TEXT(EDATE($D52,Milestones!$AA$87),"dd mmm yy"))&amp;" "&amp;Milestones!$AB$87&amp;" "&amp;Milestones!$AC$87&amp;";  ","")&amp;IF(AND(EDATE($D52,Milestones!$AA$88)&lt;=AsOfDate,IF($R52=0,$X52,IF(AND($T52&lt;&gt;"",EDATE($D52,Milestones!$AA$88)&gt;=$T52),$W52,IF(AND($S52&lt;&gt;"",EDATE($D52,Milestones!$AA$88)&gt;=$S52),$V52,$U52)))=Milestones!$AB$88),UPPER(TEXT(EDATE($D52,Milestones!$AA$88),"dd mmm yy"))&amp;" "&amp;Milestones!$AB$88&amp;" "&amp;Milestones!$AC$88&amp;";  ","")&amp;IF(AND(EDATE($D52,Milestones!$AA$89)&lt;=AsOfDate,IF($R52=0,$X52,IF(AND($T52&lt;&gt;"",EDATE($D52,Milestones!$AA$89)&gt;=$T52),$W52,IF(AND($S52&lt;&gt;"",EDATE($D52,Milestones!$AA$89)&gt;=$S52),$V52,$U52)))=Milestones!$AB$89),UPPER(TEXT(EDATE($D52,Milestones!$AA$89),"dd mmm yy"))&amp;" "&amp;Milestones!$AB$89&amp;" "&amp;Milestones!$AC$89&amp;";  ","")&amp;IF(AND(EDATE($D52,Milestones!$AA$90)&lt;=AsOfDate,IF($R52=0,$X52,IF(AND($T52&lt;&gt;"",EDATE($D52,Milestones!$AA$90)&gt;=$T52),$W52,IF(AND($S52&lt;&gt;"",EDATE($D52,Milestones!$AA$90)&gt;=$S52),$V52,$U52)))=Milestones!$AB$90),UPPER(TEXT(EDATE($D52,Milestones!$AA$90),"dd mmm yy"))&amp;" "&amp;Milestones!$AB$90&amp;" "&amp;Milestones!$AC$90&amp;";  ","")&amp;IF(AND(EDATE($D52,Milestones!$AA$91)&lt;=AsOfDate,IF($R52=0,$X52,IF(AND($T52&lt;&gt;"",EDATE($D52,Milestones!$AA$91)&gt;=$T52),$W52,IF(AND($S52&lt;&gt;"",EDATE($D52,Milestones!$AA$91)&gt;=$S52),$V52,$U52)))=Milestones!$AB$91),UPPER(TEXT(EDATE($D52,Milestones!$AA$91),"dd mmm yy"))&amp;" "&amp;Milestones!$AB$91&amp;" "&amp;Milestones!$AC$91&amp;";  ","")&amp;IF(AND(EDATE($D52,Milestones!$AA$92)&lt;=AsOfDate,IF($R52=0,$X52,IF(AND($T52&lt;&gt;"",EDATE($D52,Milestones!$AA$92)&gt;=$T52),$W52,IF(AND($S52&lt;&gt;"",EDATE($D52,Milestones!$AA$92)&gt;=$S52),$V52,$U52)))=Milestones!$AB$92),UPPER(TEXT(EDATE($D52,Milestones!$AA$92),"dd mmm yy"))&amp;" "&amp;Milestones!$AB$92&amp;" "&amp;Milestones!$AC$92&amp;";  ","")&amp;IF(AND(EDATE($D52,Milestones!$AA$93)&lt;=AsOfDate,IF($R52=0,$X52,IF(AND($T52&lt;&gt;"",EDATE($D52,Milestones!$AA$93)&gt;=$T52),$W52,IF(AND($S52&lt;&gt;"",EDATE($D52,Milestones!$AA$93)&gt;=$S52),$V52,$U52)))=Milestones!$AB$93),UPPER(TEXT(EDATE($D52,Milestones!$AA$93),"dd mmm yy"))&amp;" "&amp;Milestones!$AB$93&amp;" "&amp;Milestones!$AC$93&amp;";  ","")&amp;IF(AND(EDATE($D52,Milestones!$AA$94)&lt;=AsOfDate,IF($R52=0,$X52,IF(AND($T52&lt;&gt;"",EDATE($D52,Milestones!$AA$94)&gt;=$T52),$W52,IF(AND($S52&lt;&gt;"",EDATE($D52,Milestones!$AA$94)&gt;=$S52),$V52,$U52)))=Milestones!$AB$94),UPPER(TEXT(EDATE($D52,Milestones!$AA$94),"dd mmm yy"))&amp;" "&amp;Milestones!$AB$94&amp;" "&amp;Milestones!$AC$94&amp;";  ","")&amp;IF(AND(EDATE($D52,Milestones!$AA$95)&lt;=AsOfDate,IF($R52=0,$X52,IF(AND($T52&lt;&gt;"",EDATE($D52,Milestones!$AA$95)&gt;=$T52),$W52,IF(AND($S52&lt;&gt;"",EDATE($D52,Milestones!$AA$95)&gt;=$S52),$V52,$U52)))=Milestones!$AB$95),UPPER(TEXT(EDATE($D52,Milestones!$AA$95),"dd mmm yy"))&amp;" "&amp;Milestones!$AB$95&amp;" "&amp;Milestones!$AC$95&amp;";  ","")&amp;IF(AND(EDATE($D52,Milestones!$AA$96)&lt;=AsOfDate,IF($R52=0,$X52,IF(AND($T52&lt;&gt;"",EDATE($D52,Milestones!$AA$96)&gt;=$T52),$W52,IF(AND($S52&lt;&gt;"",EDATE($D52,Milestones!$AA$96)&gt;=$S52),$V52,$U52)))=Milestones!$AB$96),UPPER(TEXT(EDATE($D52,Milestones!$AA$96),"dd mmm yy"))&amp;" "&amp;Milestones!$AB$96&amp;" "&amp;Milestones!$AC$96&amp;";  ","")&amp;IF(AND(EDATE($D52,Milestones!$AA$97)&lt;=AsOfDate,IF($R52=0,$X52,IF(AND($T52&lt;&gt;"",EDATE($D52,Milestones!$AA$97)&gt;=$T52),$W52,IF(AND($S52&lt;&gt;"",EDATE($D52,Milestones!$AA$97)&gt;=$S52),$V52,$U52)))=Milestones!$AB$97),UPPER(TEXT(EDATE($D52,Milestones!$AA$97),"dd mmm yy"))&amp;" "&amp;Milestones!$AB$97&amp;" "&amp;Milestones!$AC$97&amp;";  ","")&amp;IF(AND(EDATE($D52,Milestones!$AA$98)&lt;=AsOfDate,IF($R52=0,$X52,IF(AND($T52&lt;&gt;"",EDATE($D52,Milestones!$AA$98)&gt;=$T52),$W52,IF(AND($S52&lt;&gt;"",EDATE($D52,Milestones!$AA$98)&gt;=$S52),$V52,$U52)))=Milestones!$AB$98),UPPER(TEXT(EDATE($D52,Milestones!$AA$98),"dd mmm yy"))&amp;" "&amp;Milestones!$AB$98&amp;" "&amp;Milestones!$AC$98&amp;";  ","")&amp;IF(AND(EDATE($D52,Milestones!$AA$99)&lt;=AsOfDate,IF($R52=0,$X52,IF(AND($T52&lt;&gt;"",EDATE($D52,Milestones!$AA$99)&gt;=$T52),$W52,IF(AND($S52&lt;&gt;"",EDATE($D52,Milestones!$AA$99)&gt;=$S52),$V52,$U52)))=Milestones!$AB$99),UPPER(TEXT(EDATE($D52,Milestones!$AA$99),"dd mmm yy"))&amp;" "&amp;Milestones!$AB$99&amp;" "&amp;Milestones!$AC$99&amp;";  ",""))</f>
        <v/>
      </c>
      <c r="M52" s="0" t="str">
        <f aca="false">IF(OR($A52="",$D52=""),"",IF(AND(EDATE($D52,Milestones!$AA$100)&lt;=AsOfDate,IF($R52=0,$X52,IF(AND($T52&lt;&gt;"",EDATE($D52,Milestones!$AA$100)&gt;=$T52),$W52,IF(AND($S52&lt;&gt;"",EDATE($D52,Milestones!$AA$100)&gt;=$S52),$V52,$U52)))=Milestones!$AB$100),UPPER(TEXT(EDATE($D52,Milestones!$AA$100),"dd mmm yy"))&amp;" "&amp;Milestones!$AB$100&amp;" "&amp;Milestones!$AC$100&amp;";  ","")&amp;IF(AND(EDATE($D52,Milestones!$AA$101)&lt;=AsOfDate,IF($R52=0,$X52,IF(AND($T52&lt;&gt;"",EDATE($D52,Milestones!$AA$101)&gt;=$T52),$W52,IF(AND($S52&lt;&gt;"",EDATE($D52,Milestones!$AA$101)&gt;=$S52),$V52,$U52)))=Milestones!$AB$101),UPPER(TEXT(EDATE($D52,Milestones!$AA$101),"dd mmm yy"))&amp;" "&amp;Milestones!$AB$101&amp;" "&amp;Milestones!$AC$101&amp;";  ","")&amp;IF(AND(EDATE($D52,Milestones!$AA$102)&lt;=AsOfDate,IF($R52=0,$X52,IF(AND($T52&lt;&gt;"",EDATE($D52,Milestones!$AA$102)&gt;=$T52),$W52,IF(AND($S52&lt;&gt;"",EDATE($D52,Milestones!$AA$102)&gt;=$S52),$V52,$U52)))=Milestones!$AB$102),UPPER(TEXT(EDATE($D52,Milestones!$AA$102),"dd mmm yy"))&amp;" "&amp;Milestones!$AB$102&amp;" "&amp;Milestones!$AC$102&amp;";  ","")&amp;IF(AND(EDATE($D52,Milestones!$AA$103)&lt;=AsOfDate,IF($R52=0,$X52,IF(AND($T52&lt;&gt;"",EDATE($D52,Milestones!$AA$103)&gt;=$T52),$W52,IF(AND($S52&lt;&gt;"",EDATE($D52,Milestones!$AA$103)&gt;=$S52),$V52,$U52)))=Milestones!$AB$103),UPPER(TEXT(EDATE($D52,Milestones!$AA$103),"dd mmm yy"))&amp;" "&amp;Milestones!$AB$103&amp;" "&amp;Milestones!$AC$103&amp;";  ","")&amp;IF(AND(EDATE($D52,Milestones!$AA$104)&lt;=AsOfDate,IF($R52=0,$X52,IF(AND($T52&lt;&gt;"",EDATE($D52,Milestones!$AA$104)&gt;=$T52),$W52,IF(AND($S52&lt;&gt;"",EDATE($D52,Milestones!$AA$104)&gt;=$S52),$V52,$U52)))=Milestones!$AB$104),UPPER(TEXT(EDATE($D52,Milestones!$AA$104),"dd mmm yy"))&amp;" "&amp;Milestones!$AB$104&amp;" "&amp;Milestones!$AC$104&amp;";  ","")&amp;IF(AND(EDATE($D52,Milestones!$AA$105)&lt;=AsOfDate,IF($R52=0,$X52,IF(AND($T52&lt;&gt;"",EDATE($D52,Milestones!$AA$105)&gt;=$T52),$W52,IF(AND($S52&lt;&gt;"",EDATE($D52,Milestones!$AA$105)&gt;=$S52),$V52,$U52)))=Milestones!$AB$105),UPPER(TEXT(EDATE($D52,Milestones!$AA$105),"dd mmm yy"))&amp;" "&amp;Milestones!$AB$105&amp;" "&amp;Milestones!$AC$105&amp;";  ","")&amp;IF(AND(EDATE($D52,Milestones!$AA$106)&lt;=AsOfDate,IF($R52=0,$X52,IF(AND($T52&lt;&gt;"",EDATE($D52,Milestones!$AA$106)&gt;=$T52),$W52,IF(AND($S52&lt;&gt;"",EDATE($D52,Milestones!$AA$106)&gt;=$S52),$V52,$U52)))=Milestones!$AB$106),UPPER(TEXT(EDATE($D52,Milestones!$AA$106),"dd mmm yy"))&amp;" "&amp;Milestones!$AB$106&amp;" "&amp;Milestones!$AC$106&amp;";  ","")&amp;IF(AND(EDATE($D52,Milestones!$AA$107)&lt;=AsOfDate,IF($R52=0,$X52,IF(AND($T52&lt;&gt;"",EDATE($D52,Milestones!$AA$107)&gt;=$T52),$W52,IF(AND($S52&lt;&gt;"",EDATE($D52,Milestones!$AA$107)&gt;=$S52),$V52,$U52)))=Milestones!$AB$107),UPPER(TEXT(EDATE($D52,Milestones!$AA$107),"dd mmm yy"))&amp;" "&amp;Milestones!$AB$107&amp;" "&amp;Milestones!$AC$107&amp;";  ","")&amp;IF(AND(EDATE($D52,Milestones!$AA$108)&lt;=AsOfDate,IF($R52=0,$X52,IF(AND($T52&lt;&gt;"",EDATE($D52,Milestones!$AA$108)&gt;=$T52),$W52,IF(AND($S52&lt;&gt;"",EDATE($D52,Milestones!$AA$108)&gt;=$S52),$V52,$U52)))=Milestones!$AB$108),UPPER(TEXT(EDATE($D52,Milestones!$AA$108),"dd mmm yy"))&amp;" "&amp;Milestones!$AB$108&amp;" "&amp;Milestones!$AC$108&amp;";  ","")&amp;IF(AND(EDATE($D52,Milestones!$AA$109)&lt;=AsOfDate,IF($R52=0,$X52,IF(AND($T52&lt;&gt;"",EDATE($D52,Milestones!$AA$109)&gt;=$T52),$W52,IF(AND($S52&lt;&gt;"",EDATE($D52,Milestones!$AA$109)&gt;=$S52),$V52,$U52)))=Milestones!$AB$109),UPPER(TEXT(EDATE($D52,Milestones!$AA$109),"dd mmm yy"))&amp;" "&amp;Milestones!$AB$109&amp;" "&amp;Milestones!$AC$109&amp;";  ","")&amp;IF(AND(EDATE($D52,Milestones!$AA$110)&lt;=AsOfDate,IF($R52=0,$X52,IF(AND($T52&lt;&gt;"",EDATE($D52,Milestones!$AA$110)&gt;=$T52),$W52,IF(AND($S52&lt;&gt;"",EDATE($D52,Milestones!$AA$110)&gt;=$S52),$V52,$U52)))=Milestones!$AB$110),UPPER(TEXT(EDATE($D52,Milestones!$AA$110),"dd mmm yy"))&amp;" "&amp;Milestones!$AB$110&amp;" "&amp;Milestones!$AC$110&amp;";  ","")&amp;IF(AND(EDATE($D52,Milestones!$AA$111)&lt;=AsOfDate,IF($R52=0,$X52,IF(AND($T52&lt;&gt;"",EDATE($D52,Milestones!$AA$111)&gt;=$T52),$W52,IF(AND($S52&lt;&gt;"",EDATE($D52,Milestones!$AA$111)&gt;=$S52),$V52,$U52)))=Milestones!$AB$111),UPPER(TEXT(EDATE($D52,Milestones!$AA$111),"dd mmm yy"))&amp;" "&amp;Milestones!$AB$111&amp;" "&amp;Milestones!$AC$111&amp;";  ","")&amp;IF(AND(EDATE($D52,Milestones!$AA$112)&lt;=AsOfDate,IF($R52=0,$X52,IF(AND($T52&lt;&gt;"",EDATE($D52,Milestones!$AA$112)&gt;=$T52),$W52,IF(AND($S52&lt;&gt;"",EDATE($D52,Milestones!$AA$112)&gt;=$S52),$V52,$U52)))=Milestones!$AB$112),UPPER(TEXT(EDATE($D52,Milestones!$AA$112),"dd mmm yy"))&amp;" "&amp;Milestones!$AB$112&amp;" "&amp;Milestones!$AC$112&amp;";  ","")&amp;IF(AND(EDATE($D52,Milestones!$AA$113)&lt;=AsOfDate,IF($R52=0,$X52,IF(AND($T52&lt;&gt;"",EDATE($D52,Milestones!$AA$113)&gt;=$T52),$W52,IF(AND($S52&lt;&gt;"",EDATE($D52,Milestones!$AA$113)&gt;=$S52),$V52,$U52)))=Milestones!$AB$113),UPPER(TEXT(EDATE($D52,Milestones!$AA$113),"dd mmm yy"))&amp;" "&amp;Milestones!$AB$113&amp;" "&amp;Milestones!$AC$113&amp;";  ","")&amp;IF(AND(EDATE($D52,Milestones!$AA$114)&lt;=AsOfDate,IF($R52=0,$X52,IF(AND($T52&lt;&gt;"",EDATE($D52,Milestones!$AA$114)&gt;=$T52),$W52,IF(AND($S52&lt;&gt;"",EDATE($D52,Milestones!$AA$114)&gt;=$S52),$V52,$U52)))=Milestones!$AB$114),UPPER(TEXT(EDATE($D52,Milestones!$AA$114),"dd mmm yy"))&amp;" "&amp;Milestones!$AB$114&amp;" "&amp;Milestones!$AC$114&amp;";  ","")&amp;IF(AND(EDATE($D52,Milestones!$AA$115)&lt;=AsOfDate,IF($R52=0,$X52,IF(AND($T52&lt;&gt;"",EDATE($D52,Milestones!$AA$115)&gt;=$T52),$W52,IF(AND($S52&lt;&gt;"",EDATE($D52,Milestones!$AA$115)&gt;=$S52),$V52,$U52)))=Milestones!$AB$115),UPPER(TEXT(EDATE($D52,Milestones!$AA$115),"dd mmm yy"))&amp;" "&amp;Milestones!$AB$115&amp;" "&amp;Milestones!$AC$115&amp;";  ","")&amp;IF(AND(EDATE($D52,Milestones!$AA$116)&lt;=AsOfDate,IF($R52=0,$X52,IF(AND($T52&lt;&gt;"",EDATE($D52,Milestones!$AA$116)&gt;=$T52),$W52,IF(AND($S52&lt;&gt;"",EDATE($D52,Milestones!$AA$116)&gt;=$S52),$V52,$U52)))=Milestones!$AB$116),UPPER(TEXT(EDATE($D52,Milestones!$AA$116),"dd mmm yy"))&amp;" "&amp;Milestones!$AB$116&amp;" "&amp;Milestones!$AC$116&amp;";  ","")&amp;IF(AND(EDATE($D52,Milestones!$AA$117)&lt;=AsOfDate,IF($R52=0,$X52,IF(AND($T52&lt;&gt;"",EDATE($D52,Milestones!$AA$117)&gt;=$T52),$W52,IF(AND($S52&lt;&gt;"",EDATE($D52,Milestones!$AA$117)&gt;=$S52),$V52,$U52)))=Milestones!$AB$117),UPPER(TEXT(EDATE($D52,Milestones!$AA$117),"dd mmm yy"))&amp;" "&amp;Milestones!$AB$117&amp;" "&amp;Milestones!$AC$117&amp;";  ","")&amp;IF(AND(EDATE($D52,Milestones!$AA$118)&lt;=AsOfDate,IF($R52=0,$X52,IF(AND($T52&lt;&gt;"",EDATE($D52,Milestones!$AA$118)&gt;=$T52),$W52,IF(AND($S52&lt;&gt;"",EDATE($D52,Milestones!$AA$118)&gt;=$S52),$V52,$U52)))=Milestones!$AB$118),UPPER(TEXT(EDATE($D52,Milestones!$AA$118),"dd mmm yy"))&amp;" "&amp;Milestones!$AB$118&amp;" "&amp;Milestones!$AC$118&amp;";  ","")&amp;IF(AND(EDATE($D52,Milestones!$AA$119)&lt;=AsOfDate,IF($R52=0,$X52,IF(AND($T52&lt;&gt;"",EDATE($D52,Milestones!$AA$119)&gt;=$T52),$W52,IF(AND($S52&lt;&gt;"",EDATE($D52,Milestones!$AA$119)&gt;=$S52),$V52,$U52)))=Milestones!$AB$119),UPPER(TEXT(EDATE($D52,Milestones!$AA$119),"dd mmm yy"))&amp;" "&amp;Milestones!$AB$119&amp;" "&amp;Milestones!$AC$119&amp;";  ",""))</f>
        <v/>
      </c>
      <c r="N52" s="0" t="str">
        <f aca="false">IF(OR($A52="",$D52=""),"",IF(AND(EDATE($D52,Milestones!$AA$120)&lt;=AsOfDate,IF($R52=0,$X52,IF(AND($T52&lt;&gt;"",EDATE($D52,Milestones!$AA$120)&gt;=$T52),$W52,IF(AND($S52&lt;&gt;"",EDATE($D52,Milestones!$AA$120)&gt;=$S52),$V52,$U52)))=Milestones!$AB$120),UPPER(TEXT(EDATE($D52,Milestones!$AA$120),"dd mmm yy"))&amp;" "&amp;Milestones!$AB$120&amp;" "&amp;Milestones!$AC$120&amp;";  ","")&amp;IF(AND(EDATE($D52,Milestones!$AA$121)&lt;=AsOfDate,IF($R52=0,$X52,IF(AND($T52&lt;&gt;"",EDATE($D52,Milestones!$AA$121)&gt;=$T52),$W52,IF(AND($S52&lt;&gt;"",EDATE($D52,Milestones!$AA$121)&gt;=$S52),$V52,$U52)))=Milestones!$AB$121),UPPER(TEXT(EDATE($D52,Milestones!$AA$121),"dd mmm yy"))&amp;" "&amp;Milestones!$AB$121&amp;" "&amp;Milestones!$AC$121&amp;";  ","")&amp;IF(AND(EDATE($D52,Milestones!$AA$122)&lt;=AsOfDate,IF($R52=0,$X52,IF(AND($T52&lt;&gt;"",EDATE($D52,Milestones!$AA$122)&gt;=$T52),$W52,IF(AND($S52&lt;&gt;"",EDATE($D52,Milestones!$AA$122)&gt;=$S52),$V52,$U52)))=Milestones!$AB$122),UPPER(TEXT(EDATE($D52,Milestones!$AA$122),"dd mmm yy"))&amp;" "&amp;Milestones!$AB$122&amp;" "&amp;Milestones!$AC$122&amp;";  ","")&amp;IF(AND(EDATE($D52,Milestones!$AA$123)&lt;=AsOfDate,IF($R52=0,$X52,IF(AND($T52&lt;&gt;"",EDATE($D52,Milestones!$AA$123)&gt;=$T52),$W52,IF(AND($S52&lt;&gt;"",EDATE($D52,Milestones!$AA$123)&gt;=$S52),$V52,$U52)))=Milestones!$AB$123),UPPER(TEXT(EDATE($D52,Milestones!$AA$123),"dd mmm yy"))&amp;" "&amp;Milestones!$AB$123&amp;" "&amp;Milestones!$AC$123&amp;";  ","")&amp;IF(AND(EDATE($D52,Milestones!$AA$124)&lt;=AsOfDate,IF($R52=0,$X52,IF(AND($T52&lt;&gt;"",EDATE($D52,Milestones!$AA$124)&gt;=$T52),$W52,IF(AND($S52&lt;&gt;"",EDATE($D52,Milestones!$AA$124)&gt;=$S52),$V52,$U52)))=Milestones!$AB$124),UPPER(TEXT(EDATE($D52,Milestones!$AA$124),"dd mmm yy"))&amp;" "&amp;Milestones!$AB$124&amp;" "&amp;Milestones!$AC$124&amp;";  ","")&amp;IF(AND(EDATE($D52,Milestones!$AA$125)&lt;=AsOfDate,IF($R52=0,$X52,IF(AND($T52&lt;&gt;"",EDATE($D52,Milestones!$AA$125)&gt;=$T52),$W52,IF(AND($S52&lt;&gt;"",EDATE($D52,Milestones!$AA$125)&gt;=$S52),$V52,$U52)))=Milestones!$AB$125),UPPER(TEXT(EDATE($D52,Milestones!$AA$125),"dd mmm yy"))&amp;" "&amp;Milestones!$AB$125&amp;" "&amp;Milestones!$AC$125&amp;";  ","")&amp;IF(AND(EDATE($D52,Milestones!$AA$126)&lt;=AsOfDate,IF($R52=0,$X52,IF(AND($T52&lt;&gt;"",EDATE($D52,Milestones!$AA$126)&gt;=$T52),$W52,IF(AND($S52&lt;&gt;"",EDATE($D52,Milestones!$AA$126)&gt;=$S52),$V52,$U52)))=Milestones!$AB$126),UPPER(TEXT(EDATE($D52,Milestones!$AA$126),"dd mmm yy"))&amp;" "&amp;Milestones!$AB$126&amp;" "&amp;Milestones!$AC$126&amp;";  ","")&amp;IF(AND(EDATE($D52,Milestones!$AA$127)&lt;=AsOfDate,IF($R52=0,$X52,IF(AND($T52&lt;&gt;"",EDATE($D52,Milestones!$AA$127)&gt;=$T52),$W52,IF(AND($S52&lt;&gt;"",EDATE($D52,Milestones!$AA$127)&gt;=$S52),$V52,$U52)))=Milestones!$AB$127),UPPER(TEXT(EDATE($D52,Milestones!$AA$127),"dd mmm yy"))&amp;" "&amp;Milestones!$AB$127&amp;" "&amp;Milestones!$AC$127&amp;";  ","")&amp;IF(AND(EDATE($D52,Milestones!$AA$128)&lt;=AsOfDate,IF($R52=0,$X52,IF(AND($T52&lt;&gt;"",EDATE($D52,Milestones!$AA$128)&gt;=$T52),$W52,IF(AND($S52&lt;&gt;"",EDATE($D52,Milestones!$AA$128)&gt;=$S52),$V52,$U52)))=Milestones!$AB$128),UPPER(TEXT(EDATE($D52,Milestones!$AA$128),"dd mmm yy"))&amp;" "&amp;Milestones!$AB$128&amp;" "&amp;Milestones!$AC$128&amp;";  ","")&amp;IF(AND(EDATE($D52,Milestones!$AA$129)&lt;=AsOfDate,IF($R52=0,$X52,IF(AND($T52&lt;&gt;"",EDATE($D52,Milestones!$AA$129)&gt;=$T52),$W52,IF(AND($S52&lt;&gt;"",EDATE($D52,Milestones!$AA$129)&gt;=$S52),$V52,$U52)))=Milestones!$AB$129),UPPER(TEXT(EDATE($D52,Milestones!$AA$129),"dd mmm yy"))&amp;" "&amp;Milestones!$AB$129&amp;" "&amp;Milestones!$AC$129&amp;";  ","")&amp;IF(AND(EDATE($D52,Milestones!$AA$130)&lt;=AsOfDate,IF($R52=0,$X52,IF(AND($T52&lt;&gt;"",EDATE($D52,Milestones!$AA$130)&gt;=$T52),$W52,IF(AND($S52&lt;&gt;"",EDATE($D52,Milestones!$AA$130)&gt;=$S52),$V52,$U52)))=Milestones!$AB$130),UPPER(TEXT(EDATE($D52,Milestones!$AA$130),"dd mmm yy"))&amp;" "&amp;Milestones!$AB$130&amp;" "&amp;Milestones!$AC$130&amp;";  ","")&amp;IF(AND(EDATE($D52,Milestones!$AA$131)&lt;=AsOfDate,IF($R52=0,$X52,IF(AND($T52&lt;&gt;"",EDATE($D52,Milestones!$AA$131)&gt;=$T52),$W52,IF(AND($S52&lt;&gt;"",EDATE($D52,Milestones!$AA$131)&gt;=$S52),$V52,$U52)))=Milestones!$AB$131),UPPER(TEXT(EDATE($D52,Milestones!$AA$131),"dd mmm yy"))&amp;" "&amp;Milestones!$AB$131&amp;" "&amp;Milestones!$AC$131&amp;";  ","")&amp;IF(AND(EDATE($D52,Milestones!$AA$132)&lt;=AsOfDate,IF($R52=0,$X52,IF(AND($T52&lt;&gt;"",EDATE($D52,Milestones!$AA$132)&gt;=$T52),$W52,IF(AND($S52&lt;&gt;"",EDATE($D52,Milestones!$AA$132)&gt;=$S52),$V52,$U52)))=Milestones!$AB$132),UPPER(TEXT(EDATE($D52,Milestones!$AA$132),"dd mmm yy"))&amp;" "&amp;Milestones!$AB$132&amp;" "&amp;Milestones!$AC$132&amp;";  ","")&amp;IF(AND(EDATE($D52,Milestones!$AA$133)&lt;=AsOfDate,IF($R52=0,$X52,IF(AND($T52&lt;&gt;"",EDATE($D52,Milestones!$AA$133)&gt;=$T52),$W52,IF(AND($S52&lt;&gt;"",EDATE($D52,Milestones!$AA$133)&gt;=$S52),$V52,$U52)))=Milestones!$AB$133),UPPER(TEXT(EDATE($D52,Milestones!$AA$133),"dd mmm yy"))&amp;" "&amp;Milestones!$AB$133&amp;" "&amp;Milestones!$AC$133&amp;";  ","")&amp;IF(AND(EDATE($D52,Milestones!$AA$134)&lt;=AsOfDate,IF($R52=0,$X52,IF(AND($T52&lt;&gt;"",EDATE($D52,Milestones!$AA$134)&gt;=$T52),$W52,IF(AND($S52&lt;&gt;"",EDATE($D52,Milestones!$AA$134)&gt;=$S52),$V52,$U52)))=Milestones!$AB$134),UPPER(TEXT(EDATE($D52,Milestones!$AA$134),"dd mmm yy"))&amp;" "&amp;Milestones!$AB$134&amp;" "&amp;Milestones!$AC$134&amp;";  ","")&amp;IF(AND(EDATE($D52,Milestones!$AA$135)&lt;=AsOfDate,IF($R52=0,$X52,IF(AND($T52&lt;&gt;"",EDATE($D52,Milestones!$AA$135)&gt;=$T52),$W52,IF(AND($S52&lt;&gt;"",EDATE($D52,Milestones!$AA$135)&gt;=$S52),$V52,$U52)))=Milestones!$AB$135),UPPER(TEXT(EDATE($D52,Milestones!$AA$135),"dd mmm yy"))&amp;" "&amp;Milestones!$AB$135&amp;" "&amp;Milestones!$AC$135&amp;";  ","")&amp;IF(AND(EDATE($D52,Milestones!$AA$136)&lt;=AsOfDate,IF($R52=0,$X52,IF(AND($T52&lt;&gt;"",EDATE($D52,Milestones!$AA$136)&gt;=$T52),$W52,IF(AND($S52&lt;&gt;"",EDATE($D52,Milestones!$AA$136)&gt;=$S52),$V52,$U52)))=Milestones!$AB$136),UPPER(TEXT(EDATE($D52,Milestones!$AA$136),"dd mmm yy"))&amp;" "&amp;Milestones!$AB$136&amp;" "&amp;Milestones!$AC$136&amp;";  ","")&amp;IF(AND(EDATE($D52,Milestones!$AA$137)&lt;=AsOfDate,IF($R52=0,$X52,IF(AND($T52&lt;&gt;"",EDATE($D52,Milestones!$AA$137)&gt;=$T52),$W52,IF(AND($S52&lt;&gt;"",EDATE($D52,Milestones!$AA$137)&gt;=$S52),$V52,$U52)))=Milestones!$AB$137),UPPER(TEXT(EDATE($D52,Milestones!$AA$137),"dd mmm yy"))&amp;" "&amp;Milestones!$AB$137&amp;" "&amp;Milestones!$AC$137&amp;";  ","")&amp;IF(AND(EDATE($D52,Milestones!$AA$138)&lt;=AsOfDate,IF($R52=0,$X52,IF(AND($T52&lt;&gt;"",EDATE($D52,Milestones!$AA$138)&gt;=$T52),$W52,IF(AND($S52&lt;&gt;"",EDATE($D52,Milestones!$AA$138)&gt;=$S52),$V52,$U52)))=Milestones!$AB$138),UPPER(TEXT(EDATE($D52,Milestones!$AA$138),"dd mmm yy"))&amp;" "&amp;Milestones!$AB$138&amp;" "&amp;Milestones!$AC$138&amp;";  ","")&amp;IF(AND(EDATE($D52,Milestones!$AA$139)&lt;=AsOfDate,IF($R52=0,$X52,IF(AND($T52&lt;&gt;"",EDATE($D52,Milestones!$AA$139)&gt;=$T52),$W52,IF(AND($S52&lt;&gt;"",EDATE($D52,Milestones!$AA$139)&gt;=$S52),$V52,$U52)))=Milestones!$AB$139),UPPER(TEXT(EDATE($D52,Milestones!$AA$139),"dd mmm yy"))&amp;" "&amp;Milestones!$AB$139&amp;" "&amp;Milestones!$AC$139&amp;";  ",""))</f>
        <v/>
      </c>
      <c r="O52" s="0" t="str">
        <f aca="false">IF(OR($A52="",$D52=""),"",IF(AND(EDATE($D52,Milestones!$AA$140)&lt;=AsOfDate,IF($R52=0,$X52,IF(AND($T52&lt;&gt;"",EDATE($D52,Milestones!$AA$140)&gt;=$T52),$W52,IF(AND($S52&lt;&gt;"",EDATE($D52,Milestones!$AA$140)&gt;=$S52),$V52,$U52)))=Milestones!$AB$140),UPPER(TEXT(EDATE($D52,Milestones!$AA$140),"dd mmm yy"))&amp;" "&amp;Milestones!$AB$140&amp;" "&amp;Milestones!$AC$140&amp;";  ","")&amp;IF(AND(EDATE($D52,Milestones!$AA$141)&lt;=AsOfDate,IF($R52=0,$X52,IF(AND($T52&lt;&gt;"",EDATE($D52,Milestones!$AA$141)&gt;=$T52),$W52,IF(AND($S52&lt;&gt;"",EDATE($D52,Milestones!$AA$141)&gt;=$S52),$V52,$U52)))=Milestones!$AB$141),UPPER(TEXT(EDATE($D52,Milestones!$AA$141),"dd mmm yy"))&amp;" "&amp;Milestones!$AB$141&amp;" "&amp;Milestones!$AC$141&amp;";  ","")&amp;IF(AND(EDATE($D52,Milestones!$AA$142)&lt;=AsOfDate,IF($R52=0,$X52,IF(AND($T52&lt;&gt;"",EDATE($D52,Milestones!$AA$142)&gt;=$T52),$W52,IF(AND($S52&lt;&gt;"",EDATE($D52,Milestones!$AA$142)&gt;=$S52),$V52,$U52)))=Milestones!$AB$142),UPPER(TEXT(EDATE($D52,Milestones!$AA$142),"dd mmm yy"))&amp;" "&amp;Milestones!$AB$142&amp;" "&amp;Milestones!$AC$142&amp;";  ","")&amp;IF(AND(EDATE($D52,Milestones!$AA$143)&lt;=AsOfDate,IF($R52=0,$X52,IF(AND($T52&lt;&gt;"",EDATE($D52,Milestones!$AA$143)&gt;=$T52),$W52,IF(AND($S52&lt;&gt;"",EDATE($D52,Milestones!$AA$143)&gt;=$S52),$V52,$U52)))=Milestones!$AB$143),UPPER(TEXT(EDATE($D52,Milestones!$AA$143),"dd mmm yy"))&amp;" "&amp;Milestones!$AB$143&amp;" "&amp;Milestones!$AC$143&amp;";  ","")&amp;IF(AND(EDATE($D52,Milestones!$AA$144)&lt;=AsOfDate,IF($R52=0,$X52,IF(AND($T52&lt;&gt;"",EDATE($D52,Milestones!$AA$144)&gt;=$T52),$W52,IF(AND($S52&lt;&gt;"",EDATE($D52,Milestones!$AA$144)&gt;=$S52),$V52,$U52)))=Milestones!$AB$144),UPPER(TEXT(EDATE($D52,Milestones!$AA$144),"dd mmm yy"))&amp;" "&amp;Milestones!$AB$144&amp;" "&amp;Milestones!$AC$144&amp;";  ","")&amp;IF(AND(EDATE($D52,Milestones!$AA$145)&lt;=AsOfDate,IF($R52=0,$X52,IF(AND($T52&lt;&gt;"",EDATE($D52,Milestones!$AA$145)&gt;=$T52),$W52,IF(AND($S52&lt;&gt;"",EDATE($D52,Milestones!$AA$145)&gt;=$S52),$V52,$U52)))=Milestones!$AB$145),UPPER(TEXT(EDATE($D52,Milestones!$AA$145),"dd mmm yy"))&amp;" "&amp;Milestones!$AB$145&amp;" "&amp;Milestones!$AC$145&amp;";  ","")&amp;IF(AND(EDATE($D52,Milestones!$AA$146)&lt;=AsOfDate,IF($R52=0,$X52,IF(AND($T52&lt;&gt;"",EDATE($D52,Milestones!$AA$146)&gt;=$T52),$W52,IF(AND($S52&lt;&gt;"",EDATE($D52,Milestones!$AA$146)&gt;=$S52),$V52,$U52)))=Milestones!$AB$146),UPPER(TEXT(EDATE($D52,Milestones!$AA$146),"dd mmm yy"))&amp;" "&amp;Milestones!$AB$146&amp;" "&amp;Milestones!$AC$146&amp;";  ","")&amp;IF(AND(EDATE($D52,Milestones!$AA$147)&lt;=AsOfDate,IF($R52=0,$X52,IF(AND($T52&lt;&gt;"",EDATE($D52,Milestones!$AA$147)&gt;=$T52),$W52,IF(AND($S52&lt;&gt;"",EDATE($D52,Milestones!$AA$147)&gt;=$S52),$V52,$U52)))=Milestones!$AB$147),UPPER(TEXT(EDATE($D52,Milestones!$AA$147),"dd mmm yy"))&amp;" "&amp;Milestones!$AB$147&amp;" "&amp;Milestones!$AC$147&amp;";  ","")&amp;IF(AND(EDATE($D52,Milestones!$AA$148)&lt;=AsOfDate,IF($R52=0,$X52,IF(AND($T52&lt;&gt;"",EDATE($D52,Milestones!$AA$148)&gt;=$T52),$W52,IF(AND($S52&lt;&gt;"",EDATE($D52,Milestones!$AA$148)&gt;=$S52),$V52,$U52)))=Milestones!$AB$148),UPPER(TEXT(EDATE($D52,Milestones!$AA$148),"dd mmm yy"))&amp;" "&amp;Milestones!$AB$148&amp;" "&amp;Milestones!$AC$148&amp;";  ","")&amp;IF(AND(EDATE($D52,Milestones!$AA$149)&lt;=AsOfDate,IF($R52=0,$X52,IF(AND($T52&lt;&gt;"",EDATE($D52,Milestones!$AA$149)&gt;=$T52),$W52,IF(AND($S52&lt;&gt;"",EDATE($D52,Milestones!$AA$149)&gt;=$S52),$V52,$U52)))=Milestones!$AB$149),UPPER(TEXT(EDATE($D52,Milestones!$AA$149),"dd mmm yy"))&amp;" "&amp;Milestones!$AB$149&amp;" "&amp;Milestones!$AC$149&amp;";  ","")&amp;IF(AND(EDATE($D52,Milestones!$AA$150)&lt;=AsOfDate,IF($R52=0,$X52,IF(AND($T52&lt;&gt;"",EDATE($D52,Milestones!$AA$150)&gt;=$T52),$W52,IF(AND($S52&lt;&gt;"",EDATE($D52,Milestones!$AA$150)&gt;=$S52),$V52,$U52)))=Milestones!$AB$150),UPPER(TEXT(EDATE($D52,Milestones!$AA$150),"dd mmm yy"))&amp;" "&amp;Milestones!$AB$150&amp;" "&amp;Milestones!$AC$150&amp;";  ","")&amp;IF(AND(EDATE($D52,Milestones!$AA$151)&lt;=AsOfDate,IF($R52=0,$X52,IF(AND($T52&lt;&gt;"",EDATE($D52,Milestones!$AA$151)&gt;=$T52),$W52,IF(AND($S52&lt;&gt;"",EDATE($D52,Milestones!$AA$151)&gt;=$S52),$V52,$U52)))=Milestones!$AB$151),UPPER(TEXT(EDATE($D52,Milestones!$AA$151),"dd mmm yy"))&amp;" "&amp;Milestones!$AB$151&amp;" "&amp;Milestones!$AC$151&amp;";  ","")&amp;IF(AND(EDATE($D52,Milestones!$AA$152)&lt;=AsOfDate,IF($R52=0,$X52,IF(AND($T52&lt;&gt;"",EDATE($D52,Milestones!$AA$152)&gt;=$T52),$W52,IF(AND($S52&lt;&gt;"",EDATE($D52,Milestones!$AA$152)&gt;=$S52),$V52,$U52)))=Milestones!$AB$152),UPPER(TEXT(EDATE($D52,Milestones!$AA$152),"dd mmm yy"))&amp;" "&amp;Milestones!$AB$152&amp;" "&amp;Milestones!$AC$152&amp;";  ","")&amp;IF(AND(EDATE($D52,Milestones!$AA$153)&lt;=AsOfDate,IF($R52=0,$X52,IF(AND($T52&lt;&gt;"",EDATE($D52,Milestones!$AA$153)&gt;=$T52),$W52,IF(AND($S52&lt;&gt;"",EDATE($D52,Milestones!$AA$153)&gt;=$S52),$V52,$U52)))=Milestones!$AB$153),UPPER(TEXT(EDATE($D52,Milestones!$AA$153),"dd mmm yy"))&amp;" "&amp;Milestones!$AB$153&amp;" "&amp;Milestones!$AC$153&amp;";  ","")&amp;IF(AND(EDATE($D52,Milestones!$AA$154)&lt;=AsOfDate,IF($R52=0,$X52,IF(AND($T52&lt;&gt;"",EDATE($D52,Milestones!$AA$154)&gt;=$T52),$W52,IF(AND($S52&lt;&gt;"",EDATE($D52,Milestones!$AA$154)&gt;=$S52),$V52,$U52)))=Milestones!$AB$154),UPPER(TEXT(EDATE($D52,Milestones!$AA$154),"dd mmm yy"))&amp;" "&amp;Milestones!$AB$154&amp;" "&amp;Milestones!$AC$154&amp;";  ","")&amp;IF(AND(EDATE($D52,Milestones!$AA$155)&lt;=AsOfDate,IF($R52=0,$X52,IF(AND($T52&lt;&gt;"",EDATE($D52,Milestones!$AA$155)&gt;=$T52),$W52,IF(AND($S52&lt;&gt;"",EDATE($D52,Milestones!$AA$155)&gt;=$S52),$V52,$U52)))=Milestones!$AB$155),UPPER(TEXT(EDATE($D52,Milestones!$AA$155),"dd mmm yy"))&amp;" "&amp;Milestones!$AB$155&amp;" "&amp;Milestones!$AC$155&amp;";  ","")&amp;IF(AND(EDATE($D52,Milestones!$AA$156)&lt;=AsOfDate,IF($R52=0,$X52,IF(AND($T52&lt;&gt;"",EDATE($D52,Milestones!$AA$156)&gt;=$T52),$W52,IF(AND($S52&lt;&gt;"",EDATE($D52,Milestones!$AA$156)&gt;=$S52),$V52,$U52)))=Milestones!$AB$156),UPPER(TEXT(EDATE($D52,Milestones!$AA$156),"dd mmm yy"))&amp;" "&amp;Milestones!$AB$156&amp;" "&amp;Milestones!$AC$156&amp;";  ","")&amp;IF(AND(EDATE($D52,Milestones!$AA$157)&lt;=AsOfDate,IF($R52=0,$X52,IF(AND($T52&lt;&gt;"",EDATE($D52,Milestones!$AA$157)&gt;=$T52),$W52,IF(AND($S52&lt;&gt;"",EDATE($D52,Milestones!$AA$157)&gt;=$S52),$V52,$U52)))=Milestones!$AB$157),UPPER(TEXT(EDATE($D52,Milestones!$AA$157),"dd mmm yy"))&amp;" "&amp;Milestones!$AB$157&amp;" "&amp;Milestones!$AC$157&amp;";  ","")&amp;IF(AND(EDATE($D52,Milestones!$AA$158)&lt;=AsOfDate,IF($R52=0,$X52,IF(AND($T52&lt;&gt;"",EDATE($D52,Milestones!$AA$158)&gt;=$T52),$W52,IF(AND($S52&lt;&gt;"",EDATE($D52,Milestones!$AA$158)&gt;=$S52),$V52,$U52)))=Milestones!$AB$158),UPPER(TEXT(EDATE($D52,Milestones!$AA$158),"dd mmm yy"))&amp;" "&amp;Milestones!$AB$158&amp;" "&amp;Milestones!$AC$158&amp;";  ","")&amp;IF(AND(EDATE($D52,Milestones!$AA$159)&lt;=AsOfDate,IF($R52=0,$X52,IF(AND($T52&lt;&gt;"",EDATE($D52,Milestones!$AA$159)&gt;=$T52),$W52,IF(AND($S52&lt;&gt;"",EDATE($D52,Milestones!$AA$159)&gt;=$S52),$V52,$U52)))=Milestones!$AB$159),UPPER(TEXT(EDATE($D52,Milestones!$AA$159),"dd mmm yy"))&amp;" "&amp;Milestones!$AB$159&amp;" "&amp;Milestones!$AC$159&amp;";  ",""))</f>
        <v/>
      </c>
      <c r="P52" s="0" t="str">
        <f aca="false">IF(OR($A52="",$D52=""),"",IF(AND(EDATE($D52,Milestones!$AA$160)&lt;=AsOfDate,IF($R52=0,$X52,IF(AND($T52&lt;&gt;"",EDATE($D52,Milestones!$AA$160)&gt;=$T52),$W52,IF(AND($S52&lt;&gt;"",EDATE($D52,Milestones!$AA$160)&gt;=$S52),$V52,$U52)))=Milestones!$AB$160),UPPER(TEXT(EDATE($D52,Milestones!$AA$160),"dd mmm yy"))&amp;" "&amp;Milestones!$AB$160&amp;" "&amp;Milestones!$AC$160&amp;";  ","")&amp;IF(AND(EDATE($D52,Milestones!$AA$161)&lt;=AsOfDate,IF($R52=0,$X52,IF(AND($T52&lt;&gt;"",EDATE($D52,Milestones!$AA$161)&gt;=$T52),$W52,IF(AND($S52&lt;&gt;"",EDATE($D52,Milestones!$AA$161)&gt;=$S52),$V52,$U52)))=Milestones!$AB$161),UPPER(TEXT(EDATE($D52,Milestones!$AA$161),"dd mmm yy"))&amp;" "&amp;Milestones!$AB$161&amp;" "&amp;Milestones!$AC$161&amp;";  ","")&amp;IF(AND(EDATE($D52,Milestones!$AA$162)&lt;=AsOfDate,IF($R52=0,$X52,IF(AND($T52&lt;&gt;"",EDATE($D52,Milestones!$AA$162)&gt;=$T52),$W52,IF(AND($S52&lt;&gt;"",EDATE($D52,Milestones!$AA$162)&gt;=$S52),$V52,$U52)))=Milestones!$AB$162),UPPER(TEXT(EDATE($D52,Milestones!$AA$162),"dd mmm yy"))&amp;" "&amp;Milestones!$AB$162&amp;" "&amp;Milestones!$AC$162&amp;";  ","")&amp;IF(AND(EDATE($D52,Milestones!$AA$163)&lt;=AsOfDate,IF($R52=0,$X52,IF(AND($T52&lt;&gt;"",EDATE($D52,Milestones!$AA$163)&gt;=$T52),$W52,IF(AND($S52&lt;&gt;"",EDATE($D52,Milestones!$AA$163)&gt;=$S52),$V52,$U52)))=Milestones!$AB$163),UPPER(TEXT(EDATE($D52,Milestones!$AA$163),"dd mmm yy"))&amp;" "&amp;Milestones!$AB$163&amp;" "&amp;Milestones!$AC$163&amp;";  ","")&amp;IF(AND(EDATE($D52,Milestones!$AA$164)&lt;=AsOfDate,IF($R52=0,$X52,IF(AND($T52&lt;&gt;"",EDATE($D52,Milestones!$AA$164)&gt;=$T52),$W52,IF(AND($S52&lt;&gt;"",EDATE($D52,Milestones!$AA$164)&gt;=$S52),$V52,$U52)))=Milestones!$AB$164),UPPER(TEXT(EDATE($D52,Milestones!$AA$164),"dd mmm yy"))&amp;" "&amp;Milestones!$AB$164&amp;" "&amp;Milestones!$AC$164&amp;";  ","")&amp;IF(AND(EDATE($D52,Milestones!$AA$165)&lt;=AsOfDate,IF($R52=0,$X52,IF(AND($T52&lt;&gt;"",EDATE($D52,Milestones!$AA$165)&gt;=$T52),$W52,IF(AND($S52&lt;&gt;"",EDATE($D52,Milestones!$AA$165)&gt;=$S52),$V52,$U52)))=Milestones!$AB$165),UPPER(TEXT(EDATE($D52,Milestones!$AA$165),"dd mmm yy"))&amp;" "&amp;Milestones!$AB$165&amp;" "&amp;Milestones!$AC$165&amp;";  ","")&amp;IF(AND(EDATE($D52,Milestones!$AA$166)&lt;=AsOfDate,IF($R52=0,$X52,IF(AND($T52&lt;&gt;"",EDATE($D52,Milestones!$AA$166)&gt;=$T52),$W52,IF(AND($S52&lt;&gt;"",EDATE($D52,Milestones!$AA$166)&gt;=$S52),$V52,$U52)))=Milestones!$AB$166),UPPER(TEXT(EDATE($D52,Milestones!$AA$166),"dd mmm yy"))&amp;" "&amp;Milestones!$AB$166&amp;" "&amp;Milestones!$AC$166&amp;";  ","")&amp;IF(AND(EDATE($D52,Milestones!$AA$167)&lt;=AsOfDate,IF($R52=0,$X52,IF(AND($T52&lt;&gt;"",EDATE($D52,Milestones!$AA$167)&gt;=$T52),$W52,IF(AND($S52&lt;&gt;"",EDATE($D52,Milestones!$AA$167)&gt;=$S52),$V52,$U52)))=Milestones!$AB$167),UPPER(TEXT(EDATE($D52,Milestones!$AA$167),"dd mmm yy"))&amp;" "&amp;Milestones!$AB$167&amp;" "&amp;Milestones!$AC$167&amp;";  ","")&amp;IF(AND(EDATE($D52,Milestones!$AA$168)&lt;=AsOfDate,IF($R52=0,$X52,IF(AND($T52&lt;&gt;"",EDATE($D52,Milestones!$AA$168)&gt;=$T52),$W52,IF(AND($S52&lt;&gt;"",EDATE($D52,Milestones!$AA$168)&gt;=$S52),$V52,$U52)))=Milestones!$AB$168),UPPER(TEXT(EDATE($D52,Milestones!$AA$168),"dd mmm yy"))&amp;" "&amp;Milestones!$AB$168&amp;" "&amp;Milestones!$AC$168&amp;";  ","")&amp;IF(AND(EDATE($D52,Milestones!$AA$169)&lt;=AsOfDate,IF($R52=0,$X52,IF(AND($T52&lt;&gt;"",EDATE($D52,Milestones!$AA$169)&gt;=$T52),$W52,IF(AND($S52&lt;&gt;"",EDATE($D52,Milestones!$AA$169)&gt;=$S52),$V52,$U52)))=Milestones!$AB$169),UPPER(TEXT(EDATE($D52,Milestones!$AA$169),"dd mmm yy"))&amp;" "&amp;Milestones!$AB$169&amp;" "&amp;Milestones!$AC$169&amp;";  ","")&amp;IF(AND(EDATE($D52,Milestones!$AA$170)&lt;=AsOfDate,IF($R52=0,$X52,IF(AND($T52&lt;&gt;"",EDATE($D52,Milestones!$AA$170)&gt;=$T52),$W52,IF(AND($S52&lt;&gt;"",EDATE($D52,Milestones!$AA$170)&gt;=$S52),$V52,$U52)))=Milestones!$AB$170),UPPER(TEXT(EDATE($D52,Milestones!$AA$170),"dd mmm yy"))&amp;" "&amp;Milestones!$AB$170&amp;" "&amp;Milestones!$AC$170&amp;";  ","")&amp;IF(AND(EDATE($D52,Milestones!$AA$171)&lt;=AsOfDate,IF($R52=0,$X52,IF(AND($T52&lt;&gt;"",EDATE($D52,Milestones!$AA$171)&gt;=$T52),$W52,IF(AND($S52&lt;&gt;"",EDATE($D52,Milestones!$AA$171)&gt;=$S52),$V52,$U52)))=Milestones!$AB$171),UPPER(TEXT(EDATE($D52,Milestones!$AA$171),"dd mmm yy"))&amp;" "&amp;Milestones!$AB$171&amp;" "&amp;Milestones!$AC$171&amp;";  ","")&amp;IF(AND(EDATE($D52,Milestones!$AA$172)&lt;=AsOfDate,IF($R52=0,$X52,IF(AND($T52&lt;&gt;"",EDATE($D52,Milestones!$AA$172)&gt;=$T52),$W52,IF(AND($S52&lt;&gt;"",EDATE($D52,Milestones!$AA$172)&gt;=$S52),$V52,$U52)))=Milestones!$AB$172),UPPER(TEXT(EDATE($D52,Milestones!$AA$172),"dd mmm yy"))&amp;" "&amp;Milestones!$AB$172&amp;" "&amp;Milestones!$AC$172&amp;";  ","")&amp;IF(AND(EDATE($D52,Milestones!$AA$173)&lt;=AsOfDate,IF($R52=0,$X52,IF(AND($T52&lt;&gt;"",EDATE($D52,Milestones!$AA$173)&gt;=$T52),$W52,IF(AND($S52&lt;&gt;"",EDATE($D52,Milestones!$AA$173)&gt;=$S52),$V52,$U52)))=Milestones!$AB$173),UPPER(TEXT(EDATE($D52,Milestones!$AA$173),"dd mmm yy"))&amp;" "&amp;Milestones!$AB$173&amp;" "&amp;Milestones!$AC$173&amp;";  ","")&amp;IF(AND(EDATE($D52,Milestones!$AA$174)&lt;=AsOfDate,IF($R52=0,$X52,IF(AND($T52&lt;&gt;"",EDATE($D52,Milestones!$AA$174)&gt;=$T52),$W52,IF(AND($S52&lt;&gt;"",EDATE($D52,Milestones!$AA$174)&gt;=$S52),$V52,$U52)))=Milestones!$AB$174),UPPER(TEXT(EDATE($D52,Milestones!$AA$174),"dd mmm yy"))&amp;" "&amp;Milestones!$AB$174&amp;" "&amp;Milestones!$AC$174&amp;";  ","")&amp;IF(AND(EDATE($D52,Milestones!$AA$175)&lt;=AsOfDate,IF($R52=0,$X52,IF(AND($T52&lt;&gt;"",EDATE($D52,Milestones!$AA$175)&gt;=$T52),$W52,IF(AND($S52&lt;&gt;"",EDATE($D52,Milestones!$AA$175)&gt;=$S52),$V52,$U52)))=Milestones!$AB$175),UPPER(TEXT(EDATE($D52,Milestones!$AA$175),"dd mmm yy"))&amp;" "&amp;Milestones!$AB$175&amp;" "&amp;Milestones!$AC$175&amp;";  ","")&amp;IF(AND(EDATE($D52,Milestones!$AA$176)&lt;=AsOfDate,IF($R52=0,$X52,IF(AND($T52&lt;&gt;"",EDATE($D52,Milestones!$AA$176)&gt;=$T52),$W52,IF(AND($S52&lt;&gt;"",EDATE($D52,Milestones!$AA$176)&gt;=$S52),$V52,$U52)))=Milestones!$AB$176),UPPER(TEXT(EDATE($D52,Milestones!$AA$176),"dd mmm yy"))&amp;" "&amp;Milestones!$AB$176&amp;" "&amp;Milestones!$AC$176&amp;";  ","")&amp;IF(AND(EDATE($D52,Milestones!$AA$177)&lt;=AsOfDate,IF($R52=0,$X52,IF(AND($T52&lt;&gt;"",EDATE($D52,Milestones!$AA$177)&gt;=$T52),$W52,IF(AND($S52&lt;&gt;"",EDATE($D52,Milestones!$AA$177)&gt;=$S52),$V52,$U52)))=Milestones!$AB$177),UPPER(TEXT(EDATE($D52,Milestones!$AA$177),"dd mmm yy"))&amp;" "&amp;Milestones!$AB$177&amp;" "&amp;Milestones!$AC$177&amp;";  ","")&amp;IF(AND(EDATE($D52,Milestones!$AA$178)&lt;=AsOfDate,IF($R52=0,$X52,IF(AND($T52&lt;&gt;"",EDATE($D52,Milestones!$AA$178)&gt;=$T52),$W52,IF(AND($S52&lt;&gt;"",EDATE($D52,Milestones!$AA$178)&gt;=$S52),$V52,$U52)))=Milestones!$AB$178),UPPER(TEXT(EDATE($D52,Milestones!$AA$178),"dd mmm yy"))&amp;" "&amp;Milestones!$AB$178&amp;" "&amp;Milestones!$AC$178&amp;";  ","")&amp;IF(AND(EDATE($D52,Milestones!$AA$179)&lt;=AsOfDate,IF($R52=0,$X52,IF(AND($T52&lt;&gt;"",EDATE($D52,Milestones!$AA$179)&gt;=$T52),$W52,IF(AND($S52&lt;&gt;"",EDATE($D52,Milestones!$AA$179)&gt;=$S52),$V52,$U52)))=Milestones!$AB$179),UPPER(TEXT(EDATE($D52,Milestones!$AA$179),"dd mmm yy"))&amp;" "&amp;Milestones!$AB$179&amp;" "&amp;Milestones!$AC$179&amp;";  ",""))</f>
        <v/>
      </c>
      <c r="Q52" s="0" t="str">
        <f aca="false">IF(OR($A52="",$D52=""),"",IF(AND(EDATE($D52,Milestones!$AA$180)&lt;=AsOfDate,IF($R52=0,$X52,IF(AND($T52&lt;&gt;"",EDATE($D52,Milestones!$AA$180)&gt;=$T52),$W52,IF(AND($S52&lt;&gt;"",EDATE($D52,Milestones!$AA$180)&gt;=$S52),$V52,$U52)))=Milestones!$AB$180),UPPER(TEXT(EDATE($D52,Milestones!$AA$180),"dd mmm yy"))&amp;" "&amp;Milestones!$AB$180&amp;" "&amp;Milestones!$AC$180&amp;";  ","")&amp;IF(AND(EDATE($D52,Milestones!$AA$181)&lt;=AsOfDate,IF($R52=0,$X52,IF(AND($T52&lt;&gt;"",EDATE($D52,Milestones!$AA$181)&gt;=$T52),$W52,IF(AND($S52&lt;&gt;"",EDATE($D52,Milestones!$AA$181)&gt;=$S52),$V52,$U52)))=Milestones!$AB$181),UPPER(TEXT(EDATE($D52,Milestones!$AA$181),"dd mmm yy"))&amp;" "&amp;Milestones!$AB$181&amp;" "&amp;Milestones!$AC$181&amp;";  ","")&amp;IF(AND(EDATE($D52,Milestones!$AA$182)&lt;=AsOfDate,IF($R52=0,$X52,IF(AND($T52&lt;&gt;"",EDATE($D52,Milestones!$AA$182)&gt;=$T52),$W52,IF(AND($S52&lt;&gt;"",EDATE($D52,Milestones!$AA$182)&gt;=$S52),$V52,$U52)))=Milestones!$AB$182),UPPER(TEXT(EDATE($D52,Milestones!$AA$182),"dd mmm yy"))&amp;" "&amp;Milestones!$AB$182&amp;" "&amp;Milestones!$AC$182&amp;";  ","")&amp;IF(AND(EDATE($D52,Milestones!$AA$183)&lt;=AsOfDate,IF($R52=0,$X52,IF(AND($T52&lt;&gt;"",EDATE($D52,Milestones!$AA$183)&gt;=$T52),$W52,IF(AND($S52&lt;&gt;"",EDATE($D52,Milestones!$AA$183)&gt;=$S52),$V52,$U52)))=Milestones!$AB$183),UPPER(TEXT(EDATE($D52,Milestones!$AA$183),"dd mmm yy"))&amp;" "&amp;Milestones!$AB$183&amp;" "&amp;Milestones!$AC$183&amp;";  ","")&amp;IF(AND(EDATE($D52,Milestones!$AA$184)&lt;=AsOfDate,IF($R52=0,$X52,IF(AND($T52&lt;&gt;"",EDATE($D52,Milestones!$AA$184)&gt;=$T52),$W52,IF(AND($S52&lt;&gt;"",EDATE($D52,Milestones!$AA$184)&gt;=$S52),$V52,$U52)))=Milestones!$AB$184),UPPER(TEXT(EDATE($D52,Milestones!$AA$184),"dd mmm yy"))&amp;" "&amp;Milestones!$AB$184&amp;" "&amp;Milestones!$AC$184&amp;";  ","")&amp;IF(AND(EDATE($D52,Milestones!$AA$185)&lt;=AsOfDate,IF($R52=0,$X52,IF(AND($T52&lt;&gt;"",EDATE($D52,Milestones!$AA$185)&gt;=$T52),$W52,IF(AND($S52&lt;&gt;"",EDATE($D52,Milestones!$AA$185)&gt;=$S52),$V52,$U52)))=Milestones!$AB$185),UPPER(TEXT(EDATE($D52,Milestones!$AA$185),"dd mmm yy"))&amp;" "&amp;Milestones!$AB$185&amp;" "&amp;Milestones!$AC$185&amp;";  ","")&amp;IF(AND(EDATE($D52,Milestones!$AA$186)&lt;=AsOfDate,IF($R52=0,$X52,IF(AND($T52&lt;&gt;"",EDATE($D52,Milestones!$AA$186)&gt;=$T52),$W52,IF(AND($S52&lt;&gt;"",EDATE($D52,Milestones!$AA$186)&gt;=$S52),$V52,$U52)))=Milestones!$AB$186),UPPER(TEXT(EDATE($D52,Milestones!$AA$186),"dd mmm yy"))&amp;" "&amp;Milestones!$AB$186&amp;" "&amp;Milestones!$AC$186&amp;";  ","")&amp;IF(AND(EDATE($D52,Milestones!$AA$187)&lt;=AsOfDate,IF($R52=0,$X52,IF(AND($T52&lt;&gt;"",EDATE($D52,Milestones!$AA$187)&gt;=$T52),$W52,IF(AND($S52&lt;&gt;"",EDATE($D52,Milestones!$AA$187)&gt;=$S52),$V52,$U52)))=Milestones!$AB$187),UPPER(TEXT(EDATE($D52,Milestones!$AA$187),"dd mmm yy"))&amp;" "&amp;Milestones!$AB$187&amp;" "&amp;Milestones!$AC$187&amp;";  ","")&amp;IF(AND(EDATE($D52,Milestones!$AA$188)&lt;=AsOfDate,IF($R52=0,$X52,IF(AND($T52&lt;&gt;"",EDATE($D52,Milestones!$AA$188)&gt;=$T52),$W52,IF(AND($S52&lt;&gt;"",EDATE($D52,Milestones!$AA$188)&gt;=$S52),$V52,$U52)))=Milestones!$AB$188),UPPER(TEXT(EDATE($D52,Milestones!$AA$188),"dd mmm yy"))&amp;" "&amp;Milestones!$AB$188&amp;" "&amp;Milestones!$AC$188&amp;";  ","")&amp;IF(AND(EDATE($D52,Milestones!$AA$189)&lt;=AsOfDate,IF($R52=0,$X52,IF(AND($T52&lt;&gt;"",EDATE($D52,Milestones!$AA$189)&gt;=$T52),$W52,IF(AND($S52&lt;&gt;"",EDATE($D52,Milestones!$AA$189)&gt;=$S52),$V52,$U52)))=Milestones!$AB$189),UPPER(TEXT(EDATE($D52,Milestones!$AA$189),"dd mmm yy"))&amp;" "&amp;Milestones!$AB$189&amp;" "&amp;Milestones!$AC$189&amp;";  ","")&amp;IF(AND(EDATE($D52,Milestones!$AA$190)&lt;=AsOfDate,IF($R52=0,$X52,IF(AND($T52&lt;&gt;"",EDATE($D52,Milestones!$AA$190)&gt;=$T52),$W52,IF(AND($S52&lt;&gt;"",EDATE($D52,Milestones!$AA$190)&gt;=$S52),$V52,$U52)))=Milestones!$AB$190),UPPER(TEXT(EDATE($D52,Milestones!$AA$190),"dd mmm yy"))&amp;" "&amp;Milestones!$AB$190&amp;" "&amp;Milestones!$AC$190&amp;";  ","")&amp;IF(AND(EDATE($D52,Milestones!$AA$191)&lt;=AsOfDate,IF($R52=0,$X52,IF(AND($T52&lt;&gt;"",EDATE($D52,Milestones!$AA$191)&gt;=$T52),$W52,IF(AND($S52&lt;&gt;"",EDATE($D52,Milestones!$AA$191)&gt;=$S52),$V52,$U52)))=Milestones!$AB$191),UPPER(TEXT(EDATE($D52,Milestones!$AA$191),"dd mmm yy"))&amp;" "&amp;Milestones!$AB$191&amp;" "&amp;Milestones!$AC$191&amp;";  ","")&amp;IF(AND(EDATE($D52,Milestones!$AA$192)&lt;=AsOfDate,IF($R52=0,$X52,IF(AND($T52&lt;&gt;"",EDATE($D52,Milestones!$AA$192)&gt;=$T52),$W52,IF(AND($S52&lt;&gt;"",EDATE($D52,Milestones!$AA$192)&gt;=$S52),$V52,$U52)))=Milestones!$AB$192),UPPER(TEXT(EDATE($D52,Milestones!$AA$192),"dd mmm yy"))&amp;" "&amp;Milestones!$AB$192&amp;" "&amp;Milestones!$AC$192&amp;";  ","")&amp;IF(AND(EDATE($D52,Milestones!$AA$193)&lt;=AsOfDate,IF($R52=0,$X52,IF(AND($T52&lt;&gt;"",EDATE($D52,Milestones!$AA$193)&gt;=$T52),$W52,IF(AND($S52&lt;&gt;"",EDATE($D52,Milestones!$AA$193)&gt;=$S52),$V52,$U52)))=Milestones!$AB$193),UPPER(TEXT(EDATE($D52,Milestones!$AA$193),"dd mmm yy"))&amp;" "&amp;Milestones!$AB$193&amp;" "&amp;Milestones!$AC$193&amp;";  ","")&amp;IF(AND(EDATE($D52,Milestones!$AA$194)&lt;=AsOfDate,IF($R52=0,$X52,IF(AND($T52&lt;&gt;"",EDATE($D52,Milestones!$AA$194)&gt;=$T52),$W52,IF(AND($S52&lt;&gt;"",EDATE($D52,Milestones!$AA$194)&gt;=$S52),$V52,$U52)))=Milestones!$AB$194),UPPER(TEXT(EDATE($D52,Milestones!$AA$194),"dd mmm yy"))&amp;" "&amp;Milestones!$AB$194&amp;" "&amp;Milestones!$AC$194&amp;";  ","")&amp;IF(AND(EDATE($D52,Milestones!$AA$195)&lt;=AsOfDate,IF($R52=0,$X52,IF(AND($T52&lt;&gt;"",EDATE($D52,Milestones!$AA$195)&gt;=$T52),$W52,IF(AND($S52&lt;&gt;"",EDATE($D52,Milestones!$AA$195)&gt;=$S52),$V52,$U52)))=Milestones!$AB$195),UPPER(TEXT(EDATE($D52,Milestones!$AA$195),"dd mmm yy"))&amp;" "&amp;Milestones!$AB$195&amp;" "&amp;Milestones!$AC$195&amp;";  ","")&amp;IF(AND(EDATE($D52,Milestones!$AA$196)&lt;=AsOfDate,IF($R52=0,$X52,IF(AND($T52&lt;&gt;"",EDATE($D52,Milestones!$AA$196)&gt;=$T52),$W52,IF(AND($S52&lt;&gt;"",EDATE($D52,Milestones!$AA$196)&gt;=$S52),$V52,$U52)))=Milestones!$AB$196),UPPER(TEXT(EDATE($D52,Milestones!$AA$196),"dd mmm yy"))&amp;" "&amp;Milestones!$AB$196&amp;" "&amp;Milestones!$AC$196&amp;";  ","")&amp;IF(AND(EDATE($D52,Milestones!$AA$197)&lt;=AsOfDate,IF($R52=0,$X52,IF(AND($T52&lt;&gt;"",EDATE($D52,Milestones!$AA$197)&gt;=$T52),$W52,IF(AND($S52&lt;&gt;"",EDATE($D52,Milestones!$AA$197)&gt;=$S52),$V52,$U52)))=Milestones!$AB$197),UPPER(TEXT(EDATE($D52,Milestones!$AA$197),"dd mmm yy"))&amp;" "&amp;Milestones!$AB$197&amp;" "&amp;Milestones!$AC$197&amp;";  ","")&amp;IF(AND(EDATE($D52,Milestones!$AA$198)&lt;=AsOfDate,IF($R52=0,$X52,IF(AND($T52&lt;&gt;"",EDATE($D52,Milestones!$AA$198)&gt;=$T52),$W52,IF(AND($S52&lt;&gt;"",EDATE($D52,Milestones!$AA$198)&gt;=$S52),$V52,$U52)))=Milestones!$AB$198),UPPER(TEXT(EDATE($D52,Milestones!$AA$198),"dd mmm yy"))&amp;" "&amp;Milestones!$AB$198&amp;" "&amp;Milestones!$AC$198&amp;";  ","")&amp;IF(AND(EDATE($D52,Milestones!$AA$199)&lt;=AsOfDate,IF($R52=0,$X52,IF(AND($T52&lt;&gt;"",EDATE($D52,Milestones!$AA$199)&gt;=$T52),$W52,IF(AND($S52&lt;&gt;"",EDATE($D52,Milestones!$AA$199)&gt;=$S52),$V52,$U52)))=Milestones!$AB$199),UPPER(TEXT(EDATE($D52,Milestones!$AA$199),"dd mmm yy"))&amp;" "&amp;Milestones!$AB$199&amp;" "&amp;Milestones!$AC$199&amp;";  ",""))</f>
        <v/>
      </c>
      <c r="R52" s="33" t="n">
        <f aca="false">IF(Staff!$A52="","",Staff!$AI52)</f>
        <v>0</v>
      </c>
      <c r="S52" s="0" t="str">
        <f aca="false">IF(Staff!$A52="","",Staff!$AK52)</f>
        <v/>
      </c>
      <c r="T52" s="0" t="str">
        <f aca="false">IF(Staff!$A52="","",Staff!$AL52)</f>
        <v/>
      </c>
      <c r="U52" s="0" t="str">
        <f aca="false">IF(Staff!$A52="","",Staff!$AP52)</f>
        <v>None</v>
      </c>
      <c r="V52" s="0" t="str">
        <f aca="false">IF(Staff!$A52="","",Staff!$AQ52)</f>
        <v/>
      </c>
      <c r="W52" s="0" t="str">
        <f aca="false">IF(Staff!$A52="","",Staff!$AR52)</f>
        <v/>
      </c>
      <c r="X52" s="0" t="str">
        <f aca="false">IF(Staff!$A52="","",Staff!$AS52)</f>
        <v>None</v>
      </c>
    </row>
    <row r="53" customFormat="false" ht="15" hidden="false" customHeight="false" outlineLevel="0" collapsed="false">
      <c r="A53" s="19" t="str">
        <f aca="false">IF(Staff!$A53="","",Staff!$A53)</f>
        <v>Maximus</v>
      </c>
      <c r="B53" s="19" t="str">
        <f aca="false">IF(Staff!$A53="","",Staff!$B53)</f>
        <v>Juckes</v>
      </c>
      <c r="C53" s="19" t="str">
        <f aca="false">IF(Staff!$A53="","",Staff!$C53)</f>
        <v>Casual</v>
      </c>
      <c r="D53" s="17" t="n">
        <f aca="false">IF(Staff!$A53="","",Staff!$AH53)</f>
        <v>45763</v>
      </c>
      <c r="E53" s="20" t="n">
        <f aca="false">IF(Staff!$A53="","",Staff!$O53)</f>
        <v>0</v>
      </c>
      <c r="F53" s="19" t="n">
        <f aca="false">IF(E53="","",E53*HoursPerDay)</f>
        <v>0</v>
      </c>
      <c r="G53" s="20" t="n">
        <f aca="false">IF(Staff!$A53="","",Staff!$AE53)</f>
        <v>0</v>
      </c>
      <c r="H53" s="32" t="str">
        <f aca="false">IF($A53="","",I53&amp;J53&amp;K53&amp;L53&amp;M53&amp;N53&amp;O53&amp;P53&amp;Q53)</f>
        <v/>
      </c>
      <c r="I53" s="0" t="str">
        <f aca="false">IF(OR($A53="",$D53=""),"",IF(AND(EDATE($D53,Milestones!$AA$20)&lt;=AsOfDate,IF($R53=0,$X53,IF(AND($T53&lt;&gt;"",EDATE($D53,Milestones!$AA$20)&gt;=$T53),$W53,IF(AND($S53&lt;&gt;"",EDATE($D53,Milestones!$AA$20)&gt;=$S53),$V53,$U53)))=Milestones!$AB$20),UPPER(TEXT(EDATE($D53,Milestones!$AA$20),"dd mmm yy"))&amp;" "&amp;Milestones!$AB$20&amp;" "&amp;Milestones!$AC$20&amp;";  ","")&amp;IF(AND(EDATE($D53,Milestones!$AA$21)&lt;=AsOfDate,IF($R53=0,$X53,IF(AND($T53&lt;&gt;"",EDATE($D53,Milestones!$AA$21)&gt;=$T53),$W53,IF(AND($S53&lt;&gt;"",EDATE($D53,Milestones!$AA$21)&gt;=$S53),$V53,$U53)))=Milestones!$AB$21),UPPER(TEXT(EDATE($D53,Milestones!$AA$21),"dd mmm yy"))&amp;" "&amp;Milestones!$AB$21&amp;" "&amp;Milestones!$AC$21&amp;";  ","")&amp;IF(AND(EDATE($D53,Milestones!$AA$22)&lt;=AsOfDate,IF($R53=0,$X53,IF(AND($T53&lt;&gt;"",EDATE($D53,Milestones!$AA$22)&gt;=$T53),$W53,IF(AND($S53&lt;&gt;"",EDATE($D53,Milestones!$AA$22)&gt;=$S53),$V53,$U53)))=Milestones!$AB$22),UPPER(TEXT(EDATE($D53,Milestones!$AA$22),"dd mmm yy"))&amp;" "&amp;Milestones!$AB$22&amp;" "&amp;Milestones!$AC$22&amp;";  ","")&amp;IF(AND(EDATE($D53,Milestones!$AA$23)&lt;=AsOfDate,IF($R53=0,$X53,IF(AND($T53&lt;&gt;"",EDATE($D53,Milestones!$AA$23)&gt;=$T53),$W53,IF(AND($S53&lt;&gt;"",EDATE($D53,Milestones!$AA$23)&gt;=$S53),$V53,$U53)))=Milestones!$AB$23),UPPER(TEXT(EDATE($D53,Milestones!$AA$23),"dd mmm yy"))&amp;" "&amp;Milestones!$AB$23&amp;" "&amp;Milestones!$AC$23&amp;";  ","")&amp;IF(AND(EDATE($D53,Milestones!$AA$24)&lt;=AsOfDate,IF($R53=0,$X53,IF(AND($T53&lt;&gt;"",EDATE($D53,Milestones!$AA$24)&gt;=$T53),$W53,IF(AND($S53&lt;&gt;"",EDATE($D53,Milestones!$AA$24)&gt;=$S53),$V53,$U53)))=Milestones!$AB$24),UPPER(TEXT(EDATE($D53,Milestones!$AA$24),"dd mmm yy"))&amp;" "&amp;Milestones!$AB$24&amp;" "&amp;Milestones!$AC$24&amp;";  ","")&amp;IF(AND(EDATE($D53,Milestones!$AA$25)&lt;=AsOfDate,IF($R53=0,$X53,IF(AND($T53&lt;&gt;"",EDATE($D53,Milestones!$AA$25)&gt;=$T53),$W53,IF(AND($S53&lt;&gt;"",EDATE($D53,Milestones!$AA$25)&gt;=$S53),$V53,$U53)))=Milestones!$AB$25),UPPER(TEXT(EDATE($D53,Milestones!$AA$25),"dd mmm yy"))&amp;" "&amp;Milestones!$AB$25&amp;" "&amp;Milestones!$AC$25&amp;";  ","")&amp;IF(AND(EDATE($D53,Milestones!$AA$26)&lt;=AsOfDate,IF($R53=0,$X53,IF(AND($T53&lt;&gt;"",EDATE($D53,Milestones!$AA$26)&gt;=$T53),$W53,IF(AND($S53&lt;&gt;"",EDATE($D53,Milestones!$AA$26)&gt;=$S53),$V53,$U53)))=Milestones!$AB$26),UPPER(TEXT(EDATE($D53,Milestones!$AA$26),"dd mmm yy"))&amp;" "&amp;Milestones!$AB$26&amp;" "&amp;Milestones!$AC$26&amp;";  ","")&amp;IF(AND(EDATE($D53,Milestones!$AA$27)&lt;=AsOfDate,IF($R53=0,$X53,IF(AND($T53&lt;&gt;"",EDATE($D53,Milestones!$AA$27)&gt;=$T53),$W53,IF(AND($S53&lt;&gt;"",EDATE($D53,Milestones!$AA$27)&gt;=$S53),$V53,$U53)))=Milestones!$AB$27),UPPER(TEXT(EDATE($D53,Milestones!$AA$27),"dd mmm yy"))&amp;" "&amp;Milestones!$AB$27&amp;" "&amp;Milestones!$AC$27&amp;";  ","")&amp;IF(AND(EDATE($D53,Milestones!$AA$28)&lt;=AsOfDate,IF($R53=0,$X53,IF(AND($T53&lt;&gt;"",EDATE($D53,Milestones!$AA$28)&gt;=$T53),$W53,IF(AND($S53&lt;&gt;"",EDATE($D53,Milestones!$AA$28)&gt;=$S53),$V53,$U53)))=Milestones!$AB$28),UPPER(TEXT(EDATE($D53,Milestones!$AA$28),"dd mmm yy"))&amp;" "&amp;Milestones!$AB$28&amp;" "&amp;Milestones!$AC$28&amp;";  ","")&amp;IF(AND(EDATE($D53,Milestones!$AA$29)&lt;=AsOfDate,IF($R53=0,$X53,IF(AND($T53&lt;&gt;"",EDATE($D53,Milestones!$AA$29)&gt;=$T53),$W53,IF(AND($S53&lt;&gt;"",EDATE($D53,Milestones!$AA$29)&gt;=$S53),$V53,$U53)))=Milestones!$AB$29),UPPER(TEXT(EDATE($D53,Milestones!$AA$29),"dd mmm yy"))&amp;" "&amp;Milestones!$AB$29&amp;" "&amp;Milestones!$AC$29&amp;";  ","")&amp;IF(AND(EDATE($D53,Milestones!$AA$30)&lt;=AsOfDate,IF($R53=0,$X53,IF(AND($T53&lt;&gt;"",EDATE($D53,Milestones!$AA$30)&gt;=$T53),$W53,IF(AND($S53&lt;&gt;"",EDATE($D53,Milestones!$AA$30)&gt;=$S53),$V53,$U53)))=Milestones!$AB$30),UPPER(TEXT(EDATE($D53,Milestones!$AA$30),"dd mmm yy"))&amp;" "&amp;Milestones!$AB$30&amp;" "&amp;Milestones!$AC$30&amp;";  ","")&amp;IF(AND(EDATE($D53,Milestones!$AA$31)&lt;=AsOfDate,IF($R53=0,$X53,IF(AND($T53&lt;&gt;"",EDATE($D53,Milestones!$AA$31)&gt;=$T53),$W53,IF(AND($S53&lt;&gt;"",EDATE($D53,Milestones!$AA$31)&gt;=$S53),$V53,$U53)))=Milestones!$AB$31),UPPER(TEXT(EDATE($D53,Milestones!$AA$31),"dd mmm yy"))&amp;" "&amp;Milestones!$AB$31&amp;" "&amp;Milestones!$AC$31&amp;";  ","")&amp;IF(AND(EDATE($D53,Milestones!$AA$32)&lt;=AsOfDate,IF($R53=0,$X53,IF(AND($T53&lt;&gt;"",EDATE($D53,Milestones!$AA$32)&gt;=$T53),$W53,IF(AND($S53&lt;&gt;"",EDATE($D53,Milestones!$AA$32)&gt;=$S53),$V53,$U53)))=Milestones!$AB$32),UPPER(TEXT(EDATE($D53,Milestones!$AA$32),"dd mmm yy"))&amp;" "&amp;Milestones!$AB$32&amp;" "&amp;Milestones!$AC$32&amp;";  ","")&amp;IF(AND(EDATE($D53,Milestones!$AA$33)&lt;=AsOfDate,IF($R53=0,$X53,IF(AND($T53&lt;&gt;"",EDATE($D53,Milestones!$AA$33)&gt;=$T53),$W53,IF(AND($S53&lt;&gt;"",EDATE($D53,Milestones!$AA$33)&gt;=$S53),$V53,$U53)))=Milestones!$AB$33),UPPER(TEXT(EDATE($D53,Milestones!$AA$33),"dd mmm yy"))&amp;" "&amp;Milestones!$AB$33&amp;" "&amp;Milestones!$AC$33&amp;";  ","")&amp;IF(AND(EDATE($D53,Milestones!$AA$34)&lt;=AsOfDate,IF($R53=0,$X53,IF(AND($T53&lt;&gt;"",EDATE($D53,Milestones!$AA$34)&gt;=$T53),$W53,IF(AND($S53&lt;&gt;"",EDATE($D53,Milestones!$AA$34)&gt;=$S53),$V53,$U53)))=Milestones!$AB$34),UPPER(TEXT(EDATE($D53,Milestones!$AA$34),"dd mmm yy"))&amp;" "&amp;Milestones!$AB$34&amp;" "&amp;Milestones!$AC$34&amp;";  ","")&amp;IF(AND(EDATE($D53,Milestones!$AA$35)&lt;=AsOfDate,IF($R53=0,$X53,IF(AND($T53&lt;&gt;"",EDATE($D53,Milestones!$AA$35)&gt;=$T53),$W53,IF(AND($S53&lt;&gt;"",EDATE($D53,Milestones!$AA$35)&gt;=$S53),$V53,$U53)))=Milestones!$AB$35),UPPER(TEXT(EDATE($D53,Milestones!$AA$35),"dd mmm yy"))&amp;" "&amp;Milestones!$AB$35&amp;" "&amp;Milestones!$AC$35&amp;";  ","")&amp;IF(AND(EDATE($D53,Milestones!$AA$36)&lt;=AsOfDate,IF($R53=0,$X53,IF(AND($T53&lt;&gt;"",EDATE($D53,Milestones!$AA$36)&gt;=$T53),$W53,IF(AND($S53&lt;&gt;"",EDATE($D53,Milestones!$AA$36)&gt;=$S53),$V53,$U53)))=Milestones!$AB$36),UPPER(TEXT(EDATE($D53,Milestones!$AA$36),"dd mmm yy"))&amp;" "&amp;Milestones!$AB$36&amp;" "&amp;Milestones!$AC$36&amp;";  ","")&amp;IF(AND(EDATE($D53,Milestones!$AA$37)&lt;=AsOfDate,IF($R53=0,$X53,IF(AND($T53&lt;&gt;"",EDATE($D53,Milestones!$AA$37)&gt;=$T53),$W53,IF(AND($S53&lt;&gt;"",EDATE($D53,Milestones!$AA$37)&gt;=$S53),$V53,$U53)))=Milestones!$AB$37),UPPER(TEXT(EDATE($D53,Milestones!$AA$37),"dd mmm yy"))&amp;" "&amp;Milestones!$AB$37&amp;" "&amp;Milestones!$AC$37&amp;";  ","")&amp;IF(AND(EDATE($D53,Milestones!$AA$38)&lt;=AsOfDate,IF($R53=0,$X53,IF(AND($T53&lt;&gt;"",EDATE($D53,Milestones!$AA$38)&gt;=$T53),$W53,IF(AND($S53&lt;&gt;"",EDATE($D53,Milestones!$AA$38)&gt;=$S53),$V53,$U53)))=Milestones!$AB$38),UPPER(TEXT(EDATE($D53,Milestones!$AA$38),"dd mmm yy"))&amp;" "&amp;Milestones!$AB$38&amp;" "&amp;Milestones!$AC$38&amp;";  ","")&amp;IF(AND(EDATE($D53,Milestones!$AA$39)&lt;=AsOfDate,IF($R53=0,$X53,IF(AND($T53&lt;&gt;"",EDATE($D53,Milestones!$AA$39)&gt;=$T53),$W53,IF(AND($S53&lt;&gt;"",EDATE($D53,Milestones!$AA$39)&gt;=$S53),$V53,$U53)))=Milestones!$AB$39),UPPER(TEXT(EDATE($D53,Milestones!$AA$39),"dd mmm yy"))&amp;" "&amp;Milestones!$AB$39&amp;" "&amp;Milestones!$AC$39&amp;";  ",""))</f>
        <v/>
      </c>
      <c r="J53" s="0" t="str">
        <f aca="false">IF(OR($A53="",$D53=""),"",IF(AND(EDATE($D53,Milestones!$AA$40)&lt;=AsOfDate,IF($R53=0,$X53,IF(AND($T53&lt;&gt;"",EDATE($D53,Milestones!$AA$40)&gt;=$T53),$W53,IF(AND($S53&lt;&gt;"",EDATE($D53,Milestones!$AA$40)&gt;=$S53),$V53,$U53)))=Milestones!$AB$40),UPPER(TEXT(EDATE($D53,Milestones!$AA$40),"dd mmm yy"))&amp;" "&amp;Milestones!$AB$40&amp;" "&amp;Milestones!$AC$40&amp;";  ","")&amp;IF(AND(EDATE($D53,Milestones!$AA$41)&lt;=AsOfDate,IF($R53=0,$X53,IF(AND($T53&lt;&gt;"",EDATE($D53,Milestones!$AA$41)&gt;=$T53),$W53,IF(AND($S53&lt;&gt;"",EDATE($D53,Milestones!$AA$41)&gt;=$S53),$V53,$U53)))=Milestones!$AB$41),UPPER(TEXT(EDATE($D53,Milestones!$AA$41),"dd mmm yy"))&amp;" "&amp;Milestones!$AB$41&amp;" "&amp;Milestones!$AC$41&amp;";  ","")&amp;IF(AND(EDATE($D53,Milestones!$AA$42)&lt;=AsOfDate,IF($R53=0,$X53,IF(AND($T53&lt;&gt;"",EDATE($D53,Milestones!$AA$42)&gt;=$T53),$W53,IF(AND($S53&lt;&gt;"",EDATE($D53,Milestones!$AA$42)&gt;=$S53),$V53,$U53)))=Milestones!$AB$42),UPPER(TEXT(EDATE($D53,Milestones!$AA$42),"dd mmm yy"))&amp;" "&amp;Milestones!$AB$42&amp;" "&amp;Milestones!$AC$42&amp;";  ","")&amp;IF(AND(EDATE($D53,Milestones!$AA$43)&lt;=AsOfDate,IF($R53=0,$X53,IF(AND($T53&lt;&gt;"",EDATE($D53,Milestones!$AA$43)&gt;=$T53),$W53,IF(AND($S53&lt;&gt;"",EDATE($D53,Milestones!$AA$43)&gt;=$S53),$V53,$U53)))=Milestones!$AB$43),UPPER(TEXT(EDATE($D53,Milestones!$AA$43),"dd mmm yy"))&amp;" "&amp;Milestones!$AB$43&amp;" "&amp;Milestones!$AC$43&amp;";  ","")&amp;IF(AND(EDATE($D53,Milestones!$AA$44)&lt;=AsOfDate,IF($R53=0,$X53,IF(AND($T53&lt;&gt;"",EDATE($D53,Milestones!$AA$44)&gt;=$T53),$W53,IF(AND($S53&lt;&gt;"",EDATE($D53,Milestones!$AA$44)&gt;=$S53),$V53,$U53)))=Milestones!$AB$44),UPPER(TEXT(EDATE($D53,Milestones!$AA$44),"dd mmm yy"))&amp;" "&amp;Milestones!$AB$44&amp;" "&amp;Milestones!$AC$44&amp;";  ","")&amp;IF(AND(EDATE($D53,Milestones!$AA$45)&lt;=AsOfDate,IF($R53=0,$X53,IF(AND($T53&lt;&gt;"",EDATE($D53,Milestones!$AA$45)&gt;=$T53),$W53,IF(AND($S53&lt;&gt;"",EDATE($D53,Milestones!$AA$45)&gt;=$S53),$V53,$U53)))=Milestones!$AB$45),UPPER(TEXT(EDATE($D53,Milestones!$AA$45),"dd mmm yy"))&amp;" "&amp;Milestones!$AB$45&amp;" "&amp;Milestones!$AC$45&amp;";  ","")&amp;IF(AND(EDATE($D53,Milestones!$AA$46)&lt;=AsOfDate,IF($R53=0,$X53,IF(AND($T53&lt;&gt;"",EDATE($D53,Milestones!$AA$46)&gt;=$T53),$W53,IF(AND($S53&lt;&gt;"",EDATE($D53,Milestones!$AA$46)&gt;=$S53),$V53,$U53)))=Milestones!$AB$46),UPPER(TEXT(EDATE($D53,Milestones!$AA$46),"dd mmm yy"))&amp;" "&amp;Milestones!$AB$46&amp;" "&amp;Milestones!$AC$46&amp;";  ","")&amp;IF(AND(EDATE($D53,Milestones!$AA$47)&lt;=AsOfDate,IF($R53=0,$X53,IF(AND($T53&lt;&gt;"",EDATE($D53,Milestones!$AA$47)&gt;=$T53),$W53,IF(AND($S53&lt;&gt;"",EDATE($D53,Milestones!$AA$47)&gt;=$S53),$V53,$U53)))=Milestones!$AB$47),UPPER(TEXT(EDATE($D53,Milestones!$AA$47),"dd mmm yy"))&amp;" "&amp;Milestones!$AB$47&amp;" "&amp;Milestones!$AC$47&amp;";  ","")&amp;IF(AND(EDATE($D53,Milestones!$AA$48)&lt;=AsOfDate,IF($R53=0,$X53,IF(AND($T53&lt;&gt;"",EDATE($D53,Milestones!$AA$48)&gt;=$T53),$W53,IF(AND($S53&lt;&gt;"",EDATE($D53,Milestones!$AA$48)&gt;=$S53),$V53,$U53)))=Milestones!$AB$48),UPPER(TEXT(EDATE($D53,Milestones!$AA$48),"dd mmm yy"))&amp;" "&amp;Milestones!$AB$48&amp;" "&amp;Milestones!$AC$48&amp;";  ","")&amp;IF(AND(EDATE($D53,Milestones!$AA$49)&lt;=AsOfDate,IF($R53=0,$X53,IF(AND($T53&lt;&gt;"",EDATE($D53,Milestones!$AA$49)&gt;=$T53),$W53,IF(AND($S53&lt;&gt;"",EDATE($D53,Milestones!$AA$49)&gt;=$S53),$V53,$U53)))=Milestones!$AB$49),UPPER(TEXT(EDATE($D53,Milestones!$AA$49),"dd mmm yy"))&amp;" "&amp;Milestones!$AB$49&amp;" "&amp;Milestones!$AC$49&amp;";  ","")&amp;IF(AND(EDATE($D53,Milestones!$AA$50)&lt;=AsOfDate,IF($R53=0,$X53,IF(AND($T53&lt;&gt;"",EDATE($D53,Milestones!$AA$50)&gt;=$T53),$W53,IF(AND($S53&lt;&gt;"",EDATE($D53,Milestones!$AA$50)&gt;=$S53),$V53,$U53)))=Milestones!$AB$50),UPPER(TEXT(EDATE($D53,Milestones!$AA$50),"dd mmm yy"))&amp;" "&amp;Milestones!$AB$50&amp;" "&amp;Milestones!$AC$50&amp;";  ","")&amp;IF(AND(EDATE($D53,Milestones!$AA$51)&lt;=AsOfDate,IF($R53=0,$X53,IF(AND($T53&lt;&gt;"",EDATE($D53,Milestones!$AA$51)&gt;=$T53),$W53,IF(AND($S53&lt;&gt;"",EDATE($D53,Milestones!$AA$51)&gt;=$S53),$V53,$U53)))=Milestones!$AB$51),UPPER(TEXT(EDATE($D53,Milestones!$AA$51),"dd mmm yy"))&amp;" "&amp;Milestones!$AB$51&amp;" "&amp;Milestones!$AC$51&amp;";  ","")&amp;IF(AND(EDATE($D53,Milestones!$AA$52)&lt;=AsOfDate,IF($R53=0,$X53,IF(AND($T53&lt;&gt;"",EDATE($D53,Milestones!$AA$52)&gt;=$T53),$W53,IF(AND($S53&lt;&gt;"",EDATE($D53,Milestones!$AA$52)&gt;=$S53),$V53,$U53)))=Milestones!$AB$52),UPPER(TEXT(EDATE($D53,Milestones!$AA$52),"dd mmm yy"))&amp;" "&amp;Milestones!$AB$52&amp;" "&amp;Milestones!$AC$52&amp;";  ","")&amp;IF(AND(EDATE($D53,Milestones!$AA$53)&lt;=AsOfDate,IF($R53=0,$X53,IF(AND($T53&lt;&gt;"",EDATE($D53,Milestones!$AA$53)&gt;=$T53),$W53,IF(AND($S53&lt;&gt;"",EDATE($D53,Milestones!$AA$53)&gt;=$S53),$V53,$U53)))=Milestones!$AB$53),UPPER(TEXT(EDATE($D53,Milestones!$AA$53),"dd mmm yy"))&amp;" "&amp;Milestones!$AB$53&amp;" "&amp;Milestones!$AC$53&amp;";  ","")&amp;IF(AND(EDATE($D53,Milestones!$AA$54)&lt;=AsOfDate,IF($R53=0,$X53,IF(AND($T53&lt;&gt;"",EDATE($D53,Milestones!$AA$54)&gt;=$T53),$W53,IF(AND($S53&lt;&gt;"",EDATE($D53,Milestones!$AA$54)&gt;=$S53),$V53,$U53)))=Milestones!$AB$54),UPPER(TEXT(EDATE($D53,Milestones!$AA$54),"dd mmm yy"))&amp;" "&amp;Milestones!$AB$54&amp;" "&amp;Milestones!$AC$54&amp;";  ","")&amp;IF(AND(EDATE($D53,Milestones!$AA$55)&lt;=AsOfDate,IF($R53=0,$X53,IF(AND($T53&lt;&gt;"",EDATE($D53,Milestones!$AA$55)&gt;=$T53),$W53,IF(AND($S53&lt;&gt;"",EDATE($D53,Milestones!$AA$55)&gt;=$S53),$V53,$U53)))=Milestones!$AB$55),UPPER(TEXT(EDATE($D53,Milestones!$AA$55),"dd mmm yy"))&amp;" "&amp;Milestones!$AB$55&amp;" "&amp;Milestones!$AC$55&amp;";  ","")&amp;IF(AND(EDATE($D53,Milestones!$AA$56)&lt;=AsOfDate,IF($R53=0,$X53,IF(AND($T53&lt;&gt;"",EDATE($D53,Milestones!$AA$56)&gt;=$T53),$W53,IF(AND($S53&lt;&gt;"",EDATE($D53,Milestones!$AA$56)&gt;=$S53),$V53,$U53)))=Milestones!$AB$56),UPPER(TEXT(EDATE($D53,Milestones!$AA$56),"dd mmm yy"))&amp;" "&amp;Milestones!$AB$56&amp;" "&amp;Milestones!$AC$56&amp;";  ","")&amp;IF(AND(EDATE($D53,Milestones!$AA$57)&lt;=AsOfDate,IF($R53=0,$X53,IF(AND($T53&lt;&gt;"",EDATE($D53,Milestones!$AA$57)&gt;=$T53),$W53,IF(AND($S53&lt;&gt;"",EDATE($D53,Milestones!$AA$57)&gt;=$S53),$V53,$U53)))=Milestones!$AB$57),UPPER(TEXT(EDATE($D53,Milestones!$AA$57),"dd mmm yy"))&amp;" "&amp;Milestones!$AB$57&amp;" "&amp;Milestones!$AC$57&amp;";  ","")&amp;IF(AND(EDATE($D53,Milestones!$AA$58)&lt;=AsOfDate,IF($R53=0,$X53,IF(AND($T53&lt;&gt;"",EDATE($D53,Milestones!$AA$58)&gt;=$T53),$W53,IF(AND($S53&lt;&gt;"",EDATE($D53,Milestones!$AA$58)&gt;=$S53),$V53,$U53)))=Milestones!$AB$58),UPPER(TEXT(EDATE($D53,Milestones!$AA$58),"dd mmm yy"))&amp;" "&amp;Milestones!$AB$58&amp;" "&amp;Milestones!$AC$58&amp;";  ","")&amp;IF(AND(EDATE($D53,Milestones!$AA$59)&lt;=AsOfDate,IF($R53=0,$X53,IF(AND($T53&lt;&gt;"",EDATE($D53,Milestones!$AA$59)&gt;=$T53),$W53,IF(AND($S53&lt;&gt;"",EDATE($D53,Milestones!$AA$59)&gt;=$S53),$V53,$U53)))=Milestones!$AB$59),UPPER(TEXT(EDATE($D53,Milestones!$AA$59),"dd mmm yy"))&amp;" "&amp;Milestones!$AB$59&amp;" "&amp;Milestones!$AC$59&amp;";  ",""))</f>
        <v/>
      </c>
      <c r="K53" s="0" t="str">
        <f aca="false">IF(OR($A53="",$D53=""),"",IF(AND(EDATE($D53,Milestones!$AA$60)&lt;=AsOfDate,IF($R53=0,$X53,IF(AND($T53&lt;&gt;"",EDATE($D53,Milestones!$AA$60)&gt;=$T53),$W53,IF(AND($S53&lt;&gt;"",EDATE($D53,Milestones!$AA$60)&gt;=$S53),$V53,$U53)))=Milestones!$AB$60),UPPER(TEXT(EDATE($D53,Milestones!$AA$60),"dd mmm yy"))&amp;" "&amp;Milestones!$AB$60&amp;" "&amp;Milestones!$AC$60&amp;";  ","")&amp;IF(AND(EDATE($D53,Milestones!$AA$61)&lt;=AsOfDate,IF($R53=0,$X53,IF(AND($T53&lt;&gt;"",EDATE($D53,Milestones!$AA$61)&gt;=$T53),$W53,IF(AND($S53&lt;&gt;"",EDATE($D53,Milestones!$AA$61)&gt;=$S53),$V53,$U53)))=Milestones!$AB$61),UPPER(TEXT(EDATE($D53,Milestones!$AA$61),"dd mmm yy"))&amp;" "&amp;Milestones!$AB$61&amp;" "&amp;Milestones!$AC$61&amp;";  ","")&amp;IF(AND(EDATE($D53,Milestones!$AA$62)&lt;=AsOfDate,IF($R53=0,$X53,IF(AND($T53&lt;&gt;"",EDATE($D53,Milestones!$AA$62)&gt;=$T53),$W53,IF(AND($S53&lt;&gt;"",EDATE($D53,Milestones!$AA$62)&gt;=$S53),$V53,$U53)))=Milestones!$AB$62),UPPER(TEXT(EDATE($D53,Milestones!$AA$62),"dd mmm yy"))&amp;" "&amp;Milestones!$AB$62&amp;" "&amp;Milestones!$AC$62&amp;";  ","")&amp;IF(AND(EDATE($D53,Milestones!$AA$63)&lt;=AsOfDate,IF($R53=0,$X53,IF(AND($T53&lt;&gt;"",EDATE($D53,Milestones!$AA$63)&gt;=$T53),$W53,IF(AND($S53&lt;&gt;"",EDATE($D53,Milestones!$AA$63)&gt;=$S53),$V53,$U53)))=Milestones!$AB$63),UPPER(TEXT(EDATE($D53,Milestones!$AA$63),"dd mmm yy"))&amp;" "&amp;Milestones!$AB$63&amp;" "&amp;Milestones!$AC$63&amp;";  ","")&amp;IF(AND(EDATE($D53,Milestones!$AA$64)&lt;=AsOfDate,IF($R53=0,$X53,IF(AND($T53&lt;&gt;"",EDATE($D53,Milestones!$AA$64)&gt;=$T53),$W53,IF(AND($S53&lt;&gt;"",EDATE($D53,Milestones!$AA$64)&gt;=$S53),$V53,$U53)))=Milestones!$AB$64),UPPER(TEXT(EDATE($D53,Milestones!$AA$64),"dd mmm yy"))&amp;" "&amp;Milestones!$AB$64&amp;" "&amp;Milestones!$AC$64&amp;";  ","")&amp;IF(AND(EDATE($D53,Milestones!$AA$65)&lt;=AsOfDate,IF($R53=0,$X53,IF(AND($T53&lt;&gt;"",EDATE($D53,Milestones!$AA$65)&gt;=$T53),$W53,IF(AND($S53&lt;&gt;"",EDATE($D53,Milestones!$AA$65)&gt;=$S53),$V53,$U53)))=Milestones!$AB$65),UPPER(TEXT(EDATE($D53,Milestones!$AA$65),"dd mmm yy"))&amp;" "&amp;Milestones!$AB$65&amp;" "&amp;Milestones!$AC$65&amp;";  ","")&amp;IF(AND(EDATE($D53,Milestones!$AA$66)&lt;=AsOfDate,IF($R53=0,$X53,IF(AND($T53&lt;&gt;"",EDATE($D53,Milestones!$AA$66)&gt;=$T53),$W53,IF(AND($S53&lt;&gt;"",EDATE($D53,Milestones!$AA$66)&gt;=$S53),$V53,$U53)))=Milestones!$AB$66),UPPER(TEXT(EDATE($D53,Milestones!$AA$66),"dd mmm yy"))&amp;" "&amp;Milestones!$AB$66&amp;" "&amp;Milestones!$AC$66&amp;";  ","")&amp;IF(AND(EDATE($D53,Milestones!$AA$67)&lt;=AsOfDate,IF($R53=0,$X53,IF(AND($T53&lt;&gt;"",EDATE($D53,Milestones!$AA$67)&gt;=$T53),$W53,IF(AND($S53&lt;&gt;"",EDATE($D53,Milestones!$AA$67)&gt;=$S53),$V53,$U53)))=Milestones!$AB$67),UPPER(TEXT(EDATE($D53,Milestones!$AA$67),"dd mmm yy"))&amp;" "&amp;Milestones!$AB$67&amp;" "&amp;Milestones!$AC$67&amp;";  ","")&amp;IF(AND(EDATE($D53,Milestones!$AA$68)&lt;=AsOfDate,IF($R53=0,$X53,IF(AND($T53&lt;&gt;"",EDATE($D53,Milestones!$AA$68)&gt;=$T53),$W53,IF(AND($S53&lt;&gt;"",EDATE($D53,Milestones!$AA$68)&gt;=$S53),$V53,$U53)))=Milestones!$AB$68),UPPER(TEXT(EDATE($D53,Milestones!$AA$68),"dd mmm yy"))&amp;" "&amp;Milestones!$AB$68&amp;" "&amp;Milestones!$AC$68&amp;";  ","")&amp;IF(AND(EDATE($D53,Milestones!$AA$69)&lt;=AsOfDate,IF($R53=0,$X53,IF(AND($T53&lt;&gt;"",EDATE($D53,Milestones!$AA$69)&gt;=$T53),$W53,IF(AND($S53&lt;&gt;"",EDATE($D53,Milestones!$AA$69)&gt;=$S53),$V53,$U53)))=Milestones!$AB$69),UPPER(TEXT(EDATE($D53,Milestones!$AA$69),"dd mmm yy"))&amp;" "&amp;Milestones!$AB$69&amp;" "&amp;Milestones!$AC$69&amp;";  ","")&amp;IF(AND(EDATE($D53,Milestones!$AA$70)&lt;=AsOfDate,IF($R53=0,$X53,IF(AND($T53&lt;&gt;"",EDATE($D53,Milestones!$AA$70)&gt;=$T53),$W53,IF(AND($S53&lt;&gt;"",EDATE($D53,Milestones!$AA$70)&gt;=$S53),$V53,$U53)))=Milestones!$AB$70),UPPER(TEXT(EDATE($D53,Milestones!$AA$70),"dd mmm yy"))&amp;" "&amp;Milestones!$AB$70&amp;" "&amp;Milestones!$AC$70&amp;";  ","")&amp;IF(AND(EDATE($D53,Milestones!$AA$71)&lt;=AsOfDate,IF($R53=0,$X53,IF(AND($T53&lt;&gt;"",EDATE($D53,Milestones!$AA$71)&gt;=$T53),$W53,IF(AND($S53&lt;&gt;"",EDATE($D53,Milestones!$AA$71)&gt;=$S53),$V53,$U53)))=Milestones!$AB$71),UPPER(TEXT(EDATE($D53,Milestones!$AA$71),"dd mmm yy"))&amp;" "&amp;Milestones!$AB$71&amp;" "&amp;Milestones!$AC$71&amp;";  ","")&amp;IF(AND(EDATE($D53,Milestones!$AA$72)&lt;=AsOfDate,IF($R53=0,$X53,IF(AND($T53&lt;&gt;"",EDATE($D53,Milestones!$AA$72)&gt;=$T53),$W53,IF(AND($S53&lt;&gt;"",EDATE($D53,Milestones!$AA$72)&gt;=$S53),$V53,$U53)))=Milestones!$AB$72),UPPER(TEXT(EDATE($D53,Milestones!$AA$72),"dd mmm yy"))&amp;" "&amp;Milestones!$AB$72&amp;" "&amp;Milestones!$AC$72&amp;";  ","")&amp;IF(AND(EDATE($D53,Milestones!$AA$73)&lt;=AsOfDate,IF($R53=0,$X53,IF(AND($T53&lt;&gt;"",EDATE($D53,Milestones!$AA$73)&gt;=$T53),$W53,IF(AND($S53&lt;&gt;"",EDATE($D53,Milestones!$AA$73)&gt;=$S53),$V53,$U53)))=Milestones!$AB$73),UPPER(TEXT(EDATE($D53,Milestones!$AA$73),"dd mmm yy"))&amp;" "&amp;Milestones!$AB$73&amp;" "&amp;Milestones!$AC$73&amp;";  ","")&amp;IF(AND(EDATE($D53,Milestones!$AA$74)&lt;=AsOfDate,IF($R53=0,$X53,IF(AND($T53&lt;&gt;"",EDATE($D53,Milestones!$AA$74)&gt;=$T53),$W53,IF(AND($S53&lt;&gt;"",EDATE($D53,Milestones!$AA$74)&gt;=$S53),$V53,$U53)))=Milestones!$AB$74),UPPER(TEXT(EDATE($D53,Milestones!$AA$74),"dd mmm yy"))&amp;" "&amp;Milestones!$AB$74&amp;" "&amp;Milestones!$AC$74&amp;";  ","")&amp;IF(AND(EDATE($D53,Milestones!$AA$75)&lt;=AsOfDate,IF($R53=0,$X53,IF(AND($T53&lt;&gt;"",EDATE($D53,Milestones!$AA$75)&gt;=$T53),$W53,IF(AND($S53&lt;&gt;"",EDATE($D53,Milestones!$AA$75)&gt;=$S53),$V53,$U53)))=Milestones!$AB$75),UPPER(TEXT(EDATE($D53,Milestones!$AA$75),"dd mmm yy"))&amp;" "&amp;Milestones!$AB$75&amp;" "&amp;Milestones!$AC$75&amp;";  ","")&amp;IF(AND(EDATE($D53,Milestones!$AA$76)&lt;=AsOfDate,IF($R53=0,$X53,IF(AND($T53&lt;&gt;"",EDATE($D53,Milestones!$AA$76)&gt;=$T53),$W53,IF(AND($S53&lt;&gt;"",EDATE($D53,Milestones!$AA$76)&gt;=$S53),$V53,$U53)))=Milestones!$AB$76),UPPER(TEXT(EDATE($D53,Milestones!$AA$76),"dd mmm yy"))&amp;" "&amp;Milestones!$AB$76&amp;" "&amp;Milestones!$AC$76&amp;";  ","")&amp;IF(AND(EDATE($D53,Milestones!$AA$77)&lt;=AsOfDate,IF($R53=0,$X53,IF(AND($T53&lt;&gt;"",EDATE($D53,Milestones!$AA$77)&gt;=$T53),$W53,IF(AND($S53&lt;&gt;"",EDATE($D53,Milestones!$AA$77)&gt;=$S53),$V53,$U53)))=Milestones!$AB$77),UPPER(TEXT(EDATE($D53,Milestones!$AA$77),"dd mmm yy"))&amp;" "&amp;Milestones!$AB$77&amp;" "&amp;Milestones!$AC$77&amp;";  ","")&amp;IF(AND(EDATE($D53,Milestones!$AA$78)&lt;=AsOfDate,IF($R53=0,$X53,IF(AND($T53&lt;&gt;"",EDATE($D53,Milestones!$AA$78)&gt;=$T53),$W53,IF(AND($S53&lt;&gt;"",EDATE($D53,Milestones!$AA$78)&gt;=$S53),$V53,$U53)))=Milestones!$AB$78),UPPER(TEXT(EDATE($D53,Milestones!$AA$78),"dd mmm yy"))&amp;" "&amp;Milestones!$AB$78&amp;" "&amp;Milestones!$AC$78&amp;";  ","")&amp;IF(AND(EDATE($D53,Milestones!$AA$79)&lt;=AsOfDate,IF($R53=0,$X53,IF(AND($T53&lt;&gt;"",EDATE($D53,Milestones!$AA$79)&gt;=$T53),$W53,IF(AND($S53&lt;&gt;"",EDATE($D53,Milestones!$AA$79)&gt;=$S53),$V53,$U53)))=Milestones!$AB$79),UPPER(TEXT(EDATE($D53,Milestones!$AA$79),"dd mmm yy"))&amp;" "&amp;Milestones!$AB$79&amp;" "&amp;Milestones!$AC$79&amp;";  ",""))</f>
        <v/>
      </c>
      <c r="L53" s="0" t="str">
        <f aca="false">IF(OR($A53="",$D53=""),"",IF(AND(EDATE($D53,Milestones!$AA$80)&lt;=AsOfDate,IF($R53=0,$X53,IF(AND($T53&lt;&gt;"",EDATE($D53,Milestones!$AA$80)&gt;=$T53),$W53,IF(AND($S53&lt;&gt;"",EDATE($D53,Milestones!$AA$80)&gt;=$S53),$V53,$U53)))=Milestones!$AB$80),UPPER(TEXT(EDATE($D53,Milestones!$AA$80),"dd mmm yy"))&amp;" "&amp;Milestones!$AB$80&amp;" "&amp;Milestones!$AC$80&amp;";  ","")&amp;IF(AND(EDATE($D53,Milestones!$AA$81)&lt;=AsOfDate,IF($R53=0,$X53,IF(AND($T53&lt;&gt;"",EDATE($D53,Milestones!$AA$81)&gt;=$T53),$W53,IF(AND($S53&lt;&gt;"",EDATE($D53,Milestones!$AA$81)&gt;=$S53),$V53,$U53)))=Milestones!$AB$81),UPPER(TEXT(EDATE($D53,Milestones!$AA$81),"dd mmm yy"))&amp;" "&amp;Milestones!$AB$81&amp;" "&amp;Milestones!$AC$81&amp;";  ","")&amp;IF(AND(EDATE($D53,Milestones!$AA$82)&lt;=AsOfDate,IF($R53=0,$X53,IF(AND($T53&lt;&gt;"",EDATE($D53,Milestones!$AA$82)&gt;=$T53),$W53,IF(AND($S53&lt;&gt;"",EDATE($D53,Milestones!$AA$82)&gt;=$S53),$V53,$U53)))=Milestones!$AB$82),UPPER(TEXT(EDATE($D53,Milestones!$AA$82),"dd mmm yy"))&amp;" "&amp;Milestones!$AB$82&amp;" "&amp;Milestones!$AC$82&amp;";  ","")&amp;IF(AND(EDATE($D53,Milestones!$AA$83)&lt;=AsOfDate,IF($R53=0,$X53,IF(AND($T53&lt;&gt;"",EDATE($D53,Milestones!$AA$83)&gt;=$T53),$W53,IF(AND($S53&lt;&gt;"",EDATE($D53,Milestones!$AA$83)&gt;=$S53),$V53,$U53)))=Milestones!$AB$83),UPPER(TEXT(EDATE($D53,Milestones!$AA$83),"dd mmm yy"))&amp;" "&amp;Milestones!$AB$83&amp;" "&amp;Milestones!$AC$83&amp;";  ","")&amp;IF(AND(EDATE($D53,Milestones!$AA$84)&lt;=AsOfDate,IF($R53=0,$X53,IF(AND($T53&lt;&gt;"",EDATE($D53,Milestones!$AA$84)&gt;=$T53),$W53,IF(AND($S53&lt;&gt;"",EDATE($D53,Milestones!$AA$84)&gt;=$S53),$V53,$U53)))=Milestones!$AB$84),UPPER(TEXT(EDATE($D53,Milestones!$AA$84),"dd mmm yy"))&amp;" "&amp;Milestones!$AB$84&amp;" "&amp;Milestones!$AC$84&amp;";  ","")&amp;IF(AND(EDATE($D53,Milestones!$AA$85)&lt;=AsOfDate,IF($R53=0,$X53,IF(AND($T53&lt;&gt;"",EDATE($D53,Milestones!$AA$85)&gt;=$T53),$W53,IF(AND($S53&lt;&gt;"",EDATE($D53,Milestones!$AA$85)&gt;=$S53),$V53,$U53)))=Milestones!$AB$85),UPPER(TEXT(EDATE($D53,Milestones!$AA$85),"dd mmm yy"))&amp;" "&amp;Milestones!$AB$85&amp;" "&amp;Milestones!$AC$85&amp;";  ","")&amp;IF(AND(EDATE($D53,Milestones!$AA$86)&lt;=AsOfDate,IF($R53=0,$X53,IF(AND($T53&lt;&gt;"",EDATE($D53,Milestones!$AA$86)&gt;=$T53),$W53,IF(AND($S53&lt;&gt;"",EDATE($D53,Milestones!$AA$86)&gt;=$S53),$V53,$U53)))=Milestones!$AB$86),UPPER(TEXT(EDATE($D53,Milestones!$AA$86),"dd mmm yy"))&amp;" "&amp;Milestones!$AB$86&amp;" "&amp;Milestones!$AC$86&amp;";  ","")&amp;IF(AND(EDATE($D53,Milestones!$AA$87)&lt;=AsOfDate,IF($R53=0,$X53,IF(AND($T53&lt;&gt;"",EDATE($D53,Milestones!$AA$87)&gt;=$T53),$W53,IF(AND($S53&lt;&gt;"",EDATE($D53,Milestones!$AA$87)&gt;=$S53),$V53,$U53)))=Milestones!$AB$87),UPPER(TEXT(EDATE($D53,Milestones!$AA$87),"dd mmm yy"))&amp;" "&amp;Milestones!$AB$87&amp;" "&amp;Milestones!$AC$87&amp;";  ","")&amp;IF(AND(EDATE($D53,Milestones!$AA$88)&lt;=AsOfDate,IF($R53=0,$X53,IF(AND($T53&lt;&gt;"",EDATE($D53,Milestones!$AA$88)&gt;=$T53),$W53,IF(AND($S53&lt;&gt;"",EDATE($D53,Milestones!$AA$88)&gt;=$S53),$V53,$U53)))=Milestones!$AB$88),UPPER(TEXT(EDATE($D53,Milestones!$AA$88),"dd mmm yy"))&amp;" "&amp;Milestones!$AB$88&amp;" "&amp;Milestones!$AC$88&amp;";  ","")&amp;IF(AND(EDATE($D53,Milestones!$AA$89)&lt;=AsOfDate,IF($R53=0,$X53,IF(AND($T53&lt;&gt;"",EDATE($D53,Milestones!$AA$89)&gt;=$T53),$W53,IF(AND($S53&lt;&gt;"",EDATE($D53,Milestones!$AA$89)&gt;=$S53),$V53,$U53)))=Milestones!$AB$89),UPPER(TEXT(EDATE($D53,Milestones!$AA$89),"dd mmm yy"))&amp;" "&amp;Milestones!$AB$89&amp;" "&amp;Milestones!$AC$89&amp;";  ","")&amp;IF(AND(EDATE($D53,Milestones!$AA$90)&lt;=AsOfDate,IF($R53=0,$X53,IF(AND($T53&lt;&gt;"",EDATE($D53,Milestones!$AA$90)&gt;=$T53),$W53,IF(AND($S53&lt;&gt;"",EDATE($D53,Milestones!$AA$90)&gt;=$S53),$V53,$U53)))=Milestones!$AB$90),UPPER(TEXT(EDATE($D53,Milestones!$AA$90),"dd mmm yy"))&amp;" "&amp;Milestones!$AB$90&amp;" "&amp;Milestones!$AC$90&amp;";  ","")&amp;IF(AND(EDATE($D53,Milestones!$AA$91)&lt;=AsOfDate,IF($R53=0,$X53,IF(AND($T53&lt;&gt;"",EDATE($D53,Milestones!$AA$91)&gt;=$T53),$W53,IF(AND($S53&lt;&gt;"",EDATE($D53,Milestones!$AA$91)&gt;=$S53),$V53,$U53)))=Milestones!$AB$91),UPPER(TEXT(EDATE($D53,Milestones!$AA$91),"dd mmm yy"))&amp;" "&amp;Milestones!$AB$91&amp;" "&amp;Milestones!$AC$91&amp;";  ","")&amp;IF(AND(EDATE($D53,Milestones!$AA$92)&lt;=AsOfDate,IF($R53=0,$X53,IF(AND($T53&lt;&gt;"",EDATE($D53,Milestones!$AA$92)&gt;=$T53),$W53,IF(AND($S53&lt;&gt;"",EDATE($D53,Milestones!$AA$92)&gt;=$S53),$V53,$U53)))=Milestones!$AB$92),UPPER(TEXT(EDATE($D53,Milestones!$AA$92),"dd mmm yy"))&amp;" "&amp;Milestones!$AB$92&amp;" "&amp;Milestones!$AC$92&amp;";  ","")&amp;IF(AND(EDATE($D53,Milestones!$AA$93)&lt;=AsOfDate,IF($R53=0,$X53,IF(AND($T53&lt;&gt;"",EDATE($D53,Milestones!$AA$93)&gt;=$T53),$W53,IF(AND($S53&lt;&gt;"",EDATE($D53,Milestones!$AA$93)&gt;=$S53),$V53,$U53)))=Milestones!$AB$93),UPPER(TEXT(EDATE($D53,Milestones!$AA$93),"dd mmm yy"))&amp;" "&amp;Milestones!$AB$93&amp;" "&amp;Milestones!$AC$93&amp;";  ","")&amp;IF(AND(EDATE($D53,Milestones!$AA$94)&lt;=AsOfDate,IF($R53=0,$X53,IF(AND($T53&lt;&gt;"",EDATE($D53,Milestones!$AA$94)&gt;=$T53),$W53,IF(AND($S53&lt;&gt;"",EDATE($D53,Milestones!$AA$94)&gt;=$S53),$V53,$U53)))=Milestones!$AB$94),UPPER(TEXT(EDATE($D53,Milestones!$AA$94),"dd mmm yy"))&amp;" "&amp;Milestones!$AB$94&amp;" "&amp;Milestones!$AC$94&amp;";  ","")&amp;IF(AND(EDATE($D53,Milestones!$AA$95)&lt;=AsOfDate,IF($R53=0,$X53,IF(AND($T53&lt;&gt;"",EDATE($D53,Milestones!$AA$95)&gt;=$T53),$W53,IF(AND($S53&lt;&gt;"",EDATE($D53,Milestones!$AA$95)&gt;=$S53),$V53,$U53)))=Milestones!$AB$95),UPPER(TEXT(EDATE($D53,Milestones!$AA$95),"dd mmm yy"))&amp;" "&amp;Milestones!$AB$95&amp;" "&amp;Milestones!$AC$95&amp;";  ","")&amp;IF(AND(EDATE($D53,Milestones!$AA$96)&lt;=AsOfDate,IF($R53=0,$X53,IF(AND($T53&lt;&gt;"",EDATE($D53,Milestones!$AA$96)&gt;=$T53),$W53,IF(AND($S53&lt;&gt;"",EDATE($D53,Milestones!$AA$96)&gt;=$S53),$V53,$U53)))=Milestones!$AB$96),UPPER(TEXT(EDATE($D53,Milestones!$AA$96),"dd mmm yy"))&amp;" "&amp;Milestones!$AB$96&amp;" "&amp;Milestones!$AC$96&amp;";  ","")&amp;IF(AND(EDATE($D53,Milestones!$AA$97)&lt;=AsOfDate,IF($R53=0,$X53,IF(AND($T53&lt;&gt;"",EDATE($D53,Milestones!$AA$97)&gt;=$T53),$W53,IF(AND($S53&lt;&gt;"",EDATE($D53,Milestones!$AA$97)&gt;=$S53),$V53,$U53)))=Milestones!$AB$97),UPPER(TEXT(EDATE($D53,Milestones!$AA$97),"dd mmm yy"))&amp;" "&amp;Milestones!$AB$97&amp;" "&amp;Milestones!$AC$97&amp;";  ","")&amp;IF(AND(EDATE($D53,Milestones!$AA$98)&lt;=AsOfDate,IF($R53=0,$X53,IF(AND($T53&lt;&gt;"",EDATE($D53,Milestones!$AA$98)&gt;=$T53),$W53,IF(AND($S53&lt;&gt;"",EDATE($D53,Milestones!$AA$98)&gt;=$S53),$V53,$U53)))=Milestones!$AB$98),UPPER(TEXT(EDATE($D53,Milestones!$AA$98),"dd mmm yy"))&amp;" "&amp;Milestones!$AB$98&amp;" "&amp;Milestones!$AC$98&amp;";  ","")&amp;IF(AND(EDATE($D53,Milestones!$AA$99)&lt;=AsOfDate,IF($R53=0,$X53,IF(AND($T53&lt;&gt;"",EDATE($D53,Milestones!$AA$99)&gt;=$T53),$W53,IF(AND($S53&lt;&gt;"",EDATE($D53,Milestones!$AA$99)&gt;=$S53),$V53,$U53)))=Milestones!$AB$99),UPPER(TEXT(EDATE($D53,Milestones!$AA$99),"dd mmm yy"))&amp;" "&amp;Milestones!$AB$99&amp;" "&amp;Milestones!$AC$99&amp;";  ",""))</f>
        <v/>
      </c>
      <c r="M53" s="0" t="str">
        <f aca="false">IF(OR($A53="",$D53=""),"",IF(AND(EDATE($D53,Milestones!$AA$100)&lt;=AsOfDate,IF($R53=0,$X53,IF(AND($T53&lt;&gt;"",EDATE($D53,Milestones!$AA$100)&gt;=$T53),$W53,IF(AND($S53&lt;&gt;"",EDATE($D53,Milestones!$AA$100)&gt;=$S53),$V53,$U53)))=Milestones!$AB$100),UPPER(TEXT(EDATE($D53,Milestones!$AA$100),"dd mmm yy"))&amp;" "&amp;Milestones!$AB$100&amp;" "&amp;Milestones!$AC$100&amp;";  ","")&amp;IF(AND(EDATE($D53,Milestones!$AA$101)&lt;=AsOfDate,IF($R53=0,$X53,IF(AND($T53&lt;&gt;"",EDATE($D53,Milestones!$AA$101)&gt;=$T53),$W53,IF(AND($S53&lt;&gt;"",EDATE($D53,Milestones!$AA$101)&gt;=$S53),$V53,$U53)))=Milestones!$AB$101),UPPER(TEXT(EDATE($D53,Milestones!$AA$101),"dd mmm yy"))&amp;" "&amp;Milestones!$AB$101&amp;" "&amp;Milestones!$AC$101&amp;";  ","")&amp;IF(AND(EDATE($D53,Milestones!$AA$102)&lt;=AsOfDate,IF($R53=0,$X53,IF(AND($T53&lt;&gt;"",EDATE($D53,Milestones!$AA$102)&gt;=$T53),$W53,IF(AND($S53&lt;&gt;"",EDATE($D53,Milestones!$AA$102)&gt;=$S53),$V53,$U53)))=Milestones!$AB$102),UPPER(TEXT(EDATE($D53,Milestones!$AA$102),"dd mmm yy"))&amp;" "&amp;Milestones!$AB$102&amp;" "&amp;Milestones!$AC$102&amp;";  ","")&amp;IF(AND(EDATE($D53,Milestones!$AA$103)&lt;=AsOfDate,IF($R53=0,$X53,IF(AND($T53&lt;&gt;"",EDATE($D53,Milestones!$AA$103)&gt;=$T53),$W53,IF(AND($S53&lt;&gt;"",EDATE($D53,Milestones!$AA$103)&gt;=$S53),$V53,$U53)))=Milestones!$AB$103),UPPER(TEXT(EDATE($D53,Milestones!$AA$103),"dd mmm yy"))&amp;" "&amp;Milestones!$AB$103&amp;" "&amp;Milestones!$AC$103&amp;";  ","")&amp;IF(AND(EDATE($D53,Milestones!$AA$104)&lt;=AsOfDate,IF($R53=0,$X53,IF(AND($T53&lt;&gt;"",EDATE($D53,Milestones!$AA$104)&gt;=$T53),$W53,IF(AND($S53&lt;&gt;"",EDATE($D53,Milestones!$AA$104)&gt;=$S53),$V53,$U53)))=Milestones!$AB$104),UPPER(TEXT(EDATE($D53,Milestones!$AA$104),"dd mmm yy"))&amp;" "&amp;Milestones!$AB$104&amp;" "&amp;Milestones!$AC$104&amp;";  ","")&amp;IF(AND(EDATE($D53,Milestones!$AA$105)&lt;=AsOfDate,IF($R53=0,$X53,IF(AND($T53&lt;&gt;"",EDATE($D53,Milestones!$AA$105)&gt;=$T53),$W53,IF(AND($S53&lt;&gt;"",EDATE($D53,Milestones!$AA$105)&gt;=$S53),$V53,$U53)))=Milestones!$AB$105),UPPER(TEXT(EDATE($D53,Milestones!$AA$105),"dd mmm yy"))&amp;" "&amp;Milestones!$AB$105&amp;" "&amp;Milestones!$AC$105&amp;";  ","")&amp;IF(AND(EDATE($D53,Milestones!$AA$106)&lt;=AsOfDate,IF($R53=0,$X53,IF(AND($T53&lt;&gt;"",EDATE($D53,Milestones!$AA$106)&gt;=$T53),$W53,IF(AND($S53&lt;&gt;"",EDATE($D53,Milestones!$AA$106)&gt;=$S53),$V53,$U53)))=Milestones!$AB$106),UPPER(TEXT(EDATE($D53,Milestones!$AA$106),"dd mmm yy"))&amp;" "&amp;Milestones!$AB$106&amp;" "&amp;Milestones!$AC$106&amp;";  ","")&amp;IF(AND(EDATE($D53,Milestones!$AA$107)&lt;=AsOfDate,IF($R53=0,$X53,IF(AND($T53&lt;&gt;"",EDATE($D53,Milestones!$AA$107)&gt;=$T53),$W53,IF(AND($S53&lt;&gt;"",EDATE($D53,Milestones!$AA$107)&gt;=$S53),$V53,$U53)))=Milestones!$AB$107),UPPER(TEXT(EDATE($D53,Milestones!$AA$107),"dd mmm yy"))&amp;" "&amp;Milestones!$AB$107&amp;" "&amp;Milestones!$AC$107&amp;";  ","")&amp;IF(AND(EDATE($D53,Milestones!$AA$108)&lt;=AsOfDate,IF($R53=0,$X53,IF(AND($T53&lt;&gt;"",EDATE($D53,Milestones!$AA$108)&gt;=$T53),$W53,IF(AND($S53&lt;&gt;"",EDATE($D53,Milestones!$AA$108)&gt;=$S53),$V53,$U53)))=Milestones!$AB$108),UPPER(TEXT(EDATE($D53,Milestones!$AA$108),"dd mmm yy"))&amp;" "&amp;Milestones!$AB$108&amp;" "&amp;Milestones!$AC$108&amp;";  ","")&amp;IF(AND(EDATE($D53,Milestones!$AA$109)&lt;=AsOfDate,IF($R53=0,$X53,IF(AND($T53&lt;&gt;"",EDATE($D53,Milestones!$AA$109)&gt;=$T53),$W53,IF(AND($S53&lt;&gt;"",EDATE($D53,Milestones!$AA$109)&gt;=$S53),$V53,$U53)))=Milestones!$AB$109),UPPER(TEXT(EDATE($D53,Milestones!$AA$109),"dd mmm yy"))&amp;" "&amp;Milestones!$AB$109&amp;" "&amp;Milestones!$AC$109&amp;";  ","")&amp;IF(AND(EDATE($D53,Milestones!$AA$110)&lt;=AsOfDate,IF($R53=0,$X53,IF(AND($T53&lt;&gt;"",EDATE($D53,Milestones!$AA$110)&gt;=$T53),$W53,IF(AND($S53&lt;&gt;"",EDATE($D53,Milestones!$AA$110)&gt;=$S53),$V53,$U53)))=Milestones!$AB$110),UPPER(TEXT(EDATE($D53,Milestones!$AA$110),"dd mmm yy"))&amp;" "&amp;Milestones!$AB$110&amp;" "&amp;Milestones!$AC$110&amp;";  ","")&amp;IF(AND(EDATE($D53,Milestones!$AA$111)&lt;=AsOfDate,IF($R53=0,$X53,IF(AND($T53&lt;&gt;"",EDATE($D53,Milestones!$AA$111)&gt;=$T53),$W53,IF(AND($S53&lt;&gt;"",EDATE($D53,Milestones!$AA$111)&gt;=$S53),$V53,$U53)))=Milestones!$AB$111),UPPER(TEXT(EDATE($D53,Milestones!$AA$111),"dd mmm yy"))&amp;" "&amp;Milestones!$AB$111&amp;" "&amp;Milestones!$AC$111&amp;";  ","")&amp;IF(AND(EDATE($D53,Milestones!$AA$112)&lt;=AsOfDate,IF($R53=0,$X53,IF(AND($T53&lt;&gt;"",EDATE($D53,Milestones!$AA$112)&gt;=$T53),$W53,IF(AND($S53&lt;&gt;"",EDATE($D53,Milestones!$AA$112)&gt;=$S53),$V53,$U53)))=Milestones!$AB$112),UPPER(TEXT(EDATE($D53,Milestones!$AA$112),"dd mmm yy"))&amp;" "&amp;Milestones!$AB$112&amp;" "&amp;Milestones!$AC$112&amp;";  ","")&amp;IF(AND(EDATE($D53,Milestones!$AA$113)&lt;=AsOfDate,IF($R53=0,$X53,IF(AND($T53&lt;&gt;"",EDATE($D53,Milestones!$AA$113)&gt;=$T53),$W53,IF(AND($S53&lt;&gt;"",EDATE($D53,Milestones!$AA$113)&gt;=$S53),$V53,$U53)))=Milestones!$AB$113),UPPER(TEXT(EDATE($D53,Milestones!$AA$113),"dd mmm yy"))&amp;" "&amp;Milestones!$AB$113&amp;" "&amp;Milestones!$AC$113&amp;";  ","")&amp;IF(AND(EDATE($D53,Milestones!$AA$114)&lt;=AsOfDate,IF($R53=0,$X53,IF(AND($T53&lt;&gt;"",EDATE($D53,Milestones!$AA$114)&gt;=$T53),$W53,IF(AND($S53&lt;&gt;"",EDATE($D53,Milestones!$AA$114)&gt;=$S53),$V53,$U53)))=Milestones!$AB$114),UPPER(TEXT(EDATE($D53,Milestones!$AA$114),"dd mmm yy"))&amp;" "&amp;Milestones!$AB$114&amp;" "&amp;Milestones!$AC$114&amp;";  ","")&amp;IF(AND(EDATE($D53,Milestones!$AA$115)&lt;=AsOfDate,IF($R53=0,$X53,IF(AND($T53&lt;&gt;"",EDATE($D53,Milestones!$AA$115)&gt;=$T53),$W53,IF(AND($S53&lt;&gt;"",EDATE($D53,Milestones!$AA$115)&gt;=$S53),$V53,$U53)))=Milestones!$AB$115),UPPER(TEXT(EDATE($D53,Milestones!$AA$115),"dd mmm yy"))&amp;" "&amp;Milestones!$AB$115&amp;" "&amp;Milestones!$AC$115&amp;";  ","")&amp;IF(AND(EDATE($D53,Milestones!$AA$116)&lt;=AsOfDate,IF($R53=0,$X53,IF(AND($T53&lt;&gt;"",EDATE($D53,Milestones!$AA$116)&gt;=$T53),$W53,IF(AND($S53&lt;&gt;"",EDATE($D53,Milestones!$AA$116)&gt;=$S53),$V53,$U53)))=Milestones!$AB$116),UPPER(TEXT(EDATE($D53,Milestones!$AA$116),"dd mmm yy"))&amp;" "&amp;Milestones!$AB$116&amp;" "&amp;Milestones!$AC$116&amp;";  ","")&amp;IF(AND(EDATE($D53,Milestones!$AA$117)&lt;=AsOfDate,IF($R53=0,$X53,IF(AND($T53&lt;&gt;"",EDATE($D53,Milestones!$AA$117)&gt;=$T53),$W53,IF(AND($S53&lt;&gt;"",EDATE($D53,Milestones!$AA$117)&gt;=$S53),$V53,$U53)))=Milestones!$AB$117),UPPER(TEXT(EDATE($D53,Milestones!$AA$117),"dd mmm yy"))&amp;" "&amp;Milestones!$AB$117&amp;" "&amp;Milestones!$AC$117&amp;";  ","")&amp;IF(AND(EDATE($D53,Milestones!$AA$118)&lt;=AsOfDate,IF($R53=0,$X53,IF(AND($T53&lt;&gt;"",EDATE($D53,Milestones!$AA$118)&gt;=$T53),$W53,IF(AND($S53&lt;&gt;"",EDATE($D53,Milestones!$AA$118)&gt;=$S53),$V53,$U53)))=Milestones!$AB$118),UPPER(TEXT(EDATE($D53,Milestones!$AA$118),"dd mmm yy"))&amp;" "&amp;Milestones!$AB$118&amp;" "&amp;Milestones!$AC$118&amp;";  ","")&amp;IF(AND(EDATE($D53,Milestones!$AA$119)&lt;=AsOfDate,IF($R53=0,$X53,IF(AND($T53&lt;&gt;"",EDATE($D53,Milestones!$AA$119)&gt;=$T53),$W53,IF(AND($S53&lt;&gt;"",EDATE($D53,Milestones!$AA$119)&gt;=$S53),$V53,$U53)))=Milestones!$AB$119),UPPER(TEXT(EDATE($D53,Milestones!$AA$119),"dd mmm yy"))&amp;" "&amp;Milestones!$AB$119&amp;" "&amp;Milestones!$AC$119&amp;";  ",""))</f>
        <v/>
      </c>
      <c r="N53" s="0" t="str">
        <f aca="false">IF(OR($A53="",$D53=""),"",IF(AND(EDATE($D53,Milestones!$AA$120)&lt;=AsOfDate,IF($R53=0,$X53,IF(AND($T53&lt;&gt;"",EDATE($D53,Milestones!$AA$120)&gt;=$T53),$W53,IF(AND($S53&lt;&gt;"",EDATE($D53,Milestones!$AA$120)&gt;=$S53),$V53,$U53)))=Milestones!$AB$120),UPPER(TEXT(EDATE($D53,Milestones!$AA$120),"dd mmm yy"))&amp;" "&amp;Milestones!$AB$120&amp;" "&amp;Milestones!$AC$120&amp;";  ","")&amp;IF(AND(EDATE($D53,Milestones!$AA$121)&lt;=AsOfDate,IF($R53=0,$X53,IF(AND($T53&lt;&gt;"",EDATE($D53,Milestones!$AA$121)&gt;=$T53),$W53,IF(AND($S53&lt;&gt;"",EDATE($D53,Milestones!$AA$121)&gt;=$S53),$V53,$U53)))=Milestones!$AB$121),UPPER(TEXT(EDATE($D53,Milestones!$AA$121),"dd mmm yy"))&amp;" "&amp;Milestones!$AB$121&amp;" "&amp;Milestones!$AC$121&amp;";  ","")&amp;IF(AND(EDATE($D53,Milestones!$AA$122)&lt;=AsOfDate,IF($R53=0,$X53,IF(AND($T53&lt;&gt;"",EDATE($D53,Milestones!$AA$122)&gt;=$T53),$W53,IF(AND($S53&lt;&gt;"",EDATE($D53,Milestones!$AA$122)&gt;=$S53),$V53,$U53)))=Milestones!$AB$122),UPPER(TEXT(EDATE($D53,Milestones!$AA$122),"dd mmm yy"))&amp;" "&amp;Milestones!$AB$122&amp;" "&amp;Milestones!$AC$122&amp;";  ","")&amp;IF(AND(EDATE($D53,Milestones!$AA$123)&lt;=AsOfDate,IF($R53=0,$X53,IF(AND($T53&lt;&gt;"",EDATE($D53,Milestones!$AA$123)&gt;=$T53),$W53,IF(AND($S53&lt;&gt;"",EDATE($D53,Milestones!$AA$123)&gt;=$S53),$V53,$U53)))=Milestones!$AB$123),UPPER(TEXT(EDATE($D53,Milestones!$AA$123),"dd mmm yy"))&amp;" "&amp;Milestones!$AB$123&amp;" "&amp;Milestones!$AC$123&amp;";  ","")&amp;IF(AND(EDATE($D53,Milestones!$AA$124)&lt;=AsOfDate,IF($R53=0,$X53,IF(AND($T53&lt;&gt;"",EDATE($D53,Milestones!$AA$124)&gt;=$T53),$W53,IF(AND($S53&lt;&gt;"",EDATE($D53,Milestones!$AA$124)&gt;=$S53),$V53,$U53)))=Milestones!$AB$124),UPPER(TEXT(EDATE($D53,Milestones!$AA$124),"dd mmm yy"))&amp;" "&amp;Milestones!$AB$124&amp;" "&amp;Milestones!$AC$124&amp;";  ","")&amp;IF(AND(EDATE($D53,Milestones!$AA$125)&lt;=AsOfDate,IF($R53=0,$X53,IF(AND($T53&lt;&gt;"",EDATE($D53,Milestones!$AA$125)&gt;=$T53),$W53,IF(AND($S53&lt;&gt;"",EDATE($D53,Milestones!$AA$125)&gt;=$S53),$V53,$U53)))=Milestones!$AB$125),UPPER(TEXT(EDATE($D53,Milestones!$AA$125),"dd mmm yy"))&amp;" "&amp;Milestones!$AB$125&amp;" "&amp;Milestones!$AC$125&amp;";  ","")&amp;IF(AND(EDATE($D53,Milestones!$AA$126)&lt;=AsOfDate,IF($R53=0,$X53,IF(AND($T53&lt;&gt;"",EDATE($D53,Milestones!$AA$126)&gt;=$T53),$W53,IF(AND($S53&lt;&gt;"",EDATE($D53,Milestones!$AA$126)&gt;=$S53),$V53,$U53)))=Milestones!$AB$126),UPPER(TEXT(EDATE($D53,Milestones!$AA$126),"dd mmm yy"))&amp;" "&amp;Milestones!$AB$126&amp;" "&amp;Milestones!$AC$126&amp;";  ","")&amp;IF(AND(EDATE($D53,Milestones!$AA$127)&lt;=AsOfDate,IF($R53=0,$X53,IF(AND($T53&lt;&gt;"",EDATE($D53,Milestones!$AA$127)&gt;=$T53),$W53,IF(AND($S53&lt;&gt;"",EDATE($D53,Milestones!$AA$127)&gt;=$S53),$V53,$U53)))=Milestones!$AB$127),UPPER(TEXT(EDATE($D53,Milestones!$AA$127),"dd mmm yy"))&amp;" "&amp;Milestones!$AB$127&amp;" "&amp;Milestones!$AC$127&amp;";  ","")&amp;IF(AND(EDATE($D53,Milestones!$AA$128)&lt;=AsOfDate,IF($R53=0,$X53,IF(AND($T53&lt;&gt;"",EDATE($D53,Milestones!$AA$128)&gt;=$T53),$W53,IF(AND($S53&lt;&gt;"",EDATE($D53,Milestones!$AA$128)&gt;=$S53),$V53,$U53)))=Milestones!$AB$128),UPPER(TEXT(EDATE($D53,Milestones!$AA$128),"dd mmm yy"))&amp;" "&amp;Milestones!$AB$128&amp;" "&amp;Milestones!$AC$128&amp;";  ","")&amp;IF(AND(EDATE($D53,Milestones!$AA$129)&lt;=AsOfDate,IF($R53=0,$X53,IF(AND($T53&lt;&gt;"",EDATE($D53,Milestones!$AA$129)&gt;=$T53),$W53,IF(AND($S53&lt;&gt;"",EDATE($D53,Milestones!$AA$129)&gt;=$S53),$V53,$U53)))=Milestones!$AB$129),UPPER(TEXT(EDATE($D53,Milestones!$AA$129),"dd mmm yy"))&amp;" "&amp;Milestones!$AB$129&amp;" "&amp;Milestones!$AC$129&amp;";  ","")&amp;IF(AND(EDATE($D53,Milestones!$AA$130)&lt;=AsOfDate,IF($R53=0,$X53,IF(AND($T53&lt;&gt;"",EDATE($D53,Milestones!$AA$130)&gt;=$T53),$W53,IF(AND($S53&lt;&gt;"",EDATE($D53,Milestones!$AA$130)&gt;=$S53),$V53,$U53)))=Milestones!$AB$130),UPPER(TEXT(EDATE($D53,Milestones!$AA$130),"dd mmm yy"))&amp;" "&amp;Milestones!$AB$130&amp;" "&amp;Milestones!$AC$130&amp;";  ","")&amp;IF(AND(EDATE($D53,Milestones!$AA$131)&lt;=AsOfDate,IF($R53=0,$X53,IF(AND($T53&lt;&gt;"",EDATE($D53,Milestones!$AA$131)&gt;=$T53),$W53,IF(AND($S53&lt;&gt;"",EDATE($D53,Milestones!$AA$131)&gt;=$S53),$V53,$U53)))=Milestones!$AB$131),UPPER(TEXT(EDATE($D53,Milestones!$AA$131),"dd mmm yy"))&amp;" "&amp;Milestones!$AB$131&amp;" "&amp;Milestones!$AC$131&amp;";  ","")&amp;IF(AND(EDATE($D53,Milestones!$AA$132)&lt;=AsOfDate,IF($R53=0,$X53,IF(AND($T53&lt;&gt;"",EDATE($D53,Milestones!$AA$132)&gt;=$T53),$W53,IF(AND($S53&lt;&gt;"",EDATE($D53,Milestones!$AA$132)&gt;=$S53),$V53,$U53)))=Milestones!$AB$132),UPPER(TEXT(EDATE($D53,Milestones!$AA$132),"dd mmm yy"))&amp;" "&amp;Milestones!$AB$132&amp;" "&amp;Milestones!$AC$132&amp;";  ","")&amp;IF(AND(EDATE($D53,Milestones!$AA$133)&lt;=AsOfDate,IF($R53=0,$X53,IF(AND($T53&lt;&gt;"",EDATE($D53,Milestones!$AA$133)&gt;=$T53),$W53,IF(AND($S53&lt;&gt;"",EDATE($D53,Milestones!$AA$133)&gt;=$S53),$V53,$U53)))=Milestones!$AB$133),UPPER(TEXT(EDATE($D53,Milestones!$AA$133),"dd mmm yy"))&amp;" "&amp;Milestones!$AB$133&amp;" "&amp;Milestones!$AC$133&amp;";  ","")&amp;IF(AND(EDATE($D53,Milestones!$AA$134)&lt;=AsOfDate,IF($R53=0,$X53,IF(AND($T53&lt;&gt;"",EDATE($D53,Milestones!$AA$134)&gt;=$T53),$W53,IF(AND($S53&lt;&gt;"",EDATE($D53,Milestones!$AA$134)&gt;=$S53),$V53,$U53)))=Milestones!$AB$134),UPPER(TEXT(EDATE($D53,Milestones!$AA$134),"dd mmm yy"))&amp;" "&amp;Milestones!$AB$134&amp;" "&amp;Milestones!$AC$134&amp;";  ","")&amp;IF(AND(EDATE($D53,Milestones!$AA$135)&lt;=AsOfDate,IF($R53=0,$X53,IF(AND($T53&lt;&gt;"",EDATE($D53,Milestones!$AA$135)&gt;=$T53),$W53,IF(AND($S53&lt;&gt;"",EDATE($D53,Milestones!$AA$135)&gt;=$S53),$V53,$U53)))=Milestones!$AB$135),UPPER(TEXT(EDATE($D53,Milestones!$AA$135),"dd mmm yy"))&amp;" "&amp;Milestones!$AB$135&amp;" "&amp;Milestones!$AC$135&amp;";  ","")&amp;IF(AND(EDATE($D53,Milestones!$AA$136)&lt;=AsOfDate,IF($R53=0,$X53,IF(AND($T53&lt;&gt;"",EDATE($D53,Milestones!$AA$136)&gt;=$T53),$W53,IF(AND($S53&lt;&gt;"",EDATE($D53,Milestones!$AA$136)&gt;=$S53),$V53,$U53)))=Milestones!$AB$136),UPPER(TEXT(EDATE($D53,Milestones!$AA$136),"dd mmm yy"))&amp;" "&amp;Milestones!$AB$136&amp;" "&amp;Milestones!$AC$136&amp;";  ","")&amp;IF(AND(EDATE($D53,Milestones!$AA$137)&lt;=AsOfDate,IF($R53=0,$X53,IF(AND($T53&lt;&gt;"",EDATE($D53,Milestones!$AA$137)&gt;=$T53),$W53,IF(AND($S53&lt;&gt;"",EDATE($D53,Milestones!$AA$137)&gt;=$S53),$V53,$U53)))=Milestones!$AB$137),UPPER(TEXT(EDATE($D53,Milestones!$AA$137),"dd mmm yy"))&amp;" "&amp;Milestones!$AB$137&amp;" "&amp;Milestones!$AC$137&amp;";  ","")&amp;IF(AND(EDATE($D53,Milestones!$AA$138)&lt;=AsOfDate,IF($R53=0,$X53,IF(AND($T53&lt;&gt;"",EDATE($D53,Milestones!$AA$138)&gt;=$T53),$W53,IF(AND($S53&lt;&gt;"",EDATE($D53,Milestones!$AA$138)&gt;=$S53),$V53,$U53)))=Milestones!$AB$138),UPPER(TEXT(EDATE($D53,Milestones!$AA$138),"dd mmm yy"))&amp;" "&amp;Milestones!$AB$138&amp;" "&amp;Milestones!$AC$138&amp;";  ","")&amp;IF(AND(EDATE($D53,Milestones!$AA$139)&lt;=AsOfDate,IF($R53=0,$X53,IF(AND($T53&lt;&gt;"",EDATE($D53,Milestones!$AA$139)&gt;=$T53),$W53,IF(AND($S53&lt;&gt;"",EDATE($D53,Milestones!$AA$139)&gt;=$S53),$V53,$U53)))=Milestones!$AB$139),UPPER(TEXT(EDATE($D53,Milestones!$AA$139),"dd mmm yy"))&amp;" "&amp;Milestones!$AB$139&amp;" "&amp;Milestones!$AC$139&amp;";  ",""))</f>
        <v/>
      </c>
      <c r="O53" s="0" t="str">
        <f aca="false">IF(OR($A53="",$D53=""),"",IF(AND(EDATE($D53,Milestones!$AA$140)&lt;=AsOfDate,IF($R53=0,$X53,IF(AND($T53&lt;&gt;"",EDATE($D53,Milestones!$AA$140)&gt;=$T53),$W53,IF(AND($S53&lt;&gt;"",EDATE($D53,Milestones!$AA$140)&gt;=$S53),$V53,$U53)))=Milestones!$AB$140),UPPER(TEXT(EDATE($D53,Milestones!$AA$140),"dd mmm yy"))&amp;" "&amp;Milestones!$AB$140&amp;" "&amp;Milestones!$AC$140&amp;";  ","")&amp;IF(AND(EDATE($D53,Milestones!$AA$141)&lt;=AsOfDate,IF($R53=0,$X53,IF(AND($T53&lt;&gt;"",EDATE($D53,Milestones!$AA$141)&gt;=$T53),$W53,IF(AND($S53&lt;&gt;"",EDATE($D53,Milestones!$AA$141)&gt;=$S53),$V53,$U53)))=Milestones!$AB$141),UPPER(TEXT(EDATE($D53,Milestones!$AA$141),"dd mmm yy"))&amp;" "&amp;Milestones!$AB$141&amp;" "&amp;Milestones!$AC$141&amp;";  ","")&amp;IF(AND(EDATE($D53,Milestones!$AA$142)&lt;=AsOfDate,IF($R53=0,$X53,IF(AND($T53&lt;&gt;"",EDATE($D53,Milestones!$AA$142)&gt;=$T53),$W53,IF(AND($S53&lt;&gt;"",EDATE($D53,Milestones!$AA$142)&gt;=$S53),$V53,$U53)))=Milestones!$AB$142),UPPER(TEXT(EDATE($D53,Milestones!$AA$142),"dd mmm yy"))&amp;" "&amp;Milestones!$AB$142&amp;" "&amp;Milestones!$AC$142&amp;";  ","")&amp;IF(AND(EDATE($D53,Milestones!$AA$143)&lt;=AsOfDate,IF($R53=0,$X53,IF(AND($T53&lt;&gt;"",EDATE($D53,Milestones!$AA$143)&gt;=$T53),$W53,IF(AND($S53&lt;&gt;"",EDATE($D53,Milestones!$AA$143)&gt;=$S53),$V53,$U53)))=Milestones!$AB$143),UPPER(TEXT(EDATE($D53,Milestones!$AA$143),"dd mmm yy"))&amp;" "&amp;Milestones!$AB$143&amp;" "&amp;Milestones!$AC$143&amp;";  ","")&amp;IF(AND(EDATE($D53,Milestones!$AA$144)&lt;=AsOfDate,IF($R53=0,$X53,IF(AND($T53&lt;&gt;"",EDATE($D53,Milestones!$AA$144)&gt;=$T53),$W53,IF(AND($S53&lt;&gt;"",EDATE($D53,Milestones!$AA$144)&gt;=$S53),$V53,$U53)))=Milestones!$AB$144),UPPER(TEXT(EDATE($D53,Milestones!$AA$144),"dd mmm yy"))&amp;" "&amp;Milestones!$AB$144&amp;" "&amp;Milestones!$AC$144&amp;";  ","")&amp;IF(AND(EDATE($D53,Milestones!$AA$145)&lt;=AsOfDate,IF($R53=0,$X53,IF(AND($T53&lt;&gt;"",EDATE($D53,Milestones!$AA$145)&gt;=$T53),$W53,IF(AND($S53&lt;&gt;"",EDATE($D53,Milestones!$AA$145)&gt;=$S53),$V53,$U53)))=Milestones!$AB$145),UPPER(TEXT(EDATE($D53,Milestones!$AA$145),"dd mmm yy"))&amp;" "&amp;Milestones!$AB$145&amp;" "&amp;Milestones!$AC$145&amp;";  ","")&amp;IF(AND(EDATE($D53,Milestones!$AA$146)&lt;=AsOfDate,IF($R53=0,$X53,IF(AND($T53&lt;&gt;"",EDATE($D53,Milestones!$AA$146)&gt;=$T53),$W53,IF(AND($S53&lt;&gt;"",EDATE($D53,Milestones!$AA$146)&gt;=$S53),$V53,$U53)))=Milestones!$AB$146),UPPER(TEXT(EDATE($D53,Milestones!$AA$146),"dd mmm yy"))&amp;" "&amp;Milestones!$AB$146&amp;" "&amp;Milestones!$AC$146&amp;";  ","")&amp;IF(AND(EDATE($D53,Milestones!$AA$147)&lt;=AsOfDate,IF($R53=0,$X53,IF(AND($T53&lt;&gt;"",EDATE($D53,Milestones!$AA$147)&gt;=$T53),$W53,IF(AND($S53&lt;&gt;"",EDATE($D53,Milestones!$AA$147)&gt;=$S53),$V53,$U53)))=Milestones!$AB$147),UPPER(TEXT(EDATE($D53,Milestones!$AA$147),"dd mmm yy"))&amp;" "&amp;Milestones!$AB$147&amp;" "&amp;Milestones!$AC$147&amp;";  ","")&amp;IF(AND(EDATE($D53,Milestones!$AA$148)&lt;=AsOfDate,IF($R53=0,$X53,IF(AND($T53&lt;&gt;"",EDATE($D53,Milestones!$AA$148)&gt;=$T53),$W53,IF(AND($S53&lt;&gt;"",EDATE($D53,Milestones!$AA$148)&gt;=$S53),$V53,$U53)))=Milestones!$AB$148),UPPER(TEXT(EDATE($D53,Milestones!$AA$148),"dd mmm yy"))&amp;" "&amp;Milestones!$AB$148&amp;" "&amp;Milestones!$AC$148&amp;";  ","")&amp;IF(AND(EDATE($D53,Milestones!$AA$149)&lt;=AsOfDate,IF($R53=0,$X53,IF(AND($T53&lt;&gt;"",EDATE($D53,Milestones!$AA$149)&gt;=$T53),$W53,IF(AND($S53&lt;&gt;"",EDATE($D53,Milestones!$AA$149)&gt;=$S53),$V53,$U53)))=Milestones!$AB$149),UPPER(TEXT(EDATE($D53,Milestones!$AA$149),"dd mmm yy"))&amp;" "&amp;Milestones!$AB$149&amp;" "&amp;Milestones!$AC$149&amp;";  ","")&amp;IF(AND(EDATE($D53,Milestones!$AA$150)&lt;=AsOfDate,IF($R53=0,$X53,IF(AND($T53&lt;&gt;"",EDATE($D53,Milestones!$AA$150)&gt;=$T53),$W53,IF(AND($S53&lt;&gt;"",EDATE($D53,Milestones!$AA$150)&gt;=$S53),$V53,$U53)))=Milestones!$AB$150),UPPER(TEXT(EDATE($D53,Milestones!$AA$150),"dd mmm yy"))&amp;" "&amp;Milestones!$AB$150&amp;" "&amp;Milestones!$AC$150&amp;";  ","")&amp;IF(AND(EDATE($D53,Milestones!$AA$151)&lt;=AsOfDate,IF($R53=0,$X53,IF(AND($T53&lt;&gt;"",EDATE($D53,Milestones!$AA$151)&gt;=$T53),$W53,IF(AND($S53&lt;&gt;"",EDATE($D53,Milestones!$AA$151)&gt;=$S53),$V53,$U53)))=Milestones!$AB$151),UPPER(TEXT(EDATE($D53,Milestones!$AA$151),"dd mmm yy"))&amp;" "&amp;Milestones!$AB$151&amp;" "&amp;Milestones!$AC$151&amp;";  ","")&amp;IF(AND(EDATE($D53,Milestones!$AA$152)&lt;=AsOfDate,IF($R53=0,$X53,IF(AND($T53&lt;&gt;"",EDATE($D53,Milestones!$AA$152)&gt;=$T53),$W53,IF(AND($S53&lt;&gt;"",EDATE($D53,Milestones!$AA$152)&gt;=$S53),$V53,$U53)))=Milestones!$AB$152),UPPER(TEXT(EDATE($D53,Milestones!$AA$152),"dd mmm yy"))&amp;" "&amp;Milestones!$AB$152&amp;" "&amp;Milestones!$AC$152&amp;";  ","")&amp;IF(AND(EDATE($D53,Milestones!$AA$153)&lt;=AsOfDate,IF($R53=0,$X53,IF(AND($T53&lt;&gt;"",EDATE($D53,Milestones!$AA$153)&gt;=$T53),$W53,IF(AND($S53&lt;&gt;"",EDATE($D53,Milestones!$AA$153)&gt;=$S53),$V53,$U53)))=Milestones!$AB$153),UPPER(TEXT(EDATE($D53,Milestones!$AA$153),"dd mmm yy"))&amp;" "&amp;Milestones!$AB$153&amp;" "&amp;Milestones!$AC$153&amp;";  ","")&amp;IF(AND(EDATE($D53,Milestones!$AA$154)&lt;=AsOfDate,IF($R53=0,$X53,IF(AND($T53&lt;&gt;"",EDATE($D53,Milestones!$AA$154)&gt;=$T53),$W53,IF(AND($S53&lt;&gt;"",EDATE($D53,Milestones!$AA$154)&gt;=$S53),$V53,$U53)))=Milestones!$AB$154),UPPER(TEXT(EDATE($D53,Milestones!$AA$154),"dd mmm yy"))&amp;" "&amp;Milestones!$AB$154&amp;" "&amp;Milestones!$AC$154&amp;";  ","")&amp;IF(AND(EDATE($D53,Milestones!$AA$155)&lt;=AsOfDate,IF($R53=0,$X53,IF(AND($T53&lt;&gt;"",EDATE($D53,Milestones!$AA$155)&gt;=$T53),$W53,IF(AND($S53&lt;&gt;"",EDATE($D53,Milestones!$AA$155)&gt;=$S53),$V53,$U53)))=Milestones!$AB$155),UPPER(TEXT(EDATE($D53,Milestones!$AA$155),"dd mmm yy"))&amp;" "&amp;Milestones!$AB$155&amp;" "&amp;Milestones!$AC$155&amp;";  ","")&amp;IF(AND(EDATE($D53,Milestones!$AA$156)&lt;=AsOfDate,IF($R53=0,$X53,IF(AND($T53&lt;&gt;"",EDATE($D53,Milestones!$AA$156)&gt;=$T53),$W53,IF(AND($S53&lt;&gt;"",EDATE($D53,Milestones!$AA$156)&gt;=$S53),$V53,$U53)))=Milestones!$AB$156),UPPER(TEXT(EDATE($D53,Milestones!$AA$156),"dd mmm yy"))&amp;" "&amp;Milestones!$AB$156&amp;" "&amp;Milestones!$AC$156&amp;";  ","")&amp;IF(AND(EDATE($D53,Milestones!$AA$157)&lt;=AsOfDate,IF($R53=0,$X53,IF(AND($T53&lt;&gt;"",EDATE($D53,Milestones!$AA$157)&gt;=$T53),$W53,IF(AND($S53&lt;&gt;"",EDATE($D53,Milestones!$AA$157)&gt;=$S53),$V53,$U53)))=Milestones!$AB$157),UPPER(TEXT(EDATE($D53,Milestones!$AA$157),"dd mmm yy"))&amp;" "&amp;Milestones!$AB$157&amp;" "&amp;Milestones!$AC$157&amp;";  ","")&amp;IF(AND(EDATE($D53,Milestones!$AA$158)&lt;=AsOfDate,IF($R53=0,$X53,IF(AND($T53&lt;&gt;"",EDATE($D53,Milestones!$AA$158)&gt;=$T53),$W53,IF(AND($S53&lt;&gt;"",EDATE($D53,Milestones!$AA$158)&gt;=$S53),$V53,$U53)))=Milestones!$AB$158),UPPER(TEXT(EDATE($D53,Milestones!$AA$158),"dd mmm yy"))&amp;" "&amp;Milestones!$AB$158&amp;" "&amp;Milestones!$AC$158&amp;";  ","")&amp;IF(AND(EDATE($D53,Milestones!$AA$159)&lt;=AsOfDate,IF($R53=0,$X53,IF(AND($T53&lt;&gt;"",EDATE($D53,Milestones!$AA$159)&gt;=$T53),$W53,IF(AND($S53&lt;&gt;"",EDATE($D53,Milestones!$AA$159)&gt;=$S53),$V53,$U53)))=Milestones!$AB$159),UPPER(TEXT(EDATE($D53,Milestones!$AA$159),"dd mmm yy"))&amp;" "&amp;Milestones!$AB$159&amp;" "&amp;Milestones!$AC$159&amp;";  ",""))</f>
        <v/>
      </c>
      <c r="P53" s="0" t="str">
        <f aca="false">IF(OR($A53="",$D53=""),"",IF(AND(EDATE($D53,Milestones!$AA$160)&lt;=AsOfDate,IF($R53=0,$X53,IF(AND($T53&lt;&gt;"",EDATE($D53,Milestones!$AA$160)&gt;=$T53),$W53,IF(AND($S53&lt;&gt;"",EDATE($D53,Milestones!$AA$160)&gt;=$S53),$V53,$U53)))=Milestones!$AB$160),UPPER(TEXT(EDATE($D53,Milestones!$AA$160),"dd mmm yy"))&amp;" "&amp;Milestones!$AB$160&amp;" "&amp;Milestones!$AC$160&amp;";  ","")&amp;IF(AND(EDATE($D53,Milestones!$AA$161)&lt;=AsOfDate,IF($R53=0,$X53,IF(AND($T53&lt;&gt;"",EDATE($D53,Milestones!$AA$161)&gt;=$T53),$W53,IF(AND($S53&lt;&gt;"",EDATE($D53,Milestones!$AA$161)&gt;=$S53),$V53,$U53)))=Milestones!$AB$161),UPPER(TEXT(EDATE($D53,Milestones!$AA$161),"dd mmm yy"))&amp;" "&amp;Milestones!$AB$161&amp;" "&amp;Milestones!$AC$161&amp;";  ","")&amp;IF(AND(EDATE($D53,Milestones!$AA$162)&lt;=AsOfDate,IF($R53=0,$X53,IF(AND($T53&lt;&gt;"",EDATE($D53,Milestones!$AA$162)&gt;=$T53),$W53,IF(AND($S53&lt;&gt;"",EDATE($D53,Milestones!$AA$162)&gt;=$S53),$V53,$U53)))=Milestones!$AB$162),UPPER(TEXT(EDATE($D53,Milestones!$AA$162),"dd mmm yy"))&amp;" "&amp;Milestones!$AB$162&amp;" "&amp;Milestones!$AC$162&amp;";  ","")&amp;IF(AND(EDATE($D53,Milestones!$AA$163)&lt;=AsOfDate,IF($R53=0,$X53,IF(AND($T53&lt;&gt;"",EDATE($D53,Milestones!$AA$163)&gt;=$T53),$W53,IF(AND($S53&lt;&gt;"",EDATE($D53,Milestones!$AA$163)&gt;=$S53),$V53,$U53)))=Milestones!$AB$163),UPPER(TEXT(EDATE($D53,Milestones!$AA$163),"dd mmm yy"))&amp;" "&amp;Milestones!$AB$163&amp;" "&amp;Milestones!$AC$163&amp;";  ","")&amp;IF(AND(EDATE($D53,Milestones!$AA$164)&lt;=AsOfDate,IF($R53=0,$X53,IF(AND($T53&lt;&gt;"",EDATE($D53,Milestones!$AA$164)&gt;=$T53),$W53,IF(AND($S53&lt;&gt;"",EDATE($D53,Milestones!$AA$164)&gt;=$S53),$V53,$U53)))=Milestones!$AB$164),UPPER(TEXT(EDATE($D53,Milestones!$AA$164),"dd mmm yy"))&amp;" "&amp;Milestones!$AB$164&amp;" "&amp;Milestones!$AC$164&amp;";  ","")&amp;IF(AND(EDATE($D53,Milestones!$AA$165)&lt;=AsOfDate,IF($R53=0,$X53,IF(AND($T53&lt;&gt;"",EDATE($D53,Milestones!$AA$165)&gt;=$T53),$W53,IF(AND($S53&lt;&gt;"",EDATE($D53,Milestones!$AA$165)&gt;=$S53),$V53,$U53)))=Milestones!$AB$165),UPPER(TEXT(EDATE($D53,Milestones!$AA$165),"dd mmm yy"))&amp;" "&amp;Milestones!$AB$165&amp;" "&amp;Milestones!$AC$165&amp;";  ","")&amp;IF(AND(EDATE($D53,Milestones!$AA$166)&lt;=AsOfDate,IF($R53=0,$X53,IF(AND($T53&lt;&gt;"",EDATE($D53,Milestones!$AA$166)&gt;=$T53),$W53,IF(AND($S53&lt;&gt;"",EDATE($D53,Milestones!$AA$166)&gt;=$S53),$V53,$U53)))=Milestones!$AB$166),UPPER(TEXT(EDATE($D53,Milestones!$AA$166),"dd mmm yy"))&amp;" "&amp;Milestones!$AB$166&amp;" "&amp;Milestones!$AC$166&amp;";  ","")&amp;IF(AND(EDATE($D53,Milestones!$AA$167)&lt;=AsOfDate,IF($R53=0,$X53,IF(AND($T53&lt;&gt;"",EDATE($D53,Milestones!$AA$167)&gt;=$T53),$W53,IF(AND($S53&lt;&gt;"",EDATE($D53,Milestones!$AA$167)&gt;=$S53),$V53,$U53)))=Milestones!$AB$167),UPPER(TEXT(EDATE($D53,Milestones!$AA$167),"dd mmm yy"))&amp;" "&amp;Milestones!$AB$167&amp;" "&amp;Milestones!$AC$167&amp;";  ","")&amp;IF(AND(EDATE($D53,Milestones!$AA$168)&lt;=AsOfDate,IF($R53=0,$X53,IF(AND($T53&lt;&gt;"",EDATE($D53,Milestones!$AA$168)&gt;=$T53),$W53,IF(AND($S53&lt;&gt;"",EDATE($D53,Milestones!$AA$168)&gt;=$S53),$V53,$U53)))=Milestones!$AB$168),UPPER(TEXT(EDATE($D53,Milestones!$AA$168),"dd mmm yy"))&amp;" "&amp;Milestones!$AB$168&amp;" "&amp;Milestones!$AC$168&amp;";  ","")&amp;IF(AND(EDATE($D53,Milestones!$AA$169)&lt;=AsOfDate,IF($R53=0,$X53,IF(AND($T53&lt;&gt;"",EDATE($D53,Milestones!$AA$169)&gt;=$T53),$W53,IF(AND($S53&lt;&gt;"",EDATE($D53,Milestones!$AA$169)&gt;=$S53),$V53,$U53)))=Milestones!$AB$169),UPPER(TEXT(EDATE($D53,Milestones!$AA$169),"dd mmm yy"))&amp;" "&amp;Milestones!$AB$169&amp;" "&amp;Milestones!$AC$169&amp;";  ","")&amp;IF(AND(EDATE($D53,Milestones!$AA$170)&lt;=AsOfDate,IF($R53=0,$X53,IF(AND($T53&lt;&gt;"",EDATE($D53,Milestones!$AA$170)&gt;=$T53),$W53,IF(AND($S53&lt;&gt;"",EDATE($D53,Milestones!$AA$170)&gt;=$S53),$V53,$U53)))=Milestones!$AB$170),UPPER(TEXT(EDATE($D53,Milestones!$AA$170),"dd mmm yy"))&amp;" "&amp;Milestones!$AB$170&amp;" "&amp;Milestones!$AC$170&amp;";  ","")&amp;IF(AND(EDATE($D53,Milestones!$AA$171)&lt;=AsOfDate,IF($R53=0,$X53,IF(AND($T53&lt;&gt;"",EDATE($D53,Milestones!$AA$171)&gt;=$T53),$W53,IF(AND($S53&lt;&gt;"",EDATE($D53,Milestones!$AA$171)&gt;=$S53),$V53,$U53)))=Milestones!$AB$171),UPPER(TEXT(EDATE($D53,Milestones!$AA$171),"dd mmm yy"))&amp;" "&amp;Milestones!$AB$171&amp;" "&amp;Milestones!$AC$171&amp;";  ","")&amp;IF(AND(EDATE($D53,Milestones!$AA$172)&lt;=AsOfDate,IF($R53=0,$X53,IF(AND($T53&lt;&gt;"",EDATE($D53,Milestones!$AA$172)&gt;=$T53),$W53,IF(AND($S53&lt;&gt;"",EDATE($D53,Milestones!$AA$172)&gt;=$S53),$V53,$U53)))=Milestones!$AB$172),UPPER(TEXT(EDATE($D53,Milestones!$AA$172),"dd mmm yy"))&amp;" "&amp;Milestones!$AB$172&amp;" "&amp;Milestones!$AC$172&amp;";  ","")&amp;IF(AND(EDATE($D53,Milestones!$AA$173)&lt;=AsOfDate,IF($R53=0,$X53,IF(AND($T53&lt;&gt;"",EDATE($D53,Milestones!$AA$173)&gt;=$T53),$W53,IF(AND($S53&lt;&gt;"",EDATE($D53,Milestones!$AA$173)&gt;=$S53),$V53,$U53)))=Milestones!$AB$173),UPPER(TEXT(EDATE($D53,Milestones!$AA$173),"dd mmm yy"))&amp;" "&amp;Milestones!$AB$173&amp;" "&amp;Milestones!$AC$173&amp;";  ","")&amp;IF(AND(EDATE($D53,Milestones!$AA$174)&lt;=AsOfDate,IF($R53=0,$X53,IF(AND($T53&lt;&gt;"",EDATE($D53,Milestones!$AA$174)&gt;=$T53),$W53,IF(AND($S53&lt;&gt;"",EDATE($D53,Milestones!$AA$174)&gt;=$S53),$V53,$U53)))=Milestones!$AB$174),UPPER(TEXT(EDATE($D53,Milestones!$AA$174),"dd mmm yy"))&amp;" "&amp;Milestones!$AB$174&amp;" "&amp;Milestones!$AC$174&amp;";  ","")&amp;IF(AND(EDATE($D53,Milestones!$AA$175)&lt;=AsOfDate,IF($R53=0,$X53,IF(AND($T53&lt;&gt;"",EDATE($D53,Milestones!$AA$175)&gt;=$T53),$W53,IF(AND($S53&lt;&gt;"",EDATE($D53,Milestones!$AA$175)&gt;=$S53),$V53,$U53)))=Milestones!$AB$175),UPPER(TEXT(EDATE($D53,Milestones!$AA$175),"dd mmm yy"))&amp;" "&amp;Milestones!$AB$175&amp;" "&amp;Milestones!$AC$175&amp;";  ","")&amp;IF(AND(EDATE($D53,Milestones!$AA$176)&lt;=AsOfDate,IF($R53=0,$X53,IF(AND($T53&lt;&gt;"",EDATE($D53,Milestones!$AA$176)&gt;=$T53),$W53,IF(AND($S53&lt;&gt;"",EDATE($D53,Milestones!$AA$176)&gt;=$S53),$V53,$U53)))=Milestones!$AB$176),UPPER(TEXT(EDATE($D53,Milestones!$AA$176),"dd mmm yy"))&amp;" "&amp;Milestones!$AB$176&amp;" "&amp;Milestones!$AC$176&amp;";  ","")&amp;IF(AND(EDATE($D53,Milestones!$AA$177)&lt;=AsOfDate,IF($R53=0,$X53,IF(AND($T53&lt;&gt;"",EDATE($D53,Milestones!$AA$177)&gt;=$T53),$W53,IF(AND($S53&lt;&gt;"",EDATE($D53,Milestones!$AA$177)&gt;=$S53),$V53,$U53)))=Milestones!$AB$177),UPPER(TEXT(EDATE($D53,Milestones!$AA$177),"dd mmm yy"))&amp;" "&amp;Milestones!$AB$177&amp;" "&amp;Milestones!$AC$177&amp;";  ","")&amp;IF(AND(EDATE($D53,Milestones!$AA$178)&lt;=AsOfDate,IF($R53=0,$X53,IF(AND($T53&lt;&gt;"",EDATE($D53,Milestones!$AA$178)&gt;=$T53),$W53,IF(AND($S53&lt;&gt;"",EDATE($D53,Milestones!$AA$178)&gt;=$S53),$V53,$U53)))=Milestones!$AB$178),UPPER(TEXT(EDATE($D53,Milestones!$AA$178),"dd mmm yy"))&amp;" "&amp;Milestones!$AB$178&amp;" "&amp;Milestones!$AC$178&amp;";  ","")&amp;IF(AND(EDATE($D53,Milestones!$AA$179)&lt;=AsOfDate,IF($R53=0,$X53,IF(AND($T53&lt;&gt;"",EDATE($D53,Milestones!$AA$179)&gt;=$T53),$W53,IF(AND($S53&lt;&gt;"",EDATE($D53,Milestones!$AA$179)&gt;=$S53),$V53,$U53)))=Milestones!$AB$179),UPPER(TEXT(EDATE($D53,Milestones!$AA$179),"dd mmm yy"))&amp;" "&amp;Milestones!$AB$179&amp;" "&amp;Milestones!$AC$179&amp;";  ",""))</f>
        <v/>
      </c>
      <c r="Q53" s="0" t="str">
        <f aca="false">IF(OR($A53="",$D53=""),"",IF(AND(EDATE($D53,Milestones!$AA$180)&lt;=AsOfDate,IF($R53=0,$X53,IF(AND($T53&lt;&gt;"",EDATE($D53,Milestones!$AA$180)&gt;=$T53),$W53,IF(AND($S53&lt;&gt;"",EDATE($D53,Milestones!$AA$180)&gt;=$S53),$V53,$U53)))=Milestones!$AB$180),UPPER(TEXT(EDATE($D53,Milestones!$AA$180),"dd mmm yy"))&amp;" "&amp;Milestones!$AB$180&amp;" "&amp;Milestones!$AC$180&amp;";  ","")&amp;IF(AND(EDATE($D53,Milestones!$AA$181)&lt;=AsOfDate,IF($R53=0,$X53,IF(AND($T53&lt;&gt;"",EDATE($D53,Milestones!$AA$181)&gt;=$T53),$W53,IF(AND($S53&lt;&gt;"",EDATE($D53,Milestones!$AA$181)&gt;=$S53),$V53,$U53)))=Milestones!$AB$181),UPPER(TEXT(EDATE($D53,Milestones!$AA$181),"dd mmm yy"))&amp;" "&amp;Milestones!$AB$181&amp;" "&amp;Milestones!$AC$181&amp;";  ","")&amp;IF(AND(EDATE($D53,Milestones!$AA$182)&lt;=AsOfDate,IF($R53=0,$X53,IF(AND($T53&lt;&gt;"",EDATE($D53,Milestones!$AA$182)&gt;=$T53),$W53,IF(AND($S53&lt;&gt;"",EDATE($D53,Milestones!$AA$182)&gt;=$S53),$V53,$U53)))=Milestones!$AB$182),UPPER(TEXT(EDATE($D53,Milestones!$AA$182),"dd mmm yy"))&amp;" "&amp;Milestones!$AB$182&amp;" "&amp;Milestones!$AC$182&amp;";  ","")&amp;IF(AND(EDATE($D53,Milestones!$AA$183)&lt;=AsOfDate,IF($R53=0,$X53,IF(AND($T53&lt;&gt;"",EDATE($D53,Milestones!$AA$183)&gt;=$T53),$W53,IF(AND($S53&lt;&gt;"",EDATE($D53,Milestones!$AA$183)&gt;=$S53),$V53,$U53)))=Milestones!$AB$183),UPPER(TEXT(EDATE($D53,Milestones!$AA$183),"dd mmm yy"))&amp;" "&amp;Milestones!$AB$183&amp;" "&amp;Milestones!$AC$183&amp;";  ","")&amp;IF(AND(EDATE($D53,Milestones!$AA$184)&lt;=AsOfDate,IF($R53=0,$X53,IF(AND($T53&lt;&gt;"",EDATE($D53,Milestones!$AA$184)&gt;=$T53),$W53,IF(AND($S53&lt;&gt;"",EDATE($D53,Milestones!$AA$184)&gt;=$S53),$V53,$U53)))=Milestones!$AB$184),UPPER(TEXT(EDATE($D53,Milestones!$AA$184),"dd mmm yy"))&amp;" "&amp;Milestones!$AB$184&amp;" "&amp;Milestones!$AC$184&amp;";  ","")&amp;IF(AND(EDATE($D53,Milestones!$AA$185)&lt;=AsOfDate,IF($R53=0,$X53,IF(AND($T53&lt;&gt;"",EDATE($D53,Milestones!$AA$185)&gt;=$T53),$W53,IF(AND($S53&lt;&gt;"",EDATE($D53,Milestones!$AA$185)&gt;=$S53),$V53,$U53)))=Milestones!$AB$185),UPPER(TEXT(EDATE($D53,Milestones!$AA$185),"dd mmm yy"))&amp;" "&amp;Milestones!$AB$185&amp;" "&amp;Milestones!$AC$185&amp;";  ","")&amp;IF(AND(EDATE($D53,Milestones!$AA$186)&lt;=AsOfDate,IF($R53=0,$X53,IF(AND($T53&lt;&gt;"",EDATE($D53,Milestones!$AA$186)&gt;=$T53),$W53,IF(AND($S53&lt;&gt;"",EDATE($D53,Milestones!$AA$186)&gt;=$S53),$V53,$U53)))=Milestones!$AB$186),UPPER(TEXT(EDATE($D53,Milestones!$AA$186),"dd mmm yy"))&amp;" "&amp;Milestones!$AB$186&amp;" "&amp;Milestones!$AC$186&amp;";  ","")&amp;IF(AND(EDATE($D53,Milestones!$AA$187)&lt;=AsOfDate,IF($R53=0,$X53,IF(AND($T53&lt;&gt;"",EDATE($D53,Milestones!$AA$187)&gt;=$T53),$W53,IF(AND($S53&lt;&gt;"",EDATE($D53,Milestones!$AA$187)&gt;=$S53),$V53,$U53)))=Milestones!$AB$187),UPPER(TEXT(EDATE($D53,Milestones!$AA$187),"dd mmm yy"))&amp;" "&amp;Milestones!$AB$187&amp;" "&amp;Milestones!$AC$187&amp;";  ","")&amp;IF(AND(EDATE($D53,Milestones!$AA$188)&lt;=AsOfDate,IF($R53=0,$X53,IF(AND($T53&lt;&gt;"",EDATE($D53,Milestones!$AA$188)&gt;=$T53),$W53,IF(AND($S53&lt;&gt;"",EDATE($D53,Milestones!$AA$188)&gt;=$S53),$V53,$U53)))=Milestones!$AB$188),UPPER(TEXT(EDATE($D53,Milestones!$AA$188),"dd mmm yy"))&amp;" "&amp;Milestones!$AB$188&amp;" "&amp;Milestones!$AC$188&amp;";  ","")&amp;IF(AND(EDATE($D53,Milestones!$AA$189)&lt;=AsOfDate,IF($R53=0,$X53,IF(AND($T53&lt;&gt;"",EDATE($D53,Milestones!$AA$189)&gt;=$T53),$W53,IF(AND($S53&lt;&gt;"",EDATE($D53,Milestones!$AA$189)&gt;=$S53),$V53,$U53)))=Milestones!$AB$189),UPPER(TEXT(EDATE($D53,Milestones!$AA$189),"dd mmm yy"))&amp;" "&amp;Milestones!$AB$189&amp;" "&amp;Milestones!$AC$189&amp;";  ","")&amp;IF(AND(EDATE($D53,Milestones!$AA$190)&lt;=AsOfDate,IF($R53=0,$X53,IF(AND($T53&lt;&gt;"",EDATE($D53,Milestones!$AA$190)&gt;=$T53),$W53,IF(AND($S53&lt;&gt;"",EDATE($D53,Milestones!$AA$190)&gt;=$S53),$V53,$U53)))=Milestones!$AB$190),UPPER(TEXT(EDATE($D53,Milestones!$AA$190),"dd mmm yy"))&amp;" "&amp;Milestones!$AB$190&amp;" "&amp;Milestones!$AC$190&amp;";  ","")&amp;IF(AND(EDATE($D53,Milestones!$AA$191)&lt;=AsOfDate,IF($R53=0,$X53,IF(AND($T53&lt;&gt;"",EDATE($D53,Milestones!$AA$191)&gt;=$T53),$W53,IF(AND($S53&lt;&gt;"",EDATE($D53,Milestones!$AA$191)&gt;=$S53),$V53,$U53)))=Milestones!$AB$191),UPPER(TEXT(EDATE($D53,Milestones!$AA$191),"dd mmm yy"))&amp;" "&amp;Milestones!$AB$191&amp;" "&amp;Milestones!$AC$191&amp;";  ","")&amp;IF(AND(EDATE($D53,Milestones!$AA$192)&lt;=AsOfDate,IF($R53=0,$X53,IF(AND($T53&lt;&gt;"",EDATE($D53,Milestones!$AA$192)&gt;=$T53),$W53,IF(AND($S53&lt;&gt;"",EDATE($D53,Milestones!$AA$192)&gt;=$S53),$V53,$U53)))=Milestones!$AB$192),UPPER(TEXT(EDATE($D53,Milestones!$AA$192),"dd mmm yy"))&amp;" "&amp;Milestones!$AB$192&amp;" "&amp;Milestones!$AC$192&amp;";  ","")&amp;IF(AND(EDATE($D53,Milestones!$AA$193)&lt;=AsOfDate,IF($R53=0,$X53,IF(AND($T53&lt;&gt;"",EDATE($D53,Milestones!$AA$193)&gt;=$T53),$W53,IF(AND($S53&lt;&gt;"",EDATE($D53,Milestones!$AA$193)&gt;=$S53),$V53,$U53)))=Milestones!$AB$193),UPPER(TEXT(EDATE($D53,Milestones!$AA$193),"dd mmm yy"))&amp;" "&amp;Milestones!$AB$193&amp;" "&amp;Milestones!$AC$193&amp;";  ","")&amp;IF(AND(EDATE($D53,Milestones!$AA$194)&lt;=AsOfDate,IF($R53=0,$X53,IF(AND($T53&lt;&gt;"",EDATE($D53,Milestones!$AA$194)&gt;=$T53),$W53,IF(AND($S53&lt;&gt;"",EDATE($D53,Milestones!$AA$194)&gt;=$S53),$V53,$U53)))=Milestones!$AB$194),UPPER(TEXT(EDATE($D53,Milestones!$AA$194),"dd mmm yy"))&amp;" "&amp;Milestones!$AB$194&amp;" "&amp;Milestones!$AC$194&amp;";  ","")&amp;IF(AND(EDATE($D53,Milestones!$AA$195)&lt;=AsOfDate,IF($R53=0,$X53,IF(AND($T53&lt;&gt;"",EDATE($D53,Milestones!$AA$195)&gt;=$T53),$W53,IF(AND($S53&lt;&gt;"",EDATE($D53,Milestones!$AA$195)&gt;=$S53),$V53,$U53)))=Milestones!$AB$195),UPPER(TEXT(EDATE($D53,Milestones!$AA$195),"dd mmm yy"))&amp;" "&amp;Milestones!$AB$195&amp;" "&amp;Milestones!$AC$195&amp;";  ","")&amp;IF(AND(EDATE($D53,Milestones!$AA$196)&lt;=AsOfDate,IF($R53=0,$X53,IF(AND($T53&lt;&gt;"",EDATE($D53,Milestones!$AA$196)&gt;=$T53),$W53,IF(AND($S53&lt;&gt;"",EDATE($D53,Milestones!$AA$196)&gt;=$S53),$V53,$U53)))=Milestones!$AB$196),UPPER(TEXT(EDATE($D53,Milestones!$AA$196),"dd mmm yy"))&amp;" "&amp;Milestones!$AB$196&amp;" "&amp;Milestones!$AC$196&amp;";  ","")&amp;IF(AND(EDATE($D53,Milestones!$AA$197)&lt;=AsOfDate,IF($R53=0,$X53,IF(AND($T53&lt;&gt;"",EDATE($D53,Milestones!$AA$197)&gt;=$T53),$W53,IF(AND($S53&lt;&gt;"",EDATE($D53,Milestones!$AA$197)&gt;=$S53),$V53,$U53)))=Milestones!$AB$197),UPPER(TEXT(EDATE($D53,Milestones!$AA$197),"dd mmm yy"))&amp;" "&amp;Milestones!$AB$197&amp;" "&amp;Milestones!$AC$197&amp;";  ","")&amp;IF(AND(EDATE($D53,Milestones!$AA$198)&lt;=AsOfDate,IF($R53=0,$X53,IF(AND($T53&lt;&gt;"",EDATE($D53,Milestones!$AA$198)&gt;=$T53),$W53,IF(AND($S53&lt;&gt;"",EDATE($D53,Milestones!$AA$198)&gt;=$S53),$V53,$U53)))=Milestones!$AB$198),UPPER(TEXT(EDATE($D53,Milestones!$AA$198),"dd mmm yy"))&amp;" "&amp;Milestones!$AB$198&amp;" "&amp;Milestones!$AC$198&amp;";  ","")&amp;IF(AND(EDATE($D53,Milestones!$AA$199)&lt;=AsOfDate,IF($R53=0,$X53,IF(AND($T53&lt;&gt;"",EDATE($D53,Milestones!$AA$199)&gt;=$T53),$W53,IF(AND($S53&lt;&gt;"",EDATE($D53,Milestones!$AA$199)&gt;=$S53),$V53,$U53)))=Milestones!$AB$199),UPPER(TEXT(EDATE($D53,Milestones!$AA$199),"dd mmm yy"))&amp;" "&amp;Milestones!$AB$199&amp;" "&amp;Milestones!$AC$199&amp;";  ",""))</f>
        <v/>
      </c>
      <c r="R53" s="33" t="n">
        <f aca="false">IF(Staff!$A53="","",Staff!$AI53)</f>
        <v>0</v>
      </c>
      <c r="S53" s="0" t="str">
        <f aca="false">IF(Staff!$A53="","",Staff!$AK53)</f>
        <v/>
      </c>
      <c r="T53" s="0" t="str">
        <f aca="false">IF(Staff!$A53="","",Staff!$AL53)</f>
        <v/>
      </c>
      <c r="U53" s="0" t="str">
        <f aca="false">IF(Staff!$A53="","",Staff!$AP53)</f>
        <v>None</v>
      </c>
      <c r="V53" s="0" t="str">
        <f aca="false">IF(Staff!$A53="","",Staff!$AQ53)</f>
        <v/>
      </c>
      <c r="W53" s="0" t="str">
        <f aca="false">IF(Staff!$A53="","",Staff!$AR53)</f>
        <v/>
      </c>
      <c r="X53" s="0" t="str">
        <f aca="false">IF(Staff!$A53="","",Staff!$AS53)</f>
        <v>None</v>
      </c>
    </row>
    <row r="54" customFormat="false" ht="23.85" hidden="false" customHeight="false" outlineLevel="0" collapsed="false">
      <c r="A54" s="19" t="str">
        <f aca="false">IF(Staff!$A54="","",Staff!$A54)</f>
        <v>Milo</v>
      </c>
      <c r="B54" s="19" t="str">
        <f aca="false">IF(Staff!$A54="","",Staff!$B54)</f>
        <v>RANKIN</v>
      </c>
      <c r="C54" s="19" t="str">
        <f aca="false">IF(Staff!$A54="","",Staff!$C54)</f>
        <v>Full-Time</v>
      </c>
      <c r="D54" s="17" t="n">
        <f aca="false">IF(Staff!$A54="","",Staff!$AH54)</f>
        <v>43682</v>
      </c>
      <c r="E54" s="20" t="n">
        <f aca="false">IF(Staff!$A54="","",Staff!$O54)</f>
        <v>18</v>
      </c>
      <c r="F54" s="19" t="n">
        <f aca="false">IF(E54="","",E54*HoursPerDay)</f>
        <v>144</v>
      </c>
      <c r="G54" s="20" t="n">
        <f aca="false">IF(Staff!$A54="","",Staff!$AE54)</f>
        <v>0</v>
      </c>
      <c r="H54" s="32" t="str">
        <f aca="false">IF($A54="","",I54&amp;J54&amp;K54&amp;L54&amp;M54&amp;N54&amp;O54&amp;P54&amp;Q54)</f>
        <v>05 AUG 22 FT 1;  05 DEC 22 FT 1;  05 APR 23 FT 1;  05 AUG 23 FT 1;  05 DEC 23 FT 1;  05 APR 24 FT 1;  05 AUG 24 FT 2;  05 NOV 24 FT 1;  05 FEB 25 FT 1;  05 MAY 25 FT 1;  05 AUG 25 FT 2;  05 NOV 25 FT 1;  05 FEB 26 FT 1;  05 MAY 26 FT 1;  05 AUG 26 FT 2;  </v>
      </c>
      <c r="I54" s="0" t="str">
        <f aca="false">IF(OR($A54="",$D54=""),"",IF(AND(EDATE($D54,Milestones!$AA$20)&lt;=AsOfDate,IF($R54=0,$X54,IF(AND($T54&lt;&gt;"",EDATE($D54,Milestones!$AA$20)&gt;=$T54),$W54,IF(AND($S54&lt;&gt;"",EDATE($D54,Milestones!$AA$20)&gt;=$S54),$V54,$U54)))=Milestones!$AB$20),UPPER(TEXT(EDATE($D54,Milestones!$AA$20),"dd mmm yy"))&amp;" "&amp;Milestones!$AB$20&amp;" "&amp;Milestones!$AC$20&amp;";  ","")&amp;IF(AND(EDATE($D54,Milestones!$AA$21)&lt;=AsOfDate,IF($R54=0,$X54,IF(AND($T54&lt;&gt;"",EDATE($D54,Milestones!$AA$21)&gt;=$T54),$W54,IF(AND($S54&lt;&gt;"",EDATE($D54,Milestones!$AA$21)&gt;=$S54),$V54,$U54)))=Milestones!$AB$21),UPPER(TEXT(EDATE($D54,Milestones!$AA$21),"dd mmm yy"))&amp;" "&amp;Milestones!$AB$21&amp;" "&amp;Milestones!$AC$21&amp;";  ","")&amp;IF(AND(EDATE($D54,Milestones!$AA$22)&lt;=AsOfDate,IF($R54=0,$X54,IF(AND($T54&lt;&gt;"",EDATE($D54,Milestones!$AA$22)&gt;=$T54),$W54,IF(AND($S54&lt;&gt;"",EDATE($D54,Milestones!$AA$22)&gt;=$S54),$V54,$U54)))=Milestones!$AB$22),UPPER(TEXT(EDATE($D54,Milestones!$AA$22),"dd mmm yy"))&amp;" "&amp;Milestones!$AB$22&amp;" "&amp;Milestones!$AC$22&amp;";  ","")&amp;IF(AND(EDATE($D54,Milestones!$AA$23)&lt;=AsOfDate,IF($R54=0,$X54,IF(AND($T54&lt;&gt;"",EDATE($D54,Milestones!$AA$23)&gt;=$T54),$W54,IF(AND($S54&lt;&gt;"",EDATE($D54,Milestones!$AA$23)&gt;=$S54),$V54,$U54)))=Milestones!$AB$23),UPPER(TEXT(EDATE($D54,Milestones!$AA$23),"dd mmm yy"))&amp;" "&amp;Milestones!$AB$23&amp;" "&amp;Milestones!$AC$23&amp;";  ","")&amp;IF(AND(EDATE($D54,Milestones!$AA$24)&lt;=AsOfDate,IF($R54=0,$X54,IF(AND($T54&lt;&gt;"",EDATE($D54,Milestones!$AA$24)&gt;=$T54),$W54,IF(AND($S54&lt;&gt;"",EDATE($D54,Milestones!$AA$24)&gt;=$S54),$V54,$U54)))=Milestones!$AB$24),UPPER(TEXT(EDATE($D54,Milestones!$AA$24),"dd mmm yy"))&amp;" "&amp;Milestones!$AB$24&amp;" "&amp;Milestones!$AC$24&amp;";  ","")&amp;IF(AND(EDATE($D54,Milestones!$AA$25)&lt;=AsOfDate,IF($R54=0,$X54,IF(AND($T54&lt;&gt;"",EDATE($D54,Milestones!$AA$25)&gt;=$T54),$W54,IF(AND($S54&lt;&gt;"",EDATE($D54,Milestones!$AA$25)&gt;=$S54),$V54,$U54)))=Milestones!$AB$25),UPPER(TEXT(EDATE($D54,Milestones!$AA$25),"dd mmm yy"))&amp;" "&amp;Milestones!$AB$25&amp;" "&amp;Milestones!$AC$25&amp;";  ","")&amp;IF(AND(EDATE($D54,Milestones!$AA$26)&lt;=AsOfDate,IF($R54=0,$X54,IF(AND($T54&lt;&gt;"",EDATE($D54,Milestones!$AA$26)&gt;=$T54),$W54,IF(AND($S54&lt;&gt;"",EDATE($D54,Milestones!$AA$26)&gt;=$S54),$V54,$U54)))=Milestones!$AB$26),UPPER(TEXT(EDATE($D54,Milestones!$AA$26),"dd mmm yy"))&amp;" "&amp;Milestones!$AB$26&amp;" "&amp;Milestones!$AC$26&amp;";  ","")&amp;IF(AND(EDATE($D54,Milestones!$AA$27)&lt;=AsOfDate,IF($R54=0,$X54,IF(AND($T54&lt;&gt;"",EDATE($D54,Milestones!$AA$27)&gt;=$T54),$W54,IF(AND($S54&lt;&gt;"",EDATE($D54,Milestones!$AA$27)&gt;=$S54),$V54,$U54)))=Milestones!$AB$27),UPPER(TEXT(EDATE($D54,Milestones!$AA$27),"dd mmm yy"))&amp;" "&amp;Milestones!$AB$27&amp;" "&amp;Milestones!$AC$27&amp;";  ","")&amp;IF(AND(EDATE($D54,Milestones!$AA$28)&lt;=AsOfDate,IF($R54=0,$X54,IF(AND($T54&lt;&gt;"",EDATE($D54,Milestones!$AA$28)&gt;=$T54),$W54,IF(AND($S54&lt;&gt;"",EDATE($D54,Milestones!$AA$28)&gt;=$S54),$V54,$U54)))=Milestones!$AB$28),UPPER(TEXT(EDATE($D54,Milestones!$AA$28),"dd mmm yy"))&amp;" "&amp;Milestones!$AB$28&amp;" "&amp;Milestones!$AC$28&amp;";  ","")&amp;IF(AND(EDATE($D54,Milestones!$AA$29)&lt;=AsOfDate,IF($R54=0,$X54,IF(AND($T54&lt;&gt;"",EDATE($D54,Milestones!$AA$29)&gt;=$T54),$W54,IF(AND($S54&lt;&gt;"",EDATE($D54,Milestones!$AA$29)&gt;=$S54),$V54,$U54)))=Milestones!$AB$29),UPPER(TEXT(EDATE($D54,Milestones!$AA$29),"dd mmm yy"))&amp;" "&amp;Milestones!$AB$29&amp;" "&amp;Milestones!$AC$29&amp;";  ","")&amp;IF(AND(EDATE($D54,Milestones!$AA$30)&lt;=AsOfDate,IF($R54=0,$X54,IF(AND($T54&lt;&gt;"",EDATE($D54,Milestones!$AA$30)&gt;=$T54),$W54,IF(AND($S54&lt;&gt;"",EDATE($D54,Milestones!$AA$30)&gt;=$S54),$V54,$U54)))=Milestones!$AB$30),UPPER(TEXT(EDATE($D54,Milestones!$AA$30),"dd mmm yy"))&amp;" "&amp;Milestones!$AB$30&amp;" "&amp;Milestones!$AC$30&amp;";  ","")&amp;IF(AND(EDATE($D54,Milestones!$AA$31)&lt;=AsOfDate,IF($R54=0,$X54,IF(AND($T54&lt;&gt;"",EDATE($D54,Milestones!$AA$31)&gt;=$T54),$W54,IF(AND($S54&lt;&gt;"",EDATE($D54,Milestones!$AA$31)&gt;=$S54),$V54,$U54)))=Milestones!$AB$31),UPPER(TEXT(EDATE($D54,Milestones!$AA$31),"dd mmm yy"))&amp;" "&amp;Milestones!$AB$31&amp;" "&amp;Milestones!$AC$31&amp;";  ","")&amp;IF(AND(EDATE($D54,Milestones!$AA$32)&lt;=AsOfDate,IF($R54=0,$X54,IF(AND($T54&lt;&gt;"",EDATE($D54,Milestones!$AA$32)&gt;=$T54),$W54,IF(AND($S54&lt;&gt;"",EDATE($D54,Milestones!$AA$32)&gt;=$S54),$V54,$U54)))=Milestones!$AB$32),UPPER(TEXT(EDATE($D54,Milestones!$AA$32),"dd mmm yy"))&amp;" "&amp;Milestones!$AB$32&amp;" "&amp;Milestones!$AC$32&amp;";  ","")&amp;IF(AND(EDATE($D54,Milestones!$AA$33)&lt;=AsOfDate,IF($R54=0,$X54,IF(AND($T54&lt;&gt;"",EDATE($D54,Milestones!$AA$33)&gt;=$T54),$W54,IF(AND($S54&lt;&gt;"",EDATE($D54,Milestones!$AA$33)&gt;=$S54),$V54,$U54)))=Milestones!$AB$33),UPPER(TEXT(EDATE($D54,Milestones!$AA$33),"dd mmm yy"))&amp;" "&amp;Milestones!$AB$33&amp;" "&amp;Milestones!$AC$33&amp;";  ","")&amp;IF(AND(EDATE($D54,Milestones!$AA$34)&lt;=AsOfDate,IF($R54=0,$X54,IF(AND($T54&lt;&gt;"",EDATE($D54,Milestones!$AA$34)&gt;=$T54),$W54,IF(AND($S54&lt;&gt;"",EDATE($D54,Milestones!$AA$34)&gt;=$S54),$V54,$U54)))=Milestones!$AB$34),UPPER(TEXT(EDATE($D54,Milestones!$AA$34),"dd mmm yy"))&amp;" "&amp;Milestones!$AB$34&amp;" "&amp;Milestones!$AC$34&amp;";  ","")&amp;IF(AND(EDATE($D54,Milestones!$AA$35)&lt;=AsOfDate,IF($R54=0,$X54,IF(AND($T54&lt;&gt;"",EDATE($D54,Milestones!$AA$35)&gt;=$T54),$W54,IF(AND($S54&lt;&gt;"",EDATE($D54,Milestones!$AA$35)&gt;=$S54),$V54,$U54)))=Milestones!$AB$35),UPPER(TEXT(EDATE($D54,Milestones!$AA$35),"dd mmm yy"))&amp;" "&amp;Milestones!$AB$35&amp;" "&amp;Milestones!$AC$35&amp;";  ","")&amp;IF(AND(EDATE($D54,Milestones!$AA$36)&lt;=AsOfDate,IF($R54=0,$X54,IF(AND($T54&lt;&gt;"",EDATE($D54,Milestones!$AA$36)&gt;=$T54),$W54,IF(AND($S54&lt;&gt;"",EDATE($D54,Milestones!$AA$36)&gt;=$S54),$V54,$U54)))=Milestones!$AB$36),UPPER(TEXT(EDATE($D54,Milestones!$AA$36),"dd mmm yy"))&amp;" "&amp;Milestones!$AB$36&amp;" "&amp;Milestones!$AC$36&amp;";  ","")&amp;IF(AND(EDATE($D54,Milestones!$AA$37)&lt;=AsOfDate,IF($R54=0,$X54,IF(AND($T54&lt;&gt;"",EDATE($D54,Milestones!$AA$37)&gt;=$T54),$W54,IF(AND($S54&lt;&gt;"",EDATE($D54,Milestones!$AA$37)&gt;=$S54),$V54,$U54)))=Milestones!$AB$37),UPPER(TEXT(EDATE($D54,Milestones!$AA$37),"dd mmm yy"))&amp;" "&amp;Milestones!$AB$37&amp;" "&amp;Milestones!$AC$37&amp;";  ","")&amp;IF(AND(EDATE($D54,Milestones!$AA$38)&lt;=AsOfDate,IF($R54=0,$X54,IF(AND($T54&lt;&gt;"",EDATE($D54,Milestones!$AA$38)&gt;=$T54),$W54,IF(AND($S54&lt;&gt;"",EDATE($D54,Milestones!$AA$38)&gt;=$S54),$V54,$U54)))=Milestones!$AB$38),UPPER(TEXT(EDATE($D54,Milestones!$AA$38),"dd mmm yy"))&amp;" "&amp;Milestones!$AB$38&amp;" "&amp;Milestones!$AC$38&amp;";  ","")&amp;IF(AND(EDATE($D54,Milestones!$AA$39)&lt;=AsOfDate,IF($R54=0,$X54,IF(AND($T54&lt;&gt;"",EDATE($D54,Milestones!$AA$39)&gt;=$T54),$W54,IF(AND($S54&lt;&gt;"",EDATE($D54,Milestones!$AA$39)&gt;=$S54),$V54,$U54)))=Milestones!$AB$39),UPPER(TEXT(EDATE($D54,Milestones!$AA$39),"dd mmm yy"))&amp;" "&amp;Milestones!$AB$39&amp;" "&amp;Milestones!$AC$39&amp;";  ",""))</f>
        <v>05 AUG 22 FT 1;  05 DEC 22 FT 1;  05 APR 23 FT 1;  05 AUG 23 FT 1;  05 DEC 23 FT 1;  05 APR 24 FT 1;  05 AUG 24 FT 2;  05 NOV 24 FT 1;  05 FEB 25 FT 1;  05 MAY 25 FT 1;  05 AUG 25 FT 2;  05 NOV 25 FT 1;  05 FEB 26 FT 1;  05 MAY 26 FT 1;  </v>
      </c>
      <c r="J54" s="0" t="str">
        <f aca="false">IF(OR($A54="",$D54=""),"",IF(AND(EDATE($D54,Milestones!$AA$40)&lt;=AsOfDate,IF($R54=0,$X54,IF(AND($T54&lt;&gt;"",EDATE($D54,Milestones!$AA$40)&gt;=$T54),$W54,IF(AND($S54&lt;&gt;"",EDATE($D54,Milestones!$AA$40)&gt;=$S54),$V54,$U54)))=Milestones!$AB$40),UPPER(TEXT(EDATE($D54,Milestones!$AA$40),"dd mmm yy"))&amp;" "&amp;Milestones!$AB$40&amp;" "&amp;Milestones!$AC$40&amp;";  ","")&amp;IF(AND(EDATE($D54,Milestones!$AA$41)&lt;=AsOfDate,IF($R54=0,$X54,IF(AND($T54&lt;&gt;"",EDATE($D54,Milestones!$AA$41)&gt;=$T54),$W54,IF(AND($S54&lt;&gt;"",EDATE($D54,Milestones!$AA$41)&gt;=$S54),$V54,$U54)))=Milestones!$AB$41),UPPER(TEXT(EDATE($D54,Milestones!$AA$41),"dd mmm yy"))&amp;" "&amp;Milestones!$AB$41&amp;" "&amp;Milestones!$AC$41&amp;";  ","")&amp;IF(AND(EDATE($D54,Milestones!$AA$42)&lt;=AsOfDate,IF($R54=0,$X54,IF(AND($T54&lt;&gt;"",EDATE($D54,Milestones!$AA$42)&gt;=$T54),$W54,IF(AND($S54&lt;&gt;"",EDATE($D54,Milestones!$AA$42)&gt;=$S54),$V54,$U54)))=Milestones!$AB$42),UPPER(TEXT(EDATE($D54,Milestones!$AA$42),"dd mmm yy"))&amp;" "&amp;Milestones!$AB$42&amp;" "&amp;Milestones!$AC$42&amp;";  ","")&amp;IF(AND(EDATE($D54,Milestones!$AA$43)&lt;=AsOfDate,IF($R54=0,$X54,IF(AND($T54&lt;&gt;"",EDATE($D54,Milestones!$AA$43)&gt;=$T54),$W54,IF(AND($S54&lt;&gt;"",EDATE($D54,Milestones!$AA$43)&gt;=$S54),$V54,$U54)))=Milestones!$AB$43),UPPER(TEXT(EDATE($D54,Milestones!$AA$43),"dd mmm yy"))&amp;" "&amp;Milestones!$AB$43&amp;" "&amp;Milestones!$AC$43&amp;";  ","")&amp;IF(AND(EDATE($D54,Milestones!$AA$44)&lt;=AsOfDate,IF($R54=0,$X54,IF(AND($T54&lt;&gt;"",EDATE($D54,Milestones!$AA$44)&gt;=$T54),$W54,IF(AND($S54&lt;&gt;"",EDATE($D54,Milestones!$AA$44)&gt;=$S54),$V54,$U54)))=Milestones!$AB$44),UPPER(TEXT(EDATE($D54,Milestones!$AA$44),"dd mmm yy"))&amp;" "&amp;Milestones!$AB$44&amp;" "&amp;Milestones!$AC$44&amp;";  ","")&amp;IF(AND(EDATE($D54,Milestones!$AA$45)&lt;=AsOfDate,IF($R54=0,$X54,IF(AND($T54&lt;&gt;"",EDATE($D54,Milestones!$AA$45)&gt;=$T54),$W54,IF(AND($S54&lt;&gt;"",EDATE($D54,Milestones!$AA$45)&gt;=$S54),$V54,$U54)))=Milestones!$AB$45),UPPER(TEXT(EDATE($D54,Milestones!$AA$45),"dd mmm yy"))&amp;" "&amp;Milestones!$AB$45&amp;" "&amp;Milestones!$AC$45&amp;";  ","")&amp;IF(AND(EDATE($D54,Milestones!$AA$46)&lt;=AsOfDate,IF($R54=0,$X54,IF(AND($T54&lt;&gt;"",EDATE($D54,Milestones!$AA$46)&gt;=$T54),$W54,IF(AND($S54&lt;&gt;"",EDATE($D54,Milestones!$AA$46)&gt;=$S54),$V54,$U54)))=Milestones!$AB$46),UPPER(TEXT(EDATE($D54,Milestones!$AA$46),"dd mmm yy"))&amp;" "&amp;Milestones!$AB$46&amp;" "&amp;Milestones!$AC$46&amp;";  ","")&amp;IF(AND(EDATE($D54,Milestones!$AA$47)&lt;=AsOfDate,IF($R54=0,$X54,IF(AND($T54&lt;&gt;"",EDATE($D54,Milestones!$AA$47)&gt;=$T54),$W54,IF(AND($S54&lt;&gt;"",EDATE($D54,Milestones!$AA$47)&gt;=$S54),$V54,$U54)))=Milestones!$AB$47),UPPER(TEXT(EDATE($D54,Milestones!$AA$47),"dd mmm yy"))&amp;" "&amp;Milestones!$AB$47&amp;" "&amp;Milestones!$AC$47&amp;";  ","")&amp;IF(AND(EDATE($D54,Milestones!$AA$48)&lt;=AsOfDate,IF($R54=0,$X54,IF(AND($T54&lt;&gt;"",EDATE($D54,Milestones!$AA$48)&gt;=$T54),$W54,IF(AND($S54&lt;&gt;"",EDATE($D54,Milestones!$AA$48)&gt;=$S54),$V54,$U54)))=Milestones!$AB$48),UPPER(TEXT(EDATE($D54,Milestones!$AA$48),"dd mmm yy"))&amp;" "&amp;Milestones!$AB$48&amp;" "&amp;Milestones!$AC$48&amp;";  ","")&amp;IF(AND(EDATE($D54,Milestones!$AA$49)&lt;=AsOfDate,IF($R54=0,$X54,IF(AND($T54&lt;&gt;"",EDATE($D54,Milestones!$AA$49)&gt;=$T54),$W54,IF(AND($S54&lt;&gt;"",EDATE($D54,Milestones!$AA$49)&gt;=$S54),$V54,$U54)))=Milestones!$AB$49),UPPER(TEXT(EDATE($D54,Milestones!$AA$49),"dd mmm yy"))&amp;" "&amp;Milestones!$AB$49&amp;" "&amp;Milestones!$AC$49&amp;";  ","")&amp;IF(AND(EDATE($D54,Milestones!$AA$50)&lt;=AsOfDate,IF($R54=0,$X54,IF(AND($T54&lt;&gt;"",EDATE($D54,Milestones!$AA$50)&gt;=$T54),$W54,IF(AND($S54&lt;&gt;"",EDATE($D54,Milestones!$AA$50)&gt;=$S54),$V54,$U54)))=Milestones!$AB$50),UPPER(TEXT(EDATE($D54,Milestones!$AA$50),"dd mmm yy"))&amp;" "&amp;Milestones!$AB$50&amp;" "&amp;Milestones!$AC$50&amp;";  ","")&amp;IF(AND(EDATE($D54,Milestones!$AA$51)&lt;=AsOfDate,IF($R54=0,$X54,IF(AND($T54&lt;&gt;"",EDATE($D54,Milestones!$AA$51)&gt;=$T54),$W54,IF(AND($S54&lt;&gt;"",EDATE($D54,Milestones!$AA$51)&gt;=$S54),$V54,$U54)))=Milestones!$AB$51),UPPER(TEXT(EDATE($D54,Milestones!$AA$51),"dd mmm yy"))&amp;" "&amp;Milestones!$AB$51&amp;" "&amp;Milestones!$AC$51&amp;";  ","")&amp;IF(AND(EDATE($D54,Milestones!$AA$52)&lt;=AsOfDate,IF($R54=0,$X54,IF(AND($T54&lt;&gt;"",EDATE($D54,Milestones!$AA$52)&gt;=$T54),$W54,IF(AND($S54&lt;&gt;"",EDATE($D54,Milestones!$AA$52)&gt;=$S54),$V54,$U54)))=Milestones!$AB$52),UPPER(TEXT(EDATE($D54,Milestones!$AA$52),"dd mmm yy"))&amp;" "&amp;Milestones!$AB$52&amp;" "&amp;Milestones!$AC$52&amp;";  ","")&amp;IF(AND(EDATE($D54,Milestones!$AA$53)&lt;=AsOfDate,IF($R54=0,$X54,IF(AND($T54&lt;&gt;"",EDATE($D54,Milestones!$AA$53)&gt;=$T54),$W54,IF(AND($S54&lt;&gt;"",EDATE($D54,Milestones!$AA$53)&gt;=$S54),$V54,$U54)))=Milestones!$AB$53),UPPER(TEXT(EDATE($D54,Milestones!$AA$53),"dd mmm yy"))&amp;" "&amp;Milestones!$AB$53&amp;" "&amp;Milestones!$AC$53&amp;";  ","")&amp;IF(AND(EDATE($D54,Milestones!$AA$54)&lt;=AsOfDate,IF($R54=0,$X54,IF(AND($T54&lt;&gt;"",EDATE($D54,Milestones!$AA$54)&gt;=$T54),$W54,IF(AND($S54&lt;&gt;"",EDATE($D54,Milestones!$AA$54)&gt;=$S54),$V54,$U54)))=Milestones!$AB$54),UPPER(TEXT(EDATE($D54,Milestones!$AA$54),"dd mmm yy"))&amp;" "&amp;Milestones!$AB$54&amp;" "&amp;Milestones!$AC$54&amp;";  ","")&amp;IF(AND(EDATE($D54,Milestones!$AA$55)&lt;=AsOfDate,IF($R54=0,$X54,IF(AND($T54&lt;&gt;"",EDATE($D54,Milestones!$AA$55)&gt;=$T54),$W54,IF(AND($S54&lt;&gt;"",EDATE($D54,Milestones!$AA$55)&gt;=$S54),$V54,$U54)))=Milestones!$AB$55),UPPER(TEXT(EDATE($D54,Milestones!$AA$55),"dd mmm yy"))&amp;" "&amp;Milestones!$AB$55&amp;" "&amp;Milestones!$AC$55&amp;";  ","")&amp;IF(AND(EDATE($D54,Milestones!$AA$56)&lt;=AsOfDate,IF($R54=0,$X54,IF(AND($T54&lt;&gt;"",EDATE($D54,Milestones!$AA$56)&gt;=$T54),$W54,IF(AND($S54&lt;&gt;"",EDATE($D54,Milestones!$AA$56)&gt;=$S54),$V54,$U54)))=Milestones!$AB$56),UPPER(TEXT(EDATE($D54,Milestones!$AA$56),"dd mmm yy"))&amp;" "&amp;Milestones!$AB$56&amp;" "&amp;Milestones!$AC$56&amp;";  ","")&amp;IF(AND(EDATE($D54,Milestones!$AA$57)&lt;=AsOfDate,IF($R54=0,$X54,IF(AND($T54&lt;&gt;"",EDATE($D54,Milestones!$AA$57)&gt;=$T54),$W54,IF(AND($S54&lt;&gt;"",EDATE($D54,Milestones!$AA$57)&gt;=$S54),$V54,$U54)))=Milestones!$AB$57),UPPER(TEXT(EDATE($D54,Milestones!$AA$57),"dd mmm yy"))&amp;" "&amp;Milestones!$AB$57&amp;" "&amp;Milestones!$AC$57&amp;";  ","")&amp;IF(AND(EDATE($D54,Milestones!$AA$58)&lt;=AsOfDate,IF($R54=0,$X54,IF(AND($T54&lt;&gt;"",EDATE($D54,Milestones!$AA$58)&gt;=$T54),$W54,IF(AND($S54&lt;&gt;"",EDATE($D54,Milestones!$AA$58)&gt;=$S54),$V54,$U54)))=Milestones!$AB$58),UPPER(TEXT(EDATE($D54,Milestones!$AA$58),"dd mmm yy"))&amp;" "&amp;Milestones!$AB$58&amp;" "&amp;Milestones!$AC$58&amp;";  ","")&amp;IF(AND(EDATE($D54,Milestones!$AA$59)&lt;=AsOfDate,IF($R54=0,$X54,IF(AND($T54&lt;&gt;"",EDATE($D54,Milestones!$AA$59)&gt;=$T54),$W54,IF(AND($S54&lt;&gt;"",EDATE($D54,Milestones!$AA$59)&gt;=$S54),$V54,$U54)))=Milestones!$AB$59),UPPER(TEXT(EDATE($D54,Milestones!$AA$59),"dd mmm yy"))&amp;" "&amp;Milestones!$AB$59&amp;" "&amp;Milestones!$AC$59&amp;";  ",""))</f>
        <v>05 AUG 26 FT 2;  </v>
      </c>
      <c r="K54" s="0" t="str">
        <f aca="false">IF(OR($A54="",$D54=""),"",IF(AND(EDATE($D54,Milestones!$AA$60)&lt;=AsOfDate,IF($R54=0,$X54,IF(AND($T54&lt;&gt;"",EDATE($D54,Milestones!$AA$60)&gt;=$T54),$W54,IF(AND($S54&lt;&gt;"",EDATE($D54,Milestones!$AA$60)&gt;=$S54),$V54,$U54)))=Milestones!$AB$60),UPPER(TEXT(EDATE($D54,Milestones!$AA$60),"dd mmm yy"))&amp;" "&amp;Milestones!$AB$60&amp;" "&amp;Milestones!$AC$60&amp;";  ","")&amp;IF(AND(EDATE($D54,Milestones!$AA$61)&lt;=AsOfDate,IF($R54=0,$X54,IF(AND($T54&lt;&gt;"",EDATE($D54,Milestones!$AA$61)&gt;=$T54),$W54,IF(AND($S54&lt;&gt;"",EDATE($D54,Milestones!$AA$61)&gt;=$S54),$V54,$U54)))=Milestones!$AB$61),UPPER(TEXT(EDATE($D54,Milestones!$AA$61),"dd mmm yy"))&amp;" "&amp;Milestones!$AB$61&amp;" "&amp;Milestones!$AC$61&amp;";  ","")&amp;IF(AND(EDATE($D54,Milestones!$AA$62)&lt;=AsOfDate,IF($R54=0,$X54,IF(AND($T54&lt;&gt;"",EDATE($D54,Milestones!$AA$62)&gt;=$T54),$W54,IF(AND($S54&lt;&gt;"",EDATE($D54,Milestones!$AA$62)&gt;=$S54),$V54,$U54)))=Milestones!$AB$62),UPPER(TEXT(EDATE($D54,Milestones!$AA$62),"dd mmm yy"))&amp;" "&amp;Milestones!$AB$62&amp;" "&amp;Milestones!$AC$62&amp;";  ","")&amp;IF(AND(EDATE($D54,Milestones!$AA$63)&lt;=AsOfDate,IF($R54=0,$X54,IF(AND($T54&lt;&gt;"",EDATE($D54,Milestones!$AA$63)&gt;=$T54),$W54,IF(AND($S54&lt;&gt;"",EDATE($D54,Milestones!$AA$63)&gt;=$S54),$V54,$U54)))=Milestones!$AB$63),UPPER(TEXT(EDATE($D54,Milestones!$AA$63),"dd mmm yy"))&amp;" "&amp;Milestones!$AB$63&amp;" "&amp;Milestones!$AC$63&amp;";  ","")&amp;IF(AND(EDATE($D54,Milestones!$AA$64)&lt;=AsOfDate,IF($R54=0,$X54,IF(AND($T54&lt;&gt;"",EDATE($D54,Milestones!$AA$64)&gt;=$T54),$W54,IF(AND($S54&lt;&gt;"",EDATE($D54,Milestones!$AA$64)&gt;=$S54),$V54,$U54)))=Milestones!$AB$64),UPPER(TEXT(EDATE($D54,Milestones!$AA$64),"dd mmm yy"))&amp;" "&amp;Milestones!$AB$64&amp;" "&amp;Milestones!$AC$64&amp;";  ","")&amp;IF(AND(EDATE($D54,Milestones!$AA$65)&lt;=AsOfDate,IF($R54=0,$X54,IF(AND($T54&lt;&gt;"",EDATE($D54,Milestones!$AA$65)&gt;=$T54),$W54,IF(AND($S54&lt;&gt;"",EDATE($D54,Milestones!$AA$65)&gt;=$S54),$V54,$U54)))=Milestones!$AB$65),UPPER(TEXT(EDATE($D54,Milestones!$AA$65),"dd mmm yy"))&amp;" "&amp;Milestones!$AB$65&amp;" "&amp;Milestones!$AC$65&amp;";  ","")&amp;IF(AND(EDATE($D54,Milestones!$AA$66)&lt;=AsOfDate,IF($R54=0,$X54,IF(AND($T54&lt;&gt;"",EDATE($D54,Milestones!$AA$66)&gt;=$T54),$W54,IF(AND($S54&lt;&gt;"",EDATE($D54,Milestones!$AA$66)&gt;=$S54),$V54,$U54)))=Milestones!$AB$66),UPPER(TEXT(EDATE($D54,Milestones!$AA$66),"dd mmm yy"))&amp;" "&amp;Milestones!$AB$66&amp;" "&amp;Milestones!$AC$66&amp;";  ","")&amp;IF(AND(EDATE($D54,Milestones!$AA$67)&lt;=AsOfDate,IF($R54=0,$X54,IF(AND($T54&lt;&gt;"",EDATE($D54,Milestones!$AA$67)&gt;=$T54),$W54,IF(AND($S54&lt;&gt;"",EDATE($D54,Milestones!$AA$67)&gt;=$S54),$V54,$U54)))=Milestones!$AB$67),UPPER(TEXT(EDATE($D54,Milestones!$AA$67),"dd mmm yy"))&amp;" "&amp;Milestones!$AB$67&amp;" "&amp;Milestones!$AC$67&amp;";  ","")&amp;IF(AND(EDATE($D54,Milestones!$AA$68)&lt;=AsOfDate,IF($R54=0,$X54,IF(AND($T54&lt;&gt;"",EDATE($D54,Milestones!$AA$68)&gt;=$T54),$W54,IF(AND($S54&lt;&gt;"",EDATE($D54,Milestones!$AA$68)&gt;=$S54),$V54,$U54)))=Milestones!$AB$68),UPPER(TEXT(EDATE($D54,Milestones!$AA$68),"dd mmm yy"))&amp;" "&amp;Milestones!$AB$68&amp;" "&amp;Milestones!$AC$68&amp;";  ","")&amp;IF(AND(EDATE($D54,Milestones!$AA$69)&lt;=AsOfDate,IF($R54=0,$X54,IF(AND($T54&lt;&gt;"",EDATE($D54,Milestones!$AA$69)&gt;=$T54),$W54,IF(AND($S54&lt;&gt;"",EDATE($D54,Milestones!$AA$69)&gt;=$S54),$V54,$U54)))=Milestones!$AB$69),UPPER(TEXT(EDATE($D54,Milestones!$AA$69),"dd mmm yy"))&amp;" "&amp;Milestones!$AB$69&amp;" "&amp;Milestones!$AC$69&amp;";  ","")&amp;IF(AND(EDATE($D54,Milestones!$AA$70)&lt;=AsOfDate,IF($R54=0,$X54,IF(AND($T54&lt;&gt;"",EDATE($D54,Milestones!$AA$70)&gt;=$T54),$W54,IF(AND($S54&lt;&gt;"",EDATE($D54,Milestones!$AA$70)&gt;=$S54),$V54,$U54)))=Milestones!$AB$70),UPPER(TEXT(EDATE($D54,Milestones!$AA$70),"dd mmm yy"))&amp;" "&amp;Milestones!$AB$70&amp;" "&amp;Milestones!$AC$70&amp;";  ","")&amp;IF(AND(EDATE($D54,Milestones!$AA$71)&lt;=AsOfDate,IF($R54=0,$X54,IF(AND($T54&lt;&gt;"",EDATE($D54,Milestones!$AA$71)&gt;=$T54),$W54,IF(AND($S54&lt;&gt;"",EDATE($D54,Milestones!$AA$71)&gt;=$S54),$V54,$U54)))=Milestones!$AB$71),UPPER(TEXT(EDATE($D54,Milestones!$AA$71),"dd mmm yy"))&amp;" "&amp;Milestones!$AB$71&amp;" "&amp;Milestones!$AC$71&amp;";  ","")&amp;IF(AND(EDATE($D54,Milestones!$AA$72)&lt;=AsOfDate,IF($R54=0,$X54,IF(AND($T54&lt;&gt;"",EDATE($D54,Milestones!$AA$72)&gt;=$T54),$W54,IF(AND($S54&lt;&gt;"",EDATE($D54,Milestones!$AA$72)&gt;=$S54),$V54,$U54)))=Milestones!$AB$72),UPPER(TEXT(EDATE($D54,Milestones!$AA$72),"dd mmm yy"))&amp;" "&amp;Milestones!$AB$72&amp;" "&amp;Milestones!$AC$72&amp;";  ","")&amp;IF(AND(EDATE($D54,Milestones!$AA$73)&lt;=AsOfDate,IF($R54=0,$X54,IF(AND($T54&lt;&gt;"",EDATE($D54,Milestones!$AA$73)&gt;=$T54),$W54,IF(AND($S54&lt;&gt;"",EDATE($D54,Milestones!$AA$73)&gt;=$S54),$V54,$U54)))=Milestones!$AB$73),UPPER(TEXT(EDATE($D54,Milestones!$AA$73),"dd mmm yy"))&amp;" "&amp;Milestones!$AB$73&amp;" "&amp;Milestones!$AC$73&amp;";  ","")&amp;IF(AND(EDATE($D54,Milestones!$AA$74)&lt;=AsOfDate,IF($R54=0,$X54,IF(AND($T54&lt;&gt;"",EDATE($D54,Milestones!$AA$74)&gt;=$T54),$W54,IF(AND($S54&lt;&gt;"",EDATE($D54,Milestones!$AA$74)&gt;=$S54),$V54,$U54)))=Milestones!$AB$74),UPPER(TEXT(EDATE($D54,Milestones!$AA$74),"dd mmm yy"))&amp;" "&amp;Milestones!$AB$74&amp;" "&amp;Milestones!$AC$74&amp;";  ","")&amp;IF(AND(EDATE($D54,Milestones!$AA$75)&lt;=AsOfDate,IF($R54=0,$X54,IF(AND($T54&lt;&gt;"",EDATE($D54,Milestones!$AA$75)&gt;=$T54),$W54,IF(AND($S54&lt;&gt;"",EDATE($D54,Milestones!$AA$75)&gt;=$S54),$V54,$U54)))=Milestones!$AB$75),UPPER(TEXT(EDATE($D54,Milestones!$AA$75),"dd mmm yy"))&amp;" "&amp;Milestones!$AB$75&amp;" "&amp;Milestones!$AC$75&amp;";  ","")&amp;IF(AND(EDATE($D54,Milestones!$AA$76)&lt;=AsOfDate,IF($R54=0,$X54,IF(AND($T54&lt;&gt;"",EDATE($D54,Milestones!$AA$76)&gt;=$T54),$W54,IF(AND($S54&lt;&gt;"",EDATE($D54,Milestones!$AA$76)&gt;=$S54),$V54,$U54)))=Milestones!$AB$76),UPPER(TEXT(EDATE($D54,Milestones!$AA$76),"dd mmm yy"))&amp;" "&amp;Milestones!$AB$76&amp;" "&amp;Milestones!$AC$76&amp;";  ","")&amp;IF(AND(EDATE($D54,Milestones!$AA$77)&lt;=AsOfDate,IF($R54=0,$X54,IF(AND($T54&lt;&gt;"",EDATE($D54,Milestones!$AA$77)&gt;=$T54),$W54,IF(AND($S54&lt;&gt;"",EDATE($D54,Milestones!$AA$77)&gt;=$S54),$V54,$U54)))=Milestones!$AB$77),UPPER(TEXT(EDATE($D54,Milestones!$AA$77),"dd mmm yy"))&amp;" "&amp;Milestones!$AB$77&amp;" "&amp;Milestones!$AC$77&amp;";  ","")&amp;IF(AND(EDATE($D54,Milestones!$AA$78)&lt;=AsOfDate,IF($R54=0,$X54,IF(AND($T54&lt;&gt;"",EDATE($D54,Milestones!$AA$78)&gt;=$T54),$W54,IF(AND($S54&lt;&gt;"",EDATE($D54,Milestones!$AA$78)&gt;=$S54),$V54,$U54)))=Milestones!$AB$78),UPPER(TEXT(EDATE($D54,Milestones!$AA$78),"dd mmm yy"))&amp;" "&amp;Milestones!$AB$78&amp;" "&amp;Milestones!$AC$78&amp;";  ","")&amp;IF(AND(EDATE($D54,Milestones!$AA$79)&lt;=AsOfDate,IF($R54=0,$X54,IF(AND($T54&lt;&gt;"",EDATE($D54,Milestones!$AA$79)&gt;=$T54),$W54,IF(AND($S54&lt;&gt;"",EDATE($D54,Milestones!$AA$79)&gt;=$S54),$V54,$U54)))=Milestones!$AB$79),UPPER(TEXT(EDATE($D54,Milestones!$AA$79),"dd mmm yy"))&amp;" "&amp;Milestones!$AB$79&amp;" "&amp;Milestones!$AC$79&amp;";  ",""))</f>
        <v/>
      </c>
      <c r="L54" s="0" t="str">
        <f aca="false">IF(OR($A54="",$D54=""),"",IF(AND(EDATE($D54,Milestones!$AA$80)&lt;=AsOfDate,IF($R54=0,$X54,IF(AND($T54&lt;&gt;"",EDATE($D54,Milestones!$AA$80)&gt;=$T54),$W54,IF(AND($S54&lt;&gt;"",EDATE($D54,Milestones!$AA$80)&gt;=$S54),$V54,$U54)))=Milestones!$AB$80),UPPER(TEXT(EDATE($D54,Milestones!$AA$80),"dd mmm yy"))&amp;" "&amp;Milestones!$AB$80&amp;" "&amp;Milestones!$AC$80&amp;";  ","")&amp;IF(AND(EDATE($D54,Milestones!$AA$81)&lt;=AsOfDate,IF($R54=0,$X54,IF(AND($T54&lt;&gt;"",EDATE($D54,Milestones!$AA$81)&gt;=$T54),$W54,IF(AND($S54&lt;&gt;"",EDATE($D54,Milestones!$AA$81)&gt;=$S54),$V54,$U54)))=Milestones!$AB$81),UPPER(TEXT(EDATE($D54,Milestones!$AA$81),"dd mmm yy"))&amp;" "&amp;Milestones!$AB$81&amp;" "&amp;Milestones!$AC$81&amp;";  ","")&amp;IF(AND(EDATE($D54,Milestones!$AA$82)&lt;=AsOfDate,IF($R54=0,$X54,IF(AND($T54&lt;&gt;"",EDATE($D54,Milestones!$AA$82)&gt;=$T54),$W54,IF(AND($S54&lt;&gt;"",EDATE($D54,Milestones!$AA$82)&gt;=$S54),$V54,$U54)))=Milestones!$AB$82),UPPER(TEXT(EDATE($D54,Milestones!$AA$82),"dd mmm yy"))&amp;" "&amp;Milestones!$AB$82&amp;" "&amp;Milestones!$AC$82&amp;";  ","")&amp;IF(AND(EDATE($D54,Milestones!$AA$83)&lt;=AsOfDate,IF($R54=0,$X54,IF(AND($T54&lt;&gt;"",EDATE($D54,Milestones!$AA$83)&gt;=$T54),$W54,IF(AND($S54&lt;&gt;"",EDATE($D54,Milestones!$AA$83)&gt;=$S54),$V54,$U54)))=Milestones!$AB$83),UPPER(TEXT(EDATE($D54,Milestones!$AA$83),"dd mmm yy"))&amp;" "&amp;Milestones!$AB$83&amp;" "&amp;Milestones!$AC$83&amp;";  ","")&amp;IF(AND(EDATE($D54,Milestones!$AA$84)&lt;=AsOfDate,IF($R54=0,$X54,IF(AND($T54&lt;&gt;"",EDATE($D54,Milestones!$AA$84)&gt;=$T54),$W54,IF(AND($S54&lt;&gt;"",EDATE($D54,Milestones!$AA$84)&gt;=$S54),$V54,$U54)))=Milestones!$AB$84),UPPER(TEXT(EDATE($D54,Milestones!$AA$84),"dd mmm yy"))&amp;" "&amp;Milestones!$AB$84&amp;" "&amp;Milestones!$AC$84&amp;";  ","")&amp;IF(AND(EDATE($D54,Milestones!$AA$85)&lt;=AsOfDate,IF($R54=0,$X54,IF(AND($T54&lt;&gt;"",EDATE($D54,Milestones!$AA$85)&gt;=$T54),$W54,IF(AND($S54&lt;&gt;"",EDATE($D54,Milestones!$AA$85)&gt;=$S54),$V54,$U54)))=Milestones!$AB$85),UPPER(TEXT(EDATE($D54,Milestones!$AA$85),"dd mmm yy"))&amp;" "&amp;Milestones!$AB$85&amp;" "&amp;Milestones!$AC$85&amp;";  ","")&amp;IF(AND(EDATE($D54,Milestones!$AA$86)&lt;=AsOfDate,IF($R54=0,$X54,IF(AND($T54&lt;&gt;"",EDATE($D54,Milestones!$AA$86)&gt;=$T54),$W54,IF(AND($S54&lt;&gt;"",EDATE($D54,Milestones!$AA$86)&gt;=$S54),$V54,$U54)))=Milestones!$AB$86),UPPER(TEXT(EDATE($D54,Milestones!$AA$86),"dd mmm yy"))&amp;" "&amp;Milestones!$AB$86&amp;" "&amp;Milestones!$AC$86&amp;";  ","")&amp;IF(AND(EDATE($D54,Milestones!$AA$87)&lt;=AsOfDate,IF($R54=0,$X54,IF(AND($T54&lt;&gt;"",EDATE($D54,Milestones!$AA$87)&gt;=$T54),$W54,IF(AND($S54&lt;&gt;"",EDATE($D54,Milestones!$AA$87)&gt;=$S54),$V54,$U54)))=Milestones!$AB$87),UPPER(TEXT(EDATE($D54,Milestones!$AA$87),"dd mmm yy"))&amp;" "&amp;Milestones!$AB$87&amp;" "&amp;Milestones!$AC$87&amp;";  ","")&amp;IF(AND(EDATE($D54,Milestones!$AA$88)&lt;=AsOfDate,IF($R54=0,$X54,IF(AND($T54&lt;&gt;"",EDATE($D54,Milestones!$AA$88)&gt;=$T54),$W54,IF(AND($S54&lt;&gt;"",EDATE($D54,Milestones!$AA$88)&gt;=$S54),$V54,$U54)))=Milestones!$AB$88),UPPER(TEXT(EDATE($D54,Milestones!$AA$88),"dd mmm yy"))&amp;" "&amp;Milestones!$AB$88&amp;" "&amp;Milestones!$AC$88&amp;";  ","")&amp;IF(AND(EDATE($D54,Milestones!$AA$89)&lt;=AsOfDate,IF($R54=0,$X54,IF(AND($T54&lt;&gt;"",EDATE($D54,Milestones!$AA$89)&gt;=$T54),$W54,IF(AND($S54&lt;&gt;"",EDATE($D54,Milestones!$AA$89)&gt;=$S54),$V54,$U54)))=Milestones!$AB$89),UPPER(TEXT(EDATE($D54,Milestones!$AA$89),"dd mmm yy"))&amp;" "&amp;Milestones!$AB$89&amp;" "&amp;Milestones!$AC$89&amp;";  ","")&amp;IF(AND(EDATE($D54,Milestones!$AA$90)&lt;=AsOfDate,IF($R54=0,$X54,IF(AND($T54&lt;&gt;"",EDATE($D54,Milestones!$AA$90)&gt;=$T54),$W54,IF(AND($S54&lt;&gt;"",EDATE($D54,Milestones!$AA$90)&gt;=$S54),$V54,$U54)))=Milestones!$AB$90),UPPER(TEXT(EDATE($D54,Milestones!$AA$90),"dd mmm yy"))&amp;" "&amp;Milestones!$AB$90&amp;" "&amp;Milestones!$AC$90&amp;";  ","")&amp;IF(AND(EDATE($D54,Milestones!$AA$91)&lt;=AsOfDate,IF($R54=0,$X54,IF(AND($T54&lt;&gt;"",EDATE($D54,Milestones!$AA$91)&gt;=$T54),$W54,IF(AND($S54&lt;&gt;"",EDATE($D54,Milestones!$AA$91)&gt;=$S54),$V54,$U54)))=Milestones!$AB$91),UPPER(TEXT(EDATE($D54,Milestones!$AA$91),"dd mmm yy"))&amp;" "&amp;Milestones!$AB$91&amp;" "&amp;Milestones!$AC$91&amp;";  ","")&amp;IF(AND(EDATE($D54,Milestones!$AA$92)&lt;=AsOfDate,IF($R54=0,$X54,IF(AND($T54&lt;&gt;"",EDATE($D54,Milestones!$AA$92)&gt;=$T54),$W54,IF(AND($S54&lt;&gt;"",EDATE($D54,Milestones!$AA$92)&gt;=$S54),$V54,$U54)))=Milestones!$AB$92),UPPER(TEXT(EDATE($D54,Milestones!$AA$92),"dd mmm yy"))&amp;" "&amp;Milestones!$AB$92&amp;" "&amp;Milestones!$AC$92&amp;";  ","")&amp;IF(AND(EDATE($D54,Milestones!$AA$93)&lt;=AsOfDate,IF($R54=0,$X54,IF(AND($T54&lt;&gt;"",EDATE($D54,Milestones!$AA$93)&gt;=$T54),$W54,IF(AND($S54&lt;&gt;"",EDATE($D54,Milestones!$AA$93)&gt;=$S54),$V54,$U54)))=Milestones!$AB$93),UPPER(TEXT(EDATE($D54,Milestones!$AA$93),"dd mmm yy"))&amp;" "&amp;Milestones!$AB$93&amp;" "&amp;Milestones!$AC$93&amp;";  ","")&amp;IF(AND(EDATE($D54,Milestones!$AA$94)&lt;=AsOfDate,IF($R54=0,$X54,IF(AND($T54&lt;&gt;"",EDATE($D54,Milestones!$AA$94)&gt;=$T54),$W54,IF(AND($S54&lt;&gt;"",EDATE($D54,Milestones!$AA$94)&gt;=$S54),$V54,$U54)))=Milestones!$AB$94),UPPER(TEXT(EDATE($D54,Milestones!$AA$94),"dd mmm yy"))&amp;" "&amp;Milestones!$AB$94&amp;" "&amp;Milestones!$AC$94&amp;";  ","")&amp;IF(AND(EDATE($D54,Milestones!$AA$95)&lt;=AsOfDate,IF($R54=0,$X54,IF(AND($T54&lt;&gt;"",EDATE($D54,Milestones!$AA$95)&gt;=$T54),$W54,IF(AND($S54&lt;&gt;"",EDATE($D54,Milestones!$AA$95)&gt;=$S54),$V54,$U54)))=Milestones!$AB$95),UPPER(TEXT(EDATE($D54,Milestones!$AA$95),"dd mmm yy"))&amp;" "&amp;Milestones!$AB$95&amp;" "&amp;Milestones!$AC$95&amp;";  ","")&amp;IF(AND(EDATE($D54,Milestones!$AA$96)&lt;=AsOfDate,IF($R54=0,$X54,IF(AND($T54&lt;&gt;"",EDATE($D54,Milestones!$AA$96)&gt;=$T54),$W54,IF(AND($S54&lt;&gt;"",EDATE($D54,Milestones!$AA$96)&gt;=$S54),$V54,$U54)))=Milestones!$AB$96),UPPER(TEXT(EDATE($D54,Milestones!$AA$96),"dd mmm yy"))&amp;" "&amp;Milestones!$AB$96&amp;" "&amp;Milestones!$AC$96&amp;";  ","")&amp;IF(AND(EDATE($D54,Milestones!$AA$97)&lt;=AsOfDate,IF($R54=0,$X54,IF(AND($T54&lt;&gt;"",EDATE($D54,Milestones!$AA$97)&gt;=$T54),$W54,IF(AND($S54&lt;&gt;"",EDATE($D54,Milestones!$AA$97)&gt;=$S54),$V54,$U54)))=Milestones!$AB$97),UPPER(TEXT(EDATE($D54,Milestones!$AA$97),"dd mmm yy"))&amp;" "&amp;Milestones!$AB$97&amp;" "&amp;Milestones!$AC$97&amp;";  ","")&amp;IF(AND(EDATE($D54,Milestones!$AA$98)&lt;=AsOfDate,IF($R54=0,$X54,IF(AND($T54&lt;&gt;"",EDATE($D54,Milestones!$AA$98)&gt;=$T54),$W54,IF(AND($S54&lt;&gt;"",EDATE($D54,Milestones!$AA$98)&gt;=$S54),$V54,$U54)))=Milestones!$AB$98),UPPER(TEXT(EDATE($D54,Milestones!$AA$98),"dd mmm yy"))&amp;" "&amp;Milestones!$AB$98&amp;" "&amp;Milestones!$AC$98&amp;";  ","")&amp;IF(AND(EDATE($D54,Milestones!$AA$99)&lt;=AsOfDate,IF($R54=0,$X54,IF(AND($T54&lt;&gt;"",EDATE($D54,Milestones!$AA$99)&gt;=$T54),$W54,IF(AND($S54&lt;&gt;"",EDATE($D54,Milestones!$AA$99)&gt;=$S54),$V54,$U54)))=Milestones!$AB$99),UPPER(TEXT(EDATE($D54,Milestones!$AA$99),"dd mmm yy"))&amp;" "&amp;Milestones!$AB$99&amp;" "&amp;Milestones!$AC$99&amp;";  ",""))</f>
        <v/>
      </c>
      <c r="M54" s="0" t="str">
        <f aca="false">IF(OR($A54="",$D54=""),"",IF(AND(EDATE($D54,Milestones!$AA$100)&lt;=AsOfDate,IF($R54=0,$X54,IF(AND($T54&lt;&gt;"",EDATE($D54,Milestones!$AA$100)&gt;=$T54),$W54,IF(AND($S54&lt;&gt;"",EDATE($D54,Milestones!$AA$100)&gt;=$S54),$V54,$U54)))=Milestones!$AB$100),UPPER(TEXT(EDATE($D54,Milestones!$AA$100),"dd mmm yy"))&amp;" "&amp;Milestones!$AB$100&amp;" "&amp;Milestones!$AC$100&amp;";  ","")&amp;IF(AND(EDATE($D54,Milestones!$AA$101)&lt;=AsOfDate,IF($R54=0,$X54,IF(AND($T54&lt;&gt;"",EDATE($D54,Milestones!$AA$101)&gt;=$T54),$W54,IF(AND($S54&lt;&gt;"",EDATE($D54,Milestones!$AA$101)&gt;=$S54),$V54,$U54)))=Milestones!$AB$101),UPPER(TEXT(EDATE($D54,Milestones!$AA$101),"dd mmm yy"))&amp;" "&amp;Milestones!$AB$101&amp;" "&amp;Milestones!$AC$101&amp;";  ","")&amp;IF(AND(EDATE($D54,Milestones!$AA$102)&lt;=AsOfDate,IF($R54=0,$X54,IF(AND($T54&lt;&gt;"",EDATE($D54,Milestones!$AA$102)&gt;=$T54),$W54,IF(AND($S54&lt;&gt;"",EDATE($D54,Milestones!$AA$102)&gt;=$S54),$V54,$U54)))=Milestones!$AB$102),UPPER(TEXT(EDATE($D54,Milestones!$AA$102),"dd mmm yy"))&amp;" "&amp;Milestones!$AB$102&amp;" "&amp;Milestones!$AC$102&amp;";  ","")&amp;IF(AND(EDATE($D54,Milestones!$AA$103)&lt;=AsOfDate,IF($R54=0,$X54,IF(AND($T54&lt;&gt;"",EDATE($D54,Milestones!$AA$103)&gt;=$T54),$W54,IF(AND($S54&lt;&gt;"",EDATE($D54,Milestones!$AA$103)&gt;=$S54),$V54,$U54)))=Milestones!$AB$103),UPPER(TEXT(EDATE($D54,Milestones!$AA$103),"dd mmm yy"))&amp;" "&amp;Milestones!$AB$103&amp;" "&amp;Milestones!$AC$103&amp;";  ","")&amp;IF(AND(EDATE($D54,Milestones!$AA$104)&lt;=AsOfDate,IF($R54=0,$X54,IF(AND($T54&lt;&gt;"",EDATE($D54,Milestones!$AA$104)&gt;=$T54),$W54,IF(AND($S54&lt;&gt;"",EDATE($D54,Milestones!$AA$104)&gt;=$S54),$V54,$U54)))=Milestones!$AB$104),UPPER(TEXT(EDATE($D54,Milestones!$AA$104),"dd mmm yy"))&amp;" "&amp;Milestones!$AB$104&amp;" "&amp;Milestones!$AC$104&amp;";  ","")&amp;IF(AND(EDATE($D54,Milestones!$AA$105)&lt;=AsOfDate,IF($R54=0,$X54,IF(AND($T54&lt;&gt;"",EDATE($D54,Milestones!$AA$105)&gt;=$T54),$W54,IF(AND($S54&lt;&gt;"",EDATE($D54,Milestones!$AA$105)&gt;=$S54),$V54,$U54)))=Milestones!$AB$105),UPPER(TEXT(EDATE($D54,Milestones!$AA$105),"dd mmm yy"))&amp;" "&amp;Milestones!$AB$105&amp;" "&amp;Milestones!$AC$105&amp;";  ","")&amp;IF(AND(EDATE($D54,Milestones!$AA$106)&lt;=AsOfDate,IF($R54=0,$X54,IF(AND($T54&lt;&gt;"",EDATE($D54,Milestones!$AA$106)&gt;=$T54),$W54,IF(AND($S54&lt;&gt;"",EDATE($D54,Milestones!$AA$106)&gt;=$S54),$V54,$U54)))=Milestones!$AB$106),UPPER(TEXT(EDATE($D54,Milestones!$AA$106),"dd mmm yy"))&amp;" "&amp;Milestones!$AB$106&amp;" "&amp;Milestones!$AC$106&amp;";  ","")&amp;IF(AND(EDATE($D54,Milestones!$AA$107)&lt;=AsOfDate,IF($R54=0,$X54,IF(AND($T54&lt;&gt;"",EDATE($D54,Milestones!$AA$107)&gt;=$T54),$W54,IF(AND($S54&lt;&gt;"",EDATE($D54,Milestones!$AA$107)&gt;=$S54),$V54,$U54)))=Milestones!$AB$107),UPPER(TEXT(EDATE($D54,Milestones!$AA$107),"dd mmm yy"))&amp;" "&amp;Milestones!$AB$107&amp;" "&amp;Milestones!$AC$107&amp;";  ","")&amp;IF(AND(EDATE($D54,Milestones!$AA$108)&lt;=AsOfDate,IF($R54=0,$X54,IF(AND($T54&lt;&gt;"",EDATE($D54,Milestones!$AA$108)&gt;=$T54),$W54,IF(AND($S54&lt;&gt;"",EDATE($D54,Milestones!$AA$108)&gt;=$S54),$V54,$U54)))=Milestones!$AB$108),UPPER(TEXT(EDATE($D54,Milestones!$AA$108),"dd mmm yy"))&amp;" "&amp;Milestones!$AB$108&amp;" "&amp;Milestones!$AC$108&amp;";  ","")&amp;IF(AND(EDATE($D54,Milestones!$AA$109)&lt;=AsOfDate,IF($R54=0,$X54,IF(AND($T54&lt;&gt;"",EDATE($D54,Milestones!$AA$109)&gt;=$T54),$W54,IF(AND($S54&lt;&gt;"",EDATE($D54,Milestones!$AA$109)&gt;=$S54),$V54,$U54)))=Milestones!$AB$109),UPPER(TEXT(EDATE($D54,Milestones!$AA$109),"dd mmm yy"))&amp;" "&amp;Milestones!$AB$109&amp;" "&amp;Milestones!$AC$109&amp;";  ","")&amp;IF(AND(EDATE($D54,Milestones!$AA$110)&lt;=AsOfDate,IF($R54=0,$X54,IF(AND($T54&lt;&gt;"",EDATE($D54,Milestones!$AA$110)&gt;=$T54),$W54,IF(AND($S54&lt;&gt;"",EDATE($D54,Milestones!$AA$110)&gt;=$S54),$V54,$U54)))=Milestones!$AB$110),UPPER(TEXT(EDATE($D54,Milestones!$AA$110),"dd mmm yy"))&amp;" "&amp;Milestones!$AB$110&amp;" "&amp;Milestones!$AC$110&amp;";  ","")&amp;IF(AND(EDATE($D54,Milestones!$AA$111)&lt;=AsOfDate,IF($R54=0,$X54,IF(AND($T54&lt;&gt;"",EDATE($D54,Milestones!$AA$111)&gt;=$T54),$W54,IF(AND($S54&lt;&gt;"",EDATE($D54,Milestones!$AA$111)&gt;=$S54),$V54,$U54)))=Milestones!$AB$111),UPPER(TEXT(EDATE($D54,Milestones!$AA$111),"dd mmm yy"))&amp;" "&amp;Milestones!$AB$111&amp;" "&amp;Milestones!$AC$111&amp;";  ","")&amp;IF(AND(EDATE($D54,Milestones!$AA$112)&lt;=AsOfDate,IF($R54=0,$X54,IF(AND($T54&lt;&gt;"",EDATE($D54,Milestones!$AA$112)&gt;=$T54),$W54,IF(AND($S54&lt;&gt;"",EDATE($D54,Milestones!$AA$112)&gt;=$S54),$V54,$U54)))=Milestones!$AB$112),UPPER(TEXT(EDATE($D54,Milestones!$AA$112),"dd mmm yy"))&amp;" "&amp;Milestones!$AB$112&amp;" "&amp;Milestones!$AC$112&amp;";  ","")&amp;IF(AND(EDATE($D54,Milestones!$AA$113)&lt;=AsOfDate,IF($R54=0,$X54,IF(AND($T54&lt;&gt;"",EDATE($D54,Milestones!$AA$113)&gt;=$T54),$W54,IF(AND($S54&lt;&gt;"",EDATE($D54,Milestones!$AA$113)&gt;=$S54),$V54,$U54)))=Milestones!$AB$113),UPPER(TEXT(EDATE($D54,Milestones!$AA$113),"dd mmm yy"))&amp;" "&amp;Milestones!$AB$113&amp;" "&amp;Milestones!$AC$113&amp;";  ","")&amp;IF(AND(EDATE($D54,Milestones!$AA$114)&lt;=AsOfDate,IF($R54=0,$X54,IF(AND($T54&lt;&gt;"",EDATE($D54,Milestones!$AA$114)&gt;=$T54),$W54,IF(AND($S54&lt;&gt;"",EDATE($D54,Milestones!$AA$114)&gt;=$S54),$V54,$U54)))=Milestones!$AB$114),UPPER(TEXT(EDATE($D54,Milestones!$AA$114),"dd mmm yy"))&amp;" "&amp;Milestones!$AB$114&amp;" "&amp;Milestones!$AC$114&amp;";  ","")&amp;IF(AND(EDATE($D54,Milestones!$AA$115)&lt;=AsOfDate,IF($R54=0,$X54,IF(AND($T54&lt;&gt;"",EDATE($D54,Milestones!$AA$115)&gt;=$T54),$W54,IF(AND($S54&lt;&gt;"",EDATE($D54,Milestones!$AA$115)&gt;=$S54),$V54,$U54)))=Milestones!$AB$115),UPPER(TEXT(EDATE($D54,Milestones!$AA$115),"dd mmm yy"))&amp;" "&amp;Milestones!$AB$115&amp;" "&amp;Milestones!$AC$115&amp;";  ","")&amp;IF(AND(EDATE($D54,Milestones!$AA$116)&lt;=AsOfDate,IF($R54=0,$X54,IF(AND($T54&lt;&gt;"",EDATE($D54,Milestones!$AA$116)&gt;=$T54),$W54,IF(AND($S54&lt;&gt;"",EDATE($D54,Milestones!$AA$116)&gt;=$S54),$V54,$U54)))=Milestones!$AB$116),UPPER(TEXT(EDATE($D54,Milestones!$AA$116),"dd mmm yy"))&amp;" "&amp;Milestones!$AB$116&amp;" "&amp;Milestones!$AC$116&amp;";  ","")&amp;IF(AND(EDATE($D54,Milestones!$AA$117)&lt;=AsOfDate,IF($R54=0,$X54,IF(AND($T54&lt;&gt;"",EDATE($D54,Milestones!$AA$117)&gt;=$T54),$W54,IF(AND($S54&lt;&gt;"",EDATE($D54,Milestones!$AA$117)&gt;=$S54),$V54,$U54)))=Milestones!$AB$117),UPPER(TEXT(EDATE($D54,Milestones!$AA$117),"dd mmm yy"))&amp;" "&amp;Milestones!$AB$117&amp;" "&amp;Milestones!$AC$117&amp;";  ","")&amp;IF(AND(EDATE($D54,Milestones!$AA$118)&lt;=AsOfDate,IF($R54=0,$X54,IF(AND($T54&lt;&gt;"",EDATE($D54,Milestones!$AA$118)&gt;=$T54),$W54,IF(AND($S54&lt;&gt;"",EDATE($D54,Milestones!$AA$118)&gt;=$S54),$V54,$U54)))=Milestones!$AB$118),UPPER(TEXT(EDATE($D54,Milestones!$AA$118),"dd mmm yy"))&amp;" "&amp;Milestones!$AB$118&amp;" "&amp;Milestones!$AC$118&amp;";  ","")&amp;IF(AND(EDATE($D54,Milestones!$AA$119)&lt;=AsOfDate,IF($R54=0,$X54,IF(AND($T54&lt;&gt;"",EDATE($D54,Milestones!$AA$119)&gt;=$T54),$W54,IF(AND($S54&lt;&gt;"",EDATE($D54,Milestones!$AA$119)&gt;=$S54),$V54,$U54)))=Milestones!$AB$119),UPPER(TEXT(EDATE($D54,Milestones!$AA$119),"dd mmm yy"))&amp;" "&amp;Milestones!$AB$119&amp;" "&amp;Milestones!$AC$119&amp;";  ",""))</f>
        <v/>
      </c>
      <c r="N54" s="0" t="str">
        <f aca="false">IF(OR($A54="",$D54=""),"",IF(AND(EDATE($D54,Milestones!$AA$120)&lt;=AsOfDate,IF($R54=0,$X54,IF(AND($T54&lt;&gt;"",EDATE($D54,Milestones!$AA$120)&gt;=$T54),$W54,IF(AND($S54&lt;&gt;"",EDATE($D54,Milestones!$AA$120)&gt;=$S54),$V54,$U54)))=Milestones!$AB$120),UPPER(TEXT(EDATE($D54,Milestones!$AA$120),"dd mmm yy"))&amp;" "&amp;Milestones!$AB$120&amp;" "&amp;Milestones!$AC$120&amp;";  ","")&amp;IF(AND(EDATE($D54,Milestones!$AA$121)&lt;=AsOfDate,IF($R54=0,$X54,IF(AND($T54&lt;&gt;"",EDATE($D54,Milestones!$AA$121)&gt;=$T54),$W54,IF(AND($S54&lt;&gt;"",EDATE($D54,Milestones!$AA$121)&gt;=$S54),$V54,$U54)))=Milestones!$AB$121),UPPER(TEXT(EDATE($D54,Milestones!$AA$121),"dd mmm yy"))&amp;" "&amp;Milestones!$AB$121&amp;" "&amp;Milestones!$AC$121&amp;";  ","")&amp;IF(AND(EDATE($D54,Milestones!$AA$122)&lt;=AsOfDate,IF($R54=0,$X54,IF(AND($T54&lt;&gt;"",EDATE($D54,Milestones!$AA$122)&gt;=$T54),$W54,IF(AND($S54&lt;&gt;"",EDATE($D54,Milestones!$AA$122)&gt;=$S54),$V54,$U54)))=Milestones!$AB$122),UPPER(TEXT(EDATE($D54,Milestones!$AA$122),"dd mmm yy"))&amp;" "&amp;Milestones!$AB$122&amp;" "&amp;Milestones!$AC$122&amp;";  ","")&amp;IF(AND(EDATE($D54,Milestones!$AA$123)&lt;=AsOfDate,IF($R54=0,$X54,IF(AND($T54&lt;&gt;"",EDATE($D54,Milestones!$AA$123)&gt;=$T54),$W54,IF(AND($S54&lt;&gt;"",EDATE($D54,Milestones!$AA$123)&gt;=$S54),$V54,$U54)))=Milestones!$AB$123),UPPER(TEXT(EDATE($D54,Milestones!$AA$123),"dd mmm yy"))&amp;" "&amp;Milestones!$AB$123&amp;" "&amp;Milestones!$AC$123&amp;";  ","")&amp;IF(AND(EDATE($D54,Milestones!$AA$124)&lt;=AsOfDate,IF($R54=0,$X54,IF(AND($T54&lt;&gt;"",EDATE($D54,Milestones!$AA$124)&gt;=$T54),$W54,IF(AND($S54&lt;&gt;"",EDATE($D54,Milestones!$AA$124)&gt;=$S54),$V54,$U54)))=Milestones!$AB$124),UPPER(TEXT(EDATE($D54,Milestones!$AA$124),"dd mmm yy"))&amp;" "&amp;Milestones!$AB$124&amp;" "&amp;Milestones!$AC$124&amp;";  ","")&amp;IF(AND(EDATE($D54,Milestones!$AA$125)&lt;=AsOfDate,IF($R54=0,$X54,IF(AND($T54&lt;&gt;"",EDATE($D54,Milestones!$AA$125)&gt;=$T54),$W54,IF(AND($S54&lt;&gt;"",EDATE($D54,Milestones!$AA$125)&gt;=$S54),$V54,$U54)))=Milestones!$AB$125),UPPER(TEXT(EDATE($D54,Milestones!$AA$125),"dd mmm yy"))&amp;" "&amp;Milestones!$AB$125&amp;" "&amp;Milestones!$AC$125&amp;";  ","")&amp;IF(AND(EDATE($D54,Milestones!$AA$126)&lt;=AsOfDate,IF($R54=0,$X54,IF(AND($T54&lt;&gt;"",EDATE($D54,Milestones!$AA$126)&gt;=$T54),$W54,IF(AND($S54&lt;&gt;"",EDATE($D54,Milestones!$AA$126)&gt;=$S54),$V54,$U54)))=Milestones!$AB$126),UPPER(TEXT(EDATE($D54,Milestones!$AA$126),"dd mmm yy"))&amp;" "&amp;Milestones!$AB$126&amp;" "&amp;Milestones!$AC$126&amp;";  ","")&amp;IF(AND(EDATE($D54,Milestones!$AA$127)&lt;=AsOfDate,IF($R54=0,$X54,IF(AND($T54&lt;&gt;"",EDATE($D54,Milestones!$AA$127)&gt;=$T54),$W54,IF(AND($S54&lt;&gt;"",EDATE($D54,Milestones!$AA$127)&gt;=$S54),$V54,$U54)))=Milestones!$AB$127),UPPER(TEXT(EDATE($D54,Milestones!$AA$127),"dd mmm yy"))&amp;" "&amp;Milestones!$AB$127&amp;" "&amp;Milestones!$AC$127&amp;";  ","")&amp;IF(AND(EDATE($D54,Milestones!$AA$128)&lt;=AsOfDate,IF($R54=0,$X54,IF(AND($T54&lt;&gt;"",EDATE($D54,Milestones!$AA$128)&gt;=$T54),$W54,IF(AND($S54&lt;&gt;"",EDATE($D54,Milestones!$AA$128)&gt;=$S54),$V54,$U54)))=Milestones!$AB$128),UPPER(TEXT(EDATE($D54,Milestones!$AA$128),"dd mmm yy"))&amp;" "&amp;Milestones!$AB$128&amp;" "&amp;Milestones!$AC$128&amp;";  ","")&amp;IF(AND(EDATE($D54,Milestones!$AA$129)&lt;=AsOfDate,IF($R54=0,$X54,IF(AND($T54&lt;&gt;"",EDATE($D54,Milestones!$AA$129)&gt;=$T54),$W54,IF(AND($S54&lt;&gt;"",EDATE($D54,Milestones!$AA$129)&gt;=$S54),$V54,$U54)))=Milestones!$AB$129),UPPER(TEXT(EDATE($D54,Milestones!$AA$129),"dd mmm yy"))&amp;" "&amp;Milestones!$AB$129&amp;" "&amp;Milestones!$AC$129&amp;";  ","")&amp;IF(AND(EDATE($D54,Milestones!$AA$130)&lt;=AsOfDate,IF($R54=0,$X54,IF(AND($T54&lt;&gt;"",EDATE($D54,Milestones!$AA$130)&gt;=$T54),$W54,IF(AND($S54&lt;&gt;"",EDATE($D54,Milestones!$AA$130)&gt;=$S54),$V54,$U54)))=Milestones!$AB$130),UPPER(TEXT(EDATE($D54,Milestones!$AA$130),"dd mmm yy"))&amp;" "&amp;Milestones!$AB$130&amp;" "&amp;Milestones!$AC$130&amp;";  ","")&amp;IF(AND(EDATE($D54,Milestones!$AA$131)&lt;=AsOfDate,IF($R54=0,$X54,IF(AND($T54&lt;&gt;"",EDATE($D54,Milestones!$AA$131)&gt;=$T54),$W54,IF(AND($S54&lt;&gt;"",EDATE($D54,Milestones!$AA$131)&gt;=$S54),$V54,$U54)))=Milestones!$AB$131),UPPER(TEXT(EDATE($D54,Milestones!$AA$131),"dd mmm yy"))&amp;" "&amp;Milestones!$AB$131&amp;" "&amp;Milestones!$AC$131&amp;";  ","")&amp;IF(AND(EDATE($D54,Milestones!$AA$132)&lt;=AsOfDate,IF($R54=0,$X54,IF(AND($T54&lt;&gt;"",EDATE($D54,Milestones!$AA$132)&gt;=$T54),$W54,IF(AND($S54&lt;&gt;"",EDATE($D54,Milestones!$AA$132)&gt;=$S54),$V54,$U54)))=Milestones!$AB$132),UPPER(TEXT(EDATE($D54,Milestones!$AA$132),"dd mmm yy"))&amp;" "&amp;Milestones!$AB$132&amp;" "&amp;Milestones!$AC$132&amp;";  ","")&amp;IF(AND(EDATE($D54,Milestones!$AA$133)&lt;=AsOfDate,IF($R54=0,$X54,IF(AND($T54&lt;&gt;"",EDATE($D54,Milestones!$AA$133)&gt;=$T54),$W54,IF(AND($S54&lt;&gt;"",EDATE($D54,Milestones!$AA$133)&gt;=$S54),$V54,$U54)))=Milestones!$AB$133),UPPER(TEXT(EDATE($D54,Milestones!$AA$133),"dd mmm yy"))&amp;" "&amp;Milestones!$AB$133&amp;" "&amp;Milestones!$AC$133&amp;";  ","")&amp;IF(AND(EDATE($D54,Milestones!$AA$134)&lt;=AsOfDate,IF($R54=0,$X54,IF(AND($T54&lt;&gt;"",EDATE($D54,Milestones!$AA$134)&gt;=$T54),$W54,IF(AND($S54&lt;&gt;"",EDATE($D54,Milestones!$AA$134)&gt;=$S54),$V54,$U54)))=Milestones!$AB$134),UPPER(TEXT(EDATE($D54,Milestones!$AA$134),"dd mmm yy"))&amp;" "&amp;Milestones!$AB$134&amp;" "&amp;Milestones!$AC$134&amp;";  ","")&amp;IF(AND(EDATE($D54,Milestones!$AA$135)&lt;=AsOfDate,IF($R54=0,$X54,IF(AND($T54&lt;&gt;"",EDATE($D54,Milestones!$AA$135)&gt;=$T54),$W54,IF(AND($S54&lt;&gt;"",EDATE($D54,Milestones!$AA$135)&gt;=$S54),$V54,$U54)))=Milestones!$AB$135),UPPER(TEXT(EDATE($D54,Milestones!$AA$135),"dd mmm yy"))&amp;" "&amp;Milestones!$AB$135&amp;" "&amp;Milestones!$AC$135&amp;";  ","")&amp;IF(AND(EDATE($D54,Milestones!$AA$136)&lt;=AsOfDate,IF($R54=0,$X54,IF(AND($T54&lt;&gt;"",EDATE($D54,Milestones!$AA$136)&gt;=$T54),$W54,IF(AND($S54&lt;&gt;"",EDATE($D54,Milestones!$AA$136)&gt;=$S54),$V54,$U54)))=Milestones!$AB$136),UPPER(TEXT(EDATE($D54,Milestones!$AA$136),"dd mmm yy"))&amp;" "&amp;Milestones!$AB$136&amp;" "&amp;Milestones!$AC$136&amp;";  ","")&amp;IF(AND(EDATE($D54,Milestones!$AA$137)&lt;=AsOfDate,IF($R54=0,$X54,IF(AND($T54&lt;&gt;"",EDATE($D54,Milestones!$AA$137)&gt;=$T54),$W54,IF(AND($S54&lt;&gt;"",EDATE($D54,Milestones!$AA$137)&gt;=$S54),$V54,$U54)))=Milestones!$AB$137),UPPER(TEXT(EDATE($D54,Milestones!$AA$137),"dd mmm yy"))&amp;" "&amp;Milestones!$AB$137&amp;" "&amp;Milestones!$AC$137&amp;";  ","")&amp;IF(AND(EDATE($D54,Milestones!$AA$138)&lt;=AsOfDate,IF($R54=0,$X54,IF(AND($T54&lt;&gt;"",EDATE($D54,Milestones!$AA$138)&gt;=$T54),$W54,IF(AND($S54&lt;&gt;"",EDATE($D54,Milestones!$AA$138)&gt;=$S54),$V54,$U54)))=Milestones!$AB$138),UPPER(TEXT(EDATE($D54,Milestones!$AA$138),"dd mmm yy"))&amp;" "&amp;Milestones!$AB$138&amp;" "&amp;Milestones!$AC$138&amp;";  ","")&amp;IF(AND(EDATE($D54,Milestones!$AA$139)&lt;=AsOfDate,IF($R54=0,$X54,IF(AND($T54&lt;&gt;"",EDATE($D54,Milestones!$AA$139)&gt;=$T54),$W54,IF(AND($S54&lt;&gt;"",EDATE($D54,Milestones!$AA$139)&gt;=$S54),$V54,$U54)))=Milestones!$AB$139),UPPER(TEXT(EDATE($D54,Milestones!$AA$139),"dd mmm yy"))&amp;" "&amp;Milestones!$AB$139&amp;" "&amp;Milestones!$AC$139&amp;";  ",""))</f>
        <v/>
      </c>
      <c r="O54" s="0" t="str">
        <f aca="false">IF(OR($A54="",$D54=""),"",IF(AND(EDATE($D54,Milestones!$AA$140)&lt;=AsOfDate,IF($R54=0,$X54,IF(AND($T54&lt;&gt;"",EDATE($D54,Milestones!$AA$140)&gt;=$T54),$W54,IF(AND($S54&lt;&gt;"",EDATE($D54,Milestones!$AA$140)&gt;=$S54),$V54,$U54)))=Milestones!$AB$140),UPPER(TEXT(EDATE($D54,Milestones!$AA$140),"dd mmm yy"))&amp;" "&amp;Milestones!$AB$140&amp;" "&amp;Milestones!$AC$140&amp;";  ","")&amp;IF(AND(EDATE($D54,Milestones!$AA$141)&lt;=AsOfDate,IF($R54=0,$X54,IF(AND($T54&lt;&gt;"",EDATE($D54,Milestones!$AA$141)&gt;=$T54),$W54,IF(AND($S54&lt;&gt;"",EDATE($D54,Milestones!$AA$141)&gt;=$S54),$V54,$U54)))=Milestones!$AB$141),UPPER(TEXT(EDATE($D54,Milestones!$AA$141),"dd mmm yy"))&amp;" "&amp;Milestones!$AB$141&amp;" "&amp;Milestones!$AC$141&amp;";  ","")&amp;IF(AND(EDATE($D54,Milestones!$AA$142)&lt;=AsOfDate,IF($R54=0,$X54,IF(AND($T54&lt;&gt;"",EDATE($D54,Milestones!$AA$142)&gt;=$T54),$W54,IF(AND($S54&lt;&gt;"",EDATE($D54,Milestones!$AA$142)&gt;=$S54),$V54,$U54)))=Milestones!$AB$142),UPPER(TEXT(EDATE($D54,Milestones!$AA$142),"dd mmm yy"))&amp;" "&amp;Milestones!$AB$142&amp;" "&amp;Milestones!$AC$142&amp;";  ","")&amp;IF(AND(EDATE($D54,Milestones!$AA$143)&lt;=AsOfDate,IF($R54=0,$X54,IF(AND($T54&lt;&gt;"",EDATE($D54,Milestones!$AA$143)&gt;=$T54),$W54,IF(AND($S54&lt;&gt;"",EDATE($D54,Milestones!$AA$143)&gt;=$S54),$V54,$U54)))=Milestones!$AB$143),UPPER(TEXT(EDATE($D54,Milestones!$AA$143),"dd mmm yy"))&amp;" "&amp;Milestones!$AB$143&amp;" "&amp;Milestones!$AC$143&amp;";  ","")&amp;IF(AND(EDATE($D54,Milestones!$AA$144)&lt;=AsOfDate,IF($R54=0,$X54,IF(AND($T54&lt;&gt;"",EDATE($D54,Milestones!$AA$144)&gt;=$T54),$W54,IF(AND($S54&lt;&gt;"",EDATE($D54,Milestones!$AA$144)&gt;=$S54),$V54,$U54)))=Milestones!$AB$144),UPPER(TEXT(EDATE($D54,Milestones!$AA$144),"dd mmm yy"))&amp;" "&amp;Milestones!$AB$144&amp;" "&amp;Milestones!$AC$144&amp;";  ","")&amp;IF(AND(EDATE($D54,Milestones!$AA$145)&lt;=AsOfDate,IF($R54=0,$X54,IF(AND($T54&lt;&gt;"",EDATE($D54,Milestones!$AA$145)&gt;=$T54),$W54,IF(AND($S54&lt;&gt;"",EDATE($D54,Milestones!$AA$145)&gt;=$S54),$V54,$U54)))=Milestones!$AB$145),UPPER(TEXT(EDATE($D54,Milestones!$AA$145),"dd mmm yy"))&amp;" "&amp;Milestones!$AB$145&amp;" "&amp;Milestones!$AC$145&amp;";  ","")&amp;IF(AND(EDATE($D54,Milestones!$AA$146)&lt;=AsOfDate,IF($R54=0,$X54,IF(AND($T54&lt;&gt;"",EDATE($D54,Milestones!$AA$146)&gt;=$T54),$W54,IF(AND($S54&lt;&gt;"",EDATE($D54,Milestones!$AA$146)&gt;=$S54),$V54,$U54)))=Milestones!$AB$146),UPPER(TEXT(EDATE($D54,Milestones!$AA$146),"dd mmm yy"))&amp;" "&amp;Milestones!$AB$146&amp;" "&amp;Milestones!$AC$146&amp;";  ","")&amp;IF(AND(EDATE($D54,Milestones!$AA$147)&lt;=AsOfDate,IF($R54=0,$X54,IF(AND($T54&lt;&gt;"",EDATE($D54,Milestones!$AA$147)&gt;=$T54),$W54,IF(AND($S54&lt;&gt;"",EDATE($D54,Milestones!$AA$147)&gt;=$S54),$V54,$U54)))=Milestones!$AB$147),UPPER(TEXT(EDATE($D54,Milestones!$AA$147),"dd mmm yy"))&amp;" "&amp;Milestones!$AB$147&amp;" "&amp;Milestones!$AC$147&amp;";  ","")&amp;IF(AND(EDATE($D54,Milestones!$AA$148)&lt;=AsOfDate,IF($R54=0,$X54,IF(AND($T54&lt;&gt;"",EDATE($D54,Milestones!$AA$148)&gt;=$T54),$W54,IF(AND($S54&lt;&gt;"",EDATE($D54,Milestones!$AA$148)&gt;=$S54),$V54,$U54)))=Milestones!$AB$148),UPPER(TEXT(EDATE($D54,Milestones!$AA$148),"dd mmm yy"))&amp;" "&amp;Milestones!$AB$148&amp;" "&amp;Milestones!$AC$148&amp;";  ","")&amp;IF(AND(EDATE($D54,Milestones!$AA$149)&lt;=AsOfDate,IF($R54=0,$X54,IF(AND($T54&lt;&gt;"",EDATE($D54,Milestones!$AA$149)&gt;=$T54),$W54,IF(AND($S54&lt;&gt;"",EDATE($D54,Milestones!$AA$149)&gt;=$S54),$V54,$U54)))=Milestones!$AB$149),UPPER(TEXT(EDATE($D54,Milestones!$AA$149),"dd mmm yy"))&amp;" "&amp;Milestones!$AB$149&amp;" "&amp;Milestones!$AC$149&amp;";  ","")&amp;IF(AND(EDATE($D54,Milestones!$AA$150)&lt;=AsOfDate,IF($R54=0,$X54,IF(AND($T54&lt;&gt;"",EDATE($D54,Milestones!$AA$150)&gt;=$T54),$W54,IF(AND($S54&lt;&gt;"",EDATE($D54,Milestones!$AA$150)&gt;=$S54),$V54,$U54)))=Milestones!$AB$150),UPPER(TEXT(EDATE($D54,Milestones!$AA$150),"dd mmm yy"))&amp;" "&amp;Milestones!$AB$150&amp;" "&amp;Milestones!$AC$150&amp;";  ","")&amp;IF(AND(EDATE($D54,Milestones!$AA$151)&lt;=AsOfDate,IF($R54=0,$X54,IF(AND($T54&lt;&gt;"",EDATE($D54,Milestones!$AA$151)&gt;=$T54),$W54,IF(AND($S54&lt;&gt;"",EDATE($D54,Milestones!$AA$151)&gt;=$S54),$V54,$U54)))=Milestones!$AB$151),UPPER(TEXT(EDATE($D54,Milestones!$AA$151),"dd mmm yy"))&amp;" "&amp;Milestones!$AB$151&amp;" "&amp;Milestones!$AC$151&amp;";  ","")&amp;IF(AND(EDATE($D54,Milestones!$AA$152)&lt;=AsOfDate,IF($R54=0,$X54,IF(AND($T54&lt;&gt;"",EDATE($D54,Milestones!$AA$152)&gt;=$T54),$W54,IF(AND($S54&lt;&gt;"",EDATE($D54,Milestones!$AA$152)&gt;=$S54),$V54,$U54)))=Milestones!$AB$152),UPPER(TEXT(EDATE($D54,Milestones!$AA$152),"dd mmm yy"))&amp;" "&amp;Milestones!$AB$152&amp;" "&amp;Milestones!$AC$152&amp;";  ","")&amp;IF(AND(EDATE($D54,Milestones!$AA$153)&lt;=AsOfDate,IF($R54=0,$X54,IF(AND($T54&lt;&gt;"",EDATE($D54,Milestones!$AA$153)&gt;=$T54),$W54,IF(AND($S54&lt;&gt;"",EDATE($D54,Milestones!$AA$153)&gt;=$S54),$V54,$U54)))=Milestones!$AB$153),UPPER(TEXT(EDATE($D54,Milestones!$AA$153),"dd mmm yy"))&amp;" "&amp;Milestones!$AB$153&amp;" "&amp;Milestones!$AC$153&amp;";  ","")&amp;IF(AND(EDATE($D54,Milestones!$AA$154)&lt;=AsOfDate,IF($R54=0,$X54,IF(AND($T54&lt;&gt;"",EDATE($D54,Milestones!$AA$154)&gt;=$T54),$W54,IF(AND($S54&lt;&gt;"",EDATE($D54,Milestones!$AA$154)&gt;=$S54),$V54,$U54)))=Milestones!$AB$154),UPPER(TEXT(EDATE($D54,Milestones!$AA$154),"dd mmm yy"))&amp;" "&amp;Milestones!$AB$154&amp;" "&amp;Milestones!$AC$154&amp;";  ","")&amp;IF(AND(EDATE($D54,Milestones!$AA$155)&lt;=AsOfDate,IF($R54=0,$X54,IF(AND($T54&lt;&gt;"",EDATE($D54,Milestones!$AA$155)&gt;=$T54),$W54,IF(AND($S54&lt;&gt;"",EDATE($D54,Milestones!$AA$155)&gt;=$S54),$V54,$U54)))=Milestones!$AB$155),UPPER(TEXT(EDATE($D54,Milestones!$AA$155),"dd mmm yy"))&amp;" "&amp;Milestones!$AB$155&amp;" "&amp;Milestones!$AC$155&amp;";  ","")&amp;IF(AND(EDATE($D54,Milestones!$AA$156)&lt;=AsOfDate,IF($R54=0,$X54,IF(AND($T54&lt;&gt;"",EDATE($D54,Milestones!$AA$156)&gt;=$T54),$W54,IF(AND($S54&lt;&gt;"",EDATE($D54,Milestones!$AA$156)&gt;=$S54),$V54,$U54)))=Milestones!$AB$156),UPPER(TEXT(EDATE($D54,Milestones!$AA$156),"dd mmm yy"))&amp;" "&amp;Milestones!$AB$156&amp;" "&amp;Milestones!$AC$156&amp;";  ","")&amp;IF(AND(EDATE($D54,Milestones!$AA$157)&lt;=AsOfDate,IF($R54=0,$X54,IF(AND($T54&lt;&gt;"",EDATE($D54,Milestones!$AA$157)&gt;=$T54),$W54,IF(AND($S54&lt;&gt;"",EDATE($D54,Milestones!$AA$157)&gt;=$S54),$V54,$U54)))=Milestones!$AB$157),UPPER(TEXT(EDATE($D54,Milestones!$AA$157),"dd mmm yy"))&amp;" "&amp;Milestones!$AB$157&amp;" "&amp;Milestones!$AC$157&amp;";  ","")&amp;IF(AND(EDATE($D54,Milestones!$AA$158)&lt;=AsOfDate,IF($R54=0,$X54,IF(AND($T54&lt;&gt;"",EDATE($D54,Milestones!$AA$158)&gt;=$T54),$W54,IF(AND($S54&lt;&gt;"",EDATE($D54,Milestones!$AA$158)&gt;=$S54),$V54,$U54)))=Milestones!$AB$158),UPPER(TEXT(EDATE($D54,Milestones!$AA$158),"dd mmm yy"))&amp;" "&amp;Milestones!$AB$158&amp;" "&amp;Milestones!$AC$158&amp;";  ","")&amp;IF(AND(EDATE($D54,Milestones!$AA$159)&lt;=AsOfDate,IF($R54=0,$X54,IF(AND($T54&lt;&gt;"",EDATE($D54,Milestones!$AA$159)&gt;=$T54),$W54,IF(AND($S54&lt;&gt;"",EDATE($D54,Milestones!$AA$159)&gt;=$S54),$V54,$U54)))=Milestones!$AB$159),UPPER(TEXT(EDATE($D54,Milestones!$AA$159),"dd mmm yy"))&amp;" "&amp;Milestones!$AB$159&amp;" "&amp;Milestones!$AC$159&amp;";  ",""))</f>
        <v/>
      </c>
      <c r="P54" s="0" t="str">
        <f aca="false">IF(OR($A54="",$D54=""),"",IF(AND(EDATE($D54,Milestones!$AA$160)&lt;=AsOfDate,IF($R54=0,$X54,IF(AND($T54&lt;&gt;"",EDATE($D54,Milestones!$AA$160)&gt;=$T54),$W54,IF(AND($S54&lt;&gt;"",EDATE($D54,Milestones!$AA$160)&gt;=$S54),$V54,$U54)))=Milestones!$AB$160),UPPER(TEXT(EDATE($D54,Milestones!$AA$160),"dd mmm yy"))&amp;" "&amp;Milestones!$AB$160&amp;" "&amp;Milestones!$AC$160&amp;";  ","")&amp;IF(AND(EDATE($D54,Milestones!$AA$161)&lt;=AsOfDate,IF($R54=0,$X54,IF(AND($T54&lt;&gt;"",EDATE($D54,Milestones!$AA$161)&gt;=$T54),$W54,IF(AND($S54&lt;&gt;"",EDATE($D54,Milestones!$AA$161)&gt;=$S54),$V54,$U54)))=Milestones!$AB$161),UPPER(TEXT(EDATE($D54,Milestones!$AA$161),"dd mmm yy"))&amp;" "&amp;Milestones!$AB$161&amp;" "&amp;Milestones!$AC$161&amp;";  ","")&amp;IF(AND(EDATE($D54,Milestones!$AA$162)&lt;=AsOfDate,IF($R54=0,$X54,IF(AND($T54&lt;&gt;"",EDATE($D54,Milestones!$AA$162)&gt;=$T54),$W54,IF(AND($S54&lt;&gt;"",EDATE($D54,Milestones!$AA$162)&gt;=$S54),$V54,$U54)))=Milestones!$AB$162),UPPER(TEXT(EDATE($D54,Milestones!$AA$162),"dd mmm yy"))&amp;" "&amp;Milestones!$AB$162&amp;" "&amp;Milestones!$AC$162&amp;";  ","")&amp;IF(AND(EDATE($D54,Milestones!$AA$163)&lt;=AsOfDate,IF($R54=0,$X54,IF(AND($T54&lt;&gt;"",EDATE($D54,Milestones!$AA$163)&gt;=$T54),$W54,IF(AND($S54&lt;&gt;"",EDATE($D54,Milestones!$AA$163)&gt;=$S54),$V54,$U54)))=Milestones!$AB$163),UPPER(TEXT(EDATE($D54,Milestones!$AA$163),"dd mmm yy"))&amp;" "&amp;Milestones!$AB$163&amp;" "&amp;Milestones!$AC$163&amp;";  ","")&amp;IF(AND(EDATE($D54,Milestones!$AA$164)&lt;=AsOfDate,IF($R54=0,$X54,IF(AND($T54&lt;&gt;"",EDATE($D54,Milestones!$AA$164)&gt;=$T54),$W54,IF(AND($S54&lt;&gt;"",EDATE($D54,Milestones!$AA$164)&gt;=$S54),$V54,$U54)))=Milestones!$AB$164),UPPER(TEXT(EDATE($D54,Milestones!$AA$164),"dd mmm yy"))&amp;" "&amp;Milestones!$AB$164&amp;" "&amp;Milestones!$AC$164&amp;";  ","")&amp;IF(AND(EDATE($D54,Milestones!$AA$165)&lt;=AsOfDate,IF($R54=0,$X54,IF(AND($T54&lt;&gt;"",EDATE($D54,Milestones!$AA$165)&gt;=$T54),$W54,IF(AND($S54&lt;&gt;"",EDATE($D54,Milestones!$AA$165)&gt;=$S54),$V54,$U54)))=Milestones!$AB$165),UPPER(TEXT(EDATE($D54,Milestones!$AA$165),"dd mmm yy"))&amp;" "&amp;Milestones!$AB$165&amp;" "&amp;Milestones!$AC$165&amp;";  ","")&amp;IF(AND(EDATE($D54,Milestones!$AA$166)&lt;=AsOfDate,IF($R54=0,$X54,IF(AND($T54&lt;&gt;"",EDATE($D54,Milestones!$AA$166)&gt;=$T54),$W54,IF(AND($S54&lt;&gt;"",EDATE($D54,Milestones!$AA$166)&gt;=$S54),$V54,$U54)))=Milestones!$AB$166),UPPER(TEXT(EDATE($D54,Milestones!$AA$166),"dd mmm yy"))&amp;" "&amp;Milestones!$AB$166&amp;" "&amp;Milestones!$AC$166&amp;";  ","")&amp;IF(AND(EDATE($D54,Milestones!$AA$167)&lt;=AsOfDate,IF($R54=0,$X54,IF(AND($T54&lt;&gt;"",EDATE($D54,Milestones!$AA$167)&gt;=$T54),$W54,IF(AND($S54&lt;&gt;"",EDATE($D54,Milestones!$AA$167)&gt;=$S54),$V54,$U54)))=Milestones!$AB$167),UPPER(TEXT(EDATE($D54,Milestones!$AA$167),"dd mmm yy"))&amp;" "&amp;Milestones!$AB$167&amp;" "&amp;Milestones!$AC$167&amp;";  ","")&amp;IF(AND(EDATE($D54,Milestones!$AA$168)&lt;=AsOfDate,IF($R54=0,$X54,IF(AND($T54&lt;&gt;"",EDATE($D54,Milestones!$AA$168)&gt;=$T54),$W54,IF(AND($S54&lt;&gt;"",EDATE($D54,Milestones!$AA$168)&gt;=$S54),$V54,$U54)))=Milestones!$AB$168),UPPER(TEXT(EDATE($D54,Milestones!$AA$168),"dd mmm yy"))&amp;" "&amp;Milestones!$AB$168&amp;" "&amp;Milestones!$AC$168&amp;";  ","")&amp;IF(AND(EDATE($D54,Milestones!$AA$169)&lt;=AsOfDate,IF($R54=0,$X54,IF(AND($T54&lt;&gt;"",EDATE($D54,Milestones!$AA$169)&gt;=$T54),$W54,IF(AND($S54&lt;&gt;"",EDATE($D54,Milestones!$AA$169)&gt;=$S54),$V54,$U54)))=Milestones!$AB$169),UPPER(TEXT(EDATE($D54,Milestones!$AA$169),"dd mmm yy"))&amp;" "&amp;Milestones!$AB$169&amp;" "&amp;Milestones!$AC$169&amp;";  ","")&amp;IF(AND(EDATE($D54,Milestones!$AA$170)&lt;=AsOfDate,IF($R54=0,$X54,IF(AND($T54&lt;&gt;"",EDATE($D54,Milestones!$AA$170)&gt;=$T54),$W54,IF(AND($S54&lt;&gt;"",EDATE($D54,Milestones!$AA$170)&gt;=$S54),$V54,$U54)))=Milestones!$AB$170),UPPER(TEXT(EDATE($D54,Milestones!$AA$170),"dd mmm yy"))&amp;" "&amp;Milestones!$AB$170&amp;" "&amp;Milestones!$AC$170&amp;";  ","")&amp;IF(AND(EDATE($D54,Milestones!$AA$171)&lt;=AsOfDate,IF($R54=0,$X54,IF(AND($T54&lt;&gt;"",EDATE($D54,Milestones!$AA$171)&gt;=$T54),$W54,IF(AND($S54&lt;&gt;"",EDATE($D54,Milestones!$AA$171)&gt;=$S54),$V54,$U54)))=Milestones!$AB$171),UPPER(TEXT(EDATE($D54,Milestones!$AA$171),"dd mmm yy"))&amp;" "&amp;Milestones!$AB$171&amp;" "&amp;Milestones!$AC$171&amp;";  ","")&amp;IF(AND(EDATE($D54,Milestones!$AA$172)&lt;=AsOfDate,IF($R54=0,$X54,IF(AND($T54&lt;&gt;"",EDATE($D54,Milestones!$AA$172)&gt;=$T54),$W54,IF(AND($S54&lt;&gt;"",EDATE($D54,Milestones!$AA$172)&gt;=$S54),$V54,$U54)))=Milestones!$AB$172),UPPER(TEXT(EDATE($D54,Milestones!$AA$172),"dd mmm yy"))&amp;" "&amp;Milestones!$AB$172&amp;" "&amp;Milestones!$AC$172&amp;";  ","")&amp;IF(AND(EDATE($D54,Milestones!$AA$173)&lt;=AsOfDate,IF($R54=0,$X54,IF(AND($T54&lt;&gt;"",EDATE($D54,Milestones!$AA$173)&gt;=$T54),$W54,IF(AND($S54&lt;&gt;"",EDATE($D54,Milestones!$AA$173)&gt;=$S54),$V54,$U54)))=Milestones!$AB$173),UPPER(TEXT(EDATE($D54,Milestones!$AA$173),"dd mmm yy"))&amp;" "&amp;Milestones!$AB$173&amp;" "&amp;Milestones!$AC$173&amp;";  ","")&amp;IF(AND(EDATE($D54,Milestones!$AA$174)&lt;=AsOfDate,IF($R54=0,$X54,IF(AND($T54&lt;&gt;"",EDATE($D54,Milestones!$AA$174)&gt;=$T54),$W54,IF(AND($S54&lt;&gt;"",EDATE($D54,Milestones!$AA$174)&gt;=$S54),$V54,$U54)))=Milestones!$AB$174),UPPER(TEXT(EDATE($D54,Milestones!$AA$174),"dd mmm yy"))&amp;" "&amp;Milestones!$AB$174&amp;" "&amp;Milestones!$AC$174&amp;";  ","")&amp;IF(AND(EDATE($D54,Milestones!$AA$175)&lt;=AsOfDate,IF($R54=0,$X54,IF(AND($T54&lt;&gt;"",EDATE($D54,Milestones!$AA$175)&gt;=$T54),$W54,IF(AND($S54&lt;&gt;"",EDATE($D54,Milestones!$AA$175)&gt;=$S54),$V54,$U54)))=Milestones!$AB$175),UPPER(TEXT(EDATE($D54,Milestones!$AA$175),"dd mmm yy"))&amp;" "&amp;Milestones!$AB$175&amp;" "&amp;Milestones!$AC$175&amp;";  ","")&amp;IF(AND(EDATE($D54,Milestones!$AA$176)&lt;=AsOfDate,IF($R54=0,$X54,IF(AND($T54&lt;&gt;"",EDATE($D54,Milestones!$AA$176)&gt;=$T54),$W54,IF(AND($S54&lt;&gt;"",EDATE($D54,Milestones!$AA$176)&gt;=$S54),$V54,$U54)))=Milestones!$AB$176),UPPER(TEXT(EDATE($D54,Milestones!$AA$176),"dd mmm yy"))&amp;" "&amp;Milestones!$AB$176&amp;" "&amp;Milestones!$AC$176&amp;";  ","")&amp;IF(AND(EDATE($D54,Milestones!$AA$177)&lt;=AsOfDate,IF($R54=0,$X54,IF(AND($T54&lt;&gt;"",EDATE($D54,Milestones!$AA$177)&gt;=$T54),$W54,IF(AND($S54&lt;&gt;"",EDATE($D54,Milestones!$AA$177)&gt;=$S54),$V54,$U54)))=Milestones!$AB$177),UPPER(TEXT(EDATE($D54,Milestones!$AA$177),"dd mmm yy"))&amp;" "&amp;Milestones!$AB$177&amp;" "&amp;Milestones!$AC$177&amp;";  ","")&amp;IF(AND(EDATE($D54,Milestones!$AA$178)&lt;=AsOfDate,IF($R54=0,$X54,IF(AND($T54&lt;&gt;"",EDATE($D54,Milestones!$AA$178)&gt;=$T54),$W54,IF(AND($S54&lt;&gt;"",EDATE($D54,Milestones!$AA$178)&gt;=$S54),$V54,$U54)))=Milestones!$AB$178),UPPER(TEXT(EDATE($D54,Milestones!$AA$178),"dd mmm yy"))&amp;" "&amp;Milestones!$AB$178&amp;" "&amp;Milestones!$AC$178&amp;";  ","")&amp;IF(AND(EDATE($D54,Milestones!$AA$179)&lt;=AsOfDate,IF($R54=0,$X54,IF(AND($T54&lt;&gt;"",EDATE($D54,Milestones!$AA$179)&gt;=$T54),$W54,IF(AND($S54&lt;&gt;"",EDATE($D54,Milestones!$AA$179)&gt;=$S54),$V54,$U54)))=Milestones!$AB$179),UPPER(TEXT(EDATE($D54,Milestones!$AA$179),"dd mmm yy"))&amp;" "&amp;Milestones!$AB$179&amp;" "&amp;Milestones!$AC$179&amp;";  ",""))</f>
        <v/>
      </c>
      <c r="Q54" s="0" t="str">
        <f aca="false">IF(OR($A54="",$D54=""),"",IF(AND(EDATE($D54,Milestones!$AA$180)&lt;=AsOfDate,IF($R54=0,$X54,IF(AND($T54&lt;&gt;"",EDATE($D54,Milestones!$AA$180)&gt;=$T54),$W54,IF(AND($S54&lt;&gt;"",EDATE($D54,Milestones!$AA$180)&gt;=$S54),$V54,$U54)))=Milestones!$AB$180),UPPER(TEXT(EDATE($D54,Milestones!$AA$180),"dd mmm yy"))&amp;" "&amp;Milestones!$AB$180&amp;" "&amp;Milestones!$AC$180&amp;";  ","")&amp;IF(AND(EDATE($D54,Milestones!$AA$181)&lt;=AsOfDate,IF($R54=0,$X54,IF(AND($T54&lt;&gt;"",EDATE($D54,Milestones!$AA$181)&gt;=$T54),$W54,IF(AND($S54&lt;&gt;"",EDATE($D54,Milestones!$AA$181)&gt;=$S54),$V54,$U54)))=Milestones!$AB$181),UPPER(TEXT(EDATE($D54,Milestones!$AA$181),"dd mmm yy"))&amp;" "&amp;Milestones!$AB$181&amp;" "&amp;Milestones!$AC$181&amp;";  ","")&amp;IF(AND(EDATE($D54,Milestones!$AA$182)&lt;=AsOfDate,IF($R54=0,$X54,IF(AND($T54&lt;&gt;"",EDATE($D54,Milestones!$AA$182)&gt;=$T54),$W54,IF(AND($S54&lt;&gt;"",EDATE($D54,Milestones!$AA$182)&gt;=$S54),$V54,$U54)))=Milestones!$AB$182),UPPER(TEXT(EDATE($D54,Milestones!$AA$182),"dd mmm yy"))&amp;" "&amp;Milestones!$AB$182&amp;" "&amp;Milestones!$AC$182&amp;";  ","")&amp;IF(AND(EDATE($D54,Milestones!$AA$183)&lt;=AsOfDate,IF($R54=0,$X54,IF(AND($T54&lt;&gt;"",EDATE($D54,Milestones!$AA$183)&gt;=$T54),$W54,IF(AND($S54&lt;&gt;"",EDATE($D54,Milestones!$AA$183)&gt;=$S54),$V54,$U54)))=Milestones!$AB$183),UPPER(TEXT(EDATE($D54,Milestones!$AA$183),"dd mmm yy"))&amp;" "&amp;Milestones!$AB$183&amp;" "&amp;Milestones!$AC$183&amp;";  ","")&amp;IF(AND(EDATE($D54,Milestones!$AA$184)&lt;=AsOfDate,IF($R54=0,$X54,IF(AND($T54&lt;&gt;"",EDATE($D54,Milestones!$AA$184)&gt;=$T54),$W54,IF(AND($S54&lt;&gt;"",EDATE($D54,Milestones!$AA$184)&gt;=$S54),$V54,$U54)))=Milestones!$AB$184),UPPER(TEXT(EDATE($D54,Milestones!$AA$184),"dd mmm yy"))&amp;" "&amp;Milestones!$AB$184&amp;" "&amp;Milestones!$AC$184&amp;";  ","")&amp;IF(AND(EDATE($D54,Milestones!$AA$185)&lt;=AsOfDate,IF($R54=0,$X54,IF(AND($T54&lt;&gt;"",EDATE($D54,Milestones!$AA$185)&gt;=$T54),$W54,IF(AND($S54&lt;&gt;"",EDATE($D54,Milestones!$AA$185)&gt;=$S54),$V54,$U54)))=Milestones!$AB$185),UPPER(TEXT(EDATE($D54,Milestones!$AA$185),"dd mmm yy"))&amp;" "&amp;Milestones!$AB$185&amp;" "&amp;Milestones!$AC$185&amp;";  ","")&amp;IF(AND(EDATE($D54,Milestones!$AA$186)&lt;=AsOfDate,IF($R54=0,$X54,IF(AND($T54&lt;&gt;"",EDATE($D54,Milestones!$AA$186)&gt;=$T54),$W54,IF(AND($S54&lt;&gt;"",EDATE($D54,Milestones!$AA$186)&gt;=$S54),$V54,$U54)))=Milestones!$AB$186),UPPER(TEXT(EDATE($D54,Milestones!$AA$186),"dd mmm yy"))&amp;" "&amp;Milestones!$AB$186&amp;" "&amp;Milestones!$AC$186&amp;";  ","")&amp;IF(AND(EDATE($D54,Milestones!$AA$187)&lt;=AsOfDate,IF($R54=0,$X54,IF(AND($T54&lt;&gt;"",EDATE($D54,Milestones!$AA$187)&gt;=$T54),$W54,IF(AND($S54&lt;&gt;"",EDATE($D54,Milestones!$AA$187)&gt;=$S54),$V54,$U54)))=Milestones!$AB$187),UPPER(TEXT(EDATE($D54,Milestones!$AA$187),"dd mmm yy"))&amp;" "&amp;Milestones!$AB$187&amp;" "&amp;Milestones!$AC$187&amp;";  ","")&amp;IF(AND(EDATE($D54,Milestones!$AA$188)&lt;=AsOfDate,IF($R54=0,$X54,IF(AND($T54&lt;&gt;"",EDATE($D54,Milestones!$AA$188)&gt;=$T54),$W54,IF(AND($S54&lt;&gt;"",EDATE($D54,Milestones!$AA$188)&gt;=$S54),$V54,$U54)))=Milestones!$AB$188),UPPER(TEXT(EDATE($D54,Milestones!$AA$188),"dd mmm yy"))&amp;" "&amp;Milestones!$AB$188&amp;" "&amp;Milestones!$AC$188&amp;";  ","")&amp;IF(AND(EDATE($D54,Milestones!$AA$189)&lt;=AsOfDate,IF($R54=0,$X54,IF(AND($T54&lt;&gt;"",EDATE($D54,Milestones!$AA$189)&gt;=$T54),$W54,IF(AND($S54&lt;&gt;"",EDATE($D54,Milestones!$AA$189)&gt;=$S54),$V54,$U54)))=Milestones!$AB$189),UPPER(TEXT(EDATE($D54,Milestones!$AA$189),"dd mmm yy"))&amp;" "&amp;Milestones!$AB$189&amp;" "&amp;Milestones!$AC$189&amp;";  ","")&amp;IF(AND(EDATE($D54,Milestones!$AA$190)&lt;=AsOfDate,IF($R54=0,$X54,IF(AND($T54&lt;&gt;"",EDATE($D54,Milestones!$AA$190)&gt;=$T54),$W54,IF(AND($S54&lt;&gt;"",EDATE($D54,Milestones!$AA$190)&gt;=$S54),$V54,$U54)))=Milestones!$AB$190),UPPER(TEXT(EDATE($D54,Milestones!$AA$190),"dd mmm yy"))&amp;" "&amp;Milestones!$AB$190&amp;" "&amp;Milestones!$AC$190&amp;";  ","")&amp;IF(AND(EDATE($D54,Milestones!$AA$191)&lt;=AsOfDate,IF($R54=0,$X54,IF(AND($T54&lt;&gt;"",EDATE($D54,Milestones!$AA$191)&gt;=$T54),$W54,IF(AND($S54&lt;&gt;"",EDATE($D54,Milestones!$AA$191)&gt;=$S54),$V54,$U54)))=Milestones!$AB$191),UPPER(TEXT(EDATE($D54,Milestones!$AA$191),"dd mmm yy"))&amp;" "&amp;Milestones!$AB$191&amp;" "&amp;Milestones!$AC$191&amp;";  ","")&amp;IF(AND(EDATE($D54,Milestones!$AA$192)&lt;=AsOfDate,IF($R54=0,$X54,IF(AND($T54&lt;&gt;"",EDATE($D54,Milestones!$AA$192)&gt;=$T54),$W54,IF(AND($S54&lt;&gt;"",EDATE($D54,Milestones!$AA$192)&gt;=$S54),$V54,$U54)))=Milestones!$AB$192),UPPER(TEXT(EDATE($D54,Milestones!$AA$192),"dd mmm yy"))&amp;" "&amp;Milestones!$AB$192&amp;" "&amp;Milestones!$AC$192&amp;";  ","")&amp;IF(AND(EDATE($D54,Milestones!$AA$193)&lt;=AsOfDate,IF($R54=0,$X54,IF(AND($T54&lt;&gt;"",EDATE($D54,Milestones!$AA$193)&gt;=$T54),$W54,IF(AND($S54&lt;&gt;"",EDATE($D54,Milestones!$AA$193)&gt;=$S54),$V54,$U54)))=Milestones!$AB$193),UPPER(TEXT(EDATE($D54,Milestones!$AA$193),"dd mmm yy"))&amp;" "&amp;Milestones!$AB$193&amp;" "&amp;Milestones!$AC$193&amp;";  ","")&amp;IF(AND(EDATE($D54,Milestones!$AA$194)&lt;=AsOfDate,IF($R54=0,$X54,IF(AND($T54&lt;&gt;"",EDATE($D54,Milestones!$AA$194)&gt;=$T54),$W54,IF(AND($S54&lt;&gt;"",EDATE($D54,Milestones!$AA$194)&gt;=$S54),$V54,$U54)))=Milestones!$AB$194),UPPER(TEXT(EDATE($D54,Milestones!$AA$194),"dd mmm yy"))&amp;" "&amp;Milestones!$AB$194&amp;" "&amp;Milestones!$AC$194&amp;";  ","")&amp;IF(AND(EDATE($D54,Milestones!$AA$195)&lt;=AsOfDate,IF($R54=0,$X54,IF(AND($T54&lt;&gt;"",EDATE($D54,Milestones!$AA$195)&gt;=$T54),$W54,IF(AND($S54&lt;&gt;"",EDATE($D54,Milestones!$AA$195)&gt;=$S54),$V54,$U54)))=Milestones!$AB$195),UPPER(TEXT(EDATE($D54,Milestones!$AA$195),"dd mmm yy"))&amp;" "&amp;Milestones!$AB$195&amp;" "&amp;Milestones!$AC$195&amp;";  ","")&amp;IF(AND(EDATE($D54,Milestones!$AA$196)&lt;=AsOfDate,IF($R54=0,$X54,IF(AND($T54&lt;&gt;"",EDATE($D54,Milestones!$AA$196)&gt;=$T54),$W54,IF(AND($S54&lt;&gt;"",EDATE($D54,Milestones!$AA$196)&gt;=$S54),$V54,$U54)))=Milestones!$AB$196),UPPER(TEXT(EDATE($D54,Milestones!$AA$196),"dd mmm yy"))&amp;" "&amp;Milestones!$AB$196&amp;" "&amp;Milestones!$AC$196&amp;";  ","")&amp;IF(AND(EDATE($D54,Milestones!$AA$197)&lt;=AsOfDate,IF($R54=0,$X54,IF(AND($T54&lt;&gt;"",EDATE($D54,Milestones!$AA$197)&gt;=$T54),$W54,IF(AND($S54&lt;&gt;"",EDATE($D54,Milestones!$AA$197)&gt;=$S54),$V54,$U54)))=Milestones!$AB$197),UPPER(TEXT(EDATE($D54,Milestones!$AA$197),"dd mmm yy"))&amp;" "&amp;Milestones!$AB$197&amp;" "&amp;Milestones!$AC$197&amp;";  ","")&amp;IF(AND(EDATE($D54,Milestones!$AA$198)&lt;=AsOfDate,IF($R54=0,$X54,IF(AND($T54&lt;&gt;"",EDATE($D54,Milestones!$AA$198)&gt;=$T54),$W54,IF(AND($S54&lt;&gt;"",EDATE($D54,Milestones!$AA$198)&gt;=$S54),$V54,$U54)))=Milestones!$AB$198),UPPER(TEXT(EDATE($D54,Milestones!$AA$198),"dd mmm yy"))&amp;" "&amp;Milestones!$AB$198&amp;" "&amp;Milestones!$AC$198&amp;";  ","")&amp;IF(AND(EDATE($D54,Milestones!$AA$199)&lt;=AsOfDate,IF($R54=0,$X54,IF(AND($T54&lt;&gt;"",EDATE($D54,Milestones!$AA$199)&gt;=$T54),$W54,IF(AND($S54&lt;&gt;"",EDATE($D54,Milestones!$AA$199)&gt;=$S54),$V54,$U54)))=Milestones!$AB$199),UPPER(TEXT(EDATE($D54,Milestones!$AA$199),"dd mmm yy"))&amp;" "&amp;Milestones!$AB$199&amp;" "&amp;Milestones!$AC$199&amp;";  ",""))</f>
        <v/>
      </c>
      <c r="R54" s="33" t="n">
        <f aca="false">IF(Staff!$A54="","",Staff!$AI54)</f>
        <v>1</v>
      </c>
      <c r="S54" s="0" t="str">
        <f aca="false">IF(Staff!$A54="","",Staff!$AK54)</f>
        <v/>
      </c>
      <c r="T54" s="0" t="str">
        <f aca="false">IF(Staff!$A54="","",Staff!$AL54)</f>
        <v/>
      </c>
      <c r="U54" s="0" t="str">
        <f aca="false">IF(Staff!$A54="","",Staff!$AP54)</f>
        <v>FT</v>
      </c>
      <c r="V54" s="0" t="str">
        <f aca="false">IF(Staff!$A54="","",Staff!$AQ54)</f>
        <v/>
      </c>
      <c r="W54" s="0" t="str">
        <f aca="false">IF(Staff!$A54="","",Staff!$AR54)</f>
        <v/>
      </c>
      <c r="X54" s="0" t="str">
        <f aca="false">IF(Staff!$A54="","",Staff!$AS54)</f>
        <v>FT</v>
      </c>
    </row>
    <row r="55" customFormat="false" ht="15" hidden="false" customHeight="false" outlineLevel="0" collapsed="false">
      <c r="A55" s="19" t="str">
        <f aca="false">IF(Staff!$A55="","",Staff!$A55)</f>
        <v>Mitchell</v>
      </c>
      <c r="B55" s="19" t="str">
        <f aca="false">IF(Staff!$A55="","",Staff!$B55)</f>
        <v>Healey</v>
      </c>
      <c r="C55" s="19" t="str">
        <f aca="false">IF(Staff!$A55="","",Staff!$C55)</f>
        <v>Full-Time</v>
      </c>
      <c r="D55" s="17" t="n">
        <f aca="false">IF(Staff!$A55="","",Staff!$AH55)</f>
        <v>46031</v>
      </c>
      <c r="E55" s="20" t="n">
        <f aca="false">IF(Staff!$A55="","",Staff!$O55)</f>
        <v>0</v>
      </c>
      <c r="F55" s="19" t="n">
        <f aca="false">IF(E55="","",E55*HoursPerDay)</f>
        <v>0</v>
      </c>
      <c r="G55" s="20" t="n">
        <f aca="false">IF(Staff!$A55="","",Staff!$AE55)</f>
        <v>0</v>
      </c>
      <c r="H55" s="32" t="str">
        <f aca="false">IF($A55="","",I55&amp;J55&amp;K55&amp;L55&amp;M55&amp;N55&amp;O55&amp;P55&amp;Q55)</f>
        <v/>
      </c>
      <c r="I55" s="0" t="str">
        <f aca="false">IF(OR($A55="",$D55=""),"",IF(AND(EDATE($D55,Milestones!$AA$20)&lt;=AsOfDate,IF($R55=0,$X55,IF(AND($T55&lt;&gt;"",EDATE($D55,Milestones!$AA$20)&gt;=$T55),$W55,IF(AND($S55&lt;&gt;"",EDATE($D55,Milestones!$AA$20)&gt;=$S55),$V55,$U55)))=Milestones!$AB$20),UPPER(TEXT(EDATE($D55,Milestones!$AA$20),"dd mmm yy"))&amp;" "&amp;Milestones!$AB$20&amp;" "&amp;Milestones!$AC$20&amp;";  ","")&amp;IF(AND(EDATE($D55,Milestones!$AA$21)&lt;=AsOfDate,IF($R55=0,$X55,IF(AND($T55&lt;&gt;"",EDATE($D55,Milestones!$AA$21)&gt;=$T55),$W55,IF(AND($S55&lt;&gt;"",EDATE($D55,Milestones!$AA$21)&gt;=$S55),$V55,$U55)))=Milestones!$AB$21),UPPER(TEXT(EDATE($D55,Milestones!$AA$21),"dd mmm yy"))&amp;" "&amp;Milestones!$AB$21&amp;" "&amp;Milestones!$AC$21&amp;";  ","")&amp;IF(AND(EDATE($D55,Milestones!$AA$22)&lt;=AsOfDate,IF($R55=0,$X55,IF(AND($T55&lt;&gt;"",EDATE($D55,Milestones!$AA$22)&gt;=$T55),$W55,IF(AND($S55&lt;&gt;"",EDATE($D55,Milestones!$AA$22)&gt;=$S55),$V55,$U55)))=Milestones!$AB$22),UPPER(TEXT(EDATE($D55,Milestones!$AA$22),"dd mmm yy"))&amp;" "&amp;Milestones!$AB$22&amp;" "&amp;Milestones!$AC$22&amp;";  ","")&amp;IF(AND(EDATE($D55,Milestones!$AA$23)&lt;=AsOfDate,IF($R55=0,$X55,IF(AND($T55&lt;&gt;"",EDATE($D55,Milestones!$AA$23)&gt;=$T55),$W55,IF(AND($S55&lt;&gt;"",EDATE($D55,Milestones!$AA$23)&gt;=$S55),$V55,$U55)))=Milestones!$AB$23),UPPER(TEXT(EDATE($D55,Milestones!$AA$23),"dd mmm yy"))&amp;" "&amp;Milestones!$AB$23&amp;" "&amp;Milestones!$AC$23&amp;";  ","")&amp;IF(AND(EDATE($D55,Milestones!$AA$24)&lt;=AsOfDate,IF($R55=0,$X55,IF(AND($T55&lt;&gt;"",EDATE($D55,Milestones!$AA$24)&gt;=$T55),$W55,IF(AND($S55&lt;&gt;"",EDATE($D55,Milestones!$AA$24)&gt;=$S55),$V55,$U55)))=Milestones!$AB$24),UPPER(TEXT(EDATE($D55,Milestones!$AA$24),"dd mmm yy"))&amp;" "&amp;Milestones!$AB$24&amp;" "&amp;Milestones!$AC$24&amp;";  ","")&amp;IF(AND(EDATE($D55,Milestones!$AA$25)&lt;=AsOfDate,IF($R55=0,$X55,IF(AND($T55&lt;&gt;"",EDATE($D55,Milestones!$AA$25)&gt;=$T55),$W55,IF(AND($S55&lt;&gt;"",EDATE($D55,Milestones!$AA$25)&gt;=$S55),$V55,$U55)))=Milestones!$AB$25),UPPER(TEXT(EDATE($D55,Milestones!$AA$25),"dd mmm yy"))&amp;" "&amp;Milestones!$AB$25&amp;" "&amp;Milestones!$AC$25&amp;";  ","")&amp;IF(AND(EDATE($D55,Milestones!$AA$26)&lt;=AsOfDate,IF($R55=0,$X55,IF(AND($T55&lt;&gt;"",EDATE($D55,Milestones!$AA$26)&gt;=$T55),$W55,IF(AND($S55&lt;&gt;"",EDATE($D55,Milestones!$AA$26)&gt;=$S55),$V55,$U55)))=Milestones!$AB$26),UPPER(TEXT(EDATE($D55,Milestones!$AA$26),"dd mmm yy"))&amp;" "&amp;Milestones!$AB$26&amp;" "&amp;Milestones!$AC$26&amp;";  ","")&amp;IF(AND(EDATE($D55,Milestones!$AA$27)&lt;=AsOfDate,IF($R55=0,$X55,IF(AND($T55&lt;&gt;"",EDATE($D55,Milestones!$AA$27)&gt;=$T55),$W55,IF(AND($S55&lt;&gt;"",EDATE($D55,Milestones!$AA$27)&gt;=$S55),$V55,$U55)))=Milestones!$AB$27),UPPER(TEXT(EDATE($D55,Milestones!$AA$27),"dd mmm yy"))&amp;" "&amp;Milestones!$AB$27&amp;" "&amp;Milestones!$AC$27&amp;";  ","")&amp;IF(AND(EDATE($D55,Milestones!$AA$28)&lt;=AsOfDate,IF($R55=0,$X55,IF(AND($T55&lt;&gt;"",EDATE($D55,Milestones!$AA$28)&gt;=$T55),$W55,IF(AND($S55&lt;&gt;"",EDATE($D55,Milestones!$AA$28)&gt;=$S55),$V55,$U55)))=Milestones!$AB$28),UPPER(TEXT(EDATE($D55,Milestones!$AA$28),"dd mmm yy"))&amp;" "&amp;Milestones!$AB$28&amp;" "&amp;Milestones!$AC$28&amp;";  ","")&amp;IF(AND(EDATE($D55,Milestones!$AA$29)&lt;=AsOfDate,IF($R55=0,$X55,IF(AND($T55&lt;&gt;"",EDATE($D55,Milestones!$AA$29)&gt;=$T55),$W55,IF(AND($S55&lt;&gt;"",EDATE($D55,Milestones!$AA$29)&gt;=$S55),$V55,$U55)))=Milestones!$AB$29),UPPER(TEXT(EDATE($D55,Milestones!$AA$29),"dd mmm yy"))&amp;" "&amp;Milestones!$AB$29&amp;" "&amp;Milestones!$AC$29&amp;";  ","")&amp;IF(AND(EDATE($D55,Milestones!$AA$30)&lt;=AsOfDate,IF($R55=0,$X55,IF(AND($T55&lt;&gt;"",EDATE($D55,Milestones!$AA$30)&gt;=$T55),$W55,IF(AND($S55&lt;&gt;"",EDATE($D55,Milestones!$AA$30)&gt;=$S55),$V55,$U55)))=Milestones!$AB$30),UPPER(TEXT(EDATE($D55,Milestones!$AA$30),"dd mmm yy"))&amp;" "&amp;Milestones!$AB$30&amp;" "&amp;Milestones!$AC$30&amp;";  ","")&amp;IF(AND(EDATE($D55,Milestones!$AA$31)&lt;=AsOfDate,IF($R55=0,$X55,IF(AND($T55&lt;&gt;"",EDATE($D55,Milestones!$AA$31)&gt;=$T55),$W55,IF(AND($S55&lt;&gt;"",EDATE($D55,Milestones!$AA$31)&gt;=$S55),$V55,$U55)))=Milestones!$AB$31),UPPER(TEXT(EDATE($D55,Milestones!$AA$31),"dd mmm yy"))&amp;" "&amp;Milestones!$AB$31&amp;" "&amp;Milestones!$AC$31&amp;";  ","")&amp;IF(AND(EDATE($D55,Milestones!$AA$32)&lt;=AsOfDate,IF($R55=0,$X55,IF(AND($T55&lt;&gt;"",EDATE($D55,Milestones!$AA$32)&gt;=$T55),$W55,IF(AND($S55&lt;&gt;"",EDATE($D55,Milestones!$AA$32)&gt;=$S55),$V55,$U55)))=Milestones!$AB$32),UPPER(TEXT(EDATE($D55,Milestones!$AA$32),"dd mmm yy"))&amp;" "&amp;Milestones!$AB$32&amp;" "&amp;Milestones!$AC$32&amp;";  ","")&amp;IF(AND(EDATE($D55,Milestones!$AA$33)&lt;=AsOfDate,IF($R55=0,$X55,IF(AND($T55&lt;&gt;"",EDATE($D55,Milestones!$AA$33)&gt;=$T55),$W55,IF(AND($S55&lt;&gt;"",EDATE($D55,Milestones!$AA$33)&gt;=$S55),$V55,$U55)))=Milestones!$AB$33),UPPER(TEXT(EDATE($D55,Milestones!$AA$33),"dd mmm yy"))&amp;" "&amp;Milestones!$AB$33&amp;" "&amp;Milestones!$AC$33&amp;";  ","")&amp;IF(AND(EDATE($D55,Milestones!$AA$34)&lt;=AsOfDate,IF($R55=0,$X55,IF(AND($T55&lt;&gt;"",EDATE($D55,Milestones!$AA$34)&gt;=$T55),$W55,IF(AND($S55&lt;&gt;"",EDATE($D55,Milestones!$AA$34)&gt;=$S55),$V55,$U55)))=Milestones!$AB$34),UPPER(TEXT(EDATE($D55,Milestones!$AA$34),"dd mmm yy"))&amp;" "&amp;Milestones!$AB$34&amp;" "&amp;Milestones!$AC$34&amp;";  ","")&amp;IF(AND(EDATE($D55,Milestones!$AA$35)&lt;=AsOfDate,IF($R55=0,$X55,IF(AND($T55&lt;&gt;"",EDATE($D55,Milestones!$AA$35)&gt;=$T55),$W55,IF(AND($S55&lt;&gt;"",EDATE($D55,Milestones!$AA$35)&gt;=$S55),$V55,$U55)))=Milestones!$AB$35),UPPER(TEXT(EDATE($D55,Milestones!$AA$35),"dd mmm yy"))&amp;" "&amp;Milestones!$AB$35&amp;" "&amp;Milestones!$AC$35&amp;";  ","")&amp;IF(AND(EDATE($D55,Milestones!$AA$36)&lt;=AsOfDate,IF($R55=0,$X55,IF(AND($T55&lt;&gt;"",EDATE($D55,Milestones!$AA$36)&gt;=$T55),$W55,IF(AND($S55&lt;&gt;"",EDATE($D55,Milestones!$AA$36)&gt;=$S55),$V55,$U55)))=Milestones!$AB$36),UPPER(TEXT(EDATE($D55,Milestones!$AA$36),"dd mmm yy"))&amp;" "&amp;Milestones!$AB$36&amp;" "&amp;Milestones!$AC$36&amp;";  ","")&amp;IF(AND(EDATE($D55,Milestones!$AA$37)&lt;=AsOfDate,IF($R55=0,$X55,IF(AND($T55&lt;&gt;"",EDATE($D55,Milestones!$AA$37)&gt;=$T55),$W55,IF(AND($S55&lt;&gt;"",EDATE($D55,Milestones!$AA$37)&gt;=$S55),$V55,$U55)))=Milestones!$AB$37),UPPER(TEXT(EDATE($D55,Milestones!$AA$37),"dd mmm yy"))&amp;" "&amp;Milestones!$AB$37&amp;" "&amp;Milestones!$AC$37&amp;";  ","")&amp;IF(AND(EDATE($D55,Milestones!$AA$38)&lt;=AsOfDate,IF($R55=0,$X55,IF(AND($T55&lt;&gt;"",EDATE($D55,Milestones!$AA$38)&gt;=$T55),$W55,IF(AND($S55&lt;&gt;"",EDATE($D55,Milestones!$AA$38)&gt;=$S55),$V55,$U55)))=Milestones!$AB$38),UPPER(TEXT(EDATE($D55,Milestones!$AA$38),"dd mmm yy"))&amp;" "&amp;Milestones!$AB$38&amp;" "&amp;Milestones!$AC$38&amp;";  ","")&amp;IF(AND(EDATE($D55,Milestones!$AA$39)&lt;=AsOfDate,IF($R55=0,$X55,IF(AND($T55&lt;&gt;"",EDATE($D55,Milestones!$AA$39)&gt;=$T55),$W55,IF(AND($S55&lt;&gt;"",EDATE($D55,Milestones!$AA$39)&gt;=$S55),$V55,$U55)))=Milestones!$AB$39),UPPER(TEXT(EDATE($D55,Milestones!$AA$39),"dd mmm yy"))&amp;" "&amp;Milestones!$AB$39&amp;" "&amp;Milestones!$AC$39&amp;";  ",""))</f>
        <v/>
      </c>
      <c r="J55" s="0" t="str">
        <f aca="false">IF(OR($A55="",$D55=""),"",IF(AND(EDATE($D55,Milestones!$AA$40)&lt;=AsOfDate,IF($R55=0,$X55,IF(AND($T55&lt;&gt;"",EDATE($D55,Milestones!$AA$40)&gt;=$T55),$W55,IF(AND($S55&lt;&gt;"",EDATE($D55,Milestones!$AA$40)&gt;=$S55),$V55,$U55)))=Milestones!$AB$40),UPPER(TEXT(EDATE($D55,Milestones!$AA$40),"dd mmm yy"))&amp;" "&amp;Milestones!$AB$40&amp;" "&amp;Milestones!$AC$40&amp;";  ","")&amp;IF(AND(EDATE($D55,Milestones!$AA$41)&lt;=AsOfDate,IF($R55=0,$X55,IF(AND($T55&lt;&gt;"",EDATE($D55,Milestones!$AA$41)&gt;=$T55),$W55,IF(AND($S55&lt;&gt;"",EDATE($D55,Milestones!$AA$41)&gt;=$S55),$V55,$U55)))=Milestones!$AB$41),UPPER(TEXT(EDATE($D55,Milestones!$AA$41),"dd mmm yy"))&amp;" "&amp;Milestones!$AB$41&amp;" "&amp;Milestones!$AC$41&amp;";  ","")&amp;IF(AND(EDATE($D55,Milestones!$AA$42)&lt;=AsOfDate,IF($R55=0,$X55,IF(AND($T55&lt;&gt;"",EDATE($D55,Milestones!$AA$42)&gt;=$T55),$W55,IF(AND($S55&lt;&gt;"",EDATE($D55,Milestones!$AA$42)&gt;=$S55),$V55,$U55)))=Milestones!$AB$42),UPPER(TEXT(EDATE($D55,Milestones!$AA$42),"dd mmm yy"))&amp;" "&amp;Milestones!$AB$42&amp;" "&amp;Milestones!$AC$42&amp;";  ","")&amp;IF(AND(EDATE($D55,Milestones!$AA$43)&lt;=AsOfDate,IF($R55=0,$X55,IF(AND($T55&lt;&gt;"",EDATE($D55,Milestones!$AA$43)&gt;=$T55),$W55,IF(AND($S55&lt;&gt;"",EDATE($D55,Milestones!$AA$43)&gt;=$S55),$V55,$U55)))=Milestones!$AB$43),UPPER(TEXT(EDATE($D55,Milestones!$AA$43),"dd mmm yy"))&amp;" "&amp;Milestones!$AB$43&amp;" "&amp;Milestones!$AC$43&amp;";  ","")&amp;IF(AND(EDATE($D55,Milestones!$AA$44)&lt;=AsOfDate,IF($R55=0,$X55,IF(AND($T55&lt;&gt;"",EDATE($D55,Milestones!$AA$44)&gt;=$T55),$W55,IF(AND($S55&lt;&gt;"",EDATE($D55,Milestones!$AA$44)&gt;=$S55),$V55,$U55)))=Milestones!$AB$44),UPPER(TEXT(EDATE($D55,Milestones!$AA$44),"dd mmm yy"))&amp;" "&amp;Milestones!$AB$44&amp;" "&amp;Milestones!$AC$44&amp;";  ","")&amp;IF(AND(EDATE($D55,Milestones!$AA$45)&lt;=AsOfDate,IF($R55=0,$X55,IF(AND($T55&lt;&gt;"",EDATE($D55,Milestones!$AA$45)&gt;=$T55),$W55,IF(AND($S55&lt;&gt;"",EDATE($D55,Milestones!$AA$45)&gt;=$S55),$V55,$U55)))=Milestones!$AB$45),UPPER(TEXT(EDATE($D55,Milestones!$AA$45),"dd mmm yy"))&amp;" "&amp;Milestones!$AB$45&amp;" "&amp;Milestones!$AC$45&amp;";  ","")&amp;IF(AND(EDATE($D55,Milestones!$AA$46)&lt;=AsOfDate,IF($R55=0,$X55,IF(AND($T55&lt;&gt;"",EDATE($D55,Milestones!$AA$46)&gt;=$T55),$W55,IF(AND($S55&lt;&gt;"",EDATE($D55,Milestones!$AA$46)&gt;=$S55),$V55,$U55)))=Milestones!$AB$46),UPPER(TEXT(EDATE($D55,Milestones!$AA$46),"dd mmm yy"))&amp;" "&amp;Milestones!$AB$46&amp;" "&amp;Milestones!$AC$46&amp;";  ","")&amp;IF(AND(EDATE($D55,Milestones!$AA$47)&lt;=AsOfDate,IF($R55=0,$X55,IF(AND($T55&lt;&gt;"",EDATE($D55,Milestones!$AA$47)&gt;=$T55),$W55,IF(AND($S55&lt;&gt;"",EDATE($D55,Milestones!$AA$47)&gt;=$S55),$V55,$U55)))=Milestones!$AB$47),UPPER(TEXT(EDATE($D55,Milestones!$AA$47),"dd mmm yy"))&amp;" "&amp;Milestones!$AB$47&amp;" "&amp;Milestones!$AC$47&amp;";  ","")&amp;IF(AND(EDATE($D55,Milestones!$AA$48)&lt;=AsOfDate,IF($R55=0,$X55,IF(AND($T55&lt;&gt;"",EDATE($D55,Milestones!$AA$48)&gt;=$T55),$W55,IF(AND($S55&lt;&gt;"",EDATE($D55,Milestones!$AA$48)&gt;=$S55),$V55,$U55)))=Milestones!$AB$48),UPPER(TEXT(EDATE($D55,Milestones!$AA$48),"dd mmm yy"))&amp;" "&amp;Milestones!$AB$48&amp;" "&amp;Milestones!$AC$48&amp;";  ","")&amp;IF(AND(EDATE($D55,Milestones!$AA$49)&lt;=AsOfDate,IF($R55=0,$X55,IF(AND($T55&lt;&gt;"",EDATE($D55,Milestones!$AA$49)&gt;=$T55),$W55,IF(AND($S55&lt;&gt;"",EDATE($D55,Milestones!$AA$49)&gt;=$S55),$V55,$U55)))=Milestones!$AB$49),UPPER(TEXT(EDATE($D55,Milestones!$AA$49),"dd mmm yy"))&amp;" "&amp;Milestones!$AB$49&amp;" "&amp;Milestones!$AC$49&amp;";  ","")&amp;IF(AND(EDATE($D55,Milestones!$AA$50)&lt;=AsOfDate,IF($R55=0,$X55,IF(AND($T55&lt;&gt;"",EDATE($D55,Milestones!$AA$50)&gt;=$T55),$W55,IF(AND($S55&lt;&gt;"",EDATE($D55,Milestones!$AA$50)&gt;=$S55),$V55,$U55)))=Milestones!$AB$50),UPPER(TEXT(EDATE($D55,Milestones!$AA$50),"dd mmm yy"))&amp;" "&amp;Milestones!$AB$50&amp;" "&amp;Milestones!$AC$50&amp;";  ","")&amp;IF(AND(EDATE($D55,Milestones!$AA$51)&lt;=AsOfDate,IF($R55=0,$X55,IF(AND($T55&lt;&gt;"",EDATE($D55,Milestones!$AA$51)&gt;=$T55),$W55,IF(AND($S55&lt;&gt;"",EDATE($D55,Milestones!$AA$51)&gt;=$S55),$V55,$U55)))=Milestones!$AB$51),UPPER(TEXT(EDATE($D55,Milestones!$AA$51),"dd mmm yy"))&amp;" "&amp;Milestones!$AB$51&amp;" "&amp;Milestones!$AC$51&amp;";  ","")&amp;IF(AND(EDATE($D55,Milestones!$AA$52)&lt;=AsOfDate,IF($R55=0,$X55,IF(AND($T55&lt;&gt;"",EDATE($D55,Milestones!$AA$52)&gt;=$T55),$W55,IF(AND($S55&lt;&gt;"",EDATE($D55,Milestones!$AA$52)&gt;=$S55),$V55,$U55)))=Milestones!$AB$52),UPPER(TEXT(EDATE($D55,Milestones!$AA$52),"dd mmm yy"))&amp;" "&amp;Milestones!$AB$52&amp;" "&amp;Milestones!$AC$52&amp;";  ","")&amp;IF(AND(EDATE($D55,Milestones!$AA$53)&lt;=AsOfDate,IF($R55=0,$X55,IF(AND($T55&lt;&gt;"",EDATE($D55,Milestones!$AA$53)&gt;=$T55),$W55,IF(AND($S55&lt;&gt;"",EDATE($D55,Milestones!$AA$53)&gt;=$S55),$V55,$U55)))=Milestones!$AB$53),UPPER(TEXT(EDATE($D55,Milestones!$AA$53),"dd mmm yy"))&amp;" "&amp;Milestones!$AB$53&amp;" "&amp;Milestones!$AC$53&amp;";  ","")&amp;IF(AND(EDATE($D55,Milestones!$AA$54)&lt;=AsOfDate,IF($R55=0,$X55,IF(AND($T55&lt;&gt;"",EDATE($D55,Milestones!$AA$54)&gt;=$T55),$W55,IF(AND($S55&lt;&gt;"",EDATE($D55,Milestones!$AA$54)&gt;=$S55),$V55,$U55)))=Milestones!$AB$54),UPPER(TEXT(EDATE($D55,Milestones!$AA$54),"dd mmm yy"))&amp;" "&amp;Milestones!$AB$54&amp;" "&amp;Milestones!$AC$54&amp;";  ","")&amp;IF(AND(EDATE($D55,Milestones!$AA$55)&lt;=AsOfDate,IF($R55=0,$X55,IF(AND($T55&lt;&gt;"",EDATE($D55,Milestones!$AA$55)&gt;=$T55),$W55,IF(AND($S55&lt;&gt;"",EDATE($D55,Milestones!$AA$55)&gt;=$S55),$V55,$U55)))=Milestones!$AB$55),UPPER(TEXT(EDATE($D55,Milestones!$AA$55),"dd mmm yy"))&amp;" "&amp;Milestones!$AB$55&amp;" "&amp;Milestones!$AC$55&amp;";  ","")&amp;IF(AND(EDATE($D55,Milestones!$AA$56)&lt;=AsOfDate,IF($R55=0,$X55,IF(AND($T55&lt;&gt;"",EDATE($D55,Milestones!$AA$56)&gt;=$T55),$W55,IF(AND($S55&lt;&gt;"",EDATE($D55,Milestones!$AA$56)&gt;=$S55),$V55,$U55)))=Milestones!$AB$56),UPPER(TEXT(EDATE($D55,Milestones!$AA$56),"dd mmm yy"))&amp;" "&amp;Milestones!$AB$56&amp;" "&amp;Milestones!$AC$56&amp;";  ","")&amp;IF(AND(EDATE($D55,Milestones!$AA$57)&lt;=AsOfDate,IF($R55=0,$X55,IF(AND($T55&lt;&gt;"",EDATE($D55,Milestones!$AA$57)&gt;=$T55),$W55,IF(AND($S55&lt;&gt;"",EDATE($D55,Milestones!$AA$57)&gt;=$S55),$V55,$U55)))=Milestones!$AB$57),UPPER(TEXT(EDATE($D55,Milestones!$AA$57),"dd mmm yy"))&amp;" "&amp;Milestones!$AB$57&amp;" "&amp;Milestones!$AC$57&amp;";  ","")&amp;IF(AND(EDATE($D55,Milestones!$AA$58)&lt;=AsOfDate,IF($R55=0,$X55,IF(AND($T55&lt;&gt;"",EDATE($D55,Milestones!$AA$58)&gt;=$T55),$W55,IF(AND($S55&lt;&gt;"",EDATE($D55,Milestones!$AA$58)&gt;=$S55),$V55,$U55)))=Milestones!$AB$58),UPPER(TEXT(EDATE($D55,Milestones!$AA$58),"dd mmm yy"))&amp;" "&amp;Milestones!$AB$58&amp;" "&amp;Milestones!$AC$58&amp;";  ","")&amp;IF(AND(EDATE($D55,Milestones!$AA$59)&lt;=AsOfDate,IF($R55=0,$X55,IF(AND($T55&lt;&gt;"",EDATE($D55,Milestones!$AA$59)&gt;=$T55),$W55,IF(AND($S55&lt;&gt;"",EDATE($D55,Milestones!$AA$59)&gt;=$S55),$V55,$U55)))=Milestones!$AB$59),UPPER(TEXT(EDATE($D55,Milestones!$AA$59),"dd mmm yy"))&amp;" "&amp;Milestones!$AB$59&amp;" "&amp;Milestones!$AC$59&amp;";  ",""))</f>
        <v/>
      </c>
      <c r="K55" s="0" t="str">
        <f aca="false">IF(OR($A55="",$D55=""),"",IF(AND(EDATE($D55,Milestones!$AA$60)&lt;=AsOfDate,IF($R55=0,$X55,IF(AND($T55&lt;&gt;"",EDATE($D55,Milestones!$AA$60)&gt;=$T55),$W55,IF(AND($S55&lt;&gt;"",EDATE($D55,Milestones!$AA$60)&gt;=$S55),$V55,$U55)))=Milestones!$AB$60),UPPER(TEXT(EDATE($D55,Milestones!$AA$60),"dd mmm yy"))&amp;" "&amp;Milestones!$AB$60&amp;" "&amp;Milestones!$AC$60&amp;";  ","")&amp;IF(AND(EDATE($D55,Milestones!$AA$61)&lt;=AsOfDate,IF($R55=0,$X55,IF(AND($T55&lt;&gt;"",EDATE($D55,Milestones!$AA$61)&gt;=$T55),$W55,IF(AND($S55&lt;&gt;"",EDATE($D55,Milestones!$AA$61)&gt;=$S55),$V55,$U55)))=Milestones!$AB$61),UPPER(TEXT(EDATE($D55,Milestones!$AA$61),"dd mmm yy"))&amp;" "&amp;Milestones!$AB$61&amp;" "&amp;Milestones!$AC$61&amp;";  ","")&amp;IF(AND(EDATE($D55,Milestones!$AA$62)&lt;=AsOfDate,IF($R55=0,$X55,IF(AND($T55&lt;&gt;"",EDATE($D55,Milestones!$AA$62)&gt;=$T55),$W55,IF(AND($S55&lt;&gt;"",EDATE($D55,Milestones!$AA$62)&gt;=$S55),$V55,$U55)))=Milestones!$AB$62),UPPER(TEXT(EDATE($D55,Milestones!$AA$62),"dd mmm yy"))&amp;" "&amp;Milestones!$AB$62&amp;" "&amp;Milestones!$AC$62&amp;";  ","")&amp;IF(AND(EDATE($D55,Milestones!$AA$63)&lt;=AsOfDate,IF($R55=0,$X55,IF(AND($T55&lt;&gt;"",EDATE($D55,Milestones!$AA$63)&gt;=$T55),$W55,IF(AND($S55&lt;&gt;"",EDATE($D55,Milestones!$AA$63)&gt;=$S55),$V55,$U55)))=Milestones!$AB$63),UPPER(TEXT(EDATE($D55,Milestones!$AA$63),"dd mmm yy"))&amp;" "&amp;Milestones!$AB$63&amp;" "&amp;Milestones!$AC$63&amp;";  ","")&amp;IF(AND(EDATE($D55,Milestones!$AA$64)&lt;=AsOfDate,IF($R55=0,$X55,IF(AND($T55&lt;&gt;"",EDATE($D55,Milestones!$AA$64)&gt;=$T55),$W55,IF(AND($S55&lt;&gt;"",EDATE($D55,Milestones!$AA$64)&gt;=$S55),$V55,$U55)))=Milestones!$AB$64),UPPER(TEXT(EDATE($D55,Milestones!$AA$64),"dd mmm yy"))&amp;" "&amp;Milestones!$AB$64&amp;" "&amp;Milestones!$AC$64&amp;";  ","")&amp;IF(AND(EDATE($D55,Milestones!$AA$65)&lt;=AsOfDate,IF($R55=0,$X55,IF(AND($T55&lt;&gt;"",EDATE($D55,Milestones!$AA$65)&gt;=$T55),$W55,IF(AND($S55&lt;&gt;"",EDATE($D55,Milestones!$AA$65)&gt;=$S55),$V55,$U55)))=Milestones!$AB$65),UPPER(TEXT(EDATE($D55,Milestones!$AA$65),"dd mmm yy"))&amp;" "&amp;Milestones!$AB$65&amp;" "&amp;Milestones!$AC$65&amp;";  ","")&amp;IF(AND(EDATE($D55,Milestones!$AA$66)&lt;=AsOfDate,IF($R55=0,$X55,IF(AND($T55&lt;&gt;"",EDATE($D55,Milestones!$AA$66)&gt;=$T55),$W55,IF(AND($S55&lt;&gt;"",EDATE($D55,Milestones!$AA$66)&gt;=$S55),$V55,$U55)))=Milestones!$AB$66),UPPER(TEXT(EDATE($D55,Milestones!$AA$66),"dd mmm yy"))&amp;" "&amp;Milestones!$AB$66&amp;" "&amp;Milestones!$AC$66&amp;";  ","")&amp;IF(AND(EDATE($D55,Milestones!$AA$67)&lt;=AsOfDate,IF($R55=0,$X55,IF(AND($T55&lt;&gt;"",EDATE($D55,Milestones!$AA$67)&gt;=$T55),$W55,IF(AND($S55&lt;&gt;"",EDATE($D55,Milestones!$AA$67)&gt;=$S55),$V55,$U55)))=Milestones!$AB$67),UPPER(TEXT(EDATE($D55,Milestones!$AA$67),"dd mmm yy"))&amp;" "&amp;Milestones!$AB$67&amp;" "&amp;Milestones!$AC$67&amp;";  ","")&amp;IF(AND(EDATE($D55,Milestones!$AA$68)&lt;=AsOfDate,IF($R55=0,$X55,IF(AND($T55&lt;&gt;"",EDATE($D55,Milestones!$AA$68)&gt;=$T55),$W55,IF(AND($S55&lt;&gt;"",EDATE($D55,Milestones!$AA$68)&gt;=$S55),$V55,$U55)))=Milestones!$AB$68),UPPER(TEXT(EDATE($D55,Milestones!$AA$68),"dd mmm yy"))&amp;" "&amp;Milestones!$AB$68&amp;" "&amp;Milestones!$AC$68&amp;";  ","")&amp;IF(AND(EDATE($D55,Milestones!$AA$69)&lt;=AsOfDate,IF($R55=0,$X55,IF(AND($T55&lt;&gt;"",EDATE($D55,Milestones!$AA$69)&gt;=$T55),$W55,IF(AND($S55&lt;&gt;"",EDATE($D55,Milestones!$AA$69)&gt;=$S55),$V55,$U55)))=Milestones!$AB$69),UPPER(TEXT(EDATE($D55,Milestones!$AA$69),"dd mmm yy"))&amp;" "&amp;Milestones!$AB$69&amp;" "&amp;Milestones!$AC$69&amp;";  ","")&amp;IF(AND(EDATE($D55,Milestones!$AA$70)&lt;=AsOfDate,IF($R55=0,$X55,IF(AND($T55&lt;&gt;"",EDATE($D55,Milestones!$AA$70)&gt;=$T55),$W55,IF(AND($S55&lt;&gt;"",EDATE($D55,Milestones!$AA$70)&gt;=$S55),$V55,$U55)))=Milestones!$AB$70),UPPER(TEXT(EDATE($D55,Milestones!$AA$70),"dd mmm yy"))&amp;" "&amp;Milestones!$AB$70&amp;" "&amp;Milestones!$AC$70&amp;";  ","")&amp;IF(AND(EDATE($D55,Milestones!$AA$71)&lt;=AsOfDate,IF($R55=0,$X55,IF(AND($T55&lt;&gt;"",EDATE($D55,Milestones!$AA$71)&gt;=$T55),$W55,IF(AND($S55&lt;&gt;"",EDATE($D55,Milestones!$AA$71)&gt;=$S55),$V55,$U55)))=Milestones!$AB$71),UPPER(TEXT(EDATE($D55,Milestones!$AA$71),"dd mmm yy"))&amp;" "&amp;Milestones!$AB$71&amp;" "&amp;Milestones!$AC$71&amp;";  ","")&amp;IF(AND(EDATE($D55,Milestones!$AA$72)&lt;=AsOfDate,IF($R55=0,$X55,IF(AND($T55&lt;&gt;"",EDATE($D55,Milestones!$AA$72)&gt;=$T55),$W55,IF(AND($S55&lt;&gt;"",EDATE($D55,Milestones!$AA$72)&gt;=$S55),$V55,$U55)))=Milestones!$AB$72),UPPER(TEXT(EDATE($D55,Milestones!$AA$72),"dd mmm yy"))&amp;" "&amp;Milestones!$AB$72&amp;" "&amp;Milestones!$AC$72&amp;";  ","")&amp;IF(AND(EDATE($D55,Milestones!$AA$73)&lt;=AsOfDate,IF($R55=0,$X55,IF(AND($T55&lt;&gt;"",EDATE($D55,Milestones!$AA$73)&gt;=$T55),$W55,IF(AND($S55&lt;&gt;"",EDATE($D55,Milestones!$AA$73)&gt;=$S55),$V55,$U55)))=Milestones!$AB$73),UPPER(TEXT(EDATE($D55,Milestones!$AA$73),"dd mmm yy"))&amp;" "&amp;Milestones!$AB$73&amp;" "&amp;Milestones!$AC$73&amp;";  ","")&amp;IF(AND(EDATE($D55,Milestones!$AA$74)&lt;=AsOfDate,IF($R55=0,$X55,IF(AND($T55&lt;&gt;"",EDATE($D55,Milestones!$AA$74)&gt;=$T55),$W55,IF(AND($S55&lt;&gt;"",EDATE($D55,Milestones!$AA$74)&gt;=$S55),$V55,$U55)))=Milestones!$AB$74),UPPER(TEXT(EDATE($D55,Milestones!$AA$74),"dd mmm yy"))&amp;" "&amp;Milestones!$AB$74&amp;" "&amp;Milestones!$AC$74&amp;";  ","")&amp;IF(AND(EDATE($D55,Milestones!$AA$75)&lt;=AsOfDate,IF($R55=0,$X55,IF(AND($T55&lt;&gt;"",EDATE($D55,Milestones!$AA$75)&gt;=$T55),$W55,IF(AND($S55&lt;&gt;"",EDATE($D55,Milestones!$AA$75)&gt;=$S55),$V55,$U55)))=Milestones!$AB$75),UPPER(TEXT(EDATE($D55,Milestones!$AA$75),"dd mmm yy"))&amp;" "&amp;Milestones!$AB$75&amp;" "&amp;Milestones!$AC$75&amp;";  ","")&amp;IF(AND(EDATE($D55,Milestones!$AA$76)&lt;=AsOfDate,IF($R55=0,$X55,IF(AND($T55&lt;&gt;"",EDATE($D55,Milestones!$AA$76)&gt;=$T55),$W55,IF(AND($S55&lt;&gt;"",EDATE($D55,Milestones!$AA$76)&gt;=$S55),$V55,$U55)))=Milestones!$AB$76),UPPER(TEXT(EDATE($D55,Milestones!$AA$76),"dd mmm yy"))&amp;" "&amp;Milestones!$AB$76&amp;" "&amp;Milestones!$AC$76&amp;";  ","")&amp;IF(AND(EDATE($D55,Milestones!$AA$77)&lt;=AsOfDate,IF($R55=0,$X55,IF(AND($T55&lt;&gt;"",EDATE($D55,Milestones!$AA$77)&gt;=$T55),$W55,IF(AND($S55&lt;&gt;"",EDATE($D55,Milestones!$AA$77)&gt;=$S55),$V55,$U55)))=Milestones!$AB$77),UPPER(TEXT(EDATE($D55,Milestones!$AA$77),"dd mmm yy"))&amp;" "&amp;Milestones!$AB$77&amp;" "&amp;Milestones!$AC$77&amp;";  ","")&amp;IF(AND(EDATE($D55,Milestones!$AA$78)&lt;=AsOfDate,IF($R55=0,$X55,IF(AND($T55&lt;&gt;"",EDATE($D55,Milestones!$AA$78)&gt;=$T55),$W55,IF(AND($S55&lt;&gt;"",EDATE($D55,Milestones!$AA$78)&gt;=$S55),$V55,$U55)))=Milestones!$AB$78),UPPER(TEXT(EDATE($D55,Milestones!$AA$78),"dd mmm yy"))&amp;" "&amp;Milestones!$AB$78&amp;" "&amp;Milestones!$AC$78&amp;";  ","")&amp;IF(AND(EDATE($D55,Milestones!$AA$79)&lt;=AsOfDate,IF($R55=0,$X55,IF(AND($T55&lt;&gt;"",EDATE($D55,Milestones!$AA$79)&gt;=$T55),$W55,IF(AND($S55&lt;&gt;"",EDATE($D55,Milestones!$AA$79)&gt;=$S55),$V55,$U55)))=Milestones!$AB$79),UPPER(TEXT(EDATE($D55,Milestones!$AA$79),"dd mmm yy"))&amp;" "&amp;Milestones!$AB$79&amp;" "&amp;Milestones!$AC$79&amp;";  ",""))</f>
        <v/>
      </c>
      <c r="L55" s="0" t="str">
        <f aca="false">IF(OR($A55="",$D55=""),"",IF(AND(EDATE($D55,Milestones!$AA$80)&lt;=AsOfDate,IF($R55=0,$X55,IF(AND($T55&lt;&gt;"",EDATE($D55,Milestones!$AA$80)&gt;=$T55),$W55,IF(AND($S55&lt;&gt;"",EDATE($D55,Milestones!$AA$80)&gt;=$S55),$V55,$U55)))=Milestones!$AB$80),UPPER(TEXT(EDATE($D55,Milestones!$AA$80),"dd mmm yy"))&amp;" "&amp;Milestones!$AB$80&amp;" "&amp;Milestones!$AC$80&amp;";  ","")&amp;IF(AND(EDATE($D55,Milestones!$AA$81)&lt;=AsOfDate,IF($R55=0,$X55,IF(AND($T55&lt;&gt;"",EDATE($D55,Milestones!$AA$81)&gt;=$T55),$W55,IF(AND($S55&lt;&gt;"",EDATE($D55,Milestones!$AA$81)&gt;=$S55),$V55,$U55)))=Milestones!$AB$81),UPPER(TEXT(EDATE($D55,Milestones!$AA$81),"dd mmm yy"))&amp;" "&amp;Milestones!$AB$81&amp;" "&amp;Milestones!$AC$81&amp;";  ","")&amp;IF(AND(EDATE($D55,Milestones!$AA$82)&lt;=AsOfDate,IF($R55=0,$X55,IF(AND($T55&lt;&gt;"",EDATE($D55,Milestones!$AA$82)&gt;=$T55),$W55,IF(AND($S55&lt;&gt;"",EDATE($D55,Milestones!$AA$82)&gt;=$S55),$V55,$U55)))=Milestones!$AB$82),UPPER(TEXT(EDATE($D55,Milestones!$AA$82),"dd mmm yy"))&amp;" "&amp;Milestones!$AB$82&amp;" "&amp;Milestones!$AC$82&amp;";  ","")&amp;IF(AND(EDATE($D55,Milestones!$AA$83)&lt;=AsOfDate,IF($R55=0,$X55,IF(AND($T55&lt;&gt;"",EDATE($D55,Milestones!$AA$83)&gt;=$T55),$W55,IF(AND($S55&lt;&gt;"",EDATE($D55,Milestones!$AA$83)&gt;=$S55),$V55,$U55)))=Milestones!$AB$83),UPPER(TEXT(EDATE($D55,Milestones!$AA$83),"dd mmm yy"))&amp;" "&amp;Milestones!$AB$83&amp;" "&amp;Milestones!$AC$83&amp;";  ","")&amp;IF(AND(EDATE($D55,Milestones!$AA$84)&lt;=AsOfDate,IF($R55=0,$X55,IF(AND($T55&lt;&gt;"",EDATE($D55,Milestones!$AA$84)&gt;=$T55),$W55,IF(AND($S55&lt;&gt;"",EDATE($D55,Milestones!$AA$84)&gt;=$S55),$V55,$U55)))=Milestones!$AB$84),UPPER(TEXT(EDATE($D55,Milestones!$AA$84),"dd mmm yy"))&amp;" "&amp;Milestones!$AB$84&amp;" "&amp;Milestones!$AC$84&amp;";  ","")&amp;IF(AND(EDATE($D55,Milestones!$AA$85)&lt;=AsOfDate,IF($R55=0,$X55,IF(AND($T55&lt;&gt;"",EDATE($D55,Milestones!$AA$85)&gt;=$T55),$W55,IF(AND($S55&lt;&gt;"",EDATE($D55,Milestones!$AA$85)&gt;=$S55),$V55,$U55)))=Milestones!$AB$85),UPPER(TEXT(EDATE($D55,Milestones!$AA$85),"dd mmm yy"))&amp;" "&amp;Milestones!$AB$85&amp;" "&amp;Milestones!$AC$85&amp;";  ","")&amp;IF(AND(EDATE($D55,Milestones!$AA$86)&lt;=AsOfDate,IF($R55=0,$X55,IF(AND($T55&lt;&gt;"",EDATE($D55,Milestones!$AA$86)&gt;=$T55),$W55,IF(AND($S55&lt;&gt;"",EDATE($D55,Milestones!$AA$86)&gt;=$S55),$V55,$U55)))=Milestones!$AB$86),UPPER(TEXT(EDATE($D55,Milestones!$AA$86),"dd mmm yy"))&amp;" "&amp;Milestones!$AB$86&amp;" "&amp;Milestones!$AC$86&amp;";  ","")&amp;IF(AND(EDATE($D55,Milestones!$AA$87)&lt;=AsOfDate,IF($R55=0,$X55,IF(AND($T55&lt;&gt;"",EDATE($D55,Milestones!$AA$87)&gt;=$T55),$W55,IF(AND($S55&lt;&gt;"",EDATE($D55,Milestones!$AA$87)&gt;=$S55),$V55,$U55)))=Milestones!$AB$87),UPPER(TEXT(EDATE($D55,Milestones!$AA$87),"dd mmm yy"))&amp;" "&amp;Milestones!$AB$87&amp;" "&amp;Milestones!$AC$87&amp;";  ","")&amp;IF(AND(EDATE($D55,Milestones!$AA$88)&lt;=AsOfDate,IF($R55=0,$X55,IF(AND($T55&lt;&gt;"",EDATE($D55,Milestones!$AA$88)&gt;=$T55),$W55,IF(AND($S55&lt;&gt;"",EDATE($D55,Milestones!$AA$88)&gt;=$S55),$V55,$U55)))=Milestones!$AB$88),UPPER(TEXT(EDATE($D55,Milestones!$AA$88),"dd mmm yy"))&amp;" "&amp;Milestones!$AB$88&amp;" "&amp;Milestones!$AC$88&amp;";  ","")&amp;IF(AND(EDATE($D55,Milestones!$AA$89)&lt;=AsOfDate,IF($R55=0,$X55,IF(AND($T55&lt;&gt;"",EDATE($D55,Milestones!$AA$89)&gt;=$T55),$W55,IF(AND($S55&lt;&gt;"",EDATE($D55,Milestones!$AA$89)&gt;=$S55),$V55,$U55)))=Milestones!$AB$89),UPPER(TEXT(EDATE($D55,Milestones!$AA$89),"dd mmm yy"))&amp;" "&amp;Milestones!$AB$89&amp;" "&amp;Milestones!$AC$89&amp;";  ","")&amp;IF(AND(EDATE($D55,Milestones!$AA$90)&lt;=AsOfDate,IF($R55=0,$X55,IF(AND($T55&lt;&gt;"",EDATE($D55,Milestones!$AA$90)&gt;=$T55),$W55,IF(AND($S55&lt;&gt;"",EDATE($D55,Milestones!$AA$90)&gt;=$S55),$V55,$U55)))=Milestones!$AB$90),UPPER(TEXT(EDATE($D55,Milestones!$AA$90),"dd mmm yy"))&amp;" "&amp;Milestones!$AB$90&amp;" "&amp;Milestones!$AC$90&amp;";  ","")&amp;IF(AND(EDATE($D55,Milestones!$AA$91)&lt;=AsOfDate,IF($R55=0,$X55,IF(AND($T55&lt;&gt;"",EDATE($D55,Milestones!$AA$91)&gt;=$T55),$W55,IF(AND($S55&lt;&gt;"",EDATE($D55,Milestones!$AA$91)&gt;=$S55),$V55,$U55)))=Milestones!$AB$91),UPPER(TEXT(EDATE($D55,Milestones!$AA$91),"dd mmm yy"))&amp;" "&amp;Milestones!$AB$91&amp;" "&amp;Milestones!$AC$91&amp;";  ","")&amp;IF(AND(EDATE($D55,Milestones!$AA$92)&lt;=AsOfDate,IF($R55=0,$X55,IF(AND($T55&lt;&gt;"",EDATE($D55,Milestones!$AA$92)&gt;=$T55),$W55,IF(AND($S55&lt;&gt;"",EDATE($D55,Milestones!$AA$92)&gt;=$S55),$V55,$U55)))=Milestones!$AB$92),UPPER(TEXT(EDATE($D55,Milestones!$AA$92),"dd mmm yy"))&amp;" "&amp;Milestones!$AB$92&amp;" "&amp;Milestones!$AC$92&amp;";  ","")&amp;IF(AND(EDATE($D55,Milestones!$AA$93)&lt;=AsOfDate,IF($R55=0,$X55,IF(AND($T55&lt;&gt;"",EDATE($D55,Milestones!$AA$93)&gt;=$T55),$W55,IF(AND($S55&lt;&gt;"",EDATE($D55,Milestones!$AA$93)&gt;=$S55),$V55,$U55)))=Milestones!$AB$93),UPPER(TEXT(EDATE($D55,Milestones!$AA$93),"dd mmm yy"))&amp;" "&amp;Milestones!$AB$93&amp;" "&amp;Milestones!$AC$93&amp;";  ","")&amp;IF(AND(EDATE($D55,Milestones!$AA$94)&lt;=AsOfDate,IF($R55=0,$X55,IF(AND($T55&lt;&gt;"",EDATE($D55,Milestones!$AA$94)&gt;=$T55),$W55,IF(AND($S55&lt;&gt;"",EDATE($D55,Milestones!$AA$94)&gt;=$S55),$V55,$U55)))=Milestones!$AB$94),UPPER(TEXT(EDATE($D55,Milestones!$AA$94),"dd mmm yy"))&amp;" "&amp;Milestones!$AB$94&amp;" "&amp;Milestones!$AC$94&amp;";  ","")&amp;IF(AND(EDATE($D55,Milestones!$AA$95)&lt;=AsOfDate,IF($R55=0,$X55,IF(AND($T55&lt;&gt;"",EDATE($D55,Milestones!$AA$95)&gt;=$T55),$W55,IF(AND($S55&lt;&gt;"",EDATE($D55,Milestones!$AA$95)&gt;=$S55),$V55,$U55)))=Milestones!$AB$95),UPPER(TEXT(EDATE($D55,Milestones!$AA$95),"dd mmm yy"))&amp;" "&amp;Milestones!$AB$95&amp;" "&amp;Milestones!$AC$95&amp;";  ","")&amp;IF(AND(EDATE($D55,Milestones!$AA$96)&lt;=AsOfDate,IF($R55=0,$X55,IF(AND($T55&lt;&gt;"",EDATE($D55,Milestones!$AA$96)&gt;=$T55),$W55,IF(AND($S55&lt;&gt;"",EDATE($D55,Milestones!$AA$96)&gt;=$S55),$V55,$U55)))=Milestones!$AB$96),UPPER(TEXT(EDATE($D55,Milestones!$AA$96),"dd mmm yy"))&amp;" "&amp;Milestones!$AB$96&amp;" "&amp;Milestones!$AC$96&amp;";  ","")&amp;IF(AND(EDATE($D55,Milestones!$AA$97)&lt;=AsOfDate,IF($R55=0,$X55,IF(AND($T55&lt;&gt;"",EDATE($D55,Milestones!$AA$97)&gt;=$T55),$W55,IF(AND($S55&lt;&gt;"",EDATE($D55,Milestones!$AA$97)&gt;=$S55),$V55,$U55)))=Milestones!$AB$97),UPPER(TEXT(EDATE($D55,Milestones!$AA$97),"dd mmm yy"))&amp;" "&amp;Milestones!$AB$97&amp;" "&amp;Milestones!$AC$97&amp;";  ","")&amp;IF(AND(EDATE($D55,Milestones!$AA$98)&lt;=AsOfDate,IF($R55=0,$X55,IF(AND($T55&lt;&gt;"",EDATE($D55,Milestones!$AA$98)&gt;=$T55),$W55,IF(AND($S55&lt;&gt;"",EDATE($D55,Milestones!$AA$98)&gt;=$S55),$V55,$U55)))=Milestones!$AB$98),UPPER(TEXT(EDATE($D55,Milestones!$AA$98),"dd mmm yy"))&amp;" "&amp;Milestones!$AB$98&amp;" "&amp;Milestones!$AC$98&amp;";  ","")&amp;IF(AND(EDATE($D55,Milestones!$AA$99)&lt;=AsOfDate,IF($R55=0,$X55,IF(AND($T55&lt;&gt;"",EDATE($D55,Milestones!$AA$99)&gt;=$T55),$W55,IF(AND($S55&lt;&gt;"",EDATE($D55,Milestones!$AA$99)&gt;=$S55),$V55,$U55)))=Milestones!$AB$99),UPPER(TEXT(EDATE($D55,Milestones!$AA$99),"dd mmm yy"))&amp;" "&amp;Milestones!$AB$99&amp;" "&amp;Milestones!$AC$99&amp;";  ",""))</f>
        <v/>
      </c>
      <c r="M55" s="0" t="str">
        <f aca="false">IF(OR($A55="",$D55=""),"",IF(AND(EDATE($D55,Milestones!$AA$100)&lt;=AsOfDate,IF($R55=0,$X55,IF(AND($T55&lt;&gt;"",EDATE($D55,Milestones!$AA$100)&gt;=$T55),$W55,IF(AND($S55&lt;&gt;"",EDATE($D55,Milestones!$AA$100)&gt;=$S55),$V55,$U55)))=Milestones!$AB$100),UPPER(TEXT(EDATE($D55,Milestones!$AA$100),"dd mmm yy"))&amp;" "&amp;Milestones!$AB$100&amp;" "&amp;Milestones!$AC$100&amp;";  ","")&amp;IF(AND(EDATE($D55,Milestones!$AA$101)&lt;=AsOfDate,IF($R55=0,$X55,IF(AND($T55&lt;&gt;"",EDATE($D55,Milestones!$AA$101)&gt;=$T55),$W55,IF(AND($S55&lt;&gt;"",EDATE($D55,Milestones!$AA$101)&gt;=$S55),$V55,$U55)))=Milestones!$AB$101),UPPER(TEXT(EDATE($D55,Milestones!$AA$101),"dd mmm yy"))&amp;" "&amp;Milestones!$AB$101&amp;" "&amp;Milestones!$AC$101&amp;";  ","")&amp;IF(AND(EDATE($D55,Milestones!$AA$102)&lt;=AsOfDate,IF($R55=0,$X55,IF(AND($T55&lt;&gt;"",EDATE($D55,Milestones!$AA$102)&gt;=$T55),$W55,IF(AND($S55&lt;&gt;"",EDATE($D55,Milestones!$AA$102)&gt;=$S55),$V55,$U55)))=Milestones!$AB$102),UPPER(TEXT(EDATE($D55,Milestones!$AA$102),"dd mmm yy"))&amp;" "&amp;Milestones!$AB$102&amp;" "&amp;Milestones!$AC$102&amp;";  ","")&amp;IF(AND(EDATE($D55,Milestones!$AA$103)&lt;=AsOfDate,IF($R55=0,$X55,IF(AND($T55&lt;&gt;"",EDATE($D55,Milestones!$AA$103)&gt;=$T55),$W55,IF(AND($S55&lt;&gt;"",EDATE($D55,Milestones!$AA$103)&gt;=$S55),$V55,$U55)))=Milestones!$AB$103),UPPER(TEXT(EDATE($D55,Milestones!$AA$103),"dd mmm yy"))&amp;" "&amp;Milestones!$AB$103&amp;" "&amp;Milestones!$AC$103&amp;";  ","")&amp;IF(AND(EDATE($D55,Milestones!$AA$104)&lt;=AsOfDate,IF($R55=0,$X55,IF(AND($T55&lt;&gt;"",EDATE($D55,Milestones!$AA$104)&gt;=$T55),$W55,IF(AND($S55&lt;&gt;"",EDATE($D55,Milestones!$AA$104)&gt;=$S55),$V55,$U55)))=Milestones!$AB$104),UPPER(TEXT(EDATE($D55,Milestones!$AA$104),"dd mmm yy"))&amp;" "&amp;Milestones!$AB$104&amp;" "&amp;Milestones!$AC$104&amp;";  ","")&amp;IF(AND(EDATE($D55,Milestones!$AA$105)&lt;=AsOfDate,IF($R55=0,$X55,IF(AND($T55&lt;&gt;"",EDATE($D55,Milestones!$AA$105)&gt;=$T55),$W55,IF(AND($S55&lt;&gt;"",EDATE($D55,Milestones!$AA$105)&gt;=$S55),$V55,$U55)))=Milestones!$AB$105),UPPER(TEXT(EDATE($D55,Milestones!$AA$105),"dd mmm yy"))&amp;" "&amp;Milestones!$AB$105&amp;" "&amp;Milestones!$AC$105&amp;";  ","")&amp;IF(AND(EDATE($D55,Milestones!$AA$106)&lt;=AsOfDate,IF($R55=0,$X55,IF(AND($T55&lt;&gt;"",EDATE($D55,Milestones!$AA$106)&gt;=$T55),$W55,IF(AND($S55&lt;&gt;"",EDATE($D55,Milestones!$AA$106)&gt;=$S55),$V55,$U55)))=Milestones!$AB$106),UPPER(TEXT(EDATE($D55,Milestones!$AA$106),"dd mmm yy"))&amp;" "&amp;Milestones!$AB$106&amp;" "&amp;Milestones!$AC$106&amp;";  ","")&amp;IF(AND(EDATE($D55,Milestones!$AA$107)&lt;=AsOfDate,IF($R55=0,$X55,IF(AND($T55&lt;&gt;"",EDATE($D55,Milestones!$AA$107)&gt;=$T55),$W55,IF(AND($S55&lt;&gt;"",EDATE($D55,Milestones!$AA$107)&gt;=$S55),$V55,$U55)))=Milestones!$AB$107),UPPER(TEXT(EDATE($D55,Milestones!$AA$107),"dd mmm yy"))&amp;" "&amp;Milestones!$AB$107&amp;" "&amp;Milestones!$AC$107&amp;";  ","")&amp;IF(AND(EDATE($D55,Milestones!$AA$108)&lt;=AsOfDate,IF($R55=0,$X55,IF(AND($T55&lt;&gt;"",EDATE($D55,Milestones!$AA$108)&gt;=$T55),$W55,IF(AND($S55&lt;&gt;"",EDATE($D55,Milestones!$AA$108)&gt;=$S55),$V55,$U55)))=Milestones!$AB$108),UPPER(TEXT(EDATE($D55,Milestones!$AA$108),"dd mmm yy"))&amp;" "&amp;Milestones!$AB$108&amp;" "&amp;Milestones!$AC$108&amp;";  ","")&amp;IF(AND(EDATE($D55,Milestones!$AA$109)&lt;=AsOfDate,IF($R55=0,$X55,IF(AND($T55&lt;&gt;"",EDATE($D55,Milestones!$AA$109)&gt;=$T55),$W55,IF(AND($S55&lt;&gt;"",EDATE($D55,Milestones!$AA$109)&gt;=$S55),$V55,$U55)))=Milestones!$AB$109),UPPER(TEXT(EDATE($D55,Milestones!$AA$109),"dd mmm yy"))&amp;" "&amp;Milestones!$AB$109&amp;" "&amp;Milestones!$AC$109&amp;";  ","")&amp;IF(AND(EDATE($D55,Milestones!$AA$110)&lt;=AsOfDate,IF($R55=0,$X55,IF(AND($T55&lt;&gt;"",EDATE($D55,Milestones!$AA$110)&gt;=$T55),$W55,IF(AND($S55&lt;&gt;"",EDATE($D55,Milestones!$AA$110)&gt;=$S55),$V55,$U55)))=Milestones!$AB$110),UPPER(TEXT(EDATE($D55,Milestones!$AA$110),"dd mmm yy"))&amp;" "&amp;Milestones!$AB$110&amp;" "&amp;Milestones!$AC$110&amp;";  ","")&amp;IF(AND(EDATE($D55,Milestones!$AA$111)&lt;=AsOfDate,IF($R55=0,$X55,IF(AND($T55&lt;&gt;"",EDATE($D55,Milestones!$AA$111)&gt;=$T55),$W55,IF(AND($S55&lt;&gt;"",EDATE($D55,Milestones!$AA$111)&gt;=$S55),$V55,$U55)))=Milestones!$AB$111),UPPER(TEXT(EDATE($D55,Milestones!$AA$111),"dd mmm yy"))&amp;" "&amp;Milestones!$AB$111&amp;" "&amp;Milestones!$AC$111&amp;";  ","")&amp;IF(AND(EDATE($D55,Milestones!$AA$112)&lt;=AsOfDate,IF($R55=0,$X55,IF(AND($T55&lt;&gt;"",EDATE($D55,Milestones!$AA$112)&gt;=$T55),$W55,IF(AND($S55&lt;&gt;"",EDATE($D55,Milestones!$AA$112)&gt;=$S55),$V55,$U55)))=Milestones!$AB$112),UPPER(TEXT(EDATE($D55,Milestones!$AA$112),"dd mmm yy"))&amp;" "&amp;Milestones!$AB$112&amp;" "&amp;Milestones!$AC$112&amp;";  ","")&amp;IF(AND(EDATE($D55,Milestones!$AA$113)&lt;=AsOfDate,IF($R55=0,$X55,IF(AND($T55&lt;&gt;"",EDATE($D55,Milestones!$AA$113)&gt;=$T55),$W55,IF(AND($S55&lt;&gt;"",EDATE($D55,Milestones!$AA$113)&gt;=$S55),$V55,$U55)))=Milestones!$AB$113),UPPER(TEXT(EDATE($D55,Milestones!$AA$113),"dd mmm yy"))&amp;" "&amp;Milestones!$AB$113&amp;" "&amp;Milestones!$AC$113&amp;";  ","")&amp;IF(AND(EDATE($D55,Milestones!$AA$114)&lt;=AsOfDate,IF($R55=0,$X55,IF(AND($T55&lt;&gt;"",EDATE($D55,Milestones!$AA$114)&gt;=$T55),$W55,IF(AND($S55&lt;&gt;"",EDATE($D55,Milestones!$AA$114)&gt;=$S55),$V55,$U55)))=Milestones!$AB$114),UPPER(TEXT(EDATE($D55,Milestones!$AA$114),"dd mmm yy"))&amp;" "&amp;Milestones!$AB$114&amp;" "&amp;Milestones!$AC$114&amp;";  ","")&amp;IF(AND(EDATE($D55,Milestones!$AA$115)&lt;=AsOfDate,IF($R55=0,$X55,IF(AND($T55&lt;&gt;"",EDATE($D55,Milestones!$AA$115)&gt;=$T55),$W55,IF(AND($S55&lt;&gt;"",EDATE($D55,Milestones!$AA$115)&gt;=$S55),$V55,$U55)))=Milestones!$AB$115),UPPER(TEXT(EDATE($D55,Milestones!$AA$115),"dd mmm yy"))&amp;" "&amp;Milestones!$AB$115&amp;" "&amp;Milestones!$AC$115&amp;";  ","")&amp;IF(AND(EDATE($D55,Milestones!$AA$116)&lt;=AsOfDate,IF($R55=0,$X55,IF(AND($T55&lt;&gt;"",EDATE($D55,Milestones!$AA$116)&gt;=$T55),$W55,IF(AND($S55&lt;&gt;"",EDATE($D55,Milestones!$AA$116)&gt;=$S55),$V55,$U55)))=Milestones!$AB$116),UPPER(TEXT(EDATE($D55,Milestones!$AA$116),"dd mmm yy"))&amp;" "&amp;Milestones!$AB$116&amp;" "&amp;Milestones!$AC$116&amp;";  ","")&amp;IF(AND(EDATE($D55,Milestones!$AA$117)&lt;=AsOfDate,IF($R55=0,$X55,IF(AND($T55&lt;&gt;"",EDATE($D55,Milestones!$AA$117)&gt;=$T55),$W55,IF(AND($S55&lt;&gt;"",EDATE($D55,Milestones!$AA$117)&gt;=$S55),$V55,$U55)))=Milestones!$AB$117),UPPER(TEXT(EDATE($D55,Milestones!$AA$117),"dd mmm yy"))&amp;" "&amp;Milestones!$AB$117&amp;" "&amp;Milestones!$AC$117&amp;";  ","")&amp;IF(AND(EDATE($D55,Milestones!$AA$118)&lt;=AsOfDate,IF($R55=0,$X55,IF(AND($T55&lt;&gt;"",EDATE($D55,Milestones!$AA$118)&gt;=$T55),$W55,IF(AND($S55&lt;&gt;"",EDATE($D55,Milestones!$AA$118)&gt;=$S55),$V55,$U55)))=Milestones!$AB$118),UPPER(TEXT(EDATE($D55,Milestones!$AA$118),"dd mmm yy"))&amp;" "&amp;Milestones!$AB$118&amp;" "&amp;Milestones!$AC$118&amp;";  ","")&amp;IF(AND(EDATE($D55,Milestones!$AA$119)&lt;=AsOfDate,IF($R55=0,$X55,IF(AND($T55&lt;&gt;"",EDATE($D55,Milestones!$AA$119)&gt;=$T55),$W55,IF(AND($S55&lt;&gt;"",EDATE($D55,Milestones!$AA$119)&gt;=$S55),$V55,$U55)))=Milestones!$AB$119),UPPER(TEXT(EDATE($D55,Milestones!$AA$119),"dd mmm yy"))&amp;" "&amp;Milestones!$AB$119&amp;" "&amp;Milestones!$AC$119&amp;";  ",""))</f>
        <v/>
      </c>
      <c r="N55" s="0" t="str">
        <f aca="false">IF(OR($A55="",$D55=""),"",IF(AND(EDATE($D55,Milestones!$AA$120)&lt;=AsOfDate,IF($R55=0,$X55,IF(AND($T55&lt;&gt;"",EDATE($D55,Milestones!$AA$120)&gt;=$T55),$W55,IF(AND($S55&lt;&gt;"",EDATE($D55,Milestones!$AA$120)&gt;=$S55),$V55,$U55)))=Milestones!$AB$120),UPPER(TEXT(EDATE($D55,Milestones!$AA$120),"dd mmm yy"))&amp;" "&amp;Milestones!$AB$120&amp;" "&amp;Milestones!$AC$120&amp;";  ","")&amp;IF(AND(EDATE($D55,Milestones!$AA$121)&lt;=AsOfDate,IF($R55=0,$X55,IF(AND($T55&lt;&gt;"",EDATE($D55,Milestones!$AA$121)&gt;=$T55),$W55,IF(AND($S55&lt;&gt;"",EDATE($D55,Milestones!$AA$121)&gt;=$S55),$V55,$U55)))=Milestones!$AB$121),UPPER(TEXT(EDATE($D55,Milestones!$AA$121),"dd mmm yy"))&amp;" "&amp;Milestones!$AB$121&amp;" "&amp;Milestones!$AC$121&amp;";  ","")&amp;IF(AND(EDATE($D55,Milestones!$AA$122)&lt;=AsOfDate,IF($R55=0,$X55,IF(AND($T55&lt;&gt;"",EDATE($D55,Milestones!$AA$122)&gt;=$T55),$W55,IF(AND($S55&lt;&gt;"",EDATE($D55,Milestones!$AA$122)&gt;=$S55),$V55,$U55)))=Milestones!$AB$122),UPPER(TEXT(EDATE($D55,Milestones!$AA$122),"dd mmm yy"))&amp;" "&amp;Milestones!$AB$122&amp;" "&amp;Milestones!$AC$122&amp;";  ","")&amp;IF(AND(EDATE($D55,Milestones!$AA$123)&lt;=AsOfDate,IF($R55=0,$X55,IF(AND($T55&lt;&gt;"",EDATE($D55,Milestones!$AA$123)&gt;=$T55),$W55,IF(AND($S55&lt;&gt;"",EDATE($D55,Milestones!$AA$123)&gt;=$S55),$V55,$U55)))=Milestones!$AB$123),UPPER(TEXT(EDATE($D55,Milestones!$AA$123),"dd mmm yy"))&amp;" "&amp;Milestones!$AB$123&amp;" "&amp;Milestones!$AC$123&amp;";  ","")&amp;IF(AND(EDATE($D55,Milestones!$AA$124)&lt;=AsOfDate,IF($R55=0,$X55,IF(AND($T55&lt;&gt;"",EDATE($D55,Milestones!$AA$124)&gt;=$T55),$W55,IF(AND($S55&lt;&gt;"",EDATE($D55,Milestones!$AA$124)&gt;=$S55),$V55,$U55)))=Milestones!$AB$124),UPPER(TEXT(EDATE($D55,Milestones!$AA$124),"dd mmm yy"))&amp;" "&amp;Milestones!$AB$124&amp;" "&amp;Milestones!$AC$124&amp;";  ","")&amp;IF(AND(EDATE($D55,Milestones!$AA$125)&lt;=AsOfDate,IF($R55=0,$X55,IF(AND($T55&lt;&gt;"",EDATE($D55,Milestones!$AA$125)&gt;=$T55),$W55,IF(AND($S55&lt;&gt;"",EDATE($D55,Milestones!$AA$125)&gt;=$S55),$V55,$U55)))=Milestones!$AB$125),UPPER(TEXT(EDATE($D55,Milestones!$AA$125),"dd mmm yy"))&amp;" "&amp;Milestones!$AB$125&amp;" "&amp;Milestones!$AC$125&amp;";  ","")&amp;IF(AND(EDATE($D55,Milestones!$AA$126)&lt;=AsOfDate,IF($R55=0,$X55,IF(AND($T55&lt;&gt;"",EDATE($D55,Milestones!$AA$126)&gt;=$T55),$W55,IF(AND($S55&lt;&gt;"",EDATE($D55,Milestones!$AA$126)&gt;=$S55),$V55,$U55)))=Milestones!$AB$126),UPPER(TEXT(EDATE($D55,Milestones!$AA$126),"dd mmm yy"))&amp;" "&amp;Milestones!$AB$126&amp;" "&amp;Milestones!$AC$126&amp;";  ","")&amp;IF(AND(EDATE($D55,Milestones!$AA$127)&lt;=AsOfDate,IF($R55=0,$X55,IF(AND($T55&lt;&gt;"",EDATE($D55,Milestones!$AA$127)&gt;=$T55),$W55,IF(AND($S55&lt;&gt;"",EDATE($D55,Milestones!$AA$127)&gt;=$S55),$V55,$U55)))=Milestones!$AB$127),UPPER(TEXT(EDATE($D55,Milestones!$AA$127),"dd mmm yy"))&amp;" "&amp;Milestones!$AB$127&amp;" "&amp;Milestones!$AC$127&amp;";  ","")&amp;IF(AND(EDATE($D55,Milestones!$AA$128)&lt;=AsOfDate,IF($R55=0,$X55,IF(AND($T55&lt;&gt;"",EDATE($D55,Milestones!$AA$128)&gt;=$T55),$W55,IF(AND($S55&lt;&gt;"",EDATE($D55,Milestones!$AA$128)&gt;=$S55),$V55,$U55)))=Milestones!$AB$128),UPPER(TEXT(EDATE($D55,Milestones!$AA$128),"dd mmm yy"))&amp;" "&amp;Milestones!$AB$128&amp;" "&amp;Milestones!$AC$128&amp;";  ","")&amp;IF(AND(EDATE($D55,Milestones!$AA$129)&lt;=AsOfDate,IF($R55=0,$X55,IF(AND($T55&lt;&gt;"",EDATE($D55,Milestones!$AA$129)&gt;=$T55),$W55,IF(AND($S55&lt;&gt;"",EDATE($D55,Milestones!$AA$129)&gt;=$S55),$V55,$U55)))=Milestones!$AB$129),UPPER(TEXT(EDATE($D55,Milestones!$AA$129),"dd mmm yy"))&amp;" "&amp;Milestones!$AB$129&amp;" "&amp;Milestones!$AC$129&amp;";  ","")&amp;IF(AND(EDATE($D55,Milestones!$AA$130)&lt;=AsOfDate,IF($R55=0,$X55,IF(AND($T55&lt;&gt;"",EDATE($D55,Milestones!$AA$130)&gt;=$T55),$W55,IF(AND($S55&lt;&gt;"",EDATE($D55,Milestones!$AA$130)&gt;=$S55),$V55,$U55)))=Milestones!$AB$130),UPPER(TEXT(EDATE($D55,Milestones!$AA$130),"dd mmm yy"))&amp;" "&amp;Milestones!$AB$130&amp;" "&amp;Milestones!$AC$130&amp;";  ","")&amp;IF(AND(EDATE($D55,Milestones!$AA$131)&lt;=AsOfDate,IF($R55=0,$X55,IF(AND($T55&lt;&gt;"",EDATE($D55,Milestones!$AA$131)&gt;=$T55),$W55,IF(AND($S55&lt;&gt;"",EDATE($D55,Milestones!$AA$131)&gt;=$S55),$V55,$U55)))=Milestones!$AB$131),UPPER(TEXT(EDATE($D55,Milestones!$AA$131),"dd mmm yy"))&amp;" "&amp;Milestones!$AB$131&amp;" "&amp;Milestones!$AC$131&amp;";  ","")&amp;IF(AND(EDATE($D55,Milestones!$AA$132)&lt;=AsOfDate,IF($R55=0,$X55,IF(AND($T55&lt;&gt;"",EDATE($D55,Milestones!$AA$132)&gt;=$T55),$W55,IF(AND($S55&lt;&gt;"",EDATE($D55,Milestones!$AA$132)&gt;=$S55),$V55,$U55)))=Milestones!$AB$132),UPPER(TEXT(EDATE($D55,Milestones!$AA$132),"dd mmm yy"))&amp;" "&amp;Milestones!$AB$132&amp;" "&amp;Milestones!$AC$132&amp;";  ","")&amp;IF(AND(EDATE($D55,Milestones!$AA$133)&lt;=AsOfDate,IF($R55=0,$X55,IF(AND($T55&lt;&gt;"",EDATE($D55,Milestones!$AA$133)&gt;=$T55),$W55,IF(AND($S55&lt;&gt;"",EDATE($D55,Milestones!$AA$133)&gt;=$S55),$V55,$U55)))=Milestones!$AB$133),UPPER(TEXT(EDATE($D55,Milestones!$AA$133),"dd mmm yy"))&amp;" "&amp;Milestones!$AB$133&amp;" "&amp;Milestones!$AC$133&amp;";  ","")&amp;IF(AND(EDATE($D55,Milestones!$AA$134)&lt;=AsOfDate,IF($R55=0,$X55,IF(AND($T55&lt;&gt;"",EDATE($D55,Milestones!$AA$134)&gt;=$T55),$W55,IF(AND($S55&lt;&gt;"",EDATE($D55,Milestones!$AA$134)&gt;=$S55),$V55,$U55)))=Milestones!$AB$134),UPPER(TEXT(EDATE($D55,Milestones!$AA$134),"dd mmm yy"))&amp;" "&amp;Milestones!$AB$134&amp;" "&amp;Milestones!$AC$134&amp;";  ","")&amp;IF(AND(EDATE($D55,Milestones!$AA$135)&lt;=AsOfDate,IF($R55=0,$X55,IF(AND($T55&lt;&gt;"",EDATE($D55,Milestones!$AA$135)&gt;=$T55),$W55,IF(AND($S55&lt;&gt;"",EDATE($D55,Milestones!$AA$135)&gt;=$S55),$V55,$U55)))=Milestones!$AB$135),UPPER(TEXT(EDATE($D55,Milestones!$AA$135),"dd mmm yy"))&amp;" "&amp;Milestones!$AB$135&amp;" "&amp;Milestones!$AC$135&amp;";  ","")&amp;IF(AND(EDATE($D55,Milestones!$AA$136)&lt;=AsOfDate,IF($R55=0,$X55,IF(AND($T55&lt;&gt;"",EDATE($D55,Milestones!$AA$136)&gt;=$T55),$W55,IF(AND($S55&lt;&gt;"",EDATE($D55,Milestones!$AA$136)&gt;=$S55),$V55,$U55)))=Milestones!$AB$136),UPPER(TEXT(EDATE($D55,Milestones!$AA$136),"dd mmm yy"))&amp;" "&amp;Milestones!$AB$136&amp;" "&amp;Milestones!$AC$136&amp;";  ","")&amp;IF(AND(EDATE($D55,Milestones!$AA$137)&lt;=AsOfDate,IF($R55=0,$X55,IF(AND($T55&lt;&gt;"",EDATE($D55,Milestones!$AA$137)&gt;=$T55),$W55,IF(AND($S55&lt;&gt;"",EDATE($D55,Milestones!$AA$137)&gt;=$S55),$V55,$U55)))=Milestones!$AB$137),UPPER(TEXT(EDATE($D55,Milestones!$AA$137),"dd mmm yy"))&amp;" "&amp;Milestones!$AB$137&amp;" "&amp;Milestones!$AC$137&amp;";  ","")&amp;IF(AND(EDATE($D55,Milestones!$AA$138)&lt;=AsOfDate,IF($R55=0,$X55,IF(AND($T55&lt;&gt;"",EDATE($D55,Milestones!$AA$138)&gt;=$T55),$W55,IF(AND($S55&lt;&gt;"",EDATE($D55,Milestones!$AA$138)&gt;=$S55),$V55,$U55)))=Milestones!$AB$138),UPPER(TEXT(EDATE($D55,Milestones!$AA$138),"dd mmm yy"))&amp;" "&amp;Milestones!$AB$138&amp;" "&amp;Milestones!$AC$138&amp;";  ","")&amp;IF(AND(EDATE($D55,Milestones!$AA$139)&lt;=AsOfDate,IF($R55=0,$X55,IF(AND($T55&lt;&gt;"",EDATE($D55,Milestones!$AA$139)&gt;=$T55),$W55,IF(AND($S55&lt;&gt;"",EDATE($D55,Milestones!$AA$139)&gt;=$S55),$V55,$U55)))=Milestones!$AB$139),UPPER(TEXT(EDATE($D55,Milestones!$AA$139),"dd mmm yy"))&amp;" "&amp;Milestones!$AB$139&amp;" "&amp;Milestones!$AC$139&amp;";  ",""))</f>
        <v/>
      </c>
      <c r="O55" s="0" t="str">
        <f aca="false">IF(OR($A55="",$D55=""),"",IF(AND(EDATE($D55,Milestones!$AA$140)&lt;=AsOfDate,IF($R55=0,$X55,IF(AND($T55&lt;&gt;"",EDATE($D55,Milestones!$AA$140)&gt;=$T55),$W55,IF(AND($S55&lt;&gt;"",EDATE($D55,Milestones!$AA$140)&gt;=$S55),$V55,$U55)))=Milestones!$AB$140),UPPER(TEXT(EDATE($D55,Milestones!$AA$140),"dd mmm yy"))&amp;" "&amp;Milestones!$AB$140&amp;" "&amp;Milestones!$AC$140&amp;";  ","")&amp;IF(AND(EDATE($D55,Milestones!$AA$141)&lt;=AsOfDate,IF($R55=0,$X55,IF(AND($T55&lt;&gt;"",EDATE($D55,Milestones!$AA$141)&gt;=$T55),$W55,IF(AND($S55&lt;&gt;"",EDATE($D55,Milestones!$AA$141)&gt;=$S55),$V55,$U55)))=Milestones!$AB$141),UPPER(TEXT(EDATE($D55,Milestones!$AA$141),"dd mmm yy"))&amp;" "&amp;Milestones!$AB$141&amp;" "&amp;Milestones!$AC$141&amp;";  ","")&amp;IF(AND(EDATE($D55,Milestones!$AA$142)&lt;=AsOfDate,IF($R55=0,$X55,IF(AND($T55&lt;&gt;"",EDATE($D55,Milestones!$AA$142)&gt;=$T55),$W55,IF(AND($S55&lt;&gt;"",EDATE($D55,Milestones!$AA$142)&gt;=$S55),$V55,$U55)))=Milestones!$AB$142),UPPER(TEXT(EDATE($D55,Milestones!$AA$142),"dd mmm yy"))&amp;" "&amp;Milestones!$AB$142&amp;" "&amp;Milestones!$AC$142&amp;";  ","")&amp;IF(AND(EDATE($D55,Milestones!$AA$143)&lt;=AsOfDate,IF($R55=0,$X55,IF(AND($T55&lt;&gt;"",EDATE($D55,Milestones!$AA$143)&gt;=$T55),$W55,IF(AND($S55&lt;&gt;"",EDATE($D55,Milestones!$AA$143)&gt;=$S55),$V55,$U55)))=Milestones!$AB$143),UPPER(TEXT(EDATE($D55,Milestones!$AA$143),"dd mmm yy"))&amp;" "&amp;Milestones!$AB$143&amp;" "&amp;Milestones!$AC$143&amp;";  ","")&amp;IF(AND(EDATE($D55,Milestones!$AA$144)&lt;=AsOfDate,IF($R55=0,$X55,IF(AND($T55&lt;&gt;"",EDATE($D55,Milestones!$AA$144)&gt;=$T55),$W55,IF(AND($S55&lt;&gt;"",EDATE($D55,Milestones!$AA$144)&gt;=$S55),$V55,$U55)))=Milestones!$AB$144),UPPER(TEXT(EDATE($D55,Milestones!$AA$144),"dd mmm yy"))&amp;" "&amp;Milestones!$AB$144&amp;" "&amp;Milestones!$AC$144&amp;";  ","")&amp;IF(AND(EDATE($D55,Milestones!$AA$145)&lt;=AsOfDate,IF($R55=0,$X55,IF(AND($T55&lt;&gt;"",EDATE($D55,Milestones!$AA$145)&gt;=$T55),$W55,IF(AND($S55&lt;&gt;"",EDATE($D55,Milestones!$AA$145)&gt;=$S55),$V55,$U55)))=Milestones!$AB$145),UPPER(TEXT(EDATE($D55,Milestones!$AA$145),"dd mmm yy"))&amp;" "&amp;Milestones!$AB$145&amp;" "&amp;Milestones!$AC$145&amp;";  ","")&amp;IF(AND(EDATE($D55,Milestones!$AA$146)&lt;=AsOfDate,IF($R55=0,$X55,IF(AND($T55&lt;&gt;"",EDATE($D55,Milestones!$AA$146)&gt;=$T55),$W55,IF(AND($S55&lt;&gt;"",EDATE($D55,Milestones!$AA$146)&gt;=$S55),$V55,$U55)))=Milestones!$AB$146),UPPER(TEXT(EDATE($D55,Milestones!$AA$146),"dd mmm yy"))&amp;" "&amp;Milestones!$AB$146&amp;" "&amp;Milestones!$AC$146&amp;";  ","")&amp;IF(AND(EDATE($D55,Milestones!$AA$147)&lt;=AsOfDate,IF($R55=0,$X55,IF(AND($T55&lt;&gt;"",EDATE($D55,Milestones!$AA$147)&gt;=$T55),$W55,IF(AND($S55&lt;&gt;"",EDATE($D55,Milestones!$AA$147)&gt;=$S55),$V55,$U55)))=Milestones!$AB$147),UPPER(TEXT(EDATE($D55,Milestones!$AA$147),"dd mmm yy"))&amp;" "&amp;Milestones!$AB$147&amp;" "&amp;Milestones!$AC$147&amp;";  ","")&amp;IF(AND(EDATE($D55,Milestones!$AA$148)&lt;=AsOfDate,IF($R55=0,$X55,IF(AND($T55&lt;&gt;"",EDATE($D55,Milestones!$AA$148)&gt;=$T55),$W55,IF(AND($S55&lt;&gt;"",EDATE($D55,Milestones!$AA$148)&gt;=$S55),$V55,$U55)))=Milestones!$AB$148),UPPER(TEXT(EDATE($D55,Milestones!$AA$148),"dd mmm yy"))&amp;" "&amp;Milestones!$AB$148&amp;" "&amp;Milestones!$AC$148&amp;";  ","")&amp;IF(AND(EDATE($D55,Milestones!$AA$149)&lt;=AsOfDate,IF($R55=0,$X55,IF(AND($T55&lt;&gt;"",EDATE($D55,Milestones!$AA$149)&gt;=$T55),$W55,IF(AND($S55&lt;&gt;"",EDATE($D55,Milestones!$AA$149)&gt;=$S55),$V55,$U55)))=Milestones!$AB$149),UPPER(TEXT(EDATE($D55,Milestones!$AA$149),"dd mmm yy"))&amp;" "&amp;Milestones!$AB$149&amp;" "&amp;Milestones!$AC$149&amp;";  ","")&amp;IF(AND(EDATE($D55,Milestones!$AA$150)&lt;=AsOfDate,IF($R55=0,$X55,IF(AND($T55&lt;&gt;"",EDATE($D55,Milestones!$AA$150)&gt;=$T55),$W55,IF(AND($S55&lt;&gt;"",EDATE($D55,Milestones!$AA$150)&gt;=$S55),$V55,$U55)))=Milestones!$AB$150),UPPER(TEXT(EDATE($D55,Milestones!$AA$150),"dd mmm yy"))&amp;" "&amp;Milestones!$AB$150&amp;" "&amp;Milestones!$AC$150&amp;";  ","")&amp;IF(AND(EDATE($D55,Milestones!$AA$151)&lt;=AsOfDate,IF($R55=0,$X55,IF(AND($T55&lt;&gt;"",EDATE($D55,Milestones!$AA$151)&gt;=$T55),$W55,IF(AND($S55&lt;&gt;"",EDATE($D55,Milestones!$AA$151)&gt;=$S55),$V55,$U55)))=Milestones!$AB$151),UPPER(TEXT(EDATE($D55,Milestones!$AA$151),"dd mmm yy"))&amp;" "&amp;Milestones!$AB$151&amp;" "&amp;Milestones!$AC$151&amp;";  ","")&amp;IF(AND(EDATE($D55,Milestones!$AA$152)&lt;=AsOfDate,IF($R55=0,$X55,IF(AND($T55&lt;&gt;"",EDATE($D55,Milestones!$AA$152)&gt;=$T55),$W55,IF(AND($S55&lt;&gt;"",EDATE($D55,Milestones!$AA$152)&gt;=$S55),$V55,$U55)))=Milestones!$AB$152),UPPER(TEXT(EDATE($D55,Milestones!$AA$152),"dd mmm yy"))&amp;" "&amp;Milestones!$AB$152&amp;" "&amp;Milestones!$AC$152&amp;";  ","")&amp;IF(AND(EDATE($D55,Milestones!$AA$153)&lt;=AsOfDate,IF($R55=0,$X55,IF(AND($T55&lt;&gt;"",EDATE($D55,Milestones!$AA$153)&gt;=$T55),$W55,IF(AND($S55&lt;&gt;"",EDATE($D55,Milestones!$AA$153)&gt;=$S55),$V55,$U55)))=Milestones!$AB$153),UPPER(TEXT(EDATE($D55,Milestones!$AA$153),"dd mmm yy"))&amp;" "&amp;Milestones!$AB$153&amp;" "&amp;Milestones!$AC$153&amp;";  ","")&amp;IF(AND(EDATE($D55,Milestones!$AA$154)&lt;=AsOfDate,IF($R55=0,$X55,IF(AND($T55&lt;&gt;"",EDATE($D55,Milestones!$AA$154)&gt;=$T55),$W55,IF(AND($S55&lt;&gt;"",EDATE($D55,Milestones!$AA$154)&gt;=$S55),$V55,$U55)))=Milestones!$AB$154),UPPER(TEXT(EDATE($D55,Milestones!$AA$154),"dd mmm yy"))&amp;" "&amp;Milestones!$AB$154&amp;" "&amp;Milestones!$AC$154&amp;";  ","")&amp;IF(AND(EDATE($D55,Milestones!$AA$155)&lt;=AsOfDate,IF($R55=0,$X55,IF(AND($T55&lt;&gt;"",EDATE($D55,Milestones!$AA$155)&gt;=$T55),$W55,IF(AND($S55&lt;&gt;"",EDATE($D55,Milestones!$AA$155)&gt;=$S55),$V55,$U55)))=Milestones!$AB$155),UPPER(TEXT(EDATE($D55,Milestones!$AA$155),"dd mmm yy"))&amp;" "&amp;Milestones!$AB$155&amp;" "&amp;Milestones!$AC$155&amp;";  ","")&amp;IF(AND(EDATE($D55,Milestones!$AA$156)&lt;=AsOfDate,IF($R55=0,$X55,IF(AND($T55&lt;&gt;"",EDATE($D55,Milestones!$AA$156)&gt;=$T55),$W55,IF(AND($S55&lt;&gt;"",EDATE($D55,Milestones!$AA$156)&gt;=$S55),$V55,$U55)))=Milestones!$AB$156),UPPER(TEXT(EDATE($D55,Milestones!$AA$156),"dd mmm yy"))&amp;" "&amp;Milestones!$AB$156&amp;" "&amp;Milestones!$AC$156&amp;";  ","")&amp;IF(AND(EDATE($D55,Milestones!$AA$157)&lt;=AsOfDate,IF($R55=0,$X55,IF(AND($T55&lt;&gt;"",EDATE($D55,Milestones!$AA$157)&gt;=$T55),$W55,IF(AND($S55&lt;&gt;"",EDATE($D55,Milestones!$AA$157)&gt;=$S55),$V55,$U55)))=Milestones!$AB$157),UPPER(TEXT(EDATE($D55,Milestones!$AA$157),"dd mmm yy"))&amp;" "&amp;Milestones!$AB$157&amp;" "&amp;Milestones!$AC$157&amp;";  ","")&amp;IF(AND(EDATE($D55,Milestones!$AA$158)&lt;=AsOfDate,IF($R55=0,$X55,IF(AND($T55&lt;&gt;"",EDATE($D55,Milestones!$AA$158)&gt;=$T55),$W55,IF(AND($S55&lt;&gt;"",EDATE($D55,Milestones!$AA$158)&gt;=$S55),$V55,$U55)))=Milestones!$AB$158),UPPER(TEXT(EDATE($D55,Milestones!$AA$158),"dd mmm yy"))&amp;" "&amp;Milestones!$AB$158&amp;" "&amp;Milestones!$AC$158&amp;";  ","")&amp;IF(AND(EDATE($D55,Milestones!$AA$159)&lt;=AsOfDate,IF($R55=0,$X55,IF(AND($T55&lt;&gt;"",EDATE($D55,Milestones!$AA$159)&gt;=$T55),$W55,IF(AND($S55&lt;&gt;"",EDATE($D55,Milestones!$AA$159)&gt;=$S55),$V55,$U55)))=Milestones!$AB$159),UPPER(TEXT(EDATE($D55,Milestones!$AA$159),"dd mmm yy"))&amp;" "&amp;Milestones!$AB$159&amp;" "&amp;Milestones!$AC$159&amp;";  ",""))</f>
        <v/>
      </c>
      <c r="P55" s="0" t="str">
        <f aca="false">IF(OR($A55="",$D55=""),"",IF(AND(EDATE($D55,Milestones!$AA$160)&lt;=AsOfDate,IF($R55=0,$X55,IF(AND($T55&lt;&gt;"",EDATE($D55,Milestones!$AA$160)&gt;=$T55),$W55,IF(AND($S55&lt;&gt;"",EDATE($D55,Milestones!$AA$160)&gt;=$S55),$V55,$U55)))=Milestones!$AB$160),UPPER(TEXT(EDATE($D55,Milestones!$AA$160),"dd mmm yy"))&amp;" "&amp;Milestones!$AB$160&amp;" "&amp;Milestones!$AC$160&amp;";  ","")&amp;IF(AND(EDATE($D55,Milestones!$AA$161)&lt;=AsOfDate,IF($R55=0,$X55,IF(AND($T55&lt;&gt;"",EDATE($D55,Milestones!$AA$161)&gt;=$T55),$W55,IF(AND($S55&lt;&gt;"",EDATE($D55,Milestones!$AA$161)&gt;=$S55),$V55,$U55)))=Milestones!$AB$161),UPPER(TEXT(EDATE($D55,Milestones!$AA$161),"dd mmm yy"))&amp;" "&amp;Milestones!$AB$161&amp;" "&amp;Milestones!$AC$161&amp;";  ","")&amp;IF(AND(EDATE($D55,Milestones!$AA$162)&lt;=AsOfDate,IF($R55=0,$X55,IF(AND($T55&lt;&gt;"",EDATE($D55,Milestones!$AA$162)&gt;=$T55),$W55,IF(AND($S55&lt;&gt;"",EDATE($D55,Milestones!$AA$162)&gt;=$S55),$V55,$U55)))=Milestones!$AB$162),UPPER(TEXT(EDATE($D55,Milestones!$AA$162),"dd mmm yy"))&amp;" "&amp;Milestones!$AB$162&amp;" "&amp;Milestones!$AC$162&amp;";  ","")&amp;IF(AND(EDATE($D55,Milestones!$AA$163)&lt;=AsOfDate,IF($R55=0,$X55,IF(AND($T55&lt;&gt;"",EDATE($D55,Milestones!$AA$163)&gt;=$T55),$W55,IF(AND($S55&lt;&gt;"",EDATE($D55,Milestones!$AA$163)&gt;=$S55),$V55,$U55)))=Milestones!$AB$163),UPPER(TEXT(EDATE($D55,Milestones!$AA$163),"dd mmm yy"))&amp;" "&amp;Milestones!$AB$163&amp;" "&amp;Milestones!$AC$163&amp;";  ","")&amp;IF(AND(EDATE($D55,Milestones!$AA$164)&lt;=AsOfDate,IF($R55=0,$X55,IF(AND($T55&lt;&gt;"",EDATE($D55,Milestones!$AA$164)&gt;=$T55),$W55,IF(AND($S55&lt;&gt;"",EDATE($D55,Milestones!$AA$164)&gt;=$S55),$V55,$U55)))=Milestones!$AB$164),UPPER(TEXT(EDATE($D55,Milestones!$AA$164),"dd mmm yy"))&amp;" "&amp;Milestones!$AB$164&amp;" "&amp;Milestones!$AC$164&amp;";  ","")&amp;IF(AND(EDATE($D55,Milestones!$AA$165)&lt;=AsOfDate,IF($R55=0,$X55,IF(AND($T55&lt;&gt;"",EDATE($D55,Milestones!$AA$165)&gt;=$T55),$W55,IF(AND($S55&lt;&gt;"",EDATE($D55,Milestones!$AA$165)&gt;=$S55),$V55,$U55)))=Milestones!$AB$165),UPPER(TEXT(EDATE($D55,Milestones!$AA$165),"dd mmm yy"))&amp;" "&amp;Milestones!$AB$165&amp;" "&amp;Milestones!$AC$165&amp;";  ","")&amp;IF(AND(EDATE($D55,Milestones!$AA$166)&lt;=AsOfDate,IF($R55=0,$X55,IF(AND($T55&lt;&gt;"",EDATE($D55,Milestones!$AA$166)&gt;=$T55),$W55,IF(AND($S55&lt;&gt;"",EDATE($D55,Milestones!$AA$166)&gt;=$S55),$V55,$U55)))=Milestones!$AB$166),UPPER(TEXT(EDATE($D55,Milestones!$AA$166),"dd mmm yy"))&amp;" "&amp;Milestones!$AB$166&amp;" "&amp;Milestones!$AC$166&amp;";  ","")&amp;IF(AND(EDATE($D55,Milestones!$AA$167)&lt;=AsOfDate,IF($R55=0,$X55,IF(AND($T55&lt;&gt;"",EDATE($D55,Milestones!$AA$167)&gt;=$T55),$W55,IF(AND($S55&lt;&gt;"",EDATE($D55,Milestones!$AA$167)&gt;=$S55),$V55,$U55)))=Milestones!$AB$167),UPPER(TEXT(EDATE($D55,Milestones!$AA$167),"dd mmm yy"))&amp;" "&amp;Milestones!$AB$167&amp;" "&amp;Milestones!$AC$167&amp;";  ","")&amp;IF(AND(EDATE($D55,Milestones!$AA$168)&lt;=AsOfDate,IF($R55=0,$X55,IF(AND($T55&lt;&gt;"",EDATE($D55,Milestones!$AA$168)&gt;=$T55),$W55,IF(AND($S55&lt;&gt;"",EDATE($D55,Milestones!$AA$168)&gt;=$S55),$V55,$U55)))=Milestones!$AB$168),UPPER(TEXT(EDATE($D55,Milestones!$AA$168),"dd mmm yy"))&amp;" "&amp;Milestones!$AB$168&amp;" "&amp;Milestones!$AC$168&amp;";  ","")&amp;IF(AND(EDATE($D55,Milestones!$AA$169)&lt;=AsOfDate,IF($R55=0,$X55,IF(AND($T55&lt;&gt;"",EDATE($D55,Milestones!$AA$169)&gt;=$T55),$W55,IF(AND($S55&lt;&gt;"",EDATE($D55,Milestones!$AA$169)&gt;=$S55),$V55,$U55)))=Milestones!$AB$169),UPPER(TEXT(EDATE($D55,Milestones!$AA$169),"dd mmm yy"))&amp;" "&amp;Milestones!$AB$169&amp;" "&amp;Milestones!$AC$169&amp;";  ","")&amp;IF(AND(EDATE($D55,Milestones!$AA$170)&lt;=AsOfDate,IF($R55=0,$X55,IF(AND($T55&lt;&gt;"",EDATE($D55,Milestones!$AA$170)&gt;=$T55),$W55,IF(AND($S55&lt;&gt;"",EDATE($D55,Milestones!$AA$170)&gt;=$S55),$V55,$U55)))=Milestones!$AB$170),UPPER(TEXT(EDATE($D55,Milestones!$AA$170),"dd mmm yy"))&amp;" "&amp;Milestones!$AB$170&amp;" "&amp;Milestones!$AC$170&amp;";  ","")&amp;IF(AND(EDATE($D55,Milestones!$AA$171)&lt;=AsOfDate,IF($R55=0,$X55,IF(AND($T55&lt;&gt;"",EDATE($D55,Milestones!$AA$171)&gt;=$T55),$W55,IF(AND($S55&lt;&gt;"",EDATE($D55,Milestones!$AA$171)&gt;=$S55),$V55,$U55)))=Milestones!$AB$171),UPPER(TEXT(EDATE($D55,Milestones!$AA$171),"dd mmm yy"))&amp;" "&amp;Milestones!$AB$171&amp;" "&amp;Milestones!$AC$171&amp;";  ","")&amp;IF(AND(EDATE($D55,Milestones!$AA$172)&lt;=AsOfDate,IF($R55=0,$X55,IF(AND($T55&lt;&gt;"",EDATE($D55,Milestones!$AA$172)&gt;=$T55),$W55,IF(AND($S55&lt;&gt;"",EDATE($D55,Milestones!$AA$172)&gt;=$S55),$V55,$U55)))=Milestones!$AB$172),UPPER(TEXT(EDATE($D55,Milestones!$AA$172),"dd mmm yy"))&amp;" "&amp;Milestones!$AB$172&amp;" "&amp;Milestones!$AC$172&amp;";  ","")&amp;IF(AND(EDATE($D55,Milestones!$AA$173)&lt;=AsOfDate,IF($R55=0,$X55,IF(AND($T55&lt;&gt;"",EDATE($D55,Milestones!$AA$173)&gt;=$T55),$W55,IF(AND($S55&lt;&gt;"",EDATE($D55,Milestones!$AA$173)&gt;=$S55),$V55,$U55)))=Milestones!$AB$173),UPPER(TEXT(EDATE($D55,Milestones!$AA$173),"dd mmm yy"))&amp;" "&amp;Milestones!$AB$173&amp;" "&amp;Milestones!$AC$173&amp;";  ","")&amp;IF(AND(EDATE($D55,Milestones!$AA$174)&lt;=AsOfDate,IF($R55=0,$X55,IF(AND($T55&lt;&gt;"",EDATE($D55,Milestones!$AA$174)&gt;=$T55),$W55,IF(AND($S55&lt;&gt;"",EDATE($D55,Milestones!$AA$174)&gt;=$S55),$V55,$U55)))=Milestones!$AB$174),UPPER(TEXT(EDATE($D55,Milestones!$AA$174),"dd mmm yy"))&amp;" "&amp;Milestones!$AB$174&amp;" "&amp;Milestones!$AC$174&amp;";  ","")&amp;IF(AND(EDATE($D55,Milestones!$AA$175)&lt;=AsOfDate,IF($R55=0,$X55,IF(AND($T55&lt;&gt;"",EDATE($D55,Milestones!$AA$175)&gt;=$T55),$W55,IF(AND($S55&lt;&gt;"",EDATE($D55,Milestones!$AA$175)&gt;=$S55),$V55,$U55)))=Milestones!$AB$175),UPPER(TEXT(EDATE($D55,Milestones!$AA$175),"dd mmm yy"))&amp;" "&amp;Milestones!$AB$175&amp;" "&amp;Milestones!$AC$175&amp;";  ","")&amp;IF(AND(EDATE($D55,Milestones!$AA$176)&lt;=AsOfDate,IF($R55=0,$X55,IF(AND($T55&lt;&gt;"",EDATE($D55,Milestones!$AA$176)&gt;=$T55),$W55,IF(AND($S55&lt;&gt;"",EDATE($D55,Milestones!$AA$176)&gt;=$S55),$V55,$U55)))=Milestones!$AB$176),UPPER(TEXT(EDATE($D55,Milestones!$AA$176),"dd mmm yy"))&amp;" "&amp;Milestones!$AB$176&amp;" "&amp;Milestones!$AC$176&amp;";  ","")&amp;IF(AND(EDATE($D55,Milestones!$AA$177)&lt;=AsOfDate,IF($R55=0,$X55,IF(AND($T55&lt;&gt;"",EDATE($D55,Milestones!$AA$177)&gt;=$T55),$W55,IF(AND($S55&lt;&gt;"",EDATE($D55,Milestones!$AA$177)&gt;=$S55),$V55,$U55)))=Milestones!$AB$177),UPPER(TEXT(EDATE($D55,Milestones!$AA$177),"dd mmm yy"))&amp;" "&amp;Milestones!$AB$177&amp;" "&amp;Milestones!$AC$177&amp;";  ","")&amp;IF(AND(EDATE($D55,Milestones!$AA$178)&lt;=AsOfDate,IF($R55=0,$X55,IF(AND($T55&lt;&gt;"",EDATE($D55,Milestones!$AA$178)&gt;=$T55),$W55,IF(AND($S55&lt;&gt;"",EDATE($D55,Milestones!$AA$178)&gt;=$S55),$V55,$U55)))=Milestones!$AB$178),UPPER(TEXT(EDATE($D55,Milestones!$AA$178),"dd mmm yy"))&amp;" "&amp;Milestones!$AB$178&amp;" "&amp;Milestones!$AC$178&amp;";  ","")&amp;IF(AND(EDATE($D55,Milestones!$AA$179)&lt;=AsOfDate,IF($R55=0,$X55,IF(AND($T55&lt;&gt;"",EDATE($D55,Milestones!$AA$179)&gt;=$T55),$W55,IF(AND($S55&lt;&gt;"",EDATE($D55,Milestones!$AA$179)&gt;=$S55),$V55,$U55)))=Milestones!$AB$179),UPPER(TEXT(EDATE($D55,Milestones!$AA$179),"dd mmm yy"))&amp;" "&amp;Milestones!$AB$179&amp;" "&amp;Milestones!$AC$179&amp;";  ",""))</f>
        <v/>
      </c>
      <c r="Q55" s="0" t="str">
        <f aca="false">IF(OR($A55="",$D55=""),"",IF(AND(EDATE($D55,Milestones!$AA$180)&lt;=AsOfDate,IF($R55=0,$X55,IF(AND($T55&lt;&gt;"",EDATE($D55,Milestones!$AA$180)&gt;=$T55),$W55,IF(AND($S55&lt;&gt;"",EDATE($D55,Milestones!$AA$180)&gt;=$S55),$V55,$U55)))=Milestones!$AB$180),UPPER(TEXT(EDATE($D55,Milestones!$AA$180),"dd mmm yy"))&amp;" "&amp;Milestones!$AB$180&amp;" "&amp;Milestones!$AC$180&amp;";  ","")&amp;IF(AND(EDATE($D55,Milestones!$AA$181)&lt;=AsOfDate,IF($R55=0,$X55,IF(AND($T55&lt;&gt;"",EDATE($D55,Milestones!$AA$181)&gt;=$T55),$W55,IF(AND($S55&lt;&gt;"",EDATE($D55,Milestones!$AA$181)&gt;=$S55),$V55,$U55)))=Milestones!$AB$181),UPPER(TEXT(EDATE($D55,Milestones!$AA$181),"dd mmm yy"))&amp;" "&amp;Milestones!$AB$181&amp;" "&amp;Milestones!$AC$181&amp;";  ","")&amp;IF(AND(EDATE($D55,Milestones!$AA$182)&lt;=AsOfDate,IF($R55=0,$X55,IF(AND($T55&lt;&gt;"",EDATE($D55,Milestones!$AA$182)&gt;=$T55),$W55,IF(AND($S55&lt;&gt;"",EDATE($D55,Milestones!$AA$182)&gt;=$S55),$V55,$U55)))=Milestones!$AB$182),UPPER(TEXT(EDATE($D55,Milestones!$AA$182),"dd mmm yy"))&amp;" "&amp;Milestones!$AB$182&amp;" "&amp;Milestones!$AC$182&amp;";  ","")&amp;IF(AND(EDATE($D55,Milestones!$AA$183)&lt;=AsOfDate,IF($R55=0,$X55,IF(AND($T55&lt;&gt;"",EDATE($D55,Milestones!$AA$183)&gt;=$T55),$W55,IF(AND($S55&lt;&gt;"",EDATE($D55,Milestones!$AA$183)&gt;=$S55),$V55,$U55)))=Milestones!$AB$183),UPPER(TEXT(EDATE($D55,Milestones!$AA$183),"dd mmm yy"))&amp;" "&amp;Milestones!$AB$183&amp;" "&amp;Milestones!$AC$183&amp;";  ","")&amp;IF(AND(EDATE($D55,Milestones!$AA$184)&lt;=AsOfDate,IF($R55=0,$X55,IF(AND($T55&lt;&gt;"",EDATE($D55,Milestones!$AA$184)&gt;=$T55),$W55,IF(AND($S55&lt;&gt;"",EDATE($D55,Milestones!$AA$184)&gt;=$S55),$V55,$U55)))=Milestones!$AB$184),UPPER(TEXT(EDATE($D55,Milestones!$AA$184),"dd mmm yy"))&amp;" "&amp;Milestones!$AB$184&amp;" "&amp;Milestones!$AC$184&amp;";  ","")&amp;IF(AND(EDATE($D55,Milestones!$AA$185)&lt;=AsOfDate,IF($R55=0,$X55,IF(AND($T55&lt;&gt;"",EDATE($D55,Milestones!$AA$185)&gt;=$T55),$W55,IF(AND($S55&lt;&gt;"",EDATE($D55,Milestones!$AA$185)&gt;=$S55),$V55,$U55)))=Milestones!$AB$185),UPPER(TEXT(EDATE($D55,Milestones!$AA$185),"dd mmm yy"))&amp;" "&amp;Milestones!$AB$185&amp;" "&amp;Milestones!$AC$185&amp;";  ","")&amp;IF(AND(EDATE($D55,Milestones!$AA$186)&lt;=AsOfDate,IF($R55=0,$X55,IF(AND($T55&lt;&gt;"",EDATE($D55,Milestones!$AA$186)&gt;=$T55),$W55,IF(AND($S55&lt;&gt;"",EDATE($D55,Milestones!$AA$186)&gt;=$S55),$V55,$U55)))=Milestones!$AB$186),UPPER(TEXT(EDATE($D55,Milestones!$AA$186),"dd mmm yy"))&amp;" "&amp;Milestones!$AB$186&amp;" "&amp;Milestones!$AC$186&amp;";  ","")&amp;IF(AND(EDATE($D55,Milestones!$AA$187)&lt;=AsOfDate,IF($R55=0,$X55,IF(AND($T55&lt;&gt;"",EDATE($D55,Milestones!$AA$187)&gt;=$T55),$W55,IF(AND($S55&lt;&gt;"",EDATE($D55,Milestones!$AA$187)&gt;=$S55),$V55,$U55)))=Milestones!$AB$187),UPPER(TEXT(EDATE($D55,Milestones!$AA$187),"dd mmm yy"))&amp;" "&amp;Milestones!$AB$187&amp;" "&amp;Milestones!$AC$187&amp;";  ","")&amp;IF(AND(EDATE($D55,Milestones!$AA$188)&lt;=AsOfDate,IF($R55=0,$X55,IF(AND($T55&lt;&gt;"",EDATE($D55,Milestones!$AA$188)&gt;=$T55),$W55,IF(AND($S55&lt;&gt;"",EDATE($D55,Milestones!$AA$188)&gt;=$S55),$V55,$U55)))=Milestones!$AB$188),UPPER(TEXT(EDATE($D55,Milestones!$AA$188),"dd mmm yy"))&amp;" "&amp;Milestones!$AB$188&amp;" "&amp;Milestones!$AC$188&amp;";  ","")&amp;IF(AND(EDATE($D55,Milestones!$AA$189)&lt;=AsOfDate,IF($R55=0,$X55,IF(AND($T55&lt;&gt;"",EDATE($D55,Milestones!$AA$189)&gt;=$T55),$W55,IF(AND($S55&lt;&gt;"",EDATE($D55,Milestones!$AA$189)&gt;=$S55),$V55,$U55)))=Milestones!$AB$189),UPPER(TEXT(EDATE($D55,Milestones!$AA$189),"dd mmm yy"))&amp;" "&amp;Milestones!$AB$189&amp;" "&amp;Milestones!$AC$189&amp;";  ","")&amp;IF(AND(EDATE($D55,Milestones!$AA$190)&lt;=AsOfDate,IF($R55=0,$X55,IF(AND($T55&lt;&gt;"",EDATE($D55,Milestones!$AA$190)&gt;=$T55),$W55,IF(AND($S55&lt;&gt;"",EDATE($D55,Milestones!$AA$190)&gt;=$S55),$V55,$U55)))=Milestones!$AB$190),UPPER(TEXT(EDATE($D55,Milestones!$AA$190),"dd mmm yy"))&amp;" "&amp;Milestones!$AB$190&amp;" "&amp;Milestones!$AC$190&amp;";  ","")&amp;IF(AND(EDATE($D55,Milestones!$AA$191)&lt;=AsOfDate,IF($R55=0,$X55,IF(AND($T55&lt;&gt;"",EDATE($D55,Milestones!$AA$191)&gt;=$T55),$W55,IF(AND($S55&lt;&gt;"",EDATE($D55,Milestones!$AA$191)&gt;=$S55),$V55,$U55)))=Milestones!$AB$191),UPPER(TEXT(EDATE($D55,Milestones!$AA$191),"dd mmm yy"))&amp;" "&amp;Milestones!$AB$191&amp;" "&amp;Milestones!$AC$191&amp;";  ","")&amp;IF(AND(EDATE($D55,Milestones!$AA$192)&lt;=AsOfDate,IF($R55=0,$X55,IF(AND($T55&lt;&gt;"",EDATE($D55,Milestones!$AA$192)&gt;=$T55),$W55,IF(AND($S55&lt;&gt;"",EDATE($D55,Milestones!$AA$192)&gt;=$S55),$V55,$U55)))=Milestones!$AB$192),UPPER(TEXT(EDATE($D55,Milestones!$AA$192),"dd mmm yy"))&amp;" "&amp;Milestones!$AB$192&amp;" "&amp;Milestones!$AC$192&amp;";  ","")&amp;IF(AND(EDATE($D55,Milestones!$AA$193)&lt;=AsOfDate,IF($R55=0,$X55,IF(AND($T55&lt;&gt;"",EDATE($D55,Milestones!$AA$193)&gt;=$T55),$W55,IF(AND($S55&lt;&gt;"",EDATE($D55,Milestones!$AA$193)&gt;=$S55),$V55,$U55)))=Milestones!$AB$193),UPPER(TEXT(EDATE($D55,Milestones!$AA$193),"dd mmm yy"))&amp;" "&amp;Milestones!$AB$193&amp;" "&amp;Milestones!$AC$193&amp;";  ","")&amp;IF(AND(EDATE($D55,Milestones!$AA$194)&lt;=AsOfDate,IF($R55=0,$X55,IF(AND($T55&lt;&gt;"",EDATE($D55,Milestones!$AA$194)&gt;=$T55),$W55,IF(AND($S55&lt;&gt;"",EDATE($D55,Milestones!$AA$194)&gt;=$S55),$V55,$U55)))=Milestones!$AB$194),UPPER(TEXT(EDATE($D55,Milestones!$AA$194),"dd mmm yy"))&amp;" "&amp;Milestones!$AB$194&amp;" "&amp;Milestones!$AC$194&amp;";  ","")&amp;IF(AND(EDATE($D55,Milestones!$AA$195)&lt;=AsOfDate,IF($R55=0,$X55,IF(AND($T55&lt;&gt;"",EDATE($D55,Milestones!$AA$195)&gt;=$T55),$W55,IF(AND($S55&lt;&gt;"",EDATE($D55,Milestones!$AA$195)&gt;=$S55),$V55,$U55)))=Milestones!$AB$195),UPPER(TEXT(EDATE($D55,Milestones!$AA$195),"dd mmm yy"))&amp;" "&amp;Milestones!$AB$195&amp;" "&amp;Milestones!$AC$195&amp;";  ","")&amp;IF(AND(EDATE($D55,Milestones!$AA$196)&lt;=AsOfDate,IF($R55=0,$X55,IF(AND($T55&lt;&gt;"",EDATE($D55,Milestones!$AA$196)&gt;=$T55),$W55,IF(AND($S55&lt;&gt;"",EDATE($D55,Milestones!$AA$196)&gt;=$S55),$V55,$U55)))=Milestones!$AB$196),UPPER(TEXT(EDATE($D55,Milestones!$AA$196),"dd mmm yy"))&amp;" "&amp;Milestones!$AB$196&amp;" "&amp;Milestones!$AC$196&amp;";  ","")&amp;IF(AND(EDATE($D55,Milestones!$AA$197)&lt;=AsOfDate,IF($R55=0,$X55,IF(AND($T55&lt;&gt;"",EDATE($D55,Milestones!$AA$197)&gt;=$T55),$W55,IF(AND($S55&lt;&gt;"",EDATE($D55,Milestones!$AA$197)&gt;=$S55),$V55,$U55)))=Milestones!$AB$197),UPPER(TEXT(EDATE($D55,Milestones!$AA$197),"dd mmm yy"))&amp;" "&amp;Milestones!$AB$197&amp;" "&amp;Milestones!$AC$197&amp;";  ","")&amp;IF(AND(EDATE($D55,Milestones!$AA$198)&lt;=AsOfDate,IF($R55=0,$X55,IF(AND($T55&lt;&gt;"",EDATE($D55,Milestones!$AA$198)&gt;=$T55),$W55,IF(AND($S55&lt;&gt;"",EDATE($D55,Milestones!$AA$198)&gt;=$S55),$V55,$U55)))=Milestones!$AB$198),UPPER(TEXT(EDATE($D55,Milestones!$AA$198),"dd mmm yy"))&amp;" "&amp;Milestones!$AB$198&amp;" "&amp;Milestones!$AC$198&amp;";  ","")&amp;IF(AND(EDATE($D55,Milestones!$AA$199)&lt;=AsOfDate,IF($R55=0,$X55,IF(AND($T55&lt;&gt;"",EDATE($D55,Milestones!$AA$199)&gt;=$T55),$W55,IF(AND($S55&lt;&gt;"",EDATE($D55,Milestones!$AA$199)&gt;=$S55),$V55,$U55)))=Milestones!$AB$199),UPPER(TEXT(EDATE($D55,Milestones!$AA$199),"dd mmm yy"))&amp;" "&amp;Milestones!$AB$199&amp;" "&amp;Milestones!$AC$199&amp;";  ",""))</f>
        <v/>
      </c>
      <c r="R55" s="33" t="n">
        <f aca="false">IF(Staff!$A55="","",Staff!$AI55)</f>
        <v>1</v>
      </c>
      <c r="S55" s="0" t="str">
        <f aca="false">IF(Staff!$A55="","",Staff!$AK55)</f>
        <v/>
      </c>
      <c r="T55" s="0" t="str">
        <f aca="false">IF(Staff!$A55="","",Staff!$AL55)</f>
        <v/>
      </c>
      <c r="U55" s="0" t="str">
        <f aca="false">IF(Staff!$A55="","",Staff!$AP55)</f>
        <v>FT</v>
      </c>
      <c r="V55" s="0" t="str">
        <f aca="false">IF(Staff!$A55="","",Staff!$AQ55)</f>
        <v/>
      </c>
      <c r="W55" s="0" t="str">
        <f aca="false">IF(Staff!$A55="","",Staff!$AR55)</f>
        <v/>
      </c>
      <c r="X55" s="0" t="str">
        <f aca="false">IF(Staff!$A55="","",Staff!$AS55)</f>
        <v>FT</v>
      </c>
    </row>
    <row r="56" customFormat="false" ht="15" hidden="false" customHeight="false" outlineLevel="0" collapsed="false">
      <c r="A56" s="19" t="str">
        <f aca="false">IF(Staff!$A56="","",Staff!$A56)</f>
        <v>Morgan</v>
      </c>
      <c r="B56" s="19" t="str">
        <f aca="false">IF(Staff!$A56="","",Staff!$B56)</f>
        <v>Palmer</v>
      </c>
      <c r="C56" s="19" t="str">
        <f aca="false">IF(Staff!$A56="","",Staff!$C56)</f>
        <v>Casual</v>
      </c>
      <c r="D56" s="17" t="n">
        <f aca="false">IF(Staff!$A56="","",Staff!$AH56)</f>
        <v>45579</v>
      </c>
      <c r="E56" s="20" t="n">
        <f aca="false">IF(Staff!$A56="","",Staff!$O56)</f>
        <v>0</v>
      </c>
      <c r="F56" s="19" t="n">
        <f aca="false">IF(E56="","",E56*HoursPerDay)</f>
        <v>0</v>
      </c>
      <c r="G56" s="20" t="n">
        <f aca="false">IF(Staff!$A56="","",Staff!$AE56)</f>
        <v>0</v>
      </c>
      <c r="H56" s="32" t="str">
        <f aca="false">IF($A56="","",I56&amp;J56&amp;K56&amp;L56&amp;M56&amp;N56&amp;O56&amp;P56&amp;Q56)</f>
        <v/>
      </c>
      <c r="I56" s="0" t="str">
        <f aca="false">IF(OR($A56="",$D56=""),"",IF(AND(EDATE($D56,Milestones!$AA$20)&lt;=AsOfDate,IF($R56=0,$X56,IF(AND($T56&lt;&gt;"",EDATE($D56,Milestones!$AA$20)&gt;=$T56),$W56,IF(AND($S56&lt;&gt;"",EDATE($D56,Milestones!$AA$20)&gt;=$S56),$V56,$U56)))=Milestones!$AB$20),UPPER(TEXT(EDATE($D56,Milestones!$AA$20),"dd mmm yy"))&amp;" "&amp;Milestones!$AB$20&amp;" "&amp;Milestones!$AC$20&amp;";  ","")&amp;IF(AND(EDATE($D56,Milestones!$AA$21)&lt;=AsOfDate,IF($R56=0,$X56,IF(AND($T56&lt;&gt;"",EDATE($D56,Milestones!$AA$21)&gt;=$T56),$W56,IF(AND($S56&lt;&gt;"",EDATE($D56,Milestones!$AA$21)&gt;=$S56),$V56,$U56)))=Milestones!$AB$21),UPPER(TEXT(EDATE($D56,Milestones!$AA$21),"dd mmm yy"))&amp;" "&amp;Milestones!$AB$21&amp;" "&amp;Milestones!$AC$21&amp;";  ","")&amp;IF(AND(EDATE($D56,Milestones!$AA$22)&lt;=AsOfDate,IF($R56=0,$X56,IF(AND($T56&lt;&gt;"",EDATE($D56,Milestones!$AA$22)&gt;=$T56),$W56,IF(AND($S56&lt;&gt;"",EDATE($D56,Milestones!$AA$22)&gt;=$S56),$V56,$U56)))=Milestones!$AB$22),UPPER(TEXT(EDATE($D56,Milestones!$AA$22),"dd mmm yy"))&amp;" "&amp;Milestones!$AB$22&amp;" "&amp;Milestones!$AC$22&amp;";  ","")&amp;IF(AND(EDATE($D56,Milestones!$AA$23)&lt;=AsOfDate,IF($R56=0,$X56,IF(AND($T56&lt;&gt;"",EDATE($D56,Milestones!$AA$23)&gt;=$T56),$W56,IF(AND($S56&lt;&gt;"",EDATE($D56,Milestones!$AA$23)&gt;=$S56),$V56,$U56)))=Milestones!$AB$23),UPPER(TEXT(EDATE($D56,Milestones!$AA$23),"dd mmm yy"))&amp;" "&amp;Milestones!$AB$23&amp;" "&amp;Milestones!$AC$23&amp;";  ","")&amp;IF(AND(EDATE($D56,Milestones!$AA$24)&lt;=AsOfDate,IF($R56=0,$X56,IF(AND($T56&lt;&gt;"",EDATE($D56,Milestones!$AA$24)&gt;=$T56),$W56,IF(AND($S56&lt;&gt;"",EDATE($D56,Milestones!$AA$24)&gt;=$S56),$V56,$U56)))=Milestones!$AB$24),UPPER(TEXT(EDATE($D56,Milestones!$AA$24),"dd mmm yy"))&amp;" "&amp;Milestones!$AB$24&amp;" "&amp;Milestones!$AC$24&amp;";  ","")&amp;IF(AND(EDATE($D56,Milestones!$AA$25)&lt;=AsOfDate,IF($R56=0,$X56,IF(AND($T56&lt;&gt;"",EDATE($D56,Milestones!$AA$25)&gt;=$T56),$W56,IF(AND($S56&lt;&gt;"",EDATE($D56,Milestones!$AA$25)&gt;=$S56),$V56,$U56)))=Milestones!$AB$25),UPPER(TEXT(EDATE($D56,Milestones!$AA$25),"dd mmm yy"))&amp;" "&amp;Milestones!$AB$25&amp;" "&amp;Milestones!$AC$25&amp;";  ","")&amp;IF(AND(EDATE($D56,Milestones!$AA$26)&lt;=AsOfDate,IF($R56=0,$X56,IF(AND($T56&lt;&gt;"",EDATE($D56,Milestones!$AA$26)&gt;=$T56),$W56,IF(AND($S56&lt;&gt;"",EDATE($D56,Milestones!$AA$26)&gt;=$S56),$V56,$U56)))=Milestones!$AB$26),UPPER(TEXT(EDATE($D56,Milestones!$AA$26),"dd mmm yy"))&amp;" "&amp;Milestones!$AB$26&amp;" "&amp;Milestones!$AC$26&amp;";  ","")&amp;IF(AND(EDATE($D56,Milestones!$AA$27)&lt;=AsOfDate,IF($R56=0,$X56,IF(AND($T56&lt;&gt;"",EDATE($D56,Milestones!$AA$27)&gt;=$T56),$W56,IF(AND($S56&lt;&gt;"",EDATE($D56,Milestones!$AA$27)&gt;=$S56),$V56,$U56)))=Milestones!$AB$27),UPPER(TEXT(EDATE($D56,Milestones!$AA$27),"dd mmm yy"))&amp;" "&amp;Milestones!$AB$27&amp;" "&amp;Milestones!$AC$27&amp;";  ","")&amp;IF(AND(EDATE($D56,Milestones!$AA$28)&lt;=AsOfDate,IF($R56=0,$X56,IF(AND($T56&lt;&gt;"",EDATE($D56,Milestones!$AA$28)&gt;=$T56),$W56,IF(AND($S56&lt;&gt;"",EDATE($D56,Milestones!$AA$28)&gt;=$S56),$V56,$U56)))=Milestones!$AB$28),UPPER(TEXT(EDATE($D56,Milestones!$AA$28),"dd mmm yy"))&amp;" "&amp;Milestones!$AB$28&amp;" "&amp;Milestones!$AC$28&amp;";  ","")&amp;IF(AND(EDATE($D56,Milestones!$AA$29)&lt;=AsOfDate,IF($R56=0,$X56,IF(AND($T56&lt;&gt;"",EDATE($D56,Milestones!$AA$29)&gt;=$T56),$W56,IF(AND($S56&lt;&gt;"",EDATE($D56,Milestones!$AA$29)&gt;=$S56),$V56,$U56)))=Milestones!$AB$29),UPPER(TEXT(EDATE($D56,Milestones!$AA$29),"dd mmm yy"))&amp;" "&amp;Milestones!$AB$29&amp;" "&amp;Milestones!$AC$29&amp;";  ","")&amp;IF(AND(EDATE($D56,Milestones!$AA$30)&lt;=AsOfDate,IF($R56=0,$X56,IF(AND($T56&lt;&gt;"",EDATE($D56,Milestones!$AA$30)&gt;=$T56),$W56,IF(AND($S56&lt;&gt;"",EDATE($D56,Milestones!$AA$30)&gt;=$S56),$V56,$U56)))=Milestones!$AB$30),UPPER(TEXT(EDATE($D56,Milestones!$AA$30),"dd mmm yy"))&amp;" "&amp;Milestones!$AB$30&amp;" "&amp;Milestones!$AC$30&amp;";  ","")&amp;IF(AND(EDATE($D56,Milestones!$AA$31)&lt;=AsOfDate,IF($R56=0,$X56,IF(AND($T56&lt;&gt;"",EDATE($D56,Milestones!$AA$31)&gt;=$T56),$W56,IF(AND($S56&lt;&gt;"",EDATE($D56,Milestones!$AA$31)&gt;=$S56),$V56,$U56)))=Milestones!$AB$31),UPPER(TEXT(EDATE($D56,Milestones!$AA$31),"dd mmm yy"))&amp;" "&amp;Milestones!$AB$31&amp;" "&amp;Milestones!$AC$31&amp;";  ","")&amp;IF(AND(EDATE($D56,Milestones!$AA$32)&lt;=AsOfDate,IF($R56=0,$X56,IF(AND($T56&lt;&gt;"",EDATE($D56,Milestones!$AA$32)&gt;=$T56),$W56,IF(AND($S56&lt;&gt;"",EDATE($D56,Milestones!$AA$32)&gt;=$S56),$V56,$U56)))=Milestones!$AB$32),UPPER(TEXT(EDATE($D56,Milestones!$AA$32),"dd mmm yy"))&amp;" "&amp;Milestones!$AB$32&amp;" "&amp;Milestones!$AC$32&amp;";  ","")&amp;IF(AND(EDATE($D56,Milestones!$AA$33)&lt;=AsOfDate,IF($R56=0,$X56,IF(AND($T56&lt;&gt;"",EDATE($D56,Milestones!$AA$33)&gt;=$T56),$W56,IF(AND($S56&lt;&gt;"",EDATE($D56,Milestones!$AA$33)&gt;=$S56),$V56,$U56)))=Milestones!$AB$33),UPPER(TEXT(EDATE($D56,Milestones!$AA$33),"dd mmm yy"))&amp;" "&amp;Milestones!$AB$33&amp;" "&amp;Milestones!$AC$33&amp;";  ","")&amp;IF(AND(EDATE($D56,Milestones!$AA$34)&lt;=AsOfDate,IF($R56=0,$X56,IF(AND($T56&lt;&gt;"",EDATE($D56,Milestones!$AA$34)&gt;=$T56),$W56,IF(AND($S56&lt;&gt;"",EDATE($D56,Milestones!$AA$34)&gt;=$S56),$V56,$U56)))=Milestones!$AB$34),UPPER(TEXT(EDATE($D56,Milestones!$AA$34),"dd mmm yy"))&amp;" "&amp;Milestones!$AB$34&amp;" "&amp;Milestones!$AC$34&amp;";  ","")&amp;IF(AND(EDATE($D56,Milestones!$AA$35)&lt;=AsOfDate,IF($R56=0,$X56,IF(AND($T56&lt;&gt;"",EDATE($D56,Milestones!$AA$35)&gt;=$T56),$W56,IF(AND($S56&lt;&gt;"",EDATE($D56,Milestones!$AA$35)&gt;=$S56),$V56,$U56)))=Milestones!$AB$35),UPPER(TEXT(EDATE($D56,Milestones!$AA$35),"dd mmm yy"))&amp;" "&amp;Milestones!$AB$35&amp;" "&amp;Milestones!$AC$35&amp;";  ","")&amp;IF(AND(EDATE($D56,Milestones!$AA$36)&lt;=AsOfDate,IF($R56=0,$X56,IF(AND($T56&lt;&gt;"",EDATE($D56,Milestones!$AA$36)&gt;=$T56),$W56,IF(AND($S56&lt;&gt;"",EDATE($D56,Milestones!$AA$36)&gt;=$S56),$V56,$U56)))=Milestones!$AB$36),UPPER(TEXT(EDATE($D56,Milestones!$AA$36),"dd mmm yy"))&amp;" "&amp;Milestones!$AB$36&amp;" "&amp;Milestones!$AC$36&amp;";  ","")&amp;IF(AND(EDATE($D56,Milestones!$AA$37)&lt;=AsOfDate,IF($R56=0,$X56,IF(AND($T56&lt;&gt;"",EDATE($D56,Milestones!$AA$37)&gt;=$T56),$W56,IF(AND($S56&lt;&gt;"",EDATE($D56,Milestones!$AA$37)&gt;=$S56),$V56,$U56)))=Milestones!$AB$37),UPPER(TEXT(EDATE($D56,Milestones!$AA$37),"dd mmm yy"))&amp;" "&amp;Milestones!$AB$37&amp;" "&amp;Milestones!$AC$37&amp;";  ","")&amp;IF(AND(EDATE($D56,Milestones!$AA$38)&lt;=AsOfDate,IF($R56=0,$X56,IF(AND($T56&lt;&gt;"",EDATE($D56,Milestones!$AA$38)&gt;=$T56),$W56,IF(AND($S56&lt;&gt;"",EDATE($D56,Milestones!$AA$38)&gt;=$S56),$V56,$U56)))=Milestones!$AB$38),UPPER(TEXT(EDATE($D56,Milestones!$AA$38),"dd mmm yy"))&amp;" "&amp;Milestones!$AB$38&amp;" "&amp;Milestones!$AC$38&amp;";  ","")&amp;IF(AND(EDATE($D56,Milestones!$AA$39)&lt;=AsOfDate,IF($R56=0,$X56,IF(AND($T56&lt;&gt;"",EDATE($D56,Milestones!$AA$39)&gt;=$T56),$W56,IF(AND($S56&lt;&gt;"",EDATE($D56,Milestones!$AA$39)&gt;=$S56),$V56,$U56)))=Milestones!$AB$39),UPPER(TEXT(EDATE($D56,Milestones!$AA$39),"dd mmm yy"))&amp;" "&amp;Milestones!$AB$39&amp;" "&amp;Milestones!$AC$39&amp;";  ",""))</f>
        <v/>
      </c>
      <c r="J56" s="0" t="str">
        <f aca="false">IF(OR($A56="",$D56=""),"",IF(AND(EDATE($D56,Milestones!$AA$40)&lt;=AsOfDate,IF($R56=0,$X56,IF(AND($T56&lt;&gt;"",EDATE($D56,Milestones!$AA$40)&gt;=$T56),$W56,IF(AND($S56&lt;&gt;"",EDATE($D56,Milestones!$AA$40)&gt;=$S56),$V56,$U56)))=Milestones!$AB$40),UPPER(TEXT(EDATE($D56,Milestones!$AA$40),"dd mmm yy"))&amp;" "&amp;Milestones!$AB$40&amp;" "&amp;Milestones!$AC$40&amp;";  ","")&amp;IF(AND(EDATE($D56,Milestones!$AA$41)&lt;=AsOfDate,IF($R56=0,$X56,IF(AND($T56&lt;&gt;"",EDATE($D56,Milestones!$AA$41)&gt;=$T56),$W56,IF(AND($S56&lt;&gt;"",EDATE($D56,Milestones!$AA$41)&gt;=$S56),$V56,$U56)))=Milestones!$AB$41),UPPER(TEXT(EDATE($D56,Milestones!$AA$41),"dd mmm yy"))&amp;" "&amp;Milestones!$AB$41&amp;" "&amp;Milestones!$AC$41&amp;";  ","")&amp;IF(AND(EDATE($D56,Milestones!$AA$42)&lt;=AsOfDate,IF($R56=0,$X56,IF(AND($T56&lt;&gt;"",EDATE($D56,Milestones!$AA$42)&gt;=$T56),$W56,IF(AND($S56&lt;&gt;"",EDATE($D56,Milestones!$AA$42)&gt;=$S56),$V56,$U56)))=Milestones!$AB$42),UPPER(TEXT(EDATE($D56,Milestones!$AA$42),"dd mmm yy"))&amp;" "&amp;Milestones!$AB$42&amp;" "&amp;Milestones!$AC$42&amp;";  ","")&amp;IF(AND(EDATE($D56,Milestones!$AA$43)&lt;=AsOfDate,IF($R56=0,$X56,IF(AND($T56&lt;&gt;"",EDATE($D56,Milestones!$AA$43)&gt;=$T56),$W56,IF(AND($S56&lt;&gt;"",EDATE($D56,Milestones!$AA$43)&gt;=$S56),$V56,$U56)))=Milestones!$AB$43),UPPER(TEXT(EDATE($D56,Milestones!$AA$43),"dd mmm yy"))&amp;" "&amp;Milestones!$AB$43&amp;" "&amp;Milestones!$AC$43&amp;";  ","")&amp;IF(AND(EDATE($D56,Milestones!$AA$44)&lt;=AsOfDate,IF($R56=0,$X56,IF(AND($T56&lt;&gt;"",EDATE($D56,Milestones!$AA$44)&gt;=$T56),$W56,IF(AND($S56&lt;&gt;"",EDATE($D56,Milestones!$AA$44)&gt;=$S56),$V56,$U56)))=Milestones!$AB$44),UPPER(TEXT(EDATE($D56,Milestones!$AA$44),"dd mmm yy"))&amp;" "&amp;Milestones!$AB$44&amp;" "&amp;Milestones!$AC$44&amp;";  ","")&amp;IF(AND(EDATE($D56,Milestones!$AA$45)&lt;=AsOfDate,IF($R56=0,$X56,IF(AND($T56&lt;&gt;"",EDATE($D56,Milestones!$AA$45)&gt;=$T56),$W56,IF(AND($S56&lt;&gt;"",EDATE($D56,Milestones!$AA$45)&gt;=$S56),$V56,$U56)))=Milestones!$AB$45),UPPER(TEXT(EDATE($D56,Milestones!$AA$45),"dd mmm yy"))&amp;" "&amp;Milestones!$AB$45&amp;" "&amp;Milestones!$AC$45&amp;";  ","")&amp;IF(AND(EDATE($D56,Milestones!$AA$46)&lt;=AsOfDate,IF($R56=0,$X56,IF(AND($T56&lt;&gt;"",EDATE($D56,Milestones!$AA$46)&gt;=$T56),$W56,IF(AND($S56&lt;&gt;"",EDATE($D56,Milestones!$AA$46)&gt;=$S56),$V56,$U56)))=Milestones!$AB$46),UPPER(TEXT(EDATE($D56,Milestones!$AA$46),"dd mmm yy"))&amp;" "&amp;Milestones!$AB$46&amp;" "&amp;Milestones!$AC$46&amp;";  ","")&amp;IF(AND(EDATE($D56,Milestones!$AA$47)&lt;=AsOfDate,IF($R56=0,$X56,IF(AND($T56&lt;&gt;"",EDATE($D56,Milestones!$AA$47)&gt;=$T56),$W56,IF(AND($S56&lt;&gt;"",EDATE($D56,Milestones!$AA$47)&gt;=$S56),$V56,$U56)))=Milestones!$AB$47),UPPER(TEXT(EDATE($D56,Milestones!$AA$47),"dd mmm yy"))&amp;" "&amp;Milestones!$AB$47&amp;" "&amp;Milestones!$AC$47&amp;";  ","")&amp;IF(AND(EDATE($D56,Milestones!$AA$48)&lt;=AsOfDate,IF($R56=0,$X56,IF(AND($T56&lt;&gt;"",EDATE($D56,Milestones!$AA$48)&gt;=$T56),$W56,IF(AND($S56&lt;&gt;"",EDATE($D56,Milestones!$AA$48)&gt;=$S56),$V56,$U56)))=Milestones!$AB$48),UPPER(TEXT(EDATE($D56,Milestones!$AA$48),"dd mmm yy"))&amp;" "&amp;Milestones!$AB$48&amp;" "&amp;Milestones!$AC$48&amp;";  ","")&amp;IF(AND(EDATE($D56,Milestones!$AA$49)&lt;=AsOfDate,IF($R56=0,$X56,IF(AND($T56&lt;&gt;"",EDATE($D56,Milestones!$AA$49)&gt;=$T56),$W56,IF(AND($S56&lt;&gt;"",EDATE($D56,Milestones!$AA$49)&gt;=$S56),$V56,$U56)))=Milestones!$AB$49),UPPER(TEXT(EDATE($D56,Milestones!$AA$49),"dd mmm yy"))&amp;" "&amp;Milestones!$AB$49&amp;" "&amp;Milestones!$AC$49&amp;";  ","")&amp;IF(AND(EDATE($D56,Milestones!$AA$50)&lt;=AsOfDate,IF($R56=0,$X56,IF(AND($T56&lt;&gt;"",EDATE($D56,Milestones!$AA$50)&gt;=$T56),$W56,IF(AND($S56&lt;&gt;"",EDATE($D56,Milestones!$AA$50)&gt;=$S56),$V56,$U56)))=Milestones!$AB$50),UPPER(TEXT(EDATE($D56,Milestones!$AA$50),"dd mmm yy"))&amp;" "&amp;Milestones!$AB$50&amp;" "&amp;Milestones!$AC$50&amp;";  ","")&amp;IF(AND(EDATE($D56,Milestones!$AA$51)&lt;=AsOfDate,IF($R56=0,$X56,IF(AND($T56&lt;&gt;"",EDATE($D56,Milestones!$AA$51)&gt;=$T56),$W56,IF(AND($S56&lt;&gt;"",EDATE($D56,Milestones!$AA$51)&gt;=$S56),$V56,$U56)))=Milestones!$AB$51),UPPER(TEXT(EDATE($D56,Milestones!$AA$51),"dd mmm yy"))&amp;" "&amp;Milestones!$AB$51&amp;" "&amp;Milestones!$AC$51&amp;";  ","")&amp;IF(AND(EDATE($D56,Milestones!$AA$52)&lt;=AsOfDate,IF($R56=0,$X56,IF(AND($T56&lt;&gt;"",EDATE($D56,Milestones!$AA$52)&gt;=$T56),$W56,IF(AND($S56&lt;&gt;"",EDATE($D56,Milestones!$AA$52)&gt;=$S56),$V56,$U56)))=Milestones!$AB$52),UPPER(TEXT(EDATE($D56,Milestones!$AA$52),"dd mmm yy"))&amp;" "&amp;Milestones!$AB$52&amp;" "&amp;Milestones!$AC$52&amp;";  ","")&amp;IF(AND(EDATE($D56,Milestones!$AA$53)&lt;=AsOfDate,IF($R56=0,$X56,IF(AND($T56&lt;&gt;"",EDATE($D56,Milestones!$AA$53)&gt;=$T56),$W56,IF(AND($S56&lt;&gt;"",EDATE($D56,Milestones!$AA$53)&gt;=$S56),$V56,$U56)))=Milestones!$AB$53),UPPER(TEXT(EDATE($D56,Milestones!$AA$53),"dd mmm yy"))&amp;" "&amp;Milestones!$AB$53&amp;" "&amp;Milestones!$AC$53&amp;";  ","")&amp;IF(AND(EDATE($D56,Milestones!$AA$54)&lt;=AsOfDate,IF($R56=0,$X56,IF(AND($T56&lt;&gt;"",EDATE($D56,Milestones!$AA$54)&gt;=$T56),$W56,IF(AND($S56&lt;&gt;"",EDATE($D56,Milestones!$AA$54)&gt;=$S56),$V56,$U56)))=Milestones!$AB$54),UPPER(TEXT(EDATE($D56,Milestones!$AA$54),"dd mmm yy"))&amp;" "&amp;Milestones!$AB$54&amp;" "&amp;Milestones!$AC$54&amp;";  ","")&amp;IF(AND(EDATE($D56,Milestones!$AA$55)&lt;=AsOfDate,IF($R56=0,$X56,IF(AND($T56&lt;&gt;"",EDATE($D56,Milestones!$AA$55)&gt;=$T56),$W56,IF(AND($S56&lt;&gt;"",EDATE($D56,Milestones!$AA$55)&gt;=$S56),$V56,$U56)))=Milestones!$AB$55),UPPER(TEXT(EDATE($D56,Milestones!$AA$55),"dd mmm yy"))&amp;" "&amp;Milestones!$AB$55&amp;" "&amp;Milestones!$AC$55&amp;";  ","")&amp;IF(AND(EDATE($D56,Milestones!$AA$56)&lt;=AsOfDate,IF($R56=0,$X56,IF(AND($T56&lt;&gt;"",EDATE($D56,Milestones!$AA$56)&gt;=$T56),$W56,IF(AND($S56&lt;&gt;"",EDATE($D56,Milestones!$AA$56)&gt;=$S56),$V56,$U56)))=Milestones!$AB$56),UPPER(TEXT(EDATE($D56,Milestones!$AA$56),"dd mmm yy"))&amp;" "&amp;Milestones!$AB$56&amp;" "&amp;Milestones!$AC$56&amp;";  ","")&amp;IF(AND(EDATE($D56,Milestones!$AA$57)&lt;=AsOfDate,IF($R56=0,$X56,IF(AND($T56&lt;&gt;"",EDATE($D56,Milestones!$AA$57)&gt;=$T56),$W56,IF(AND($S56&lt;&gt;"",EDATE($D56,Milestones!$AA$57)&gt;=$S56),$V56,$U56)))=Milestones!$AB$57),UPPER(TEXT(EDATE($D56,Milestones!$AA$57),"dd mmm yy"))&amp;" "&amp;Milestones!$AB$57&amp;" "&amp;Milestones!$AC$57&amp;";  ","")&amp;IF(AND(EDATE($D56,Milestones!$AA$58)&lt;=AsOfDate,IF($R56=0,$X56,IF(AND($T56&lt;&gt;"",EDATE($D56,Milestones!$AA$58)&gt;=$T56),$W56,IF(AND($S56&lt;&gt;"",EDATE($D56,Milestones!$AA$58)&gt;=$S56),$V56,$U56)))=Milestones!$AB$58),UPPER(TEXT(EDATE($D56,Milestones!$AA$58),"dd mmm yy"))&amp;" "&amp;Milestones!$AB$58&amp;" "&amp;Milestones!$AC$58&amp;";  ","")&amp;IF(AND(EDATE($D56,Milestones!$AA$59)&lt;=AsOfDate,IF($R56=0,$X56,IF(AND($T56&lt;&gt;"",EDATE($D56,Milestones!$AA$59)&gt;=$T56),$W56,IF(AND($S56&lt;&gt;"",EDATE($D56,Milestones!$AA$59)&gt;=$S56),$V56,$U56)))=Milestones!$AB$59),UPPER(TEXT(EDATE($D56,Milestones!$AA$59),"dd mmm yy"))&amp;" "&amp;Milestones!$AB$59&amp;" "&amp;Milestones!$AC$59&amp;";  ",""))</f>
        <v/>
      </c>
      <c r="K56" s="0" t="str">
        <f aca="false">IF(OR($A56="",$D56=""),"",IF(AND(EDATE($D56,Milestones!$AA$60)&lt;=AsOfDate,IF($R56=0,$X56,IF(AND($T56&lt;&gt;"",EDATE($D56,Milestones!$AA$60)&gt;=$T56),$W56,IF(AND($S56&lt;&gt;"",EDATE($D56,Milestones!$AA$60)&gt;=$S56),$V56,$U56)))=Milestones!$AB$60),UPPER(TEXT(EDATE($D56,Milestones!$AA$60),"dd mmm yy"))&amp;" "&amp;Milestones!$AB$60&amp;" "&amp;Milestones!$AC$60&amp;";  ","")&amp;IF(AND(EDATE($D56,Milestones!$AA$61)&lt;=AsOfDate,IF($R56=0,$X56,IF(AND($T56&lt;&gt;"",EDATE($D56,Milestones!$AA$61)&gt;=$T56),$W56,IF(AND($S56&lt;&gt;"",EDATE($D56,Milestones!$AA$61)&gt;=$S56),$V56,$U56)))=Milestones!$AB$61),UPPER(TEXT(EDATE($D56,Milestones!$AA$61),"dd mmm yy"))&amp;" "&amp;Milestones!$AB$61&amp;" "&amp;Milestones!$AC$61&amp;";  ","")&amp;IF(AND(EDATE($D56,Milestones!$AA$62)&lt;=AsOfDate,IF($R56=0,$X56,IF(AND($T56&lt;&gt;"",EDATE($D56,Milestones!$AA$62)&gt;=$T56),$W56,IF(AND($S56&lt;&gt;"",EDATE($D56,Milestones!$AA$62)&gt;=$S56),$V56,$U56)))=Milestones!$AB$62),UPPER(TEXT(EDATE($D56,Milestones!$AA$62),"dd mmm yy"))&amp;" "&amp;Milestones!$AB$62&amp;" "&amp;Milestones!$AC$62&amp;";  ","")&amp;IF(AND(EDATE($D56,Milestones!$AA$63)&lt;=AsOfDate,IF($R56=0,$X56,IF(AND($T56&lt;&gt;"",EDATE($D56,Milestones!$AA$63)&gt;=$T56),$W56,IF(AND($S56&lt;&gt;"",EDATE($D56,Milestones!$AA$63)&gt;=$S56),$V56,$U56)))=Milestones!$AB$63),UPPER(TEXT(EDATE($D56,Milestones!$AA$63),"dd mmm yy"))&amp;" "&amp;Milestones!$AB$63&amp;" "&amp;Milestones!$AC$63&amp;";  ","")&amp;IF(AND(EDATE($D56,Milestones!$AA$64)&lt;=AsOfDate,IF($R56=0,$X56,IF(AND($T56&lt;&gt;"",EDATE($D56,Milestones!$AA$64)&gt;=$T56),$W56,IF(AND($S56&lt;&gt;"",EDATE($D56,Milestones!$AA$64)&gt;=$S56),$V56,$U56)))=Milestones!$AB$64),UPPER(TEXT(EDATE($D56,Milestones!$AA$64),"dd mmm yy"))&amp;" "&amp;Milestones!$AB$64&amp;" "&amp;Milestones!$AC$64&amp;";  ","")&amp;IF(AND(EDATE($D56,Milestones!$AA$65)&lt;=AsOfDate,IF($R56=0,$X56,IF(AND($T56&lt;&gt;"",EDATE($D56,Milestones!$AA$65)&gt;=$T56),$W56,IF(AND($S56&lt;&gt;"",EDATE($D56,Milestones!$AA$65)&gt;=$S56),$V56,$U56)))=Milestones!$AB$65),UPPER(TEXT(EDATE($D56,Milestones!$AA$65),"dd mmm yy"))&amp;" "&amp;Milestones!$AB$65&amp;" "&amp;Milestones!$AC$65&amp;";  ","")&amp;IF(AND(EDATE($D56,Milestones!$AA$66)&lt;=AsOfDate,IF($R56=0,$X56,IF(AND($T56&lt;&gt;"",EDATE($D56,Milestones!$AA$66)&gt;=$T56),$W56,IF(AND($S56&lt;&gt;"",EDATE($D56,Milestones!$AA$66)&gt;=$S56),$V56,$U56)))=Milestones!$AB$66),UPPER(TEXT(EDATE($D56,Milestones!$AA$66),"dd mmm yy"))&amp;" "&amp;Milestones!$AB$66&amp;" "&amp;Milestones!$AC$66&amp;";  ","")&amp;IF(AND(EDATE($D56,Milestones!$AA$67)&lt;=AsOfDate,IF($R56=0,$X56,IF(AND($T56&lt;&gt;"",EDATE($D56,Milestones!$AA$67)&gt;=$T56),$W56,IF(AND($S56&lt;&gt;"",EDATE($D56,Milestones!$AA$67)&gt;=$S56),$V56,$U56)))=Milestones!$AB$67),UPPER(TEXT(EDATE($D56,Milestones!$AA$67),"dd mmm yy"))&amp;" "&amp;Milestones!$AB$67&amp;" "&amp;Milestones!$AC$67&amp;";  ","")&amp;IF(AND(EDATE($D56,Milestones!$AA$68)&lt;=AsOfDate,IF($R56=0,$X56,IF(AND($T56&lt;&gt;"",EDATE($D56,Milestones!$AA$68)&gt;=$T56),$W56,IF(AND($S56&lt;&gt;"",EDATE($D56,Milestones!$AA$68)&gt;=$S56),$V56,$U56)))=Milestones!$AB$68),UPPER(TEXT(EDATE($D56,Milestones!$AA$68),"dd mmm yy"))&amp;" "&amp;Milestones!$AB$68&amp;" "&amp;Milestones!$AC$68&amp;";  ","")&amp;IF(AND(EDATE($D56,Milestones!$AA$69)&lt;=AsOfDate,IF($R56=0,$X56,IF(AND($T56&lt;&gt;"",EDATE($D56,Milestones!$AA$69)&gt;=$T56),$W56,IF(AND($S56&lt;&gt;"",EDATE($D56,Milestones!$AA$69)&gt;=$S56),$V56,$U56)))=Milestones!$AB$69),UPPER(TEXT(EDATE($D56,Milestones!$AA$69),"dd mmm yy"))&amp;" "&amp;Milestones!$AB$69&amp;" "&amp;Milestones!$AC$69&amp;";  ","")&amp;IF(AND(EDATE($D56,Milestones!$AA$70)&lt;=AsOfDate,IF($R56=0,$X56,IF(AND($T56&lt;&gt;"",EDATE($D56,Milestones!$AA$70)&gt;=$T56),$W56,IF(AND($S56&lt;&gt;"",EDATE($D56,Milestones!$AA$70)&gt;=$S56),$V56,$U56)))=Milestones!$AB$70),UPPER(TEXT(EDATE($D56,Milestones!$AA$70),"dd mmm yy"))&amp;" "&amp;Milestones!$AB$70&amp;" "&amp;Milestones!$AC$70&amp;";  ","")&amp;IF(AND(EDATE($D56,Milestones!$AA$71)&lt;=AsOfDate,IF($R56=0,$X56,IF(AND($T56&lt;&gt;"",EDATE($D56,Milestones!$AA$71)&gt;=$T56),$W56,IF(AND($S56&lt;&gt;"",EDATE($D56,Milestones!$AA$71)&gt;=$S56),$V56,$U56)))=Milestones!$AB$71),UPPER(TEXT(EDATE($D56,Milestones!$AA$71),"dd mmm yy"))&amp;" "&amp;Milestones!$AB$71&amp;" "&amp;Milestones!$AC$71&amp;";  ","")&amp;IF(AND(EDATE($D56,Milestones!$AA$72)&lt;=AsOfDate,IF($R56=0,$X56,IF(AND($T56&lt;&gt;"",EDATE($D56,Milestones!$AA$72)&gt;=$T56),$W56,IF(AND($S56&lt;&gt;"",EDATE($D56,Milestones!$AA$72)&gt;=$S56),$V56,$U56)))=Milestones!$AB$72),UPPER(TEXT(EDATE($D56,Milestones!$AA$72),"dd mmm yy"))&amp;" "&amp;Milestones!$AB$72&amp;" "&amp;Milestones!$AC$72&amp;";  ","")&amp;IF(AND(EDATE($D56,Milestones!$AA$73)&lt;=AsOfDate,IF($R56=0,$X56,IF(AND($T56&lt;&gt;"",EDATE($D56,Milestones!$AA$73)&gt;=$T56),$W56,IF(AND($S56&lt;&gt;"",EDATE($D56,Milestones!$AA$73)&gt;=$S56),$V56,$U56)))=Milestones!$AB$73),UPPER(TEXT(EDATE($D56,Milestones!$AA$73),"dd mmm yy"))&amp;" "&amp;Milestones!$AB$73&amp;" "&amp;Milestones!$AC$73&amp;";  ","")&amp;IF(AND(EDATE($D56,Milestones!$AA$74)&lt;=AsOfDate,IF($R56=0,$X56,IF(AND($T56&lt;&gt;"",EDATE($D56,Milestones!$AA$74)&gt;=$T56),$W56,IF(AND($S56&lt;&gt;"",EDATE($D56,Milestones!$AA$74)&gt;=$S56),$V56,$U56)))=Milestones!$AB$74),UPPER(TEXT(EDATE($D56,Milestones!$AA$74),"dd mmm yy"))&amp;" "&amp;Milestones!$AB$74&amp;" "&amp;Milestones!$AC$74&amp;";  ","")&amp;IF(AND(EDATE($D56,Milestones!$AA$75)&lt;=AsOfDate,IF($R56=0,$X56,IF(AND($T56&lt;&gt;"",EDATE($D56,Milestones!$AA$75)&gt;=$T56),$W56,IF(AND($S56&lt;&gt;"",EDATE($D56,Milestones!$AA$75)&gt;=$S56),$V56,$U56)))=Milestones!$AB$75),UPPER(TEXT(EDATE($D56,Milestones!$AA$75),"dd mmm yy"))&amp;" "&amp;Milestones!$AB$75&amp;" "&amp;Milestones!$AC$75&amp;";  ","")&amp;IF(AND(EDATE($D56,Milestones!$AA$76)&lt;=AsOfDate,IF($R56=0,$X56,IF(AND($T56&lt;&gt;"",EDATE($D56,Milestones!$AA$76)&gt;=$T56),$W56,IF(AND($S56&lt;&gt;"",EDATE($D56,Milestones!$AA$76)&gt;=$S56),$V56,$U56)))=Milestones!$AB$76),UPPER(TEXT(EDATE($D56,Milestones!$AA$76),"dd mmm yy"))&amp;" "&amp;Milestones!$AB$76&amp;" "&amp;Milestones!$AC$76&amp;";  ","")&amp;IF(AND(EDATE($D56,Milestones!$AA$77)&lt;=AsOfDate,IF($R56=0,$X56,IF(AND($T56&lt;&gt;"",EDATE($D56,Milestones!$AA$77)&gt;=$T56),$W56,IF(AND($S56&lt;&gt;"",EDATE($D56,Milestones!$AA$77)&gt;=$S56),$V56,$U56)))=Milestones!$AB$77),UPPER(TEXT(EDATE($D56,Milestones!$AA$77),"dd mmm yy"))&amp;" "&amp;Milestones!$AB$77&amp;" "&amp;Milestones!$AC$77&amp;";  ","")&amp;IF(AND(EDATE($D56,Milestones!$AA$78)&lt;=AsOfDate,IF($R56=0,$X56,IF(AND($T56&lt;&gt;"",EDATE($D56,Milestones!$AA$78)&gt;=$T56),$W56,IF(AND($S56&lt;&gt;"",EDATE($D56,Milestones!$AA$78)&gt;=$S56),$V56,$U56)))=Milestones!$AB$78),UPPER(TEXT(EDATE($D56,Milestones!$AA$78),"dd mmm yy"))&amp;" "&amp;Milestones!$AB$78&amp;" "&amp;Milestones!$AC$78&amp;";  ","")&amp;IF(AND(EDATE($D56,Milestones!$AA$79)&lt;=AsOfDate,IF($R56=0,$X56,IF(AND($T56&lt;&gt;"",EDATE($D56,Milestones!$AA$79)&gt;=$T56),$W56,IF(AND($S56&lt;&gt;"",EDATE($D56,Milestones!$AA$79)&gt;=$S56),$V56,$U56)))=Milestones!$AB$79),UPPER(TEXT(EDATE($D56,Milestones!$AA$79),"dd mmm yy"))&amp;" "&amp;Milestones!$AB$79&amp;" "&amp;Milestones!$AC$79&amp;";  ",""))</f>
        <v/>
      </c>
      <c r="L56" s="0" t="str">
        <f aca="false">IF(OR($A56="",$D56=""),"",IF(AND(EDATE($D56,Milestones!$AA$80)&lt;=AsOfDate,IF($R56=0,$X56,IF(AND($T56&lt;&gt;"",EDATE($D56,Milestones!$AA$80)&gt;=$T56),$W56,IF(AND($S56&lt;&gt;"",EDATE($D56,Milestones!$AA$80)&gt;=$S56),$V56,$U56)))=Milestones!$AB$80),UPPER(TEXT(EDATE($D56,Milestones!$AA$80),"dd mmm yy"))&amp;" "&amp;Milestones!$AB$80&amp;" "&amp;Milestones!$AC$80&amp;";  ","")&amp;IF(AND(EDATE($D56,Milestones!$AA$81)&lt;=AsOfDate,IF($R56=0,$X56,IF(AND($T56&lt;&gt;"",EDATE($D56,Milestones!$AA$81)&gt;=$T56),$W56,IF(AND($S56&lt;&gt;"",EDATE($D56,Milestones!$AA$81)&gt;=$S56),$V56,$U56)))=Milestones!$AB$81),UPPER(TEXT(EDATE($D56,Milestones!$AA$81),"dd mmm yy"))&amp;" "&amp;Milestones!$AB$81&amp;" "&amp;Milestones!$AC$81&amp;";  ","")&amp;IF(AND(EDATE($D56,Milestones!$AA$82)&lt;=AsOfDate,IF($R56=0,$X56,IF(AND($T56&lt;&gt;"",EDATE($D56,Milestones!$AA$82)&gt;=$T56),$W56,IF(AND($S56&lt;&gt;"",EDATE($D56,Milestones!$AA$82)&gt;=$S56),$V56,$U56)))=Milestones!$AB$82),UPPER(TEXT(EDATE($D56,Milestones!$AA$82),"dd mmm yy"))&amp;" "&amp;Milestones!$AB$82&amp;" "&amp;Milestones!$AC$82&amp;";  ","")&amp;IF(AND(EDATE($D56,Milestones!$AA$83)&lt;=AsOfDate,IF($R56=0,$X56,IF(AND($T56&lt;&gt;"",EDATE($D56,Milestones!$AA$83)&gt;=$T56),$W56,IF(AND($S56&lt;&gt;"",EDATE($D56,Milestones!$AA$83)&gt;=$S56),$V56,$U56)))=Milestones!$AB$83),UPPER(TEXT(EDATE($D56,Milestones!$AA$83),"dd mmm yy"))&amp;" "&amp;Milestones!$AB$83&amp;" "&amp;Milestones!$AC$83&amp;";  ","")&amp;IF(AND(EDATE($D56,Milestones!$AA$84)&lt;=AsOfDate,IF($R56=0,$X56,IF(AND($T56&lt;&gt;"",EDATE($D56,Milestones!$AA$84)&gt;=$T56),$W56,IF(AND($S56&lt;&gt;"",EDATE($D56,Milestones!$AA$84)&gt;=$S56),$V56,$U56)))=Milestones!$AB$84),UPPER(TEXT(EDATE($D56,Milestones!$AA$84),"dd mmm yy"))&amp;" "&amp;Milestones!$AB$84&amp;" "&amp;Milestones!$AC$84&amp;";  ","")&amp;IF(AND(EDATE($D56,Milestones!$AA$85)&lt;=AsOfDate,IF($R56=0,$X56,IF(AND($T56&lt;&gt;"",EDATE($D56,Milestones!$AA$85)&gt;=$T56),$W56,IF(AND($S56&lt;&gt;"",EDATE($D56,Milestones!$AA$85)&gt;=$S56),$V56,$U56)))=Milestones!$AB$85),UPPER(TEXT(EDATE($D56,Milestones!$AA$85),"dd mmm yy"))&amp;" "&amp;Milestones!$AB$85&amp;" "&amp;Milestones!$AC$85&amp;";  ","")&amp;IF(AND(EDATE($D56,Milestones!$AA$86)&lt;=AsOfDate,IF($R56=0,$X56,IF(AND($T56&lt;&gt;"",EDATE($D56,Milestones!$AA$86)&gt;=$T56),$W56,IF(AND($S56&lt;&gt;"",EDATE($D56,Milestones!$AA$86)&gt;=$S56),$V56,$U56)))=Milestones!$AB$86),UPPER(TEXT(EDATE($D56,Milestones!$AA$86),"dd mmm yy"))&amp;" "&amp;Milestones!$AB$86&amp;" "&amp;Milestones!$AC$86&amp;";  ","")&amp;IF(AND(EDATE($D56,Milestones!$AA$87)&lt;=AsOfDate,IF($R56=0,$X56,IF(AND($T56&lt;&gt;"",EDATE($D56,Milestones!$AA$87)&gt;=$T56),$W56,IF(AND($S56&lt;&gt;"",EDATE($D56,Milestones!$AA$87)&gt;=$S56),$V56,$U56)))=Milestones!$AB$87),UPPER(TEXT(EDATE($D56,Milestones!$AA$87),"dd mmm yy"))&amp;" "&amp;Milestones!$AB$87&amp;" "&amp;Milestones!$AC$87&amp;";  ","")&amp;IF(AND(EDATE($D56,Milestones!$AA$88)&lt;=AsOfDate,IF($R56=0,$X56,IF(AND($T56&lt;&gt;"",EDATE($D56,Milestones!$AA$88)&gt;=$T56),$W56,IF(AND($S56&lt;&gt;"",EDATE($D56,Milestones!$AA$88)&gt;=$S56),$V56,$U56)))=Milestones!$AB$88),UPPER(TEXT(EDATE($D56,Milestones!$AA$88),"dd mmm yy"))&amp;" "&amp;Milestones!$AB$88&amp;" "&amp;Milestones!$AC$88&amp;";  ","")&amp;IF(AND(EDATE($D56,Milestones!$AA$89)&lt;=AsOfDate,IF($R56=0,$X56,IF(AND($T56&lt;&gt;"",EDATE($D56,Milestones!$AA$89)&gt;=$T56),$W56,IF(AND($S56&lt;&gt;"",EDATE($D56,Milestones!$AA$89)&gt;=$S56),$V56,$U56)))=Milestones!$AB$89),UPPER(TEXT(EDATE($D56,Milestones!$AA$89),"dd mmm yy"))&amp;" "&amp;Milestones!$AB$89&amp;" "&amp;Milestones!$AC$89&amp;";  ","")&amp;IF(AND(EDATE($D56,Milestones!$AA$90)&lt;=AsOfDate,IF($R56=0,$X56,IF(AND($T56&lt;&gt;"",EDATE($D56,Milestones!$AA$90)&gt;=$T56),$W56,IF(AND($S56&lt;&gt;"",EDATE($D56,Milestones!$AA$90)&gt;=$S56),$V56,$U56)))=Milestones!$AB$90),UPPER(TEXT(EDATE($D56,Milestones!$AA$90),"dd mmm yy"))&amp;" "&amp;Milestones!$AB$90&amp;" "&amp;Milestones!$AC$90&amp;";  ","")&amp;IF(AND(EDATE($D56,Milestones!$AA$91)&lt;=AsOfDate,IF($R56=0,$X56,IF(AND($T56&lt;&gt;"",EDATE($D56,Milestones!$AA$91)&gt;=$T56),$W56,IF(AND($S56&lt;&gt;"",EDATE($D56,Milestones!$AA$91)&gt;=$S56),$V56,$U56)))=Milestones!$AB$91),UPPER(TEXT(EDATE($D56,Milestones!$AA$91),"dd mmm yy"))&amp;" "&amp;Milestones!$AB$91&amp;" "&amp;Milestones!$AC$91&amp;";  ","")&amp;IF(AND(EDATE($D56,Milestones!$AA$92)&lt;=AsOfDate,IF($R56=0,$X56,IF(AND($T56&lt;&gt;"",EDATE($D56,Milestones!$AA$92)&gt;=$T56),$W56,IF(AND($S56&lt;&gt;"",EDATE($D56,Milestones!$AA$92)&gt;=$S56),$V56,$U56)))=Milestones!$AB$92),UPPER(TEXT(EDATE($D56,Milestones!$AA$92),"dd mmm yy"))&amp;" "&amp;Milestones!$AB$92&amp;" "&amp;Milestones!$AC$92&amp;";  ","")&amp;IF(AND(EDATE($D56,Milestones!$AA$93)&lt;=AsOfDate,IF($R56=0,$X56,IF(AND($T56&lt;&gt;"",EDATE($D56,Milestones!$AA$93)&gt;=$T56),$W56,IF(AND($S56&lt;&gt;"",EDATE($D56,Milestones!$AA$93)&gt;=$S56),$V56,$U56)))=Milestones!$AB$93),UPPER(TEXT(EDATE($D56,Milestones!$AA$93),"dd mmm yy"))&amp;" "&amp;Milestones!$AB$93&amp;" "&amp;Milestones!$AC$93&amp;";  ","")&amp;IF(AND(EDATE($D56,Milestones!$AA$94)&lt;=AsOfDate,IF($R56=0,$X56,IF(AND($T56&lt;&gt;"",EDATE($D56,Milestones!$AA$94)&gt;=$T56),$W56,IF(AND($S56&lt;&gt;"",EDATE($D56,Milestones!$AA$94)&gt;=$S56),$V56,$U56)))=Milestones!$AB$94),UPPER(TEXT(EDATE($D56,Milestones!$AA$94),"dd mmm yy"))&amp;" "&amp;Milestones!$AB$94&amp;" "&amp;Milestones!$AC$94&amp;";  ","")&amp;IF(AND(EDATE($D56,Milestones!$AA$95)&lt;=AsOfDate,IF($R56=0,$X56,IF(AND($T56&lt;&gt;"",EDATE($D56,Milestones!$AA$95)&gt;=$T56),$W56,IF(AND($S56&lt;&gt;"",EDATE($D56,Milestones!$AA$95)&gt;=$S56),$V56,$U56)))=Milestones!$AB$95),UPPER(TEXT(EDATE($D56,Milestones!$AA$95),"dd mmm yy"))&amp;" "&amp;Milestones!$AB$95&amp;" "&amp;Milestones!$AC$95&amp;";  ","")&amp;IF(AND(EDATE($D56,Milestones!$AA$96)&lt;=AsOfDate,IF($R56=0,$X56,IF(AND($T56&lt;&gt;"",EDATE($D56,Milestones!$AA$96)&gt;=$T56),$W56,IF(AND($S56&lt;&gt;"",EDATE($D56,Milestones!$AA$96)&gt;=$S56),$V56,$U56)))=Milestones!$AB$96),UPPER(TEXT(EDATE($D56,Milestones!$AA$96),"dd mmm yy"))&amp;" "&amp;Milestones!$AB$96&amp;" "&amp;Milestones!$AC$96&amp;";  ","")&amp;IF(AND(EDATE($D56,Milestones!$AA$97)&lt;=AsOfDate,IF($R56=0,$X56,IF(AND($T56&lt;&gt;"",EDATE($D56,Milestones!$AA$97)&gt;=$T56),$W56,IF(AND($S56&lt;&gt;"",EDATE($D56,Milestones!$AA$97)&gt;=$S56),$V56,$U56)))=Milestones!$AB$97),UPPER(TEXT(EDATE($D56,Milestones!$AA$97),"dd mmm yy"))&amp;" "&amp;Milestones!$AB$97&amp;" "&amp;Milestones!$AC$97&amp;";  ","")&amp;IF(AND(EDATE($D56,Milestones!$AA$98)&lt;=AsOfDate,IF($R56=0,$X56,IF(AND($T56&lt;&gt;"",EDATE($D56,Milestones!$AA$98)&gt;=$T56),$W56,IF(AND($S56&lt;&gt;"",EDATE($D56,Milestones!$AA$98)&gt;=$S56),$V56,$U56)))=Milestones!$AB$98),UPPER(TEXT(EDATE($D56,Milestones!$AA$98),"dd mmm yy"))&amp;" "&amp;Milestones!$AB$98&amp;" "&amp;Milestones!$AC$98&amp;";  ","")&amp;IF(AND(EDATE($D56,Milestones!$AA$99)&lt;=AsOfDate,IF($R56=0,$X56,IF(AND($T56&lt;&gt;"",EDATE($D56,Milestones!$AA$99)&gt;=$T56),$W56,IF(AND($S56&lt;&gt;"",EDATE($D56,Milestones!$AA$99)&gt;=$S56),$V56,$U56)))=Milestones!$AB$99),UPPER(TEXT(EDATE($D56,Milestones!$AA$99),"dd mmm yy"))&amp;" "&amp;Milestones!$AB$99&amp;" "&amp;Milestones!$AC$99&amp;";  ",""))</f>
        <v/>
      </c>
      <c r="M56" s="0" t="str">
        <f aca="false">IF(OR($A56="",$D56=""),"",IF(AND(EDATE($D56,Milestones!$AA$100)&lt;=AsOfDate,IF($R56=0,$X56,IF(AND($T56&lt;&gt;"",EDATE($D56,Milestones!$AA$100)&gt;=$T56),$W56,IF(AND($S56&lt;&gt;"",EDATE($D56,Milestones!$AA$100)&gt;=$S56),$V56,$U56)))=Milestones!$AB$100),UPPER(TEXT(EDATE($D56,Milestones!$AA$100),"dd mmm yy"))&amp;" "&amp;Milestones!$AB$100&amp;" "&amp;Milestones!$AC$100&amp;";  ","")&amp;IF(AND(EDATE($D56,Milestones!$AA$101)&lt;=AsOfDate,IF($R56=0,$X56,IF(AND($T56&lt;&gt;"",EDATE($D56,Milestones!$AA$101)&gt;=$T56),$W56,IF(AND($S56&lt;&gt;"",EDATE($D56,Milestones!$AA$101)&gt;=$S56),$V56,$U56)))=Milestones!$AB$101),UPPER(TEXT(EDATE($D56,Milestones!$AA$101),"dd mmm yy"))&amp;" "&amp;Milestones!$AB$101&amp;" "&amp;Milestones!$AC$101&amp;";  ","")&amp;IF(AND(EDATE($D56,Milestones!$AA$102)&lt;=AsOfDate,IF($R56=0,$X56,IF(AND($T56&lt;&gt;"",EDATE($D56,Milestones!$AA$102)&gt;=$T56),$W56,IF(AND($S56&lt;&gt;"",EDATE($D56,Milestones!$AA$102)&gt;=$S56),$V56,$U56)))=Milestones!$AB$102),UPPER(TEXT(EDATE($D56,Milestones!$AA$102),"dd mmm yy"))&amp;" "&amp;Milestones!$AB$102&amp;" "&amp;Milestones!$AC$102&amp;";  ","")&amp;IF(AND(EDATE($D56,Milestones!$AA$103)&lt;=AsOfDate,IF($R56=0,$X56,IF(AND($T56&lt;&gt;"",EDATE($D56,Milestones!$AA$103)&gt;=$T56),$W56,IF(AND($S56&lt;&gt;"",EDATE($D56,Milestones!$AA$103)&gt;=$S56),$V56,$U56)))=Milestones!$AB$103),UPPER(TEXT(EDATE($D56,Milestones!$AA$103),"dd mmm yy"))&amp;" "&amp;Milestones!$AB$103&amp;" "&amp;Milestones!$AC$103&amp;";  ","")&amp;IF(AND(EDATE($D56,Milestones!$AA$104)&lt;=AsOfDate,IF($R56=0,$X56,IF(AND($T56&lt;&gt;"",EDATE($D56,Milestones!$AA$104)&gt;=$T56),$W56,IF(AND($S56&lt;&gt;"",EDATE($D56,Milestones!$AA$104)&gt;=$S56),$V56,$U56)))=Milestones!$AB$104),UPPER(TEXT(EDATE($D56,Milestones!$AA$104),"dd mmm yy"))&amp;" "&amp;Milestones!$AB$104&amp;" "&amp;Milestones!$AC$104&amp;";  ","")&amp;IF(AND(EDATE($D56,Milestones!$AA$105)&lt;=AsOfDate,IF($R56=0,$X56,IF(AND($T56&lt;&gt;"",EDATE($D56,Milestones!$AA$105)&gt;=$T56),$W56,IF(AND($S56&lt;&gt;"",EDATE($D56,Milestones!$AA$105)&gt;=$S56),$V56,$U56)))=Milestones!$AB$105),UPPER(TEXT(EDATE($D56,Milestones!$AA$105),"dd mmm yy"))&amp;" "&amp;Milestones!$AB$105&amp;" "&amp;Milestones!$AC$105&amp;";  ","")&amp;IF(AND(EDATE($D56,Milestones!$AA$106)&lt;=AsOfDate,IF($R56=0,$X56,IF(AND($T56&lt;&gt;"",EDATE($D56,Milestones!$AA$106)&gt;=$T56),$W56,IF(AND($S56&lt;&gt;"",EDATE($D56,Milestones!$AA$106)&gt;=$S56),$V56,$U56)))=Milestones!$AB$106),UPPER(TEXT(EDATE($D56,Milestones!$AA$106),"dd mmm yy"))&amp;" "&amp;Milestones!$AB$106&amp;" "&amp;Milestones!$AC$106&amp;";  ","")&amp;IF(AND(EDATE($D56,Milestones!$AA$107)&lt;=AsOfDate,IF($R56=0,$X56,IF(AND($T56&lt;&gt;"",EDATE($D56,Milestones!$AA$107)&gt;=$T56),$W56,IF(AND($S56&lt;&gt;"",EDATE($D56,Milestones!$AA$107)&gt;=$S56),$V56,$U56)))=Milestones!$AB$107),UPPER(TEXT(EDATE($D56,Milestones!$AA$107),"dd mmm yy"))&amp;" "&amp;Milestones!$AB$107&amp;" "&amp;Milestones!$AC$107&amp;";  ","")&amp;IF(AND(EDATE($D56,Milestones!$AA$108)&lt;=AsOfDate,IF($R56=0,$X56,IF(AND($T56&lt;&gt;"",EDATE($D56,Milestones!$AA$108)&gt;=$T56),$W56,IF(AND($S56&lt;&gt;"",EDATE($D56,Milestones!$AA$108)&gt;=$S56),$V56,$U56)))=Milestones!$AB$108),UPPER(TEXT(EDATE($D56,Milestones!$AA$108),"dd mmm yy"))&amp;" "&amp;Milestones!$AB$108&amp;" "&amp;Milestones!$AC$108&amp;";  ","")&amp;IF(AND(EDATE($D56,Milestones!$AA$109)&lt;=AsOfDate,IF($R56=0,$X56,IF(AND($T56&lt;&gt;"",EDATE($D56,Milestones!$AA$109)&gt;=$T56),$W56,IF(AND($S56&lt;&gt;"",EDATE($D56,Milestones!$AA$109)&gt;=$S56),$V56,$U56)))=Milestones!$AB$109),UPPER(TEXT(EDATE($D56,Milestones!$AA$109),"dd mmm yy"))&amp;" "&amp;Milestones!$AB$109&amp;" "&amp;Milestones!$AC$109&amp;";  ","")&amp;IF(AND(EDATE($D56,Milestones!$AA$110)&lt;=AsOfDate,IF($R56=0,$X56,IF(AND($T56&lt;&gt;"",EDATE($D56,Milestones!$AA$110)&gt;=$T56),$W56,IF(AND($S56&lt;&gt;"",EDATE($D56,Milestones!$AA$110)&gt;=$S56),$V56,$U56)))=Milestones!$AB$110),UPPER(TEXT(EDATE($D56,Milestones!$AA$110),"dd mmm yy"))&amp;" "&amp;Milestones!$AB$110&amp;" "&amp;Milestones!$AC$110&amp;";  ","")&amp;IF(AND(EDATE($D56,Milestones!$AA$111)&lt;=AsOfDate,IF($R56=0,$X56,IF(AND($T56&lt;&gt;"",EDATE($D56,Milestones!$AA$111)&gt;=$T56),$W56,IF(AND($S56&lt;&gt;"",EDATE($D56,Milestones!$AA$111)&gt;=$S56),$V56,$U56)))=Milestones!$AB$111),UPPER(TEXT(EDATE($D56,Milestones!$AA$111),"dd mmm yy"))&amp;" "&amp;Milestones!$AB$111&amp;" "&amp;Milestones!$AC$111&amp;";  ","")&amp;IF(AND(EDATE($D56,Milestones!$AA$112)&lt;=AsOfDate,IF($R56=0,$X56,IF(AND($T56&lt;&gt;"",EDATE($D56,Milestones!$AA$112)&gt;=$T56),$W56,IF(AND($S56&lt;&gt;"",EDATE($D56,Milestones!$AA$112)&gt;=$S56),$V56,$U56)))=Milestones!$AB$112),UPPER(TEXT(EDATE($D56,Milestones!$AA$112),"dd mmm yy"))&amp;" "&amp;Milestones!$AB$112&amp;" "&amp;Milestones!$AC$112&amp;";  ","")&amp;IF(AND(EDATE($D56,Milestones!$AA$113)&lt;=AsOfDate,IF($R56=0,$X56,IF(AND($T56&lt;&gt;"",EDATE($D56,Milestones!$AA$113)&gt;=$T56),$W56,IF(AND($S56&lt;&gt;"",EDATE($D56,Milestones!$AA$113)&gt;=$S56),$V56,$U56)))=Milestones!$AB$113),UPPER(TEXT(EDATE($D56,Milestones!$AA$113),"dd mmm yy"))&amp;" "&amp;Milestones!$AB$113&amp;" "&amp;Milestones!$AC$113&amp;";  ","")&amp;IF(AND(EDATE($D56,Milestones!$AA$114)&lt;=AsOfDate,IF($R56=0,$X56,IF(AND($T56&lt;&gt;"",EDATE($D56,Milestones!$AA$114)&gt;=$T56),$W56,IF(AND($S56&lt;&gt;"",EDATE($D56,Milestones!$AA$114)&gt;=$S56),$V56,$U56)))=Milestones!$AB$114),UPPER(TEXT(EDATE($D56,Milestones!$AA$114),"dd mmm yy"))&amp;" "&amp;Milestones!$AB$114&amp;" "&amp;Milestones!$AC$114&amp;";  ","")&amp;IF(AND(EDATE($D56,Milestones!$AA$115)&lt;=AsOfDate,IF($R56=0,$X56,IF(AND($T56&lt;&gt;"",EDATE($D56,Milestones!$AA$115)&gt;=$T56),$W56,IF(AND($S56&lt;&gt;"",EDATE($D56,Milestones!$AA$115)&gt;=$S56),$V56,$U56)))=Milestones!$AB$115),UPPER(TEXT(EDATE($D56,Milestones!$AA$115),"dd mmm yy"))&amp;" "&amp;Milestones!$AB$115&amp;" "&amp;Milestones!$AC$115&amp;";  ","")&amp;IF(AND(EDATE($D56,Milestones!$AA$116)&lt;=AsOfDate,IF($R56=0,$X56,IF(AND($T56&lt;&gt;"",EDATE($D56,Milestones!$AA$116)&gt;=$T56),$W56,IF(AND($S56&lt;&gt;"",EDATE($D56,Milestones!$AA$116)&gt;=$S56),$V56,$U56)))=Milestones!$AB$116),UPPER(TEXT(EDATE($D56,Milestones!$AA$116),"dd mmm yy"))&amp;" "&amp;Milestones!$AB$116&amp;" "&amp;Milestones!$AC$116&amp;";  ","")&amp;IF(AND(EDATE($D56,Milestones!$AA$117)&lt;=AsOfDate,IF($R56=0,$X56,IF(AND($T56&lt;&gt;"",EDATE($D56,Milestones!$AA$117)&gt;=$T56),$W56,IF(AND($S56&lt;&gt;"",EDATE($D56,Milestones!$AA$117)&gt;=$S56),$V56,$U56)))=Milestones!$AB$117),UPPER(TEXT(EDATE($D56,Milestones!$AA$117),"dd mmm yy"))&amp;" "&amp;Milestones!$AB$117&amp;" "&amp;Milestones!$AC$117&amp;";  ","")&amp;IF(AND(EDATE($D56,Milestones!$AA$118)&lt;=AsOfDate,IF($R56=0,$X56,IF(AND($T56&lt;&gt;"",EDATE($D56,Milestones!$AA$118)&gt;=$T56),$W56,IF(AND($S56&lt;&gt;"",EDATE($D56,Milestones!$AA$118)&gt;=$S56),$V56,$U56)))=Milestones!$AB$118),UPPER(TEXT(EDATE($D56,Milestones!$AA$118),"dd mmm yy"))&amp;" "&amp;Milestones!$AB$118&amp;" "&amp;Milestones!$AC$118&amp;";  ","")&amp;IF(AND(EDATE($D56,Milestones!$AA$119)&lt;=AsOfDate,IF($R56=0,$X56,IF(AND($T56&lt;&gt;"",EDATE($D56,Milestones!$AA$119)&gt;=$T56),$W56,IF(AND($S56&lt;&gt;"",EDATE($D56,Milestones!$AA$119)&gt;=$S56),$V56,$U56)))=Milestones!$AB$119),UPPER(TEXT(EDATE($D56,Milestones!$AA$119),"dd mmm yy"))&amp;" "&amp;Milestones!$AB$119&amp;" "&amp;Milestones!$AC$119&amp;";  ",""))</f>
        <v/>
      </c>
      <c r="N56" s="0" t="str">
        <f aca="false">IF(OR($A56="",$D56=""),"",IF(AND(EDATE($D56,Milestones!$AA$120)&lt;=AsOfDate,IF($R56=0,$X56,IF(AND($T56&lt;&gt;"",EDATE($D56,Milestones!$AA$120)&gt;=$T56),$W56,IF(AND($S56&lt;&gt;"",EDATE($D56,Milestones!$AA$120)&gt;=$S56),$V56,$U56)))=Milestones!$AB$120),UPPER(TEXT(EDATE($D56,Milestones!$AA$120),"dd mmm yy"))&amp;" "&amp;Milestones!$AB$120&amp;" "&amp;Milestones!$AC$120&amp;";  ","")&amp;IF(AND(EDATE($D56,Milestones!$AA$121)&lt;=AsOfDate,IF($R56=0,$X56,IF(AND($T56&lt;&gt;"",EDATE($D56,Milestones!$AA$121)&gt;=$T56),$W56,IF(AND($S56&lt;&gt;"",EDATE($D56,Milestones!$AA$121)&gt;=$S56),$V56,$U56)))=Milestones!$AB$121),UPPER(TEXT(EDATE($D56,Milestones!$AA$121),"dd mmm yy"))&amp;" "&amp;Milestones!$AB$121&amp;" "&amp;Milestones!$AC$121&amp;";  ","")&amp;IF(AND(EDATE($D56,Milestones!$AA$122)&lt;=AsOfDate,IF($R56=0,$X56,IF(AND($T56&lt;&gt;"",EDATE($D56,Milestones!$AA$122)&gt;=$T56),$W56,IF(AND($S56&lt;&gt;"",EDATE($D56,Milestones!$AA$122)&gt;=$S56),$V56,$U56)))=Milestones!$AB$122),UPPER(TEXT(EDATE($D56,Milestones!$AA$122),"dd mmm yy"))&amp;" "&amp;Milestones!$AB$122&amp;" "&amp;Milestones!$AC$122&amp;";  ","")&amp;IF(AND(EDATE($D56,Milestones!$AA$123)&lt;=AsOfDate,IF($R56=0,$X56,IF(AND($T56&lt;&gt;"",EDATE($D56,Milestones!$AA$123)&gt;=$T56),$W56,IF(AND($S56&lt;&gt;"",EDATE($D56,Milestones!$AA$123)&gt;=$S56),$V56,$U56)))=Milestones!$AB$123),UPPER(TEXT(EDATE($D56,Milestones!$AA$123),"dd mmm yy"))&amp;" "&amp;Milestones!$AB$123&amp;" "&amp;Milestones!$AC$123&amp;";  ","")&amp;IF(AND(EDATE($D56,Milestones!$AA$124)&lt;=AsOfDate,IF($R56=0,$X56,IF(AND($T56&lt;&gt;"",EDATE($D56,Milestones!$AA$124)&gt;=$T56),$W56,IF(AND($S56&lt;&gt;"",EDATE($D56,Milestones!$AA$124)&gt;=$S56),$V56,$U56)))=Milestones!$AB$124),UPPER(TEXT(EDATE($D56,Milestones!$AA$124),"dd mmm yy"))&amp;" "&amp;Milestones!$AB$124&amp;" "&amp;Milestones!$AC$124&amp;";  ","")&amp;IF(AND(EDATE($D56,Milestones!$AA$125)&lt;=AsOfDate,IF($R56=0,$X56,IF(AND($T56&lt;&gt;"",EDATE($D56,Milestones!$AA$125)&gt;=$T56),$W56,IF(AND($S56&lt;&gt;"",EDATE($D56,Milestones!$AA$125)&gt;=$S56),$V56,$U56)))=Milestones!$AB$125),UPPER(TEXT(EDATE($D56,Milestones!$AA$125),"dd mmm yy"))&amp;" "&amp;Milestones!$AB$125&amp;" "&amp;Milestones!$AC$125&amp;";  ","")&amp;IF(AND(EDATE($D56,Milestones!$AA$126)&lt;=AsOfDate,IF($R56=0,$X56,IF(AND($T56&lt;&gt;"",EDATE($D56,Milestones!$AA$126)&gt;=$T56),$W56,IF(AND($S56&lt;&gt;"",EDATE($D56,Milestones!$AA$126)&gt;=$S56),$V56,$U56)))=Milestones!$AB$126),UPPER(TEXT(EDATE($D56,Milestones!$AA$126),"dd mmm yy"))&amp;" "&amp;Milestones!$AB$126&amp;" "&amp;Milestones!$AC$126&amp;";  ","")&amp;IF(AND(EDATE($D56,Milestones!$AA$127)&lt;=AsOfDate,IF($R56=0,$X56,IF(AND($T56&lt;&gt;"",EDATE($D56,Milestones!$AA$127)&gt;=$T56),$W56,IF(AND($S56&lt;&gt;"",EDATE($D56,Milestones!$AA$127)&gt;=$S56),$V56,$U56)))=Milestones!$AB$127),UPPER(TEXT(EDATE($D56,Milestones!$AA$127),"dd mmm yy"))&amp;" "&amp;Milestones!$AB$127&amp;" "&amp;Milestones!$AC$127&amp;";  ","")&amp;IF(AND(EDATE($D56,Milestones!$AA$128)&lt;=AsOfDate,IF($R56=0,$X56,IF(AND($T56&lt;&gt;"",EDATE($D56,Milestones!$AA$128)&gt;=$T56),$W56,IF(AND($S56&lt;&gt;"",EDATE($D56,Milestones!$AA$128)&gt;=$S56),$V56,$U56)))=Milestones!$AB$128),UPPER(TEXT(EDATE($D56,Milestones!$AA$128),"dd mmm yy"))&amp;" "&amp;Milestones!$AB$128&amp;" "&amp;Milestones!$AC$128&amp;";  ","")&amp;IF(AND(EDATE($D56,Milestones!$AA$129)&lt;=AsOfDate,IF($R56=0,$X56,IF(AND($T56&lt;&gt;"",EDATE($D56,Milestones!$AA$129)&gt;=$T56),$W56,IF(AND($S56&lt;&gt;"",EDATE($D56,Milestones!$AA$129)&gt;=$S56),$V56,$U56)))=Milestones!$AB$129),UPPER(TEXT(EDATE($D56,Milestones!$AA$129),"dd mmm yy"))&amp;" "&amp;Milestones!$AB$129&amp;" "&amp;Milestones!$AC$129&amp;";  ","")&amp;IF(AND(EDATE($D56,Milestones!$AA$130)&lt;=AsOfDate,IF($R56=0,$X56,IF(AND($T56&lt;&gt;"",EDATE($D56,Milestones!$AA$130)&gt;=$T56),$W56,IF(AND($S56&lt;&gt;"",EDATE($D56,Milestones!$AA$130)&gt;=$S56),$V56,$U56)))=Milestones!$AB$130),UPPER(TEXT(EDATE($D56,Milestones!$AA$130),"dd mmm yy"))&amp;" "&amp;Milestones!$AB$130&amp;" "&amp;Milestones!$AC$130&amp;";  ","")&amp;IF(AND(EDATE($D56,Milestones!$AA$131)&lt;=AsOfDate,IF($R56=0,$X56,IF(AND($T56&lt;&gt;"",EDATE($D56,Milestones!$AA$131)&gt;=$T56),$W56,IF(AND($S56&lt;&gt;"",EDATE($D56,Milestones!$AA$131)&gt;=$S56),$V56,$U56)))=Milestones!$AB$131),UPPER(TEXT(EDATE($D56,Milestones!$AA$131),"dd mmm yy"))&amp;" "&amp;Milestones!$AB$131&amp;" "&amp;Milestones!$AC$131&amp;";  ","")&amp;IF(AND(EDATE($D56,Milestones!$AA$132)&lt;=AsOfDate,IF($R56=0,$X56,IF(AND($T56&lt;&gt;"",EDATE($D56,Milestones!$AA$132)&gt;=$T56),$W56,IF(AND($S56&lt;&gt;"",EDATE($D56,Milestones!$AA$132)&gt;=$S56),$V56,$U56)))=Milestones!$AB$132),UPPER(TEXT(EDATE($D56,Milestones!$AA$132),"dd mmm yy"))&amp;" "&amp;Milestones!$AB$132&amp;" "&amp;Milestones!$AC$132&amp;";  ","")&amp;IF(AND(EDATE($D56,Milestones!$AA$133)&lt;=AsOfDate,IF($R56=0,$X56,IF(AND($T56&lt;&gt;"",EDATE($D56,Milestones!$AA$133)&gt;=$T56),$W56,IF(AND($S56&lt;&gt;"",EDATE($D56,Milestones!$AA$133)&gt;=$S56),$V56,$U56)))=Milestones!$AB$133),UPPER(TEXT(EDATE($D56,Milestones!$AA$133),"dd mmm yy"))&amp;" "&amp;Milestones!$AB$133&amp;" "&amp;Milestones!$AC$133&amp;";  ","")&amp;IF(AND(EDATE($D56,Milestones!$AA$134)&lt;=AsOfDate,IF($R56=0,$X56,IF(AND($T56&lt;&gt;"",EDATE($D56,Milestones!$AA$134)&gt;=$T56),$W56,IF(AND($S56&lt;&gt;"",EDATE($D56,Milestones!$AA$134)&gt;=$S56),$V56,$U56)))=Milestones!$AB$134),UPPER(TEXT(EDATE($D56,Milestones!$AA$134),"dd mmm yy"))&amp;" "&amp;Milestones!$AB$134&amp;" "&amp;Milestones!$AC$134&amp;";  ","")&amp;IF(AND(EDATE($D56,Milestones!$AA$135)&lt;=AsOfDate,IF($R56=0,$X56,IF(AND($T56&lt;&gt;"",EDATE($D56,Milestones!$AA$135)&gt;=$T56),$W56,IF(AND($S56&lt;&gt;"",EDATE($D56,Milestones!$AA$135)&gt;=$S56),$V56,$U56)))=Milestones!$AB$135),UPPER(TEXT(EDATE($D56,Milestones!$AA$135),"dd mmm yy"))&amp;" "&amp;Milestones!$AB$135&amp;" "&amp;Milestones!$AC$135&amp;";  ","")&amp;IF(AND(EDATE($D56,Milestones!$AA$136)&lt;=AsOfDate,IF($R56=0,$X56,IF(AND($T56&lt;&gt;"",EDATE($D56,Milestones!$AA$136)&gt;=$T56),$W56,IF(AND($S56&lt;&gt;"",EDATE($D56,Milestones!$AA$136)&gt;=$S56),$V56,$U56)))=Milestones!$AB$136),UPPER(TEXT(EDATE($D56,Milestones!$AA$136),"dd mmm yy"))&amp;" "&amp;Milestones!$AB$136&amp;" "&amp;Milestones!$AC$136&amp;";  ","")&amp;IF(AND(EDATE($D56,Milestones!$AA$137)&lt;=AsOfDate,IF($R56=0,$X56,IF(AND($T56&lt;&gt;"",EDATE($D56,Milestones!$AA$137)&gt;=$T56),$W56,IF(AND($S56&lt;&gt;"",EDATE($D56,Milestones!$AA$137)&gt;=$S56),$V56,$U56)))=Milestones!$AB$137),UPPER(TEXT(EDATE($D56,Milestones!$AA$137),"dd mmm yy"))&amp;" "&amp;Milestones!$AB$137&amp;" "&amp;Milestones!$AC$137&amp;";  ","")&amp;IF(AND(EDATE($D56,Milestones!$AA$138)&lt;=AsOfDate,IF($R56=0,$X56,IF(AND($T56&lt;&gt;"",EDATE($D56,Milestones!$AA$138)&gt;=$T56),$W56,IF(AND($S56&lt;&gt;"",EDATE($D56,Milestones!$AA$138)&gt;=$S56),$V56,$U56)))=Milestones!$AB$138),UPPER(TEXT(EDATE($D56,Milestones!$AA$138),"dd mmm yy"))&amp;" "&amp;Milestones!$AB$138&amp;" "&amp;Milestones!$AC$138&amp;";  ","")&amp;IF(AND(EDATE($D56,Milestones!$AA$139)&lt;=AsOfDate,IF($R56=0,$X56,IF(AND($T56&lt;&gt;"",EDATE($D56,Milestones!$AA$139)&gt;=$T56),$W56,IF(AND($S56&lt;&gt;"",EDATE($D56,Milestones!$AA$139)&gt;=$S56),$V56,$U56)))=Milestones!$AB$139),UPPER(TEXT(EDATE($D56,Milestones!$AA$139),"dd mmm yy"))&amp;" "&amp;Milestones!$AB$139&amp;" "&amp;Milestones!$AC$139&amp;";  ",""))</f>
        <v/>
      </c>
      <c r="O56" s="0" t="str">
        <f aca="false">IF(OR($A56="",$D56=""),"",IF(AND(EDATE($D56,Milestones!$AA$140)&lt;=AsOfDate,IF($R56=0,$X56,IF(AND($T56&lt;&gt;"",EDATE($D56,Milestones!$AA$140)&gt;=$T56),$W56,IF(AND($S56&lt;&gt;"",EDATE($D56,Milestones!$AA$140)&gt;=$S56),$V56,$U56)))=Milestones!$AB$140),UPPER(TEXT(EDATE($D56,Milestones!$AA$140),"dd mmm yy"))&amp;" "&amp;Milestones!$AB$140&amp;" "&amp;Milestones!$AC$140&amp;";  ","")&amp;IF(AND(EDATE($D56,Milestones!$AA$141)&lt;=AsOfDate,IF($R56=0,$X56,IF(AND($T56&lt;&gt;"",EDATE($D56,Milestones!$AA$141)&gt;=$T56),$W56,IF(AND($S56&lt;&gt;"",EDATE($D56,Milestones!$AA$141)&gt;=$S56),$V56,$U56)))=Milestones!$AB$141),UPPER(TEXT(EDATE($D56,Milestones!$AA$141),"dd mmm yy"))&amp;" "&amp;Milestones!$AB$141&amp;" "&amp;Milestones!$AC$141&amp;";  ","")&amp;IF(AND(EDATE($D56,Milestones!$AA$142)&lt;=AsOfDate,IF($R56=0,$X56,IF(AND($T56&lt;&gt;"",EDATE($D56,Milestones!$AA$142)&gt;=$T56),$W56,IF(AND($S56&lt;&gt;"",EDATE($D56,Milestones!$AA$142)&gt;=$S56),$V56,$U56)))=Milestones!$AB$142),UPPER(TEXT(EDATE($D56,Milestones!$AA$142),"dd mmm yy"))&amp;" "&amp;Milestones!$AB$142&amp;" "&amp;Milestones!$AC$142&amp;";  ","")&amp;IF(AND(EDATE($D56,Milestones!$AA$143)&lt;=AsOfDate,IF($R56=0,$X56,IF(AND($T56&lt;&gt;"",EDATE($D56,Milestones!$AA$143)&gt;=$T56),$W56,IF(AND($S56&lt;&gt;"",EDATE($D56,Milestones!$AA$143)&gt;=$S56),$V56,$U56)))=Milestones!$AB$143),UPPER(TEXT(EDATE($D56,Milestones!$AA$143),"dd mmm yy"))&amp;" "&amp;Milestones!$AB$143&amp;" "&amp;Milestones!$AC$143&amp;";  ","")&amp;IF(AND(EDATE($D56,Milestones!$AA$144)&lt;=AsOfDate,IF($R56=0,$X56,IF(AND($T56&lt;&gt;"",EDATE($D56,Milestones!$AA$144)&gt;=$T56),$W56,IF(AND($S56&lt;&gt;"",EDATE($D56,Milestones!$AA$144)&gt;=$S56),$V56,$U56)))=Milestones!$AB$144),UPPER(TEXT(EDATE($D56,Milestones!$AA$144),"dd mmm yy"))&amp;" "&amp;Milestones!$AB$144&amp;" "&amp;Milestones!$AC$144&amp;";  ","")&amp;IF(AND(EDATE($D56,Milestones!$AA$145)&lt;=AsOfDate,IF($R56=0,$X56,IF(AND($T56&lt;&gt;"",EDATE($D56,Milestones!$AA$145)&gt;=$T56),$W56,IF(AND($S56&lt;&gt;"",EDATE($D56,Milestones!$AA$145)&gt;=$S56),$V56,$U56)))=Milestones!$AB$145),UPPER(TEXT(EDATE($D56,Milestones!$AA$145),"dd mmm yy"))&amp;" "&amp;Milestones!$AB$145&amp;" "&amp;Milestones!$AC$145&amp;";  ","")&amp;IF(AND(EDATE($D56,Milestones!$AA$146)&lt;=AsOfDate,IF($R56=0,$X56,IF(AND($T56&lt;&gt;"",EDATE($D56,Milestones!$AA$146)&gt;=$T56),$W56,IF(AND($S56&lt;&gt;"",EDATE($D56,Milestones!$AA$146)&gt;=$S56),$V56,$U56)))=Milestones!$AB$146),UPPER(TEXT(EDATE($D56,Milestones!$AA$146),"dd mmm yy"))&amp;" "&amp;Milestones!$AB$146&amp;" "&amp;Milestones!$AC$146&amp;";  ","")&amp;IF(AND(EDATE($D56,Milestones!$AA$147)&lt;=AsOfDate,IF($R56=0,$X56,IF(AND($T56&lt;&gt;"",EDATE($D56,Milestones!$AA$147)&gt;=$T56),$W56,IF(AND($S56&lt;&gt;"",EDATE($D56,Milestones!$AA$147)&gt;=$S56),$V56,$U56)))=Milestones!$AB$147),UPPER(TEXT(EDATE($D56,Milestones!$AA$147),"dd mmm yy"))&amp;" "&amp;Milestones!$AB$147&amp;" "&amp;Milestones!$AC$147&amp;";  ","")&amp;IF(AND(EDATE($D56,Milestones!$AA$148)&lt;=AsOfDate,IF($R56=0,$X56,IF(AND($T56&lt;&gt;"",EDATE($D56,Milestones!$AA$148)&gt;=$T56),$W56,IF(AND($S56&lt;&gt;"",EDATE($D56,Milestones!$AA$148)&gt;=$S56),$V56,$U56)))=Milestones!$AB$148),UPPER(TEXT(EDATE($D56,Milestones!$AA$148),"dd mmm yy"))&amp;" "&amp;Milestones!$AB$148&amp;" "&amp;Milestones!$AC$148&amp;";  ","")&amp;IF(AND(EDATE($D56,Milestones!$AA$149)&lt;=AsOfDate,IF($R56=0,$X56,IF(AND($T56&lt;&gt;"",EDATE($D56,Milestones!$AA$149)&gt;=$T56),$W56,IF(AND($S56&lt;&gt;"",EDATE($D56,Milestones!$AA$149)&gt;=$S56),$V56,$U56)))=Milestones!$AB$149),UPPER(TEXT(EDATE($D56,Milestones!$AA$149),"dd mmm yy"))&amp;" "&amp;Milestones!$AB$149&amp;" "&amp;Milestones!$AC$149&amp;";  ","")&amp;IF(AND(EDATE($D56,Milestones!$AA$150)&lt;=AsOfDate,IF($R56=0,$X56,IF(AND($T56&lt;&gt;"",EDATE($D56,Milestones!$AA$150)&gt;=$T56),$W56,IF(AND($S56&lt;&gt;"",EDATE($D56,Milestones!$AA$150)&gt;=$S56),$V56,$U56)))=Milestones!$AB$150),UPPER(TEXT(EDATE($D56,Milestones!$AA$150),"dd mmm yy"))&amp;" "&amp;Milestones!$AB$150&amp;" "&amp;Milestones!$AC$150&amp;";  ","")&amp;IF(AND(EDATE($D56,Milestones!$AA$151)&lt;=AsOfDate,IF($R56=0,$X56,IF(AND($T56&lt;&gt;"",EDATE($D56,Milestones!$AA$151)&gt;=$T56),$W56,IF(AND($S56&lt;&gt;"",EDATE($D56,Milestones!$AA$151)&gt;=$S56),$V56,$U56)))=Milestones!$AB$151),UPPER(TEXT(EDATE($D56,Milestones!$AA$151),"dd mmm yy"))&amp;" "&amp;Milestones!$AB$151&amp;" "&amp;Milestones!$AC$151&amp;";  ","")&amp;IF(AND(EDATE($D56,Milestones!$AA$152)&lt;=AsOfDate,IF($R56=0,$X56,IF(AND($T56&lt;&gt;"",EDATE($D56,Milestones!$AA$152)&gt;=$T56),$W56,IF(AND($S56&lt;&gt;"",EDATE($D56,Milestones!$AA$152)&gt;=$S56),$V56,$U56)))=Milestones!$AB$152),UPPER(TEXT(EDATE($D56,Milestones!$AA$152),"dd mmm yy"))&amp;" "&amp;Milestones!$AB$152&amp;" "&amp;Milestones!$AC$152&amp;";  ","")&amp;IF(AND(EDATE($D56,Milestones!$AA$153)&lt;=AsOfDate,IF($R56=0,$X56,IF(AND($T56&lt;&gt;"",EDATE($D56,Milestones!$AA$153)&gt;=$T56),$W56,IF(AND($S56&lt;&gt;"",EDATE($D56,Milestones!$AA$153)&gt;=$S56),$V56,$U56)))=Milestones!$AB$153),UPPER(TEXT(EDATE($D56,Milestones!$AA$153),"dd mmm yy"))&amp;" "&amp;Milestones!$AB$153&amp;" "&amp;Milestones!$AC$153&amp;";  ","")&amp;IF(AND(EDATE($D56,Milestones!$AA$154)&lt;=AsOfDate,IF($R56=0,$X56,IF(AND($T56&lt;&gt;"",EDATE($D56,Milestones!$AA$154)&gt;=$T56),$W56,IF(AND($S56&lt;&gt;"",EDATE($D56,Milestones!$AA$154)&gt;=$S56),$V56,$U56)))=Milestones!$AB$154),UPPER(TEXT(EDATE($D56,Milestones!$AA$154),"dd mmm yy"))&amp;" "&amp;Milestones!$AB$154&amp;" "&amp;Milestones!$AC$154&amp;";  ","")&amp;IF(AND(EDATE($D56,Milestones!$AA$155)&lt;=AsOfDate,IF($R56=0,$X56,IF(AND($T56&lt;&gt;"",EDATE($D56,Milestones!$AA$155)&gt;=$T56),$W56,IF(AND($S56&lt;&gt;"",EDATE($D56,Milestones!$AA$155)&gt;=$S56),$V56,$U56)))=Milestones!$AB$155),UPPER(TEXT(EDATE($D56,Milestones!$AA$155),"dd mmm yy"))&amp;" "&amp;Milestones!$AB$155&amp;" "&amp;Milestones!$AC$155&amp;";  ","")&amp;IF(AND(EDATE($D56,Milestones!$AA$156)&lt;=AsOfDate,IF($R56=0,$X56,IF(AND($T56&lt;&gt;"",EDATE($D56,Milestones!$AA$156)&gt;=$T56),$W56,IF(AND($S56&lt;&gt;"",EDATE($D56,Milestones!$AA$156)&gt;=$S56),$V56,$U56)))=Milestones!$AB$156),UPPER(TEXT(EDATE($D56,Milestones!$AA$156),"dd mmm yy"))&amp;" "&amp;Milestones!$AB$156&amp;" "&amp;Milestones!$AC$156&amp;";  ","")&amp;IF(AND(EDATE($D56,Milestones!$AA$157)&lt;=AsOfDate,IF($R56=0,$X56,IF(AND($T56&lt;&gt;"",EDATE($D56,Milestones!$AA$157)&gt;=$T56),$W56,IF(AND($S56&lt;&gt;"",EDATE($D56,Milestones!$AA$157)&gt;=$S56),$V56,$U56)))=Milestones!$AB$157),UPPER(TEXT(EDATE($D56,Milestones!$AA$157),"dd mmm yy"))&amp;" "&amp;Milestones!$AB$157&amp;" "&amp;Milestones!$AC$157&amp;";  ","")&amp;IF(AND(EDATE($D56,Milestones!$AA$158)&lt;=AsOfDate,IF($R56=0,$X56,IF(AND($T56&lt;&gt;"",EDATE($D56,Milestones!$AA$158)&gt;=$T56),$W56,IF(AND($S56&lt;&gt;"",EDATE($D56,Milestones!$AA$158)&gt;=$S56),$V56,$U56)))=Milestones!$AB$158),UPPER(TEXT(EDATE($D56,Milestones!$AA$158),"dd mmm yy"))&amp;" "&amp;Milestones!$AB$158&amp;" "&amp;Milestones!$AC$158&amp;";  ","")&amp;IF(AND(EDATE($D56,Milestones!$AA$159)&lt;=AsOfDate,IF($R56=0,$X56,IF(AND($T56&lt;&gt;"",EDATE($D56,Milestones!$AA$159)&gt;=$T56),$W56,IF(AND($S56&lt;&gt;"",EDATE($D56,Milestones!$AA$159)&gt;=$S56),$V56,$U56)))=Milestones!$AB$159),UPPER(TEXT(EDATE($D56,Milestones!$AA$159),"dd mmm yy"))&amp;" "&amp;Milestones!$AB$159&amp;" "&amp;Milestones!$AC$159&amp;";  ",""))</f>
        <v/>
      </c>
      <c r="P56" s="0" t="str">
        <f aca="false">IF(OR($A56="",$D56=""),"",IF(AND(EDATE($D56,Milestones!$AA$160)&lt;=AsOfDate,IF($R56=0,$X56,IF(AND($T56&lt;&gt;"",EDATE($D56,Milestones!$AA$160)&gt;=$T56),$W56,IF(AND($S56&lt;&gt;"",EDATE($D56,Milestones!$AA$160)&gt;=$S56),$V56,$U56)))=Milestones!$AB$160),UPPER(TEXT(EDATE($D56,Milestones!$AA$160),"dd mmm yy"))&amp;" "&amp;Milestones!$AB$160&amp;" "&amp;Milestones!$AC$160&amp;";  ","")&amp;IF(AND(EDATE($D56,Milestones!$AA$161)&lt;=AsOfDate,IF($R56=0,$X56,IF(AND($T56&lt;&gt;"",EDATE($D56,Milestones!$AA$161)&gt;=$T56),$W56,IF(AND($S56&lt;&gt;"",EDATE($D56,Milestones!$AA$161)&gt;=$S56),$V56,$U56)))=Milestones!$AB$161),UPPER(TEXT(EDATE($D56,Milestones!$AA$161),"dd mmm yy"))&amp;" "&amp;Milestones!$AB$161&amp;" "&amp;Milestones!$AC$161&amp;";  ","")&amp;IF(AND(EDATE($D56,Milestones!$AA$162)&lt;=AsOfDate,IF($R56=0,$X56,IF(AND($T56&lt;&gt;"",EDATE($D56,Milestones!$AA$162)&gt;=$T56),$W56,IF(AND($S56&lt;&gt;"",EDATE($D56,Milestones!$AA$162)&gt;=$S56),$V56,$U56)))=Milestones!$AB$162),UPPER(TEXT(EDATE($D56,Milestones!$AA$162),"dd mmm yy"))&amp;" "&amp;Milestones!$AB$162&amp;" "&amp;Milestones!$AC$162&amp;";  ","")&amp;IF(AND(EDATE($D56,Milestones!$AA$163)&lt;=AsOfDate,IF($R56=0,$X56,IF(AND($T56&lt;&gt;"",EDATE($D56,Milestones!$AA$163)&gt;=$T56),$W56,IF(AND($S56&lt;&gt;"",EDATE($D56,Milestones!$AA$163)&gt;=$S56),$V56,$U56)))=Milestones!$AB$163),UPPER(TEXT(EDATE($D56,Milestones!$AA$163),"dd mmm yy"))&amp;" "&amp;Milestones!$AB$163&amp;" "&amp;Milestones!$AC$163&amp;";  ","")&amp;IF(AND(EDATE($D56,Milestones!$AA$164)&lt;=AsOfDate,IF($R56=0,$X56,IF(AND($T56&lt;&gt;"",EDATE($D56,Milestones!$AA$164)&gt;=$T56),$W56,IF(AND($S56&lt;&gt;"",EDATE($D56,Milestones!$AA$164)&gt;=$S56),$V56,$U56)))=Milestones!$AB$164),UPPER(TEXT(EDATE($D56,Milestones!$AA$164),"dd mmm yy"))&amp;" "&amp;Milestones!$AB$164&amp;" "&amp;Milestones!$AC$164&amp;";  ","")&amp;IF(AND(EDATE($D56,Milestones!$AA$165)&lt;=AsOfDate,IF($R56=0,$X56,IF(AND($T56&lt;&gt;"",EDATE($D56,Milestones!$AA$165)&gt;=$T56),$W56,IF(AND($S56&lt;&gt;"",EDATE($D56,Milestones!$AA$165)&gt;=$S56),$V56,$U56)))=Milestones!$AB$165),UPPER(TEXT(EDATE($D56,Milestones!$AA$165),"dd mmm yy"))&amp;" "&amp;Milestones!$AB$165&amp;" "&amp;Milestones!$AC$165&amp;";  ","")&amp;IF(AND(EDATE($D56,Milestones!$AA$166)&lt;=AsOfDate,IF($R56=0,$X56,IF(AND($T56&lt;&gt;"",EDATE($D56,Milestones!$AA$166)&gt;=$T56),$W56,IF(AND($S56&lt;&gt;"",EDATE($D56,Milestones!$AA$166)&gt;=$S56),$V56,$U56)))=Milestones!$AB$166),UPPER(TEXT(EDATE($D56,Milestones!$AA$166),"dd mmm yy"))&amp;" "&amp;Milestones!$AB$166&amp;" "&amp;Milestones!$AC$166&amp;";  ","")&amp;IF(AND(EDATE($D56,Milestones!$AA$167)&lt;=AsOfDate,IF($R56=0,$X56,IF(AND($T56&lt;&gt;"",EDATE($D56,Milestones!$AA$167)&gt;=$T56),$W56,IF(AND($S56&lt;&gt;"",EDATE($D56,Milestones!$AA$167)&gt;=$S56),$V56,$U56)))=Milestones!$AB$167),UPPER(TEXT(EDATE($D56,Milestones!$AA$167),"dd mmm yy"))&amp;" "&amp;Milestones!$AB$167&amp;" "&amp;Milestones!$AC$167&amp;";  ","")&amp;IF(AND(EDATE($D56,Milestones!$AA$168)&lt;=AsOfDate,IF($R56=0,$X56,IF(AND($T56&lt;&gt;"",EDATE($D56,Milestones!$AA$168)&gt;=$T56),$W56,IF(AND($S56&lt;&gt;"",EDATE($D56,Milestones!$AA$168)&gt;=$S56),$V56,$U56)))=Milestones!$AB$168),UPPER(TEXT(EDATE($D56,Milestones!$AA$168),"dd mmm yy"))&amp;" "&amp;Milestones!$AB$168&amp;" "&amp;Milestones!$AC$168&amp;";  ","")&amp;IF(AND(EDATE($D56,Milestones!$AA$169)&lt;=AsOfDate,IF($R56=0,$X56,IF(AND($T56&lt;&gt;"",EDATE($D56,Milestones!$AA$169)&gt;=$T56),$W56,IF(AND($S56&lt;&gt;"",EDATE($D56,Milestones!$AA$169)&gt;=$S56),$V56,$U56)))=Milestones!$AB$169),UPPER(TEXT(EDATE($D56,Milestones!$AA$169),"dd mmm yy"))&amp;" "&amp;Milestones!$AB$169&amp;" "&amp;Milestones!$AC$169&amp;";  ","")&amp;IF(AND(EDATE($D56,Milestones!$AA$170)&lt;=AsOfDate,IF($R56=0,$X56,IF(AND($T56&lt;&gt;"",EDATE($D56,Milestones!$AA$170)&gt;=$T56),$W56,IF(AND($S56&lt;&gt;"",EDATE($D56,Milestones!$AA$170)&gt;=$S56),$V56,$U56)))=Milestones!$AB$170),UPPER(TEXT(EDATE($D56,Milestones!$AA$170),"dd mmm yy"))&amp;" "&amp;Milestones!$AB$170&amp;" "&amp;Milestones!$AC$170&amp;";  ","")&amp;IF(AND(EDATE($D56,Milestones!$AA$171)&lt;=AsOfDate,IF($R56=0,$X56,IF(AND($T56&lt;&gt;"",EDATE($D56,Milestones!$AA$171)&gt;=$T56),$W56,IF(AND($S56&lt;&gt;"",EDATE($D56,Milestones!$AA$171)&gt;=$S56),$V56,$U56)))=Milestones!$AB$171),UPPER(TEXT(EDATE($D56,Milestones!$AA$171),"dd mmm yy"))&amp;" "&amp;Milestones!$AB$171&amp;" "&amp;Milestones!$AC$171&amp;";  ","")&amp;IF(AND(EDATE($D56,Milestones!$AA$172)&lt;=AsOfDate,IF($R56=0,$X56,IF(AND($T56&lt;&gt;"",EDATE($D56,Milestones!$AA$172)&gt;=$T56),$W56,IF(AND($S56&lt;&gt;"",EDATE($D56,Milestones!$AA$172)&gt;=$S56),$V56,$U56)))=Milestones!$AB$172),UPPER(TEXT(EDATE($D56,Milestones!$AA$172),"dd mmm yy"))&amp;" "&amp;Milestones!$AB$172&amp;" "&amp;Milestones!$AC$172&amp;";  ","")&amp;IF(AND(EDATE($D56,Milestones!$AA$173)&lt;=AsOfDate,IF($R56=0,$X56,IF(AND($T56&lt;&gt;"",EDATE($D56,Milestones!$AA$173)&gt;=$T56),$W56,IF(AND($S56&lt;&gt;"",EDATE($D56,Milestones!$AA$173)&gt;=$S56),$V56,$U56)))=Milestones!$AB$173),UPPER(TEXT(EDATE($D56,Milestones!$AA$173),"dd mmm yy"))&amp;" "&amp;Milestones!$AB$173&amp;" "&amp;Milestones!$AC$173&amp;";  ","")&amp;IF(AND(EDATE($D56,Milestones!$AA$174)&lt;=AsOfDate,IF($R56=0,$X56,IF(AND($T56&lt;&gt;"",EDATE($D56,Milestones!$AA$174)&gt;=$T56),$W56,IF(AND($S56&lt;&gt;"",EDATE($D56,Milestones!$AA$174)&gt;=$S56),$V56,$U56)))=Milestones!$AB$174),UPPER(TEXT(EDATE($D56,Milestones!$AA$174),"dd mmm yy"))&amp;" "&amp;Milestones!$AB$174&amp;" "&amp;Milestones!$AC$174&amp;";  ","")&amp;IF(AND(EDATE($D56,Milestones!$AA$175)&lt;=AsOfDate,IF($R56=0,$X56,IF(AND($T56&lt;&gt;"",EDATE($D56,Milestones!$AA$175)&gt;=$T56),$W56,IF(AND($S56&lt;&gt;"",EDATE($D56,Milestones!$AA$175)&gt;=$S56),$V56,$U56)))=Milestones!$AB$175),UPPER(TEXT(EDATE($D56,Milestones!$AA$175),"dd mmm yy"))&amp;" "&amp;Milestones!$AB$175&amp;" "&amp;Milestones!$AC$175&amp;";  ","")&amp;IF(AND(EDATE($D56,Milestones!$AA$176)&lt;=AsOfDate,IF($R56=0,$X56,IF(AND($T56&lt;&gt;"",EDATE($D56,Milestones!$AA$176)&gt;=$T56),$W56,IF(AND($S56&lt;&gt;"",EDATE($D56,Milestones!$AA$176)&gt;=$S56),$V56,$U56)))=Milestones!$AB$176),UPPER(TEXT(EDATE($D56,Milestones!$AA$176),"dd mmm yy"))&amp;" "&amp;Milestones!$AB$176&amp;" "&amp;Milestones!$AC$176&amp;";  ","")&amp;IF(AND(EDATE($D56,Milestones!$AA$177)&lt;=AsOfDate,IF($R56=0,$X56,IF(AND($T56&lt;&gt;"",EDATE($D56,Milestones!$AA$177)&gt;=$T56),$W56,IF(AND($S56&lt;&gt;"",EDATE($D56,Milestones!$AA$177)&gt;=$S56),$V56,$U56)))=Milestones!$AB$177),UPPER(TEXT(EDATE($D56,Milestones!$AA$177),"dd mmm yy"))&amp;" "&amp;Milestones!$AB$177&amp;" "&amp;Milestones!$AC$177&amp;";  ","")&amp;IF(AND(EDATE($D56,Milestones!$AA$178)&lt;=AsOfDate,IF($R56=0,$X56,IF(AND($T56&lt;&gt;"",EDATE($D56,Milestones!$AA$178)&gt;=$T56),$W56,IF(AND($S56&lt;&gt;"",EDATE($D56,Milestones!$AA$178)&gt;=$S56),$V56,$U56)))=Milestones!$AB$178),UPPER(TEXT(EDATE($D56,Milestones!$AA$178),"dd mmm yy"))&amp;" "&amp;Milestones!$AB$178&amp;" "&amp;Milestones!$AC$178&amp;";  ","")&amp;IF(AND(EDATE($D56,Milestones!$AA$179)&lt;=AsOfDate,IF($R56=0,$X56,IF(AND($T56&lt;&gt;"",EDATE($D56,Milestones!$AA$179)&gt;=$T56),$W56,IF(AND($S56&lt;&gt;"",EDATE($D56,Milestones!$AA$179)&gt;=$S56),$V56,$U56)))=Milestones!$AB$179),UPPER(TEXT(EDATE($D56,Milestones!$AA$179),"dd mmm yy"))&amp;" "&amp;Milestones!$AB$179&amp;" "&amp;Milestones!$AC$179&amp;";  ",""))</f>
        <v/>
      </c>
      <c r="Q56" s="0" t="str">
        <f aca="false">IF(OR($A56="",$D56=""),"",IF(AND(EDATE($D56,Milestones!$AA$180)&lt;=AsOfDate,IF($R56=0,$X56,IF(AND($T56&lt;&gt;"",EDATE($D56,Milestones!$AA$180)&gt;=$T56),$W56,IF(AND($S56&lt;&gt;"",EDATE($D56,Milestones!$AA$180)&gt;=$S56),$V56,$U56)))=Milestones!$AB$180),UPPER(TEXT(EDATE($D56,Milestones!$AA$180),"dd mmm yy"))&amp;" "&amp;Milestones!$AB$180&amp;" "&amp;Milestones!$AC$180&amp;";  ","")&amp;IF(AND(EDATE($D56,Milestones!$AA$181)&lt;=AsOfDate,IF($R56=0,$X56,IF(AND($T56&lt;&gt;"",EDATE($D56,Milestones!$AA$181)&gt;=$T56),$W56,IF(AND($S56&lt;&gt;"",EDATE($D56,Milestones!$AA$181)&gt;=$S56),$V56,$U56)))=Milestones!$AB$181),UPPER(TEXT(EDATE($D56,Milestones!$AA$181),"dd mmm yy"))&amp;" "&amp;Milestones!$AB$181&amp;" "&amp;Milestones!$AC$181&amp;";  ","")&amp;IF(AND(EDATE($D56,Milestones!$AA$182)&lt;=AsOfDate,IF($R56=0,$X56,IF(AND($T56&lt;&gt;"",EDATE($D56,Milestones!$AA$182)&gt;=$T56),$W56,IF(AND($S56&lt;&gt;"",EDATE($D56,Milestones!$AA$182)&gt;=$S56),$V56,$U56)))=Milestones!$AB$182),UPPER(TEXT(EDATE($D56,Milestones!$AA$182),"dd mmm yy"))&amp;" "&amp;Milestones!$AB$182&amp;" "&amp;Milestones!$AC$182&amp;";  ","")&amp;IF(AND(EDATE($D56,Milestones!$AA$183)&lt;=AsOfDate,IF($R56=0,$X56,IF(AND($T56&lt;&gt;"",EDATE($D56,Milestones!$AA$183)&gt;=$T56),$W56,IF(AND($S56&lt;&gt;"",EDATE($D56,Milestones!$AA$183)&gt;=$S56),$V56,$U56)))=Milestones!$AB$183),UPPER(TEXT(EDATE($D56,Milestones!$AA$183),"dd mmm yy"))&amp;" "&amp;Milestones!$AB$183&amp;" "&amp;Milestones!$AC$183&amp;";  ","")&amp;IF(AND(EDATE($D56,Milestones!$AA$184)&lt;=AsOfDate,IF($R56=0,$X56,IF(AND($T56&lt;&gt;"",EDATE($D56,Milestones!$AA$184)&gt;=$T56),$W56,IF(AND($S56&lt;&gt;"",EDATE($D56,Milestones!$AA$184)&gt;=$S56),$V56,$U56)))=Milestones!$AB$184),UPPER(TEXT(EDATE($D56,Milestones!$AA$184),"dd mmm yy"))&amp;" "&amp;Milestones!$AB$184&amp;" "&amp;Milestones!$AC$184&amp;";  ","")&amp;IF(AND(EDATE($D56,Milestones!$AA$185)&lt;=AsOfDate,IF($R56=0,$X56,IF(AND($T56&lt;&gt;"",EDATE($D56,Milestones!$AA$185)&gt;=$T56),$W56,IF(AND($S56&lt;&gt;"",EDATE($D56,Milestones!$AA$185)&gt;=$S56),$V56,$U56)))=Milestones!$AB$185),UPPER(TEXT(EDATE($D56,Milestones!$AA$185),"dd mmm yy"))&amp;" "&amp;Milestones!$AB$185&amp;" "&amp;Milestones!$AC$185&amp;";  ","")&amp;IF(AND(EDATE($D56,Milestones!$AA$186)&lt;=AsOfDate,IF($R56=0,$X56,IF(AND($T56&lt;&gt;"",EDATE($D56,Milestones!$AA$186)&gt;=$T56),$W56,IF(AND($S56&lt;&gt;"",EDATE($D56,Milestones!$AA$186)&gt;=$S56),$V56,$U56)))=Milestones!$AB$186),UPPER(TEXT(EDATE($D56,Milestones!$AA$186),"dd mmm yy"))&amp;" "&amp;Milestones!$AB$186&amp;" "&amp;Milestones!$AC$186&amp;";  ","")&amp;IF(AND(EDATE($D56,Milestones!$AA$187)&lt;=AsOfDate,IF($R56=0,$X56,IF(AND($T56&lt;&gt;"",EDATE($D56,Milestones!$AA$187)&gt;=$T56),$W56,IF(AND($S56&lt;&gt;"",EDATE($D56,Milestones!$AA$187)&gt;=$S56),$V56,$U56)))=Milestones!$AB$187),UPPER(TEXT(EDATE($D56,Milestones!$AA$187),"dd mmm yy"))&amp;" "&amp;Milestones!$AB$187&amp;" "&amp;Milestones!$AC$187&amp;";  ","")&amp;IF(AND(EDATE($D56,Milestones!$AA$188)&lt;=AsOfDate,IF($R56=0,$X56,IF(AND($T56&lt;&gt;"",EDATE($D56,Milestones!$AA$188)&gt;=$T56),$W56,IF(AND($S56&lt;&gt;"",EDATE($D56,Milestones!$AA$188)&gt;=$S56),$V56,$U56)))=Milestones!$AB$188),UPPER(TEXT(EDATE($D56,Milestones!$AA$188),"dd mmm yy"))&amp;" "&amp;Milestones!$AB$188&amp;" "&amp;Milestones!$AC$188&amp;";  ","")&amp;IF(AND(EDATE($D56,Milestones!$AA$189)&lt;=AsOfDate,IF($R56=0,$X56,IF(AND($T56&lt;&gt;"",EDATE($D56,Milestones!$AA$189)&gt;=$T56),$W56,IF(AND($S56&lt;&gt;"",EDATE($D56,Milestones!$AA$189)&gt;=$S56),$V56,$U56)))=Milestones!$AB$189),UPPER(TEXT(EDATE($D56,Milestones!$AA$189),"dd mmm yy"))&amp;" "&amp;Milestones!$AB$189&amp;" "&amp;Milestones!$AC$189&amp;";  ","")&amp;IF(AND(EDATE($D56,Milestones!$AA$190)&lt;=AsOfDate,IF($R56=0,$X56,IF(AND($T56&lt;&gt;"",EDATE($D56,Milestones!$AA$190)&gt;=$T56),$W56,IF(AND($S56&lt;&gt;"",EDATE($D56,Milestones!$AA$190)&gt;=$S56),$V56,$U56)))=Milestones!$AB$190),UPPER(TEXT(EDATE($D56,Milestones!$AA$190),"dd mmm yy"))&amp;" "&amp;Milestones!$AB$190&amp;" "&amp;Milestones!$AC$190&amp;";  ","")&amp;IF(AND(EDATE($D56,Milestones!$AA$191)&lt;=AsOfDate,IF($R56=0,$X56,IF(AND($T56&lt;&gt;"",EDATE($D56,Milestones!$AA$191)&gt;=$T56),$W56,IF(AND($S56&lt;&gt;"",EDATE($D56,Milestones!$AA$191)&gt;=$S56),$V56,$U56)))=Milestones!$AB$191),UPPER(TEXT(EDATE($D56,Milestones!$AA$191),"dd mmm yy"))&amp;" "&amp;Milestones!$AB$191&amp;" "&amp;Milestones!$AC$191&amp;";  ","")&amp;IF(AND(EDATE($D56,Milestones!$AA$192)&lt;=AsOfDate,IF($R56=0,$X56,IF(AND($T56&lt;&gt;"",EDATE($D56,Milestones!$AA$192)&gt;=$T56),$W56,IF(AND($S56&lt;&gt;"",EDATE($D56,Milestones!$AA$192)&gt;=$S56),$V56,$U56)))=Milestones!$AB$192),UPPER(TEXT(EDATE($D56,Milestones!$AA$192),"dd mmm yy"))&amp;" "&amp;Milestones!$AB$192&amp;" "&amp;Milestones!$AC$192&amp;";  ","")&amp;IF(AND(EDATE($D56,Milestones!$AA$193)&lt;=AsOfDate,IF($R56=0,$X56,IF(AND($T56&lt;&gt;"",EDATE($D56,Milestones!$AA$193)&gt;=$T56),$W56,IF(AND($S56&lt;&gt;"",EDATE($D56,Milestones!$AA$193)&gt;=$S56),$V56,$U56)))=Milestones!$AB$193),UPPER(TEXT(EDATE($D56,Milestones!$AA$193),"dd mmm yy"))&amp;" "&amp;Milestones!$AB$193&amp;" "&amp;Milestones!$AC$193&amp;";  ","")&amp;IF(AND(EDATE($D56,Milestones!$AA$194)&lt;=AsOfDate,IF($R56=0,$X56,IF(AND($T56&lt;&gt;"",EDATE($D56,Milestones!$AA$194)&gt;=$T56),$W56,IF(AND($S56&lt;&gt;"",EDATE($D56,Milestones!$AA$194)&gt;=$S56),$V56,$U56)))=Milestones!$AB$194),UPPER(TEXT(EDATE($D56,Milestones!$AA$194),"dd mmm yy"))&amp;" "&amp;Milestones!$AB$194&amp;" "&amp;Milestones!$AC$194&amp;";  ","")&amp;IF(AND(EDATE($D56,Milestones!$AA$195)&lt;=AsOfDate,IF($R56=0,$X56,IF(AND($T56&lt;&gt;"",EDATE($D56,Milestones!$AA$195)&gt;=$T56),$W56,IF(AND($S56&lt;&gt;"",EDATE($D56,Milestones!$AA$195)&gt;=$S56),$V56,$U56)))=Milestones!$AB$195),UPPER(TEXT(EDATE($D56,Milestones!$AA$195),"dd mmm yy"))&amp;" "&amp;Milestones!$AB$195&amp;" "&amp;Milestones!$AC$195&amp;";  ","")&amp;IF(AND(EDATE($D56,Milestones!$AA$196)&lt;=AsOfDate,IF($R56=0,$X56,IF(AND($T56&lt;&gt;"",EDATE($D56,Milestones!$AA$196)&gt;=$T56),$W56,IF(AND($S56&lt;&gt;"",EDATE($D56,Milestones!$AA$196)&gt;=$S56),$V56,$U56)))=Milestones!$AB$196),UPPER(TEXT(EDATE($D56,Milestones!$AA$196),"dd mmm yy"))&amp;" "&amp;Milestones!$AB$196&amp;" "&amp;Milestones!$AC$196&amp;";  ","")&amp;IF(AND(EDATE($D56,Milestones!$AA$197)&lt;=AsOfDate,IF($R56=0,$X56,IF(AND($T56&lt;&gt;"",EDATE($D56,Milestones!$AA$197)&gt;=$T56),$W56,IF(AND($S56&lt;&gt;"",EDATE($D56,Milestones!$AA$197)&gt;=$S56),$V56,$U56)))=Milestones!$AB$197),UPPER(TEXT(EDATE($D56,Milestones!$AA$197),"dd mmm yy"))&amp;" "&amp;Milestones!$AB$197&amp;" "&amp;Milestones!$AC$197&amp;";  ","")&amp;IF(AND(EDATE($D56,Milestones!$AA$198)&lt;=AsOfDate,IF($R56=0,$X56,IF(AND($T56&lt;&gt;"",EDATE($D56,Milestones!$AA$198)&gt;=$T56),$W56,IF(AND($S56&lt;&gt;"",EDATE($D56,Milestones!$AA$198)&gt;=$S56),$V56,$U56)))=Milestones!$AB$198),UPPER(TEXT(EDATE($D56,Milestones!$AA$198),"dd mmm yy"))&amp;" "&amp;Milestones!$AB$198&amp;" "&amp;Milestones!$AC$198&amp;";  ","")&amp;IF(AND(EDATE($D56,Milestones!$AA$199)&lt;=AsOfDate,IF($R56=0,$X56,IF(AND($T56&lt;&gt;"",EDATE($D56,Milestones!$AA$199)&gt;=$T56),$W56,IF(AND($S56&lt;&gt;"",EDATE($D56,Milestones!$AA$199)&gt;=$S56),$V56,$U56)))=Milestones!$AB$199),UPPER(TEXT(EDATE($D56,Milestones!$AA$199),"dd mmm yy"))&amp;" "&amp;Milestones!$AB$199&amp;" "&amp;Milestones!$AC$199&amp;";  ",""))</f>
        <v/>
      </c>
      <c r="R56" s="33" t="n">
        <f aca="false">IF(Staff!$A56="","",Staff!$AI56)</f>
        <v>0</v>
      </c>
      <c r="S56" s="0" t="str">
        <f aca="false">IF(Staff!$A56="","",Staff!$AK56)</f>
        <v/>
      </c>
      <c r="T56" s="0" t="str">
        <f aca="false">IF(Staff!$A56="","",Staff!$AL56)</f>
        <v/>
      </c>
      <c r="U56" s="0" t="str">
        <f aca="false">IF(Staff!$A56="","",Staff!$AP56)</f>
        <v>None</v>
      </c>
      <c r="V56" s="0" t="str">
        <f aca="false">IF(Staff!$A56="","",Staff!$AQ56)</f>
        <v/>
      </c>
      <c r="W56" s="0" t="str">
        <f aca="false">IF(Staff!$A56="","",Staff!$AR56)</f>
        <v/>
      </c>
      <c r="X56" s="0" t="str">
        <f aca="false">IF(Staff!$A56="","",Staff!$AS56)</f>
        <v>None</v>
      </c>
    </row>
    <row r="57" customFormat="false" ht="15" hidden="false" customHeight="false" outlineLevel="0" collapsed="false">
      <c r="A57" s="19" t="str">
        <f aca="false">IF(Staff!$A57="","",Staff!$A57)</f>
        <v>Nicholas</v>
      </c>
      <c r="B57" s="19" t="str">
        <f aca="false">IF(Staff!$A57="","",Staff!$B57)</f>
        <v>Pinnington</v>
      </c>
      <c r="C57" s="19" t="str">
        <f aca="false">IF(Staff!$A57="","",Staff!$C57)</f>
        <v>Full-Time</v>
      </c>
      <c r="D57" s="17" t="n">
        <f aca="false">IF(Staff!$A57="","",Staff!$AH57)</f>
        <v>45355</v>
      </c>
      <c r="E57" s="20" t="n">
        <f aca="false">IF(Staff!$A57="","",Staff!$O57)</f>
        <v>0</v>
      </c>
      <c r="F57" s="19" t="n">
        <f aca="false">IF(E57="","",E57*HoursPerDay)</f>
        <v>0</v>
      </c>
      <c r="G57" s="20" t="n">
        <f aca="false">IF(Staff!$A57="","",Staff!$AE57)</f>
        <v>0</v>
      </c>
      <c r="H57" s="32" t="str">
        <f aca="false">IF($A57="","",I57&amp;J57&amp;K57&amp;L57&amp;M57&amp;N57&amp;O57&amp;P57&amp;Q57)</f>
        <v/>
      </c>
      <c r="I57" s="0" t="str">
        <f aca="false">IF(OR($A57="",$D57=""),"",IF(AND(EDATE($D57,Milestones!$AA$20)&lt;=AsOfDate,IF($R57=0,$X57,IF(AND($T57&lt;&gt;"",EDATE($D57,Milestones!$AA$20)&gt;=$T57),$W57,IF(AND($S57&lt;&gt;"",EDATE($D57,Milestones!$AA$20)&gt;=$S57),$V57,$U57)))=Milestones!$AB$20),UPPER(TEXT(EDATE($D57,Milestones!$AA$20),"dd mmm yy"))&amp;" "&amp;Milestones!$AB$20&amp;" "&amp;Milestones!$AC$20&amp;";  ","")&amp;IF(AND(EDATE($D57,Milestones!$AA$21)&lt;=AsOfDate,IF($R57=0,$X57,IF(AND($T57&lt;&gt;"",EDATE($D57,Milestones!$AA$21)&gt;=$T57),$W57,IF(AND($S57&lt;&gt;"",EDATE($D57,Milestones!$AA$21)&gt;=$S57),$V57,$U57)))=Milestones!$AB$21),UPPER(TEXT(EDATE($D57,Milestones!$AA$21),"dd mmm yy"))&amp;" "&amp;Milestones!$AB$21&amp;" "&amp;Milestones!$AC$21&amp;";  ","")&amp;IF(AND(EDATE($D57,Milestones!$AA$22)&lt;=AsOfDate,IF($R57=0,$X57,IF(AND($T57&lt;&gt;"",EDATE($D57,Milestones!$AA$22)&gt;=$T57),$W57,IF(AND($S57&lt;&gt;"",EDATE($D57,Milestones!$AA$22)&gt;=$S57),$V57,$U57)))=Milestones!$AB$22),UPPER(TEXT(EDATE($D57,Milestones!$AA$22),"dd mmm yy"))&amp;" "&amp;Milestones!$AB$22&amp;" "&amp;Milestones!$AC$22&amp;";  ","")&amp;IF(AND(EDATE($D57,Milestones!$AA$23)&lt;=AsOfDate,IF($R57=0,$X57,IF(AND($T57&lt;&gt;"",EDATE($D57,Milestones!$AA$23)&gt;=$T57),$W57,IF(AND($S57&lt;&gt;"",EDATE($D57,Milestones!$AA$23)&gt;=$S57),$V57,$U57)))=Milestones!$AB$23),UPPER(TEXT(EDATE($D57,Milestones!$AA$23),"dd mmm yy"))&amp;" "&amp;Milestones!$AB$23&amp;" "&amp;Milestones!$AC$23&amp;";  ","")&amp;IF(AND(EDATE($D57,Milestones!$AA$24)&lt;=AsOfDate,IF($R57=0,$X57,IF(AND($T57&lt;&gt;"",EDATE($D57,Milestones!$AA$24)&gt;=$T57),$W57,IF(AND($S57&lt;&gt;"",EDATE($D57,Milestones!$AA$24)&gt;=$S57),$V57,$U57)))=Milestones!$AB$24),UPPER(TEXT(EDATE($D57,Milestones!$AA$24),"dd mmm yy"))&amp;" "&amp;Milestones!$AB$24&amp;" "&amp;Milestones!$AC$24&amp;";  ","")&amp;IF(AND(EDATE($D57,Milestones!$AA$25)&lt;=AsOfDate,IF($R57=0,$X57,IF(AND($T57&lt;&gt;"",EDATE($D57,Milestones!$AA$25)&gt;=$T57),$W57,IF(AND($S57&lt;&gt;"",EDATE($D57,Milestones!$AA$25)&gt;=$S57),$V57,$U57)))=Milestones!$AB$25),UPPER(TEXT(EDATE($D57,Milestones!$AA$25),"dd mmm yy"))&amp;" "&amp;Milestones!$AB$25&amp;" "&amp;Milestones!$AC$25&amp;";  ","")&amp;IF(AND(EDATE($D57,Milestones!$AA$26)&lt;=AsOfDate,IF($R57=0,$X57,IF(AND($T57&lt;&gt;"",EDATE($D57,Milestones!$AA$26)&gt;=$T57),$W57,IF(AND($S57&lt;&gt;"",EDATE($D57,Milestones!$AA$26)&gt;=$S57),$V57,$U57)))=Milestones!$AB$26),UPPER(TEXT(EDATE($D57,Milestones!$AA$26),"dd mmm yy"))&amp;" "&amp;Milestones!$AB$26&amp;" "&amp;Milestones!$AC$26&amp;";  ","")&amp;IF(AND(EDATE($D57,Milestones!$AA$27)&lt;=AsOfDate,IF($R57=0,$X57,IF(AND($T57&lt;&gt;"",EDATE($D57,Milestones!$AA$27)&gt;=$T57),$W57,IF(AND($S57&lt;&gt;"",EDATE($D57,Milestones!$AA$27)&gt;=$S57),$V57,$U57)))=Milestones!$AB$27),UPPER(TEXT(EDATE($D57,Milestones!$AA$27),"dd mmm yy"))&amp;" "&amp;Milestones!$AB$27&amp;" "&amp;Milestones!$AC$27&amp;";  ","")&amp;IF(AND(EDATE($D57,Milestones!$AA$28)&lt;=AsOfDate,IF($R57=0,$X57,IF(AND($T57&lt;&gt;"",EDATE($D57,Milestones!$AA$28)&gt;=$T57),$W57,IF(AND($S57&lt;&gt;"",EDATE($D57,Milestones!$AA$28)&gt;=$S57),$V57,$U57)))=Milestones!$AB$28),UPPER(TEXT(EDATE($D57,Milestones!$AA$28),"dd mmm yy"))&amp;" "&amp;Milestones!$AB$28&amp;" "&amp;Milestones!$AC$28&amp;";  ","")&amp;IF(AND(EDATE($D57,Milestones!$AA$29)&lt;=AsOfDate,IF($R57=0,$X57,IF(AND($T57&lt;&gt;"",EDATE($D57,Milestones!$AA$29)&gt;=$T57),$W57,IF(AND($S57&lt;&gt;"",EDATE($D57,Milestones!$AA$29)&gt;=$S57),$V57,$U57)))=Milestones!$AB$29),UPPER(TEXT(EDATE($D57,Milestones!$AA$29),"dd mmm yy"))&amp;" "&amp;Milestones!$AB$29&amp;" "&amp;Milestones!$AC$29&amp;";  ","")&amp;IF(AND(EDATE($D57,Milestones!$AA$30)&lt;=AsOfDate,IF($R57=0,$X57,IF(AND($T57&lt;&gt;"",EDATE($D57,Milestones!$AA$30)&gt;=$T57),$W57,IF(AND($S57&lt;&gt;"",EDATE($D57,Milestones!$AA$30)&gt;=$S57),$V57,$U57)))=Milestones!$AB$30),UPPER(TEXT(EDATE($D57,Milestones!$AA$30),"dd mmm yy"))&amp;" "&amp;Milestones!$AB$30&amp;" "&amp;Milestones!$AC$30&amp;";  ","")&amp;IF(AND(EDATE($D57,Milestones!$AA$31)&lt;=AsOfDate,IF($R57=0,$X57,IF(AND($T57&lt;&gt;"",EDATE($D57,Milestones!$AA$31)&gt;=$T57),$W57,IF(AND($S57&lt;&gt;"",EDATE($D57,Milestones!$AA$31)&gt;=$S57),$V57,$U57)))=Milestones!$AB$31),UPPER(TEXT(EDATE($D57,Milestones!$AA$31),"dd mmm yy"))&amp;" "&amp;Milestones!$AB$31&amp;" "&amp;Milestones!$AC$31&amp;";  ","")&amp;IF(AND(EDATE($D57,Milestones!$AA$32)&lt;=AsOfDate,IF($R57=0,$X57,IF(AND($T57&lt;&gt;"",EDATE($D57,Milestones!$AA$32)&gt;=$T57),$W57,IF(AND($S57&lt;&gt;"",EDATE($D57,Milestones!$AA$32)&gt;=$S57),$V57,$U57)))=Milestones!$AB$32),UPPER(TEXT(EDATE($D57,Milestones!$AA$32),"dd mmm yy"))&amp;" "&amp;Milestones!$AB$32&amp;" "&amp;Milestones!$AC$32&amp;";  ","")&amp;IF(AND(EDATE($D57,Milestones!$AA$33)&lt;=AsOfDate,IF($R57=0,$X57,IF(AND($T57&lt;&gt;"",EDATE($D57,Milestones!$AA$33)&gt;=$T57),$W57,IF(AND($S57&lt;&gt;"",EDATE($D57,Milestones!$AA$33)&gt;=$S57),$V57,$U57)))=Milestones!$AB$33),UPPER(TEXT(EDATE($D57,Milestones!$AA$33),"dd mmm yy"))&amp;" "&amp;Milestones!$AB$33&amp;" "&amp;Milestones!$AC$33&amp;";  ","")&amp;IF(AND(EDATE($D57,Milestones!$AA$34)&lt;=AsOfDate,IF($R57=0,$X57,IF(AND($T57&lt;&gt;"",EDATE($D57,Milestones!$AA$34)&gt;=$T57),$W57,IF(AND($S57&lt;&gt;"",EDATE($D57,Milestones!$AA$34)&gt;=$S57),$V57,$U57)))=Milestones!$AB$34),UPPER(TEXT(EDATE($D57,Milestones!$AA$34),"dd mmm yy"))&amp;" "&amp;Milestones!$AB$34&amp;" "&amp;Milestones!$AC$34&amp;";  ","")&amp;IF(AND(EDATE($D57,Milestones!$AA$35)&lt;=AsOfDate,IF($R57=0,$X57,IF(AND($T57&lt;&gt;"",EDATE($D57,Milestones!$AA$35)&gt;=$T57),$W57,IF(AND($S57&lt;&gt;"",EDATE($D57,Milestones!$AA$35)&gt;=$S57),$V57,$U57)))=Milestones!$AB$35),UPPER(TEXT(EDATE($D57,Milestones!$AA$35),"dd mmm yy"))&amp;" "&amp;Milestones!$AB$35&amp;" "&amp;Milestones!$AC$35&amp;";  ","")&amp;IF(AND(EDATE($D57,Milestones!$AA$36)&lt;=AsOfDate,IF($R57=0,$X57,IF(AND($T57&lt;&gt;"",EDATE($D57,Milestones!$AA$36)&gt;=$T57),$W57,IF(AND($S57&lt;&gt;"",EDATE($D57,Milestones!$AA$36)&gt;=$S57),$V57,$U57)))=Milestones!$AB$36),UPPER(TEXT(EDATE($D57,Milestones!$AA$36),"dd mmm yy"))&amp;" "&amp;Milestones!$AB$36&amp;" "&amp;Milestones!$AC$36&amp;";  ","")&amp;IF(AND(EDATE($D57,Milestones!$AA$37)&lt;=AsOfDate,IF($R57=0,$X57,IF(AND($T57&lt;&gt;"",EDATE($D57,Milestones!$AA$37)&gt;=$T57),$W57,IF(AND($S57&lt;&gt;"",EDATE($D57,Milestones!$AA$37)&gt;=$S57),$V57,$U57)))=Milestones!$AB$37),UPPER(TEXT(EDATE($D57,Milestones!$AA$37),"dd mmm yy"))&amp;" "&amp;Milestones!$AB$37&amp;" "&amp;Milestones!$AC$37&amp;";  ","")&amp;IF(AND(EDATE($D57,Milestones!$AA$38)&lt;=AsOfDate,IF($R57=0,$X57,IF(AND($T57&lt;&gt;"",EDATE($D57,Milestones!$AA$38)&gt;=$T57),$W57,IF(AND($S57&lt;&gt;"",EDATE($D57,Milestones!$AA$38)&gt;=$S57),$V57,$U57)))=Milestones!$AB$38),UPPER(TEXT(EDATE($D57,Milestones!$AA$38),"dd mmm yy"))&amp;" "&amp;Milestones!$AB$38&amp;" "&amp;Milestones!$AC$38&amp;";  ","")&amp;IF(AND(EDATE($D57,Milestones!$AA$39)&lt;=AsOfDate,IF($R57=0,$X57,IF(AND($T57&lt;&gt;"",EDATE($D57,Milestones!$AA$39)&gt;=$T57),$W57,IF(AND($S57&lt;&gt;"",EDATE($D57,Milestones!$AA$39)&gt;=$S57),$V57,$U57)))=Milestones!$AB$39),UPPER(TEXT(EDATE($D57,Milestones!$AA$39),"dd mmm yy"))&amp;" "&amp;Milestones!$AB$39&amp;" "&amp;Milestones!$AC$39&amp;";  ",""))</f>
        <v/>
      </c>
      <c r="J57" s="0" t="str">
        <f aca="false">IF(OR($A57="",$D57=""),"",IF(AND(EDATE($D57,Milestones!$AA$40)&lt;=AsOfDate,IF($R57=0,$X57,IF(AND($T57&lt;&gt;"",EDATE($D57,Milestones!$AA$40)&gt;=$T57),$W57,IF(AND($S57&lt;&gt;"",EDATE($D57,Milestones!$AA$40)&gt;=$S57),$V57,$U57)))=Milestones!$AB$40),UPPER(TEXT(EDATE($D57,Milestones!$AA$40),"dd mmm yy"))&amp;" "&amp;Milestones!$AB$40&amp;" "&amp;Milestones!$AC$40&amp;";  ","")&amp;IF(AND(EDATE($D57,Milestones!$AA$41)&lt;=AsOfDate,IF($R57=0,$X57,IF(AND($T57&lt;&gt;"",EDATE($D57,Milestones!$AA$41)&gt;=$T57),$W57,IF(AND($S57&lt;&gt;"",EDATE($D57,Milestones!$AA$41)&gt;=$S57),$V57,$U57)))=Milestones!$AB$41),UPPER(TEXT(EDATE($D57,Milestones!$AA$41),"dd mmm yy"))&amp;" "&amp;Milestones!$AB$41&amp;" "&amp;Milestones!$AC$41&amp;";  ","")&amp;IF(AND(EDATE($D57,Milestones!$AA$42)&lt;=AsOfDate,IF($R57=0,$X57,IF(AND($T57&lt;&gt;"",EDATE($D57,Milestones!$AA$42)&gt;=$T57),$W57,IF(AND($S57&lt;&gt;"",EDATE($D57,Milestones!$AA$42)&gt;=$S57),$V57,$U57)))=Milestones!$AB$42),UPPER(TEXT(EDATE($D57,Milestones!$AA$42),"dd mmm yy"))&amp;" "&amp;Milestones!$AB$42&amp;" "&amp;Milestones!$AC$42&amp;";  ","")&amp;IF(AND(EDATE($D57,Milestones!$AA$43)&lt;=AsOfDate,IF($R57=0,$X57,IF(AND($T57&lt;&gt;"",EDATE($D57,Milestones!$AA$43)&gt;=$T57),$W57,IF(AND($S57&lt;&gt;"",EDATE($D57,Milestones!$AA$43)&gt;=$S57),$V57,$U57)))=Milestones!$AB$43),UPPER(TEXT(EDATE($D57,Milestones!$AA$43),"dd mmm yy"))&amp;" "&amp;Milestones!$AB$43&amp;" "&amp;Milestones!$AC$43&amp;";  ","")&amp;IF(AND(EDATE($D57,Milestones!$AA$44)&lt;=AsOfDate,IF($R57=0,$X57,IF(AND($T57&lt;&gt;"",EDATE($D57,Milestones!$AA$44)&gt;=$T57),$W57,IF(AND($S57&lt;&gt;"",EDATE($D57,Milestones!$AA$44)&gt;=$S57),$V57,$U57)))=Milestones!$AB$44),UPPER(TEXT(EDATE($D57,Milestones!$AA$44),"dd mmm yy"))&amp;" "&amp;Milestones!$AB$44&amp;" "&amp;Milestones!$AC$44&amp;";  ","")&amp;IF(AND(EDATE($D57,Milestones!$AA$45)&lt;=AsOfDate,IF($R57=0,$X57,IF(AND($T57&lt;&gt;"",EDATE($D57,Milestones!$AA$45)&gt;=$T57),$W57,IF(AND($S57&lt;&gt;"",EDATE($D57,Milestones!$AA$45)&gt;=$S57),$V57,$U57)))=Milestones!$AB$45),UPPER(TEXT(EDATE($D57,Milestones!$AA$45),"dd mmm yy"))&amp;" "&amp;Milestones!$AB$45&amp;" "&amp;Milestones!$AC$45&amp;";  ","")&amp;IF(AND(EDATE($D57,Milestones!$AA$46)&lt;=AsOfDate,IF($R57=0,$X57,IF(AND($T57&lt;&gt;"",EDATE($D57,Milestones!$AA$46)&gt;=$T57),$W57,IF(AND($S57&lt;&gt;"",EDATE($D57,Milestones!$AA$46)&gt;=$S57),$V57,$U57)))=Milestones!$AB$46),UPPER(TEXT(EDATE($D57,Milestones!$AA$46),"dd mmm yy"))&amp;" "&amp;Milestones!$AB$46&amp;" "&amp;Milestones!$AC$46&amp;";  ","")&amp;IF(AND(EDATE($D57,Milestones!$AA$47)&lt;=AsOfDate,IF($R57=0,$X57,IF(AND($T57&lt;&gt;"",EDATE($D57,Milestones!$AA$47)&gt;=$T57),$W57,IF(AND($S57&lt;&gt;"",EDATE($D57,Milestones!$AA$47)&gt;=$S57),$V57,$U57)))=Milestones!$AB$47),UPPER(TEXT(EDATE($D57,Milestones!$AA$47),"dd mmm yy"))&amp;" "&amp;Milestones!$AB$47&amp;" "&amp;Milestones!$AC$47&amp;";  ","")&amp;IF(AND(EDATE($D57,Milestones!$AA$48)&lt;=AsOfDate,IF($R57=0,$X57,IF(AND($T57&lt;&gt;"",EDATE($D57,Milestones!$AA$48)&gt;=$T57),$W57,IF(AND($S57&lt;&gt;"",EDATE($D57,Milestones!$AA$48)&gt;=$S57),$V57,$U57)))=Milestones!$AB$48),UPPER(TEXT(EDATE($D57,Milestones!$AA$48),"dd mmm yy"))&amp;" "&amp;Milestones!$AB$48&amp;" "&amp;Milestones!$AC$48&amp;";  ","")&amp;IF(AND(EDATE($D57,Milestones!$AA$49)&lt;=AsOfDate,IF($R57=0,$X57,IF(AND($T57&lt;&gt;"",EDATE($D57,Milestones!$AA$49)&gt;=$T57),$W57,IF(AND($S57&lt;&gt;"",EDATE($D57,Milestones!$AA$49)&gt;=$S57),$V57,$U57)))=Milestones!$AB$49),UPPER(TEXT(EDATE($D57,Milestones!$AA$49),"dd mmm yy"))&amp;" "&amp;Milestones!$AB$49&amp;" "&amp;Milestones!$AC$49&amp;";  ","")&amp;IF(AND(EDATE($D57,Milestones!$AA$50)&lt;=AsOfDate,IF($R57=0,$X57,IF(AND($T57&lt;&gt;"",EDATE($D57,Milestones!$AA$50)&gt;=$T57),$W57,IF(AND($S57&lt;&gt;"",EDATE($D57,Milestones!$AA$50)&gt;=$S57),$V57,$U57)))=Milestones!$AB$50),UPPER(TEXT(EDATE($D57,Milestones!$AA$50),"dd mmm yy"))&amp;" "&amp;Milestones!$AB$50&amp;" "&amp;Milestones!$AC$50&amp;";  ","")&amp;IF(AND(EDATE($D57,Milestones!$AA$51)&lt;=AsOfDate,IF($R57=0,$X57,IF(AND($T57&lt;&gt;"",EDATE($D57,Milestones!$AA$51)&gt;=$T57),$W57,IF(AND($S57&lt;&gt;"",EDATE($D57,Milestones!$AA$51)&gt;=$S57),$V57,$U57)))=Milestones!$AB$51),UPPER(TEXT(EDATE($D57,Milestones!$AA$51),"dd mmm yy"))&amp;" "&amp;Milestones!$AB$51&amp;" "&amp;Milestones!$AC$51&amp;";  ","")&amp;IF(AND(EDATE($D57,Milestones!$AA$52)&lt;=AsOfDate,IF($R57=0,$X57,IF(AND($T57&lt;&gt;"",EDATE($D57,Milestones!$AA$52)&gt;=$T57),$W57,IF(AND($S57&lt;&gt;"",EDATE($D57,Milestones!$AA$52)&gt;=$S57),$V57,$U57)))=Milestones!$AB$52),UPPER(TEXT(EDATE($D57,Milestones!$AA$52),"dd mmm yy"))&amp;" "&amp;Milestones!$AB$52&amp;" "&amp;Milestones!$AC$52&amp;";  ","")&amp;IF(AND(EDATE($D57,Milestones!$AA$53)&lt;=AsOfDate,IF($R57=0,$X57,IF(AND($T57&lt;&gt;"",EDATE($D57,Milestones!$AA$53)&gt;=$T57),$W57,IF(AND($S57&lt;&gt;"",EDATE($D57,Milestones!$AA$53)&gt;=$S57),$V57,$U57)))=Milestones!$AB$53),UPPER(TEXT(EDATE($D57,Milestones!$AA$53),"dd mmm yy"))&amp;" "&amp;Milestones!$AB$53&amp;" "&amp;Milestones!$AC$53&amp;";  ","")&amp;IF(AND(EDATE($D57,Milestones!$AA$54)&lt;=AsOfDate,IF($R57=0,$X57,IF(AND($T57&lt;&gt;"",EDATE($D57,Milestones!$AA$54)&gt;=$T57),$W57,IF(AND($S57&lt;&gt;"",EDATE($D57,Milestones!$AA$54)&gt;=$S57),$V57,$U57)))=Milestones!$AB$54),UPPER(TEXT(EDATE($D57,Milestones!$AA$54),"dd mmm yy"))&amp;" "&amp;Milestones!$AB$54&amp;" "&amp;Milestones!$AC$54&amp;";  ","")&amp;IF(AND(EDATE($D57,Milestones!$AA$55)&lt;=AsOfDate,IF($R57=0,$X57,IF(AND($T57&lt;&gt;"",EDATE($D57,Milestones!$AA$55)&gt;=$T57),$W57,IF(AND($S57&lt;&gt;"",EDATE($D57,Milestones!$AA$55)&gt;=$S57),$V57,$U57)))=Milestones!$AB$55),UPPER(TEXT(EDATE($D57,Milestones!$AA$55),"dd mmm yy"))&amp;" "&amp;Milestones!$AB$55&amp;" "&amp;Milestones!$AC$55&amp;";  ","")&amp;IF(AND(EDATE($D57,Milestones!$AA$56)&lt;=AsOfDate,IF($R57=0,$X57,IF(AND($T57&lt;&gt;"",EDATE($D57,Milestones!$AA$56)&gt;=$T57),$W57,IF(AND($S57&lt;&gt;"",EDATE($D57,Milestones!$AA$56)&gt;=$S57),$V57,$U57)))=Milestones!$AB$56),UPPER(TEXT(EDATE($D57,Milestones!$AA$56),"dd mmm yy"))&amp;" "&amp;Milestones!$AB$56&amp;" "&amp;Milestones!$AC$56&amp;";  ","")&amp;IF(AND(EDATE($D57,Milestones!$AA$57)&lt;=AsOfDate,IF($R57=0,$X57,IF(AND($T57&lt;&gt;"",EDATE($D57,Milestones!$AA$57)&gt;=$T57),$W57,IF(AND($S57&lt;&gt;"",EDATE($D57,Milestones!$AA$57)&gt;=$S57),$V57,$U57)))=Milestones!$AB$57),UPPER(TEXT(EDATE($D57,Milestones!$AA$57),"dd mmm yy"))&amp;" "&amp;Milestones!$AB$57&amp;" "&amp;Milestones!$AC$57&amp;";  ","")&amp;IF(AND(EDATE($D57,Milestones!$AA$58)&lt;=AsOfDate,IF($R57=0,$X57,IF(AND($T57&lt;&gt;"",EDATE($D57,Milestones!$AA$58)&gt;=$T57),$W57,IF(AND($S57&lt;&gt;"",EDATE($D57,Milestones!$AA$58)&gt;=$S57),$V57,$U57)))=Milestones!$AB$58),UPPER(TEXT(EDATE($D57,Milestones!$AA$58),"dd mmm yy"))&amp;" "&amp;Milestones!$AB$58&amp;" "&amp;Milestones!$AC$58&amp;";  ","")&amp;IF(AND(EDATE($D57,Milestones!$AA$59)&lt;=AsOfDate,IF($R57=0,$X57,IF(AND($T57&lt;&gt;"",EDATE($D57,Milestones!$AA$59)&gt;=$T57),$W57,IF(AND($S57&lt;&gt;"",EDATE($D57,Milestones!$AA$59)&gt;=$S57),$V57,$U57)))=Milestones!$AB$59),UPPER(TEXT(EDATE($D57,Milestones!$AA$59),"dd mmm yy"))&amp;" "&amp;Milestones!$AB$59&amp;" "&amp;Milestones!$AC$59&amp;";  ",""))</f>
        <v/>
      </c>
      <c r="K57" s="0" t="str">
        <f aca="false">IF(OR($A57="",$D57=""),"",IF(AND(EDATE($D57,Milestones!$AA$60)&lt;=AsOfDate,IF($R57=0,$X57,IF(AND($T57&lt;&gt;"",EDATE($D57,Milestones!$AA$60)&gt;=$T57),$W57,IF(AND($S57&lt;&gt;"",EDATE($D57,Milestones!$AA$60)&gt;=$S57),$V57,$U57)))=Milestones!$AB$60),UPPER(TEXT(EDATE($D57,Milestones!$AA$60),"dd mmm yy"))&amp;" "&amp;Milestones!$AB$60&amp;" "&amp;Milestones!$AC$60&amp;";  ","")&amp;IF(AND(EDATE($D57,Milestones!$AA$61)&lt;=AsOfDate,IF($R57=0,$X57,IF(AND($T57&lt;&gt;"",EDATE($D57,Milestones!$AA$61)&gt;=$T57),$W57,IF(AND($S57&lt;&gt;"",EDATE($D57,Milestones!$AA$61)&gt;=$S57),$V57,$U57)))=Milestones!$AB$61),UPPER(TEXT(EDATE($D57,Milestones!$AA$61),"dd mmm yy"))&amp;" "&amp;Milestones!$AB$61&amp;" "&amp;Milestones!$AC$61&amp;";  ","")&amp;IF(AND(EDATE($D57,Milestones!$AA$62)&lt;=AsOfDate,IF($R57=0,$X57,IF(AND($T57&lt;&gt;"",EDATE($D57,Milestones!$AA$62)&gt;=$T57),$W57,IF(AND($S57&lt;&gt;"",EDATE($D57,Milestones!$AA$62)&gt;=$S57),$V57,$U57)))=Milestones!$AB$62),UPPER(TEXT(EDATE($D57,Milestones!$AA$62),"dd mmm yy"))&amp;" "&amp;Milestones!$AB$62&amp;" "&amp;Milestones!$AC$62&amp;";  ","")&amp;IF(AND(EDATE($D57,Milestones!$AA$63)&lt;=AsOfDate,IF($R57=0,$X57,IF(AND($T57&lt;&gt;"",EDATE($D57,Milestones!$AA$63)&gt;=$T57),$W57,IF(AND($S57&lt;&gt;"",EDATE($D57,Milestones!$AA$63)&gt;=$S57),$V57,$U57)))=Milestones!$AB$63),UPPER(TEXT(EDATE($D57,Milestones!$AA$63),"dd mmm yy"))&amp;" "&amp;Milestones!$AB$63&amp;" "&amp;Milestones!$AC$63&amp;";  ","")&amp;IF(AND(EDATE($D57,Milestones!$AA$64)&lt;=AsOfDate,IF($R57=0,$X57,IF(AND($T57&lt;&gt;"",EDATE($D57,Milestones!$AA$64)&gt;=$T57),$W57,IF(AND($S57&lt;&gt;"",EDATE($D57,Milestones!$AA$64)&gt;=$S57),$V57,$U57)))=Milestones!$AB$64),UPPER(TEXT(EDATE($D57,Milestones!$AA$64),"dd mmm yy"))&amp;" "&amp;Milestones!$AB$64&amp;" "&amp;Milestones!$AC$64&amp;";  ","")&amp;IF(AND(EDATE($D57,Milestones!$AA$65)&lt;=AsOfDate,IF($R57=0,$X57,IF(AND($T57&lt;&gt;"",EDATE($D57,Milestones!$AA$65)&gt;=$T57),$W57,IF(AND($S57&lt;&gt;"",EDATE($D57,Milestones!$AA$65)&gt;=$S57),$V57,$U57)))=Milestones!$AB$65),UPPER(TEXT(EDATE($D57,Milestones!$AA$65),"dd mmm yy"))&amp;" "&amp;Milestones!$AB$65&amp;" "&amp;Milestones!$AC$65&amp;";  ","")&amp;IF(AND(EDATE($D57,Milestones!$AA$66)&lt;=AsOfDate,IF($R57=0,$X57,IF(AND($T57&lt;&gt;"",EDATE($D57,Milestones!$AA$66)&gt;=$T57),$W57,IF(AND($S57&lt;&gt;"",EDATE($D57,Milestones!$AA$66)&gt;=$S57),$V57,$U57)))=Milestones!$AB$66),UPPER(TEXT(EDATE($D57,Milestones!$AA$66),"dd mmm yy"))&amp;" "&amp;Milestones!$AB$66&amp;" "&amp;Milestones!$AC$66&amp;";  ","")&amp;IF(AND(EDATE($D57,Milestones!$AA$67)&lt;=AsOfDate,IF($R57=0,$X57,IF(AND($T57&lt;&gt;"",EDATE($D57,Milestones!$AA$67)&gt;=$T57),$W57,IF(AND($S57&lt;&gt;"",EDATE($D57,Milestones!$AA$67)&gt;=$S57),$V57,$U57)))=Milestones!$AB$67),UPPER(TEXT(EDATE($D57,Milestones!$AA$67),"dd mmm yy"))&amp;" "&amp;Milestones!$AB$67&amp;" "&amp;Milestones!$AC$67&amp;";  ","")&amp;IF(AND(EDATE($D57,Milestones!$AA$68)&lt;=AsOfDate,IF($R57=0,$X57,IF(AND($T57&lt;&gt;"",EDATE($D57,Milestones!$AA$68)&gt;=$T57),$W57,IF(AND($S57&lt;&gt;"",EDATE($D57,Milestones!$AA$68)&gt;=$S57),$V57,$U57)))=Milestones!$AB$68),UPPER(TEXT(EDATE($D57,Milestones!$AA$68),"dd mmm yy"))&amp;" "&amp;Milestones!$AB$68&amp;" "&amp;Milestones!$AC$68&amp;";  ","")&amp;IF(AND(EDATE($D57,Milestones!$AA$69)&lt;=AsOfDate,IF($R57=0,$X57,IF(AND($T57&lt;&gt;"",EDATE($D57,Milestones!$AA$69)&gt;=$T57),$W57,IF(AND($S57&lt;&gt;"",EDATE($D57,Milestones!$AA$69)&gt;=$S57),$V57,$U57)))=Milestones!$AB$69),UPPER(TEXT(EDATE($D57,Milestones!$AA$69),"dd mmm yy"))&amp;" "&amp;Milestones!$AB$69&amp;" "&amp;Milestones!$AC$69&amp;";  ","")&amp;IF(AND(EDATE($D57,Milestones!$AA$70)&lt;=AsOfDate,IF($R57=0,$X57,IF(AND($T57&lt;&gt;"",EDATE($D57,Milestones!$AA$70)&gt;=$T57),$W57,IF(AND($S57&lt;&gt;"",EDATE($D57,Milestones!$AA$70)&gt;=$S57),$V57,$U57)))=Milestones!$AB$70),UPPER(TEXT(EDATE($D57,Milestones!$AA$70),"dd mmm yy"))&amp;" "&amp;Milestones!$AB$70&amp;" "&amp;Milestones!$AC$70&amp;";  ","")&amp;IF(AND(EDATE($D57,Milestones!$AA$71)&lt;=AsOfDate,IF($R57=0,$X57,IF(AND($T57&lt;&gt;"",EDATE($D57,Milestones!$AA$71)&gt;=$T57),$W57,IF(AND($S57&lt;&gt;"",EDATE($D57,Milestones!$AA$71)&gt;=$S57),$V57,$U57)))=Milestones!$AB$71),UPPER(TEXT(EDATE($D57,Milestones!$AA$71),"dd mmm yy"))&amp;" "&amp;Milestones!$AB$71&amp;" "&amp;Milestones!$AC$71&amp;";  ","")&amp;IF(AND(EDATE($D57,Milestones!$AA$72)&lt;=AsOfDate,IF($R57=0,$X57,IF(AND($T57&lt;&gt;"",EDATE($D57,Milestones!$AA$72)&gt;=$T57),$W57,IF(AND($S57&lt;&gt;"",EDATE($D57,Milestones!$AA$72)&gt;=$S57),$V57,$U57)))=Milestones!$AB$72),UPPER(TEXT(EDATE($D57,Milestones!$AA$72),"dd mmm yy"))&amp;" "&amp;Milestones!$AB$72&amp;" "&amp;Milestones!$AC$72&amp;";  ","")&amp;IF(AND(EDATE($D57,Milestones!$AA$73)&lt;=AsOfDate,IF($R57=0,$X57,IF(AND($T57&lt;&gt;"",EDATE($D57,Milestones!$AA$73)&gt;=$T57),$W57,IF(AND($S57&lt;&gt;"",EDATE($D57,Milestones!$AA$73)&gt;=$S57),$V57,$U57)))=Milestones!$AB$73),UPPER(TEXT(EDATE($D57,Milestones!$AA$73),"dd mmm yy"))&amp;" "&amp;Milestones!$AB$73&amp;" "&amp;Milestones!$AC$73&amp;";  ","")&amp;IF(AND(EDATE($D57,Milestones!$AA$74)&lt;=AsOfDate,IF($R57=0,$X57,IF(AND($T57&lt;&gt;"",EDATE($D57,Milestones!$AA$74)&gt;=$T57),$W57,IF(AND($S57&lt;&gt;"",EDATE($D57,Milestones!$AA$74)&gt;=$S57),$V57,$U57)))=Milestones!$AB$74),UPPER(TEXT(EDATE($D57,Milestones!$AA$74),"dd mmm yy"))&amp;" "&amp;Milestones!$AB$74&amp;" "&amp;Milestones!$AC$74&amp;";  ","")&amp;IF(AND(EDATE($D57,Milestones!$AA$75)&lt;=AsOfDate,IF($R57=0,$X57,IF(AND($T57&lt;&gt;"",EDATE($D57,Milestones!$AA$75)&gt;=$T57),$W57,IF(AND($S57&lt;&gt;"",EDATE($D57,Milestones!$AA$75)&gt;=$S57),$V57,$U57)))=Milestones!$AB$75),UPPER(TEXT(EDATE($D57,Milestones!$AA$75),"dd mmm yy"))&amp;" "&amp;Milestones!$AB$75&amp;" "&amp;Milestones!$AC$75&amp;";  ","")&amp;IF(AND(EDATE($D57,Milestones!$AA$76)&lt;=AsOfDate,IF($R57=0,$X57,IF(AND($T57&lt;&gt;"",EDATE($D57,Milestones!$AA$76)&gt;=$T57),$W57,IF(AND($S57&lt;&gt;"",EDATE($D57,Milestones!$AA$76)&gt;=$S57),$V57,$U57)))=Milestones!$AB$76),UPPER(TEXT(EDATE($D57,Milestones!$AA$76),"dd mmm yy"))&amp;" "&amp;Milestones!$AB$76&amp;" "&amp;Milestones!$AC$76&amp;";  ","")&amp;IF(AND(EDATE($D57,Milestones!$AA$77)&lt;=AsOfDate,IF($R57=0,$X57,IF(AND($T57&lt;&gt;"",EDATE($D57,Milestones!$AA$77)&gt;=$T57),$W57,IF(AND($S57&lt;&gt;"",EDATE($D57,Milestones!$AA$77)&gt;=$S57),$V57,$U57)))=Milestones!$AB$77),UPPER(TEXT(EDATE($D57,Milestones!$AA$77),"dd mmm yy"))&amp;" "&amp;Milestones!$AB$77&amp;" "&amp;Milestones!$AC$77&amp;";  ","")&amp;IF(AND(EDATE($D57,Milestones!$AA$78)&lt;=AsOfDate,IF($R57=0,$X57,IF(AND($T57&lt;&gt;"",EDATE($D57,Milestones!$AA$78)&gt;=$T57),$W57,IF(AND($S57&lt;&gt;"",EDATE($D57,Milestones!$AA$78)&gt;=$S57),$V57,$U57)))=Milestones!$AB$78),UPPER(TEXT(EDATE($D57,Milestones!$AA$78),"dd mmm yy"))&amp;" "&amp;Milestones!$AB$78&amp;" "&amp;Milestones!$AC$78&amp;";  ","")&amp;IF(AND(EDATE($D57,Milestones!$AA$79)&lt;=AsOfDate,IF($R57=0,$X57,IF(AND($T57&lt;&gt;"",EDATE($D57,Milestones!$AA$79)&gt;=$T57),$W57,IF(AND($S57&lt;&gt;"",EDATE($D57,Milestones!$AA$79)&gt;=$S57),$V57,$U57)))=Milestones!$AB$79),UPPER(TEXT(EDATE($D57,Milestones!$AA$79),"dd mmm yy"))&amp;" "&amp;Milestones!$AB$79&amp;" "&amp;Milestones!$AC$79&amp;";  ",""))</f>
        <v/>
      </c>
      <c r="L57" s="0" t="str">
        <f aca="false">IF(OR($A57="",$D57=""),"",IF(AND(EDATE($D57,Milestones!$AA$80)&lt;=AsOfDate,IF($R57=0,$X57,IF(AND($T57&lt;&gt;"",EDATE($D57,Milestones!$AA$80)&gt;=$T57),$W57,IF(AND($S57&lt;&gt;"",EDATE($D57,Milestones!$AA$80)&gt;=$S57),$V57,$U57)))=Milestones!$AB$80),UPPER(TEXT(EDATE($D57,Milestones!$AA$80),"dd mmm yy"))&amp;" "&amp;Milestones!$AB$80&amp;" "&amp;Milestones!$AC$80&amp;";  ","")&amp;IF(AND(EDATE($D57,Milestones!$AA$81)&lt;=AsOfDate,IF($R57=0,$X57,IF(AND($T57&lt;&gt;"",EDATE($D57,Milestones!$AA$81)&gt;=$T57),$W57,IF(AND($S57&lt;&gt;"",EDATE($D57,Milestones!$AA$81)&gt;=$S57),$V57,$U57)))=Milestones!$AB$81),UPPER(TEXT(EDATE($D57,Milestones!$AA$81),"dd mmm yy"))&amp;" "&amp;Milestones!$AB$81&amp;" "&amp;Milestones!$AC$81&amp;";  ","")&amp;IF(AND(EDATE($D57,Milestones!$AA$82)&lt;=AsOfDate,IF($R57=0,$X57,IF(AND($T57&lt;&gt;"",EDATE($D57,Milestones!$AA$82)&gt;=$T57),$W57,IF(AND($S57&lt;&gt;"",EDATE($D57,Milestones!$AA$82)&gt;=$S57),$V57,$U57)))=Milestones!$AB$82),UPPER(TEXT(EDATE($D57,Milestones!$AA$82),"dd mmm yy"))&amp;" "&amp;Milestones!$AB$82&amp;" "&amp;Milestones!$AC$82&amp;";  ","")&amp;IF(AND(EDATE($D57,Milestones!$AA$83)&lt;=AsOfDate,IF($R57=0,$X57,IF(AND($T57&lt;&gt;"",EDATE($D57,Milestones!$AA$83)&gt;=$T57),$W57,IF(AND($S57&lt;&gt;"",EDATE($D57,Milestones!$AA$83)&gt;=$S57),$V57,$U57)))=Milestones!$AB$83),UPPER(TEXT(EDATE($D57,Milestones!$AA$83),"dd mmm yy"))&amp;" "&amp;Milestones!$AB$83&amp;" "&amp;Milestones!$AC$83&amp;";  ","")&amp;IF(AND(EDATE($D57,Milestones!$AA$84)&lt;=AsOfDate,IF($R57=0,$X57,IF(AND($T57&lt;&gt;"",EDATE($D57,Milestones!$AA$84)&gt;=$T57),$W57,IF(AND($S57&lt;&gt;"",EDATE($D57,Milestones!$AA$84)&gt;=$S57),$V57,$U57)))=Milestones!$AB$84),UPPER(TEXT(EDATE($D57,Milestones!$AA$84),"dd mmm yy"))&amp;" "&amp;Milestones!$AB$84&amp;" "&amp;Milestones!$AC$84&amp;";  ","")&amp;IF(AND(EDATE($D57,Milestones!$AA$85)&lt;=AsOfDate,IF($R57=0,$X57,IF(AND($T57&lt;&gt;"",EDATE($D57,Milestones!$AA$85)&gt;=$T57),$W57,IF(AND($S57&lt;&gt;"",EDATE($D57,Milestones!$AA$85)&gt;=$S57),$V57,$U57)))=Milestones!$AB$85),UPPER(TEXT(EDATE($D57,Milestones!$AA$85),"dd mmm yy"))&amp;" "&amp;Milestones!$AB$85&amp;" "&amp;Milestones!$AC$85&amp;";  ","")&amp;IF(AND(EDATE($D57,Milestones!$AA$86)&lt;=AsOfDate,IF($R57=0,$X57,IF(AND($T57&lt;&gt;"",EDATE($D57,Milestones!$AA$86)&gt;=$T57),$W57,IF(AND($S57&lt;&gt;"",EDATE($D57,Milestones!$AA$86)&gt;=$S57),$V57,$U57)))=Milestones!$AB$86),UPPER(TEXT(EDATE($D57,Milestones!$AA$86),"dd mmm yy"))&amp;" "&amp;Milestones!$AB$86&amp;" "&amp;Milestones!$AC$86&amp;";  ","")&amp;IF(AND(EDATE($D57,Milestones!$AA$87)&lt;=AsOfDate,IF($R57=0,$X57,IF(AND($T57&lt;&gt;"",EDATE($D57,Milestones!$AA$87)&gt;=$T57),$W57,IF(AND($S57&lt;&gt;"",EDATE($D57,Milestones!$AA$87)&gt;=$S57),$V57,$U57)))=Milestones!$AB$87),UPPER(TEXT(EDATE($D57,Milestones!$AA$87),"dd mmm yy"))&amp;" "&amp;Milestones!$AB$87&amp;" "&amp;Milestones!$AC$87&amp;";  ","")&amp;IF(AND(EDATE($D57,Milestones!$AA$88)&lt;=AsOfDate,IF($R57=0,$X57,IF(AND($T57&lt;&gt;"",EDATE($D57,Milestones!$AA$88)&gt;=$T57),$W57,IF(AND($S57&lt;&gt;"",EDATE($D57,Milestones!$AA$88)&gt;=$S57),$V57,$U57)))=Milestones!$AB$88),UPPER(TEXT(EDATE($D57,Milestones!$AA$88),"dd mmm yy"))&amp;" "&amp;Milestones!$AB$88&amp;" "&amp;Milestones!$AC$88&amp;";  ","")&amp;IF(AND(EDATE($D57,Milestones!$AA$89)&lt;=AsOfDate,IF($R57=0,$X57,IF(AND($T57&lt;&gt;"",EDATE($D57,Milestones!$AA$89)&gt;=$T57),$W57,IF(AND($S57&lt;&gt;"",EDATE($D57,Milestones!$AA$89)&gt;=$S57),$V57,$U57)))=Milestones!$AB$89),UPPER(TEXT(EDATE($D57,Milestones!$AA$89),"dd mmm yy"))&amp;" "&amp;Milestones!$AB$89&amp;" "&amp;Milestones!$AC$89&amp;";  ","")&amp;IF(AND(EDATE($D57,Milestones!$AA$90)&lt;=AsOfDate,IF($R57=0,$X57,IF(AND($T57&lt;&gt;"",EDATE($D57,Milestones!$AA$90)&gt;=$T57),$W57,IF(AND($S57&lt;&gt;"",EDATE($D57,Milestones!$AA$90)&gt;=$S57),$V57,$U57)))=Milestones!$AB$90),UPPER(TEXT(EDATE($D57,Milestones!$AA$90),"dd mmm yy"))&amp;" "&amp;Milestones!$AB$90&amp;" "&amp;Milestones!$AC$90&amp;";  ","")&amp;IF(AND(EDATE($D57,Milestones!$AA$91)&lt;=AsOfDate,IF($R57=0,$X57,IF(AND($T57&lt;&gt;"",EDATE($D57,Milestones!$AA$91)&gt;=$T57),$W57,IF(AND($S57&lt;&gt;"",EDATE($D57,Milestones!$AA$91)&gt;=$S57),$V57,$U57)))=Milestones!$AB$91),UPPER(TEXT(EDATE($D57,Milestones!$AA$91),"dd mmm yy"))&amp;" "&amp;Milestones!$AB$91&amp;" "&amp;Milestones!$AC$91&amp;";  ","")&amp;IF(AND(EDATE($D57,Milestones!$AA$92)&lt;=AsOfDate,IF($R57=0,$X57,IF(AND($T57&lt;&gt;"",EDATE($D57,Milestones!$AA$92)&gt;=$T57),$W57,IF(AND($S57&lt;&gt;"",EDATE($D57,Milestones!$AA$92)&gt;=$S57),$V57,$U57)))=Milestones!$AB$92),UPPER(TEXT(EDATE($D57,Milestones!$AA$92),"dd mmm yy"))&amp;" "&amp;Milestones!$AB$92&amp;" "&amp;Milestones!$AC$92&amp;";  ","")&amp;IF(AND(EDATE($D57,Milestones!$AA$93)&lt;=AsOfDate,IF($R57=0,$X57,IF(AND($T57&lt;&gt;"",EDATE($D57,Milestones!$AA$93)&gt;=$T57),$W57,IF(AND($S57&lt;&gt;"",EDATE($D57,Milestones!$AA$93)&gt;=$S57),$V57,$U57)))=Milestones!$AB$93),UPPER(TEXT(EDATE($D57,Milestones!$AA$93),"dd mmm yy"))&amp;" "&amp;Milestones!$AB$93&amp;" "&amp;Milestones!$AC$93&amp;";  ","")&amp;IF(AND(EDATE($D57,Milestones!$AA$94)&lt;=AsOfDate,IF($R57=0,$X57,IF(AND($T57&lt;&gt;"",EDATE($D57,Milestones!$AA$94)&gt;=$T57),$W57,IF(AND($S57&lt;&gt;"",EDATE($D57,Milestones!$AA$94)&gt;=$S57),$V57,$U57)))=Milestones!$AB$94),UPPER(TEXT(EDATE($D57,Milestones!$AA$94),"dd mmm yy"))&amp;" "&amp;Milestones!$AB$94&amp;" "&amp;Milestones!$AC$94&amp;";  ","")&amp;IF(AND(EDATE($D57,Milestones!$AA$95)&lt;=AsOfDate,IF($R57=0,$X57,IF(AND($T57&lt;&gt;"",EDATE($D57,Milestones!$AA$95)&gt;=$T57),$W57,IF(AND($S57&lt;&gt;"",EDATE($D57,Milestones!$AA$95)&gt;=$S57),$V57,$U57)))=Milestones!$AB$95),UPPER(TEXT(EDATE($D57,Milestones!$AA$95),"dd mmm yy"))&amp;" "&amp;Milestones!$AB$95&amp;" "&amp;Milestones!$AC$95&amp;";  ","")&amp;IF(AND(EDATE($D57,Milestones!$AA$96)&lt;=AsOfDate,IF($R57=0,$X57,IF(AND($T57&lt;&gt;"",EDATE($D57,Milestones!$AA$96)&gt;=$T57),$W57,IF(AND($S57&lt;&gt;"",EDATE($D57,Milestones!$AA$96)&gt;=$S57),$V57,$U57)))=Milestones!$AB$96),UPPER(TEXT(EDATE($D57,Milestones!$AA$96),"dd mmm yy"))&amp;" "&amp;Milestones!$AB$96&amp;" "&amp;Milestones!$AC$96&amp;";  ","")&amp;IF(AND(EDATE($D57,Milestones!$AA$97)&lt;=AsOfDate,IF($R57=0,$X57,IF(AND($T57&lt;&gt;"",EDATE($D57,Milestones!$AA$97)&gt;=$T57),$W57,IF(AND($S57&lt;&gt;"",EDATE($D57,Milestones!$AA$97)&gt;=$S57),$V57,$U57)))=Milestones!$AB$97),UPPER(TEXT(EDATE($D57,Milestones!$AA$97),"dd mmm yy"))&amp;" "&amp;Milestones!$AB$97&amp;" "&amp;Milestones!$AC$97&amp;";  ","")&amp;IF(AND(EDATE($D57,Milestones!$AA$98)&lt;=AsOfDate,IF($R57=0,$X57,IF(AND($T57&lt;&gt;"",EDATE($D57,Milestones!$AA$98)&gt;=$T57),$W57,IF(AND($S57&lt;&gt;"",EDATE($D57,Milestones!$AA$98)&gt;=$S57),$V57,$U57)))=Milestones!$AB$98),UPPER(TEXT(EDATE($D57,Milestones!$AA$98),"dd mmm yy"))&amp;" "&amp;Milestones!$AB$98&amp;" "&amp;Milestones!$AC$98&amp;";  ","")&amp;IF(AND(EDATE($D57,Milestones!$AA$99)&lt;=AsOfDate,IF($R57=0,$X57,IF(AND($T57&lt;&gt;"",EDATE($D57,Milestones!$AA$99)&gt;=$T57),$W57,IF(AND($S57&lt;&gt;"",EDATE($D57,Milestones!$AA$99)&gt;=$S57),$V57,$U57)))=Milestones!$AB$99),UPPER(TEXT(EDATE($D57,Milestones!$AA$99),"dd mmm yy"))&amp;" "&amp;Milestones!$AB$99&amp;" "&amp;Milestones!$AC$99&amp;";  ",""))</f>
        <v/>
      </c>
      <c r="M57" s="0" t="str">
        <f aca="false">IF(OR($A57="",$D57=""),"",IF(AND(EDATE($D57,Milestones!$AA$100)&lt;=AsOfDate,IF($R57=0,$X57,IF(AND($T57&lt;&gt;"",EDATE($D57,Milestones!$AA$100)&gt;=$T57),$W57,IF(AND($S57&lt;&gt;"",EDATE($D57,Milestones!$AA$100)&gt;=$S57),$V57,$U57)))=Milestones!$AB$100),UPPER(TEXT(EDATE($D57,Milestones!$AA$100),"dd mmm yy"))&amp;" "&amp;Milestones!$AB$100&amp;" "&amp;Milestones!$AC$100&amp;";  ","")&amp;IF(AND(EDATE($D57,Milestones!$AA$101)&lt;=AsOfDate,IF($R57=0,$X57,IF(AND($T57&lt;&gt;"",EDATE($D57,Milestones!$AA$101)&gt;=$T57),$W57,IF(AND($S57&lt;&gt;"",EDATE($D57,Milestones!$AA$101)&gt;=$S57),$V57,$U57)))=Milestones!$AB$101),UPPER(TEXT(EDATE($D57,Milestones!$AA$101),"dd mmm yy"))&amp;" "&amp;Milestones!$AB$101&amp;" "&amp;Milestones!$AC$101&amp;";  ","")&amp;IF(AND(EDATE($D57,Milestones!$AA$102)&lt;=AsOfDate,IF($R57=0,$X57,IF(AND($T57&lt;&gt;"",EDATE($D57,Milestones!$AA$102)&gt;=$T57),$W57,IF(AND($S57&lt;&gt;"",EDATE($D57,Milestones!$AA$102)&gt;=$S57),$V57,$U57)))=Milestones!$AB$102),UPPER(TEXT(EDATE($D57,Milestones!$AA$102),"dd mmm yy"))&amp;" "&amp;Milestones!$AB$102&amp;" "&amp;Milestones!$AC$102&amp;";  ","")&amp;IF(AND(EDATE($D57,Milestones!$AA$103)&lt;=AsOfDate,IF($R57=0,$X57,IF(AND($T57&lt;&gt;"",EDATE($D57,Milestones!$AA$103)&gt;=$T57),$W57,IF(AND($S57&lt;&gt;"",EDATE($D57,Milestones!$AA$103)&gt;=$S57),$V57,$U57)))=Milestones!$AB$103),UPPER(TEXT(EDATE($D57,Milestones!$AA$103),"dd mmm yy"))&amp;" "&amp;Milestones!$AB$103&amp;" "&amp;Milestones!$AC$103&amp;";  ","")&amp;IF(AND(EDATE($D57,Milestones!$AA$104)&lt;=AsOfDate,IF($R57=0,$X57,IF(AND($T57&lt;&gt;"",EDATE($D57,Milestones!$AA$104)&gt;=$T57),$W57,IF(AND($S57&lt;&gt;"",EDATE($D57,Milestones!$AA$104)&gt;=$S57),$V57,$U57)))=Milestones!$AB$104),UPPER(TEXT(EDATE($D57,Milestones!$AA$104),"dd mmm yy"))&amp;" "&amp;Milestones!$AB$104&amp;" "&amp;Milestones!$AC$104&amp;";  ","")&amp;IF(AND(EDATE($D57,Milestones!$AA$105)&lt;=AsOfDate,IF($R57=0,$X57,IF(AND($T57&lt;&gt;"",EDATE($D57,Milestones!$AA$105)&gt;=$T57),$W57,IF(AND($S57&lt;&gt;"",EDATE($D57,Milestones!$AA$105)&gt;=$S57),$V57,$U57)))=Milestones!$AB$105),UPPER(TEXT(EDATE($D57,Milestones!$AA$105),"dd mmm yy"))&amp;" "&amp;Milestones!$AB$105&amp;" "&amp;Milestones!$AC$105&amp;";  ","")&amp;IF(AND(EDATE($D57,Milestones!$AA$106)&lt;=AsOfDate,IF($R57=0,$X57,IF(AND($T57&lt;&gt;"",EDATE($D57,Milestones!$AA$106)&gt;=$T57),$W57,IF(AND($S57&lt;&gt;"",EDATE($D57,Milestones!$AA$106)&gt;=$S57),$V57,$U57)))=Milestones!$AB$106),UPPER(TEXT(EDATE($D57,Milestones!$AA$106),"dd mmm yy"))&amp;" "&amp;Milestones!$AB$106&amp;" "&amp;Milestones!$AC$106&amp;";  ","")&amp;IF(AND(EDATE($D57,Milestones!$AA$107)&lt;=AsOfDate,IF($R57=0,$X57,IF(AND($T57&lt;&gt;"",EDATE($D57,Milestones!$AA$107)&gt;=$T57),$W57,IF(AND($S57&lt;&gt;"",EDATE($D57,Milestones!$AA$107)&gt;=$S57),$V57,$U57)))=Milestones!$AB$107),UPPER(TEXT(EDATE($D57,Milestones!$AA$107),"dd mmm yy"))&amp;" "&amp;Milestones!$AB$107&amp;" "&amp;Milestones!$AC$107&amp;";  ","")&amp;IF(AND(EDATE($D57,Milestones!$AA$108)&lt;=AsOfDate,IF($R57=0,$X57,IF(AND($T57&lt;&gt;"",EDATE($D57,Milestones!$AA$108)&gt;=$T57),$W57,IF(AND($S57&lt;&gt;"",EDATE($D57,Milestones!$AA$108)&gt;=$S57),$V57,$U57)))=Milestones!$AB$108),UPPER(TEXT(EDATE($D57,Milestones!$AA$108),"dd mmm yy"))&amp;" "&amp;Milestones!$AB$108&amp;" "&amp;Milestones!$AC$108&amp;";  ","")&amp;IF(AND(EDATE($D57,Milestones!$AA$109)&lt;=AsOfDate,IF($R57=0,$X57,IF(AND($T57&lt;&gt;"",EDATE($D57,Milestones!$AA$109)&gt;=$T57),$W57,IF(AND($S57&lt;&gt;"",EDATE($D57,Milestones!$AA$109)&gt;=$S57),$V57,$U57)))=Milestones!$AB$109),UPPER(TEXT(EDATE($D57,Milestones!$AA$109),"dd mmm yy"))&amp;" "&amp;Milestones!$AB$109&amp;" "&amp;Milestones!$AC$109&amp;";  ","")&amp;IF(AND(EDATE($D57,Milestones!$AA$110)&lt;=AsOfDate,IF($R57=0,$X57,IF(AND($T57&lt;&gt;"",EDATE($D57,Milestones!$AA$110)&gt;=$T57),$W57,IF(AND($S57&lt;&gt;"",EDATE($D57,Milestones!$AA$110)&gt;=$S57),$V57,$U57)))=Milestones!$AB$110),UPPER(TEXT(EDATE($D57,Milestones!$AA$110),"dd mmm yy"))&amp;" "&amp;Milestones!$AB$110&amp;" "&amp;Milestones!$AC$110&amp;";  ","")&amp;IF(AND(EDATE($D57,Milestones!$AA$111)&lt;=AsOfDate,IF($R57=0,$X57,IF(AND($T57&lt;&gt;"",EDATE($D57,Milestones!$AA$111)&gt;=$T57),$W57,IF(AND($S57&lt;&gt;"",EDATE($D57,Milestones!$AA$111)&gt;=$S57),$V57,$U57)))=Milestones!$AB$111),UPPER(TEXT(EDATE($D57,Milestones!$AA$111),"dd mmm yy"))&amp;" "&amp;Milestones!$AB$111&amp;" "&amp;Milestones!$AC$111&amp;";  ","")&amp;IF(AND(EDATE($D57,Milestones!$AA$112)&lt;=AsOfDate,IF($R57=0,$X57,IF(AND($T57&lt;&gt;"",EDATE($D57,Milestones!$AA$112)&gt;=$T57),$W57,IF(AND($S57&lt;&gt;"",EDATE($D57,Milestones!$AA$112)&gt;=$S57),$V57,$U57)))=Milestones!$AB$112),UPPER(TEXT(EDATE($D57,Milestones!$AA$112),"dd mmm yy"))&amp;" "&amp;Milestones!$AB$112&amp;" "&amp;Milestones!$AC$112&amp;";  ","")&amp;IF(AND(EDATE($D57,Milestones!$AA$113)&lt;=AsOfDate,IF($R57=0,$X57,IF(AND($T57&lt;&gt;"",EDATE($D57,Milestones!$AA$113)&gt;=$T57),$W57,IF(AND($S57&lt;&gt;"",EDATE($D57,Milestones!$AA$113)&gt;=$S57),$V57,$U57)))=Milestones!$AB$113),UPPER(TEXT(EDATE($D57,Milestones!$AA$113),"dd mmm yy"))&amp;" "&amp;Milestones!$AB$113&amp;" "&amp;Milestones!$AC$113&amp;";  ","")&amp;IF(AND(EDATE($D57,Milestones!$AA$114)&lt;=AsOfDate,IF($R57=0,$X57,IF(AND($T57&lt;&gt;"",EDATE($D57,Milestones!$AA$114)&gt;=$T57),$W57,IF(AND($S57&lt;&gt;"",EDATE($D57,Milestones!$AA$114)&gt;=$S57),$V57,$U57)))=Milestones!$AB$114),UPPER(TEXT(EDATE($D57,Milestones!$AA$114),"dd mmm yy"))&amp;" "&amp;Milestones!$AB$114&amp;" "&amp;Milestones!$AC$114&amp;";  ","")&amp;IF(AND(EDATE($D57,Milestones!$AA$115)&lt;=AsOfDate,IF($R57=0,$X57,IF(AND($T57&lt;&gt;"",EDATE($D57,Milestones!$AA$115)&gt;=$T57),$W57,IF(AND($S57&lt;&gt;"",EDATE($D57,Milestones!$AA$115)&gt;=$S57),$V57,$U57)))=Milestones!$AB$115),UPPER(TEXT(EDATE($D57,Milestones!$AA$115),"dd mmm yy"))&amp;" "&amp;Milestones!$AB$115&amp;" "&amp;Milestones!$AC$115&amp;";  ","")&amp;IF(AND(EDATE($D57,Milestones!$AA$116)&lt;=AsOfDate,IF($R57=0,$X57,IF(AND($T57&lt;&gt;"",EDATE($D57,Milestones!$AA$116)&gt;=$T57),$W57,IF(AND($S57&lt;&gt;"",EDATE($D57,Milestones!$AA$116)&gt;=$S57),$V57,$U57)))=Milestones!$AB$116),UPPER(TEXT(EDATE($D57,Milestones!$AA$116),"dd mmm yy"))&amp;" "&amp;Milestones!$AB$116&amp;" "&amp;Milestones!$AC$116&amp;";  ","")&amp;IF(AND(EDATE($D57,Milestones!$AA$117)&lt;=AsOfDate,IF($R57=0,$X57,IF(AND($T57&lt;&gt;"",EDATE($D57,Milestones!$AA$117)&gt;=$T57),$W57,IF(AND($S57&lt;&gt;"",EDATE($D57,Milestones!$AA$117)&gt;=$S57),$V57,$U57)))=Milestones!$AB$117),UPPER(TEXT(EDATE($D57,Milestones!$AA$117),"dd mmm yy"))&amp;" "&amp;Milestones!$AB$117&amp;" "&amp;Milestones!$AC$117&amp;";  ","")&amp;IF(AND(EDATE($D57,Milestones!$AA$118)&lt;=AsOfDate,IF($R57=0,$X57,IF(AND($T57&lt;&gt;"",EDATE($D57,Milestones!$AA$118)&gt;=$T57),$W57,IF(AND($S57&lt;&gt;"",EDATE($D57,Milestones!$AA$118)&gt;=$S57),$V57,$U57)))=Milestones!$AB$118),UPPER(TEXT(EDATE($D57,Milestones!$AA$118),"dd mmm yy"))&amp;" "&amp;Milestones!$AB$118&amp;" "&amp;Milestones!$AC$118&amp;";  ","")&amp;IF(AND(EDATE($D57,Milestones!$AA$119)&lt;=AsOfDate,IF($R57=0,$X57,IF(AND($T57&lt;&gt;"",EDATE($D57,Milestones!$AA$119)&gt;=$T57),$W57,IF(AND($S57&lt;&gt;"",EDATE($D57,Milestones!$AA$119)&gt;=$S57),$V57,$U57)))=Milestones!$AB$119),UPPER(TEXT(EDATE($D57,Milestones!$AA$119),"dd mmm yy"))&amp;" "&amp;Milestones!$AB$119&amp;" "&amp;Milestones!$AC$119&amp;";  ",""))</f>
        <v/>
      </c>
      <c r="N57" s="0" t="str">
        <f aca="false">IF(OR($A57="",$D57=""),"",IF(AND(EDATE($D57,Milestones!$AA$120)&lt;=AsOfDate,IF($R57=0,$X57,IF(AND($T57&lt;&gt;"",EDATE($D57,Milestones!$AA$120)&gt;=$T57),$W57,IF(AND($S57&lt;&gt;"",EDATE($D57,Milestones!$AA$120)&gt;=$S57),$V57,$U57)))=Milestones!$AB$120),UPPER(TEXT(EDATE($D57,Milestones!$AA$120),"dd mmm yy"))&amp;" "&amp;Milestones!$AB$120&amp;" "&amp;Milestones!$AC$120&amp;";  ","")&amp;IF(AND(EDATE($D57,Milestones!$AA$121)&lt;=AsOfDate,IF($R57=0,$X57,IF(AND($T57&lt;&gt;"",EDATE($D57,Milestones!$AA$121)&gt;=$T57),$W57,IF(AND($S57&lt;&gt;"",EDATE($D57,Milestones!$AA$121)&gt;=$S57),$V57,$U57)))=Milestones!$AB$121),UPPER(TEXT(EDATE($D57,Milestones!$AA$121),"dd mmm yy"))&amp;" "&amp;Milestones!$AB$121&amp;" "&amp;Milestones!$AC$121&amp;";  ","")&amp;IF(AND(EDATE($D57,Milestones!$AA$122)&lt;=AsOfDate,IF($R57=0,$X57,IF(AND($T57&lt;&gt;"",EDATE($D57,Milestones!$AA$122)&gt;=$T57),$W57,IF(AND($S57&lt;&gt;"",EDATE($D57,Milestones!$AA$122)&gt;=$S57),$V57,$U57)))=Milestones!$AB$122),UPPER(TEXT(EDATE($D57,Milestones!$AA$122),"dd mmm yy"))&amp;" "&amp;Milestones!$AB$122&amp;" "&amp;Milestones!$AC$122&amp;";  ","")&amp;IF(AND(EDATE($D57,Milestones!$AA$123)&lt;=AsOfDate,IF($R57=0,$X57,IF(AND($T57&lt;&gt;"",EDATE($D57,Milestones!$AA$123)&gt;=$T57),$W57,IF(AND($S57&lt;&gt;"",EDATE($D57,Milestones!$AA$123)&gt;=$S57),$V57,$U57)))=Milestones!$AB$123),UPPER(TEXT(EDATE($D57,Milestones!$AA$123),"dd mmm yy"))&amp;" "&amp;Milestones!$AB$123&amp;" "&amp;Milestones!$AC$123&amp;";  ","")&amp;IF(AND(EDATE($D57,Milestones!$AA$124)&lt;=AsOfDate,IF($R57=0,$X57,IF(AND($T57&lt;&gt;"",EDATE($D57,Milestones!$AA$124)&gt;=$T57),$W57,IF(AND($S57&lt;&gt;"",EDATE($D57,Milestones!$AA$124)&gt;=$S57),$V57,$U57)))=Milestones!$AB$124),UPPER(TEXT(EDATE($D57,Milestones!$AA$124),"dd mmm yy"))&amp;" "&amp;Milestones!$AB$124&amp;" "&amp;Milestones!$AC$124&amp;";  ","")&amp;IF(AND(EDATE($D57,Milestones!$AA$125)&lt;=AsOfDate,IF($R57=0,$X57,IF(AND($T57&lt;&gt;"",EDATE($D57,Milestones!$AA$125)&gt;=$T57),$W57,IF(AND($S57&lt;&gt;"",EDATE($D57,Milestones!$AA$125)&gt;=$S57),$V57,$U57)))=Milestones!$AB$125),UPPER(TEXT(EDATE($D57,Milestones!$AA$125),"dd mmm yy"))&amp;" "&amp;Milestones!$AB$125&amp;" "&amp;Milestones!$AC$125&amp;";  ","")&amp;IF(AND(EDATE($D57,Milestones!$AA$126)&lt;=AsOfDate,IF($R57=0,$X57,IF(AND($T57&lt;&gt;"",EDATE($D57,Milestones!$AA$126)&gt;=$T57),$W57,IF(AND($S57&lt;&gt;"",EDATE($D57,Milestones!$AA$126)&gt;=$S57),$V57,$U57)))=Milestones!$AB$126),UPPER(TEXT(EDATE($D57,Milestones!$AA$126),"dd mmm yy"))&amp;" "&amp;Milestones!$AB$126&amp;" "&amp;Milestones!$AC$126&amp;";  ","")&amp;IF(AND(EDATE($D57,Milestones!$AA$127)&lt;=AsOfDate,IF($R57=0,$X57,IF(AND($T57&lt;&gt;"",EDATE($D57,Milestones!$AA$127)&gt;=$T57),$W57,IF(AND($S57&lt;&gt;"",EDATE($D57,Milestones!$AA$127)&gt;=$S57),$V57,$U57)))=Milestones!$AB$127),UPPER(TEXT(EDATE($D57,Milestones!$AA$127),"dd mmm yy"))&amp;" "&amp;Milestones!$AB$127&amp;" "&amp;Milestones!$AC$127&amp;";  ","")&amp;IF(AND(EDATE($D57,Milestones!$AA$128)&lt;=AsOfDate,IF($R57=0,$X57,IF(AND($T57&lt;&gt;"",EDATE($D57,Milestones!$AA$128)&gt;=$T57),$W57,IF(AND($S57&lt;&gt;"",EDATE($D57,Milestones!$AA$128)&gt;=$S57),$V57,$U57)))=Milestones!$AB$128),UPPER(TEXT(EDATE($D57,Milestones!$AA$128),"dd mmm yy"))&amp;" "&amp;Milestones!$AB$128&amp;" "&amp;Milestones!$AC$128&amp;";  ","")&amp;IF(AND(EDATE($D57,Milestones!$AA$129)&lt;=AsOfDate,IF($R57=0,$X57,IF(AND($T57&lt;&gt;"",EDATE($D57,Milestones!$AA$129)&gt;=$T57),$W57,IF(AND($S57&lt;&gt;"",EDATE($D57,Milestones!$AA$129)&gt;=$S57),$V57,$U57)))=Milestones!$AB$129),UPPER(TEXT(EDATE($D57,Milestones!$AA$129),"dd mmm yy"))&amp;" "&amp;Milestones!$AB$129&amp;" "&amp;Milestones!$AC$129&amp;";  ","")&amp;IF(AND(EDATE($D57,Milestones!$AA$130)&lt;=AsOfDate,IF($R57=0,$X57,IF(AND($T57&lt;&gt;"",EDATE($D57,Milestones!$AA$130)&gt;=$T57),$W57,IF(AND($S57&lt;&gt;"",EDATE($D57,Milestones!$AA$130)&gt;=$S57),$V57,$U57)))=Milestones!$AB$130),UPPER(TEXT(EDATE($D57,Milestones!$AA$130),"dd mmm yy"))&amp;" "&amp;Milestones!$AB$130&amp;" "&amp;Milestones!$AC$130&amp;";  ","")&amp;IF(AND(EDATE($D57,Milestones!$AA$131)&lt;=AsOfDate,IF($R57=0,$X57,IF(AND($T57&lt;&gt;"",EDATE($D57,Milestones!$AA$131)&gt;=$T57),$W57,IF(AND($S57&lt;&gt;"",EDATE($D57,Milestones!$AA$131)&gt;=$S57),$V57,$U57)))=Milestones!$AB$131),UPPER(TEXT(EDATE($D57,Milestones!$AA$131),"dd mmm yy"))&amp;" "&amp;Milestones!$AB$131&amp;" "&amp;Milestones!$AC$131&amp;";  ","")&amp;IF(AND(EDATE($D57,Milestones!$AA$132)&lt;=AsOfDate,IF($R57=0,$X57,IF(AND($T57&lt;&gt;"",EDATE($D57,Milestones!$AA$132)&gt;=$T57),$W57,IF(AND($S57&lt;&gt;"",EDATE($D57,Milestones!$AA$132)&gt;=$S57),$V57,$U57)))=Milestones!$AB$132),UPPER(TEXT(EDATE($D57,Milestones!$AA$132),"dd mmm yy"))&amp;" "&amp;Milestones!$AB$132&amp;" "&amp;Milestones!$AC$132&amp;";  ","")&amp;IF(AND(EDATE($D57,Milestones!$AA$133)&lt;=AsOfDate,IF($R57=0,$X57,IF(AND($T57&lt;&gt;"",EDATE($D57,Milestones!$AA$133)&gt;=$T57),$W57,IF(AND($S57&lt;&gt;"",EDATE($D57,Milestones!$AA$133)&gt;=$S57),$V57,$U57)))=Milestones!$AB$133),UPPER(TEXT(EDATE($D57,Milestones!$AA$133),"dd mmm yy"))&amp;" "&amp;Milestones!$AB$133&amp;" "&amp;Milestones!$AC$133&amp;";  ","")&amp;IF(AND(EDATE($D57,Milestones!$AA$134)&lt;=AsOfDate,IF($R57=0,$X57,IF(AND($T57&lt;&gt;"",EDATE($D57,Milestones!$AA$134)&gt;=$T57),$W57,IF(AND($S57&lt;&gt;"",EDATE($D57,Milestones!$AA$134)&gt;=$S57),$V57,$U57)))=Milestones!$AB$134),UPPER(TEXT(EDATE($D57,Milestones!$AA$134),"dd mmm yy"))&amp;" "&amp;Milestones!$AB$134&amp;" "&amp;Milestones!$AC$134&amp;";  ","")&amp;IF(AND(EDATE($D57,Milestones!$AA$135)&lt;=AsOfDate,IF($R57=0,$X57,IF(AND($T57&lt;&gt;"",EDATE($D57,Milestones!$AA$135)&gt;=$T57),$W57,IF(AND($S57&lt;&gt;"",EDATE($D57,Milestones!$AA$135)&gt;=$S57),$V57,$U57)))=Milestones!$AB$135),UPPER(TEXT(EDATE($D57,Milestones!$AA$135),"dd mmm yy"))&amp;" "&amp;Milestones!$AB$135&amp;" "&amp;Milestones!$AC$135&amp;";  ","")&amp;IF(AND(EDATE($D57,Milestones!$AA$136)&lt;=AsOfDate,IF($R57=0,$X57,IF(AND($T57&lt;&gt;"",EDATE($D57,Milestones!$AA$136)&gt;=$T57),$W57,IF(AND($S57&lt;&gt;"",EDATE($D57,Milestones!$AA$136)&gt;=$S57),$V57,$U57)))=Milestones!$AB$136),UPPER(TEXT(EDATE($D57,Milestones!$AA$136),"dd mmm yy"))&amp;" "&amp;Milestones!$AB$136&amp;" "&amp;Milestones!$AC$136&amp;";  ","")&amp;IF(AND(EDATE($D57,Milestones!$AA$137)&lt;=AsOfDate,IF($R57=0,$X57,IF(AND($T57&lt;&gt;"",EDATE($D57,Milestones!$AA$137)&gt;=$T57),$W57,IF(AND($S57&lt;&gt;"",EDATE($D57,Milestones!$AA$137)&gt;=$S57),$V57,$U57)))=Milestones!$AB$137),UPPER(TEXT(EDATE($D57,Milestones!$AA$137),"dd mmm yy"))&amp;" "&amp;Milestones!$AB$137&amp;" "&amp;Milestones!$AC$137&amp;";  ","")&amp;IF(AND(EDATE($D57,Milestones!$AA$138)&lt;=AsOfDate,IF($R57=0,$X57,IF(AND($T57&lt;&gt;"",EDATE($D57,Milestones!$AA$138)&gt;=$T57),$W57,IF(AND($S57&lt;&gt;"",EDATE($D57,Milestones!$AA$138)&gt;=$S57),$V57,$U57)))=Milestones!$AB$138),UPPER(TEXT(EDATE($D57,Milestones!$AA$138),"dd mmm yy"))&amp;" "&amp;Milestones!$AB$138&amp;" "&amp;Milestones!$AC$138&amp;";  ","")&amp;IF(AND(EDATE($D57,Milestones!$AA$139)&lt;=AsOfDate,IF($R57=0,$X57,IF(AND($T57&lt;&gt;"",EDATE($D57,Milestones!$AA$139)&gt;=$T57),$W57,IF(AND($S57&lt;&gt;"",EDATE($D57,Milestones!$AA$139)&gt;=$S57),$V57,$U57)))=Milestones!$AB$139),UPPER(TEXT(EDATE($D57,Milestones!$AA$139),"dd mmm yy"))&amp;" "&amp;Milestones!$AB$139&amp;" "&amp;Milestones!$AC$139&amp;";  ",""))</f>
        <v/>
      </c>
      <c r="O57" s="0" t="str">
        <f aca="false">IF(OR($A57="",$D57=""),"",IF(AND(EDATE($D57,Milestones!$AA$140)&lt;=AsOfDate,IF($R57=0,$X57,IF(AND($T57&lt;&gt;"",EDATE($D57,Milestones!$AA$140)&gt;=$T57),$W57,IF(AND($S57&lt;&gt;"",EDATE($D57,Milestones!$AA$140)&gt;=$S57),$V57,$U57)))=Milestones!$AB$140),UPPER(TEXT(EDATE($D57,Milestones!$AA$140),"dd mmm yy"))&amp;" "&amp;Milestones!$AB$140&amp;" "&amp;Milestones!$AC$140&amp;";  ","")&amp;IF(AND(EDATE($D57,Milestones!$AA$141)&lt;=AsOfDate,IF($R57=0,$X57,IF(AND($T57&lt;&gt;"",EDATE($D57,Milestones!$AA$141)&gt;=$T57),$W57,IF(AND($S57&lt;&gt;"",EDATE($D57,Milestones!$AA$141)&gt;=$S57),$V57,$U57)))=Milestones!$AB$141),UPPER(TEXT(EDATE($D57,Milestones!$AA$141),"dd mmm yy"))&amp;" "&amp;Milestones!$AB$141&amp;" "&amp;Milestones!$AC$141&amp;";  ","")&amp;IF(AND(EDATE($D57,Milestones!$AA$142)&lt;=AsOfDate,IF($R57=0,$X57,IF(AND($T57&lt;&gt;"",EDATE($D57,Milestones!$AA$142)&gt;=$T57),$W57,IF(AND($S57&lt;&gt;"",EDATE($D57,Milestones!$AA$142)&gt;=$S57),$V57,$U57)))=Milestones!$AB$142),UPPER(TEXT(EDATE($D57,Milestones!$AA$142),"dd mmm yy"))&amp;" "&amp;Milestones!$AB$142&amp;" "&amp;Milestones!$AC$142&amp;";  ","")&amp;IF(AND(EDATE($D57,Milestones!$AA$143)&lt;=AsOfDate,IF($R57=0,$X57,IF(AND($T57&lt;&gt;"",EDATE($D57,Milestones!$AA$143)&gt;=$T57),$W57,IF(AND($S57&lt;&gt;"",EDATE($D57,Milestones!$AA$143)&gt;=$S57),$V57,$U57)))=Milestones!$AB$143),UPPER(TEXT(EDATE($D57,Milestones!$AA$143),"dd mmm yy"))&amp;" "&amp;Milestones!$AB$143&amp;" "&amp;Milestones!$AC$143&amp;";  ","")&amp;IF(AND(EDATE($D57,Milestones!$AA$144)&lt;=AsOfDate,IF($R57=0,$X57,IF(AND($T57&lt;&gt;"",EDATE($D57,Milestones!$AA$144)&gt;=$T57),$W57,IF(AND($S57&lt;&gt;"",EDATE($D57,Milestones!$AA$144)&gt;=$S57),$V57,$U57)))=Milestones!$AB$144),UPPER(TEXT(EDATE($D57,Milestones!$AA$144),"dd mmm yy"))&amp;" "&amp;Milestones!$AB$144&amp;" "&amp;Milestones!$AC$144&amp;";  ","")&amp;IF(AND(EDATE($D57,Milestones!$AA$145)&lt;=AsOfDate,IF($R57=0,$X57,IF(AND($T57&lt;&gt;"",EDATE($D57,Milestones!$AA$145)&gt;=$T57),$W57,IF(AND($S57&lt;&gt;"",EDATE($D57,Milestones!$AA$145)&gt;=$S57),$V57,$U57)))=Milestones!$AB$145),UPPER(TEXT(EDATE($D57,Milestones!$AA$145),"dd mmm yy"))&amp;" "&amp;Milestones!$AB$145&amp;" "&amp;Milestones!$AC$145&amp;";  ","")&amp;IF(AND(EDATE($D57,Milestones!$AA$146)&lt;=AsOfDate,IF($R57=0,$X57,IF(AND($T57&lt;&gt;"",EDATE($D57,Milestones!$AA$146)&gt;=$T57),$W57,IF(AND($S57&lt;&gt;"",EDATE($D57,Milestones!$AA$146)&gt;=$S57),$V57,$U57)))=Milestones!$AB$146),UPPER(TEXT(EDATE($D57,Milestones!$AA$146),"dd mmm yy"))&amp;" "&amp;Milestones!$AB$146&amp;" "&amp;Milestones!$AC$146&amp;";  ","")&amp;IF(AND(EDATE($D57,Milestones!$AA$147)&lt;=AsOfDate,IF($R57=0,$X57,IF(AND($T57&lt;&gt;"",EDATE($D57,Milestones!$AA$147)&gt;=$T57),$W57,IF(AND($S57&lt;&gt;"",EDATE($D57,Milestones!$AA$147)&gt;=$S57),$V57,$U57)))=Milestones!$AB$147),UPPER(TEXT(EDATE($D57,Milestones!$AA$147),"dd mmm yy"))&amp;" "&amp;Milestones!$AB$147&amp;" "&amp;Milestones!$AC$147&amp;";  ","")&amp;IF(AND(EDATE($D57,Milestones!$AA$148)&lt;=AsOfDate,IF($R57=0,$X57,IF(AND($T57&lt;&gt;"",EDATE($D57,Milestones!$AA$148)&gt;=$T57),$W57,IF(AND($S57&lt;&gt;"",EDATE($D57,Milestones!$AA$148)&gt;=$S57),$V57,$U57)))=Milestones!$AB$148),UPPER(TEXT(EDATE($D57,Milestones!$AA$148),"dd mmm yy"))&amp;" "&amp;Milestones!$AB$148&amp;" "&amp;Milestones!$AC$148&amp;";  ","")&amp;IF(AND(EDATE($D57,Milestones!$AA$149)&lt;=AsOfDate,IF($R57=0,$X57,IF(AND($T57&lt;&gt;"",EDATE($D57,Milestones!$AA$149)&gt;=$T57),$W57,IF(AND($S57&lt;&gt;"",EDATE($D57,Milestones!$AA$149)&gt;=$S57),$V57,$U57)))=Milestones!$AB$149),UPPER(TEXT(EDATE($D57,Milestones!$AA$149),"dd mmm yy"))&amp;" "&amp;Milestones!$AB$149&amp;" "&amp;Milestones!$AC$149&amp;";  ","")&amp;IF(AND(EDATE($D57,Milestones!$AA$150)&lt;=AsOfDate,IF($R57=0,$X57,IF(AND($T57&lt;&gt;"",EDATE($D57,Milestones!$AA$150)&gt;=$T57),$W57,IF(AND($S57&lt;&gt;"",EDATE($D57,Milestones!$AA$150)&gt;=$S57),$V57,$U57)))=Milestones!$AB$150),UPPER(TEXT(EDATE($D57,Milestones!$AA$150),"dd mmm yy"))&amp;" "&amp;Milestones!$AB$150&amp;" "&amp;Milestones!$AC$150&amp;";  ","")&amp;IF(AND(EDATE($D57,Milestones!$AA$151)&lt;=AsOfDate,IF($R57=0,$X57,IF(AND($T57&lt;&gt;"",EDATE($D57,Milestones!$AA$151)&gt;=$T57),$W57,IF(AND($S57&lt;&gt;"",EDATE($D57,Milestones!$AA$151)&gt;=$S57),$V57,$U57)))=Milestones!$AB$151),UPPER(TEXT(EDATE($D57,Milestones!$AA$151),"dd mmm yy"))&amp;" "&amp;Milestones!$AB$151&amp;" "&amp;Milestones!$AC$151&amp;";  ","")&amp;IF(AND(EDATE($D57,Milestones!$AA$152)&lt;=AsOfDate,IF($R57=0,$X57,IF(AND($T57&lt;&gt;"",EDATE($D57,Milestones!$AA$152)&gt;=$T57),$W57,IF(AND($S57&lt;&gt;"",EDATE($D57,Milestones!$AA$152)&gt;=$S57),$V57,$U57)))=Milestones!$AB$152),UPPER(TEXT(EDATE($D57,Milestones!$AA$152),"dd mmm yy"))&amp;" "&amp;Milestones!$AB$152&amp;" "&amp;Milestones!$AC$152&amp;";  ","")&amp;IF(AND(EDATE($D57,Milestones!$AA$153)&lt;=AsOfDate,IF($R57=0,$X57,IF(AND($T57&lt;&gt;"",EDATE($D57,Milestones!$AA$153)&gt;=$T57),$W57,IF(AND($S57&lt;&gt;"",EDATE($D57,Milestones!$AA$153)&gt;=$S57),$V57,$U57)))=Milestones!$AB$153),UPPER(TEXT(EDATE($D57,Milestones!$AA$153),"dd mmm yy"))&amp;" "&amp;Milestones!$AB$153&amp;" "&amp;Milestones!$AC$153&amp;";  ","")&amp;IF(AND(EDATE($D57,Milestones!$AA$154)&lt;=AsOfDate,IF($R57=0,$X57,IF(AND($T57&lt;&gt;"",EDATE($D57,Milestones!$AA$154)&gt;=$T57),$W57,IF(AND($S57&lt;&gt;"",EDATE($D57,Milestones!$AA$154)&gt;=$S57),$V57,$U57)))=Milestones!$AB$154),UPPER(TEXT(EDATE($D57,Milestones!$AA$154),"dd mmm yy"))&amp;" "&amp;Milestones!$AB$154&amp;" "&amp;Milestones!$AC$154&amp;";  ","")&amp;IF(AND(EDATE($D57,Milestones!$AA$155)&lt;=AsOfDate,IF($R57=0,$X57,IF(AND($T57&lt;&gt;"",EDATE($D57,Milestones!$AA$155)&gt;=$T57),$W57,IF(AND($S57&lt;&gt;"",EDATE($D57,Milestones!$AA$155)&gt;=$S57),$V57,$U57)))=Milestones!$AB$155),UPPER(TEXT(EDATE($D57,Milestones!$AA$155),"dd mmm yy"))&amp;" "&amp;Milestones!$AB$155&amp;" "&amp;Milestones!$AC$155&amp;";  ","")&amp;IF(AND(EDATE($D57,Milestones!$AA$156)&lt;=AsOfDate,IF($R57=0,$X57,IF(AND($T57&lt;&gt;"",EDATE($D57,Milestones!$AA$156)&gt;=$T57),$W57,IF(AND($S57&lt;&gt;"",EDATE($D57,Milestones!$AA$156)&gt;=$S57),$V57,$U57)))=Milestones!$AB$156),UPPER(TEXT(EDATE($D57,Milestones!$AA$156),"dd mmm yy"))&amp;" "&amp;Milestones!$AB$156&amp;" "&amp;Milestones!$AC$156&amp;";  ","")&amp;IF(AND(EDATE($D57,Milestones!$AA$157)&lt;=AsOfDate,IF($R57=0,$X57,IF(AND($T57&lt;&gt;"",EDATE($D57,Milestones!$AA$157)&gt;=$T57),$W57,IF(AND($S57&lt;&gt;"",EDATE($D57,Milestones!$AA$157)&gt;=$S57),$V57,$U57)))=Milestones!$AB$157),UPPER(TEXT(EDATE($D57,Milestones!$AA$157),"dd mmm yy"))&amp;" "&amp;Milestones!$AB$157&amp;" "&amp;Milestones!$AC$157&amp;";  ","")&amp;IF(AND(EDATE($D57,Milestones!$AA$158)&lt;=AsOfDate,IF($R57=0,$X57,IF(AND($T57&lt;&gt;"",EDATE($D57,Milestones!$AA$158)&gt;=$T57),$W57,IF(AND($S57&lt;&gt;"",EDATE($D57,Milestones!$AA$158)&gt;=$S57),$V57,$U57)))=Milestones!$AB$158),UPPER(TEXT(EDATE($D57,Milestones!$AA$158),"dd mmm yy"))&amp;" "&amp;Milestones!$AB$158&amp;" "&amp;Milestones!$AC$158&amp;";  ","")&amp;IF(AND(EDATE($D57,Milestones!$AA$159)&lt;=AsOfDate,IF($R57=0,$X57,IF(AND($T57&lt;&gt;"",EDATE($D57,Milestones!$AA$159)&gt;=$T57),$W57,IF(AND($S57&lt;&gt;"",EDATE($D57,Milestones!$AA$159)&gt;=$S57),$V57,$U57)))=Milestones!$AB$159),UPPER(TEXT(EDATE($D57,Milestones!$AA$159),"dd mmm yy"))&amp;" "&amp;Milestones!$AB$159&amp;" "&amp;Milestones!$AC$159&amp;";  ",""))</f>
        <v/>
      </c>
      <c r="P57" s="0" t="str">
        <f aca="false">IF(OR($A57="",$D57=""),"",IF(AND(EDATE($D57,Milestones!$AA$160)&lt;=AsOfDate,IF($R57=0,$X57,IF(AND($T57&lt;&gt;"",EDATE($D57,Milestones!$AA$160)&gt;=$T57),$W57,IF(AND($S57&lt;&gt;"",EDATE($D57,Milestones!$AA$160)&gt;=$S57),$V57,$U57)))=Milestones!$AB$160),UPPER(TEXT(EDATE($D57,Milestones!$AA$160),"dd mmm yy"))&amp;" "&amp;Milestones!$AB$160&amp;" "&amp;Milestones!$AC$160&amp;";  ","")&amp;IF(AND(EDATE($D57,Milestones!$AA$161)&lt;=AsOfDate,IF($R57=0,$X57,IF(AND($T57&lt;&gt;"",EDATE($D57,Milestones!$AA$161)&gt;=$T57),$W57,IF(AND($S57&lt;&gt;"",EDATE($D57,Milestones!$AA$161)&gt;=$S57),$V57,$U57)))=Milestones!$AB$161),UPPER(TEXT(EDATE($D57,Milestones!$AA$161),"dd mmm yy"))&amp;" "&amp;Milestones!$AB$161&amp;" "&amp;Milestones!$AC$161&amp;";  ","")&amp;IF(AND(EDATE($D57,Milestones!$AA$162)&lt;=AsOfDate,IF($R57=0,$X57,IF(AND($T57&lt;&gt;"",EDATE($D57,Milestones!$AA$162)&gt;=$T57),$W57,IF(AND($S57&lt;&gt;"",EDATE($D57,Milestones!$AA$162)&gt;=$S57),$V57,$U57)))=Milestones!$AB$162),UPPER(TEXT(EDATE($D57,Milestones!$AA$162),"dd mmm yy"))&amp;" "&amp;Milestones!$AB$162&amp;" "&amp;Milestones!$AC$162&amp;";  ","")&amp;IF(AND(EDATE($D57,Milestones!$AA$163)&lt;=AsOfDate,IF($R57=0,$X57,IF(AND($T57&lt;&gt;"",EDATE($D57,Milestones!$AA$163)&gt;=$T57),$W57,IF(AND($S57&lt;&gt;"",EDATE($D57,Milestones!$AA$163)&gt;=$S57),$V57,$U57)))=Milestones!$AB$163),UPPER(TEXT(EDATE($D57,Milestones!$AA$163),"dd mmm yy"))&amp;" "&amp;Milestones!$AB$163&amp;" "&amp;Milestones!$AC$163&amp;";  ","")&amp;IF(AND(EDATE($D57,Milestones!$AA$164)&lt;=AsOfDate,IF($R57=0,$X57,IF(AND($T57&lt;&gt;"",EDATE($D57,Milestones!$AA$164)&gt;=$T57),$W57,IF(AND($S57&lt;&gt;"",EDATE($D57,Milestones!$AA$164)&gt;=$S57),$V57,$U57)))=Milestones!$AB$164),UPPER(TEXT(EDATE($D57,Milestones!$AA$164),"dd mmm yy"))&amp;" "&amp;Milestones!$AB$164&amp;" "&amp;Milestones!$AC$164&amp;";  ","")&amp;IF(AND(EDATE($D57,Milestones!$AA$165)&lt;=AsOfDate,IF($R57=0,$X57,IF(AND($T57&lt;&gt;"",EDATE($D57,Milestones!$AA$165)&gt;=$T57),$W57,IF(AND($S57&lt;&gt;"",EDATE($D57,Milestones!$AA$165)&gt;=$S57),$V57,$U57)))=Milestones!$AB$165),UPPER(TEXT(EDATE($D57,Milestones!$AA$165),"dd mmm yy"))&amp;" "&amp;Milestones!$AB$165&amp;" "&amp;Milestones!$AC$165&amp;";  ","")&amp;IF(AND(EDATE($D57,Milestones!$AA$166)&lt;=AsOfDate,IF($R57=0,$X57,IF(AND($T57&lt;&gt;"",EDATE($D57,Milestones!$AA$166)&gt;=$T57),$W57,IF(AND($S57&lt;&gt;"",EDATE($D57,Milestones!$AA$166)&gt;=$S57),$V57,$U57)))=Milestones!$AB$166),UPPER(TEXT(EDATE($D57,Milestones!$AA$166),"dd mmm yy"))&amp;" "&amp;Milestones!$AB$166&amp;" "&amp;Milestones!$AC$166&amp;";  ","")&amp;IF(AND(EDATE($D57,Milestones!$AA$167)&lt;=AsOfDate,IF($R57=0,$X57,IF(AND($T57&lt;&gt;"",EDATE($D57,Milestones!$AA$167)&gt;=$T57),$W57,IF(AND($S57&lt;&gt;"",EDATE($D57,Milestones!$AA$167)&gt;=$S57),$V57,$U57)))=Milestones!$AB$167),UPPER(TEXT(EDATE($D57,Milestones!$AA$167),"dd mmm yy"))&amp;" "&amp;Milestones!$AB$167&amp;" "&amp;Milestones!$AC$167&amp;";  ","")&amp;IF(AND(EDATE($D57,Milestones!$AA$168)&lt;=AsOfDate,IF($R57=0,$X57,IF(AND($T57&lt;&gt;"",EDATE($D57,Milestones!$AA$168)&gt;=$T57),$W57,IF(AND($S57&lt;&gt;"",EDATE($D57,Milestones!$AA$168)&gt;=$S57),$V57,$U57)))=Milestones!$AB$168),UPPER(TEXT(EDATE($D57,Milestones!$AA$168),"dd mmm yy"))&amp;" "&amp;Milestones!$AB$168&amp;" "&amp;Milestones!$AC$168&amp;";  ","")&amp;IF(AND(EDATE($D57,Milestones!$AA$169)&lt;=AsOfDate,IF($R57=0,$X57,IF(AND($T57&lt;&gt;"",EDATE($D57,Milestones!$AA$169)&gt;=$T57),$W57,IF(AND($S57&lt;&gt;"",EDATE($D57,Milestones!$AA$169)&gt;=$S57),$V57,$U57)))=Milestones!$AB$169),UPPER(TEXT(EDATE($D57,Milestones!$AA$169),"dd mmm yy"))&amp;" "&amp;Milestones!$AB$169&amp;" "&amp;Milestones!$AC$169&amp;";  ","")&amp;IF(AND(EDATE($D57,Milestones!$AA$170)&lt;=AsOfDate,IF($R57=0,$X57,IF(AND($T57&lt;&gt;"",EDATE($D57,Milestones!$AA$170)&gt;=$T57),$W57,IF(AND($S57&lt;&gt;"",EDATE($D57,Milestones!$AA$170)&gt;=$S57),$V57,$U57)))=Milestones!$AB$170),UPPER(TEXT(EDATE($D57,Milestones!$AA$170),"dd mmm yy"))&amp;" "&amp;Milestones!$AB$170&amp;" "&amp;Milestones!$AC$170&amp;";  ","")&amp;IF(AND(EDATE($D57,Milestones!$AA$171)&lt;=AsOfDate,IF($R57=0,$X57,IF(AND($T57&lt;&gt;"",EDATE($D57,Milestones!$AA$171)&gt;=$T57),$W57,IF(AND($S57&lt;&gt;"",EDATE($D57,Milestones!$AA$171)&gt;=$S57),$V57,$U57)))=Milestones!$AB$171),UPPER(TEXT(EDATE($D57,Milestones!$AA$171),"dd mmm yy"))&amp;" "&amp;Milestones!$AB$171&amp;" "&amp;Milestones!$AC$171&amp;";  ","")&amp;IF(AND(EDATE($D57,Milestones!$AA$172)&lt;=AsOfDate,IF($R57=0,$X57,IF(AND($T57&lt;&gt;"",EDATE($D57,Milestones!$AA$172)&gt;=$T57),$W57,IF(AND($S57&lt;&gt;"",EDATE($D57,Milestones!$AA$172)&gt;=$S57),$V57,$U57)))=Milestones!$AB$172),UPPER(TEXT(EDATE($D57,Milestones!$AA$172),"dd mmm yy"))&amp;" "&amp;Milestones!$AB$172&amp;" "&amp;Milestones!$AC$172&amp;";  ","")&amp;IF(AND(EDATE($D57,Milestones!$AA$173)&lt;=AsOfDate,IF($R57=0,$X57,IF(AND($T57&lt;&gt;"",EDATE($D57,Milestones!$AA$173)&gt;=$T57),$W57,IF(AND($S57&lt;&gt;"",EDATE($D57,Milestones!$AA$173)&gt;=$S57),$V57,$U57)))=Milestones!$AB$173),UPPER(TEXT(EDATE($D57,Milestones!$AA$173),"dd mmm yy"))&amp;" "&amp;Milestones!$AB$173&amp;" "&amp;Milestones!$AC$173&amp;";  ","")&amp;IF(AND(EDATE($D57,Milestones!$AA$174)&lt;=AsOfDate,IF($R57=0,$X57,IF(AND($T57&lt;&gt;"",EDATE($D57,Milestones!$AA$174)&gt;=$T57),$W57,IF(AND($S57&lt;&gt;"",EDATE($D57,Milestones!$AA$174)&gt;=$S57),$V57,$U57)))=Milestones!$AB$174),UPPER(TEXT(EDATE($D57,Milestones!$AA$174),"dd mmm yy"))&amp;" "&amp;Milestones!$AB$174&amp;" "&amp;Milestones!$AC$174&amp;";  ","")&amp;IF(AND(EDATE($D57,Milestones!$AA$175)&lt;=AsOfDate,IF($R57=0,$X57,IF(AND($T57&lt;&gt;"",EDATE($D57,Milestones!$AA$175)&gt;=$T57),$W57,IF(AND($S57&lt;&gt;"",EDATE($D57,Milestones!$AA$175)&gt;=$S57),$V57,$U57)))=Milestones!$AB$175),UPPER(TEXT(EDATE($D57,Milestones!$AA$175),"dd mmm yy"))&amp;" "&amp;Milestones!$AB$175&amp;" "&amp;Milestones!$AC$175&amp;";  ","")&amp;IF(AND(EDATE($D57,Milestones!$AA$176)&lt;=AsOfDate,IF($R57=0,$X57,IF(AND($T57&lt;&gt;"",EDATE($D57,Milestones!$AA$176)&gt;=$T57),$W57,IF(AND($S57&lt;&gt;"",EDATE($D57,Milestones!$AA$176)&gt;=$S57),$V57,$U57)))=Milestones!$AB$176),UPPER(TEXT(EDATE($D57,Milestones!$AA$176),"dd mmm yy"))&amp;" "&amp;Milestones!$AB$176&amp;" "&amp;Milestones!$AC$176&amp;";  ","")&amp;IF(AND(EDATE($D57,Milestones!$AA$177)&lt;=AsOfDate,IF($R57=0,$X57,IF(AND($T57&lt;&gt;"",EDATE($D57,Milestones!$AA$177)&gt;=$T57),$W57,IF(AND($S57&lt;&gt;"",EDATE($D57,Milestones!$AA$177)&gt;=$S57),$V57,$U57)))=Milestones!$AB$177),UPPER(TEXT(EDATE($D57,Milestones!$AA$177),"dd mmm yy"))&amp;" "&amp;Milestones!$AB$177&amp;" "&amp;Milestones!$AC$177&amp;";  ","")&amp;IF(AND(EDATE($D57,Milestones!$AA$178)&lt;=AsOfDate,IF($R57=0,$X57,IF(AND($T57&lt;&gt;"",EDATE($D57,Milestones!$AA$178)&gt;=$T57),$W57,IF(AND($S57&lt;&gt;"",EDATE($D57,Milestones!$AA$178)&gt;=$S57),$V57,$U57)))=Milestones!$AB$178),UPPER(TEXT(EDATE($D57,Milestones!$AA$178),"dd mmm yy"))&amp;" "&amp;Milestones!$AB$178&amp;" "&amp;Milestones!$AC$178&amp;";  ","")&amp;IF(AND(EDATE($D57,Milestones!$AA$179)&lt;=AsOfDate,IF($R57=0,$X57,IF(AND($T57&lt;&gt;"",EDATE($D57,Milestones!$AA$179)&gt;=$T57),$W57,IF(AND($S57&lt;&gt;"",EDATE($D57,Milestones!$AA$179)&gt;=$S57),$V57,$U57)))=Milestones!$AB$179),UPPER(TEXT(EDATE($D57,Milestones!$AA$179),"dd mmm yy"))&amp;" "&amp;Milestones!$AB$179&amp;" "&amp;Milestones!$AC$179&amp;";  ",""))</f>
        <v/>
      </c>
      <c r="Q57" s="0" t="str">
        <f aca="false">IF(OR($A57="",$D57=""),"",IF(AND(EDATE($D57,Milestones!$AA$180)&lt;=AsOfDate,IF($R57=0,$X57,IF(AND($T57&lt;&gt;"",EDATE($D57,Milestones!$AA$180)&gt;=$T57),$W57,IF(AND($S57&lt;&gt;"",EDATE($D57,Milestones!$AA$180)&gt;=$S57),$V57,$U57)))=Milestones!$AB$180),UPPER(TEXT(EDATE($D57,Milestones!$AA$180),"dd mmm yy"))&amp;" "&amp;Milestones!$AB$180&amp;" "&amp;Milestones!$AC$180&amp;";  ","")&amp;IF(AND(EDATE($D57,Milestones!$AA$181)&lt;=AsOfDate,IF($R57=0,$X57,IF(AND($T57&lt;&gt;"",EDATE($D57,Milestones!$AA$181)&gt;=$T57),$W57,IF(AND($S57&lt;&gt;"",EDATE($D57,Milestones!$AA$181)&gt;=$S57),$V57,$U57)))=Milestones!$AB$181),UPPER(TEXT(EDATE($D57,Milestones!$AA$181),"dd mmm yy"))&amp;" "&amp;Milestones!$AB$181&amp;" "&amp;Milestones!$AC$181&amp;";  ","")&amp;IF(AND(EDATE($D57,Milestones!$AA$182)&lt;=AsOfDate,IF($R57=0,$X57,IF(AND($T57&lt;&gt;"",EDATE($D57,Milestones!$AA$182)&gt;=$T57),$W57,IF(AND($S57&lt;&gt;"",EDATE($D57,Milestones!$AA$182)&gt;=$S57),$V57,$U57)))=Milestones!$AB$182),UPPER(TEXT(EDATE($D57,Milestones!$AA$182),"dd mmm yy"))&amp;" "&amp;Milestones!$AB$182&amp;" "&amp;Milestones!$AC$182&amp;";  ","")&amp;IF(AND(EDATE($D57,Milestones!$AA$183)&lt;=AsOfDate,IF($R57=0,$X57,IF(AND($T57&lt;&gt;"",EDATE($D57,Milestones!$AA$183)&gt;=$T57),$W57,IF(AND($S57&lt;&gt;"",EDATE($D57,Milestones!$AA$183)&gt;=$S57),$V57,$U57)))=Milestones!$AB$183),UPPER(TEXT(EDATE($D57,Milestones!$AA$183),"dd mmm yy"))&amp;" "&amp;Milestones!$AB$183&amp;" "&amp;Milestones!$AC$183&amp;";  ","")&amp;IF(AND(EDATE($D57,Milestones!$AA$184)&lt;=AsOfDate,IF($R57=0,$X57,IF(AND($T57&lt;&gt;"",EDATE($D57,Milestones!$AA$184)&gt;=$T57),$W57,IF(AND($S57&lt;&gt;"",EDATE($D57,Milestones!$AA$184)&gt;=$S57),$V57,$U57)))=Milestones!$AB$184),UPPER(TEXT(EDATE($D57,Milestones!$AA$184),"dd mmm yy"))&amp;" "&amp;Milestones!$AB$184&amp;" "&amp;Milestones!$AC$184&amp;";  ","")&amp;IF(AND(EDATE($D57,Milestones!$AA$185)&lt;=AsOfDate,IF($R57=0,$X57,IF(AND($T57&lt;&gt;"",EDATE($D57,Milestones!$AA$185)&gt;=$T57),$W57,IF(AND($S57&lt;&gt;"",EDATE($D57,Milestones!$AA$185)&gt;=$S57),$V57,$U57)))=Milestones!$AB$185),UPPER(TEXT(EDATE($D57,Milestones!$AA$185),"dd mmm yy"))&amp;" "&amp;Milestones!$AB$185&amp;" "&amp;Milestones!$AC$185&amp;";  ","")&amp;IF(AND(EDATE($D57,Milestones!$AA$186)&lt;=AsOfDate,IF($R57=0,$X57,IF(AND($T57&lt;&gt;"",EDATE($D57,Milestones!$AA$186)&gt;=$T57),$W57,IF(AND($S57&lt;&gt;"",EDATE($D57,Milestones!$AA$186)&gt;=$S57),$V57,$U57)))=Milestones!$AB$186),UPPER(TEXT(EDATE($D57,Milestones!$AA$186),"dd mmm yy"))&amp;" "&amp;Milestones!$AB$186&amp;" "&amp;Milestones!$AC$186&amp;";  ","")&amp;IF(AND(EDATE($D57,Milestones!$AA$187)&lt;=AsOfDate,IF($R57=0,$X57,IF(AND($T57&lt;&gt;"",EDATE($D57,Milestones!$AA$187)&gt;=$T57),$W57,IF(AND($S57&lt;&gt;"",EDATE($D57,Milestones!$AA$187)&gt;=$S57),$V57,$U57)))=Milestones!$AB$187),UPPER(TEXT(EDATE($D57,Milestones!$AA$187),"dd mmm yy"))&amp;" "&amp;Milestones!$AB$187&amp;" "&amp;Milestones!$AC$187&amp;";  ","")&amp;IF(AND(EDATE($D57,Milestones!$AA$188)&lt;=AsOfDate,IF($R57=0,$X57,IF(AND($T57&lt;&gt;"",EDATE($D57,Milestones!$AA$188)&gt;=$T57),$W57,IF(AND($S57&lt;&gt;"",EDATE($D57,Milestones!$AA$188)&gt;=$S57),$V57,$U57)))=Milestones!$AB$188),UPPER(TEXT(EDATE($D57,Milestones!$AA$188),"dd mmm yy"))&amp;" "&amp;Milestones!$AB$188&amp;" "&amp;Milestones!$AC$188&amp;";  ","")&amp;IF(AND(EDATE($D57,Milestones!$AA$189)&lt;=AsOfDate,IF($R57=0,$X57,IF(AND($T57&lt;&gt;"",EDATE($D57,Milestones!$AA$189)&gt;=$T57),$W57,IF(AND($S57&lt;&gt;"",EDATE($D57,Milestones!$AA$189)&gt;=$S57),$V57,$U57)))=Milestones!$AB$189),UPPER(TEXT(EDATE($D57,Milestones!$AA$189),"dd mmm yy"))&amp;" "&amp;Milestones!$AB$189&amp;" "&amp;Milestones!$AC$189&amp;";  ","")&amp;IF(AND(EDATE($D57,Milestones!$AA$190)&lt;=AsOfDate,IF($R57=0,$X57,IF(AND($T57&lt;&gt;"",EDATE($D57,Milestones!$AA$190)&gt;=$T57),$W57,IF(AND($S57&lt;&gt;"",EDATE($D57,Milestones!$AA$190)&gt;=$S57),$V57,$U57)))=Milestones!$AB$190),UPPER(TEXT(EDATE($D57,Milestones!$AA$190),"dd mmm yy"))&amp;" "&amp;Milestones!$AB$190&amp;" "&amp;Milestones!$AC$190&amp;";  ","")&amp;IF(AND(EDATE($D57,Milestones!$AA$191)&lt;=AsOfDate,IF($R57=0,$X57,IF(AND($T57&lt;&gt;"",EDATE($D57,Milestones!$AA$191)&gt;=$T57),$W57,IF(AND($S57&lt;&gt;"",EDATE($D57,Milestones!$AA$191)&gt;=$S57),$V57,$U57)))=Milestones!$AB$191),UPPER(TEXT(EDATE($D57,Milestones!$AA$191),"dd mmm yy"))&amp;" "&amp;Milestones!$AB$191&amp;" "&amp;Milestones!$AC$191&amp;";  ","")&amp;IF(AND(EDATE($D57,Milestones!$AA$192)&lt;=AsOfDate,IF($R57=0,$X57,IF(AND($T57&lt;&gt;"",EDATE($D57,Milestones!$AA$192)&gt;=$T57),$W57,IF(AND($S57&lt;&gt;"",EDATE($D57,Milestones!$AA$192)&gt;=$S57),$V57,$U57)))=Milestones!$AB$192),UPPER(TEXT(EDATE($D57,Milestones!$AA$192),"dd mmm yy"))&amp;" "&amp;Milestones!$AB$192&amp;" "&amp;Milestones!$AC$192&amp;";  ","")&amp;IF(AND(EDATE($D57,Milestones!$AA$193)&lt;=AsOfDate,IF($R57=0,$X57,IF(AND($T57&lt;&gt;"",EDATE($D57,Milestones!$AA$193)&gt;=$T57),$W57,IF(AND($S57&lt;&gt;"",EDATE($D57,Milestones!$AA$193)&gt;=$S57),$V57,$U57)))=Milestones!$AB$193),UPPER(TEXT(EDATE($D57,Milestones!$AA$193),"dd mmm yy"))&amp;" "&amp;Milestones!$AB$193&amp;" "&amp;Milestones!$AC$193&amp;";  ","")&amp;IF(AND(EDATE($D57,Milestones!$AA$194)&lt;=AsOfDate,IF($R57=0,$X57,IF(AND($T57&lt;&gt;"",EDATE($D57,Milestones!$AA$194)&gt;=$T57),$W57,IF(AND($S57&lt;&gt;"",EDATE($D57,Milestones!$AA$194)&gt;=$S57),$V57,$U57)))=Milestones!$AB$194),UPPER(TEXT(EDATE($D57,Milestones!$AA$194),"dd mmm yy"))&amp;" "&amp;Milestones!$AB$194&amp;" "&amp;Milestones!$AC$194&amp;";  ","")&amp;IF(AND(EDATE($D57,Milestones!$AA$195)&lt;=AsOfDate,IF($R57=0,$X57,IF(AND($T57&lt;&gt;"",EDATE($D57,Milestones!$AA$195)&gt;=$T57),$W57,IF(AND($S57&lt;&gt;"",EDATE($D57,Milestones!$AA$195)&gt;=$S57),$V57,$U57)))=Milestones!$AB$195),UPPER(TEXT(EDATE($D57,Milestones!$AA$195),"dd mmm yy"))&amp;" "&amp;Milestones!$AB$195&amp;" "&amp;Milestones!$AC$195&amp;";  ","")&amp;IF(AND(EDATE($D57,Milestones!$AA$196)&lt;=AsOfDate,IF($R57=0,$X57,IF(AND($T57&lt;&gt;"",EDATE($D57,Milestones!$AA$196)&gt;=$T57),$W57,IF(AND($S57&lt;&gt;"",EDATE($D57,Milestones!$AA$196)&gt;=$S57),$V57,$U57)))=Milestones!$AB$196),UPPER(TEXT(EDATE($D57,Milestones!$AA$196),"dd mmm yy"))&amp;" "&amp;Milestones!$AB$196&amp;" "&amp;Milestones!$AC$196&amp;";  ","")&amp;IF(AND(EDATE($D57,Milestones!$AA$197)&lt;=AsOfDate,IF($R57=0,$X57,IF(AND($T57&lt;&gt;"",EDATE($D57,Milestones!$AA$197)&gt;=$T57),$W57,IF(AND($S57&lt;&gt;"",EDATE($D57,Milestones!$AA$197)&gt;=$S57),$V57,$U57)))=Milestones!$AB$197),UPPER(TEXT(EDATE($D57,Milestones!$AA$197),"dd mmm yy"))&amp;" "&amp;Milestones!$AB$197&amp;" "&amp;Milestones!$AC$197&amp;";  ","")&amp;IF(AND(EDATE($D57,Milestones!$AA$198)&lt;=AsOfDate,IF($R57=0,$X57,IF(AND($T57&lt;&gt;"",EDATE($D57,Milestones!$AA$198)&gt;=$T57),$W57,IF(AND($S57&lt;&gt;"",EDATE($D57,Milestones!$AA$198)&gt;=$S57),$V57,$U57)))=Milestones!$AB$198),UPPER(TEXT(EDATE($D57,Milestones!$AA$198),"dd mmm yy"))&amp;" "&amp;Milestones!$AB$198&amp;" "&amp;Milestones!$AC$198&amp;";  ","")&amp;IF(AND(EDATE($D57,Milestones!$AA$199)&lt;=AsOfDate,IF($R57=0,$X57,IF(AND($T57&lt;&gt;"",EDATE($D57,Milestones!$AA$199)&gt;=$T57),$W57,IF(AND($S57&lt;&gt;"",EDATE($D57,Milestones!$AA$199)&gt;=$S57),$V57,$U57)))=Milestones!$AB$199),UPPER(TEXT(EDATE($D57,Milestones!$AA$199),"dd mmm yy"))&amp;" "&amp;Milestones!$AB$199&amp;" "&amp;Milestones!$AC$199&amp;";  ",""))</f>
        <v/>
      </c>
      <c r="R57" s="33" t="n">
        <f aca="false">IF(Staff!$A57="","",Staff!$AI57)</f>
        <v>1</v>
      </c>
      <c r="S57" s="0" t="str">
        <f aca="false">IF(Staff!$A57="","",Staff!$AK57)</f>
        <v/>
      </c>
      <c r="T57" s="0" t="str">
        <f aca="false">IF(Staff!$A57="","",Staff!$AL57)</f>
        <v/>
      </c>
      <c r="U57" s="0" t="str">
        <f aca="false">IF(Staff!$A57="","",Staff!$AP57)</f>
        <v>FT</v>
      </c>
      <c r="V57" s="0" t="str">
        <f aca="false">IF(Staff!$A57="","",Staff!$AQ57)</f>
        <v/>
      </c>
      <c r="W57" s="0" t="str">
        <f aca="false">IF(Staff!$A57="","",Staff!$AR57)</f>
        <v/>
      </c>
      <c r="X57" s="0" t="str">
        <f aca="false">IF(Staff!$A57="","",Staff!$AS57)</f>
        <v>FT</v>
      </c>
    </row>
    <row r="58" customFormat="false" ht="15" hidden="false" customHeight="false" outlineLevel="0" collapsed="false">
      <c r="A58" s="19" t="str">
        <f aca="false">IF(Staff!$A58="","",Staff!$A58)</f>
        <v>Peter</v>
      </c>
      <c r="B58" s="19" t="str">
        <f aca="false">IF(Staff!$A58="","",Staff!$B58)</f>
        <v>Kiernan</v>
      </c>
      <c r="C58" s="19" t="str">
        <f aca="false">IF(Staff!$A58="","",Staff!$C58)</f>
        <v>Casual</v>
      </c>
      <c r="D58" s="17" t="n">
        <f aca="false">IF(Staff!$A58="","",Staff!$AH58)</f>
        <v>46062</v>
      </c>
      <c r="E58" s="20" t="n">
        <f aca="false">IF(Staff!$A58="","",Staff!$O58)</f>
        <v>0</v>
      </c>
      <c r="F58" s="19" t="n">
        <f aca="false">IF(E58="","",E58*HoursPerDay)</f>
        <v>0</v>
      </c>
      <c r="G58" s="20" t="n">
        <f aca="false">IF(Staff!$A58="","",Staff!$AE58)</f>
        <v>0</v>
      </c>
      <c r="H58" s="32" t="str">
        <f aca="false">IF($A58="","",I58&amp;J58&amp;K58&amp;L58&amp;M58&amp;N58&amp;O58&amp;P58&amp;Q58)</f>
        <v/>
      </c>
      <c r="I58" s="0" t="str">
        <f aca="false">IF(OR($A58="",$D58=""),"",IF(AND(EDATE($D58,Milestones!$AA$20)&lt;=AsOfDate,IF($R58=0,$X58,IF(AND($T58&lt;&gt;"",EDATE($D58,Milestones!$AA$20)&gt;=$T58),$W58,IF(AND($S58&lt;&gt;"",EDATE($D58,Milestones!$AA$20)&gt;=$S58),$V58,$U58)))=Milestones!$AB$20),UPPER(TEXT(EDATE($D58,Milestones!$AA$20),"dd mmm yy"))&amp;" "&amp;Milestones!$AB$20&amp;" "&amp;Milestones!$AC$20&amp;";  ","")&amp;IF(AND(EDATE($D58,Milestones!$AA$21)&lt;=AsOfDate,IF($R58=0,$X58,IF(AND($T58&lt;&gt;"",EDATE($D58,Milestones!$AA$21)&gt;=$T58),$W58,IF(AND($S58&lt;&gt;"",EDATE($D58,Milestones!$AA$21)&gt;=$S58),$V58,$U58)))=Milestones!$AB$21),UPPER(TEXT(EDATE($D58,Milestones!$AA$21),"dd mmm yy"))&amp;" "&amp;Milestones!$AB$21&amp;" "&amp;Milestones!$AC$21&amp;";  ","")&amp;IF(AND(EDATE($D58,Milestones!$AA$22)&lt;=AsOfDate,IF($R58=0,$X58,IF(AND($T58&lt;&gt;"",EDATE($D58,Milestones!$AA$22)&gt;=$T58),$W58,IF(AND($S58&lt;&gt;"",EDATE($D58,Milestones!$AA$22)&gt;=$S58),$V58,$U58)))=Milestones!$AB$22),UPPER(TEXT(EDATE($D58,Milestones!$AA$22),"dd mmm yy"))&amp;" "&amp;Milestones!$AB$22&amp;" "&amp;Milestones!$AC$22&amp;";  ","")&amp;IF(AND(EDATE($D58,Milestones!$AA$23)&lt;=AsOfDate,IF($R58=0,$X58,IF(AND($T58&lt;&gt;"",EDATE($D58,Milestones!$AA$23)&gt;=$T58),$W58,IF(AND($S58&lt;&gt;"",EDATE($D58,Milestones!$AA$23)&gt;=$S58),$V58,$U58)))=Milestones!$AB$23),UPPER(TEXT(EDATE($D58,Milestones!$AA$23),"dd mmm yy"))&amp;" "&amp;Milestones!$AB$23&amp;" "&amp;Milestones!$AC$23&amp;";  ","")&amp;IF(AND(EDATE($D58,Milestones!$AA$24)&lt;=AsOfDate,IF($R58=0,$X58,IF(AND($T58&lt;&gt;"",EDATE($D58,Milestones!$AA$24)&gt;=$T58),$W58,IF(AND($S58&lt;&gt;"",EDATE($D58,Milestones!$AA$24)&gt;=$S58),$V58,$U58)))=Milestones!$AB$24),UPPER(TEXT(EDATE($D58,Milestones!$AA$24),"dd mmm yy"))&amp;" "&amp;Milestones!$AB$24&amp;" "&amp;Milestones!$AC$24&amp;";  ","")&amp;IF(AND(EDATE($D58,Milestones!$AA$25)&lt;=AsOfDate,IF($R58=0,$X58,IF(AND($T58&lt;&gt;"",EDATE($D58,Milestones!$AA$25)&gt;=$T58),$W58,IF(AND($S58&lt;&gt;"",EDATE($D58,Milestones!$AA$25)&gt;=$S58),$V58,$U58)))=Milestones!$AB$25),UPPER(TEXT(EDATE($D58,Milestones!$AA$25),"dd mmm yy"))&amp;" "&amp;Milestones!$AB$25&amp;" "&amp;Milestones!$AC$25&amp;";  ","")&amp;IF(AND(EDATE($D58,Milestones!$AA$26)&lt;=AsOfDate,IF($R58=0,$X58,IF(AND($T58&lt;&gt;"",EDATE($D58,Milestones!$AA$26)&gt;=$T58),$W58,IF(AND($S58&lt;&gt;"",EDATE($D58,Milestones!$AA$26)&gt;=$S58),$V58,$U58)))=Milestones!$AB$26),UPPER(TEXT(EDATE($D58,Milestones!$AA$26),"dd mmm yy"))&amp;" "&amp;Milestones!$AB$26&amp;" "&amp;Milestones!$AC$26&amp;";  ","")&amp;IF(AND(EDATE($D58,Milestones!$AA$27)&lt;=AsOfDate,IF($R58=0,$X58,IF(AND($T58&lt;&gt;"",EDATE($D58,Milestones!$AA$27)&gt;=$T58),$W58,IF(AND($S58&lt;&gt;"",EDATE($D58,Milestones!$AA$27)&gt;=$S58),$V58,$U58)))=Milestones!$AB$27),UPPER(TEXT(EDATE($D58,Milestones!$AA$27),"dd mmm yy"))&amp;" "&amp;Milestones!$AB$27&amp;" "&amp;Milestones!$AC$27&amp;";  ","")&amp;IF(AND(EDATE($D58,Milestones!$AA$28)&lt;=AsOfDate,IF($R58=0,$X58,IF(AND($T58&lt;&gt;"",EDATE($D58,Milestones!$AA$28)&gt;=$T58),$W58,IF(AND($S58&lt;&gt;"",EDATE($D58,Milestones!$AA$28)&gt;=$S58),$V58,$U58)))=Milestones!$AB$28),UPPER(TEXT(EDATE($D58,Milestones!$AA$28),"dd mmm yy"))&amp;" "&amp;Milestones!$AB$28&amp;" "&amp;Milestones!$AC$28&amp;";  ","")&amp;IF(AND(EDATE($D58,Milestones!$AA$29)&lt;=AsOfDate,IF($R58=0,$X58,IF(AND($T58&lt;&gt;"",EDATE($D58,Milestones!$AA$29)&gt;=$T58),$W58,IF(AND($S58&lt;&gt;"",EDATE($D58,Milestones!$AA$29)&gt;=$S58),$V58,$U58)))=Milestones!$AB$29),UPPER(TEXT(EDATE($D58,Milestones!$AA$29),"dd mmm yy"))&amp;" "&amp;Milestones!$AB$29&amp;" "&amp;Milestones!$AC$29&amp;";  ","")&amp;IF(AND(EDATE($D58,Milestones!$AA$30)&lt;=AsOfDate,IF($R58=0,$X58,IF(AND($T58&lt;&gt;"",EDATE($D58,Milestones!$AA$30)&gt;=$T58),$W58,IF(AND($S58&lt;&gt;"",EDATE($D58,Milestones!$AA$30)&gt;=$S58),$V58,$U58)))=Milestones!$AB$30),UPPER(TEXT(EDATE($D58,Milestones!$AA$30),"dd mmm yy"))&amp;" "&amp;Milestones!$AB$30&amp;" "&amp;Milestones!$AC$30&amp;";  ","")&amp;IF(AND(EDATE($D58,Milestones!$AA$31)&lt;=AsOfDate,IF($R58=0,$X58,IF(AND($T58&lt;&gt;"",EDATE($D58,Milestones!$AA$31)&gt;=$T58),$W58,IF(AND($S58&lt;&gt;"",EDATE($D58,Milestones!$AA$31)&gt;=$S58),$V58,$U58)))=Milestones!$AB$31),UPPER(TEXT(EDATE($D58,Milestones!$AA$31),"dd mmm yy"))&amp;" "&amp;Milestones!$AB$31&amp;" "&amp;Milestones!$AC$31&amp;";  ","")&amp;IF(AND(EDATE($D58,Milestones!$AA$32)&lt;=AsOfDate,IF($R58=0,$X58,IF(AND($T58&lt;&gt;"",EDATE($D58,Milestones!$AA$32)&gt;=$T58),$W58,IF(AND($S58&lt;&gt;"",EDATE($D58,Milestones!$AA$32)&gt;=$S58),$V58,$U58)))=Milestones!$AB$32),UPPER(TEXT(EDATE($D58,Milestones!$AA$32),"dd mmm yy"))&amp;" "&amp;Milestones!$AB$32&amp;" "&amp;Milestones!$AC$32&amp;";  ","")&amp;IF(AND(EDATE($D58,Milestones!$AA$33)&lt;=AsOfDate,IF($R58=0,$X58,IF(AND($T58&lt;&gt;"",EDATE($D58,Milestones!$AA$33)&gt;=$T58),$W58,IF(AND($S58&lt;&gt;"",EDATE($D58,Milestones!$AA$33)&gt;=$S58),$V58,$U58)))=Milestones!$AB$33),UPPER(TEXT(EDATE($D58,Milestones!$AA$33),"dd mmm yy"))&amp;" "&amp;Milestones!$AB$33&amp;" "&amp;Milestones!$AC$33&amp;";  ","")&amp;IF(AND(EDATE($D58,Milestones!$AA$34)&lt;=AsOfDate,IF($R58=0,$X58,IF(AND($T58&lt;&gt;"",EDATE($D58,Milestones!$AA$34)&gt;=$T58),$W58,IF(AND($S58&lt;&gt;"",EDATE($D58,Milestones!$AA$34)&gt;=$S58),$V58,$U58)))=Milestones!$AB$34),UPPER(TEXT(EDATE($D58,Milestones!$AA$34),"dd mmm yy"))&amp;" "&amp;Milestones!$AB$34&amp;" "&amp;Milestones!$AC$34&amp;";  ","")&amp;IF(AND(EDATE($D58,Milestones!$AA$35)&lt;=AsOfDate,IF($R58=0,$X58,IF(AND($T58&lt;&gt;"",EDATE($D58,Milestones!$AA$35)&gt;=$T58),$W58,IF(AND($S58&lt;&gt;"",EDATE($D58,Milestones!$AA$35)&gt;=$S58),$V58,$U58)))=Milestones!$AB$35),UPPER(TEXT(EDATE($D58,Milestones!$AA$35),"dd mmm yy"))&amp;" "&amp;Milestones!$AB$35&amp;" "&amp;Milestones!$AC$35&amp;";  ","")&amp;IF(AND(EDATE($D58,Milestones!$AA$36)&lt;=AsOfDate,IF($R58=0,$X58,IF(AND($T58&lt;&gt;"",EDATE($D58,Milestones!$AA$36)&gt;=$T58),$W58,IF(AND($S58&lt;&gt;"",EDATE($D58,Milestones!$AA$36)&gt;=$S58),$V58,$U58)))=Milestones!$AB$36),UPPER(TEXT(EDATE($D58,Milestones!$AA$36),"dd mmm yy"))&amp;" "&amp;Milestones!$AB$36&amp;" "&amp;Milestones!$AC$36&amp;";  ","")&amp;IF(AND(EDATE($D58,Milestones!$AA$37)&lt;=AsOfDate,IF($R58=0,$X58,IF(AND($T58&lt;&gt;"",EDATE($D58,Milestones!$AA$37)&gt;=$T58),$W58,IF(AND($S58&lt;&gt;"",EDATE($D58,Milestones!$AA$37)&gt;=$S58),$V58,$U58)))=Milestones!$AB$37),UPPER(TEXT(EDATE($D58,Milestones!$AA$37),"dd mmm yy"))&amp;" "&amp;Milestones!$AB$37&amp;" "&amp;Milestones!$AC$37&amp;";  ","")&amp;IF(AND(EDATE($D58,Milestones!$AA$38)&lt;=AsOfDate,IF($R58=0,$X58,IF(AND($T58&lt;&gt;"",EDATE($D58,Milestones!$AA$38)&gt;=$T58),$W58,IF(AND($S58&lt;&gt;"",EDATE($D58,Milestones!$AA$38)&gt;=$S58),$V58,$U58)))=Milestones!$AB$38),UPPER(TEXT(EDATE($D58,Milestones!$AA$38),"dd mmm yy"))&amp;" "&amp;Milestones!$AB$38&amp;" "&amp;Milestones!$AC$38&amp;";  ","")&amp;IF(AND(EDATE($D58,Milestones!$AA$39)&lt;=AsOfDate,IF($R58=0,$X58,IF(AND($T58&lt;&gt;"",EDATE($D58,Milestones!$AA$39)&gt;=$T58),$W58,IF(AND($S58&lt;&gt;"",EDATE($D58,Milestones!$AA$39)&gt;=$S58),$V58,$U58)))=Milestones!$AB$39),UPPER(TEXT(EDATE($D58,Milestones!$AA$39),"dd mmm yy"))&amp;" "&amp;Milestones!$AB$39&amp;" "&amp;Milestones!$AC$39&amp;";  ",""))</f>
        <v/>
      </c>
      <c r="J58" s="0" t="str">
        <f aca="false">IF(OR($A58="",$D58=""),"",IF(AND(EDATE($D58,Milestones!$AA$40)&lt;=AsOfDate,IF($R58=0,$X58,IF(AND($T58&lt;&gt;"",EDATE($D58,Milestones!$AA$40)&gt;=$T58),$W58,IF(AND($S58&lt;&gt;"",EDATE($D58,Milestones!$AA$40)&gt;=$S58),$V58,$U58)))=Milestones!$AB$40),UPPER(TEXT(EDATE($D58,Milestones!$AA$40),"dd mmm yy"))&amp;" "&amp;Milestones!$AB$40&amp;" "&amp;Milestones!$AC$40&amp;";  ","")&amp;IF(AND(EDATE($D58,Milestones!$AA$41)&lt;=AsOfDate,IF($R58=0,$X58,IF(AND($T58&lt;&gt;"",EDATE($D58,Milestones!$AA$41)&gt;=$T58),$W58,IF(AND($S58&lt;&gt;"",EDATE($D58,Milestones!$AA$41)&gt;=$S58),$V58,$U58)))=Milestones!$AB$41),UPPER(TEXT(EDATE($D58,Milestones!$AA$41),"dd mmm yy"))&amp;" "&amp;Milestones!$AB$41&amp;" "&amp;Milestones!$AC$41&amp;";  ","")&amp;IF(AND(EDATE($D58,Milestones!$AA$42)&lt;=AsOfDate,IF($R58=0,$X58,IF(AND($T58&lt;&gt;"",EDATE($D58,Milestones!$AA$42)&gt;=$T58),$W58,IF(AND($S58&lt;&gt;"",EDATE($D58,Milestones!$AA$42)&gt;=$S58),$V58,$U58)))=Milestones!$AB$42),UPPER(TEXT(EDATE($D58,Milestones!$AA$42),"dd mmm yy"))&amp;" "&amp;Milestones!$AB$42&amp;" "&amp;Milestones!$AC$42&amp;";  ","")&amp;IF(AND(EDATE($D58,Milestones!$AA$43)&lt;=AsOfDate,IF($R58=0,$X58,IF(AND($T58&lt;&gt;"",EDATE($D58,Milestones!$AA$43)&gt;=$T58),$W58,IF(AND($S58&lt;&gt;"",EDATE($D58,Milestones!$AA$43)&gt;=$S58),$V58,$U58)))=Milestones!$AB$43),UPPER(TEXT(EDATE($D58,Milestones!$AA$43),"dd mmm yy"))&amp;" "&amp;Milestones!$AB$43&amp;" "&amp;Milestones!$AC$43&amp;";  ","")&amp;IF(AND(EDATE($D58,Milestones!$AA$44)&lt;=AsOfDate,IF($R58=0,$X58,IF(AND($T58&lt;&gt;"",EDATE($D58,Milestones!$AA$44)&gt;=$T58),$W58,IF(AND($S58&lt;&gt;"",EDATE($D58,Milestones!$AA$44)&gt;=$S58),$V58,$U58)))=Milestones!$AB$44),UPPER(TEXT(EDATE($D58,Milestones!$AA$44),"dd mmm yy"))&amp;" "&amp;Milestones!$AB$44&amp;" "&amp;Milestones!$AC$44&amp;";  ","")&amp;IF(AND(EDATE($D58,Milestones!$AA$45)&lt;=AsOfDate,IF($R58=0,$X58,IF(AND($T58&lt;&gt;"",EDATE($D58,Milestones!$AA$45)&gt;=$T58),$W58,IF(AND($S58&lt;&gt;"",EDATE($D58,Milestones!$AA$45)&gt;=$S58),$V58,$U58)))=Milestones!$AB$45),UPPER(TEXT(EDATE($D58,Milestones!$AA$45),"dd mmm yy"))&amp;" "&amp;Milestones!$AB$45&amp;" "&amp;Milestones!$AC$45&amp;";  ","")&amp;IF(AND(EDATE($D58,Milestones!$AA$46)&lt;=AsOfDate,IF($R58=0,$X58,IF(AND($T58&lt;&gt;"",EDATE($D58,Milestones!$AA$46)&gt;=$T58),$W58,IF(AND($S58&lt;&gt;"",EDATE($D58,Milestones!$AA$46)&gt;=$S58),$V58,$U58)))=Milestones!$AB$46),UPPER(TEXT(EDATE($D58,Milestones!$AA$46),"dd mmm yy"))&amp;" "&amp;Milestones!$AB$46&amp;" "&amp;Milestones!$AC$46&amp;";  ","")&amp;IF(AND(EDATE($D58,Milestones!$AA$47)&lt;=AsOfDate,IF($R58=0,$X58,IF(AND($T58&lt;&gt;"",EDATE($D58,Milestones!$AA$47)&gt;=$T58),$W58,IF(AND($S58&lt;&gt;"",EDATE($D58,Milestones!$AA$47)&gt;=$S58),$V58,$U58)))=Milestones!$AB$47),UPPER(TEXT(EDATE($D58,Milestones!$AA$47),"dd mmm yy"))&amp;" "&amp;Milestones!$AB$47&amp;" "&amp;Milestones!$AC$47&amp;";  ","")&amp;IF(AND(EDATE($D58,Milestones!$AA$48)&lt;=AsOfDate,IF($R58=0,$X58,IF(AND($T58&lt;&gt;"",EDATE($D58,Milestones!$AA$48)&gt;=$T58),$W58,IF(AND($S58&lt;&gt;"",EDATE($D58,Milestones!$AA$48)&gt;=$S58),$V58,$U58)))=Milestones!$AB$48),UPPER(TEXT(EDATE($D58,Milestones!$AA$48),"dd mmm yy"))&amp;" "&amp;Milestones!$AB$48&amp;" "&amp;Milestones!$AC$48&amp;";  ","")&amp;IF(AND(EDATE($D58,Milestones!$AA$49)&lt;=AsOfDate,IF($R58=0,$X58,IF(AND($T58&lt;&gt;"",EDATE($D58,Milestones!$AA$49)&gt;=$T58),$W58,IF(AND($S58&lt;&gt;"",EDATE($D58,Milestones!$AA$49)&gt;=$S58),$V58,$U58)))=Milestones!$AB$49),UPPER(TEXT(EDATE($D58,Milestones!$AA$49),"dd mmm yy"))&amp;" "&amp;Milestones!$AB$49&amp;" "&amp;Milestones!$AC$49&amp;";  ","")&amp;IF(AND(EDATE($D58,Milestones!$AA$50)&lt;=AsOfDate,IF($R58=0,$X58,IF(AND($T58&lt;&gt;"",EDATE($D58,Milestones!$AA$50)&gt;=$T58),$W58,IF(AND($S58&lt;&gt;"",EDATE($D58,Milestones!$AA$50)&gt;=$S58),$V58,$U58)))=Milestones!$AB$50),UPPER(TEXT(EDATE($D58,Milestones!$AA$50),"dd mmm yy"))&amp;" "&amp;Milestones!$AB$50&amp;" "&amp;Milestones!$AC$50&amp;";  ","")&amp;IF(AND(EDATE($D58,Milestones!$AA$51)&lt;=AsOfDate,IF($R58=0,$X58,IF(AND($T58&lt;&gt;"",EDATE($D58,Milestones!$AA$51)&gt;=$T58),$W58,IF(AND($S58&lt;&gt;"",EDATE($D58,Milestones!$AA$51)&gt;=$S58),$V58,$U58)))=Milestones!$AB$51),UPPER(TEXT(EDATE($D58,Milestones!$AA$51),"dd mmm yy"))&amp;" "&amp;Milestones!$AB$51&amp;" "&amp;Milestones!$AC$51&amp;";  ","")&amp;IF(AND(EDATE($D58,Milestones!$AA$52)&lt;=AsOfDate,IF($R58=0,$X58,IF(AND($T58&lt;&gt;"",EDATE($D58,Milestones!$AA$52)&gt;=$T58),$W58,IF(AND($S58&lt;&gt;"",EDATE($D58,Milestones!$AA$52)&gt;=$S58),$V58,$U58)))=Milestones!$AB$52),UPPER(TEXT(EDATE($D58,Milestones!$AA$52),"dd mmm yy"))&amp;" "&amp;Milestones!$AB$52&amp;" "&amp;Milestones!$AC$52&amp;";  ","")&amp;IF(AND(EDATE($D58,Milestones!$AA$53)&lt;=AsOfDate,IF($R58=0,$X58,IF(AND($T58&lt;&gt;"",EDATE($D58,Milestones!$AA$53)&gt;=$T58),$W58,IF(AND($S58&lt;&gt;"",EDATE($D58,Milestones!$AA$53)&gt;=$S58),$V58,$U58)))=Milestones!$AB$53),UPPER(TEXT(EDATE($D58,Milestones!$AA$53),"dd mmm yy"))&amp;" "&amp;Milestones!$AB$53&amp;" "&amp;Milestones!$AC$53&amp;";  ","")&amp;IF(AND(EDATE($D58,Milestones!$AA$54)&lt;=AsOfDate,IF($R58=0,$X58,IF(AND($T58&lt;&gt;"",EDATE($D58,Milestones!$AA$54)&gt;=$T58),$W58,IF(AND($S58&lt;&gt;"",EDATE($D58,Milestones!$AA$54)&gt;=$S58),$V58,$U58)))=Milestones!$AB$54),UPPER(TEXT(EDATE($D58,Milestones!$AA$54),"dd mmm yy"))&amp;" "&amp;Milestones!$AB$54&amp;" "&amp;Milestones!$AC$54&amp;";  ","")&amp;IF(AND(EDATE($D58,Milestones!$AA$55)&lt;=AsOfDate,IF($R58=0,$X58,IF(AND($T58&lt;&gt;"",EDATE($D58,Milestones!$AA$55)&gt;=$T58),$W58,IF(AND($S58&lt;&gt;"",EDATE($D58,Milestones!$AA$55)&gt;=$S58),$V58,$U58)))=Milestones!$AB$55),UPPER(TEXT(EDATE($D58,Milestones!$AA$55),"dd mmm yy"))&amp;" "&amp;Milestones!$AB$55&amp;" "&amp;Milestones!$AC$55&amp;";  ","")&amp;IF(AND(EDATE($D58,Milestones!$AA$56)&lt;=AsOfDate,IF($R58=0,$X58,IF(AND($T58&lt;&gt;"",EDATE($D58,Milestones!$AA$56)&gt;=$T58),$W58,IF(AND($S58&lt;&gt;"",EDATE($D58,Milestones!$AA$56)&gt;=$S58),$V58,$U58)))=Milestones!$AB$56),UPPER(TEXT(EDATE($D58,Milestones!$AA$56),"dd mmm yy"))&amp;" "&amp;Milestones!$AB$56&amp;" "&amp;Milestones!$AC$56&amp;";  ","")&amp;IF(AND(EDATE($D58,Milestones!$AA$57)&lt;=AsOfDate,IF($R58=0,$X58,IF(AND($T58&lt;&gt;"",EDATE($D58,Milestones!$AA$57)&gt;=$T58),$W58,IF(AND($S58&lt;&gt;"",EDATE($D58,Milestones!$AA$57)&gt;=$S58),$V58,$U58)))=Milestones!$AB$57),UPPER(TEXT(EDATE($D58,Milestones!$AA$57),"dd mmm yy"))&amp;" "&amp;Milestones!$AB$57&amp;" "&amp;Milestones!$AC$57&amp;";  ","")&amp;IF(AND(EDATE($D58,Milestones!$AA$58)&lt;=AsOfDate,IF($R58=0,$X58,IF(AND($T58&lt;&gt;"",EDATE($D58,Milestones!$AA$58)&gt;=$T58),$W58,IF(AND($S58&lt;&gt;"",EDATE($D58,Milestones!$AA$58)&gt;=$S58),$V58,$U58)))=Milestones!$AB$58),UPPER(TEXT(EDATE($D58,Milestones!$AA$58),"dd mmm yy"))&amp;" "&amp;Milestones!$AB$58&amp;" "&amp;Milestones!$AC$58&amp;";  ","")&amp;IF(AND(EDATE($D58,Milestones!$AA$59)&lt;=AsOfDate,IF($R58=0,$X58,IF(AND($T58&lt;&gt;"",EDATE($D58,Milestones!$AA$59)&gt;=$T58),$W58,IF(AND($S58&lt;&gt;"",EDATE($D58,Milestones!$AA$59)&gt;=$S58),$V58,$U58)))=Milestones!$AB$59),UPPER(TEXT(EDATE($D58,Milestones!$AA$59),"dd mmm yy"))&amp;" "&amp;Milestones!$AB$59&amp;" "&amp;Milestones!$AC$59&amp;";  ",""))</f>
        <v/>
      </c>
      <c r="K58" s="0" t="str">
        <f aca="false">IF(OR($A58="",$D58=""),"",IF(AND(EDATE($D58,Milestones!$AA$60)&lt;=AsOfDate,IF($R58=0,$X58,IF(AND($T58&lt;&gt;"",EDATE($D58,Milestones!$AA$60)&gt;=$T58),$W58,IF(AND($S58&lt;&gt;"",EDATE($D58,Milestones!$AA$60)&gt;=$S58),$V58,$U58)))=Milestones!$AB$60),UPPER(TEXT(EDATE($D58,Milestones!$AA$60),"dd mmm yy"))&amp;" "&amp;Milestones!$AB$60&amp;" "&amp;Milestones!$AC$60&amp;";  ","")&amp;IF(AND(EDATE($D58,Milestones!$AA$61)&lt;=AsOfDate,IF($R58=0,$X58,IF(AND($T58&lt;&gt;"",EDATE($D58,Milestones!$AA$61)&gt;=$T58),$W58,IF(AND($S58&lt;&gt;"",EDATE($D58,Milestones!$AA$61)&gt;=$S58),$V58,$U58)))=Milestones!$AB$61),UPPER(TEXT(EDATE($D58,Milestones!$AA$61),"dd mmm yy"))&amp;" "&amp;Milestones!$AB$61&amp;" "&amp;Milestones!$AC$61&amp;";  ","")&amp;IF(AND(EDATE($D58,Milestones!$AA$62)&lt;=AsOfDate,IF($R58=0,$X58,IF(AND($T58&lt;&gt;"",EDATE($D58,Milestones!$AA$62)&gt;=$T58),$W58,IF(AND($S58&lt;&gt;"",EDATE($D58,Milestones!$AA$62)&gt;=$S58),$V58,$U58)))=Milestones!$AB$62),UPPER(TEXT(EDATE($D58,Milestones!$AA$62),"dd mmm yy"))&amp;" "&amp;Milestones!$AB$62&amp;" "&amp;Milestones!$AC$62&amp;";  ","")&amp;IF(AND(EDATE($D58,Milestones!$AA$63)&lt;=AsOfDate,IF($R58=0,$X58,IF(AND($T58&lt;&gt;"",EDATE($D58,Milestones!$AA$63)&gt;=$T58),$W58,IF(AND($S58&lt;&gt;"",EDATE($D58,Milestones!$AA$63)&gt;=$S58),$V58,$U58)))=Milestones!$AB$63),UPPER(TEXT(EDATE($D58,Milestones!$AA$63),"dd mmm yy"))&amp;" "&amp;Milestones!$AB$63&amp;" "&amp;Milestones!$AC$63&amp;";  ","")&amp;IF(AND(EDATE($D58,Milestones!$AA$64)&lt;=AsOfDate,IF($R58=0,$X58,IF(AND($T58&lt;&gt;"",EDATE($D58,Milestones!$AA$64)&gt;=$T58),$W58,IF(AND($S58&lt;&gt;"",EDATE($D58,Milestones!$AA$64)&gt;=$S58),$V58,$U58)))=Milestones!$AB$64),UPPER(TEXT(EDATE($D58,Milestones!$AA$64),"dd mmm yy"))&amp;" "&amp;Milestones!$AB$64&amp;" "&amp;Milestones!$AC$64&amp;";  ","")&amp;IF(AND(EDATE($D58,Milestones!$AA$65)&lt;=AsOfDate,IF($R58=0,$X58,IF(AND($T58&lt;&gt;"",EDATE($D58,Milestones!$AA$65)&gt;=$T58),$W58,IF(AND($S58&lt;&gt;"",EDATE($D58,Milestones!$AA$65)&gt;=$S58),$V58,$U58)))=Milestones!$AB$65),UPPER(TEXT(EDATE($D58,Milestones!$AA$65),"dd mmm yy"))&amp;" "&amp;Milestones!$AB$65&amp;" "&amp;Milestones!$AC$65&amp;";  ","")&amp;IF(AND(EDATE($D58,Milestones!$AA$66)&lt;=AsOfDate,IF($R58=0,$X58,IF(AND($T58&lt;&gt;"",EDATE($D58,Milestones!$AA$66)&gt;=$T58),$W58,IF(AND($S58&lt;&gt;"",EDATE($D58,Milestones!$AA$66)&gt;=$S58),$V58,$U58)))=Milestones!$AB$66),UPPER(TEXT(EDATE($D58,Milestones!$AA$66),"dd mmm yy"))&amp;" "&amp;Milestones!$AB$66&amp;" "&amp;Milestones!$AC$66&amp;";  ","")&amp;IF(AND(EDATE($D58,Milestones!$AA$67)&lt;=AsOfDate,IF($R58=0,$X58,IF(AND($T58&lt;&gt;"",EDATE($D58,Milestones!$AA$67)&gt;=$T58),$W58,IF(AND($S58&lt;&gt;"",EDATE($D58,Milestones!$AA$67)&gt;=$S58),$V58,$U58)))=Milestones!$AB$67),UPPER(TEXT(EDATE($D58,Milestones!$AA$67),"dd mmm yy"))&amp;" "&amp;Milestones!$AB$67&amp;" "&amp;Milestones!$AC$67&amp;";  ","")&amp;IF(AND(EDATE($D58,Milestones!$AA$68)&lt;=AsOfDate,IF($R58=0,$X58,IF(AND($T58&lt;&gt;"",EDATE($D58,Milestones!$AA$68)&gt;=$T58),$W58,IF(AND($S58&lt;&gt;"",EDATE($D58,Milestones!$AA$68)&gt;=$S58),$V58,$U58)))=Milestones!$AB$68),UPPER(TEXT(EDATE($D58,Milestones!$AA$68),"dd mmm yy"))&amp;" "&amp;Milestones!$AB$68&amp;" "&amp;Milestones!$AC$68&amp;";  ","")&amp;IF(AND(EDATE($D58,Milestones!$AA$69)&lt;=AsOfDate,IF($R58=0,$X58,IF(AND($T58&lt;&gt;"",EDATE($D58,Milestones!$AA$69)&gt;=$T58),$W58,IF(AND($S58&lt;&gt;"",EDATE($D58,Milestones!$AA$69)&gt;=$S58),$V58,$U58)))=Milestones!$AB$69),UPPER(TEXT(EDATE($D58,Milestones!$AA$69),"dd mmm yy"))&amp;" "&amp;Milestones!$AB$69&amp;" "&amp;Milestones!$AC$69&amp;";  ","")&amp;IF(AND(EDATE($D58,Milestones!$AA$70)&lt;=AsOfDate,IF($R58=0,$X58,IF(AND($T58&lt;&gt;"",EDATE($D58,Milestones!$AA$70)&gt;=$T58),$W58,IF(AND($S58&lt;&gt;"",EDATE($D58,Milestones!$AA$70)&gt;=$S58),$V58,$U58)))=Milestones!$AB$70),UPPER(TEXT(EDATE($D58,Milestones!$AA$70),"dd mmm yy"))&amp;" "&amp;Milestones!$AB$70&amp;" "&amp;Milestones!$AC$70&amp;";  ","")&amp;IF(AND(EDATE($D58,Milestones!$AA$71)&lt;=AsOfDate,IF($R58=0,$X58,IF(AND($T58&lt;&gt;"",EDATE($D58,Milestones!$AA$71)&gt;=$T58),$W58,IF(AND($S58&lt;&gt;"",EDATE($D58,Milestones!$AA$71)&gt;=$S58),$V58,$U58)))=Milestones!$AB$71),UPPER(TEXT(EDATE($D58,Milestones!$AA$71),"dd mmm yy"))&amp;" "&amp;Milestones!$AB$71&amp;" "&amp;Milestones!$AC$71&amp;";  ","")&amp;IF(AND(EDATE($D58,Milestones!$AA$72)&lt;=AsOfDate,IF($R58=0,$X58,IF(AND($T58&lt;&gt;"",EDATE($D58,Milestones!$AA$72)&gt;=$T58),$W58,IF(AND($S58&lt;&gt;"",EDATE($D58,Milestones!$AA$72)&gt;=$S58),$V58,$U58)))=Milestones!$AB$72),UPPER(TEXT(EDATE($D58,Milestones!$AA$72),"dd mmm yy"))&amp;" "&amp;Milestones!$AB$72&amp;" "&amp;Milestones!$AC$72&amp;";  ","")&amp;IF(AND(EDATE($D58,Milestones!$AA$73)&lt;=AsOfDate,IF($R58=0,$X58,IF(AND($T58&lt;&gt;"",EDATE($D58,Milestones!$AA$73)&gt;=$T58),$W58,IF(AND($S58&lt;&gt;"",EDATE($D58,Milestones!$AA$73)&gt;=$S58),$V58,$U58)))=Milestones!$AB$73),UPPER(TEXT(EDATE($D58,Milestones!$AA$73),"dd mmm yy"))&amp;" "&amp;Milestones!$AB$73&amp;" "&amp;Milestones!$AC$73&amp;";  ","")&amp;IF(AND(EDATE($D58,Milestones!$AA$74)&lt;=AsOfDate,IF($R58=0,$X58,IF(AND($T58&lt;&gt;"",EDATE($D58,Milestones!$AA$74)&gt;=$T58),$W58,IF(AND($S58&lt;&gt;"",EDATE($D58,Milestones!$AA$74)&gt;=$S58),$V58,$U58)))=Milestones!$AB$74),UPPER(TEXT(EDATE($D58,Milestones!$AA$74),"dd mmm yy"))&amp;" "&amp;Milestones!$AB$74&amp;" "&amp;Milestones!$AC$74&amp;";  ","")&amp;IF(AND(EDATE($D58,Milestones!$AA$75)&lt;=AsOfDate,IF($R58=0,$X58,IF(AND($T58&lt;&gt;"",EDATE($D58,Milestones!$AA$75)&gt;=$T58),$W58,IF(AND($S58&lt;&gt;"",EDATE($D58,Milestones!$AA$75)&gt;=$S58),$V58,$U58)))=Milestones!$AB$75),UPPER(TEXT(EDATE($D58,Milestones!$AA$75),"dd mmm yy"))&amp;" "&amp;Milestones!$AB$75&amp;" "&amp;Milestones!$AC$75&amp;";  ","")&amp;IF(AND(EDATE($D58,Milestones!$AA$76)&lt;=AsOfDate,IF($R58=0,$X58,IF(AND($T58&lt;&gt;"",EDATE($D58,Milestones!$AA$76)&gt;=$T58),$W58,IF(AND($S58&lt;&gt;"",EDATE($D58,Milestones!$AA$76)&gt;=$S58),$V58,$U58)))=Milestones!$AB$76),UPPER(TEXT(EDATE($D58,Milestones!$AA$76),"dd mmm yy"))&amp;" "&amp;Milestones!$AB$76&amp;" "&amp;Milestones!$AC$76&amp;";  ","")&amp;IF(AND(EDATE($D58,Milestones!$AA$77)&lt;=AsOfDate,IF($R58=0,$X58,IF(AND($T58&lt;&gt;"",EDATE($D58,Milestones!$AA$77)&gt;=$T58),$W58,IF(AND($S58&lt;&gt;"",EDATE($D58,Milestones!$AA$77)&gt;=$S58),$V58,$U58)))=Milestones!$AB$77),UPPER(TEXT(EDATE($D58,Milestones!$AA$77),"dd mmm yy"))&amp;" "&amp;Milestones!$AB$77&amp;" "&amp;Milestones!$AC$77&amp;";  ","")&amp;IF(AND(EDATE($D58,Milestones!$AA$78)&lt;=AsOfDate,IF($R58=0,$X58,IF(AND($T58&lt;&gt;"",EDATE($D58,Milestones!$AA$78)&gt;=$T58),$W58,IF(AND($S58&lt;&gt;"",EDATE($D58,Milestones!$AA$78)&gt;=$S58),$V58,$U58)))=Milestones!$AB$78),UPPER(TEXT(EDATE($D58,Milestones!$AA$78),"dd mmm yy"))&amp;" "&amp;Milestones!$AB$78&amp;" "&amp;Milestones!$AC$78&amp;";  ","")&amp;IF(AND(EDATE($D58,Milestones!$AA$79)&lt;=AsOfDate,IF($R58=0,$X58,IF(AND($T58&lt;&gt;"",EDATE($D58,Milestones!$AA$79)&gt;=$T58),$W58,IF(AND($S58&lt;&gt;"",EDATE($D58,Milestones!$AA$79)&gt;=$S58),$V58,$U58)))=Milestones!$AB$79),UPPER(TEXT(EDATE($D58,Milestones!$AA$79),"dd mmm yy"))&amp;" "&amp;Milestones!$AB$79&amp;" "&amp;Milestones!$AC$79&amp;";  ",""))</f>
        <v/>
      </c>
      <c r="L58" s="0" t="str">
        <f aca="false">IF(OR($A58="",$D58=""),"",IF(AND(EDATE($D58,Milestones!$AA$80)&lt;=AsOfDate,IF($R58=0,$X58,IF(AND($T58&lt;&gt;"",EDATE($D58,Milestones!$AA$80)&gt;=$T58),$W58,IF(AND($S58&lt;&gt;"",EDATE($D58,Milestones!$AA$80)&gt;=$S58),$V58,$U58)))=Milestones!$AB$80),UPPER(TEXT(EDATE($D58,Milestones!$AA$80),"dd mmm yy"))&amp;" "&amp;Milestones!$AB$80&amp;" "&amp;Milestones!$AC$80&amp;";  ","")&amp;IF(AND(EDATE($D58,Milestones!$AA$81)&lt;=AsOfDate,IF($R58=0,$X58,IF(AND($T58&lt;&gt;"",EDATE($D58,Milestones!$AA$81)&gt;=$T58),$W58,IF(AND($S58&lt;&gt;"",EDATE($D58,Milestones!$AA$81)&gt;=$S58),$V58,$U58)))=Milestones!$AB$81),UPPER(TEXT(EDATE($D58,Milestones!$AA$81),"dd mmm yy"))&amp;" "&amp;Milestones!$AB$81&amp;" "&amp;Milestones!$AC$81&amp;";  ","")&amp;IF(AND(EDATE($D58,Milestones!$AA$82)&lt;=AsOfDate,IF($R58=0,$X58,IF(AND($T58&lt;&gt;"",EDATE($D58,Milestones!$AA$82)&gt;=$T58),$W58,IF(AND($S58&lt;&gt;"",EDATE($D58,Milestones!$AA$82)&gt;=$S58),$V58,$U58)))=Milestones!$AB$82),UPPER(TEXT(EDATE($D58,Milestones!$AA$82),"dd mmm yy"))&amp;" "&amp;Milestones!$AB$82&amp;" "&amp;Milestones!$AC$82&amp;";  ","")&amp;IF(AND(EDATE($D58,Milestones!$AA$83)&lt;=AsOfDate,IF($R58=0,$X58,IF(AND($T58&lt;&gt;"",EDATE($D58,Milestones!$AA$83)&gt;=$T58),$W58,IF(AND($S58&lt;&gt;"",EDATE($D58,Milestones!$AA$83)&gt;=$S58),$V58,$U58)))=Milestones!$AB$83),UPPER(TEXT(EDATE($D58,Milestones!$AA$83),"dd mmm yy"))&amp;" "&amp;Milestones!$AB$83&amp;" "&amp;Milestones!$AC$83&amp;";  ","")&amp;IF(AND(EDATE($D58,Milestones!$AA$84)&lt;=AsOfDate,IF($R58=0,$X58,IF(AND($T58&lt;&gt;"",EDATE($D58,Milestones!$AA$84)&gt;=$T58),$W58,IF(AND($S58&lt;&gt;"",EDATE($D58,Milestones!$AA$84)&gt;=$S58),$V58,$U58)))=Milestones!$AB$84),UPPER(TEXT(EDATE($D58,Milestones!$AA$84),"dd mmm yy"))&amp;" "&amp;Milestones!$AB$84&amp;" "&amp;Milestones!$AC$84&amp;";  ","")&amp;IF(AND(EDATE($D58,Milestones!$AA$85)&lt;=AsOfDate,IF($R58=0,$X58,IF(AND($T58&lt;&gt;"",EDATE($D58,Milestones!$AA$85)&gt;=$T58),$W58,IF(AND($S58&lt;&gt;"",EDATE($D58,Milestones!$AA$85)&gt;=$S58),$V58,$U58)))=Milestones!$AB$85),UPPER(TEXT(EDATE($D58,Milestones!$AA$85),"dd mmm yy"))&amp;" "&amp;Milestones!$AB$85&amp;" "&amp;Milestones!$AC$85&amp;";  ","")&amp;IF(AND(EDATE($D58,Milestones!$AA$86)&lt;=AsOfDate,IF($R58=0,$X58,IF(AND($T58&lt;&gt;"",EDATE($D58,Milestones!$AA$86)&gt;=$T58),$W58,IF(AND($S58&lt;&gt;"",EDATE($D58,Milestones!$AA$86)&gt;=$S58),$V58,$U58)))=Milestones!$AB$86),UPPER(TEXT(EDATE($D58,Milestones!$AA$86),"dd mmm yy"))&amp;" "&amp;Milestones!$AB$86&amp;" "&amp;Milestones!$AC$86&amp;";  ","")&amp;IF(AND(EDATE($D58,Milestones!$AA$87)&lt;=AsOfDate,IF($R58=0,$X58,IF(AND($T58&lt;&gt;"",EDATE($D58,Milestones!$AA$87)&gt;=$T58),$W58,IF(AND($S58&lt;&gt;"",EDATE($D58,Milestones!$AA$87)&gt;=$S58),$V58,$U58)))=Milestones!$AB$87),UPPER(TEXT(EDATE($D58,Milestones!$AA$87),"dd mmm yy"))&amp;" "&amp;Milestones!$AB$87&amp;" "&amp;Milestones!$AC$87&amp;";  ","")&amp;IF(AND(EDATE($D58,Milestones!$AA$88)&lt;=AsOfDate,IF($R58=0,$X58,IF(AND($T58&lt;&gt;"",EDATE($D58,Milestones!$AA$88)&gt;=$T58),$W58,IF(AND($S58&lt;&gt;"",EDATE($D58,Milestones!$AA$88)&gt;=$S58),$V58,$U58)))=Milestones!$AB$88),UPPER(TEXT(EDATE($D58,Milestones!$AA$88),"dd mmm yy"))&amp;" "&amp;Milestones!$AB$88&amp;" "&amp;Milestones!$AC$88&amp;";  ","")&amp;IF(AND(EDATE($D58,Milestones!$AA$89)&lt;=AsOfDate,IF($R58=0,$X58,IF(AND($T58&lt;&gt;"",EDATE($D58,Milestones!$AA$89)&gt;=$T58),$W58,IF(AND($S58&lt;&gt;"",EDATE($D58,Milestones!$AA$89)&gt;=$S58),$V58,$U58)))=Milestones!$AB$89),UPPER(TEXT(EDATE($D58,Milestones!$AA$89),"dd mmm yy"))&amp;" "&amp;Milestones!$AB$89&amp;" "&amp;Milestones!$AC$89&amp;";  ","")&amp;IF(AND(EDATE($D58,Milestones!$AA$90)&lt;=AsOfDate,IF($R58=0,$X58,IF(AND($T58&lt;&gt;"",EDATE($D58,Milestones!$AA$90)&gt;=$T58),$W58,IF(AND($S58&lt;&gt;"",EDATE($D58,Milestones!$AA$90)&gt;=$S58),$V58,$U58)))=Milestones!$AB$90),UPPER(TEXT(EDATE($D58,Milestones!$AA$90),"dd mmm yy"))&amp;" "&amp;Milestones!$AB$90&amp;" "&amp;Milestones!$AC$90&amp;";  ","")&amp;IF(AND(EDATE($D58,Milestones!$AA$91)&lt;=AsOfDate,IF($R58=0,$X58,IF(AND($T58&lt;&gt;"",EDATE($D58,Milestones!$AA$91)&gt;=$T58),$W58,IF(AND($S58&lt;&gt;"",EDATE($D58,Milestones!$AA$91)&gt;=$S58),$V58,$U58)))=Milestones!$AB$91),UPPER(TEXT(EDATE($D58,Milestones!$AA$91),"dd mmm yy"))&amp;" "&amp;Milestones!$AB$91&amp;" "&amp;Milestones!$AC$91&amp;";  ","")&amp;IF(AND(EDATE($D58,Milestones!$AA$92)&lt;=AsOfDate,IF($R58=0,$X58,IF(AND($T58&lt;&gt;"",EDATE($D58,Milestones!$AA$92)&gt;=$T58),$W58,IF(AND($S58&lt;&gt;"",EDATE($D58,Milestones!$AA$92)&gt;=$S58),$V58,$U58)))=Milestones!$AB$92),UPPER(TEXT(EDATE($D58,Milestones!$AA$92),"dd mmm yy"))&amp;" "&amp;Milestones!$AB$92&amp;" "&amp;Milestones!$AC$92&amp;";  ","")&amp;IF(AND(EDATE($D58,Milestones!$AA$93)&lt;=AsOfDate,IF($R58=0,$X58,IF(AND($T58&lt;&gt;"",EDATE($D58,Milestones!$AA$93)&gt;=$T58),$W58,IF(AND($S58&lt;&gt;"",EDATE($D58,Milestones!$AA$93)&gt;=$S58),$V58,$U58)))=Milestones!$AB$93),UPPER(TEXT(EDATE($D58,Milestones!$AA$93),"dd mmm yy"))&amp;" "&amp;Milestones!$AB$93&amp;" "&amp;Milestones!$AC$93&amp;";  ","")&amp;IF(AND(EDATE($D58,Milestones!$AA$94)&lt;=AsOfDate,IF($R58=0,$X58,IF(AND($T58&lt;&gt;"",EDATE($D58,Milestones!$AA$94)&gt;=$T58),$W58,IF(AND($S58&lt;&gt;"",EDATE($D58,Milestones!$AA$94)&gt;=$S58),$V58,$U58)))=Milestones!$AB$94),UPPER(TEXT(EDATE($D58,Milestones!$AA$94),"dd mmm yy"))&amp;" "&amp;Milestones!$AB$94&amp;" "&amp;Milestones!$AC$94&amp;";  ","")&amp;IF(AND(EDATE($D58,Milestones!$AA$95)&lt;=AsOfDate,IF($R58=0,$X58,IF(AND($T58&lt;&gt;"",EDATE($D58,Milestones!$AA$95)&gt;=$T58),$W58,IF(AND($S58&lt;&gt;"",EDATE($D58,Milestones!$AA$95)&gt;=$S58),$V58,$U58)))=Milestones!$AB$95),UPPER(TEXT(EDATE($D58,Milestones!$AA$95),"dd mmm yy"))&amp;" "&amp;Milestones!$AB$95&amp;" "&amp;Milestones!$AC$95&amp;";  ","")&amp;IF(AND(EDATE($D58,Milestones!$AA$96)&lt;=AsOfDate,IF($R58=0,$X58,IF(AND($T58&lt;&gt;"",EDATE($D58,Milestones!$AA$96)&gt;=$T58),$W58,IF(AND($S58&lt;&gt;"",EDATE($D58,Milestones!$AA$96)&gt;=$S58),$V58,$U58)))=Milestones!$AB$96),UPPER(TEXT(EDATE($D58,Milestones!$AA$96),"dd mmm yy"))&amp;" "&amp;Milestones!$AB$96&amp;" "&amp;Milestones!$AC$96&amp;";  ","")&amp;IF(AND(EDATE($D58,Milestones!$AA$97)&lt;=AsOfDate,IF($R58=0,$X58,IF(AND($T58&lt;&gt;"",EDATE($D58,Milestones!$AA$97)&gt;=$T58),$W58,IF(AND($S58&lt;&gt;"",EDATE($D58,Milestones!$AA$97)&gt;=$S58),$V58,$U58)))=Milestones!$AB$97),UPPER(TEXT(EDATE($D58,Milestones!$AA$97),"dd mmm yy"))&amp;" "&amp;Milestones!$AB$97&amp;" "&amp;Milestones!$AC$97&amp;";  ","")&amp;IF(AND(EDATE($D58,Milestones!$AA$98)&lt;=AsOfDate,IF($R58=0,$X58,IF(AND($T58&lt;&gt;"",EDATE($D58,Milestones!$AA$98)&gt;=$T58),$W58,IF(AND($S58&lt;&gt;"",EDATE($D58,Milestones!$AA$98)&gt;=$S58),$V58,$U58)))=Milestones!$AB$98),UPPER(TEXT(EDATE($D58,Milestones!$AA$98),"dd mmm yy"))&amp;" "&amp;Milestones!$AB$98&amp;" "&amp;Milestones!$AC$98&amp;";  ","")&amp;IF(AND(EDATE($D58,Milestones!$AA$99)&lt;=AsOfDate,IF($R58=0,$X58,IF(AND($T58&lt;&gt;"",EDATE($D58,Milestones!$AA$99)&gt;=$T58),$W58,IF(AND($S58&lt;&gt;"",EDATE($D58,Milestones!$AA$99)&gt;=$S58),$V58,$U58)))=Milestones!$AB$99),UPPER(TEXT(EDATE($D58,Milestones!$AA$99),"dd mmm yy"))&amp;" "&amp;Milestones!$AB$99&amp;" "&amp;Milestones!$AC$99&amp;";  ",""))</f>
        <v/>
      </c>
      <c r="M58" s="0" t="str">
        <f aca="false">IF(OR($A58="",$D58=""),"",IF(AND(EDATE($D58,Milestones!$AA$100)&lt;=AsOfDate,IF($R58=0,$X58,IF(AND($T58&lt;&gt;"",EDATE($D58,Milestones!$AA$100)&gt;=$T58),$W58,IF(AND($S58&lt;&gt;"",EDATE($D58,Milestones!$AA$100)&gt;=$S58),$V58,$U58)))=Milestones!$AB$100),UPPER(TEXT(EDATE($D58,Milestones!$AA$100),"dd mmm yy"))&amp;" "&amp;Milestones!$AB$100&amp;" "&amp;Milestones!$AC$100&amp;";  ","")&amp;IF(AND(EDATE($D58,Milestones!$AA$101)&lt;=AsOfDate,IF($R58=0,$X58,IF(AND($T58&lt;&gt;"",EDATE($D58,Milestones!$AA$101)&gt;=$T58),$W58,IF(AND($S58&lt;&gt;"",EDATE($D58,Milestones!$AA$101)&gt;=$S58),$V58,$U58)))=Milestones!$AB$101),UPPER(TEXT(EDATE($D58,Milestones!$AA$101),"dd mmm yy"))&amp;" "&amp;Milestones!$AB$101&amp;" "&amp;Milestones!$AC$101&amp;";  ","")&amp;IF(AND(EDATE($D58,Milestones!$AA$102)&lt;=AsOfDate,IF($R58=0,$X58,IF(AND($T58&lt;&gt;"",EDATE($D58,Milestones!$AA$102)&gt;=$T58),$W58,IF(AND($S58&lt;&gt;"",EDATE($D58,Milestones!$AA$102)&gt;=$S58),$V58,$U58)))=Milestones!$AB$102),UPPER(TEXT(EDATE($D58,Milestones!$AA$102),"dd mmm yy"))&amp;" "&amp;Milestones!$AB$102&amp;" "&amp;Milestones!$AC$102&amp;";  ","")&amp;IF(AND(EDATE($D58,Milestones!$AA$103)&lt;=AsOfDate,IF($R58=0,$X58,IF(AND($T58&lt;&gt;"",EDATE($D58,Milestones!$AA$103)&gt;=$T58),$W58,IF(AND($S58&lt;&gt;"",EDATE($D58,Milestones!$AA$103)&gt;=$S58),$V58,$U58)))=Milestones!$AB$103),UPPER(TEXT(EDATE($D58,Milestones!$AA$103),"dd mmm yy"))&amp;" "&amp;Milestones!$AB$103&amp;" "&amp;Milestones!$AC$103&amp;";  ","")&amp;IF(AND(EDATE($D58,Milestones!$AA$104)&lt;=AsOfDate,IF($R58=0,$X58,IF(AND($T58&lt;&gt;"",EDATE($D58,Milestones!$AA$104)&gt;=$T58),$W58,IF(AND($S58&lt;&gt;"",EDATE($D58,Milestones!$AA$104)&gt;=$S58),$V58,$U58)))=Milestones!$AB$104),UPPER(TEXT(EDATE($D58,Milestones!$AA$104),"dd mmm yy"))&amp;" "&amp;Milestones!$AB$104&amp;" "&amp;Milestones!$AC$104&amp;";  ","")&amp;IF(AND(EDATE($D58,Milestones!$AA$105)&lt;=AsOfDate,IF($R58=0,$X58,IF(AND($T58&lt;&gt;"",EDATE($D58,Milestones!$AA$105)&gt;=$T58),$W58,IF(AND($S58&lt;&gt;"",EDATE($D58,Milestones!$AA$105)&gt;=$S58),$V58,$U58)))=Milestones!$AB$105),UPPER(TEXT(EDATE($D58,Milestones!$AA$105),"dd mmm yy"))&amp;" "&amp;Milestones!$AB$105&amp;" "&amp;Milestones!$AC$105&amp;";  ","")&amp;IF(AND(EDATE($D58,Milestones!$AA$106)&lt;=AsOfDate,IF($R58=0,$X58,IF(AND($T58&lt;&gt;"",EDATE($D58,Milestones!$AA$106)&gt;=$T58),$W58,IF(AND($S58&lt;&gt;"",EDATE($D58,Milestones!$AA$106)&gt;=$S58),$V58,$U58)))=Milestones!$AB$106),UPPER(TEXT(EDATE($D58,Milestones!$AA$106),"dd mmm yy"))&amp;" "&amp;Milestones!$AB$106&amp;" "&amp;Milestones!$AC$106&amp;";  ","")&amp;IF(AND(EDATE($D58,Milestones!$AA$107)&lt;=AsOfDate,IF($R58=0,$X58,IF(AND($T58&lt;&gt;"",EDATE($D58,Milestones!$AA$107)&gt;=$T58),$W58,IF(AND($S58&lt;&gt;"",EDATE($D58,Milestones!$AA$107)&gt;=$S58),$V58,$U58)))=Milestones!$AB$107),UPPER(TEXT(EDATE($D58,Milestones!$AA$107),"dd mmm yy"))&amp;" "&amp;Milestones!$AB$107&amp;" "&amp;Milestones!$AC$107&amp;";  ","")&amp;IF(AND(EDATE($D58,Milestones!$AA$108)&lt;=AsOfDate,IF($R58=0,$X58,IF(AND($T58&lt;&gt;"",EDATE($D58,Milestones!$AA$108)&gt;=$T58),$W58,IF(AND($S58&lt;&gt;"",EDATE($D58,Milestones!$AA$108)&gt;=$S58),$V58,$U58)))=Milestones!$AB$108),UPPER(TEXT(EDATE($D58,Milestones!$AA$108),"dd mmm yy"))&amp;" "&amp;Milestones!$AB$108&amp;" "&amp;Milestones!$AC$108&amp;";  ","")&amp;IF(AND(EDATE($D58,Milestones!$AA$109)&lt;=AsOfDate,IF($R58=0,$X58,IF(AND($T58&lt;&gt;"",EDATE($D58,Milestones!$AA$109)&gt;=$T58),$W58,IF(AND($S58&lt;&gt;"",EDATE($D58,Milestones!$AA$109)&gt;=$S58),$V58,$U58)))=Milestones!$AB$109),UPPER(TEXT(EDATE($D58,Milestones!$AA$109),"dd mmm yy"))&amp;" "&amp;Milestones!$AB$109&amp;" "&amp;Milestones!$AC$109&amp;";  ","")&amp;IF(AND(EDATE($D58,Milestones!$AA$110)&lt;=AsOfDate,IF($R58=0,$X58,IF(AND($T58&lt;&gt;"",EDATE($D58,Milestones!$AA$110)&gt;=$T58),$W58,IF(AND($S58&lt;&gt;"",EDATE($D58,Milestones!$AA$110)&gt;=$S58),$V58,$U58)))=Milestones!$AB$110),UPPER(TEXT(EDATE($D58,Milestones!$AA$110),"dd mmm yy"))&amp;" "&amp;Milestones!$AB$110&amp;" "&amp;Milestones!$AC$110&amp;";  ","")&amp;IF(AND(EDATE($D58,Milestones!$AA$111)&lt;=AsOfDate,IF($R58=0,$X58,IF(AND($T58&lt;&gt;"",EDATE($D58,Milestones!$AA$111)&gt;=$T58),$W58,IF(AND($S58&lt;&gt;"",EDATE($D58,Milestones!$AA$111)&gt;=$S58),$V58,$U58)))=Milestones!$AB$111),UPPER(TEXT(EDATE($D58,Milestones!$AA$111),"dd mmm yy"))&amp;" "&amp;Milestones!$AB$111&amp;" "&amp;Milestones!$AC$111&amp;";  ","")&amp;IF(AND(EDATE($D58,Milestones!$AA$112)&lt;=AsOfDate,IF($R58=0,$X58,IF(AND($T58&lt;&gt;"",EDATE($D58,Milestones!$AA$112)&gt;=$T58),$W58,IF(AND($S58&lt;&gt;"",EDATE($D58,Milestones!$AA$112)&gt;=$S58),$V58,$U58)))=Milestones!$AB$112),UPPER(TEXT(EDATE($D58,Milestones!$AA$112),"dd mmm yy"))&amp;" "&amp;Milestones!$AB$112&amp;" "&amp;Milestones!$AC$112&amp;";  ","")&amp;IF(AND(EDATE($D58,Milestones!$AA$113)&lt;=AsOfDate,IF($R58=0,$X58,IF(AND($T58&lt;&gt;"",EDATE($D58,Milestones!$AA$113)&gt;=$T58),$W58,IF(AND($S58&lt;&gt;"",EDATE($D58,Milestones!$AA$113)&gt;=$S58),$V58,$U58)))=Milestones!$AB$113),UPPER(TEXT(EDATE($D58,Milestones!$AA$113),"dd mmm yy"))&amp;" "&amp;Milestones!$AB$113&amp;" "&amp;Milestones!$AC$113&amp;";  ","")&amp;IF(AND(EDATE($D58,Milestones!$AA$114)&lt;=AsOfDate,IF($R58=0,$X58,IF(AND($T58&lt;&gt;"",EDATE($D58,Milestones!$AA$114)&gt;=$T58),$W58,IF(AND($S58&lt;&gt;"",EDATE($D58,Milestones!$AA$114)&gt;=$S58),$V58,$U58)))=Milestones!$AB$114),UPPER(TEXT(EDATE($D58,Milestones!$AA$114),"dd mmm yy"))&amp;" "&amp;Milestones!$AB$114&amp;" "&amp;Milestones!$AC$114&amp;";  ","")&amp;IF(AND(EDATE($D58,Milestones!$AA$115)&lt;=AsOfDate,IF($R58=0,$X58,IF(AND($T58&lt;&gt;"",EDATE($D58,Milestones!$AA$115)&gt;=$T58),$W58,IF(AND($S58&lt;&gt;"",EDATE($D58,Milestones!$AA$115)&gt;=$S58),$V58,$U58)))=Milestones!$AB$115),UPPER(TEXT(EDATE($D58,Milestones!$AA$115),"dd mmm yy"))&amp;" "&amp;Milestones!$AB$115&amp;" "&amp;Milestones!$AC$115&amp;";  ","")&amp;IF(AND(EDATE($D58,Milestones!$AA$116)&lt;=AsOfDate,IF($R58=0,$X58,IF(AND($T58&lt;&gt;"",EDATE($D58,Milestones!$AA$116)&gt;=$T58),$W58,IF(AND($S58&lt;&gt;"",EDATE($D58,Milestones!$AA$116)&gt;=$S58),$V58,$U58)))=Milestones!$AB$116),UPPER(TEXT(EDATE($D58,Milestones!$AA$116),"dd mmm yy"))&amp;" "&amp;Milestones!$AB$116&amp;" "&amp;Milestones!$AC$116&amp;";  ","")&amp;IF(AND(EDATE($D58,Milestones!$AA$117)&lt;=AsOfDate,IF($R58=0,$X58,IF(AND($T58&lt;&gt;"",EDATE($D58,Milestones!$AA$117)&gt;=$T58),$W58,IF(AND($S58&lt;&gt;"",EDATE($D58,Milestones!$AA$117)&gt;=$S58),$V58,$U58)))=Milestones!$AB$117),UPPER(TEXT(EDATE($D58,Milestones!$AA$117),"dd mmm yy"))&amp;" "&amp;Milestones!$AB$117&amp;" "&amp;Milestones!$AC$117&amp;";  ","")&amp;IF(AND(EDATE($D58,Milestones!$AA$118)&lt;=AsOfDate,IF($R58=0,$X58,IF(AND($T58&lt;&gt;"",EDATE($D58,Milestones!$AA$118)&gt;=$T58),$W58,IF(AND($S58&lt;&gt;"",EDATE($D58,Milestones!$AA$118)&gt;=$S58),$V58,$U58)))=Milestones!$AB$118),UPPER(TEXT(EDATE($D58,Milestones!$AA$118),"dd mmm yy"))&amp;" "&amp;Milestones!$AB$118&amp;" "&amp;Milestones!$AC$118&amp;";  ","")&amp;IF(AND(EDATE($D58,Milestones!$AA$119)&lt;=AsOfDate,IF($R58=0,$X58,IF(AND($T58&lt;&gt;"",EDATE($D58,Milestones!$AA$119)&gt;=$T58),$W58,IF(AND($S58&lt;&gt;"",EDATE($D58,Milestones!$AA$119)&gt;=$S58),$V58,$U58)))=Milestones!$AB$119),UPPER(TEXT(EDATE($D58,Milestones!$AA$119),"dd mmm yy"))&amp;" "&amp;Milestones!$AB$119&amp;" "&amp;Milestones!$AC$119&amp;";  ",""))</f>
        <v/>
      </c>
      <c r="N58" s="0" t="str">
        <f aca="false">IF(OR($A58="",$D58=""),"",IF(AND(EDATE($D58,Milestones!$AA$120)&lt;=AsOfDate,IF($R58=0,$X58,IF(AND($T58&lt;&gt;"",EDATE($D58,Milestones!$AA$120)&gt;=$T58),$W58,IF(AND($S58&lt;&gt;"",EDATE($D58,Milestones!$AA$120)&gt;=$S58),$V58,$U58)))=Milestones!$AB$120),UPPER(TEXT(EDATE($D58,Milestones!$AA$120),"dd mmm yy"))&amp;" "&amp;Milestones!$AB$120&amp;" "&amp;Milestones!$AC$120&amp;";  ","")&amp;IF(AND(EDATE($D58,Milestones!$AA$121)&lt;=AsOfDate,IF($R58=0,$X58,IF(AND($T58&lt;&gt;"",EDATE($D58,Milestones!$AA$121)&gt;=$T58),$W58,IF(AND($S58&lt;&gt;"",EDATE($D58,Milestones!$AA$121)&gt;=$S58),$V58,$U58)))=Milestones!$AB$121),UPPER(TEXT(EDATE($D58,Milestones!$AA$121),"dd mmm yy"))&amp;" "&amp;Milestones!$AB$121&amp;" "&amp;Milestones!$AC$121&amp;";  ","")&amp;IF(AND(EDATE($D58,Milestones!$AA$122)&lt;=AsOfDate,IF($R58=0,$X58,IF(AND($T58&lt;&gt;"",EDATE($D58,Milestones!$AA$122)&gt;=$T58),$W58,IF(AND($S58&lt;&gt;"",EDATE($D58,Milestones!$AA$122)&gt;=$S58),$V58,$U58)))=Milestones!$AB$122),UPPER(TEXT(EDATE($D58,Milestones!$AA$122),"dd mmm yy"))&amp;" "&amp;Milestones!$AB$122&amp;" "&amp;Milestones!$AC$122&amp;";  ","")&amp;IF(AND(EDATE($D58,Milestones!$AA$123)&lt;=AsOfDate,IF($R58=0,$X58,IF(AND($T58&lt;&gt;"",EDATE($D58,Milestones!$AA$123)&gt;=$T58),$W58,IF(AND($S58&lt;&gt;"",EDATE($D58,Milestones!$AA$123)&gt;=$S58),$V58,$U58)))=Milestones!$AB$123),UPPER(TEXT(EDATE($D58,Milestones!$AA$123),"dd mmm yy"))&amp;" "&amp;Milestones!$AB$123&amp;" "&amp;Milestones!$AC$123&amp;";  ","")&amp;IF(AND(EDATE($D58,Milestones!$AA$124)&lt;=AsOfDate,IF($R58=0,$X58,IF(AND($T58&lt;&gt;"",EDATE($D58,Milestones!$AA$124)&gt;=$T58),$W58,IF(AND($S58&lt;&gt;"",EDATE($D58,Milestones!$AA$124)&gt;=$S58),$V58,$U58)))=Milestones!$AB$124),UPPER(TEXT(EDATE($D58,Milestones!$AA$124),"dd mmm yy"))&amp;" "&amp;Milestones!$AB$124&amp;" "&amp;Milestones!$AC$124&amp;";  ","")&amp;IF(AND(EDATE($D58,Milestones!$AA$125)&lt;=AsOfDate,IF($R58=0,$X58,IF(AND($T58&lt;&gt;"",EDATE($D58,Milestones!$AA$125)&gt;=$T58),$W58,IF(AND($S58&lt;&gt;"",EDATE($D58,Milestones!$AA$125)&gt;=$S58),$V58,$U58)))=Milestones!$AB$125),UPPER(TEXT(EDATE($D58,Milestones!$AA$125),"dd mmm yy"))&amp;" "&amp;Milestones!$AB$125&amp;" "&amp;Milestones!$AC$125&amp;";  ","")&amp;IF(AND(EDATE($D58,Milestones!$AA$126)&lt;=AsOfDate,IF($R58=0,$X58,IF(AND($T58&lt;&gt;"",EDATE($D58,Milestones!$AA$126)&gt;=$T58),$W58,IF(AND($S58&lt;&gt;"",EDATE($D58,Milestones!$AA$126)&gt;=$S58),$V58,$U58)))=Milestones!$AB$126),UPPER(TEXT(EDATE($D58,Milestones!$AA$126),"dd mmm yy"))&amp;" "&amp;Milestones!$AB$126&amp;" "&amp;Milestones!$AC$126&amp;";  ","")&amp;IF(AND(EDATE($D58,Milestones!$AA$127)&lt;=AsOfDate,IF($R58=0,$X58,IF(AND($T58&lt;&gt;"",EDATE($D58,Milestones!$AA$127)&gt;=$T58),$W58,IF(AND($S58&lt;&gt;"",EDATE($D58,Milestones!$AA$127)&gt;=$S58),$V58,$U58)))=Milestones!$AB$127),UPPER(TEXT(EDATE($D58,Milestones!$AA$127),"dd mmm yy"))&amp;" "&amp;Milestones!$AB$127&amp;" "&amp;Milestones!$AC$127&amp;";  ","")&amp;IF(AND(EDATE($D58,Milestones!$AA$128)&lt;=AsOfDate,IF($R58=0,$X58,IF(AND($T58&lt;&gt;"",EDATE($D58,Milestones!$AA$128)&gt;=$T58),$W58,IF(AND($S58&lt;&gt;"",EDATE($D58,Milestones!$AA$128)&gt;=$S58),$V58,$U58)))=Milestones!$AB$128),UPPER(TEXT(EDATE($D58,Milestones!$AA$128),"dd mmm yy"))&amp;" "&amp;Milestones!$AB$128&amp;" "&amp;Milestones!$AC$128&amp;";  ","")&amp;IF(AND(EDATE($D58,Milestones!$AA$129)&lt;=AsOfDate,IF($R58=0,$X58,IF(AND($T58&lt;&gt;"",EDATE($D58,Milestones!$AA$129)&gt;=$T58),$W58,IF(AND($S58&lt;&gt;"",EDATE($D58,Milestones!$AA$129)&gt;=$S58),$V58,$U58)))=Milestones!$AB$129),UPPER(TEXT(EDATE($D58,Milestones!$AA$129),"dd mmm yy"))&amp;" "&amp;Milestones!$AB$129&amp;" "&amp;Milestones!$AC$129&amp;";  ","")&amp;IF(AND(EDATE($D58,Milestones!$AA$130)&lt;=AsOfDate,IF($R58=0,$X58,IF(AND($T58&lt;&gt;"",EDATE($D58,Milestones!$AA$130)&gt;=$T58),$W58,IF(AND($S58&lt;&gt;"",EDATE($D58,Milestones!$AA$130)&gt;=$S58),$V58,$U58)))=Milestones!$AB$130),UPPER(TEXT(EDATE($D58,Milestones!$AA$130),"dd mmm yy"))&amp;" "&amp;Milestones!$AB$130&amp;" "&amp;Milestones!$AC$130&amp;";  ","")&amp;IF(AND(EDATE($D58,Milestones!$AA$131)&lt;=AsOfDate,IF($R58=0,$X58,IF(AND($T58&lt;&gt;"",EDATE($D58,Milestones!$AA$131)&gt;=$T58),$W58,IF(AND($S58&lt;&gt;"",EDATE($D58,Milestones!$AA$131)&gt;=$S58),$V58,$U58)))=Milestones!$AB$131),UPPER(TEXT(EDATE($D58,Milestones!$AA$131),"dd mmm yy"))&amp;" "&amp;Milestones!$AB$131&amp;" "&amp;Milestones!$AC$131&amp;";  ","")&amp;IF(AND(EDATE($D58,Milestones!$AA$132)&lt;=AsOfDate,IF($R58=0,$X58,IF(AND($T58&lt;&gt;"",EDATE($D58,Milestones!$AA$132)&gt;=$T58),$W58,IF(AND($S58&lt;&gt;"",EDATE($D58,Milestones!$AA$132)&gt;=$S58),$V58,$U58)))=Milestones!$AB$132),UPPER(TEXT(EDATE($D58,Milestones!$AA$132),"dd mmm yy"))&amp;" "&amp;Milestones!$AB$132&amp;" "&amp;Milestones!$AC$132&amp;";  ","")&amp;IF(AND(EDATE($D58,Milestones!$AA$133)&lt;=AsOfDate,IF($R58=0,$X58,IF(AND($T58&lt;&gt;"",EDATE($D58,Milestones!$AA$133)&gt;=$T58),$W58,IF(AND($S58&lt;&gt;"",EDATE($D58,Milestones!$AA$133)&gt;=$S58),$V58,$U58)))=Milestones!$AB$133),UPPER(TEXT(EDATE($D58,Milestones!$AA$133),"dd mmm yy"))&amp;" "&amp;Milestones!$AB$133&amp;" "&amp;Milestones!$AC$133&amp;";  ","")&amp;IF(AND(EDATE($D58,Milestones!$AA$134)&lt;=AsOfDate,IF($R58=0,$X58,IF(AND($T58&lt;&gt;"",EDATE($D58,Milestones!$AA$134)&gt;=$T58),$W58,IF(AND($S58&lt;&gt;"",EDATE($D58,Milestones!$AA$134)&gt;=$S58),$V58,$U58)))=Milestones!$AB$134),UPPER(TEXT(EDATE($D58,Milestones!$AA$134),"dd mmm yy"))&amp;" "&amp;Milestones!$AB$134&amp;" "&amp;Milestones!$AC$134&amp;";  ","")&amp;IF(AND(EDATE($D58,Milestones!$AA$135)&lt;=AsOfDate,IF($R58=0,$X58,IF(AND($T58&lt;&gt;"",EDATE($D58,Milestones!$AA$135)&gt;=$T58),$W58,IF(AND($S58&lt;&gt;"",EDATE($D58,Milestones!$AA$135)&gt;=$S58),$V58,$U58)))=Milestones!$AB$135),UPPER(TEXT(EDATE($D58,Milestones!$AA$135),"dd mmm yy"))&amp;" "&amp;Milestones!$AB$135&amp;" "&amp;Milestones!$AC$135&amp;";  ","")&amp;IF(AND(EDATE($D58,Milestones!$AA$136)&lt;=AsOfDate,IF($R58=0,$X58,IF(AND($T58&lt;&gt;"",EDATE($D58,Milestones!$AA$136)&gt;=$T58),$W58,IF(AND($S58&lt;&gt;"",EDATE($D58,Milestones!$AA$136)&gt;=$S58),$V58,$U58)))=Milestones!$AB$136),UPPER(TEXT(EDATE($D58,Milestones!$AA$136),"dd mmm yy"))&amp;" "&amp;Milestones!$AB$136&amp;" "&amp;Milestones!$AC$136&amp;";  ","")&amp;IF(AND(EDATE($D58,Milestones!$AA$137)&lt;=AsOfDate,IF($R58=0,$X58,IF(AND($T58&lt;&gt;"",EDATE($D58,Milestones!$AA$137)&gt;=$T58),$W58,IF(AND($S58&lt;&gt;"",EDATE($D58,Milestones!$AA$137)&gt;=$S58),$V58,$U58)))=Milestones!$AB$137),UPPER(TEXT(EDATE($D58,Milestones!$AA$137),"dd mmm yy"))&amp;" "&amp;Milestones!$AB$137&amp;" "&amp;Milestones!$AC$137&amp;";  ","")&amp;IF(AND(EDATE($D58,Milestones!$AA$138)&lt;=AsOfDate,IF($R58=0,$X58,IF(AND($T58&lt;&gt;"",EDATE($D58,Milestones!$AA$138)&gt;=$T58),$W58,IF(AND($S58&lt;&gt;"",EDATE($D58,Milestones!$AA$138)&gt;=$S58),$V58,$U58)))=Milestones!$AB$138),UPPER(TEXT(EDATE($D58,Milestones!$AA$138),"dd mmm yy"))&amp;" "&amp;Milestones!$AB$138&amp;" "&amp;Milestones!$AC$138&amp;";  ","")&amp;IF(AND(EDATE($D58,Milestones!$AA$139)&lt;=AsOfDate,IF($R58=0,$X58,IF(AND($T58&lt;&gt;"",EDATE($D58,Milestones!$AA$139)&gt;=$T58),$W58,IF(AND($S58&lt;&gt;"",EDATE($D58,Milestones!$AA$139)&gt;=$S58),$V58,$U58)))=Milestones!$AB$139),UPPER(TEXT(EDATE($D58,Milestones!$AA$139),"dd mmm yy"))&amp;" "&amp;Milestones!$AB$139&amp;" "&amp;Milestones!$AC$139&amp;";  ",""))</f>
        <v/>
      </c>
      <c r="O58" s="0" t="str">
        <f aca="false">IF(OR($A58="",$D58=""),"",IF(AND(EDATE($D58,Milestones!$AA$140)&lt;=AsOfDate,IF($R58=0,$X58,IF(AND($T58&lt;&gt;"",EDATE($D58,Milestones!$AA$140)&gt;=$T58),$W58,IF(AND($S58&lt;&gt;"",EDATE($D58,Milestones!$AA$140)&gt;=$S58),$V58,$U58)))=Milestones!$AB$140),UPPER(TEXT(EDATE($D58,Milestones!$AA$140),"dd mmm yy"))&amp;" "&amp;Milestones!$AB$140&amp;" "&amp;Milestones!$AC$140&amp;";  ","")&amp;IF(AND(EDATE($D58,Milestones!$AA$141)&lt;=AsOfDate,IF($R58=0,$X58,IF(AND($T58&lt;&gt;"",EDATE($D58,Milestones!$AA$141)&gt;=$T58),$W58,IF(AND($S58&lt;&gt;"",EDATE($D58,Milestones!$AA$141)&gt;=$S58),$V58,$U58)))=Milestones!$AB$141),UPPER(TEXT(EDATE($D58,Milestones!$AA$141),"dd mmm yy"))&amp;" "&amp;Milestones!$AB$141&amp;" "&amp;Milestones!$AC$141&amp;";  ","")&amp;IF(AND(EDATE($D58,Milestones!$AA$142)&lt;=AsOfDate,IF($R58=0,$X58,IF(AND($T58&lt;&gt;"",EDATE($D58,Milestones!$AA$142)&gt;=$T58),$W58,IF(AND($S58&lt;&gt;"",EDATE($D58,Milestones!$AA$142)&gt;=$S58),$V58,$U58)))=Milestones!$AB$142),UPPER(TEXT(EDATE($D58,Milestones!$AA$142),"dd mmm yy"))&amp;" "&amp;Milestones!$AB$142&amp;" "&amp;Milestones!$AC$142&amp;";  ","")&amp;IF(AND(EDATE($D58,Milestones!$AA$143)&lt;=AsOfDate,IF($R58=0,$X58,IF(AND($T58&lt;&gt;"",EDATE($D58,Milestones!$AA$143)&gt;=$T58),$W58,IF(AND($S58&lt;&gt;"",EDATE($D58,Milestones!$AA$143)&gt;=$S58),$V58,$U58)))=Milestones!$AB$143),UPPER(TEXT(EDATE($D58,Milestones!$AA$143),"dd mmm yy"))&amp;" "&amp;Milestones!$AB$143&amp;" "&amp;Milestones!$AC$143&amp;";  ","")&amp;IF(AND(EDATE($D58,Milestones!$AA$144)&lt;=AsOfDate,IF($R58=0,$X58,IF(AND($T58&lt;&gt;"",EDATE($D58,Milestones!$AA$144)&gt;=$T58),$W58,IF(AND($S58&lt;&gt;"",EDATE($D58,Milestones!$AA$144)&gt;=$S58),$V58,$U58)))=Milestones!$AB$144),UPPER(TEXT(EDATE($D58,Milestones!$AA$144),"dd mmm yy"))&amp;" "&amp;Milestones!$AB$144&amp;" "&amp;Milestones!$AC$144&amp;";  ","")&amp;IF(AND(EDATE($D58,Milestones!$AA$145)&lt;=AsOfDate,IF($R58=0,$X58,IF(AND($T58&lt;&gt;"",EDATE($D58,Milestones!$AA$145)&gt;=$T58),$W58,IF(AND($S58&lt;&gt;"",EDATE($D58,Milestones!$AA$145)&gt;=$S58),$V58,$U58)))=Milestones!$AB$145),UPPER(TEXT(EDATE($D58,Milestones!$AA$145),"dd mmm yy"))&amp;" "&amp;Milestones!$AB$145&amp;" "&amp;Milestones!$AC$145&amp;";  ","")&amp;IF(AND(EDATE($D58,Milestones!$AA$146)&lt;=AsOfDate,IF($R58=0,$X58,IF(AND($T58&lt;&gt;"",EDATE($D58,Milestones!$AA$146)&gt;=$T58),$W58,IF(AND($S58&lt;&gt;"",EDATE($D58,Milestones!$AA$146)&gt;=$S58),$V58,$U58)))=Milestones!$AB$146),UPPER(TEXT(EDATE($D58,Milestones!$AA$146),"dd mmm yy"))&amp;" "&amp;Milestones!$AB$146&amp;" "&amp;Milestones!$AC$146&amp;";  ","")&amp;IF(AND(EDATE($D58,Milestones!$AA$147)&lt;=AsOfDate,IF($R58=0,$X58,IF(AND($T58&lt;&gt;"",EDATE($D58,Milestones!$AA$147)&gt;=$T58),$W58,IF(AND($S58&lt;&gt;"",EDATE($D58,Milestones!$AA$147)&gt;=$S58),$V58,$U58)))=Milestones!$AB$147),UPPER(TEXT(EDATE($D58,Milestones!$AA$147),"dd mmm yy"))&amp;" "&amp;Milestones!$AB$147&amp;" "&amp;Milestones!$AC$147&amp;";  ","")&amp;IF(AND(EDATE($D58,Milestones!$AA$148)&lt;=AsOfDate,IF($R58=0,$X58,IF(AND($T58&lt;&gt;"",EDATE($D58,Milestones!$AA$148)&gt;=$T58),$W58,IF(AND($S58&lt;&gt;"",EDATE($D58,Milestones!$AA$148)&gt;=$S58),$V58,$U58)))=Milestones!$AB$148),UPPER(TEXT(EDATE($D58,Milestones!$AA$148),"dd mmm yy"))&amp;" "&amp;Milestones!$AB$148&amp;" "&amp;Milestones!$AC$148&amp;";  ","")&amp;IF(AND(EDATE($D58,Milestones!$AA$149)&lt;=AsOfDate,IF($R58=0,$X58,IF(AND($T58&lt;&gt;"",EDATE($D58,Milestones!$AA$149)&gt;=$T58),$W58,IF(AND($S58&lt;&gt;"",EDATE($D58,Milestones!$AA$149)&gt;=$S58),$V58,$U58)))=Milestones!$AB$149),UPPER(TEXT(EDATE($D58,Milestones!$AA$149),"dd mmm yy"))&amp;" "&amp;Milestones!$AB$149&amp;" "&amp;Milestones!$AC$149&amp;";  ","")&amp;IF(AND(EDATE($D58,Milestones!$AA$150)&lt;=AsOfDate,IF($R58=0,$X58,IF(AND($T58&lt;&gt;"",EDATE($D58,Milestones!$AA$150)&gt;=$T58),$W58,IF(AND($S58&lt;&gt;"",EDATE($D58,Milestones!$AA$150)&gt;=$S58),$V58,$U58)))=Milestones!$AB$150),UPPER(TEXT(EDATE($D58,Milestones!$AA$150),"dd mmm yy"))&amp;" "&amp;Milestones!$AB$150&amp;" "&amp;Milestones!$AC$150&amp;";  ","")&amp;IF(AND(EDATE($D58,Milestones!$AA$151)&lt;=AsOfDate,IF($R58=0,$X58,IF(AND($T58&lt;&gt;"",EDATE($D58,Milestones!$AA$151)&gt;=$T58),$W58,IF(AND($S58&lt;&gt;"",EDATE($D58,Milestones!$AA$151)&gt;=$S58),$V58,$U58)))=Milestones!$AB$151),UPPER(TEXT(EDATE($D58,Milestones!$AA$151),"dd mmm yy"))&amp;" "&amp;Milestones!$AB$151&amp;" "&amp;Milestones!$AC$151&amp;";  ","")&amp;IF(AND(EDATE($D58,Milestones!$AA$152)&lt;=AsOfDate,IF($R58=0,$X58,IF(AND($T58&lt;&gt;"",EDATE($D58,Milestones!$AA$152)&gt;=$T58),$W58,IF(AND($S58&lt;&gt;"",EDATE($D58,Milestones!$AA$152)&gt;=$S58),$V58,$U58)))=Milestones!$AB$152),UPPER(TEXT(EDATE($D58,Milestones!$AA$152),"dd mmm yy"))&amp;" "&amp;Milestones!$AB$152&amp;" "&amp;Milestones!$AC$152&amp;";  ","")&amp;IF(AND(EDATE($D58,Milestones!$AA$153)&lt;=AsOfDate,IF($R58=0,$X58,IF(AND($T58&lt;&gt;"",EDATE($D58,Milestones!$AA$153)&gt;=$T58),$W58,IF(AND($S58&lt;&gt;"",EDATE($D58,Milestones!$AA$153)&gt;=$S58),$V58,$U58)))=Milestones!$AB$153),UPPER(TEXT(EDATE($D58,Milestones!$AA$153),"dd mmm yy"))&amp;" "&amp;Milestones!$AB$153&amp;" "&amp;Milestones!$AC$153&amp;";  ","")&amp;IF(AND(EDATE($D58,Milestones!$AA$154)&lt;=AsOfDate,IF($R58=0,$X58,IF(AND($T58&lt;&gt;"",EDATE($D58,Milestones!$AA$154)&gt;=$T58),$W58,IF(AND($S58&lt;&gt;"",EDATE($D58,Milestones!$AA$154)&gt;=$S58),$V58,$U58)))=Milestones!$AB$154),UPPER(TEXT(EDATE($D58,Milestones!$AA$154),"dd mmm yy"))&amp;" "&amp;Milestones!$AB$154&amp;" "&amp;Milestones!$AC$154&amp;";  ","")&amp;IF(AND(EDATE($D58,Milestones!$AA$155)&lt;=AsOfDate,IF($R58=0,$X58,IF(AND($T58&lt;&gt;"",EDATE($D58,Milestones!$AA$155)&gt;=$T58),$W58,IF(AND($S58&lt;&gt;"",EDATE($D58,Milestones!$AA$155)&gt;=$S58),$V58,$U58)))=Milestones!$AB$155),UPPER(TEXT(EDATE($D58,Milestones!$AA$155),"dd mmm yy"))&amp;" "&amp;Milestones!$AB$155&amp;" "&amp;Milestones!$AC$155&amp;";  ","")&amp;IF(AND(EDATE($D58,Milestones!$AA$156)&lt;=AsOfDate,IF($R58=0,$X58,IF(AND($T58&lt;&gt;"",EDATE($D58,Milestones!$AA$156)&gt;=$T58),$W58,IF(AND($S58&lt;&gt;"",EDATE($D58,Milestones!$AA$156)&gt;=$S58),$V58,$U58)))=Milestones!$AB$156),UPPER(TEXT(EDATE($D58,Milestones!$AA$156),"dd mmm yy"))&amp;" "&amp;Milestones!$AB$156&amp;" "&amp;Milestones!$AC$156&amp;";  ","")&amp;IF(AND(EDATE($D58,Milestones!$AA$157)&lt;=AsOfDate,IF($R58=0,$X58,IF(AND($T58&lt;&gt;"",EDATE($D58,Milestones!$AA$157)&gt;=$T58),$W58,IF(AND($S58&lt;&gt;"",EDATE($D58,Milestones!$AA$157)&gt;=$S58),$V58,$U58)))=Milestones!$AB$157),UPPER(TEXT(EDATE($D58,Milestones!$AA$157),"dd mmm yy"))&amp;" "&amp;Milestones!$AB$157&amp;" "&amp;Milestones!$AC$157&amp;";  ","")&amp;IF(AND(EDATE($D58,Milestones!$AA$158)&lt;=AsOfDate,IF($R58=0,$X58,IF(AND($T58&lt;&gt;"",EDATE($D58,Milestones!$AA$158)&gt;=$T58),$W58,IF(AND($S58&lt;&gt;"",EDATE($D58,Milestones!$AA$158)&gt;=$S58),$V58,$U58)))=Milestones!$AB$158),UPPER(TEXT(EDATE($D58,Milestones!$AA$158),"dd mmm yy"))&amp;" "&amp;Milestones!$AB$158&amp;" "&amp;Milestones!$AC$158&amp;";  ","")&amp;IF(AND(EDATE($D58,Milestones!$AA$159)&lt;=AsOfDate,IF($R58=0,$X58,IF(AND($T58&lt;&gt;"",EDATE($D58,Milestones!$AA$159)&gt;=$T58),$W58,IF(AND($S58&lt;&gt;"",EDATE($D58,Milestones!$AA$159)&gt;=$S58),$V58,$U58)))=Milestones!$AB$159),UPPER(TEXT(EDATE($D58,Milestones!$AA$159),"dd mmm yy"))&amp;" "&amp;Milestones!$AB$159&amp;" "&amp;Milestones!$AC$159&amp;";  ",""))</f>
        <v/>
      </c>
      <c r="P58" s="0" t="str">
        <f aca="false">IF(OR($A58="",$D58=""),"",IF(AND(EDATE($D58,Milestones!$AA$160)&lt;=AsOfDate,IF($R58=0,$X58,IF(AND($T58&lt;&gt;"",EDATE($D58,Milestones!$AA$160)&gt;=$T58),$W58,IF(AND($S58&lt;&gt;"",EDATE($D58,Milestones!$AA$160)&gt;=$S58),$V58,$U58)))=Milestones!$AB$160),UPPER(TEXT(EDATE($D58,Milestones!$AA$160),"dd mmm yy"))&amp;" "&amp;Milestones!$AB$160&amp;" "&amp;Milestones!$AC$160&amp;";  ","")&amp;IF(AND(EDATE($D58,Milestones!$AA$161)&lt;=AsOfDate,IF($R58=0,$X58,IF(AND($T58&lt;&gt;"",EDATE($D58,Milestones!$AA$161)&gt;=$T58),$W58,IF(AND($S58&lt;&gt;"",EDATE($D58,Milestones!$AA$161)&gt;=$S58),$V58,$U58)))=Milestones!$AB$161),UPPER(TEXT(EDATE($D58,Milestones!$AA$161),"dd mmm yy"))&amp;" "&amp;Milestones!$AB$161&amp;" "&amp;Milestones!$AC$161&amp;";  ","")&amp;IF(AND(EDATE($D58,Milestones!$AA$162)&lt;=AsOfDate,IF($R58=0,$X58,IF(AND($T58&lt;&gt;"",EDATE($D58,Milestones!$AA$162)&gt;=$T58),$W58,IF(AND($S58&lt;&gt;"",EDATE($D58,Milestones!$AA$162)&gt;=$S58),$V58,$U58)))=Milestones!$AB$162),UPPER(TEXT(EDATE($D58,Milestones!$AA$162),"dd mmm yy"))&amp;" "&amp;Milestones!$AB$162&amp;" "&amp;Milestones!$AC$162&amp;";  ","")&amp;IF(AND(EDATE($D58,Milestones!$AA$163)&lt;=AsOfDate,IF($R58=0,$X58,IF(AND($T58&lt;&gt;"",EDATE($D58,Milestones!$AA$163)&gt;=$T58),$W58,IF(AND($S58&lt;&gt;"",EDATE($D58,Milestones!$AA$163)&gt;=$S58),$V58,$U58)))=Milestones!$AB$163),UPPER(TEXT(EDATE($D58,Milestones!$AA$163),"dd mmm yy"))&amp;" "&amp;Milestones!$AB$163&amp;" "&amp;Milestones!$AC$163&amp;";  ","")&amp;IF(AND(EDATE($D58,Milestones!$AA$164)&lt;=AsOfDate,IF($R58=0,$X58,IF(AND($T58&lt;&gt;"",EDATE($D58,Milestones!$AA$164)&gt;=$T58),$W58,IF(AND($S58&lt;&gt;"",EDATE($D58,Milestones!$AA$164)&gt;=$S58),$V58,$U58)))=Milestones!$AB$164),UPPER(TEXT(EDATE($D58,Milestones!$AA$164),"dd mmm yy"))&amp;" "&amp;Milestones!$AB$164&amp;" "&amp;Milestones!$AC$164&amp;";  ","")&amp;IF(AND(EDATE($D58,Milestones!$AA$165)&lt;=AsOfDate,IF($R58=0,$X58,IF(AND($T58&lt;&gt;"",EDATE($D58,Milestones!$AA$165)&gt;=$T58),$W58,IF(AND($S58&lt;&gt;"",EDATE($D58,Milestones!$AA$165)&gt;=$S58),$V58,$U58)))=Milestones!$AB$165),UPPER(TEXT(EDATE($D58,Milestones!$AA$165),"dd mmm yy"))&amp;" "&amp;Milestones!$AB$165&amp;" "&amp;Milestones!$AC$165&amp;";  ","")&amp;IF(AND(EDATE($D58,Milestones!$AA$166)&lt;=AsOfDate,IF($R58=0,$X58,IF(AND($T58&lt;&gt;"",EDATE($D58,Milestones!$AA$166)&gt;=$T58),$W58,IF(AND($S58&lt;&gt;"",EDATE($D58,Milestones!$AA$166)&gt;=$S58),$V58,$U58)))=Milestones!$AB$166),UPPER(TEXT(EDATE($D58,Milestones!$AA$166),"dd mmm yy"))&amp;" "&amp;Milestones!$AB$166&amp;" "&amp;Milestones!$AC$166&amp;";  ","")&amp;IF(AND(EDATE($D58,Milestones!$AA$167)&lt;=AsOfDate,IF($R58=0,$X58,IF(AND($T58&lt;&gt;"",EDATE($D58,Milestones!$AA$167)&gt;=$T58),$W58,IF(AND($S58&lt;&gt;"",EDATE($D58,Milestones!$AA$167)&gt;=$S58),$V58,$U58)))=Milestones!$AB$167),UPPER(TEXT(EDATE($D58,Milestones!$AA$167),"dd mmm yy"))&amp;" "&amp;Milestones!$AB$167&amp;" "&amp;Milestones!$AC$167&amp;";  ","")&amp;IF(AND(EDATE($D58,Milestones!$AA$168)&lt;=AsOfDate,IF($R58=0,$X58,IF(AND($T58&lt;&gt;"",EDATE($D58,Milestones!$AA$168)&gt;=$T58),$W58,IF(AND($S58&lt;&gt;"",EDATE($D58,Milestones!$AA$168)&gt;=$S58),$V58,$U58)))=Milestones!$AB$168),UPPER(TEXT(EDATE($D58,Milestones!$AA$168),"dd mmm yy"))&amp;" "&amp;Milestones!$AB$168&amp;" "&amp;Milestones!$AC$168&amp;";  ","")&amp;IF(AND(EDATE($D58,Milestones!$AA$169)&lt;=AsOfDate,IF($R58=0,$X58,IF(AND($T58&lt;&gt;"",EDATE($D58,Milestones!$AA$169)&gt;=$T58),$W58,IF(AND($S58&lt;&gt;"",EDATE($D58,Milestones!$AA$169)&gt;=$S58),$V58,$U58)))=Milestones!$AB$169),UPPER(TEXT(EDATE($D58,Milestones!$AA$169),"dd mmm yy"))&amp;" "&amp;Milestones!$AB$169&amp;" "&amp;Milestones!$AC$169&amp;";  ","")&amp;IF(AND(EDATE($D58,Milestones!$AA$170)&lt;=AsOfDate,IF($R58=0,$X58,IF(AND($T58&lt;&gt;"",EDATE($D58,Milestones!$AA$170)&gt;=$T58),$W58,IF(AND($S58&lt;&gt;"",EDATE($D58,Milestones!$AA$170)&gt;=$S58),$V58,$U58)))=Milestones!$AB$170),UPPER(TEXT(EDATE($D58,Milestones!$AA$170),"dd mmm yy"))&amp;" "&amp;Milestones!$AB$170&amp;" "&amp;Milestones!$AC$170&amp;";  ","")&amp;IF(AND(EDATE($D58,Milestones!$AA$171)&lt;=AsOfDate,IF($R58=0,$X58,IF(AND($T58&lt;&gt;"",EDATE($D58,Milestones!$AA$171)&gt;=$T58),$W58,IF(AND($S58&lt;&gt;"",EDATE($D58,Milestones!$AA$171)&gt;=$S58),$V58,$U58)))=Milestones!$AB$171),UPPER(TEXT(EDATE($D58,Milestones!$AA$171),"dd mmm yy"))&amp;" "&amp;Milestones!$AB$171&amp;" "&amp;Milestones!$AC$171&amp;";  ","")&amp;IF(AND(EDATE($D58,Milestones!$AA$172)&lt;=AsOfDate,IF($R58=0,$X58,IF(AND($T58&lt;&gt;"",EDATE($D58,Milestones!$AA$172)&gt;=$T58),$W58,IF(AND($S58&lt;&gt;"",EDATE($D58,Milestones!$AA$172)&gt;=$S58),$V58,$U58)))=Milestones!$AB$172),UPPER(TEXT(EDATE($D58,Milestones!$AA$172),"dd mmm yy"))&amp;" "&amp;Milestones!$AB$172&amp;" "&amp;Milestones!$AC$172&amp;";  ","")&amp;IF(AND(EDATE($D58,Milestones!$AA$173)&lt;=AsOfDate,IF($R58=0,$X58,IF(AND($T58&lt;&gt;"",EDATE($D58,Milestones!$AA$173)&gt;=$T58),$W58,IF(AND($S58&lt;&gt;"",EDATE($D58,Milestones!$AA$173)&gt;=$S58),$V58,$U58)))=Milestones!$AB$173),UPPER(TEXT(EDATE($D58,Milestones!$AA$173),"dd mmm yy"))&amp;" "&amp;Milestones!$AB$173&amp;" "&amp;Milestones!$AC$173&amp;";  ","")&amp;IF(AND(EDATE($D58,Milestones!$AA$174)&lt;=AsOfDate,IF($R58=0,$X58,IF(AND($T58&lt;&gt;"",EDATE($D58,Milestones!$AA$174)&gt;=$T58),$W58,IF(AND($S58&lt;&gt;"",EDATE($D58,Milestones!$AA$174)&gt;=$S58),$V58,$U58)))=Milestones!$AB$174),UPPER(TEXT(EDATE($D58,Milestones!$AA$174),"dd mmm yy"))&amp;" "&amp;Milestones!$AB$174&amp;" "&amp;Milestones!$AC$174&amp;";  ","")&amp;IF(AND(EDATE($D58,Milestones!$AA$175)&lt;=AsOfDate,IF($R58=0,$X58,IF(AND($T58&lt;&gt;"",EDATE($D58,Milestones!$AA$175)&gt;=$T58),$W58,IF(AND($S58&lt;&gt;"",EDATE($D58,Milestones!$AA$175)&gt;=$S58),$V58,$U58)))=Milestones!$AB$175),UPPER(TEXT(EDATE($D58,Milestones!$AA$175),"dd mmm yy"))&amp;" "&amp;Milestones!$AB$175&amp;" "&amp;Milestones!$AC$175&amp;";  ","")&amp;IF(AND(EDATE($D58,Milestones!$AA$176)&lt;=AsOfDate,IF($R58=0,$X58,IF(AND($T58&lt;&gt;"",EDATE($D58,Milestones!$AA$176)&gt;=$T58),$W58,IF(AND($S58&lt;&gt;"",EDATE($D58,Milestones!$AA$176)&gt;=$S58),$V58,$U58)))=Milestones!$AB$176),UPPER(TEXT(EDATE($D58,Milestones!$AA$176),"dd mmm yy"))&amp;" "&amp;Milestones!$AB$176&amp;" "&amp;Milestones!$AC$176&amp;";  ","")&amp;IF(AND(EDATE($D58,Milestones!$AA$177)&lt;=AsOfDate,IF($R58=0,$X58,IF(AND($T58&lt;&gt;"",EDATE($D58,Milestones!$AA$177)&gt;=$T58),$W58,IF(AND($S58&lt;&gt;"",EDATE($D58,Milestones!$AA$177)&gt;=$S58),$V58,$U58)))=Milestones!$AB$177),UPPER(TEXT(EDATE($D58,Milestones!$AA$177),"dd mmm yy"))&amp;" "&amp;Milestones!$AB$177&amp;" "&amp;Milestones!$AC$177&amp;";  ","")&amp;IF(AND(EDATE($D58,Milestones!$AA$178)&lt;=AsOfDate,IF($R58=0,$X58,IF(AND($T58&lt;&gt;"",EDATE($D58,Milestones!$AA$178)&gt;=$T58),$W58,IF(AND($S58&lt;&gt;"",EDATE($D58,Milestones!$AA$178)&gt;=$S58),$V58,$U58)))=Milestones!$AB$178),UPPER(TEXT(EDATE($D58,Milestones!$AA$178),"dd mmm yy"))&amp;" "&amp;Milestones!$AB$178&amp;" "&amp;Milestones!$AC$178&amp;";  ","")&amp;IF(AND(EDATE($D58,Milestones!$AA$179)&lt;=AsOfDate,IF($R58=0,$X58,IF(AND($T58&lt;&gt;"",EDATE($D58,Milestones!$AA$179)&gt;=$T58),$W58,IF(AND($S58&lt;&gt;"",EDATE($D58,Milestones!$AA$179)&gt;=$S58),$V58,$U58)))=Milestones!$AB$179),UPPER(TEXT(EDATE($D58,Milestones!$AA$179),"dd mmm yy"))&amp;" "&amp;Milestones!$AB$179&amp;" "&amp;Milestones!$AC$179&amp;";  ",""))</f>
        <v/>
      </c>
      <c r="Q58" s="0" t="str">
        <f aca="false">IF(OR($A58="",$D58=""),"",IF(AND(EDATE($D58,Milestones!$AA$180)&lt;=AsOfDate,IF($R58=0,$X58,IF(AND($T58&lt;&gt;"",EDATE($D58,Milestones!$AA$180)&gt;=$T58),$W58,IF(AND($S58&lt;&gt;"",EDATE($D58,Milestones!$AA$180)&gt;=$S58),$V58,$U58)))=Milestones!$AB$180),UPPER(TEXT(EDATE($D58,Milestones!$AA$180),"dd mmm yy"))&amp;" "&amp;Milestones!$AB$180&amp;" "&amp;Milestones!$AC$180&amp;";  ","")&amp;IF(AND(EDATE($D58,Milestones!$AA$181)&lt;=AsOfDate,IF($R58=0,$X58,IF(AND($T58&lt;&gt;"",EDATE($D58,Milestones!$AA$181)&gt;=$T58),$W58,IF(AND($S58&lt;&gt;"",EDATE($D58,Milestones!$AA$181)&gt;=$S58),$V58,$U58)))=Milestones!$AB$181),UPPER(TEXT(EDATE($D58,Milestones!$AA$181),"dd mmm yy"))&amp;" "&amp;Milestones!$AB$181&amp;" "&amp;Milestones!$AC$181&amp;";  ","")&amp;IF(AND(EDATE($D58,Milestones!$AA$182)&lt;=AsOfDate,IF($R58=0,$X58,IF(AND($T58&lt;&gt;"",EDATE($D58,Milestones!$AA$182)&gt;=$T58),$W58,IF(AND($S58&lt;&gt;"",EDATE($D58,Milestones!$AA$182)&gt;=$S58),$V58,$U58)))=Milestones!$AB$182),UPPER(TEXT(EDATE($D58,Milestones!$AA$182),"dd mmm yy"))&amp;" "&amp;Milestones!$AB$182&amp;" "&amp;Milestones!$AC$182&amp;";  ","")&amp;IF(AND(EDATE($D58,Milestones!$AA$183)&lt;=AsOfDate,IF($R58=0,$X58,IF(AND($T58&lt;&gt;"",EDATE($D58,Milestones!$AA$183)&gt;=$T58),$W58,IF(AND($S58&lt;&gt;"",EDATE($D58,Milestones!$AA$183)&gt;=$S58),$V58,$U58)))=Milestones!$AB$183),UPPER(TEXT(EDATE($D58,Milestones!$AA$183),"dd mmm yy"))&amp;" "&amp;Milestones!$AB$183&amp;" "&amp;Milestones!$AC$183&amp;";  ","")&amp;IF(AND(EDATE($D58,Milestones!$AA$184)&lt;=AsOfDate,IF($R58=0,$X58,IF(AND($T58&lt;&gt;"",EDATE($D58,Milestones!$AA$184)&gt;=$T58),$W58,IF(AND($S58&lt;&gt;"",EDATE($D58,Milestones!$AA$184)&gt;=$S58),$V58,$U58)))=Milestones!$AB$184),UPPER(TEXT(EDATE($D58,Milestones!$AA$184),"dd mmm yy"))&amp;" "&amp;Milestones!$AB$184&amp;" "&amp;Milestones!$AC$184&amp;";  ","")&amp;IF(AND(EDATE($D58,Milestones!$AA$185)&lt;=AsOfDate,IF($R58=0,$X58,IF(AND($T58&lt;&gt;"",EDATE($D58,Milestones!$AA$185)&gt;=$T58),$W58,IF(AND($S58&lt;&gt;"",EDATE($D58,Milestones!$AA$185)&gt;=$S58),$V58,$U58)))=Milestones!$AB$185),UPPER(TEXT(EDATE($D58,Milestones!$AA$185),"dd mmm yy"))&amp;" "&amp;Milestones!$AB$185&amp;" "&amp;Milestones!$AC$185&amp;";  ","")&amp;IF(AND(EDATE($D58,Milestones!$AA$186)&lt;=AsOfDate,IF($R58=0,$X58,IF(AND($T58&lt;&gt;"",EDATE($D58,Milestones!$AA$186)&gt;=$T58),$W58,IF(AND($S58&lt;&gt;"",EDATE($D58,Milestones!$AA$186)&gt;=$S58),$V58,$U58)))=Milestones!$AB$186),UPPER(TEXT(EDATE($D58,Milestones!$AA$186),"dd mmm yy"))&amp;" "&amp;Milestones!$AB$186&amp;" "&amp;Milestones!$AC$186&amp;";  ","")&amp;IF(AND(EDATE($D58,Milestones!$AA$187)&lt;=AsOfDate,IF($R58=0,$X58,IF(AND($T58&lt;&gt;"",EDATE($D58,Milestones!$AA$187)&gt;=$T58),$W58,IF(AND($S58&lt;&gt;"",EDATE($D58,Milestones!$AA$187)&gt;=$S58),$V58,$U58)))=Milestones!$AB$187),UPPER(TEXT(EDATE($D58,Milestones!$AA$187),"dd mmm yy"))&amp;" "&amp;Milestones!$AB$187&amp;" "&amp;Milestones!$AC$187&amp;";  ","")&amp;IF(AND(EDATE($D58,Milestones!$AA$188)&lt;=AsOfDate,IF($R58=0,$X58,IF(AND($T58&lt;&gt;"",EDATE($D58,Milestones!$AA$188)&gt;=$T58),$W58,IF(AND($S58&lt;&gt;"",EDATE($D58,Milestones!$AA$188)&gt;=$S58),$V58,$U58)))=Milestones!$AB$188),UPPER(TEXT(EDATE($D58,Milestones!$AA$188),"dd mmm yy"))&amp;" "&amp;Milestones!$AB$188&amp;" "&amp;Milestones!$AC$188&amp;";  ","")&amp;IF(AND(EDATE($D58,Milestones!$AA$189)&lt;=AsOfDate,IF($R58=0,$X58,IF(AND($T58&lt;&gt;"",EDATE($D58,Milestones!$AA$189)&gt;=$T58),$W58,IF(AND($S58&lt;&gt;"",EDATE($D58,Milestones!$AA$189)&gt;=$S58),$V58,$U58)))=Milestones!$AB$189),UPPER(TEXT(EDATE($D58,Milestones!$AA$189),"dd mmm yy"))&amp;" "&amp;Milestones!$AB$189&amp;" "&amp;Milestones!$AC$189&amp;";  ","")&amp;IF(AND(EDATE($D58,Milestones!$AA$190)&lt;=AsOfDate,IF($R58=0,$X58,IF(AND($T58&lt;&gt;"",EDATE($D58,Milestones!$AA$190)&gt;=$T58),$W58,IF(AND($S58&lt;&gt;"",EDATE($D58,Milestones!$AA$190)&gt;=$S58),$V58,$U58)))=Milestones!$AB$190),UPPER(TEXT(EDATE($D58,Milestones!$AA$190),"dd mmm yy"))&amp;" "&amp;Milestones!$AB$190&amp;" "&amp;Milestones!$AC$190&amp;";  ","")&amp;IF(AND(EDATE($D58,Milestones!$AA$191)&lt;=AsOfDate,IF($R58=0,$X58,IF(AND($T58&lt;&gt;"",EDATE($D58,Milestones!$AA$191)&gt;=$T58),$W58,IF(AND($S58&lt;&gt;"",EDATE($D58,Milestones!$AA$191)&gt;=$S58),$V58,$U58)))=Milestones!$AB$191),UPPER(TEXT(EDATE($D58,Milestones!$AA$191),"dd mmm yy"))&amp;" "&amp;Milestones!$AB$191&amp;" "&amp;Milestones!$AC$191&amp;";  ","")&amp;IF(AND(EDATE($D58,Milestones!$AA$192)&lt;=AsOfDate,IF($R58=0,$X58,IF(AND($T58&lt;&gt;"",EDATE($D58,Milestones!$AA$192)&gt;=$T58),$W58,IF(AND($S58&lt;&gt;"",EDATE($D58,Milestones!$AA$192)&gt;=$S58),$V58,$U58)))=Milestones!$AB$192),UPPER(TEXT(EDATE($D58,Milestones!$AA$192),"dd mmm yy"))&amp;" "&amp;Milestones!$AB$192&amp;" "&amp;Milestones!$AC$192&amp;";  ","")&amp;IF(AND(EDATE($D58,Milestones!$AA$193)&lt;=AsOfDate,IF($R58=0,$X58,IF(AND($T58&lt;&gt;"",EDATE($D58,Milestones!$AA$193)&gt;=$T58),$W58,IF(AND($S58&lt;&gt;"",EDATE($D58,Milestones!$AA$193)&gt;=$S58),$V58,$U58)))=Milestones!$AB$193),UPPER(TEXT(EDATE($D58,Milestones!$AA$193),"dd mmm yy"))&amp;" "&amp;Milestones!$AB$193&amp;" "&amp;Milestones!$AC$193&amp;";  ","")&amp;IF(AND(EDATE($D58,Milestones!$AA$194)&lt;=AsOfDate,IF($R58=0,$X58,IF(AND($T58&lt;&gt;"",EDATE($D58,Milestones!$AA$194)&gt;=$T58),$W58,IF(AND($S58&lt;&gt;"",EDATE($D58,Milestones!$AA$194)&gt;=$S58),$V58,$U58)))=Milestones!$AB$194),UPPER(TEXT(EDATE($D58,Milestones!$AA$194),"dd mmm yy"))&amp;" "&amp;Milestones!$AB$194&amp;" "&amp;Milestones!$AC$194&amp;";  ","")&amp;IF(AND(EDATE($D58,Milestones!$AA$195)&lt;=AsOfDate,IF($R58=0,$X58,IF(AND($T58&lt;&gt;"",EDATE($D58,Milestones!$AA$195)&gt;=$T58),$W58,IF(AND($S58&lt;&gt;"",EDATE($D58,Milestones!$AA$195)&gt;=$S58),$V58,$U58)))=Milestones!$AB$195),UPPER(TEXT(EDATE($D58,Milestones!$AA$195),"dd mmm yy"))&amp;" "&amp;Milestones!$AB$195&amp;" "&amp;Milestones!$AC$195&amp;";  ","")&amp;IF(AND(EDATE($D58,Milestones!$AA$196)&lt;=AsOfDate,IF($R58=0,$X58,IF(AND($T58&lt;&gt;"",EDATE($D58,Milestones!$AA$196)&gt;=$T58),$W58,IF(AND($S58&lt;&gt;"",EDATE($D58,Milestones!$AA$196)&gt;=$S58),$V58,$U58)))=Milestones!$AB$196),UPPER(TEXT(EDATE($D58,Milestones!$AA$196),"dd mmm yy"))&amp;" "&amp;Milestones!$AB$196&amp;" "&amp;Milestones!$AC$196&amp;";  ","")&amp;IF(AND(EDATE($D58,Milestones!$AA$197)&lt;=AsOfDate,IF($R58=0,$X58,IF(AND($T58&lt;&gt;"",EDATE($D58,Milestones!$AA$197)&gt;=$T58),$W58,IF(AND($S58&lt;&gt;"",EDATE($D58,Milestones!$AA$197)&gt;=$S58),$V58,$U58)))=Milestones!$AB$197),UPPER(TEXT(EDATE($D58,Milestones!$AA$197),"dd mmm yy"))&amp;" "&amp;Milestones!$AB$197&amp;" "&amp;Milestones!$AC$197&amp;";  ","")&amp;IF(AND(EDATE($D58,Milestones!$AA$198)&lt;=AsOfDate,IF($R58=0,$X58,IF(AND($T58&lt;&gt;"",EDATE($D58,Milestones!$AA$198)&gt;=$T58),$W58,IF(AND($S58&lt;&gt;"",EDATE($D58,Milestones!$AA$198)&gt;=$S58),$V58,$U58)))=Milestones!$AB$198),UPPER(TEXT(EDATE($D58,Milestones!$AA$198),"dd mmm yy"))&amp;" "&amp;Milestones!$AB$198&amp;" "&amp;Milestones!$AC$198&amp;";  ","")&amp;IF(AND(EDATE($D58,Milestones!$AA$199)&lt;=AsOfDate,IF($R58=0,$X58,IF(AND($T58&lt;&gt;"",EDATE($D58,Milestones!$AA$199)&gt;=$T58),$W58,IF(AND($S58&lt;&gt;"",EDATE($D58,Milestones!$AA$199)&gt;=$S58),$V58,$U58)))=Milestones!$AB$199),UPPER(TEXT(EDATE($D58,Milestones!$AA$199),"dd mmm yy"))&amp;" "&amp;Milestones!$AB$199&amp;" "&amp;Milestones!$AC$199&amp;";  ",""))</f>
        <v/>
      </c>
      <c r="R58" s="33" t="n">
        <f aca="false">IF(Staff!$A58="","",Staff!$AI58)</f>
        <v>0</v>
      </c>
      <c r="S58" s="0" t="str">
        <f aca="false">IF(Staff!$A58="","",Staff!$AK58)</f>
        <v/>
      </c>
      <c r="T58" s="0" t="str">
        <f aca="false">IF(Staff!$A58="","",Staff!$AL58)</f>
        <v/>
      </c>
      <c r="U58" s="0" t="str">
        <f aca="false">IF(Staff!$A58="","",Staff!$AP58)</f>
        <v>None</v>
      </c>
      <c r="V58" s="0" t="str">
        <f aca="false">IF(Staff!$A58="","",Staff!$AQ58)</f>
        <v/>
      </c>
      <c r="W58" s="0" t="str">
        <f aca="false">IF(Staff!$A58="","",Staff!$AR58)</f>
        <v/>
      </c>
      <c r="X58" s="0" t="str">
        <f aca="false">IF(Staff!$A58="","",Staff!$AS58)</f>
        <v>None</v>
      </c>
    </row>
    <row r="59" customFormat="false" ht="46.25" hidden="false" customHeight="false" outlineLevel="0" collapsed="false">
      <c r="A59" s="19" t="str">
        <f aca="false">IF(Staff!$A59="","",Staff!$A59)</f>
        <v>Premila</v>
      </c>
      <c r="B59" s="19" t="str">
        <f aca="false">IF(Staff!$A59="","",Staff!$B59)</f>
        <v>LUGSTEIN</v>
      </c>
      <c r="C59" s="19" t="str">
        <f aca="false">IF(Staff!$A59="","",Staff!$C59)</f>
        <v>Part-Time</v>
      </c>
      <c r="D59" s="17" t="n">
        <f aca="false">IF(Staff!$A59="","",Staff!$AH59)</f>
        <v>40665</v>
      </c>
      <c r="E59" s="20" t="n">
        <f aca="false">IF(Staff!$A59="","",Staff!$O59)</f>
        <v>41</v>
      </c>
      <c r="F59" s="19" t="n">
        <f aca="false">IF(E59="","",E59*HoursPerDay)</f>
        <v>328</v>
      </c>
      <c r="G59" s="20" t="n">
        <f aca="false">IF(Staff!$A59="","",Staff!$AE59)</f>
        <v>0</v>
      </c>
      <c r="H59" s="32" t="str">
        <f aca="false">IF($A59="","",I59&amp;J59&amp;K59&amp;L59&amp;M59&amp;N59&amp;O59&amp;P59&amp;Q59)</f>
        <v>02 MAY 14 FT 1;  02 SEP 14 FT 1;  02 JAN 15 FT 1;  02 MAY 15 FT 1;  02 SEP 15 FT 1;  02 JAN 16 FT 1;  02 MAY 16 FT 2;  02 AUG 16 FT 1;  02 NOV 16 FT 1;  02 FEB 17 FT 1;  02 MAY 17 FT 2;  02 AUG 17 FT 1;  02 NOV 17 FT 1;  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IF($R59=0,$X59,IF(AND($T59&lt;&gt;"",EDATE($D59,Milestones!$AA$20)&gt;=$T59),$W59,IF(AND($S59&lt;&gt;"",EDATE($D59,Milestones!$AA$20)&gt;=$S59),$V59,$U59)))=Milestones!$AB$20),UPPER(TEXT(EDATE($D59,Milestones!$AA$20),"dd mmm yy"))&amp;" "&amp;Milestones!$AB$20&amp;" "&amp;Milestones!$AC$20&amp;";  ","")&amp;IF(AND(EDATE($D59,Milestones!$AA$21)&lt;=AsOfDate,IF($R59=0,$X59,IF(AND($T59&lt;&gt;"",EDATE($D59,Milestones!$AA$21)&gt;=$T59),$W59,IF(AND($S59&lt;&gt;"",EDATE($D59,Milestones!$AA$21)&gt;=$S59),$V59,$U59)))=Milestones!$AB$21),UPPER(TEXT(EDATE($D59,Milestones!$AA$21),"dd mmm yy"))&amp;" "&amp;Milestones!$AB$21&amp;" "&amp;Milestones!$AC$21&amp;";  ","")&amp;IF(AND(EDATE($D59,Milestones!$AA$22)&lt;=AsOfDate,IF($R59=0,$X59,IF(AND($T59&lt;&gt;"",EDATE($D59,Milestones!$AA$22)&gt;=$T59),$W59,IF(AND($S59&lt;&gt;"",EDATE($D59,Milestones!$AA$22)&gt;=$S59),$V59,$U59)))=Milestones!$AB$22),UPPER(TEXT(EDATE($D59,Milestones!$AA$22),"dd mmm yy"))&amp;" "&amp;Milestones!$AB$22&amp;" "&amp;Milestones!$AC$22&amp;";  ","")&amp;IF(AND(EDATE($D59,Milestones!$AA$23)&lt;=AsOfDate,IF($R59=0,$X59,IF(AND($T59&lt;&gt;"",EDATE($D59,Milestones!$AA$23)&gt;=$T59),$W59,IF(AND($S59&lt;&gt;"",EDATE($D59,Milestones!$AA$23)&gt;=$S59),$V59,$U59)))=Milestones!$AB$23),UPPER(TEXT(EDATE($D59,Milestones!$AA$23),"dd mmm yy"))&amp;" "&amp;Milestones!$AB$23&amp;" "&amp;Milestones!$AC$23&amp;";  ","")&amp;IF(AND(EDATE($D59,Milestones!$AA$24)&lt;=AsOfDate,IF($R59=0,$X59,IF(AND($T59&lt;&gt;"",EDATE($D59,Milestones!$AA$24)&gt;=$T59),$W59,IF(AND($S59&lt;&gt;"",EDATE($D59,Milestones!$AA$24)&gt;=$S59),$V59,$U59)))=Milestones!$AB$24),UPPER(TEXT(EDATE($D59,Milestones!$AA$24),"dd mmm yy"))&amp;" "&amp;Milestones!$AB$24&amp;" "&amp;Milestones!$AC$24&amp;";  ","")&amp;IF(AND(EDATE($D59,Milestones!$AA$25)&lt;=AsOfDate,IF($R59=0,$X59,IF(AND($T59&lt;&gt;"",EDATE($D59,Milestones!$AA$25)&gt;=$T59),$W59,IF(AND($S59&lt;&gt;"",EDATE($D59,Milestones!$AA$25)&gt;=$S59),$V59,$U59)))=Milestones!$AB$25),UPPER(TEXT(EDATE($D59,Milestones!$AA$25),"dd mmm yy"))&amp;" "&amp;Milestones!$AB$25&amp;" "&amp;Milestones!$AC$25&amp;";  ","")&amp;IF(AND(EDATE($D59,Milestones!$AA$26)&lt;=AsOfDate,IF($R59=0,$X59,IF(AND($T59&lt;&gt;"",EDATE($D59,Milestones!$AA$26)&gt;=$T59),$W59,IF(AND($S59&lt;&gt;"",EDATE($D59,Milestones!$AA$26)&gt;=$S59),$V59,$U59)))=Milestones!$AB$26),UPPER(TEXT(EDATE($D59,Milestones!$AA$26),"dd mmm yy"))&amp;" "&amp;Milestones!$AB$26&amp;" "&amp;Milestones!$AC$26&amp;";  ","")&amp;IF(AND(EDATE($D59,Milestones!$AA$27)&lt;=AsOfDate,IF($R59=0,$X59,IF(AND($T59&lt;&gt;"",EDATE($D59,Milestones!$AA$27)&gt;=$T59),$W59,IF(AND($S59&lt;&gt;"",EDATE($D59,Milestones!$AA$27)&gt;=$S59),$V59,$U59)))=Milestones!$AB$27),UPPER(TEXT(EDATE($D59,Milestones!$AA$27),"dd mmm yy"))&amp;" "&amp;Milestones!$AB$27&amp;" "&amp;Milestones!$AC$27&amp;";  ","")&amp;IF(AND(EDATE($D59,Milestones!$AA$28)&lt;=AsOfDate,IF($R59=0,$X59,IF(AND($T59&lt;&gt;"",EDATE($D59,Milestones!$AA$28)&gt;=$T59),$W59,IF(AND($S59&lt;&gt;"",EDATE($D59,Milestones!$AA$28)&gt;=$S59),$V59,$U59)))=Milestones!$AB$28),UPPER(TEXT(EDATE($D59,Milestones!$AA$28),"dd mmm yy"))&amp;" "&amp;Milestones!$AB$28&amp;" "&amp;Milestones!$AC$28&amp;";  ","")&amp;IF(AND(EDATE($D59,Milestones!$AA$29)&lt;=AsOfDate,IF($R59=0,$X59,IF(AND($T59&lt;&gt;"",EDATE($D59,Milestones!$AA$29)&gt;=$T59),$W59,IF(AND($S59&lt;&gt;"",EDATE($D59,Milestones!$AA$29)&gt;=$S59),$V59,$U59)))=Milestones!$AB$29),UPPER(TEXT(EDATE($D59,Milestones!$AA$29),"dd mmm yy"))&amp;" "&amp;Milestones!$AB$29&amp;" "&amp;Milestones!$AC$29&amp;";  ","")&amp;IF(AND(EDATE($D59,Milestones!$AA$30)&lt;=AsOfDate,IF($R59=0,$X59,IF(AND($T59&lt;&gt;"",EDATE($D59,Milestones!$AA$30)&gt;=$T59),$W59,IF(AND($S59&lt;&gt;"",EDATE($D59,Milestones!$AA$30)&gt;=$S59),$V59,$U59)))=Milestones!$AB$30),UPPER(TEXT(EDATE($D59,Milestones!$AA$30),"dd mmm yy"))&amp;" "&amp;Milestones!$AB$30&amp;" "&amp;Milestones!$AC$30&amp;";  ","")&amp;IF(AND(EDATE($D59,Milestones!$AA$31)&lt;=AsOfDate,IF($R59=0,$X59,IF(AND($T59&lt;&gt;"",EDATE($D59,Milestones!$AA$31)&gt;=$T59),$W59,IF(AND($S59&lt;&gt;"",EDATE($D59,Milestones!$AA$31)&gt;=$S59),$V59,$U59)))=Milestones!$AB$31),UPPER(TEXT(EDATE($D59,Milestones!$AA$31),"dd mmm yy"))&amp;" "&amp;Milestones!$AB$31&amp;" "&amp;Milestones!$AC$31&amp;";  ","")&amp;IF(AND(EDATE($D59,Milestones!$AA$32)&lt;=AsOfDate,IF($R59=0,$X59,IF(AND($T59&lt;&gt;"",EDATE($D59,Milestones!$AA$32)&gt;=$T59),$W59,IF(AND($S59&lt;&gt;"",EDATE($D59,Milestones!$AA$32)&gt;=$S59),$V59,$U59)))=Milestones!$AB$32),UPPER(TEXT(EDATE($D59,Milestones!$AA$32),"dd mmm yy"))&amp;" "&amp;Milestones!$AB$32&amp;" "&amp;Milestones!$AC$32&amp;";  ","")&amp;IF(AND(EDATE($D59,Milestones!$AA$33)&lt;=AsOfDate,IF($R59=0,$X59,IF(AND($T59&lt;&gt;"",EDATE($D59,Milestones!$AA$33)&gt;=$T59),$W59,IF(AND($S59&lt;&gt;"",EDATE($D59,Milestones!$AA$33)&gt;=$S59),$V59,$U59)))=Milestones!$AB$33),UPPER(TEXT(EDATE($D59,Milestones!$AA$33),"dd mmm yy"))&amp;" "&amp;Milestones!$AB$33&amp;" "&amp;Milestones!$AC$33&amp;";  ","")&amp;IF(AND(EDATE($D59,Milestones!$AA$34)&lt;=AsOfDate,IF($R59=0,$X59,IF(AND($T59&lt;&gt;"",EDATE($D59,Milestones!$AA$34)&gt;=$T59),$W59,IF(AND($S59&lt;&gt;"",EDATE($D59,Milestones!$AA$34)&gt;=$S59),$V59,$U59)))=Milestones!$AB$34),UPPER(TEXT(EDATE($D59,Milestones!$AA$34),"dd mmm yy"))&amp;" "&amp;Milestones!$AB$34&amp;" "&amp;Milestones!$AC$34&amp;";  ","")&amp;IF(AND(EDATE($D59,Milestones!$AA$35)&lt;=AsOfDate,IF($R59=0,$X59,IF(AND($T59&lt;&gt;"",EDATE($D59,Milestones!$AA$35)&gt;=$T59),$W59,IF(AND($S59&lt;&gt;"",EDATE($D59,Milestones!$AA$35)&gt;=$S59),$V59,$U59)))=Milestones!$AB$35),UPPER(TEXT(EDATE($D59,Milestones!$AA$35),"dd mmm yy"))&amp;" "&amp;Milestones!$AB$35&amp;" "&amp;Milestones!$AC$35&amp;";  ","")&amp;IF(AND(EDATE($D59,Milestones!$AA$36)&lt;=AsOfDate,IF($R59=0,$X59,IF(AND($T59&lt;&gt;"",EDATE($D59,Milestones!$AA$36)&gt;=$T59),$W59,IF(AND($S59&lt;&gt;"",EDATE($D59,Milestones!$AA$36)&gt;=$S59),$V59,$U59)))=Milestones!$AB$36),UPPER(TEXT(EDATE($D59,Milestones!$AA$36),"dd mmm yy"))&amp;" "&amp;Milestones!$AB$36&amp;" "&amp;Milestones!$AC$36&amp;";  ","")&amp;IF(AND(EDATE($D59,Milestones!$AA$37)&lt;=AsOfDate,IF($R59=0,$X59,IF(AND($T59&lt;&gt;"",EDATE($D59,Milestones!$AA$37)&gt;=$T59),$W59,IF(AND($S59&lt;&gt;"",EDATE($D59,Milestones!$AA$37)&gt;=$S59),$V59,$U59)))=Milestones!$AB$37),UPPER(TEXT(EDATE($D59,Milestones!$AA$37),"dd mmm yy"))&amp;" "&amp;Milestones!$AB$37&amp;" "&amp;Milestones!$AC$37&amp;";  ","")&amp;IF(AND(EDATE($D59,Milestones!$AA$38)&lt;=AsOfDate,IF($R59=0,$X59,IF(AND($T59&lt;&gt;"",EDATE($D59,Milestones!$AA$38)&gt;=$T59),$W59,IF(AND($S59&lt;&gt;"",EDATE($D59,Milestones!$AA$38)&gt;=$S59),$V59,$U59)))=Milestones!$AB$38),UPPER(TEXT(EDATE($D59,Milestones!$AA$38),"dd mmm yy"))&amp;" "&amp;Milestones!$AB$38&amp;" "&amp;Milestones!$AC$38&amp;";  ","")&amp;IF(AND(EDATE($D59,Milestones!$AA$39)&lt;=AsOfDate,IF($R59=0,$X59,IF(AND($T59&lt;&gt;"",EDATE($D59,Milestones!$AA$39)&gt;=$T59),$W59,IF(AND($S59&lt;&gt;"",EDATE($D59,Milestones!$AA$39)&gt;=$S59),$V59,$U59)))=Milestones!$AB$39),UPPER(TEXT(EDATE($D59,Milestones!$AA$39),"dd mmm yy"))&amp;" "&amp;Milestones!$AB$39&amp;" "&amp;Milestones!$AC$39&amp;";  ",""))</f>
        <v>02 MAY 14 FT 1;  02 SEP 14 FT 1;  02 JAN 15 FT 1;  02 MAY 15 FT 1;  02 SEP 15 FT 1;  02 JAN 16 FT 1;  02 MAY 16 FT 2;  02 AUG 16 FT 1;  02 NOV 16 FT 1;  02 FEB 17 FT 1;  02 MAY 17 FT 2;  02 AUG 17 FT 1;  02 NOV 17 FT 1;  02 FEB 18 FT 1;  </v>
      </c>
      <c r="J59" s="0" t="str">
        <f aca="false">IF(OR($A59="",$D59=""),"",IF(AND(EDATE($D59,Milestones!$AA$40)&lt;=AsOfDate,IF($R59=0,$X59,IF(AND($T59&lt;&gt;"",EDATE($D59,Milestones!$AA$40)&gt;=$T59),$W59,IF(AND($S59&lt;&gt;"",EDATE($D59,Milestones!$AA$40)&gt;=$S59),$V59,$U59)))=Milestones!$AB$40),UPPER(TEXT(EDATE($D59,Milestones!$AA$40),"dd mmm yy"))&amp;" "&amp;Milestones!$AB$40&amp;" "&amp;Milestones!$AC$40&amp;";  ","")&amp;IF(AND(EDATE($D59,Milestones!$AA$41)&lt;=AsOfDate,IF($R59=0,$X59,IF(AND($T59&lt;&gt;"",EDATE($D59,Milestones!$AA$41)&gt;=$T59),$W59,IF(AND($S59&lt;&gt;"",EDATE($D59,Milestones!$AA$41)&gt;=$S59),$V59,$U59)))=Milestones!$AB$41),UPPER(TEXT(EDATE($D59,Milestones!$AA$41),"dd mmm yy"))&amp;" "&amp;Milestones!$AB$41&amp;" "&amp;Milestones!$AC$41&amp;";  ","")&amp;IF(AND(EDATE($D59,Milestones!$AA$42)&lt;=AsOfDate,IF($R59=0,$X59,IF(AND($T59&lt;&gt;"",EDATE($D59,Milestones!$AA$42)&gt;=$T59),$W59,IF(AND($S59&lt;&gt;"",EDATE($D59,Milestones!$AA$42)&gt;=$S59),$V59,$U59)))=Milestones!$AB$42),UPPER(TEXT(EDATE($D59,Milestones!$AA$42),"dd mmm yy"))&amp;" "&amp;Milestones!$AB$42&amp;" "&amp;Milestones!$AC$42&amp;";  ","")&amp;IF(AND(EDATE($D59,Milestones!$AA$43)&lt;=AsOfDate,IF($R59=0,$X59,IF(AND($T59&lt;&gt;"",EDATE($D59,Milestones!$AA$43)&gt;=$T59),$W59,IF(AND($S59&lt;&gt;"",EDATE($D59,Milestones!$AA$43)&gt;=$S59),$V59,$U59)))=Milestones!$AB$43),UPPER(TEXT(EDATE($D59,Milestones!$AA$43),"dd mmm yy"))&amp;" "&amp;Milestones!$AB$43&amp;" "&amp;Milestones!$AC$43&amp;";  ","")&amp;IF(AND(EDATE($D59,Milestones!$AA$44)&lt;=AsOfDate,IF($R59=0,$X59,IF(AND($T59&lt;&gt;"",EDATE($D59,Milestones!$AA$44)&gt;=$T59),$W59,IF(AND($S59&lt;&gt;"",EDATE($D59,Milestones!$AA$44)&gt;=$S59),$V59,$U59)))=Milestones!$AB$44),UPPER(TEXT(EDATE($D59,Milestones!$AA$44),"dd mmm yy"))&amp;" "&amp;Milestones!$AB$44&amp;" "&amp;Milestones!$AC$44&amp;";  ","")&amp;IF(AND(EDATE($D59,Milestones!$AA$45)&lt;=AsOfDate,IF($R59=0,$X59,IF(AND($T59&lt;&gt;"",EDATE($D59,Milestones!$AA$45)&gt;=$T59),$W59,IF(AND($S59&lt;&gt;"",EDATE($D59,Milestones!$AA$45)&gt;=$S59),$V59,$U59)))=Milestones!$AB$45),UPPER(TEXT(EDATE($D59,Milestones!$AA$45),"dd mmm yy"))&amp;" "&amp;Milestones!$AB$45&amp;" "&amp;Milestones!$AC$45&amp;";  ","")&amp;IF(AND(EDATE($D59,Milestones!$AA$46)&lt;=AsOfDate,IF($R59=0,$X59,IF(AND($T59&lt;&gt;"",EDATE($D59,Milestones!$AA$46)&gt;=$T59),$W59,IF(AND($S59&lt;&gt;"",EDATE($D59,Milestones!$AA$46)&gt;=$S59),$V59,$U59)))=Milestones!$AB$46),UPPER(TEXT(EDATE($D59,Milestones!$AA$46),"dd mmm yy"))&amp;" "&amp;Milestones!$AB$46&amp;" "&amp;Milestones!$AC$46&amp;";  ","")&amp;IF(AND(EDATE($D59,Milestones!$AA$47)&lt;=AsOfDate,IF($R59=0,$X59,IF(AND($T59&lt;&gt;"",EDATE($D59,Milestones!$AA$47)&gt;=$T59),$W59,IF(AND($S59&lt;&gt;"",EDATE($D59,Milestones!$AA$47)&gt;=$S59),$V59,$U59)))=Milestones!$AB$47),UPPER(TEXT(EDATE($D59,Milestones!$AA$47),"dd mmm yy"))&amp;" "&amp;Milestones!$AB$47&amp;" "&amp;Milestones!$AC$47&amp;";  ","")&amp;IF(AND(EDATE($D59,Milestones!$AA$48)&lt;=AsOfDate,IF($R59=0,$X59,IF(AND($T59&lt;&gt;"",EDATE($D59,Milestones!$AA$48)&gt;=$T59),$W59,IF(AND($S59&lt;&gt;"",EDATE($D59,Milestones!$AA$48)&gt;=$S59),$V59,$U59)))=Milestones!$AB$48),UPPER(TEXT(EDATE($D59,Milestones!$AA$48),"dd mmm yy"))&amp;" "&amp;Milestones!$AB$48&amp;" "&amp;Milestones!$AC$48&amp;";  ","")&amp;IF(AND(EDATE($D59,Milestones!$AA$49)&lt;=AsOfDate,IF($R59=0,$X59,IF(AND($T59&lt;&gt;"",EDATE($D59,Milestones!$AA$49)&gt;=$T59),$W59,IF(AND($S59&lt;&gt;"",EDATE($D59,Milestones!$AA$49)&gt;=$S59),$V59,$U59)))=Milestones!$AB$49),UPPER(TEXT(EDATE($D59,Milestones!$AA$49),"dd mmm yy"))&amp;" "&amp;Milestones!$AB$49&amp;" "&amp;Milestones!$AC$49&amp;";  ","")&amp;IF(AND(EDATE($D59,Milestones!$AA$50)&lt;=AsOfDate,IF($R59=0,$X59,IF(AND($T59&lt;&gt;"",EDATE($D59,Milestones!$AA$50)&gt;=$T59),$W59,IF(AND($S59&lt;&gt;"",EDATE($D59,Milestones!$AA$50)&gt;=$S59),$V59,$U59)))=Milestones!$AB$50),UPPER(TEXT(EDATE($D59,Milestones!$AA$50),"dd mmm yy"))&amp;" "&amp;Milestones!$AB$50&amp;" "&amp;Milestones!$AC$50&amp;";  ","")&amp;IF(AND(EDATE($D59,Milestones!$AA$51)&lt;=AsOfDate,IF($R59=0,$X59,IF(AND($T59&lt;&gt;"",EDATE($D59,Milestones!$AA$51)&gt;=$T59),$W59,IF(AND($S59&lt;&gt;"",EDATE($D59,Milestones!$AA$51)&gt;=$S59),$V59,$U59)))=Milestones!$AB$51),UPPER(TEXT(EDATE($D59,Milestones!$AA$51),"dd mmm yy"))&amp;" "&amp;Milestones!$AB$51&amp;" "&amp;Milestones!$AC$51&amp;";  ","")&amp;IF(AND(EDATE($D59,Milestones!$AA$52)&lt;=AsOfDate,IF($R59=0,$X59,IF(AND($T59&lt;&gt;"",EDATE($D59,Milestones!$AA$52)&gt;=$T59),$W59,IF(AND($S59&lt;&gt;"",EDATE($D59,Milestones!$AA$52)&gt;=$S59),$V59,$U59)))=Milestones!$AB$52),UPPER(TEXT(EDATE($D59,Milestones!$AA$52),"dd mmm yy"))&amp;" "&amp;Milestones!$AB$52&amp;" "&amp;Milestones!$AC$52&amp;";  ","")&amp;IF(AND(EDATE($D59,Milestones!$AA$53)&lt;=AsOfDate,IF($R59=0,$X59,IF(AND($T59&lt;&gt;"",EDATE($D59,Milestones!$AA$53)&gt;=$T59),$W59,IF(AND($S59&lt;&gt;"",EDATE($D59,Milestones!$AA$53)&gt;=$S59),$V59,$U59)))=Milestones!$AB$53),UPPER(TEXT(EDATE($D59,Milestones!$AA$53),"dd mmm yy"))&amp;" "&amp;Milestones!$AB$53&amp;" "&amp;Milestones!$AC$53&amp;";  ","")&amp;IF(AND(EDATE($D59,Milestones!$AA$54)&lt;=AsOfDate,IF($R59=0,$X59,IF(AND($T59&lt;&gt;"",EDATE($D59,Milestones!$AA$54)&gt;=$T59),$W59,IF(AND($S59&lt;&gt;"",EDATE($D59,Milestones!$AA$54)&gt;=$S59),$V59,$U59)))=Milestones!$AB$54),UPPER(TEXT(EDATE($D59,Milestones!$AA$54),"dd mmm yy"))&amp;" "&amp;Milestones!$AB$54&amp;" "&amp;Milestones!$AC$54&amp;";  ","")&amp;IF(AND(EDATE($D59,Milestones!$AA$55)&lt;=AsOfDate,IF($R59=0,$X59,IF(AND($T59&lt;&gt;"",EDATE($D59,Milestones!$AA$55)&gt;=$T59),$W59,IF(AND($S59&lt;&gt;"",EDATE($D59,Milestones!$AA$55)&gt;=$S59),$V59,$U59)))=Milestones!$AB$55),UPPER(TEXT(EDATE($D59,Milestones!$AA$55),"dd mmm yy"))&amp;" "&amp;Milestones!$AB$55&amp;" "&amp;Milestones!$AC$55&amp;";  ","")&amp;IF(AND(EDATE($D59,Milestones!$AA$56)&lt;=AsOfDate,IF($R59=0,$X59,IF(AND($T59&lt;&gt;"",EDATE($D59,Milestones!$AA$56)&gt;=$T59),$W59,IF(AND($S59&lt;&gt;"",EDATE($D59,Milestones!$AA$56)&gt;=$S59),$V59,$U59)))=Milestones!$AB$56),UPPER(TEXT(EDATE($D59,Milestones!$AA$56),"dd mmm yy"))&amp;" "&amp;Milestones!$AB$56&amp;" "&amp;Milestones!$AC$56&amp;";  ","")&amp;IF(AND(EDATE($D59,Milestones!$AA$57)&lt;=AsOfDate,IF($R59=0,$X59,IF(AND($T59&lt;&gt;"",EDATE($D59,Milestones!$AA$57)&gt;=$T59),$W59,IF(AND($S59&lt;&gt;"",EDATE($D59,Milestones!$AA$57)&gt;=$S59),$V59,$U59)))=Milestones!$AB$57),UPPER(TEXT(EDATE($D59,Milestones!$AA$57),"dd mmm yy"))&amp;" "&amp;Milestones!$AB$57&amp;" "&amp;Milestones!$AC$57&amp;";  ","")&amp;IF(AND(EDATE($D59,Milestones!$AA$58)&lt;=AsOfDate,IF($R59=0,$X59,IF(AND($T59&lt;&gt;"",EDATE($D59,Milestones!$AA$58)&gt;=$T59),$W59,IF(AND($S59&lt;&gt;"",EDATE($D59,Milestones!$AA$58)&gt;=$S59),$V59,$U59)))=Milestones!$AB$58),UPPER(TEXT(EDATE($D59,Milestones!$AA$58),"dd mmm yy"))&amp;" "&amp;Milestones!$AB$58&amp;" "&amp;Milestones!$AC$58&amp;";  ","")&amp;IF(AND(EDATE($D59,Milestones!$AA$59)&lt;=AsOfDate,IF($R59=0,$X59,IF(AND($T59&lt;&gt;"",EDATE($D59,Milestones!$AA$59)&gt;=$T59),$W59,IF(AND($S59&lt;&gt;"",EDATE($D59,Milestones!$AA$59)&gt;=$S59),$V59,$U59)))=Milestones!$AB$59),UPPER(TEXT(EDATE($D59,Milestones!$AA$59),"dd mmm yy"))&amp;" "&amp;Milestones!$AB$59&amp;" "&amp;Milestones!$AC$59&amp;";  ",""))</f>
        <v>02 MAY 18 FT 2;  02 AUG 18 FT 1;  02 NOV 18 FT 1;  02 FEB 19 FT 1;  02 MAY 19 FT 2;  02 AUG 19 FT 1;  02 NOV 19 FT 1;  02 FEB 20 FT 1;  02 MAY 20 FT 2;  02 AUG 20 FT 1;  02 NOV 20 FT 1;  </v>
      </c>
      <c r="K59" s="0" t="str">
        <f aca="false">IF(OR($A59="",$D59=""),"",IF(AND(EDATE($D59,Milestones!$AA$60)&lt;=AsOfDate,IF($R59=0,$X59,IF(AND($T59&lt;&gt;"",EDATE($D59,Milestones!$AA$60)&gt;=$T59),$W59,IF(AND($S59&lt;&gt;"",EDATE($D59,Milestones!$AA$60)&gt;=$S59),$V59,$U59)))=Milestones!$AB$60),UPPER(TEXT(EDATE($D59,Milestones!$AA$60),"dd mmm yy"))&amp;" "&amp;Milestones!$AB$60&amp;" "&amp;Milestones!$AC$60&amp;";  ","")&amp;IF(AND(EDATE($D59,Milestones!$AA$61)&lt;=AsOfDate,IF($R59=0,$X59,IF(AND($T59&lt;&gt;"",EDATE($D59,Milestones!$AA$61)&gt;=$T59),$W59,IF(AND($S59&lt;&gt;"",EDATE($D59,Milestones!$AA$61)&gt;=$S59),$V59,$U59)))=Milestones!$AB$61),UPPER(TEXT(EDATE($D59,Milestones!$AA$61),"dd mmm yy"))&amp;" "&amp;Milestones!$AB$61&amp;" "&amp;Milestones!$AC$61&amp;";  ","")&amp;IF(AND(EDATE($D59,Milestones!$AA$62)&lt;=AsOfDate,IF($R59=0,$X59,IF(AND($T59&lt;&gt;"",EDATE($D59,Milestones!$AA$62)&gt;=$T59),$W59,IF(AND($S59&lt;&gt;"",EDATE($D59,Milestones!$AA$62)&gt;=$S59),$V59,$U59)))=Milestones!$AB$62),UPPER(TEXT(EDATE($D59,Milestones!$AA$62),"dd mmm yy"))&amp;" "&amp;Milestones!$AB$62&amp;" "&amp;Milestones!$AC$62&amp;";  ","")&amp;IF(AND(EDATE($D59,Milestones!$AA$63)&lt;=AsOfDate,IF($R59=0,$X59,IF(AND($T59&lt;&gt;"",EDATE($D59,Milestones!$AA$63)&gt;=$T59),$W59,IF(AND($S59&lt;&gt;"",EDATE($D59,Milestones!$AA$63)&gt;=$S59),$V59,$U59)))=Milestones!$AB$63),UPPER(TEXT(EDATE($D59,Milestones!$AA$63),"dd mmm yy"))&amp;" "&amp;Milestones!$AB$63&amp;" "&amp;Milestones!$AC$63&amp;";  ","")&amp;IF(AND(EDATE($D59,Milestones!$AA$64)&lt;=AsOfDate,IF($R59=0,$X59,IF(AND($T59&lt;&gt;"",EDATE($D59,Milestones!$AA$64)&gt;=$T59),$W59,IF(AND($S59&lt;&gt;"",EDATE($D59,Milestones!$AA$64)&gt;=$S59),$V59,$U59)))=Milestones!$AB$64),UPPER(TEXT(EDATE($D59,Milestones!$AA$64),"dd mmm yy"))&amp;" "&amp;Milestones!$AB$64&amp;" "&amp;Milestones!$AC$64&amp;";  ","")&amp;IF(AND(EDATE($D59,Milestones!$AA$65)&lt;=AsOfDate,IF($R59=0,$X59,IF(AND($T59&lt;&gt;"",EDATE($D59,Milestones!$AA$65)&gt;=$T59),$W59,IF(AND($S59&lt;&gt;"",EDATE($D59,Milestones!$AA$65)&gt;=$S59),$V59,$U59)))=Milestones!$AB$65),UPPER(TEXT(EDATE($D59,Milestones!$AA$65),"dd mmm yy"))&amp;" "&amp;Milestones!$AB$65&amp;" "&amp;Milestones!$AC$65&amp;";  ","")&amp;IF(AND(EDATE($D59,Milestones!$AA$66)&lt;=AsOfDate,IF($R59=0,$X59,IF(AND($T59&lt;&gt;"",EDATE($D59,Milestones!$AA$66)&gt;=$T59),$W59,IF(AND($S59&lt;&gt;"",EDATE($D59,Milestones!$AA$66)&gt;=$S59),$V59,$U59)))=Milestones!$AB$66),UPPER(TEXT(EDATE($D59,Milestones!$AA$66),"dd mmm yy"))&amp;" "&amp;Milestones!$AB$66&amp;" "&amp;Milestones!$AC$66&amp;";  ","")&amp;IF(AND(EDATE($D59,Milestones!$AA$67)&lt;=AsOfDate,IF($R59=0,$X59,IF(AND($T59&lt;&gt;"",EDATE($D59,Milestones!$AA$67)&gt;=$T59),$W59,IF(AND($S59&lt;&gt;"",EDATE($D59,Milestones!$AA$67)&gt;=$S59),$V59,$U59)))=Milestones!$AB$67),UPPER(TEXT(EDATE($D59,Milestones!$AA$67),"dd mmm yy"))&amp;" "&amp;Milestones!$AB$67&amp;" "&amp;Milestones!$AC$67&amp;";  ","")&amp;IF(AND(EDATE($D59,Milestones!$AA$68)&lt;=AsOfDate,IF($R59=0,$X59,IF(AND($T59&lt;&gt;"",EDATE($D59,Milestones!$AA$68)&gt;=$T59),$W59,IF(AND($S59&lt;&gt;"",EDATE($D59,Milestones!$AA$68)&gt;=$S59),$V59,$U59)))=Milestones!$AB$68),UPPER(TEXT(EDATE($D59,Milestones!$AA$68),"dd mmm yy"))&amp;" "&amp;Milestones!$AB$68&amp;" "&amp;Milestones!$AC$68&amp;";  ","")&amp;IF(AND(EDATE($D59,Milestones!$AA$69)&lt;=AsOfDate,IF($R59=0,$X59,IF(AND($T59&lt;&gt;"",EDATE($D59,Milestones!$AA$69)&gt;=$T59),$W59,IF(AND($S59&lt;&gt;"",EDATE($D59,Milestones!$AA$69)&gt;=$S59),$V59,$U59)))=Milestones!$AB$69),UPPER(TEXT(EDATE($D59,Milestones!$AA$69),"dd mmm yy"))&amp;" "&amp;Milestones!$AB$69&amp;" "&amp;Milestones!$AC$69&amp;";  ","")&amp;IF(AND(EDATE($D59,Milestones!$AA$70)&lt;=AsOfDate,IF($R59=0,$X59,IF(AND($T59&lt;&gt;"",EDATE($D59,Milestones!$AA$70)&gt;=$T59),$W59,IF(AND($S59&lt;&gt;"",EDATE($D59,Milestones!$AA$70)&gt;=$S59),$V59,$U59)))=Milestones!$AB$70),UPPER(TEXT(EDATE($D59,Milestones!$AA$70),"dd mmm yy"))&amp;" "&amp;Milestones!$AB$70&amp;" "&amp;Milestones!$AC$70&amp;";  ","")&amp;IF(AND(EDATE($D59,Milestones!$AA$71)&lt;=AsOfDate,IF($R59=0,$X59,IF(AND($T59&lt;&gt;"",EDATE($D59,Milestones!$AA$71)&gt;=$T59),$W59,IF(AND($S59&lt;&gt;"",EDATE($D59,Milestones!$AA$71)&gt;=$S59),$V59,$U59)))=Milestones!$AB$71),UPPER(TEXT(EDATE($D59,Milestones!$AA$71),"dd mmm yy"))&amp;" "&amp;Milestones!$AB$71&amp;" "&amp;Milestones!$AC$71&amp;";  ","")&amp;IF(AND(EDATE($D59,Milestones!$AA$72)&lt;=AsOfDate,IF($R59=0,$X59,IF(AND($T59&lt;&gt;"",EDATE($D59,Milestones!$AA$72)&gt;=$T59),$W59,IF(AND($S59&lt;&gt;"",EDATE($D59,Milestones!$AA$72)&gt;=$S59),$V59,$U59)))=Milestones!$AB$72),UPPER(TEXT(EDATE($D59,Milestones!$AA$72),"dd mmm yy"))&amp;" "&amp;Milestones!$AB$72&amp;" "&amp;Milestones!$AC$72&amp;";  ","")&amp;IF(AND(EDATE($D59,Milestones!$AA$73)&lt;=AsOfDate,IF($R59=0,$X59,IF(AND($T59&lt;&gt;"",EDATE($D59,Milestones!$AA$73)&gt;=$T59),$W59,IF(AND($S59&lt;&gt;"",EDATE($D59,Milestones!$AA$73)&gt;=$S59),$V59,$U59)))=Milestones!$AB$73),UPPER(TEXT(EDATE($D59,Milestones!$AA$73),"dd mmm yy"))&amp;" "&amp;Milestones!$AB$73&amp;" "&amp;Milestones!$AC$73&amp;";  ","")&amp;IF(AND(EDATE($D59,Milestones!$AA$74)&lt;=AsOfDate,IF($R59=0,$X59,IF(AND($T59&lt;&gt;"",EDATE($D59,Milestones!$AA$74)&gt;=$T59),$W59,IF(AND($S59&lt;&gt;"",EDATE($D59,Milestones!$AA$74)&gt;=$S59),$V59,$U59)))=Milestones!$AB$74),UPPER(TEXT(EDATE($D59,Milestones!$AA$74),"dd mmm yy"))&amp;" "&amp;Milestones!$AB$74&amp;" "&amp;Milestones!$AC$74&amp;";  ","")&amp;IF(AND(EDATE($D59,Milestones!$AA$75)&lt;=AsOfDate,IF($R59=0,$X59,IF(AND($T59&lt;&gt;"",EDATE($D59,Milestones!$AA$75)&gt;=$T59),$W59,IF(AND($S59&lt;&gt;"",EDATE($D59,Milestones!$AA$75)&gt;=$S59),$V59,$U59)))=Milestones!$AB$75),UPPER(TEXT(EDATE($D59,Milestones!$AA$75),"dd mmm yy"))&amp;" "&amp;Milestones!$AB$75&amp;" "&amp;Milestones!$AC$75&amp;";  ","")&amp;IF(AND(EDATE($D59,Milestones!$AA$76)&lt;=AsOfDate,IF($R59=0,$X59,IF(AND($T59&lt;&gt;"",EDATE($D59,Milestones!$AA$76)&gt;=$T59),$W59,IF(AND($S59&lt;&gt;"",EDATE($D59,Milestones!$AA$76)&gt;=$S59),$V59,$U59)))=Milestones!$AB$76),UPPER(TEXT(EDATE($D59,Milestones!$AA$76),"dd mmm yy"))&amp;" "&amp;Milestones!$AB$76&amp;" "&amp;Milestones!$AC$76&amp;";  ","")&amp;IF(AND(EDATE($D59,Milestones!$AA$77)&lt;=AsOfDate,IF($R59=0,$X59,IF(AND($T59&lt;&gt;"",EDATE($D59,Milestones!$AA$77)&gt;=$T59),$W59,IF(AND($S59&lt;&gt;"",EDATE($D59,Milestones!$AA$77)&gt;=$S59),$V59,$U59)))=Milestones!$AB$77),UPPER(TEXT(EDATE($D59,Milestones!$AA$77),"dd mmm yy"))&amp;" "&amp;Milestones!$AB$77&amp;" "&amp;Milestones!$AC$77&amp;";  ","")&amp;IF(AND(EDATE($D59,Milestones!$AA$78)&lt;=AsOfDate,IF($R59=0,$X59,IF(AND($T59&lt;&gt;"",EDATE($D59,Milestones!$AA$78)&gt;=$T59),$W59,IF(AND($S59&lt;&gt;"",EDATE($D59,Milestones!$AA$78)&gt;=$S59),$V59,$U59)))=Milestones!$AB$78),UPPER(TEXT(EDATE($D59,Milestones!$AA$78),"dd mmm yy"))&amp;" "&amp;Milestones!$AB$78&amp;" "&amp;Milestones!$AC$78&amp;";  ","")&amp;IF(AND(EDATE($D59,Milestones!$AA$79)&lt;=AsOfDate,IF($R59=0,$X59,IF(AND($T59&lt;&gt;"",EDATE($D59,Milestones!$AA$79)&gt;=$T59),$W59,IF(AND($S59&lt;&gt;"",EDATE($D59,Milestones!$AA$79)&gt;=$S59),$V59,$U59)))=Milestones!$AB$79),UPPER(TEXT(EDATE($D59,Milestones!$AA$79),"dd mmm yy"))&amp;" "&amp;Milestones!$AB$79&amp;" "&amp;Milestones!$AC$79&amp;";  ",""))</f>
        <v>02 FEB 21 FT 1;  02 MAY 21 FT 2;  02 AUG 21 FT 1;  02 NOV 21 FT 1;  02 FEB 22 FT 1;  02 MAY 22 FT 2;  02 AUG 22 FT 1;  02 NOV 22 FT 1;  02 FEB 23 FT 1;  </v>
      </c>
      <c r="L59" s="0" t="str">
        <f aca="false">IF(OR($A59="",$D59=""),"",IF(AND(EDATE($D59,Milestones!$AA$80)&lt;=AsOfDate,IF($R59=0,$X59,IF(AND($T59&lt;&gt;"",EDATE($D59,Milestones!$AA$80)&gt;=$T59),$W59,IF(AND($S59&lt;&gt;"",EDATE($D59,Milestones!$AA$80)&gt;=$S59),$V59,$U59)))=Milestones!$AB$80),UPPER(TEXT(EDATE($D59,Milestones!$AA$80),"dd mmm yy"))&amp;" "&amp;Milestones!$AB$80&amp;" "&amp;Milestones!$AC$80&amp;";  ","")&amp;IF(AND(EDATE($D59,Milestones!$AA$81)&lt;=AsOfDate,IF($R59=0,$X59,IF(AND($T59&lt;&gt;"",EDATE($D59,Milestones!$AA$81)&gt;=$T59),$W59,IF(AND($S59&lt;&gt;"",EDATE($D59,Milestones!$AA$81)&gt;=$S59),$V59,$U59)))=Milestones!$AB$81),UPPER(TEXT(EDATE($D59,Milestones!$AA$81),"dd mmm yy"))&amp;" "&amp;Milestones!$AB$81&amp;" "&amp;Milestones!$AC$81&amp;";  ","")&amp;IF(AND(EDATE($D59,Milestones!$AA$82)&lt;=AsOfDate,IF($R59=0,$X59,IF(AND($T59&lt;&gt;"",EDATE($D59,Milestones!$AA$82)&gt;=$T59),$W59,IF(AND($S59&lt;&gt;"",EDATE($D59,Milestones!$AA$82)&gt;=$S59),$V59,$U59)))=Milestones!$AB$82),UPPER(TEXT(EDATE($D59,Milestones!$AA$82),"dd mmm yy"))&amp;" "&amp;Milestones!$AB$82&amp;" "&amp;Milestones!$AC$82&amp;";  ","")&amp;IF(AND(EDATE($D59,Milestones!$AA$83)&lt;=AsOfDate,IF($R59=0,$X59,IF(AND($T59&lt;&gt;"",EDATE($D59,Milestones!$AA$83)&gt;=$T59),$W59,IF(AND($S59&lt;&gt;"",EDATE($D59,Milestones!$AA$83)&gt;=$S59),$V59,$U59)))=Milestones!$AB$83),UPPER(TEXT(EDATE($D59,Milestones!$AA$83),"dd mmm yy"))&amp;" "&amp;Milestones!$AB$83&amp;" "&amp;Milestones!$AC$83&amp;";  ","")&amp;IF(AND(EDATE($D59,Milestones!$AA$84)&lt;=AsOfDate,IF($R59=0,$X59,IF(AND($T59&lt;&gt;"",EDATE($D59,Milestones!$AA$84)&gt;=$T59),$W59,IF(AND($S59&lt;&gt;"",EDATE($D59,Milestones!$AA$84)&gt;=$S59),$V59,$U59)))=Milestones!$AB$84),UPPER(TEXT(EDATE($D59,Milestones!$AA$84),"dd mmm yy"))&amp;" "&amp;Milestones!$AB$84&amp;" "&amp;Milestones!$AC$84&amp;";  ","")&amp;IF(AND(EDATE($D59,Milestones!$AA$85)&lt;=AsOfDate,IF($R59=0,$X59,IF(AND($T59&lt;&gt;"",EDATE($D59,Milestones!$AA$85)&gt;=$T59),$W59,IF(AND($S59&lt;&gt;"",EDATE($D59,Milestones!$AA$85)&gt;=$S59),$V59,$U59)))=Milestones!$AB$85),UPPER(TEXT(EDATE($D59,Milestones!$AA$85),"dd mmm yy"))&amp;" "&amp;Milestones!$AB$85&amp;" "&amp;Milestones!$AC$85&amp;";  ","")&amp;IF(AND(EDATE($D59,Milestones!$AA$86)&lt;=AsOfDate,IF($R59=0,$X59,IF(AND($T59&lt;&gt;"",EDATE($D59,Milestones!$AA$86)&gt;=$T59),$W59,IF(AND($S59&lt;&gt;"",EDATE($D59,Milestones!$AA$86)&gt;=$S59),$V59,$U59)))=Milestones!$AB$86),UPPER(TEXT(EDATE($D59,Milestones!$AA$86),"dd mmm yy"))&amp;" "&amp;Milestones!$AB$86&amp;" "&amp;Milestones!$AC$86&amp;";  ","")&amp;IF(AND(EDATE($D59,Milestones!$AA$87)&lt;=AsOfDate,IF($R59=0,$X59,IF(AND($T59&lt;&gt;"",EDATE($D59,Milestones!$AA$87)&gt;=$T59),$W59,IF(AND($S59&lt;&gt;"",EDATE($D59,Milestones!$AA$87)&gt;=$S59),$V59,$U59)))=Milestones!$AB$87),UPPER(TEXT(EDATE($D59,Milestones!$AA$87),"dd mmm yy"))&amp;" "&amp;Milestones!$AB$87&amp;" "&amp;Milestones!$AC$87&amp;";  ","")&amp;IF(AND(EDATE($D59,Milestones!$AA$88)&lt;=AsOfDate,IF($R59=0,$X59,IF(AND($T59&lt;&gt;"",EDATE($D59,Milestones!$AA$88)&gt;=$T59),$W59,IF(AND($S59&lt;&gt;"",EDATE($D59,Milestones!$AA$88)&gt;=$S59),$V59,$U59)))=Milestones!$AB$88),UPPER(TEXT(EDATE($D59,Milestones!$AA$88),"dd mmm yy"))&amp;" "&amp;Milestones!$AB$88&amp;" "&amp;Milestones!$AC$88&amp;";  ","")&amp;IF(AND(EDATE($D59,Milestones!$AA$89)&lt;=AsOfDate,IF($R59=0,$X59,IF(AND($T59&lt;&gt;"",EDATE($D59,Milestones!$AA$89)&gt;=$T59),$W59,IF(AND($S59&lt;&gt;"",EDATE($D59,Milestones!$AA$89)&gt;=$S59),$V59,$U59)))=Milestones!$AB$89),UPPER(TEXT(EDATE($D59,Milestones!$AA$89),"dd mmm yy"))&amp;" "&amp;Milestones!$AB$89&amp;" "&amp;Milestones!$AC$89&amp;";  ","")&amp;IF(AND(EDATE($D59,Milestones!$AA$90)&lt;=AsOfDate,IF($R59=0,$X59,IF(AND($T59&lt;&gt;"",EDATE($D59,Milestones!$AA$90)&gt;=$T59),$W59,IF(AND($S59&lt;&gt;"",EDATE($D59,Milestones!$AA$90)&gt;=$S59),$V59,$U59)))=Milestones!$AB$90),UPPER(TEXT(EDATE($D59,Milestones!$AA$90),"dd mmm yy"))&amp;" "&amp;Milestones!$AB$90&amp;" "&amp;Milestones!$AC$90&amp;";  ","")&amp;IF(AND(EDATE($D59,Milestones!$AA$91)&lt;=AsOfDate,IF($R59=0,$X59,IF(AND($T59&lt;&gt;"",EDATE($D59,Milestones!$AA$91)&gt;=$T59),$W59,IF(AND($S59&lt;&gt;"",EDATE($D59,Milestones!$AA$91)&gt;=$S59),$V59,$U59)))=Milestones!$AB$91),UPPER(TEXT(EDATE($D59,Milestones!$AA$91),"dd mmm yy"))&amp;" "&amp;Milestones!$AB$91&amp;" "&amp;Milestones!$AC$91&amp;";  ","")&amp;IF(AND(EDATE($D59,Milestones!$AA$92)&lt;=AsOfDate,IF($R59=0,$X59,IF(AND($T59&lt;&gt;"",EDATE($D59,Milestones!$AA$92)&gt;=$T59),$W59,IF(AND($S59&lt;&gt;"",EDATE($D59,Milestones!$AA$92)&gt;=$S59),$V59,$U59)))=Milestones!$AB$92),UPPER(TEXT(EDATE($D59,Milestones!$AA$92),"dd mmm yy"))&amp;" "&amp;Milestones!$AB$92&amp;" "&amp;Milestones!$AC$92&amp;";  ","")&amp;IF(AND(EDATE($D59,Milestones!$AA$93)&lt;=AsOfDate,IF($R59=0,$X59,IF(AND($T59&lt;&gt;"",EDATE($D59,Milestones!$AA$93)&gt;=$T59),$W59,IF(AND($S59&lt;&gt;"",EDATE($D59,Milestones!$AA$93)&gt;=$S59),$V59,$U59)))=Milestones!$AB$93),UPPER(TEXT(EDATE($D59,Milestones!$AA$93),"dd mmm yy"))&amp;" "&amp;Milestones!$AB$93&amp;" "&amp;Milestones!$AC$93&amp;";  ","")&amp;IF(AND(EDATE($D59,Milestones!$AA$94)&lt;=AsOfDate,IF($R59=0,$X59,IF(AND($T59&lt;&gt;"",EDATE($D59,Milestones!$AA$94)&gt;=$T59),$W59,IF(AND($S59&lt;&gt;"",EDATE($D59,Milestones!$AA$94)&gt;=$S59),$V59,$U59)))=Milestones!$AB$94),UPPER(TEXT(EDATE($D59,Milestones!$AA$94),"dd mmm yy"))&amp;" "&amp;Milestones!$AB$94&amp;" "&amp;Milestones!$AC$94&amp;";  ","")&amp;IF(AND(EDATE($D59,Milestones!$AA$95)&lt;=AsOfDate,IF($R59=0,$X59,IF(AND($T59&lt;&gt;"",EDATE($D59,Milestones!$AA$95)&gt;=$T59),$W59,IF(AND($S59&lt;&gt;"",EDATE($D59,Milestones!$AA$95)&gt;=$S59),$V59,$U59)))=Milestones!$AB$95),UPPER(TEXT(EDATE($D59,Milestones!$AA$95),"dd mmm yy"))&amp;" "&amp;Milestones!$AB$95&amp;" "&amp;Milestones!$AC$95&amp;";  ","")&amp;IF(AND(EDATE($D59,Milestones!$AA$96)&lt;=AsOfDate,IF($R59=0,$X59,IF(AND($T59&lt;&gt;"",EDATE($D59,Milestones!$AA$96)&gt;=$T59),$W59,IF(AND($S59&lt;&gt;"",EDATE($D59,Milestones!$AA$96)&gt;=$S59),$V59,$U59)))=Milestones!$AB$96),UPPER(TEXT(EDATE($D59,Milestones!$AA$96),"dd mmm yy"))&amp;" "&amp;Milestones!$AB$96&amp;" "&amp;Milestones!$AC$96&amp;";  ","")&amp;IF(AND(EDATE($D59,Milestones!$AA$97)&lt;=AsOfDate,IF($R59=0,$X59,IF(AND($T59&lt;&gt;"",EDATE($D59,Milestones!$AA$97)&gt;=$T59),$W59,IF(AND($S59&lt;&gt;"",EDATE($D59,Milestones!$AA$97)&gt;=$S59),$V59,$U59)))=Milestones!$AB$97),UPPER(TEXT(EDATE($D59,Milestones!$AA$97),"dd mmm yy"))&amp;" "&amp;Milestones!$AB$97&amp;" "&amp;Milestones!$AC$97&amp;";  ","")&amp;IF(AND(EDATE($D59,Milestones!$AA$98)&lt;=AsOfDate,IF($R59=0,$X59,IF(AND($T59&lt;&gt;"",EDATE($D59,Milestones!$AA$98)&gt;=$T59),$W59,IF(AND($S59&lt;&gt;"",EDATE($D59,Milestones!$AA$98)&gt;=$S59),$V59,$U59)))=Milestones!$AB$98),UPPER(TEXT(EDATE($D59,Milestones!$AA$98),"dd mmm yy"))&amp;" "&amp;Milestones!$AB$98&amp;" "&amp;Milestones!$AC$98&amp;";  ","")&amp;IF(AND(EDATE($D59,Milestones!$AA$99)&lt;=AsOfDate,IF($R59=0,$X59,IF(AND($T59&lt;&gt;"",EDATE($D59,Milestones!$AA$99)&gt;=$T59),$W59,IF(AND($S59&lt;&gt;"",EDATE($D59,Milestones!$AA$99)&gt;=$S59),$V59,$U59)))=Milestones!$AB$99),UPPER(TEXT(EDATE($D59,Milestones!$AA$99),"dd mmm yy"))&amp;" "&amp;Milestones!$AB$99&amp;" "&amp;Milestones!$AC$99&amp;";  ",""))</f>
        <v/>
      </c>
      <c r="M59" s="0" t="str">
        <f aca="false">IF(OR($A59="",$D59=""),"",IF(AND(EDATE($D59,Milestones!$AA$100)&lt;=AsOfDate,IF($R59=0,$X59,IF(AND($T59&lt;&gt;"",EDATE($D59,Milestones!$AA$100)&gt;=$T59),$W59,IF(AND($S59&lt;&gt;"",EDATE($D59,Milestones!$AA$100)&gt;=$S59),$V59,$U59)))=Milestones!$AB$100),UPPER(TEXT(EDATE($D59,Milestones!$AA$100),"dd mmm yy"))&amp;" "&amp;Milestones!$AB$100&amp;" "&amp;Milestones!$AC$100&amp;";  ","")&amp;IF(AND(EDATE($D59,Milestones!$AA$101)&lt;=AsOfDate,IF($R59=0,$X59,IF(AND($T59&lt;&gt;"",EDATE($D59,Milestones!$AA$101)&gt;=$T59),$W59,IF(AND($S59&lt;&gt;"",EDATE($D59,Milestones!$AA$101)&gt;=$S59),$V59,$U59)))=Milestones!$AB$101),UPPER(TEXT(EDATE($D59,Milestones!$AA$101),"dd mmm yy"))&amp;" "&amp;Milestones!$AB$101&amp;" "&amp;Milestones!$AC$101&amp;";  ","")&amp;IF(AND(EDATE($D59,Milestones!$AA$102)&lt;=AsOfDate,IF($R59=0,$X59,IF(AND($T59&lt;&gt;"",EDATE($D59,Milestones!$AA$102)&gt;=$T59),$W59,IF(AND($S59&lt;&gt;"",EDATE($D59,Milestones!$AA$102)&gt;=$S59),$V59,$U59)))=Milestones!$AB$102),UPPER(TEXT(EDATE($D59,Milestones!$AA$102),"dd mmm yy"))&amp;" "&amp;Milestones!$AB$102&amp;" "&amp;Milestones!$AC$102&amp;";  ","")&amp;IF(AND(EDATE($D59,Milestones!$AA$103)&lt;=AsOfDate,IF($R59=0,$X59,IF(AND($T59&lt;&gt;"",EDATE($D59,Milestones!$AA$103)&gt;=$T59),$W59,IF(AND($S59&lt;&gt;"",EDATE($D59,Milestones!$AA$103)&gt;=$S59),$V59,$U59)))=Milestones!$AB$103),UPPER(TEXT(EDATE($D59,Milestones!$AA$103),"dd mmm yy"))&amp;" "&amp;Milestones!$AB$103&amp;" "&amp;Milestones!$AC$103&amp;";  ","")&amp;IF(AND(EDATE($D59,Milestones!$AA$104)&lt;=AsOfDate,IF($R59=0,$X59,IF(AND($T59&lt;&gt;"",EDATE($D59,Milestones!$AA$104)&gt;=$T59),$W59,IF(AND($S59&lt;&gt;"",EDATE($D59,Milestones!$AA$104)&gt;=$S59),$V59,$U59)))=Milestones!$AB$104),UPPER(TEXT(EDATE($D59,Milestones!$AA$104),"dd mmm yy"))&amp;" "&amp;Milestones!$AB$104&amp;" "&amp;Milestones!$AC$104&amp;";  ","")&amp;IF(AND(EDATE($D59,Milestones!$AA$105)&lt;=AsOfDate,IF($R59=0,$X59,IF(AND($T59&lt;&gt;"",EDATE($D59,Milestones!$AA$105)&gt;=$T59),$W59,IF(AND($S59&lt;&gt;"",EDATE($D59,Milestones!$AA$105)&gt;=$S59),$V59,$U59)))=Milestones!$AB$105),UPPER(TEXT(EDATE($D59,Milestones!$AA$105),"dd mmm yy"))&amp;" "&amp;Milestones!$AB$105&amp;" "&amp;Milestones!$AC$105&amp;";  ","")&amp;IF(AND(EDATE($D59,Milestones!$AA$106)&lt;=AsOfDate,IF($R59=0,$X59,IF(AND($T59&lt;&gt;"",EDATE($D59,Milestones!$AA$106)&gt;=$T59),$W59,IF(AND($S59&lt;&gt;"",EDATE($D59,Milestones!$AA$106)&gt;=$S59),$V59,$U59)))=Milestones!$AB$106),UPPER(TEXT(EDATE($D59,Milestones!$AA$106),"dd mmm yy"))&amp;" "&amp;Milestones!$AB$106&amp;" "&amp;Milestones!$AC$106&amp;";  ","")&amp;IF(AND(EDATE($D59,Milestones!$AA$107)&lt;=AsOfDate,IF($R59=0,$X59,IF(AND($T59&lt;&gt;"",EDATE($D59,Milestones!$AA$107)&gt;=$T59),$W59,IF(AND($S59&lt;&gt;"",EDATE($D59,Milestones!$AA$107)&gt;=$S59),$V59,$U59)))=Milestones!$AB$107),UPPER(TEXT(EDATE($D59,Milestones!$AA$107),"dd mmm yy"))&amp;" "&amp;Milestones!$AB$107&amp;" "&amp;Milestones!$AC$107&amp;";  ","")&amp;IF(AND(EDATE($D59,Milestones!$AA$108)&lt;=AsOfDate,IF($R59=0,$X59,IF(AND($T59&lt;&gt;"",EDATE($D59,Milestones!$AA$108)&gt;=$T59),$W59,IF(AND($S59&lt;&gt;"",EDATE($D59,Milestones!$AA$108)&gt;=$S59),$V59,$U59)))=Milestones!$AB$108),UPPER(TEXT(EDATE($D59,Milestones!$AA$108),"dd mmm yy"))&amp;" "&amp;Milestones!$AB$108&amp;" "&amp;Milestones!$AC$108&amp;";  ","")&amp;IF(AND(EDATE($D59,Milestones!$AA$109)&lt;=AsOfDate,IF($R59=0,$X59,IF(AND($T59&lt;&gt;"",EDATE($D59,Milestones!$AA$109)&gt;=$T59),$W59,IF(AND($S59&lt;&gt;"",EDATE($D59,Milestones!$AA$109)&gt;=$S59),$V59,$U59)))=Milestones!$AB$109),UPPER(TEXT(EDATE($D59,Milestones!$AA$109),"dd mmm yy"))&amp;" "&amp;Milestones!$AB$109&amp;" "&amp;Milestones!$AC$109&amp;";  ","")&amp;IF(AND(EDATE($D59,Milestones!$AA$110)&lt;=AsOfDate,IF($R59=0,$X59,IF(AND($T59&lt;&gt;"",EDATE($D59,Milestones!$AA$110)&gt;=$T59),$W59,IF(AND($S59&lt;&gt;"",EDATE($D59,Milestones!$AA$110)&gt;=$S59),$V59,$U59)))=Milestones!$AB$110),UPPER(TEXT(EDATE($D59,Milestones!$AA$110),"dd mmm yy"))&amp;" "&amp;Milestones!$AB$110&amp;" "&amp;Milestones!$AC$110&amp;";  ","")&amp;IF(AND(EDATE($D59,Milestones!$AA$111)&lt;=AsOfDate,IF($R59=0,$X59,IF(AND($T59&lt;&gt;"",EDATE($D59,Milestones!$AA$111)&gt;=$T59),$W59,IF(AND($S59&lt;&gt;"",EDATE($D59,Milestones!$AA$111)&gt;=$S59),$V59,$U59)))=Milestones!$AB$111),UPPER(TEXT(EDATE($D59,Milestones!$AA$111),"dd mmm yy"))&amp;" "&amp;Milestones!$AB$111&amp;" "&amp;Milestones!$AC$111&amp;";  ","")&amp;IF(AND(EDATE($D59,Milestones!$AA$112)&lt;=AsOfDate,IF($R59=0,$X59,IF(AND($T59&lt;&gt;"",EDATE($D59,Milestones!$AA$112)&gt;=$T59),$W59,IF(AND($S59&lt;&gt;"",EDATE($D59,Milestones!$AA$112)&gt;=$S59),$V59,$U59)))=Milestones!$AB$112),UPPER(TEXT(EDATE($D59,Milestones!$AA$112),"dd mmm yy"))&amp;" "&amp;Milestones!$AB$112&amp;" "&amp;Milestones!$AC$112&amp;";  ","")&amp;IF(AND(EDATE($D59,Milestones!$AA$113)&lt;=AsOfDate,IF($R59=0,$X59,IF(AND($T59&lt;&gt;"",EDATE($D59,Milestones!$AA$113)&gt;=$T59),$W59,IF(AND($S59&lt;&gt;"",EDATE($D59,Milestones!$AA$113)&gt;=$S59),$V59,$U59)))=Milestones!$AB$113),UPPER(TEXT(EDATE($D59,Milestones!$AA$113),"dd mmm yy"))&amp;" "&amp;Milestones!$AB$113&amp;" "&amp;Milestones!$AC$113&amp;";  ","")&amp;IF(AND(EDATE($D59,Milestones!$AA$114)&lt;=AsOfDate,IF($R59=0,$X59,IF(AND($T59&lt;&gt;"",EDATE($D59,Milestones!$AA$114)&gt;=$T59),$W59,IF(AND($S59&lt;&gt;"",EDATE($D59,Milestones!$AA$114)&gt;=$S59),$V59,$U59)))=Milestones!$AB$114),UPPER(TEXT(EDATE($D59,Milestones!$AA$114),"dd mmm yy"))&amp;" "&amp;Milestones!$AB$114&amp;" "&amp;Milestones!$AC$114&amp;";  ","")&amp;IF(AND(EDATE($D59,Milestones!$AA$115)&lt;=AsOfDate,IF($R59=0,$X59,IF(AND($T59&lt;&gt;"",EDATE($D59,Milestones!$AA$115)&gt;=$T59),$W59,IF(AND($S59&lt;&gt;"",EDATE($D59,Milestones!$AA$115)&gt;=$S59),$V59,$U59)))=Milestones!$AB$115),UPPER(TEXT(EDATE($D59,Milestones!$AA$115),"dd mmm yy"))&amp;" "&amp;Milestones!$AB$115&amp;" "&amp;Milestones!$AC$115&amp;";  ","")&amp;IF(AND(EDATE($D59,Milestones!$AA$116)&lt;=AsOfDate,IF($R59=0,$X59,IF(AND($T59&lt;&gt;"",EDATE($D59,Milestones!$AA$116)&gt;=$T59),$W59,IF(AND($S59&lt;&gt;"",EDATE($D59,Milestones!$AA$116)&gt;=$S59),$V59,$U59)))=Milestones!$AB$116),UPPER(TEXT(EDATE($D59,Milestones!$AA$116),"dd mmm yy"))&amp;" "&amp;Milestones!$AB$116&amp;" "&amp;Milestones!$AC$116&amp;";  ","")&amp;IF(AND(EDATE($D59,Milestones!$AA$117)&lt;=AsOfDate,IF($R59=0,$X59,IF(AND($T59&lt;&gt;"",EDATE($D59,Milestones!$AA$117)&gt;=$T59),$W59,IF(AND($S59&lt;&gt;"",EDATE($D59,Milestones!$AA$117)&gt;=$S59),$V59,$U59)))=Milestones!$AB$117),UPPER(TEXT(EDATE($D59,Milestones!$AA$117),"dd mmm yy"))&amp;" "&amp;Milestones!$AB$117&amp;" "&amp;Milestones!$AC$117&amp;";  ","")&amp;IF(AND(EDATE($D59,Milestones!$AA$118)&lt;=AsOfDate,IF($R59=0,$X59,IF(AND($T59&lt;&gt;"",EDATE($D59,Milestones!$AA$118)&gt;=$T59),$W59,IF(AND($S59&lt;&gt;"",EDATE($D59,Milestones!$AA$118)&gt;=$S59),$V59,$U59)))=Milestones!$AB$118),UPPER(TEXT(EDATE($D59,Milestones!$AA$118),"dd mmm yy"))&amp;" "&amp;Milestones!$AB$118&amp;" "&amp;Milestones!$AC$118&amp;";  ","")&amp;IF(AND(EDATE($D59,Milestones!$AA$119)&lt;=AsOfDate,IF($R59=0,$X59,IF(AND($T59&lt;&gt;"",EDATE($D59,Milestones!$AA$119)&gt;=$T59),$W59,IF(AND($S59&lt;&gt;"",EDATE($D59,Milestones!$AA$119)&gt;=$S59),$V59,$U59)))=Milestones!$AB$119),UPPER(TEXT(EDATE($D59,Milestones!$AA$119),"dd mmm yy"))&amp;" "&amp;Milestones!$AB$119&amp;" "&amp;Milestones!$AC$119&amp;";  ",""))</f>
        <v/>
      </c>
      <c r="N59" s="0" t="str">
        <f aca="false">IF(OR($A59="",$D59=""),"",IF(AND(EDATE($D59,Milestones!$AA$120)&lt;=AsOfDate,IF($R59=0,$X59,IF(AND($T59&lt;&gt;"",EDATE($D59,Milestones!$AA$120)&gt;=$T59),$W59,IF(AND($S59&lt;&gt;"",EDATE($D59,Milestones!$AA$120)&gt;=$S59),$V59,$U59)))=Milestones!$AB$120),UPPER(TEXT(EDATE($D59,Milestones!$AA$120),"dd mmm yy"))&amp;" "&amp;Milestones!$AB$120&amp;" "&amp;Milestones!$AC$120&amp;";  ","")&amp;IF(AND(EDATE($D59,Milestones!$AA$121)&lt;=AsOfDate,IF($R59=0,$X59,IF(AND($T59&lt;&gt;"",EDATE($D59,Milestones!$AA$121)&gt;=$T59),$W59,IF(AND($S59&lt;&gt;"",EDATE($D59,Milestones!$AA$121)&gt;=$S59),$V59,$U59)))=Milestones!$AB$121),UPPER(TEXT(EDATE($D59,Milestones!$AA$121),"dd mmm yy"))&amp;" "&amp;Milestones!$AB$121&amp;" "&amp;Milestones!$AC$121&amp;";  ","")&amp;IF(AND(EDATE($D59,Milestones!$AA$122)&lt;=AsOfDate,IF($R59=0,$X59,IF(AND($T59&lt;&gt;"",EDATE($D59,Milestones!$AA$122)&gt;=$T59),$W59,IF(AND($S59&lt;&gt;"",EDATE($D59,Milestones!$AA$122)&gt;=$S59),$V59,$U59)))=Milestones!$AB$122),UPPER(TEXT(EDATE($D59,Milestones!$AA$122),"dd mmm yy"))&amp;" "&amp;Milestones!$AB$122&amp;" "&amp;Milestones!$AC$122&amp;";  ","")&amp;IF(AND(EDATE($D59,Milestones!$AA$123)&lt;=AsOfDate,IF($R59=0,$X59,IF(AND($T59&lt;&gt;"",EDATE($D59,Milestones!$AA$123)&gt;=$T59),$W59,IF(AND($S59&lt;&gt;"",EDATE($D59,Milestones!$AA$123)&gt;=$S59),$V59,$U59)))=Milestones!$AB$123),UPPER(TEXT(EDATE($D59,Milestones!$AA$123),"dd mmm yy"))&amp;" "&amp;Milestones!$AB$123&amp;" "&amp;Milestones!$AC$123&amp;";  ","")&amp;IF(AND(EDATE($D59,Milestones!$AA$124)&lt;=AsOfDate,IF($R59=0,$X59,IF(AND($T59&lt;&gt;"",EDATE($D59,Milestones!$AA$124)&gt;=$T59),$W59,IF(AND($S59&lt;&gt;"",EDATE($D59,Milestones!$AA$124)&gt;=$S59),$V59,$U59)))=Milestones!$AB$124),UPPER(TEXT(EDATE($D59,Milestones!$AA$124),"dd mmm yy"))&amp;" "&amp;Milestones!$AB$124&amp;" "&amp;Milestones!$AC$124&amp;";  ","")&amp;IF(AND(EDATE($D59,Milestones!$AA$125)&lt;=AsOfDate,IF($R59=0,$X59,IF(AND($T59&lt;&gt;"",EDATE($D59,Milestones!$AA$125)&gt;=$T59),$W59,IF(AND($S59&lt;&gt;"",EDATE($D59,Milestones!$AA$125)&gt;=$S59),$V59,$U59)))=Milestones!$AB$125),UPPER(TEXT(EDATE($D59,Milestones!$AA$125),"dd mmm yy"))&amp;" "&amp;Milestones!$AB$125&amp;" "&amp;Milestones!$AC$125&amp;";  ","")&amp;IF(AND(EDATE($D59,Milestones!$AA$126)&lt;=AsOfDate,IF($R59=0,$X59,IF(AND($T59&lt;&gt;"",EDATE($D59,Milestones!$AA$126)&gt;=$T59),$W59,IF(AND($S59&lt;&gt;"",EDATE($D59,Milestones!$AA$126)&gt;=$S59),$V59,$U59)))=Milestones!$AB$126),UPPER(TEXT(EDATE($D59,Milestones!$AA$126),"dd mmm yy"))&amp;" "&amp;Milestones!$AB$126&amp;" "&amp;Milestones!$AC$126&amp;";  ","")&amp;IF(AND(EDATE($D59,Milestones!$AA$127)&lt;=AsOfDate,IF($R59=0,$X59,IF(AND($T59&lt;&gt;"",EDATE($D59,Milestones!$AA$127)&gt;=$T59),$W59,IF(AND($S59&lt;&gt;"",EDATE($D59,Milestones!$AA$127)&gt;=$S59),$V59,$U59)))=Milestones!$AB$127),UPPER(TEXT(EDATE($D59,Milestones!$AA$127),"dd mmm yy"))&amp;" "&amp;Milestones!$AB$127&amp;" "&amp;Milestones!$AC$127&amp;";  ","")&amp;IF(AND(EDATE($D59,Milestones!$AA$128)&lt;=AsOfDate,IF($R59=0,$X59,IF(AND($T59&lt;&gt;"",EDATE($D59,Milestones!$AA$128)&gt;=$T59),$W59,IF(AND($S59&lt;&gt;"",EDATE($D59,Milestones!$AA$128)&gt;=$S59),$V59,$U59)))=Milestones!$AB$128),UPPER(TEXT(EDATE($D59,Milestones!$AA$128),"dd mmm yy"))&amp;" "&amp;Milestones!$AB$128&amp;" "&amp;Milestones!$AC$128&amp;";  ","")&amp;IF(AND(EDATE($D59,Milestones!$AA$129)&lt;=AsOfDate,IF($R59=0,$X59,IF(AND($T59&lt;&gt;"",EDATE($D59,Milestones!$AA$129)&gt;=$T59),$W59,IF(AND($S59&lt;&gt;"",EDATE($D59,Milestones!$AA$129)&gt;=$S59),$V59,$U59)))=Milestones!$AB$129),UPPER(TEXT(EDATE($D59,Milestones!$AA$129),"dd mmm yy"))&amp;" "&amp;Milestones!$AB$129&amp;" "&amp;Milestones!$AC$129&amp;";  ","")&amp;IF(AND(EDATE($D59,Milestones!$AA$130)&lt;=AsOfDate,IF($R59=0,$X59,IF(AND($T59&lt;&gt;"",EDATE($D59,Milestones!$AA$130)&gt;=$T59),$W59,IF(AND($S59&lt;&gt;"",EDATE($D59,Milestones!$AA$130)&gt;=$S59),$V59,$U59)))=Milestones!$AB$130),UPPER(TEXT(EDATE($D59,Milestones!$AA$130),"dd mmm yy"))&amp;" "&amp;Milestones!$AB$130&amp;" "&amp;Milestones!$AC$130&amp;";  ","")&amp;IF(AND(EDATE($D59,Milestones!$AA$131)&lt;=AsOfDate,IF($R59=0,$X59,IF(AND($T59&lt;&gt;"",EDATE($D59,Milestones!$AA$131)&gt;=$T59),$W59,IF(AND($S59&lt;&gt;"",EDATE($D59,Milestones!$AA$131)&gt;=$S59),$V59,$U59)))=Milestones!$AB$131),UPPER(TEXT(EDATE($D59,Milestones!$AA$131),"dd mmm yy"))&amp;" "&amp;Milestones!$AB$131&amp;" "&amp;Milestones!$AC$131&amp;";  ","")&amp;IF(AND(EDATE($D59,Milestones!$AA$132)&lt;=AsOfDate,IF($R59=0,$X59,IF(AND($T59&lt;&gt;"",EDATE($D59,Milestones!$AA$132)&gt;=$T59),$W59,IF(AND($S59&lt;&gt;"",EDATE($D59,Milestones!$AA$132)&gt;=$S59),$V59,$U59)))=Milestones!$AB$132),UPPER(TEXT(EDATE($D59,Milestones!$AA$132),"dd mmm yy"))&amp;" "&amp;Milestones!$AB$132&amp;" "&amp;Milestones!$AC$132&amp;";  ","")&amp;IF(AND(EDATE($D59,Milestones!$AA$133)&lt;=AsOfDate,IF($R59=0,$X59,IF(AND($T59&lt;&gt;"",EDATE($D59,Milestones!$AA$133)&gt;=$T59),$W59,IF(AND($S59&lt;&gt;"",EDATE($D59,Milestones!$AA$133)&gt;=$S59),$V59,$U59)))=Milestones!$AB$133),UPPER(TEXT(EDATE($D59,Milestones!$AA$133),"dd mmm yy"))&amp;" "&amp;Milestones!$AB$133&amp;" "&amp;Milestones!$AC$133&amp;";  ","")&amp;IF(AND(EDATE($D59,Milestones!$AA$134)&lt;=AsOfDate,IF($R59=0,$X59,IF(AND($T59&lt;&gt;"",EDATE($D59,Milestones!$AA$134)&gt;=$T59),$W59,IF(AND($S59&lt;&gt;"",EDATE($D59,Milestones!$AA$134)&gt;=$S59),$V59,$U59)))=Milestones!$AB$134),UPPER(TEXT(EDATE($D59,Milestones!$AA$134),"dd mmm yy"))&amp;" "&amp;Milestones!$AB$134&amp;" "&amp;Milestones!$AC$134&amp;";  ","")&amp;IF(AND(EDATE($D59,Milestones!$AA$135)&lt;=AsOfDate,IF($R59=0,$X59,IF(AND($T59&lt;&gt;"",EDATE($D59,Milestones!$AA$135)&gt;=$T59),$W59,IF(AND($S59&lt;&gt;"",EDATE($D59,Milestones!$AA$135)&gt;=$S59),$V59,$U59)))=Milestones!$AB$135),UPPER(TEXT(EDATE($D59,Milestones!$AA$135),"dd mmm yy"))&amp;" "&amp;Milestones!$AB$135&amp;" "&amp;Milestones!$AC$135&amp;";  ","")&amp;IF(AND(EDATE($D59,Milestones!$AA$136)&lt;=AsOfDate,IF($R59=0,$X59,IF(AND($T59&lt;&gt;"",EDATE($D59,Milestones!$AA$136)&gt;=$T59),$W59,IF(AND($S59&lt;&gt;"",EDATE($D59,Milestones!$AA$136)&gt;=$S59),$V59,$U59)))=Milestones!$AB$136),UPPER(TEXT(EDATE($D59,Milestones!$AA$136),"dd mmm yy"))&amp;" "&amp;Milestones!$AB$136&amp;" "&amp;Milestones!$AC$136&amp;";  ","")&amp;IF(AND(EDATE($D59,Milestones!$AA$137)&lt;=AsOfDate,IF($R59=0,$X59,IF(AND($T59&lt;&gt;"",EDATE($D59,Milestones!$AA$137)&gt;=$T59),$W59,IF(AND($S59&lt;&gt;"",EDATE($D59,Milestones!$AA$137)&gt;=$S59),$V59,$U59)))=Milestones!$AB$137),UPPER(TEXT(EDATE($D59,Milestones!$AA$137),"dd mmm yy"))&amp;" "&amp;Milestones!$AB$137&amp;" "&amp;Milestones!$AC$137&amp;";  ","")&amp;IF(AND(EDATE($D59,Milestones!$AA$138)&lt;=AsOfDate,IF($R59=0,$X59,IF(AND($T59&lt;&gt;"",EDATE($D59,Milestones!$AA$138)&gt;=$T59),$W59,IF(AND($S59&lt;&gt;"",EDATE($D59,Milestones!$AA$138)&gt;=$S59),$V59,$U59)))=Milestones!$AB$138),UPPER(TEXT(EDATE($D59,Milestones!$AA$138),"dd mmm yy"))&amp;" "&amp;Milestones!$AB$138&amp;" "&amp;Milestones!$AC$138&amp;";  ","")&amp;IF(AND(EDATE($D59,Milestones!$AA$139)&lt;=AsOfDate,IF($R59=0,$X59,IF(AND($T59&lt;&gt;"",EDATE($D59,Milestones!$AA$139)&gt;=$T59),$W59,IF(AND($S59&lt;&gt;"",EDATE($D59,Milestones!$AA$139)&gt;=$S59),$V59,$U59)))=Milestones!$AB$139),UPPER(TEXT(EDATE($D59,Milestones!$AA$139),"dd mmm yy"))&amp;" "&amp;Milestones!$AB$139&amp;" "&amp;Milestones!$AC$139&amp;";  ",""))</f>
        <v/>
      </c>
      <c r="O59" s="0" t="str">
        <f aca="false">IF(OR($A59="",$D59=""),"",IF(AND(EDATE($D59,Milestones!$AA$140)&lt;=AsOfDate,IF($R59=0,$X59,IF(AND($T59&lt;&gt;"",EDATE($D59,Milestones!$AA$140)&gt;=$T59),$W59,IF(AND($S59&lt;&gt;"",EDATE($D59,Milestones!$AA$140)&gt;=$S59),$V59,$U59)))=Milestones!$AB$140),UPPER(TEXT(EDATE($D59,Milestones!$AA$140),"dd mmm yy"))&amp;" "&amp;Milestones!$AB$140&amp;" "&amp;Milestones!$AC$140&amp;";  ","")&amp;IF(AND(EDATE($D59,Milestones!$AA$141)&lt;=AsOfDate,IF($R59=0,$X59,IF(AND($T59&lt;&gt;"",EDATE($D59,Milestones!$AA$141)&gt;=$T59),$W59,IF(AND($S59&lt;&gt;"",EDATE($D59,Milestones!$AA$141)&gt;=$S59),$V59,$U59)))=Milestones!$AB$141),UPPER(TEXT(EDATE($D59,Milestones!$AA$141),"dd mmm yy"))&amp;" "&amp;Milestones!$AB$141&amp;" "&amp;Milestones!$AC$141&amp;";  ","")&amp;IF(AND(EDATE($D59,Milestones!$AA$142)&lt;=AsOfDate,IF($R59=0,$X59,IF(AND($T59&lt;&gt;"",EDATE($D59,Milestones!$AA$142)&gt;=$T59),$W59,IF(AND($S59&lt;&gt;"",EDATE($D59,Milestones!$AA$142)&gt;=$S59),$V59,$U59)))=Milestones!$AB$142),UPPER(TEXT(EDATE($D59,Milestones!$AA$142),"dd mmm yy"))&amp;" "&amp;Milestones!$AB$142&amp;" "&amp;Milestones!$AC$142&amp;";  ","")&amp;IF(AND(EDATE($D59,Milestones!$AA$143)&lt;=AsOfDate,IF($R59=0,$X59,IF(AND($T59&lt;&gt;"",EDATE($D59,Milestones!$AA$143)&gt;=$T59),$W59,IF(AND($S59&lt;&gt;"",EDATE($D59,Milestones!$AA$143)&gt;=$S59),$V59,$U59)))=Milestones!$AB$143),UPPER(TEXT(EDATE($D59,Milestones!$AA$143),"dd mmm yy"))&amp;" "&amp;Milestones!$AB$143&amp;" "&amp;Milestones!$AC$143&amp;";  ","")&amp;IF(AND(EDATE($D59,Milestones!$AA$144)&lt;=AsOfDate,IF($R59=0,$X59,IF(AND($T59&lt;&gt;"",EDATE($D59,Milestones!$AA$144)&gt;=$T59),$W59,IF(AND($S59&lt;&gt;"",EDATE($D59,Milestones!$AA$144)&gt;=$S59),$V59,$U59)))=Milestones!$AB$144),UPPER(TEXT(EDATE($D59,Milestones!$AA$144),"dd mmm yy"))&amp;" "&amp;Milestones!$AB$144&amp;" "&amp;Milestones!$AC$144&amp;";  ","")&amp;IF(AND(EDATE($D59,Milestones!$AA$145)&lt;=AsOfDate,IF($R59=0,$X59,IF(AND($T59&lt;&gt;"",EDATE($D59,Milestones!$AA$145)&gt;=$T59),$W59,IF(AND($S59&lt;&gt;"",EDATE($D59,Milestones!$AA$145)&gt;=$S59),$V59,$U59)))=Milestones!$AB$145),UPPER(TEXT(EDATE($D59,Milestones!$AA$145),"dd mmm yy"))&amp;" "&amp;Milestones!$AB$145&amp;" "&amp;Milestones!$AC$145&amp;";  ","")&amp;IF(AND(EDATE($D59,Milestones!$AA$146)&lt;=AsOfDate,IF($R59=0,$X59,IF(AND($T59&lt;&gt;"",EDATE($D59,Milestones!$AA$146)&gt;=$T59),$W59,IF(AND($S59&lt;&gt;"",EDATE($D59,Milestones!$AA$146)&gt;=$S59),$V59,$U59)))=Milestones!$AB$146),UPPER(TEXT(EDATE($D59,Milestones!$AA$146),"dd mmm yy"))&amp;" "&amp;Milestones!$AB$146&amp;" "&amp;Milestones!$AC$146&amp;";  ","")&amp;IF(AND(EDATE($D59,Milestones!$AA$147)&lt;=AsOfDate,IF($R59=0,$X59,IF(AND($T59&lt;&gt;"",EDATE($D59,Milestones!$AA$147)&gt;=$T59),$W59,IF(AND($S59&lt;&gt;"",EDATE($D59,Milestones!$AA$147)&gt;=$S59),$V59,$U59)))=Milestones!$AB$147),UPPER(TEXT(EDATE($D59,Milestones!$AA$147),"dd mmm yy"))&amp;" "&amp;Milestones!$AB$147&amp;" "&amp;Milestones!$AC$147&amp;";  ","")&amp;IF(AND(EDATE($D59,Milestones!$AA$148)&lt;=AsOfDate,IF($R59=0,$X59,IF(AND($T59&lt;&gt;"",EDATE($D59,Milestones!$AA$148)&gt;=$T59),$W59,IF(AND($S59&lt;&gt;"",EDATE($D59,Milestones!$AA$148)&gt;=$S59),$V59,$U59)))=Milestones!$AB$148),UPPER(TEXT(EDATE($D59,Milestones!$AA$148),"dd mmm yy"))&amp;" "&amp;Milestones!$AB$148&amp;" "&amp;Milestones!$AC$148&amp;";  ","")&amp;IF(AND(EDATE($D59,Milestones!$AA$149)&lt;=AsOfDate,IF($R59=0,$X59,IF(AND($T59&lt;&gt;"",EDATE($D59,Milestones!$AA$149)&gt;=$T59),$W59,IF(AND($S59&lt;&gt;"",EDATE($D59,Milestones!$AA$149)&gt;=$S59),$V59,$U59)))=Milestones!$AB$149),UPPER(TEXT(EDATE($D59,Milestones!$AA$149),"dd mmm yy"))&amp;" "&amp;Milestones!$AB$149&amp;" "&amp;Milestones!$AC$149&amp;";  ","")&amp;IF(AND(EDATE($D59,Milestones!$AA$150)&lt;=AsOfDate,IF($R59=0,$X59,IF(AND($T59&lt;&gt;"",EDATE($D59,Milestones!$AA$150)&gt;=$T59),$W59,IF(AND($S59&lt;&gt;"",EDATE($D59,Milestones!$AA$150)&gt;=$S59),$V59,$U59)))=Milestones!$AB$150),UPPER(TEXT(EDATE($D59,Milestones!$AA$150),"dd mmm yy"))&amp;" "&amp;Milestones!$AB$150&amp;" "&amp;Milestones!$AC$150&amp;";  ","")&amp;IF(AND(EDATE($D59,Milestones!$AA$151)&lt;=AsOfDate,IF($R59=0,$X59,IF(AND($T59&lt;&gt;"",EDATE($D59,Milestones!$AA$151)&gt;=$T59),$W59,IF(AND($S59&lt;&gt;"",EDATE($D59,Milestones!$AA$151)&gt;=$S59),$V59,$U59)))=Milestones!$AB$151),UPPER(TEXT(EDATE($D59,Milestones!$AA$151),"dd mmm yy"))&amp;" "&amp;Milestones!$AB$151&amp;" "&amp;Milestones!$AC$151&amp;";  ","")&amp;IF(AND(EDATE($D59,Milestones!$AA$152)&lt;=AsOfDate,IF($R59=0,$X59,IF(AND($T59&lt;&gt;"",EDATE($D59,Milestones!$AA$152)&gt;=$T59),$W59,IF(AND($S59&lt;&gt;"",EDATE($D59,Milestones!$AA$152)&gt;=$S59),$V59,$U59)))=Milestones!$AB$152),UPPER(TEXT(EDATE($D59,Milestones!$AA$152),"dd mmm yy"))&amp;" "&amp;Milestones!$AB$152&amp;" "&amp;Milestones!$AC$152&amp;";  ","")&amp;IF(AND(EDATE($D59,Milestones!$AA$153)&lt;=AsOfDate,IF($R59=0,$X59,IF(AND($T59&lt;&gt;"",EDATE($D59,Milestones!$AA$153)&gt;=$T59),$W59,IF(AND($S59&lt;&gt;"",EDATE($D59,Milestones!$AA$153)&gt;=$S59),$V59,$U59)))=Milestones!$AB$153),UPPER(TEXT(EDATE($D59,Milestones!$AA$153),"dd mmm yy"))&amp;" "&amp;Milestones!$AB$153&amp;" "&amp;Milestones!$AC$153&amp;";  ","")&amp;IF(AND(EDATE($D59,Milestones!$AA$154)&lt;=AsOfDate,IF($R59=0,$X59,IF(AND($T59&lt;&gt;"",EDATE($D59,Milestones!$AA$154)&gt;=$T59),$W59,IF(AND($S59&lt;&gt;"",EDATE($D59,Milestones!$AA$154)&gt;=$S59),$V59,$U59)))=Milestones!$AB$154),UPPER(TEXT(EDATE($D59,Milestones!$AA$154),"dd mmm yy"))&amp;" "&amp;Milestones!$AB$154&amp;" "&amp;Milestones!$AC$154&amp;";  ","")&amp;IF(AND(EDATE($D59,Milestones!$AA$155)&lt;=AsOfDate,IF($R59=0,$X59,IF(AND($T59&lt;&gt;"",EDATE($D59,Milestones!$AA$155)&gt;=$T59),$W59,IF(AND($S59&lt;&gt;"",EDATE($D59,Milestones!$AA$155)&gt;=$S59),$V59,$U59)))=Milestones!$AB$155),UPPER(TEXT(EDATE($D59,Milestones!$AA$155),"dd mmm yy"))&amp;" "&amp;Milestones!$AB$155&amp;" "&amp;Milestones!$AC$155&amp;";  ","")&amp;IF(AND(EDATE($D59,Milestones!$AA$156)&lt;=AsOfDate,IF($R59=0,$X59,IF(AND($T59&lt;&gt;"",EDATE($D59,Milestones!$AA$156)&gt;=$T59),$W59,IF(AND($S59&lt;&gt;"",EDATE($D59,Milestones!$AA$156)&gt;=$S59),$V59,$U59)))=Milestones!$AB$156),UPPER(TEXT(EDATE($D59,Milestones!$AA$156),"dd mmm yy"))&amp;" "&amp;Milestones!$AB$156&amp;" "&amp;Milestones!$AC$156&amp;";  ","")&amp;IF(AND(EDATE($D59,Milestones!$AA$157)&lt;=AsOfDate,IF($R59=0,$X59,IF(AND($T59&lt;&gt;"",EDATE($D59,Milestones!$AA$157)&gt;=$T59),$W59,IF(AND($S59&lt;&gt;"",EDATE($D59,Milestones!$AA$157)&gt;=$S59),$V59,$U59)))=Milestones!$AB$157),UPPER(TEXT(EDATE($D59,Milestones!$AA$157),"dd mmm yy"))&amp;" "&amp;Milestones!$AB$157&amp;" "&amp;Milestones!$AC$157&amp;";  ","")&amp;IF(AND(EDATE($D59,Milestones!$AA$158)&lt;=AsOfDate,IF($R59=0,$X59,IF(AND($T59&lt;&gt;"",EDATE($D59,Milestones!$AA$158)&gt;=$T59),$W59,IF(AND($S59&lt;&gt;"",EDATE($D59,Milestones!$AA$158)&gt;=$S59),$V59,$U59)))=Milestones!$AB$158),UPPER(TEXT(EDATE($D59,Milestones!$AA$158),"dd mmm yy"))&amp;" "&amp;Milestones!$AB$158&amp;" "&amp;Milestones!$AC$158&amp;";  ","")&amp;IF(AND(EDATE($D59,Milestones!$AA$159)&lt;=AsOfDate,IF($R59=0,$X59,IF(AND($T59&lt;&gt;"",EDATE($D59,Milestones!$AA$159)&gt;=$T59),$W59,IF(AND($S59&lt;&gt;"",EDATE($D59,Milestones!$AA$159)&gt;=$S59),$V59,$U59)))=Milestones!$AB$159),UPPER(TEXT(EDATE($D59,Milestones!$AA$159),"dd mmm yy"))&amp;" "&amp;Milestones!$AB$159&amp;" "&amp;Milestones!$AC$159&amp;";  ",""))</f>
        <v/>
      </c>
      <c r="P59" s="0" t="str">
        <f aca="false">IF(OR($A59="",$D59=""),"",IF(AND(EDATE($D59,Milestones!$AA$160)&lt;=AsOfDate,IF($R59=0,$X59,IF(AND($T59&lt;&gt;"",EDATE($D59,Milestones!$AA$160)&gt;=$T59),$W59,IF(AND($S59&lt;&gt;"",EDATE($D59,Milestones!$AA$160)&gt;=$S59),$V59,$U59)))=Milestones!$AB$160),UPPER(TEXT(EDATE($D59,Milestones!$AA$160),"dd mmm yy"))&amp;" "&amp;Milestones!$AB$160&amp;" "&amp;Milestones!$AC$160&amp;";  ","")&amp;IF(AND(EDATE($D59,Milestones!$AA$161)&lt;=AsOfDate,IF($R59=0,$X59,IF(AND($T59&lt;&gt;"",EDATE($D59,Milestones!$AA$161)&gt;=$T59),$W59,IF(AND($S59&lt;&gt;"",EDATE($D59,Milestones!$AA$161)&gt;=$S59),$V59,$U59)))=Milestones!$AB$161),UPPER(TEXT(EDATE($D59,Milestones!$AA$161),"dd mmm yy"))&amp;" "&amp;Milestones!$AB$161&amp;" "&amp;Milestones!$AC$161&amp;";  ","")&amp;IF(AND(EDATE($D59,Milestones!$AA$162)&lt;=AsOfDate,IF($R59=0,$X59,IF(AND($T59&lt;&gt;"",EDATE($D59,Milestones!$AA$162)&gt;=$T59),$W59,IF(AND($S59&lt;&gt;"",EDATE($D59,Milestones!$AA$162)&gt;=$S59),$V59,$U59)))=Milestones!$AB$162),UPPER(TEXT(EDATE($D59,Milestones!$AA$162),"dd mmm yy"))&amp;" "&amp;Milestones!$AB$162&amp;" "&amp;Milestones!$AC$162&amp;";  ","")&amp;IF(AND(EDATE($D59,Milestones!$AA$163)&lt;=AsOfDate,IF($R59=0,$X59,IF(AND($T59&lt;&gt;"",EDATE($D59,Milestones!$AA$163)&gt;=$T59),$W59,IF(AND($S59&lt;&gt;"",EDATE($D59,Milestones!$AA$163)&gt;=$S59),$V59,$U59)))=Milestones!$AB$163),UPPER(TEXT(EDATE($D59,Milestones!$AA$163),"dd mmm yy"))&amp;" "&amp;Milestones!$AB$163&amp;" "&amp;Milestones!$AC$163&amp;";  ","")&amp;IF(AND(EDATE($D59,Milestones!$AA$164)&lt;=AsOfDate,IF($R59=0,$X59,IF(AND($T59&lt;&gt;"",EDATE($D59,Milestones!$AA$164)&gt;=$T59),$W59,IF(AND($S59&lt;&gt;"",EDATE($D59,Milestones!$AA$164)&gt;=$S59),$V59,$U59)))=Milestones!$AB$164),UPPER(TEXT(EDATE($D59,Milestones!$AA$164),"dd mmm yy"))&amp;" "&amp;Milestones!$AB$164&amp;" "&amp;Milestones!$AC$164&amp;";  ","")&amp;IF(AND(EDATE($D59,Milestones!$AA$165)&lt;=AsOfDate,IF($R59=0,$X59,IF(AND($T59&lt;&gt;"",EDATE($D59,Milestones!$AA$165)&gt;=$T59),$W59,IF(AND($S59&lt;&gt;"",EDATE($D59,Milestones!$AA$165)&gt;=$S59),$V59,$U59)))=Milestones!$AB$165),UPPER(TEXT(EDATE($D59,Milestones!$AA$165),"dd mmm yy"))&amp;" "&amp;Milestones!$AB$165&amp;" "&amp;Milestones!$AC$165&amp;";  ","")&amp;IF(AND(EDATE($D59,Milestones!$AA$166)&lt;=AsOfDate,IF($R59=0,$X59,IF(AND($T59&lt;&gt;"",EDATE($D59,Milestones!$AA$166)&gt;=$T59),$W59,IF(AND($S59&lt;&gt;"",EDATE($D59,Milestones!$AA$166)&gt;=$S59),$V59,$U59)))=Milestones!$AB$166),UPPER(TEXT(EDATE($D59,Milestones!$AA$166),"dd mmm yy"))&amp;" "&amp;Milestones!$AB$166&amp;" "&amp;Milestones!$AC$166&amp;";  ","")&amp;IF(AND(EDATE($D59,Milestones!$AA$167)&lt;=AsOfDate,IF($R59=0,$X59,IF(AND($T59&lt;&gt;"",EDATE($D59,Milestones!$AA$167)&gt;=$T59),$W59,IF(AND($S59&lt;&gt;"",EDATE($D59,Milestones!$AA$167)&gt;=$S59),$V59,$U59)))=Milestones!$AB$167),UPPER(TEXT(EDATE($D59,Milestones!$AA$167),"dd mmm yy"))&amp;" "&amp;Milestones!$AB$167&amp;" "&amp;Milestones!$AC$167&amp;";  ","")&amp;IF(AND(EDATE($D59,Milestones!$AA$168)&lt;=AsOfDate,IF($R59=0,$X59,IF(AND($T59&lt;&gt;"",EDATE($D59,Milestones!$AA$168)&gt;=$T59),$W59,IF(AND($S59&lt;&gt;"",EDATE($D59,Milestones!$AA$168)&gt;=$S59),$V59,$U59)))=Milestones!$AB$168),UPPER(TEXT(EDATE($D59,Milestones!$AA$168),"dd mmm yy"))&amp;" "&amp;Milestones!$AB$168&amp;" "&amp;Milestones!$AC$168&amp;";  ","")&amp;IF(AND(EDATE($D59,Milestones!$AA$169)&lt;=AsOfDate,IF($R59=0,$X59,IF(AND($T59&lt;&gt;"",EDATE($D59,Milestones!$AA$169)&gt;=$T59),$W59,IF(AND($S59&lt;&gt;"",EDATE($D59,Milestones!$AA$169)&gt;=$S59),$V59,$U59)))=Milestones!$AB$169),UPPER(TEXT(EDATE($D59,Milestones!$AA$169),"dd mmm yy"))&amp;" "&amp;Milestones!$AB$169&amp;" "&amp;Milestones!$AC$169&amp;";  ","")&amp;IF(AND(EDATE($D59,Milestones!$AA$170)&lt;=AsOfDate,IF($R59=0,$X59,IF(AND($T59&lt;&gt;"",EDATE($D59,Milestones!$AA$170)&gt;=$T59),$W59,IF(AND($S59&lt;&gt;"",EDATE($D59,Milestones!$AA$170)&gt;=$S59),$V59,$U59)))=Milestones!$AB$170),UPPER(TEXT(EDATE($D59,Milestones!$AA$170),"dd mmm yy"))&amp;" "&amp;Milestones!$AB$170&amp;" "&amp;Milestones!$AC$170&amp;";  ","")&amp;IF(AND(EDATE($D59,Milestones!$AA$171)&lt;=AsOfDate,IF($R59=0,$X59,IF(AND($T59&lt;&gt;"",EDATE($D59,Milestones!$AA$171)&gt;=$T59),$W59,IF(AND($S59&lt;&gt;"",EDATE($D59,Milestones!$AA$171)&gt;=$S59),$V59,$U59)))=Milestones!$AB$171),UPPER(TEXT(EDATE($D59,Milestones!$AA$171),"dd mmm yy"))&amp;" "&amp;Milestones!$AB$171&amp;" "&amp;Milestones!$AC$171&amp;";  ","")&amp;IF(AND(EDATE($D59,Milestones!$AA$172)&lt;=AsOfDate,IF($R59=0,$X59,IF(AND($T59&lt;&gt;"",EDATE($D59,Milestones!$AA$172)&gt;=$T59),$W59,IF(AND($S59&lt;&gt;"",EDATE($D59,Milestones!$AA$172)&gt;=$S59),$V59,$U59)))=Milestones!$AB$172),UPPER(TEXT(EDATE($D59,Milestones!$AA$172),"dd mmm yy"))&amp;" "&amp;Milestones!$AB$172&amp;" "&amp;Milestones!$AC$172&amp;";  ","")&amp;IF(AND(EDATE($D59,Milestones!$AA$173)&lt;=AsOfDate,IF($R59=0,$X59,IF(AND($T59&lt;&gt;"",EDATE($D59,Milestones!$AA$173)&gt;=$T59),$W59,IF(AND($S59&lt;&gt;"",EDATE($D59,Milestones!$AA$173)&gt;=$S59),$V59,$U59)))=Milestones!$AB$173),UPPER(TEXT(EDATE($D59,Milestones!$AA$173),"dd mmm yy"))&amp;" "&amp;Milestones!$AB$173&amp;" "&amp;Milestones!$AC$173&amp;";  ","")&amp;IF(AND(EDATE($D59,Milestones!$AA$174)&lt;=AsOfDate,IF($R59=0,$X59,IF(AND($T59&lt;&gt;"",EDATE($D59,Milestones!$AA$174)&gt;=$T59),$W59,IF(AND($S59&lt;&gt;"",EDATE($D59,Milestones!$AA$174)&gt;=$S59),$V59,$U59)))=Milestones!$AB$174),UPPER(TEXT(EDATE($D59,Milestones!$AA$174),"dd mmm yy"))&amp;" "&amp;Milestones!$AB$174&amp;" "&amp;Milestones!$AC$174&amp;";  ","")&amp;IF(AND(EDATE($D59,Milestones!$AA$175)&lt;=AsOfDate,IF($R59=0,$X59,IF(AND($T59&lt;&gt;"",EDATE($D59,Milestones!$AA$175)&gt;=$T59),$W59,IF(AND($S59&lt;&gt;"",EDATE($D59,Milestones!$AA$175)&gt;=$S59),$V59,$U59)))=Milestones!$AB$175),UPPER(TEXT(EDATE($D59,Milestones!$AA$175),"dd mmm yy"))&amp;" "&amp;Milestones!$AB$175&amp;" "&amp;Milestones!$AC$175&amp;";  ","")&amp;IF(AND(EDATE($D59,Milestones!$AA$176)&lt;=AsOfDate,IF($R59=0,$X59,IF(AND($T59&lt;&gt;"",EDATE($D59,Milestones!$AA$176)&gt;=$T59),$W59,IF(AND($S59&lt;&gt;"",EDATE($D59,Milestones!$AA$176)&gt;=$S59),$V59,$U59)))=Milestones!$AB$176),UPPER(TEXT(EDATE($D59,Milestones!$AA$176),"dd mmm yy"))&amp;" "&amp;Milestones!$AB$176&amp;" "&amp;Milestones!$AC$176&amp;";  ","")&amp;IF(AND(EDATE($D59,Milestones!$AA$177)&lt;=AsOfDate,IF($R59=0,$X59,IF(AND($T59&lt;&gt;"",EDATE($D59,Milestones!$AA$177)&gt;=$T59),$W59,IF(AND($S59&lt;&gt;"",EDATE($D59,Milestones!$AA$177)&gt;=$S59),$V59,$U59)))=Milestones!$AB$177),UPPER(TEXT(EDATE($D59,Milestones!$AA$177),"dd mmm yy"))&amp;" "&amp;Milestones!$AB$177&amp;" "&amp;Milestones!$AC$177&amp;";  ","")&amp;IF(AND(EDATE($D59,Milestones!$AA$178)&lt;=AsOfDate,IF($R59=0,$X59,IF(AND($T59&lt;&gt;"",EDATE($D59,Milestones!$AA$178)&gt;=$T59),$W59,IF(AND($S59&lt;&gt;"",EDATE($D59,Milestones!$AA$178)&gt;=$S59),$V59,$U59)))=Milestones!$AB$178),UPPER(TEXT(EDATE($D59,Milestones!$AA$178),"dd mmm yy"))&amp;" "&amp;Milestones!$AB$178&amp;" "&amp;Milestones!$AC$178&amp;";  ","")&amp;IF(AND(EDATE($D59,Milestones!$AA$179)&lt;=AsOfDate,IF($R59=0,$X59,IF(AND($T59&lt;&gt;"",EDATE($D59,Milestones!$AA$179)&gt;=$T59),$W59,IF(AND($S59&lt;&gt;"",EDATE($D59,Milestones!$AA$179)&gt;=$S59),$V59,$U59)))=Milestones!$AB$179),UPPER(TEXT(EDATE($D59,Milestones!$AA$179),"dd mmm yy"))&amp;" "&amp;Milestones!$AB$179&amp;" "&amp;Milestones!$AC$179&amp;";  ",""))</f>
        <v/>
      </c>
      <c r="Q59" s="0" t="str">
        <f aca="false">IF(OR($A59="",$D59=""),"",IF(AND(EDATE($D59,Milestones!$AA$180)&lt;=AsOfDate,IF($R59=0,$X59,IF(AND($T59&lt;&gt;"",EDATE($D59,Milestones!$AA$180)&gt;=$T59),$W59,IF(AND($S59&lt;&gt;"",EDATE($D59,Milestones!$AA$180)&gt;=$S59),$V59,$U59)))=Milestones!$AB$180),UPPER(TEXT(EDATE($D59,Milestones!$AA$180),"dd mmm yy"))&amp;" "&amp;Milestones!$AB$180&amp;" "&amp;Milestones!$AC$180&amp;";  ","")&amp;IF(AND(EDATE($D59,Milestones!$AA$181)&lt;=AsOfDate,IF($R59=0,$X59,IF(AND($T59&lt;&gt;"",EDATE($D59,Milestones!$AA$181)&gt;=$T59),$W59,IF(AND($S59&lt;&gt;"",EDATE($D59,Milestones!$AA$181)&gt;=$S59),$V59,$U59)))=Milestones!$AB$181),UPPER(TEXT(EDATE($D59,Milestones!$AA$181),"dd mmm yy"))&amp;" "&amp;Milestones!$AB$181&amp;" "&amp;Milestones!$AC$181&amp;";  ","")&amp;IF(AND(EDATE($D59,Milestones!$AA$182)&lt;=AsOfDate,IF($R59=0,$X59,IF(AND($T59&lt;&gt;"",EDATE($D59,Milestones!$AA$182)&gt;=$T59),$W59,IF(AND($S59&lt;&gt;"",EDATE($D59,Milestones!$AA$182)&gt;=$S59),$V59,$U59)))=Milestones!$AB$182),UPPER(TEXT(EDATE($D59,Milestones!$AA$182),"dd mmm yy"))&amp;" "&amp;Milestones!$AB$182&amp;" "&amp;Milestones!$AC$182&amp;";  ","")&amp;IF(AND(EDATE($D59,Milestones!$AA$183)&lt;=AsOfDate,IF($R59=0,$X59,IF(AND($T59&lt;&gt;"",EDATE($D59,Milestones!$AA$183)&gt;=$T59),$W59,IF(AND($S59&lt;&gt;"",EDATE($D59,Milestones!$AA$183)&gt;=$S59),$V59,$U59)))=Milestones!$AB$183),UPPER(TEXT(EDATE($D59,Milestones!$AA$183),"dd mmm yy"))&amp;" "&amp;Milestones!$AB$183&amp;" "&amp;Milestones!$AC$183&amp;";  ","")&amp;IF(AND(EDATE($D59,Milestones!$AA$184)&lt;=AsOfDate,IF($R59=0,$X59,IF(AND($T59&lt;&gt;"",EDATE($D59,Milestones!$AA$184)&gt;=$T59),$W59,IF(AND($S59&lt;&gt;"",EDATE($D59,Milestones!$AA$184)&gt;=$S59),$V59,$U59)))=Milestones!$AB$184),UPPER(TEXT(EDATE($D59,Milestones!$AA$184),"dd mmm yy"))&amp;" "&amp;Milestones!$AB$184&amp;" "&amp;Milestones!$AC$184&amp;";  ","")&amp;IF(AND(EDATE($D59,Milestones!$AA$185)&lt;=AsOfDate,IF($R59=0,$X59,IF(AND($T59&lt;&gt;"",EDATE($D59,Milestones!$AA$185)&gt;=$T59),$W59,IF(AND($S59&lt;&gt;"",EDATE($D59,Milestones!$AA$185)&gt;=$S59),$V59,$U59)))=Milestones!$AB$185),UPPER(TEXT(EDATE($D59,Milestones!$AA$185),"dd mmm yy"))&amp;" "&amp;Milestones!$AB$185&amp;" "&amp;Milestones!$AC$185&amp;";  ","")&amp;IF(AND(EDATE($D59,Milestones!$AA$186)&lt;=AsOfDate,IF($R59=0,$X59,IF(AND($T59&lt;&gt;"",EDATE($D59,Milestones!$AA$186)&gt;=$T59),$W59,IF(AND($S59&lt;&gt;"",EDATE($D59,Milestones!$AA$186)&gt;=$S59),$V59,$U59)))=Milestones!$AB$186),UPPER(TEXT(EDATE($D59,Milestones!$AA$186),"dd mmm yy"))&amp;" "&amp;Milestones!$AB$186&amp;" "&amp;Milestones!$AC$186&amp;";  ","")&amp;IF(AND(EDATE($D59,Milestones!$AA$187)&lt;=AsOfDate,IF($R59=0,$X59,IF(AND($T59&lt;&gt;"",EDATE($D59,Milestones!$AA$187)&gt;=$T59),$W59,IF(AND($S59&lt;&gt;"",EDATE($D59,Milestones!$AA$187)&gt;=$S59),$V59,$U59)))=Milestones!$AB$187),UPPER(TEXT(EDATE($D59,Milestones!$AA$187),"dd mmm yy"))&amp;" "&amp;Milestones!$AB$187&amp;" "&amp;Milestones!$AC$187&amp;";  ","")&amp;IF(AND(EDATE($D59,Milestones!$AA$188)&lt;=AsOfDate,IF($R59=0,$X59,IF(AND($T59&lt;&gt;"",EDATE($D59,Milestones!$AA$188)&gt;=$T59),$W59,IF(AND($S59&lt;&gt;"",EDATE($D59,Milestones!$AA$188)&gt;=$S59),$V59,$U59)))=Milestones!$AB$188),UPPER(TEXT(EDATE($D59,Milestones!$AA$188),"dd mmm yy"))&amp;" "&amp;Milestones!$AB$188&amp;" "&amp;Milestones!$AC$188&amp;";  ","")&amp;IF(AND(EDATE($D59,Milestones!$AA$189)&lt;=AsOfDate,IF($R59=0,$X59,IF(AND($T59&lt;&gt;"",EDATE($D59,Milestones!$AA$189)&gt;=$T59),$W59,IF(AND($S59&lt;&gt;"",EDATE($D59,Milestones!$AA$189)&gt;=$S59),$V59,$U59)))=Milestones!$AB$189),UPPER(TEXT(EDATE($D59,Milestones!$AA$189),"dd mmm yy"))&amp;" "&amp;Milestones!$AB$189&amp;" "&amp;Milestones!$AC$189&amp;";  ","")&amp;IF(AND(EDATE($D59,Milestones!$AA$190)&lt;=AsOfDate,IF($R59=0,$X59,IF(AND($T59&lt;&gt;"",EDATE($D59,Milestones!$AA$190)&gt;=$T59),$W59,IF(AND($S59&lt;&gt;"",EDATE($D59,Milestones!$AA$190)&gt;=$S59),$V59,$U59)))=Milestones!$AB$190),UPPER(TEXT(EDATE($D59,Milestones!$AA$190),"dd mmm yy"))&amp;" "&amp;Milestones!$AB$190&amp;" "&amp;Milestones!$AC$190&amp;";  ","")&amp;IF(AND(EDATE($D59,Milestones!$AA$191)&lt;=AsOfDate,IF($R59=0,$X59,IF(AND($T59&lt;&gt;"",EDATE($D59,Milestones!$AA$191)&gt;=$T59),$W59,IF(AND($S59&lt;&gt;"",EDATE($D59,Milestones!$AA$191)&gt;=$S59),$V59,$U59)))=Milestones!$AB$191),UPPER(TEXT(EDATE($D59,Milestones!$AA$191),"dd mmm yy"))&amp;" "&amp;Milestones!$AB$191&amp;" "&amp;Milestones!$AC$191&amp;";  ","")&amp;IF(AND(EDATE($D59,Milestones!$AA$192)&lt;=AsOfDate,IF($R59=0,$X59,IF(AND($T59&lt;&gt;"",EDATE($D59,Milestones!$AA$192)&gt;=$T59),$W59,IF(AND($S59&lt;&gt;"",EDATE($D59,Milestones!$AA$192)&gt;=$S59),$V59,$U59)))=Milestones!$AB$192),UPPER(TEXT(EDATE($D59,Milestones!$AA$192),"dd mmm yy"))&amp;" "&amp;Milestones!$AB$192&amp;" "&amp;Milestones!$AC$192&amp;";  ","")&amp;IF(AND(EDATE($D59,Milestones!$AA$193)&lt;=AsOfDate,IF($R59=0,$X59,IF(AND($T59&lt;&gt;"",EDATE($D59,Milestones!$AA$193)&gt;=$T59),$W59,IF(AND($S59&lt;&gt;"",EDATE($D59,Milestones!$AA$193)&gt;=$S59),$V59,$U59)))=Milestones!$AB$193),UPPER(TEXT(EDATE($D59,Milestones!$AA$193),"dd mmm yy"))&amp;" "&amp;Milestones!$AB$193&amp;" "&amp;Milestones!$AC$193&amp;";  ","")&amp;IF(AND(EDATE($D59,Milestones!$AA$194)&lt;=AsOfDate,IF($R59=0,$X59,IF(AND($T59&lt;&gt;"",EDATE($D59,Milestones!$AA$194)&gt;=$T59),$W59,IF(AND($S59&lt;&gt;"",EDATE($D59,Milestones!$AA$194)&gt;=$S59),$V59,$U59)))=Milestones!$AB$194),UPPER(TEXT(EDATE($D59,Milestones!$AA$194),"dd mmm yy"))&amp;" "&amp;Milestones!$AB$194&amp;" "&amp;Milestones!$AC$194&amp;";  ","")&amp;IF(AND(EDATE($D59,Milestones!$AA$195)&lt;=AsOfDate,IF($R59=0,$X59,IF(AND($T59&lt;&gt;"",EDATE($D59,Milestones!$AA$195)&gt;=$T59),$W59,IF(AND($S59&lt;&gt;"",EDATE($D59,Milestones!$AA$195)&gt;=$S59),$V59,$U59)))=Milestones!$AB$195),UPPER(TEXT(EDATE($D59,Milestones!$AA$195),"dd mmm yy"))&amp;" "&amp;Milestones!$AB$195&amp;" "&amp;Milestones!$AC$195&amp;";  ","")&amp;IF(AND(EDATE($D59,Milestones!$AA$196)&lt;=AsOfDate,IF($R59=0,$X59,IF(AND($T59&lt;&gt;"",EDATE($D59,Milestones!$AA$196)&gt;=$T59),$W59,IF(AND($S59&lt;&gt;"",EDATE($D59,Milestones!$AA$196)&gt;=$S59),$V59,$U59)))=Milestones!$AB$196),UPPER(TEXT(EDATE($D59,Milestones!$AA$196),"dd mmm yy"))&amp;" "&amp;Milestones!$AB$196&amp;" "&amp;Milestones!$AC$196&amp;";  ","")&amp;IF(AND(EDATE($D59,Milestones!$AA$197)&lt;=AsOfDate,IF($R59=0,$X59,IF(AND($T59&lt;&gt;"",EDATE($D59,Milestones!$AA$197)&gt;=$T59),$W59,IF(AND($S59&lt;&gt;"",EDATE($D59,Milestones!$AA$197)&gt;=$S59),$V59,$U59)))=Milestones!$AB$197),UPPER(TEXT(EDATE($D59,Milestones!$AA$197),"dd mmm yy"))&amp;" "&amp;Milestones!$AB$197&amp;" "&amp;Milestones!$AC$197&amp;";  ","")&amp;IF(AND(EDATE($D59,Milestones!$AA$198)&lt;=AsOfDate,IF($R59=0,$X59,IF(AND($T59&lt;&gt;"",EDATE($D59,Milestones!$AA$198)&gt;=$T59),$W59,IF(AND($S59&lt;&gt;"",EDATE($D59,Milestones!$AA$198)&gt;=$S59),$V59,$U59)))=Milestones!$AB$198),UPPER(TEXT(EDATE($D59,Milestones!$AA$198),"dd mmm yy"))&amp;" "&amp;Milestones!$AB$198&amp;" "&amp;Milestones!$AC$198&amp;";  ","")&amp;IF(AND(EDATE($D59,Milestones!$AA$199)&lt;=AsOfDate,IF($R59=0,$X59,IF(AND($T59&lt;&gt;"",EDATE($D59,Milestones!$AA$199)&gt;=$T59),$W59,IF(AND($S59&lt;&gt;"",EDATE($D59,Milestones!$AA$199)&gt;=$S59),$V59,$U59)))=Milestones!$AB$199),UPPER(TEXT(EDATE($D59,Milestones!$AA$199),"dd mmm yy"))&amp;" "&amp;Milestones!$AB$199&amp;" "&amp;Milestones!$AC$199&amp;";  ",""))</f>
        <v/>
      </c>
      <c r="R59" s="33" t="n">
        <f aca="false">IF(Staff!$A59="","",Staff!$AI59)</f>
        <v>2</v>
      </c>
      <c r="S59" s="23" t="n">
        <f aca="false">IF(Staff!$A59="","",Staff!$AK59)</f>
        <v>45010</v>
      </c>
      <c r="T59" s="0" t="str">
        <f aca="false">IF(Staff!$A59="","",Staff!$AL59)</f>
        <v/>
      </c>
      <c r="U59" s="0" t="str">
        <f aca="false">IF(Staff!$A59="","",Staff!$AP59)</f>
        <v>FT</v>
      </c>
      <c r="V59" s="0" t="str">
        <f aca="false">IF(Staff!$A59="","",Staff!$AQ59)</f>
        <v>None</v>
      </c>
      <c r="W59" s="0" t="str">
        <f aca="false">IF(Staff!$A59="","",Staff!$AR59)</f>
        <v/>
      </c>
      <c r="X59" s="0" t="str">
        <f aca="false">IF(Staff!$A59="","",Staff!$AS59)</f>
        <v>None</v>
      </c>
    </row>
    <row r="60" customFormat="false" ht="15" hidden="false" customHeight="false" outlineLevel="0" collapsed="false">
      <c r="A60" s="19" t="str">
        <f aca="false">IF(Staff!$A60="","",Staff!$A60)</f>
        <v>Raigardas</v>
      </c>
      <c r="B60" s="19" t="str">
        <f aca="false">IF(Staff!$A60="","",Staff!$B60)</f>
        <v>Breskys</v>
      </c>
      <c r="C60" s="19" t="str">
        <f aca="false">IF(Staff!$A60="","",Staff!$C60)</f>
        <v>Casual</v>
      </c>
      <c r="D60" s="17" t="n">
        <f aca="false">IF(Staff!$A60="","",Staff!$AH60)</f>
        <v>45775</v>
      </c>
      <c r="E60" s="20" t="n">
        <f aca="false">IF(Staff!$A60="","",Staff!$O60)</f>
        <v>0</v>
      </c>
      <c r="F60" s="19" t="n">
        <f aca="false">IF(E60="","",E60*HoursPerDay)</f>
        <v>0</v>
      </c>
      <c r="G60" s="20" t="n">
        <f aca="false">IF(Staff!$A60="","",Staff!$AE60)</f>
        <v>0</v>
      </c>
      <c r="H60" s="32" t="str">
        <f aca="false">IF($A60="","",I60&amp;J60&amp;K60&amp;L60&amp;M60&amp;N60&amp;O60&amp;P60&amp;Q60)</f>
        <v/>
      </c>
      <c r="I60" s="0" t="str">
        <f aca="false">IF(OR($A60="",$D60=""),"",IF(AND(EDATE($D60,Milestones!$AA$20)&lt;=AsOfDate,IF($R60=0,$X60,IF(AND($T60&lt;&gt;"",EDATE($D60,Milestones!$AA$20)&gt;=$T60),$W60,IF(AND($S60&lt;&gt;"",EDATE($D60,Milestones!$AA$20)&gt;=$S60),$V60,$U60)))=Milestones!$AB$20),UPPER(TEXT(EDATE($D60,Milestones!$AA$20),"dd mmm yy"))&amp;" "&amp;Milestones!$AB$20&amp;" "&amp;Milestones!$AC$20&amp;";  ","")&amp;IF(AND(EDATE($D60,Milestones!$AA$21)&lt;=AsOfDate,IF($R60=0,$X60,IF(AND($T60&lt;&gt;"",EDATE($D60,Milestones!$AA$21)&gt;=$T60),$W60,IF(AND($S60&lt;&gt;"",EDATE($D60,Milestones!$AA$21)&gt;=$S60),$V60,$U60)))=Milestones!$AB$21),UPPER(TEXT(EDATE($D60,Milestones!$AA$21),"dd mmm yy"))&amp;" "&amp;Milestones!$AB$21&amp;" "&amp;Milestones!$AC$21&amp;";  ","")&amp;IF(AND(EDATE($D60,Milestones!$AA$22)&lt;=AsOfDate,IF($R60=0,$X60,IF(AND($T60&lt;&gt;"",EDATE($D60,Milestones!$AA$22)&gt;=$T60),$W60,IF(AND($S60&lt;&gt;"",EDATE($D60,Milestones!$AA$22)&gt;=$S60),$V60,$U60)))=Milestones!$AB$22),UPPER(TEXT(EDATE($D60,Milestones!$AA$22),"dd mmm yy"))&amp;" "&amp;Milestones!$AB$22&amp;" "&amp;Milestones!$AC$22&amp;";  ","")&amp;IF(AND(EDATE($D60,Milestones!$AA$23)&lt;=AsOfDate,IF($R60=0,$X60,IF(AND($T60&lt;&gt;"",EDATE($D60,Milestones!$AA$23)&gt;=$T60),$W60,IF(AND($S60&lt;&gt;"",EDATE($D60,Milestones!$AA$23)&gt;=$S60),$V60,$U60)))=Milestones!$AB$23),UPPER(TEXT(EDATE($D60,Milestones!$AA$23),"dd mmm yy"))&amp;" "&amp;Milestones!$AB$23&amp;" "&amp;Milestones!$AC$23&amp;";  ","")&amp;IF(AND(EDATE($D60,Milestones!$AA$24)&lt;=AsOfDate,IF($R60=0,$X60,IF(AND($T60&lt;&gt;"",EDATE($D60,Milestones!$AA$24)&gt;=$T60),$W60,IF(AND($S60&lt;&gt;"",EDATE($D60,Milestones!$AA$24)&gt;=$S60),$V60,$U60)))=Milestones!$AB$24),UPPER(TEXT(EDATE($D60,Milestones!$AA$24),"dd mmm yy"))&amp;" "&amp;Milestones!$AB$24&amp;" "&amp;Milestones!$AC$24&amp;";  ","")&amp;IF(AND(EDATE($D60,Milestones!$AA$25)&lt;=AsOfDate,IF($R60=0,$X60,IF(AND($T60&lt;&gt;"",EDATE($D60,Milestones!$AA$25)&gt;=$T60),$W60,IF(AND($S60&lt;&gt;"",EDATE($D60,Milestones!$AA$25)&gt;=$S60),$V60,$U60)))=Milestones!$AB$25),UPPER(TEXT(EDATE($D60,Milestones!$AA$25),"dd mmm yy"))&amp;" "&amp;Milestones!$AB$25&amp;" "&amp;Milestones!$AC$25&amp;";  ","")&amp;IF(AND(EDATE($D60,Milestones!$AA$26)&lt;=AsOfDate,IF($R60=0,$X60,IF(AND($T60&lt;&gt;"",EDATE($D60,Milestones!$AA$26)&gt;=$T60),$W60,IF(AND($S60&lt;&gt;"",EDATE($D60,Milestones!$AA$26)&gt;=$S60),$V60,$U60)))=Milestones!$AB$26),UPPER(TEXT(EDATE($D60,Milestones!$AA$26),"dd mmm yy"))&amp;" "&amp;Milestones!$AB$26&amp;" "&amp;Milestones!$AC$26&amp;";  ","")&amp;IF(AND(EDATE($D60,Milestones!$AA$27)&lt;=AsOfDate,IF($R60=0,$X60,IF(AND($T60&lt;&gt;"",EDATE($D60,Milestones!$AA$27)&gt;=$T60),$W60,IF(AND($S60&lt;&gt;"",EDATE($D60,Milestones!$AA$27)&gt;=$S60),$V60,$U60)))=Milestones!$AB$27),UPPER(TEXT(EDATE($D60,Milestones!$AA$27),"dd mmm yy"))&amp;" "&amp;Milestones!$AB$27&amp;" "&amp;Milestones!$AC$27&amp;";  ","")&amp;IF(AND(EDATE($D60,Milestones!$AA$28)&lt;=AsOfDate,IF($R60=0,$X60,IF(AND($T60&lt;&gt;"",EDATE($D60,Milestones!$AA$28)&gt;=$T60),$W60,IF(AND($S60&lt;&gt;"",EDATE($D60,Milestones!$AA$28)&gt;=$S60),$V60,$U60)))=Milestones!$AB$28),UPPER(TEXT(EDATE($D60,Milestones!$AA$28),"dd mmm yy"))&amp;" "&amp;Milestones!$AB$28&amp;" "&amp;Milestones!$AC$28&amp;";  ","")&amp;IF(AND(EDATE($D60,Milestones!$AA$29)&lt;=AsOfDate,IF($R60=0,$X60,IF(AND($T60&lt;&gt;"",EDATE($D60,Milestones!$AA$29)&gt;=$T60),$W60,IF(AND($S60&lt;&gt;"",EDATE($D60,Milestones!$AA$29)&gt;=$S60),$V60,$U60)))=Milestones!$AB$29),UPPER(TEXT(EDATE($D60,Milestones!$AA$29),"dd mmm yy"))&amp;" "&amp;Milestones!$AB$29&amp;" "&amp;Milestones!$AC$29&amp;";  ","")&amp;IF(AND(EDATE($D60,Milestones!$AA$30)&lt;=AsOfDate,IF($R60=0,$X60,IF(AND($T60&lt;&gt;"",EDATE($D60,Milestones!$AA$30)&gt;=$T60),$W60,IF(AND($S60&lt;&gt;"",EDATE($D60,Milestones!$AA$30)&gt;=$S60),$V60,$U60)))=Milestones!$AB$30),UPPER(TEXT(EDATE($D60,Milestones!$AA$30),"dd mmm yy"))&amp;" "&amp;Milestones!$AB$30&amp;" "&amp;Milestones!$AC$30&amp;";  ","")&amp;IF(AND(EDATE($D60,Milestones!$AA$31)&lt;=AsOfDate,IF($R60=0,$X60,IF(AND($T60&lt;&gt;"",EDATE($D60,Milestones!$AA$31)&gt;=$T60),$W60,IF(AND($S60&lt;&gt;"",EDATE($D60,Milestones!$AA$31)&gt;=$S60),$V60,$U60)))=Milestones!$AB$31),UPPER(TEXT(EDATE($D60,Milestones!$AA$31),"dd mmm yy"))&amp;" "&amp;Milestones!$AB$31&amp;" "&amp;Milestones!$AC$31&amp;";  ","")&amp;IF(AND(EDATE($D60,Milestones!$AA$32)&lt;=AsOfDate,IF($R60=0,$X60,IF(AND($T60&lt;&gt;"",EDATE($D60,Milestones!$AA$32)&gt;=$T60),$W60,IF(AND($S60&lt;&gt;"",EDATE($D60,Milestones!$AA$32)&gt;=$S60),$V60,$U60)))=Milestones!$AB$32),UPPER(TEXT(EDATE($D60,Milestones!$AA$32),"dd mmm yy"))&amp;" "&amp;Milestones!$AB$32&amp;" "&amp;Milestones!$AC$32&amp;";  ","")&amp;IF(AND(EDATE($D60,Milestones!$AA$33)&lt;=AsOfDate,IF($R60=0,$X60,IF(AND($T60&lt;&gt;"",EDATE($D60,Milestones!$AA$33)&gt;=$T60),$W60,IF(AND($S60&lt;&gt;"",EDATE($D60,Milestones!$AA$33)&gt;=$S60),$V60,$U60)))=Milestones!$AB$33),UPPER(TEXT(EDATE($D60,Milestones!$AA$33),"dd mmm yy"))&amp;" "&amp;Milestones!$AB$33&amp;" "&amp;Milestones!$AC$33&amp;";  ","")&amp;IF(AND(EDATE($D60,Milestones!$AA$34)&lt;=AsOfDate,IF($R60=0,$X60,IF(AND($T60&lt;&gt;"",EDATE($D60,Milestones!$AA$34)&gt;=$T60),$W60,IF(AND($S60&lt;&gt;"",EDATE($D60,Milestones!$AA$34)&gt;=$S60),$V60,$U60)))=Milestones!$AB$34),UPPER(TEXT(EDATE($D60,Milestones!$AA$34),"dd mmm yy"))&amp;" "&amp;Milestones!$AB$34&amp;" "&amp;Milestones!$AC$34&amp;";  ","")&amp;IF(AND(EDATE($D60,Milestones!$AA$35)&lt;=AsOfDate,IF($R60=0,$X60,IF(AND($T60&lt;&gt;"",EDATE($D60,Milestones!$AA$35)&gt;=$T60),$W60,IF(AND($S60&lt;&gt;"",EDATE($D60,Milestones!$AA$35)&gt;=$S60),$V60,$U60)))=Milestones!$AB$35),UPPER(TEXT(EDATE($D60,Milestones!$AA$35),"dd mmm yy"))&amp;" "&amp;Milestones!$AB$35&amp;" "&amp;Milestones!$AC$35&amp;";  ","")&amp;IF(AND(EDATE($D60,Milestones!$AA$36)&lt;=AsOfDate,IF($R60=0,$X60,IF(AND($T60&lt;&gt;"",EDATE($D60,Milestones!$AA$36)&gt;=$T60),$W60,IF(AND($S60&lt;&gt;"",EDATE($D60,Milestones!$AA$36)&gt;=$S60),$V60,$U60)))=Milestones!$AB$36),UPPER(TEXT(EDATE($D60,Milestones!$AA$36),"dd mmm yy"))&amp;" "&amp;Milestones!$AB$36&amp;" "&amp;Milestones!$AC$36&amp;";  ","")&amp;IF(AND(EDATE($D60,Milestones!$AA$37)&lt;=AsOfDate,IF($R60=0,$X60,IF(AND($T60&lt;&gt;"",EDATE($D60,Milestones!$AA$37)&gt;=$T60),$W60,IF(AND($S60&lt;&gt;"",EDATE($D60,Milestones!$AA$37)&gt;=$S60),$V60,$U60)))=Milestones!$AB$37),UPPER(TEXT(EDATE($D60,Milestones!$AA$37),"dd mmm yy"))&amp;" "&amp;Milestones!$AB$37&amp;" "&amp;Milestones!$AC$37&amp;";  ","")&amp;IF(AND(EDATE($D60,Milestones!$AA$38)&lt;=AsOfDate,IF($R60=0,$X60,IF(AND($T60&lt;&gt;"",EDATE($D60,Milestones!$AA$38)&gt;=$T60),$W60,IF(AND($S60&lt;&gt;"",EDATE($D60,Milestones!$AA$38)&gt;=$S60),$V60,$U60)))=Milestones!$AB$38),UPPER(TEXT(EDATE($D60,Milestones!$AA$38),"dd mmm yy"))&amp;" "&amp;Milestones!$AB$38&amp;" "&amp;Milestones!$AC$38&amp;";  ","")&amp;IF(AND(EDATE($D60,Milestones!$AA$39)&lt;=AsOfDate,IF($R60=0,$X60,IF(AND($T60&lt;&gt;"",EDATE($D60,Milestones!$AA$39)&gt;=$T60),$W60,IF(AND($S60&lt;&gt;"",EDATE($D60,Milestones!$AA$39)&gt;=$S60),$V60,$U60)))=Milestones!$AB$39),UPPER(TEXT(EDATE($D60,Milestones!$AA$39),"dd mmm yy"))&amp;" "&amp;Milestones!$AB$39&amp;" "&amp;Milestones!$AC$39&amp;";  ",""))</f>
        <v/>
      </c>
      <c r="J60" s="0" t="str">
        <f aca="false">IF(OR($A60="",$D60=""),"",IF(AND(EDATE($D60,Milestones!$AA$40)&lt;=AsOfDate,IF($R60=0,$X60,IF(AND($T60&lt;&gt;"",EDATE($D60,Milestones!$AA$40)&gt;=$T60),$W60,IF(AND($S60&lt;&gt;"",EDATE($D60,Milestones!$AA$40)&gt;=$S60),$V60,$U60)))=Milestones!$AB$40),UPPER(TEXT(EDATE($D60,Milestones!$AA$40),"dd mmm yy"))&amp;" "&amp;Milestones!$AB$40&amp;" "&amp;Milestones!$AC$40&amp;";  ","")&amp;IF(AND(EDATE($D60,Milestones!$AA$41)&lt;=AsOfDate,IF($R60=0,$X60,IF(AND($T60&lt;&gt;"",EDATE($D60,Milestones!$AA$41)&gt;=$T60),$W60,IF(AND($S60&lt;&gt;"",EDATE($D60,Milestones!$AA$41)&gt;=$S60),$V60,$U60)))=Milestones!$AB$41),UPPER(TEXT(EDATE($D60,Milestones!$AA$41),"dd mmm yy"))&amp;" "&amp;Milestones!$AB$41&amp;" "&amp;Milestones!$AC$41&amp;";  ","")&amp;IF(AND(EDATE($D60,Milestones!$AA$42)&lt;=AsOfDate,IF($R60=0,$X60,IF(AND($T60&lt;&gt;"",EDATE($D60,Milestones!$AA$42)&gt;=$T60),$W60,IF(AND($S60&lt;&gt;"",EDATE($D60,Milestones!$AA$42)&gt;=$S60),$V60,$U60)))=Milestones!$AB$42),UPPER(TEXT(EDATE($D60,Milestones!$AA$42),"dd mmm yy"))&amp;" "&amp;Milestones!$AB$42&amp;" "&amp;Milestones!$AC$42&amp;";  ","")&amp;IF(AND(EDATE($D60,Milestones!$AA$43)&lt;=AsOfDate,IF($R60=0,$X60,IF(AND($T60&lt;&gt;"",EDATE($D60,Milestones!$AA$43)&gt;=$T60),$W60,IF(AND($S60&lt;&gt;"",EDATE($D60,Milestones!$AA$43)&gt;=$S60),$V60,$U60)))=Milestones!$AB$43),UPPER(TEXT(EDATE($D60,Milestones!$AA$43),"dd mmm yy"))&amp;" "&amp;Milestones!$AB$43&amp;" "&amp;Milestones!$AC$43&amp;";  ","")&amp;IF(AND(EDATE($D60,Milestones!$AA$44)&lt;=AsOfDate,IF($R60=0,$X60,IF(AND($T60&lt;&gt;"",EDATE($D60,Milestones!$AA$44)&gt;=$T60),$W60,IF(AND($S60&lt;&gt;"",EDATE($D60,Milestones!$AA$44)&gt;=$S60),$V60,$U60)))=Milestones!$AB$44),UPPER(TEXT(EDATE($D60,Milestones!$AA$44),"dd mmm yy"))&amp;" "&amp;Milestones!$AB$44&amp;" "&amp;Milestones!$AC$44&amp;";  ","")&amp;IF(AND(EDATE($D60,Milestones!$AA$45)&lt;=AsOfDate,IF($R60=0,$X60,IF(AND($T60&lt;&gt;"",EDATE($D60,Milestones!$AA$45)&gt;=$T60),$W60,IF(AND($S60&lt;&gt;"",EDATE($D60,Milestones!$AA$45)&gt;=$S60),$V60,$U60)))=Milestones!$AB$45),UPPER(TEXT(EDATE($D60,Milestones!$AA$45),"dd mmm yy"))&amp;" "&amp;Milestones!$AB$45&amp;" "&amp;Milestones!$AC$45&amp;";  ","")&amp;IF(AND(EDATE($D60,Milestones!$AA$46)&lt;=AsOfDate,IF($R60=0,$X60,IF(AND($T60&lt;&gt;"",EDATE($D60,Milestones!$AA$46)&gt;=$T60),$W60,IF(AND($S60&lt;&gt;"",EDATE($D60,Milestones!$AA$46)&gt;=$S60),$V60,$U60)))=Milestones!$AB$46),UPPER(TEXT(EDATE($D60,Milestones!$AA$46),"dd mmm yy"))&amp;" "&amp;Milestones!$AB$46&amp;" "&amp;Milestones!$AC$46&amp;";  ","")&amp;IF(AND(EDATE($D60,Milestones!$AA$47)&lt;=AsOfDate,IF($R60=0,$X60,IF(AND($T60&lt;&gt;"",EDATE($D60,Milestones!$AA$47)&gt;=$T60),$W60,IF(AND($S60&lt;&gt;"",EDATE($D60,Milestones!$AA$47)&gt;=$S60),$V60,$U60)))=Milestones!$AB$47),UPPER(TEXT(EDATE($D60,Milestones!$AA$47),"dd mmm yy"))&amp;" "&amp;Milestones!$AB$47&amp;" "&amp;Milestones!$AC$47&amp;";  ","")&amp;IF(AND(EDATE($D60,Milestones!$AA$48)&lt;=AsOfDate,IF($R60=0,$X60,IF(AND($T60&lt;&gt;"",EDATE($D60,Milestones!$AA$48)&gt;=$T60),$W60,IF(AND($S60&lt;&gt;"",EDATE($D60,Milestones!$AA$48)&gt;=$S60),$V60,$U60)))=Milestones!$AB$48),UPPER(TEXT(EDATE($D60,Milestones!$AA$48),"dd mmm yy"))&amp;" "&amp;Milestones!$AB$48&amp;" "&amp;Milestones!$AC$48&amp;";  ","")&amp;IF(AND(EDATE($D60,Milestones!$AA$49)&lt;=AsOfDate,IF($R60=0,$X60,IF(AND($T60&lt;&gt;"",EDATE($D60,Milestones!$AA$49)&gt;=$T60),$W60,IF(AND($S60&lt;&gt;"",EDATE($D60,Milestones!$AA$49)&gt;=$S60),$V60,$U60)))=Milestones!$AB$49),UPPER(TEXT(EDATE($D60,Milestones!$AA$49),"dd mmm yy"))&amp;" "&amp;Milestones!$AB$49&amp;" "&amp;Milestones!$AC$49&amp;";  ","")&amp;IF(AND(EDATE($D60,Milestones!$AA$50)&lt;=AsOfDate,IF($R60=0,$X60,IF(AND($T60&lt;&gt;"",EDATE($D60,Milestones!$AA$50)&gt;=$T60),$W60,IF(AND($S60&lt;&gt;"",EDATE($D60,Milestones!$AA$50)&gt;=$S60),$V60,$U60)))=Milestones!$AB$50),UPPER(TEXT(EDATE($D60,Milestones!$AA$50),"dd mmm yy"))&amp;" "&amp;Milestones!$AB$50&amp;" "&amp;Milestones!$AC$50&amp;";  ","")&amp;IF(AND(EDATE($D60,Milestones!$AA$51)&lt;=AsOfDate,IF($R60=0,$X60,IF(AND($T60&lt;&gt;"",EDATE($D60,Milestones!$AA$51)&gt;=$T60),$W60,IF(AND($S60&lt;&gt;"",EDATE($D60,Milestones!$AA$51)&gt;=$S60),$V60,$U60)))=Milestones!$AB$51),UPPER(TEXT(EDATE($D60,Milestones!$AA$51),"dd mmm yy"))&amp;" "&amp;Milestones!$AB$51&amp;" "&amp;Milestones!$AC$51&amp;";  ","")&amp;IF(AND(EDATE($D60,Milestones!$AA$52)&lt;=AsOfDate,IF($R60=0,$X60,IF(AND($T60&lt;&gt;"",EDATE($D60,Milestones!$AA$52)&gt;=$T60),$W60,IF(AND($S60&lt;&gt;"",EDATE($D60,Milestones!$AA$52)&gt;=$S60),$V60,$U60)))=Milestones!$AB$52),UPPER(TEXT(EDATE($D60,Milestones!$AA$52),"dd mmm yy"))&amp;" "&amp;Milestones!$AB$52&amp;" "&amp;Milestones!$AC$52&amp;";  ","")&amp;IF(AND(EDATE($D60,Milestones!$AA$53)&lt;=AsOfDate,IF($R60=0,$X60,IF(AND($T60&lt;&gt;"",EDATE($D60,Milestones!$AA$53)&gt;=$T60),$W60,IF(AND($S60&lt;&gt;"",EDATE($D60,Milestones!$AA$53)&gt;=$S60),$V60,$U60)))=Milestones!$AB$53),UPPER(TEXT(EDATE($D60,Milestones!$AA$53),"dd mmm yy"))&amp;" "&amp;Milestones!$AB$53&amp;" "&amp;Milestones!$AC$53&amp;";  ","")&amp;IF(AND(EDATE($D60,Milestones!$AA$54)&lt;=AsOfDate,IF($R60=0,$X60,IF(AND($T60&lt;&gt;"",EDATE($D60,Milestones!$AA$54)&gt;=$T60),$W60,IF(AND($S60&lt;&gt;"",EDATE($D60,Milestones!$AA$54)&gt;=$S60),$V60,$U60)))=Milestones!$AB$54),UPPER(TEXT(EDATE($D60,Milestones!$AA$54),"dd mmm yy"))&amp;" "&amp;Milestones!$AB$54&amp;" "&amp;Milestones!$AC$54&amp;";  ","")&amp;IF(AND(EDATE($D60,Milestones!$AA$55)&lt;=AsOfDate,IF($R60=0,$X60,IF(AND($T60&lt;&gt;"",EDATE($D60,Milestones!$AA$55)&gt;=$T60),$W60,IF(AND($S60&lt;&gt;"",EDATE($D60,Milestones!$AA$55)&gt;=$S60),$V60,$U60)))=Milestones!$AB$55),UPPER(TEXT(EDATE($D60,Milestones!$AA$55),"dd mmm yy"))&amp;" "&amp;Milestones!$AB$55&amp;" "&amp;Milestones!$AC$55&amp;";  ","")&amp;IF(AND(EDATE($D60,Milestones!$AA$56)&lt;=AsOfDate,IF($R60=0,$X60,IF(AND($T60&lt;&gt;"",EDATE($D60,Milestones!$AA$56)&gt;=$T60),$W60,IF(AND($S60&lt;&gt;"",EDATE($D60,Milestones!$AA$56)&gt;=$S60),$V60,$U60)))=Milestones!$AB$56),UPPER(TEXT(EDATE($D60,Milestones!$AA$56),"dd mmm yy"))&amp;" "&amp;Milestones!$AB$56&amp;" "&amp;Milestones!$AC$56&amp;";  ","")&amp;IF(AND(EDATE($D60,Milestones!$AA$57)&lt;=AsOfDate,IF($R60=0,$X60,IF(AND($T60&lt;&gt;"",EDATE($D60,Milestones!$AA$57)&gt;=$T60),$W60,IF(AND($S60&lt;&gt;"",EDATE($D60,Milestones!$AA$57)&gt;=$S60),$V60,$U60)))=Milestones!$AB$57),UPPER(TEXT(EDATE($D60,Milestones!$AA$57),"dd mmm yy"))&amp;" "&amp;Milestones!$AB$57&amp;" "&amp;Milestones!$AC$57&amp;";  ","")&amp;IF(AND(EDATE($D60,Milestones!$AA$58)&lt;=AsOfDate,IF($R60=0,$X60,IF(AND($T60&lt;&gt;"",EDATE($D60,Milestones!$AA$58)&gt;=$T60),$W60,IF(AND($S60&lt;&gt;"",EDATE($D60,Milestones!$AA$58)&gt;=$S60),$V60,$U60)))=Milestones!$AB$58),UPPER(TEXT(EDATE($D60,Milestones!$AA$58),"dd mmm yy"))&amp;" "&amp;Milestones!$AB$58&amp;" "&amp;Milestones!$AC$58&amp;";  ","")&amp;IF(AND(EDATE($D60,Milestones!$AA$59)&lt;=AsOfDate,IF($R60=0,$X60,IF(AND($T60&lt;&gt;"",EDATE($D60,Milestones!$AA$59)&gt;=$T60),$W60,IF(AND($S60&lt;&gt;"",EDATE($D60,Milestones!$AA$59)&gt;=$S60),$V60,$U60)))=Milestones!$AB$59),UPPER(TEXT(EDATE($D60,Milestones!$AA$59),"dd mmm yy"))&amp;" "&amp;Milestones!$AB$59&amp;" "&amp;Milestones!$AC$59&amp;";  ",""))</f>
        <v/>
      </c>
      <c r="K60" s="0" t="str">
        <f aca="false">IF(OR($A60="",$D60=""),"",IF(AND(EDATE($D60,Milestones!$AA$60)&lt;=AsOfDate,IF($R60=0,$X60,IF(AND($T60&lt;&gt;"",EDATE($D60,Milestones!$AA$60)&gt;=$T60),$W60,IF(AND($S60&lt;&gt;"",EDATE($D60,Milestones!$AA$60)&gt;=$S60),$V60,$U60)))=Milestones!$AB$60),UPPER(TEXT(EDATE($D60,Milestones!$AA$60),"dd mmm yy"))&amp;" "&amp;Milestones!$AB$60&amp;" "&amp;Milestones!$AC$60&amp;";  ","")&amp;IF(AND(EDATE($D60,Milestones!$AA$61)&lt;=AsOfDate,IF($R60=0,$X60,IF(AND($T60&lt;&gt;"",EDATE($D60,Milestones!$AA$61)&gt;=$T60),$W60,IF(AND($S60&lt;&gt;"",EDATE($D60,Milestones!$AA$61)&gt;=$S60),$V60,$U60)))=Milestones!$AB$61),UPPER(TEXT(EDATE($D60,Milestones!$AA$61),"dd mmm yy"))&amp;" "&amp;Milestones!$AB$61&amp;" "&amp;Milestones!$AC$61&amp;";  ","")&amp;IF(AND(EDATE($D60,Milestones!$AA$62)&lt;=AsOfDate,IF($R60=0,$X60,IF(AND($T60&lt;&gt;"",EDATE($D60,Milestones!$AA$62)&gt;=$T60),$W60,IF(AND($S60&lt;&gt;"",EDATE($D60,Milestones!$AA$62)&gt;=$S60),$V60,$U60)))=Milestones!$AB$62),UPPER(TEXT(EDATE($D60,Milestones!$AA$62),"dd mmm yy"))&amp;" "&amp;Milestones!$AB$62&amp;" "&amp;Milestones!$AC$62&amp;";  ","")&amp;IF(AND(EDATE($D60,Milestones!$AA$63)&lt;=AsOfDate,IF($R60=0,$X60,IF(AND($T60&lt;&gt;"",EDATE($D60,Milestones!$AA$63)&gt;=$T60),$W60,IF(AND($S60&lt;&gt;"",EDATE($D60,Milestones!$AA$63)&gt;=$S60),$V60,$U60)))=Milestones!$AB$63),UPPER(TEXT(EDATE($D60,Milestones!$AA$63),"dd mmm yy"))&amp;" "&amp;Milestones!$AB$63&amp;" "&amp;Milestones!$AC$63&amp;";  ","")&amp;IF(AND(EDATE($D60,Milestones!$AA$64)&lt;=AsOfDate,IF($R60=0,$X60,IF(AND($T60&lt;&gt;"",EDATE($D60,Milestones!$AA$64)&gt;=$T60),$W60,IF(AND($S60&lt;&gt;"",EDATE($D60,Milestones!$AA$64)&gt;=$S60),$V60,$U60)))=Milestones!$AB$64),UPPER(TEXT(EDATE($D60,Milestones!$AA$64),"dd mmm yy"))&amp;" "&amp;Milestones!$AB$64&amp;" "&amp;Milestones!$AC$64&amp;";  ","")&amp;IF(AND(EDATE($D60,Milestones!$AA$65)&lt;=AsOfDate,IF($R60=0,$X60,IF(AND($T60&lt;&gt;"",EDATE($D60,Milestones!$AA$65)&gt;=$T60),$W60,IF(AND($S60&lt;&gt;"",EDATE($D60,Milestones!$AA$65)&gt;=$S60),$V60,$U60)))=Milestones!$AB$65),UPPER(TEXT(EDATE($D60,Milestones!$AA$65),"dd mmm yy"))&amp;" "&amp;Milestones!$AB$65&amp;" "&amp;Milestones!$AC$65&amp;";  ","")&amp;IF(AND(EDATE($D60,Milestones!$AA$66)&lt;=AsOfDate,IF($R60=0,$X60,IF(AND($T60&lt;&gt;"",EDATE($D60,Milestones!$AA$66)&gt;=$T60),$W60,IF(AND($S60&lt;&gt;"",EDATE($D60,Milestones!$AA$66)&gt;=$S60),$V60,$U60)))=Milestones!$AB$66),UPPER(TEXT(EDATE($D60,Milestones!$AA$66),"dd mmm yy"))&amp;" "&amp;Milestones!$AB$66&amp;" "&amp;Milestones!$AC$66&amp;";  ","")&amp;IF(AND(EDATE($D60,Milestones!$AA$67)&lt;=AsOfDate,IF($R60=0,$X60,IF(AND($T60&lt;&gt;"",EDATE($D60,Milestones!$AA$67)&gt;=$T60),$W60,IF(AND($S60&lt;&gt;"",EDATE($D60,Milestones!$AA$67)&gt;=$S60),$V60,$U60)))=Milestones!$AB$67),UPPER(TEXT(EDATE($D60,Milestones!$AA$67),"dd mmm yy"))&amp;" "&amp;Milestones!$AB$67&amp;" "&amp;Milestones!$AC$67&amp;";  ","")&amp;IF(AND(EDATE($D60,Milestones!$AA$68)&lt;=AsOfDate,IF($R60=0,$X60,IF(AND($T60&lt;&gt;"",EDATE($D60,Milestones!$AA$68)&gt;=$T60),$W60,IF(AND($S60&lt;&gt;"",EDATE($D60,Milestones!$AA$68)&gt;=$S60),$V60,$U60)))=Milestones!$AB$68),UPPER(TEXT(EDATE($D60,Milestones!$AA$68),"dd mmm yy"))&amp;" "&amp;Milestones!$AB$68&amp;" "&amp;Milestones!$AC$68&amp;";  ","")&amp;IF(AND(EDATE($D60,Milestones!$AA$69)&lt;=AsOfDate,IF($R60=0,$X60,IF(AND($T60&lt;&gt;"",EDATE($D60,Milestones!$AA$69)&gt;=$T60),$W60,IF(AND($S60&lt;&gt;"",EDATE($D60,Milestones!$AA$69)&gt;=$S60),$V60,$U60)))=Milestones!$AB$69),UPPER(TEXT(EDATE($D60,Milestones!$AA$69),"dd mmm yy"))&amp;" "&amp;Milestones!$AB$69&amp;" "&amp;Milestones!$AC$69&amp;";  ","")&amp;IF(AND(EDATE($D60,Milestones!$AA$70)&lt;=AsOfDate,IF($R60=0,$X60,IF(AND($T60&lt;&gt;"",EDATE($D60,Milestones!$AA$70)&gt;=$T60),$W60,IF(AND($S60&lt;&gt;"",EDATE($D60,Milestones!$AA$70)&gt;=$S60),$V60,$U60)))=Milestones!$AB$70),UPPER(TEXT(EDATE($D60,Milestones!$AA$70),"dd mmm yy"))&amp;" "&amp;Milestones!$AB$70&amp;" "&amp;Milestones!$AC$70&amp;";  ","")&amp;IF(AND(EDATE($D60,Milestones!$AA$71)&lt;=AsOfDate,IF($R60=0,$X60,IF(AND($T60&lt;&gt;"",EDATE($D60,Milestones!$AA$71)&gt;=$T60),$W60,IF(AND($S60&lt;&gt;"",EDATE($D60,Milestones!$AA$71)&gt;=$S60),$V60,$U60)))=Milestones!$AB$71),UPPER(TEXT(EDATE($D60,Milestones!$AA$71),"dd mmm yy"))&amp;" "&amp;Milestones!$AB$71&amp;" "&amp;Milestones!$AC$71&amp;";  ","")&amp;IF(AND(EDATE($D60,Milestones!$AA$72)&lt;=AsOfDate,IF($R60=0,$X60,IF(AND($T60&lt;&gt;"",EDATE($D60,Milestones!$AA$72)&gt;=$T60),$W60,IF(AND($S60&lt;&gt;"",EDATE($D60,Milestones!$AA$72)&gt;=$S60),$V60,$U60)))=Milestones!$AB$72),UPPER(TEXT(EDATE($D60,Milestones!$AA$72),"dd mmm yy"))&amp;" "&amp;Milestones!$AB$72&amp;" "&amp;Milestones!$AC$72&amp;";  ","")&amp;IF(AND(EDATE($D60,Milestones!$AA$73)&lt;=AsOfDate,IF($R60=0,$X60,IF(AND($T60&lt;&gt;"",EDATE($D60,Milestones!$AA$73)&gt;=$T60),$W60,IF(AND($S60&lt;&gt;"",EDATE($D60,Milestones!$AA$73)&gt;=$S60),$V60,$U60)))=Milestones!$AB$73),UPPER(TEXT(EDATE($D60,Milestones!$AA$73),"dd mmm yy"))&amp;" "&amp;Milestones!$AB$73&amp;" "&amp;Milestones!$AC$73&amp;";  ","")&amp;IF(AND(EDATE($D60,Milestones!$AA$74)&lt;=AsOfDate,IF($R60=0,$X60,IF(AND($T60&lt;&gt;"",EDATE($D60,Milestones!$AA$74)&gt;=$T60),$W60,IF(AND($S60&lt;&gt;"",EDATE($D60,Milestones!$AA$74)&gt;=$S60),$V60,$U60)))=Milestones!$AB$74),UPPER(TEXT(EDATE($D60,Milestones!$AA$74),"dd mmm yy"))&amp;" "&amp;Milestones!$AB$74&amp;" "&amp;Milestones!$AC$74&amp;";  ","")&amp;IF(AND(EDATE($D60,Milestones!$AA$75)&lt;=AsOfDate,IF($R60=0,$X60,IF(AND($T60&lt;&gt;"",EDATE($D60,Milestones!$AA$75)&gt;=$T60),$W60,IF(AND($S60&lt;&gt;"",EDATE($D60,Milestones!$AA$75)&gt;=$S60),$V60,$U60)))=Milestones!$AB$75),UPPER(TEXT(EDATE($D60,Milestones!$AA$75),"dd mmm yy"))&amp;" "&amp;Milestones!$AB$75&amp;" "&amp;Milestones!$AC$75&amp;";  ","")&amp;IF(AND(EDATE($D60,Milestones!$AA$76)&lt;=AsOfDate,IF($R60=0,$X60,IF(AND($T60&lt;&gt;"",EDATE($D60,Milestones!$AA$76)&gt;=$T60),$W60,IF(AND($S60&lt;&gt;"",EDATE($D60,Milestones!$AA$76)&gt;=$S60),$V60,$U60)))=Milestones!$AB$76),UPPER(TEXT(EDATE($D60,Milestones!$AA$76),"dd mmm yy"))&amp;" "&amp;Milestones!$AB$76&amp;" "&amp;Milestones!$AC$76&amp;";  ","")&amp;IF(AND(EDATE($D60,Milestones!$AA$77)&lt;=AsOfDate,IF($R60=0,$X60,IF(AND($T60&lt;&gt;"",EDATE($D60,Milestones!$AA$77)&gt;=$T60),$W60,IF(AND($S60&lt;&gt;"",EDATE($D60,Milestones!$AA$77)&gt;=$S60),$V60,$U60)))=Milestones!$AB$77),UPPER(TEXT(EDATE($D60,Milestones!$AA$77),"dd mmm yy"))&amp;" "&amp;Milestones!$AB$77&amp;" "&amp;Milestones!$AC$77&amp;";  ","")&amp;IF(AND(EDATE($D60,Milestones!$AA$78)&lt;=AsOfDate,IF($R60=0,$X60,IF(AND($T60&lt;&gt;"",EDATE($D60,Milestones!$AA$78)&gt;=$T60),$W60,IF(AND($S60&lt;&gt;"",EDATE($D60,Milestones!$AA$78)&gt;=$S60),$V60,$U60)))=Milestones!$AB$78),UPPER(TEXT(EDATE($D60,Milestones!$AA$78),"dd mmm yy"))&amp;" "&amp;Milestones!$AB$78&amp;" "&amp;Milestones!$AC$78&amp;";  ","")&amp;IF(AND(EDATE($D60,Milestones!$AA$79)&lt;=AsOfDate,IF($R60=0,$X60,IF(AND($T60&lt;&gt;"",EDATE($D60,Milestones!$AA$79)&gt;=$T60),$W60,IF(AND($S60&lt;&gt;"",EDATE($D60,Milestones!$AA$79)&gt;=$S60),$V60,$U60)))=Milestones!$AB$79),UPPER(TEXT(EDATE($D60,Milestones!$AA$79),"dd mmm yy"))&amp;" "&amp;Milestones!$AB$79&amp;" "&amp;Milestones!$AC$79&amp;";  ",""))</f>
        <v/>
      </c>
      <c r="L60" s="0" t="str">
        <f aca="false">IF(OR($A60="",$D60=""),"",IF(AND(EDATE($D60,Milestones!$AA$80)&lt;=AsOfDate,IF($R60=0,$X60,IF(AND($T60&lt;&gt;"",EDATE($D60,Milestones!$AA$80)&gt;=$T60),$W60,IF(AND($S60&lt;&gt;"",EDATE($D60,Milestones!$AA$80)&gt;=$S60),$V60,$U60)))=Milestones!$AB$80),UPPER(TEXT(EDATE($D60,Milestones!$AA$80),"dd mmm yy"))&amp;" "&amp;Milestones!$AB$80&amp;" "&amp;Milestones!$AC$80&amp;";  ","")&amp;IF(AND(EDATE($D60,Milestones!$AA$81)&lt;=AsOfDate,IF($R60=0,$X60,IF(AND($T60&lt;&gt;"",EDATE($D60,Milestones!$AA$81)&gt;=$T60),$W60,IF(AND($S60&lt;&gt;"",EDATE($D60,Milestones!$AA$81)&gt;=$S60),$V60,$U60)))=Milestones!$AB$81),UPPER(TEXT(EDATE($D60,Milestones!$AA$81),"dd mmm yy"))&amp;" "&amp;Milestones!$AB$81&amp;" "&amp;Milestones!$AC$81&amp;";  ","")&amp;IF(AND(EDATE($D60,Milestones!$AA$82)&lt;=AsOfDate,IF($R60=0,$X60,IF(AND($T60&lt;&gt;"",EDATE($D60,Milestones!$AA$82)&gt;=$T60),$W60,IF(AND($S60&lt;&gt;"",EDATE($D60,Milestones!$AA$82)&gt;=$S60),$V60,$U60)))=Milestones!$AB$82),UPPER(TEXT(EDATE($D60,Milestones!$AA$82),"dd mmm yy"))&amp;" "&amp;Milestones!$AB$82&amp;" "&amp;Milestones!$AC$82&amp;";  ","")&amp;IF(AND(EDATE($D60,Milestones!$AA$83)&lt;=AsOfDate,IF($R60=0,$X60,IF(AND($T60&lt;&gt;"",EDATE($D60,Milestones!$AA$83)&gt;=$T60),$W60,IF(AND($S60&lt;&gt;"",EDATE($D60,Milestones!$AA$83)&gt;=$S60),$V60,$U60)))=Milestones!$AB$83),UPPER(TEXT(EDATE($D60,Milestones!$AA$83),"dd mmm yy"))&amp;" "&amp;Milestones!$AB$83&amp;" "&amp;Milestones!$AC$83&amp;";  ","")&amp;IF(AND(EDATE($D60,Milestones!$AA$84)&lt;=AsOfDate,IF($R60=0,$X60,IF(AND($T60&lt;&gt;"",EDATE($D60,Milestones!$AA$84)&gt;=$T60),$W60,IF(AND($S60&lt;&gt;"",EDATE($D60,Milestones!$AA$84)&gt;=$S60),$V60,$U60)))=Milestones!$AB$84),UPPER(TEXT(EDATE($D60,Milestones!$AA$84),"dd mmm yy"))&amp;" "&amp;Milestones!$AB$84&amp;" "&amp;Milestones!$AC$84&amp;";  ","")&amp;IF(AND(EDATE($D60,Milestones!$AA$85)&lt;=AsOfDate,IF($R60=0,$X60,IF(AND($T60&lt;&gt;"",EDATE($D60,Milestones!$AA$85)&gt;=$T60),$W60,IF(AND($S60&lt;&gt;"",EDATE($D60,Milestones!$AA$85)&gt;=$S60),$V60,$U60)))=Milestones!$AB$85),UPPER(TEXT(EDATE($D60,Milestones!$AA$85),"dd mmm yy"))&amp;" "&amp;Milestones!$AB$85&amp;" "&amp;Milestones!$AC$85&amp;";  ","")&amp;IF(AND(EDATE($D60,Milestones!$AA$86)&lt;=AsOfDate,IF($R60=0,$X60,IF(AND($T60&lt;&gt;"",EDATE($D60,Milestones!$AA$86)&gt;=$T60),$W60,IF(AND($S60&lt;&gt;"",EDATE($D60,Milestones!$AA$86)&gt;=$S60),$V60,$U60)))=Milestones!$AB$86),UPPER(TEXT(EDATE($D60,Milestones!$AA$86),"dd mmm yy"))&amp;" "&amp;Milestones!$AB$86&amp;" "&amp;Milestones!$AC$86&amp;";  ","")&amp;IF(AND(EDATE($D60,Milestones!$AA$87)&lt;=AsOfDate,IF($R60=0,$X60,IF(AND($T60&lt;&gt;"",EDATE($D60,Milestones!$AA$87)&gt;=$T60),$W60,IF(AND($S60&lt;&gt;"",EDATE($D60,Milestones!$AA$87)&gt;=$S60),$V60,$U60)))=Milestones!$AB$87),UPPER(TEXT(EDATE($D60,Milestones!$AA$87),"dd mmm yy"))&amp;" "&amp;Milestones!$AB$87&amp;" "&amp;Milestones!$AC$87&amp;";  ","")&amp;IF(AND(EDATE($D60,Milestones!$AA$88)&lt;=AsOfDate,IF($R60=0,$X60,IF(AND($T60&lt;&gt;"",EDATE($D60,Milestones!$AA$88)&gt;=$T60),$W60,IF(AND($S60&lt;&gt;"",EDATE($D60,Milestones!$AA$88)&gt;=$S60),$V60,$U60)))=Milestones!$AB$88),UPPER(TEXT(EDATE($D60,Milestones!$AA$88),"dd mmm yy"))&amp;" "&amp;Milestones!$AB$88&amp;" "&amp;Milestones!$AC$88&amp;";  ","")&amp;IF(AND(EDATE($D60,Milestones!$AA$89)&lt;=AsOfDate,IF($R60=0,$X60,IF(AND($T60&lt;&gt;"",EDATE($D60,Milestones!$AA$89)&gt;=$T60),$W60,IF(AND($S60&lt;&gt;"",EDATE($D60,Milestones!$AA$89)&gt;=$S60),$V60,$U60)))=Milestones!$AB$89),UPPER(TEXT(EDATE($D60,Milestones!$AA$89),"dd mmm yy"))&amp;" "&amp;Milestones!$AB$89&amp;" "&amp;Milestones!$AC$89&amp;";  ","")&amp;IF(AND(EDATE($D60,Milestones!$AA$90)&lt;=AsOfDate,IF($R60=0,$X60,IF(AND($T60&lt;&gt;"",EDATE($D60,Milestones!$AA$90)&gt;=$T60),$W60,IF(AND($S60&lt;&gt;"",EDATE($D60,Milestones!$AA$90)&gt;=$S60),$V60,$U60)))=Milestones!$AB$90),UPPER(TEXT(EDATE($D60,Milestones!$AA$90),"dd mmm yy"))&amp;" "&amp;Milestones!$AB$90&amp;" "&amp;Milestones!$AC$90&amp;";  ","")&amp;IF(AND(EDATE($D60,Milestones!$AA$91)&lt;=AsOfDate,IF($R60=0,$X60,IF(AND($T60&lt;&gt;"",EDATE($D60,Milestones!$AA$91)&gt;=$T60),$W60,IF(AND($S60&lt;&gt;"",EDATE($D60,Milestones!$AA$91)&gt;=$S60),$V60,$U60)))=Milestones!$AB$91),UPPER(TEXT(EDATE($D60,Milestones!$AA$91),"dd mmm yy"))&amp;" "&amp;Milestones!$AB$91&amp;" "&amp;Milestones!$AC$91&amp;";  ","")&amp;IF(AND(EDATE($D60,Milestones!$AA$92)&lt;=AsOfDate,IF($R60=0,$X60,IF(AND($T60&lt;&gt;"",EDATE($D60,Milestones!$AA$92)&gt;=$T60),$W60,IF(AND($S60&lt;&gt;"",EDATE($D60,Milestones!$AA$92)&gt;=$S60),$V60,$U60)))=Milestones!$AB$92),UPPER(TEXT(EDATE($D60,Milestones!$AA$92),"dd mmm yy"))&amp;" "&amp;Milestones!$AB$92&amp;" "&amp;Milestones!$AC$92&amp;";  ","")&amp;IF(AND(EDATE($D60,Milestones!$AA$93)&lt;=AsOfDate,IF($R60=0,$X60,IF(AND($T60&lt;&gt;"",EDATE($D60,Milestones!$AA$93)&gt;=$T60),$W60,IF(AND($S60&lt;&gt;"",EDATE($D60,Milestones!$AA$93)&gt;=$S60),$V60,$U60)))=Milestones!$AB$93),UPPER(TEXT(EDATE($D60,Milestones!$AA$93),"dd mmm yy"))&amp;" "&amp;Milestones!$AB$93&amp;" "&amp;Milestones!$AC$93&amp;";  ","")&amp;IF(AND(EDATE($D60,Milestones!$AA$94)&lt;=AsOfDate,IF($R60=0,$X60,IF(AND($T60&lt;&gt;"",EDATE($D60,Milestones!$AA$94)&gt;=$T60),$W60,IF(AND($S60&lt;&gt;"",EDATE($D60,Milestones!$AA$94)&gt;=$S60),$V60,$U60)))=Milestones!$AB$94),UPPER(TEXT(EDATE($D60,Milestones!$AA$94),"dd mmm yy"))&amp;" "&amp;Milestones!$AB$94&amp;" "&amp;Milestones!$AC$94&amp;";  ","")&amp;IF(AND(EDATE($D60,Milestones!$AA$95)&lt;=AsOfDate,IF($R60=0,$X60,IF(AND($T60&lt;&gt;"",EDATE($D60,Milestones!$AA$95)&gt;=$T60),$W60,IF(AND($S60&lt;&gt;"",EDATE($D60,Milestones!$AA$95)&gt;=$S60),$V60,$U60)))=Milestones!$AB$95),UPPER(TEXT(EDATE($D60,Milestones!$AA$95),"dd mmm yy"))&amp;" "&amp;Milestones!$AB$95&amp;" "&amp;Milestones!$AC$95&amp;";  ","")&amp;IF(AND(EDATE($D60,Milestones!$AA$96)&lt;=AsOfDate,IF($R60=0,$X60,IF(AND($T60&lt;&gt;"",EDATE($D60,Milestones!$AA$96)&gt;=$T60),$W60,IF(AND($S60&lt;&gt;"",EDATE($D60,Milestones!$AA$96)&gt;=$S60),$V60,$U60)))=Milestones!$AB$96),UPPER(TEXT(EDATE($D60,Milestones!$AA$96),"dd mmm yy"))&amp;" "&amp;Milestones!$AB$96&amp;" "&amp;Milestones!$AC$96&amp;";  ","")&amp;IF(AND(EDATE($D60,Milestones!$AA$97)&lt;=AsOfDate,IF($R60=0,$X60,IF(AND($T60&lt;&gt;"",EDATE($D60,Milestones!$AA$97)&gt;=$T60),$W60,IF(AND($S60&lt;&gt;"",EDATE($D60,Milestones!$AA$97)&gt;=$S60),$V60,$U60)))=Milestones!$AB$97),UPPER(TEXT(EDATE($D60,Milestones!$AA$97),"dd mmm yy"))&amp;" "&amp;Milestones!$AB$97&amp;" "&amp;Milestones!$AC$97&amp;";  ","")&amp;IF(AND(EDATE($D60,Milestones!$AA$98)&lt;=AsOfDate,IF($R60=0,$X60,IF(AND($T60&lt;&gt;"",EDATE($D60,Milestones!$AA$98)&gt;=$T60),$W60,IF(AND($S60&lt;&gt;"",EDATE($D60,Milestones!$AA$98)&gt;=$S60),$V60,$U60)))=Milestones!$AB$98),UPPER(TEXT(EDATE($D60,Milestones!$AA$98),"dd mmm yy"))&amp;" "&amp;Milestones!$AB$98&amp;" "&amp;Milestones!$AC$98&amp;";  ","")&amp;IF(AND(EDATE($D60,Milestones!$AA$99)&lt;=AsOfDate,IF($R60=0,$X60,IF(AND($T60&lt;&gt;"",EDATE($D60,Milestones!$AA$99)&gt;=$T60),$W60,IF(AND($S60&lt;&gt;"",EDATE($D60,Milestones!$AA$99)&gt;=$S60),$V60,$U60)))=Milestones!$AB$99),UPPER(TEXT(EDATE($D60,Milestones!$AA$99),"dd mmm yy"))&amp;" "&amp;Milestones!$AB$99&amp;" "&amp;Milestones!$AC$99&amp;";  ",""))</f>
        <v/>
      </c>
      <c r="M60" s="0" t="str">
        <f aca="false">IF(OR($A60="",$D60=""),"",IF(AND(EDATE($D60,Milestones!$AA$100)&lt;=AsOfDate,IF($R60=0,$X60,IF(AND($T60&lt;&gt;"",EDATE($D60,Milestones!$AA$100)&gt;=$T60),$W60,IF(AND($S60&lt;&gt;"",EDATE($D60,Milestones!$AA$100)&gt;=$S60),$V60,$U60)))=Milestones!$AB$100),UPPER(TEXT(EDATE($D60,Milestones!$AA$100),"dd mmm yy"))&amp;" "&amp;Milestones!$AB$100&amp;" "&amp;Milestones!$AC$100&amp;";  ","")&amp;IF(AND(EDATE($D60,Milestones!$AA$101)&lt;=AsOfDate,IF($R60=0,$X60,IF(AND($T60&lt;&gt;"",EDATE($D60,Milestones!$AA$101)&gt;=$T60),$W60,IF(AND($S60&lt;&gt;"",EDATE($D60,Milestones!$AA$101)&gt;=$S60),$V60,$U60)))=Milestones!$AB$101),UPPER(TEXT(EDATE($D60,Milestones!$AA$101),"dd mmm yy"))&amp;" "&amp;Milestones!$AB$101&amp;" "&amp;Milestones!$AC$101&amp;";  ","")&amp;IF(AND(EDATE($D60,Milestones!$AA$102)&lt;=AsOfDate,IF($R60=0,$X60,IF(AND($T60&lt;&gt;"",EDATE($D60,Milestones!$AA$102)&gt;=$T60),$W60,IF(AND($S60&lt;&gt;"",EDATE($D60,Milestones!$AA$102)&gt;=$S60),$V60,$U60)))=Milestones!$AB$102),UPPER(TEXT(EDATE($D60,Milestones!$AA$102),"dd mmm yy"))&amp;" "&amp;Milestones!$AB$102&amp;" "&amp;Milestones!$AC$102&amp;";  ","")&amp;IF(AND(EDATE($D60,Milestones!$AA$103)&lt;=AsOfDate,IF($R60=0,$X60,IF(AND($T60&lt;&gt;"",EDATE($D60,Milestones!$AA$103)&gt;=$T60),$W60,IF(AND($S60&lt;&gt;"",EDATE($D60,Milestones!$AA$103)&gt;=$S60),$V60,$U60)))=Milestones!$AB$103),UPPER(TEXT(EDATE($D60,Milestones!$AA$103),"dd mmm yy"))&amp;" "&amp;Milestones!$AB$103&amp;" "&amp;Milestones!$AC$103&amp;";  ","")&amp;IF(AND(EDATE($D60,Milestones!$AA$104)&lt;=AsOfDate,IF($R60=0,$X60,IF(AND($T60&lt;&gt;"",EDATE($D60,Milestones!$AA$104)&gt;=$T60),$W60,IF(AND($S60&lt;&gt;"",EDATE($D60,Milestones!$AA$104)&gt;=$S60),$V60,$U60)))=Milestones!$AB$104),UPPER(TEXT(EDATE($D60,Milestones!$AA$104),"dd mmm yy"))&amp;" "&amp;Milestones!$AB$104&amp;" "&amp;Milestones!$AC$104&amp;";  ","")&amp;IF(AND(EDATE($D60,Milestones!$AA$105)&lt;=AsOfDate,IF($R60=0,$X60,IF(AND($T60&lt;&gt;"",EDATE($D60,Milestones!$AA$105)&gt;=$T60),$W60,IF(AND($S60&lt;&gt;"",EDATE($D60,Milestones!$AA$105)&gt;=$S60),$V60,$U60)))=Milestones!$AB$105),UPPER(TEXT(EDATE($D60,Milestones!$AA$105),"dd mmm yy"))&amp;" "&amp;Milestones!$AB$105&amp;" "&amp;Milestones!$AC$105&amp;";  ","")&amp;IF(AND(EDATE($D60,Milestones!$AA$106)&lt;=AsOfDate,IF($R60=0,$X60,IF(AND($T60&lt;&gt;"",EDATE($D60,Milestones!$AA$106)&gt;=$T60),$W60,IF(AND($S60&lt;&gt;"",EDATE($D60,Milestones!$AA$106)&gt;=$S60),$V60,$U60)))=Milestones!$AB$106),UPPER(TEXT(EDATE($D60,Milestones!$AA$106),"dd mmm yy"))&amp;" "&amp;Milestones!$AB$106&amp;" "&amp;Milestones!$AC$106&amp;";  ","")&amp;IF(AND(EDATE($D60,Milestones!$AA$107)&lt;=AsOfDate,IF($R60=0,$X60,IF(AND($T60&lt;&gt;"",EDATE($D60,Milestones!$AA$107)&gt;=$T60),$W60,IF(AND($S60&lt;&gt;"",EDATE($D60,Milestones!$AA$107)&gt;=$S60),$V60,$U60)))=Milestones!$AB$107),UPPER(TEXT(EDATE($D60,Milestones!$AA$107),"dd mmm yy"))&amp;" "&amp;Milestones!$AB$107&amp;" "&amp;Milestones!$AC$107&amp;";  ","")&amp;IF(AND(EDATE($D60,Milestones!$AA$108)&lt;=AsOfDate,IF($R60=0,$X60,IF(AND($T60&lt;&gt;"",EDATE($D60,Milestones!$AA$108)&gt;=$T60),$W60,IF(AND($S60&lt;&gt;"",EDATE($D60,Milestones!$AA$108)&gt;=$S60),$V60,$U60)))=Milestones!$AB$108),UPPER(TEXT(EDATE($D60,Milestones!$AA$108),"dd mmm yy"))&amp;" "&amp;Milestones!$AB$108&amp;" "&amp;Milestones!$AC$108&amp;";  ","")&amp;IF(AND(EDATE($D60,Milestones!$AA$109)&lt;=AsOfDate,IF($R60=0,$X60,IF(AND($T60&lt;&gt;"",EDATE($D60,Milestones!$AA$109)&gt;=$T60),$W60,IF(AND($S60&lt;&gt;"",EDATE($D60,Milestones!$AA$109)&gt;=$S60),$V60,$U60)))=Milestones!$AB$109),UPPER(TEXT(EDATE($D60,Milestones!$AA$109),"dd mmm yy"))&amp;" "&amp;Milestones!$AB$109&amp;" "&amp;Milestones!$AC$109&amp;";  ","")&amp;IF(AND(EDATE($D60,Milestones!$AA$110)&lt;=AsOfDate,IF($R60=0,$X60,IF(AND($T60&lt;&gt;"",EDATE($D60,Milestones!$AA$110)&gt;=$T60),$W60,IF(AND($S60&lt;&gt;"",EDATE($D60,Milestones!$AA$110)&gt;=$S60),$V60,$U60)))=Milestones!$AB$110),UPPER(TEXT(EDATE($D60,Milestones!$AA$110),"dd mmm yy"))&amp;" "&amp;Milestones!$AB$110&amp;" "&amp;Milestones!$AC$110&amp;";  ","")&amp;IF(AND(EDATE($D60,Milestones!$AA$111)&lt;=AsOfDate,IF($R60=0,$X60,IF(AND($T60&lt;&gt;"",EDATE($D60,Milestones!$AA$111)&gt;=$T60),$W60,IF(AND($S60&lt;&gt;"",EDATE($D60,Milestones!$AA$111)&gt;=$S60),$V60,$U60)))=Milestones!$AB$111),UPPER(TEXT(EDATE($D60,Milestones!$AA$111),"dd mmm yy"))&amp;" "&amp;Milestones!$AB$111&amp;" "&amp;Milestones!$AC$111&amp;";  ","")&amp;IF(AND(EDATE($D60,Milestones!$AA$112)&lt;=AsOfDate,IF($R60=0,$X60,IF(AND($T60&lt;&gt;"",EDATE($D60,Milestones!$AA$112)&gt;=$T60),$W60,IF(AND($S60&lt;&gt;"",EDATE($D60,Milestones!$AA$112)&gt;=$S60),$V60,$U60)))=Milestones!$AB$112),UPPER(TEXT(EDATE($D60,Milestones!$AA$112),"dd mmm yy"))&amp;" "&amp;Milestones!$AB$112&amp;" "&amp;Milestones!$AC$112&amp;";  ","")&amp;IF(AND(EDATE($D60,Milestones!$AA$113)&lt;=AsOfDate,IF($R60=0,$X60,IF(AND($T60&lt;&gt;"",EDATE($D60,Milestones!$AA$113)&gt;=$T60),$W60,IF(AND($S60&lt;&gt;"",EDATE($D60,Milestones!$AA$113)&gt;=$S60),$V60,$U60)))=Milestones!$AB$113),UPPER(TEXT(EDATE($D60,Milestones!$AA$113),"dd mmm yy"))&amp;" "&amp;Milestones!$AB$113&amp;" "&amp;Milestones!$AC$113&amp;";  ","")&amp;IF(AND(EDATE($D60,Milestones!$AA$114)&lt;=AsOfDate,IF($R60=0,$X60,IF(AND($T60&lt;&gt;"",EDATE($D60,Milestones!$AA$114)&gt;=$T60),$W60,IF(AND($S60&lt;&gt;"",EDATE($D60,Milestones!$AA$114)&gt;=$S60),$V60,$U60)))=Milestones!$AB$114),UPPER(TEXT(EDATE($D60,Milestones!$AA$114),"dd mmm yy"))&amp;" "&amp;Milestones!$AB$114&amp;" "&amp;Milestones!$AC$114&amp;";  ","")&amp;IF(AND(EDATE($D60,Milestones!$AA$115)&lt;=AsOfDate,IF($R60=0,$X60,IF(AND($T60&lt;&gt;"",EDATE($D60,Milestones!$AA$115)&gt;=$T60),$W60,IF(AND($S60&lt;&gt;"",EDATE($D60,Milestones!$AA$115)&gt;=$S60),$V60,$U60)))=Milestones!$AB$115),UPPER(TEXT(EDATE($D60,Milestones!$AA$115),"dd mmm yy"))&amp;" "&amp;Milestones!$AB$115&amp;" "&amp;Milestones!$AC$115&amp;";  ","")&amp;IF(AND(EDATE($D60,Milestones!$AA$116)&lt;=AsOfDate,IF($R60=0,$X60,IF(AND($T60&lt;&gt;"",EDATE($D60,Milestones!$AA$116)&gt;=$T60),$W60,IF(AND($S60&lt;&gt;"",EDATE($D60,Milestones!$AA$116)&gt;=$S60),$V60,$U60)))=Milestones!$AB$116),UPPER(TEXT(EDATE($D60,Milestones!$AA$116),"dd mmm yy"))&amp;" "&amp;Milestones!$AB$116&amp;" "&amp;Milestones!$AC$116&amp;";  ","")&amp;IF(AND(EDATE($D60,Milestones!$AA$117)&lt;=AsOfDate,IF($R60=0,$X60,IF(AND($T60&lt;&gt;"",EDATE($D60,Milestones!$AA$117)&gt;=$T60),$W60,IF(AND($S60&lt;&gt;"",EDATE($D60,Milestones!$AA$117)&gt;=$S60),$V60,$U60)))=Milestones!$AB$117),UPPER(TEXT(EDATE($D60,Milestones!$AA$117),"dd mmm yy"))&amp;" "&amp;Milestones!$AB$117&amp;" "&amp;Milestones!$AC$117&amp;";  ","")&amp;IF(AND(EDATE($D60,Milestones!$AA$118)&lt;=AsOfDate,IF($R60=0,$X60,IF(AND($T60&lt;&gt;"",EDATE($D60,Milestones!$AA$118)&gt;=$T60),$W60,IF(AND($S60&lt;&gt;"",EDATE($D60,Milestones!$AA$118)&gt;=$S60),$V60,$U60)))=Milestones!$AB$118),UPPER(TEXT(EDATE($D60,Milestones!$AA$118),"dd mmm yy"))&amp;" "&amp;Milestones!$AB$118&amp;" "&amp;Milestones!$AC$118&amp;";  ","")&amp;IF(AND(EDATE($D60,Milestones!$AA$119)&lt;=AsOfDate,IF($R60=0,$X60,IF(AND($T60&lt;&gt;"",EDATE($D60,Milestones!$AA$119)&gt;=$T60),$W60,IF(AND($S60&lt;&gt;"",EDATE($D60,Milestones!$AA$119)&gt;=$S60),$V60,$U60)))=Milestones!$AB$119),UPPER(TEXT(EDATE($D60,Milestones!$AA$119),"dd mmm yy"))&amp;" "&amp;Milestones!$AB$119&amp;" "&amp;Milestones!$AC$119&amp;";  ",""))</f>
        <v/>
      </c>
      <c r="N60" s="0" t="str">
        <f aca="false">IF(OR($A60="",$D60=""),"",IF(AND(EDATE($D60,Milestones!$AA$120)&lt;=AsOfDate,IF($R60=0,$X60,IF(AND($T60&lt;&gt;"",EDATE($D60,Milestones!$AA$120)&gt;=$T60),$W60,IF(AND($S60&lt;&gt;"",EDATE($D60,Milestones!$AA$120)&gt;=$S60),$V60,$U60)))=Milestones!$AB$120),UPPER(TEXT(EDATE($D60,Milestones!$AA$120),"dd mmm yy"))&amp;" "&amp;Milestones!$AB$120&amp;" "&amp;Milestones!$AC$120&amp;";  ","")&amp;IF(AND(EDATE($D60,Milestones!$AA$121)&lt;=AsOfDate,IF($R60=0,$X60,IF(AND($T60&lt;&gt;"",EDATE($D60,Milestones!$AA$121)&gt;=$T60),$W60,IF(AND($S60&lt;&gt;"",EDATE($D60,Milestones!$AA$121)&gt;=$S60),$V60,$U60)))=Milestones!$AB$121),UPPER(TEXT(EDATE($D60,Milestones!$AA$121),"dd mmm yy"))&amp;" "&amp;Milestones!$AB$121&amp;" "&amp;Milestones!$AC$121&amp;";  ","")&amp;IF(AND(EDATE($D60,Milestones!$AA$122)&lt;=AsOfDate,IF($R60=0,$X60,IF(AND($T60&lt;&gt;"",EDATE($D60,Milestones!$AA$122)&gt;=$T60),$W60,IF(AND($S60&lt;&gt;"",EDATE($D60,Milestones!$AA$122)&gt;=$S60),$V60,$U60)))=Milestones!$AB$122),UPPER(TEXT(EDATE($D60,Milestones!$AA$122),"dd mmm yy"))&amp;" "&amp;Milestones!$AB$122&amp;" "&amp;Milestones!$AC$122&amp;";  ","")&amp;IF(AND(EDATE($D60,Milestones!$AA$123)&lt;=AsOfDate,IF($R60=0,$X60,IF(AND($T60&lt;&gt;"",EDATE($D60,Milestones!$AA$123)&gt;=$T60),$W60,IF(AND($S60&lt;&gt;"",EDATE($D60,Milestones!$AA$123)&gt;=$S60),$V60,$U60)))=Milestones!$AB$123),UPPER(TEXT(EDATE($D60,Milestones!$AA$123),"dd mmm yy"))&amp;" "&amp;Milestones!$AB$123&amp;" "&amp;Milestones!$AC$123&amp;";  ","")&amp;IF(AND(EDATE($D60,Milestones!$AA$124)&lt;=AsOfDate,IF($R60=0,$X60,IF(AND($T60&lt;&gt;"",EDATE($D60,Milestones!$AA$124)&gt;=$T60),$W60,IF(AND($S60&lt;&gt;"",EDATE($D60,Milestones!$AA$124)&gt;=$S60),$V60,$U60)))=Milestones!$AB$124),UPPER(TEXT(EDATE($D60,Milestones!$AA$124),"dd mmm yy"))&amp;" "&amp;Milestones!$AB$124&amp;" "&amp;Milestones!$AC$124&amp;";  ","")&amp;IF(AND(EDATE($D60,Milestones!$AA$125)&lt;=AsOfDate,IF($R60=0,$X60,IF(AND($T60&lt;&gt;"",EDATE($D60,Milestones!$AA$125)&gt;=$T60),$W60,IF(AND($S60&lt;&gt;"",EDATE($D60,Milestones!$AA$125)&gt;=$S60),$V60,$U60)))=Milestones!$AB$125),UPPER(TEXT(EDATE($D60,Milestones!$AA$125),"dd mmm yy"))&amp;" "&amp;Milestones!$AB$125&amp;" "&amp;Milestones!$AC$125&amp;";  ","")&amp;IF(AND(EDATE($D60,Milestones!$AA$126)&lt;=AsOfDate,IF($R60=0,$X60,IF(AND($T60&lt;&gt;"",EDATE($D60,Milestones!$AA$126)&gt;=$T60),$W60,IF(AND($S60&lt;&gt;"",EDATE($D60,Milestones!$AA$126)&gt;=$S60),$V60,$U60)))=Milestones!$AB$126),UPPER(TEXT(EDATE($D60,Milestones!$AA$126),"dd mmm yy"))&amp;" "&amp;Milestones!$AB$126&amp;" "&amp;Milestones!$AC$126&amp;";  ","")&amp;IF(AND(EDATE($D60,Milestones!$AA$127)&lt;=AsOfDate,IF($R60=0,$X60,IF(AND($T60&lt;&gt;"",EDATE($D60,Milestones!$AA$127)&gt;=$T60),$W60,IF(AND($S60&lt;&gt;"",EDATE($D60,Milestones!$AA$127)&gt;=$S60),$V60,$U60)))=Milestones!$AB$127),UPPER(TEXT(EDATE($D60,Milestones!$AA$127),"dd mmm yy"))&amp;" "&amp;Milestones!$AB$127&amp;" "&amp;Milestones!$AC$127&amp;";  ","")&amp;IF(AND(EDATE($D60,Milestones!$AA$128)&lt;=AsOfDate,IF($R60=0,$X60,IF(AND($T60&lt;&gt;"",EDATE($D60,Milestones!$AA$128)&gt;=$T60),$W60,IF(AND($S60&lt;&gt;"",EDATE($D60,Milestones!$AA$128)&gt;=$S60),$V60,$U60)))=Milestones!$AB$128),UPPER(TEXT(EDATE($D60,Milestones!$AA$128),"dd mmm yy"))&amp;" "&amp;Milestones!$AB$128&amp;" "&amp;Milestones!$AC$128&amp;";  ","")&amp;IF(AND(EDATE($D60,Milestones!$AA$129)&lt;=AsOfDate,IF($R60=0,$X60,IF(AND($T60&lt;&gt;"",EDATE($D60,Milestones!$AA$129)&gt;=$T60),$W60,IF(AND($S60&lt;&gt;"",EDATE($D60,Milestones!$AA$129)&gt;=$S60),$V60,$U60)))=Milestones!$AB$129),UPPER(TEXT(EDATE($D60,Milestones!$AA$129),"dd mmm yy"))&amp;" "&amp;Milestones!$AB$129&amp;" "&amp;Milestones!$AC$129&amp;";  ","")&amp;IF(AND(EDATE($D60,Milestones!$AA$130)&lt;=AsOfDate,IF($R60=0,$X60,IF(AND($T60&lt;&gt;"",EDATE($D60,Milestones!$AA$130)&gt;=$T60),$W60,IF(AND($S60&lt;&gt;"",EDATE($D60,Milestones!$AA$130)&gt;=$S60),$V60,$U60)))=Milestones!$AB$130),UPPER(TEXT(EDATE($D60,Milestones!$AA$130),"dd mmm yy"))&amp;" "&amp;Milestones!$AB$130&amp;" "&amp;Milestones!$AC$130&amp;";  ","")&amp;IF(AND(EDATE($D60,Milestones!$AA$131)&lt;=AsOfDate,IF($R60=0,$X60,IF(AND($T60&lt;&gt;"",EDATE($D60,Milestones!$AA$131)&gt;=$T60),$W60,IF(AND($S60&lt;&gt;"",EDATE($D60,Milestones!$AA$131)&gt;=$S60),$V60,$U60)))=Milestones!$AB$131),UPPER(TEXT(EDATE($D60,Milestones!$AA$131),"dd mmm yy"))&amp;" "&amp;Milestones!$AB$131&amp;" "&amp;Milestones!$AC$131&amp;";  ","")&amp;IF(AND(EDATE($D60,Milestones!$AA$132)&lt;=AsOfDate,IF($R60=0,$X60,IF(AND($T60&lt;&gt;"",EDATE($D60,Milestones!$AA$132)&gt;=$T60),$W60,IF(AND($S60&lt;&gt;"",EDATE($D60,Milestones!$AA$132)&gt;=$S60),$V60,$U60)))=Milestones!$AB$132),UPPER(TEXT(EDATE($D60,Milestones!$AA$132),"dd mmm yy"))&amp;" "&amp;Milestones!$AB$132&amp;" "&amp;Milestones!$AC$132&amp;";  ","")&amp;IF(AND(EDATE($D60,Milestones!$AA$133)&lt;=AsOfDate,IF($R60=0,$X60,IF(AND($T60&lt;&gt;"",EDATE($D60,Milestones!$AA$133)&gt;=$T60),$W60,IF(AND($S60&lt;&gt;"",EDATE($D60,Milestones!$AA$133)&gt;=$S60),$V60,$U60)))=Milestones!$AB$133),UPPER(TEXT(EDATE($D60,Milestones!$AA$133),"dd mmm yy"))&amp;" "&amp;Milestones!$AB$133&amp;" "&amp;Milestones!$AC$133&amp;";  ","")&amp;IF(AND(EDATE($D60,Milestones!$AA$134)&lt;=AsOfDate,IF($R60=0,$X60,IF(AND($T60&lt;&gt;"",EDATE($D60,Milestones!$AA$134)&gt;=$T60),$W60,IF(AND($S60&lt;&gt;"",EDATE($D60,Milestones!$AA$134)&gt;=$S60),$V60,$U60)))=Milestones!$AB$134),UPPER(TEXT(EDATE($D60,Milestones!$AA$134),"dd mmm yy"))&amp;" "&amp;Milestones!$AB$134&amp;" "&amp;Milestones!$AC$134&amp;";  ","")&amp;IF(AND(EDATE($D60,Milestones!$AA$135)&lt;=AsOfDate,IF($R60=0,$X60,IF(AND($T60&lt;&gt;"",EDATE($D60,Milestones!$AA$135)&gt;=$T60),$W60,IF(AND($S60&lt;&gt;"",EDATE($D60,Milestones!$AA$135)&gt;=$S60),$V60,$U60)))=Milestones!$AB$135),UPPER(TEXT(EDATE($D60,Milestones!$AA$135),"dd mmm yy"))&amp;" "&amp;Milestones!$AB$135&amp;" "&amp;Milestones!$AC$135&amp;";  ","")&amp;IF(AND(EDATE($D60,Milestones!$AA$136)&lt;=AsOfDate,IF($R60=0,$X60,IF(AND($T60&lt;&gt;"",EDATE($D60,Milestones!$AA$136)&gt;=$T60),$W60,IF(AND($S60&lt;&gt;"",EDATE($D60,Milestones!$AA$136)&gt;=$S60),$V60,$U60)))=Milestones!$AB$136),UPPER(TEXT(EDATE($D60,Milestones!$AA$136),"dd mmm yy"))&amp;" "&amp;Milestones!$AB$136&amp;" "&amp;Milestones!$AC$136&amp;";  ","")&amp;IF(AND(EDATE($D60,Milestones!$AA$137)&lt;=AsOfDate,IF($R60=0,$X60,IF(AND($T60&lt;&gt;"",EDATE($D60,Milestones!$AA$137)&gt;=$T60),$W60,IF(AND($S60&lt;&gt;"",EDATE($D60,Milestones!$AA$137)&gt;=$S60),$V60,$U60)))=Milestones!$AB$137),UPPER(TEXT(EDATE($D60,Milestones!$AA$137),"dd mmm yy"))&amp;" "&amp;Milestones!$AB$137&amp;" "&amp;Milestones!$AC$137&amp;";  ","")&amp;IF(AND(EDATE($D60,Milestones!$AA$138)&lt;=AsOfDate,IF($R60=0,$X60,IF(AND($T60&lt;&gt;"",EDATE($D60,Milestones!$AA$138)&gt;=$T60),$W60,IF(AND($S60&lt;&gt;"",EDATE($D60,Milestones!$AA$138)&gt;=$S60),$V60,$U60)))=Milestones!$AB$138),UPPER(TEXT(EDATE($D60,Milestones!$AA$138),"dd mmm yy"))&amp;" "&amp;Milestones!$AB$138&amp;" "&amp;Milestones!$AC$138&amp;";  ","")&amp;IF(AND(EDATE($D60,Milestones!$AA$139)&lt;=AsOfDate,IF($R60=0,$X60,IF(AND($T60&lt;&gt;"",EDATE($D60,Milestones!$AA$139)&gt;=$T60),$W60,IF(AND($S60&lt;&gt;"",EDATE($D60,Milestones!$AA$139)&gt;=$S60),$V60,$U60)))=Milestones!$AB$139),UPPER(TEXT(EDATE($D60,Milestones!$AA$139),"dd mmm yy"))&amp;" "&amp;Milestones!$AB$139&amp;" "&amp;Milestones!$AC$139&amp;";  ",""))</f>
        <v/>
      </c>
      <c r="O60" s="0" t="str">
        <f aca="false">IF(OR($A60="",$D60=""),"",IF(AND(EDATE($D60,Milestones!$AA$140)&lt;=AsOfDate,IF($R60=0,$X60,IF(AND($T60&lt;&gt;"",EDATE($D60,Milestones!$AA$140)&gt;=$T60),$W60,IF(AND($S60&lt;&gt;"",EDATE($D60,Milestones!$AA$140)&gt;=$S60),$V60,$U60)))=Milestones!$AB$140),UPPER(TEXT(EDATE($D60,Milestones!$AA$140),"dd mmm yy"))&amp;" "&amp;Milestones!$AB$140&amp;" "&amp;Milestones!$AC$140&amp;";  ","")&amp;IF(AND(EDATE($D60,Milestones!$AA$141)&lt;=AsOfDate,IF($R60=0,$X60,IF(AND($T60&lt;&gt;"",EDATE($D60,Milestones!$AA$141)&gt;=$T60),$W60,IF(AND($S60&lt;&gt;"",EDATE($D60,Milestones!$AA$141)&gt;=$S60),$V60,$U60)))=Milestones!$AB$141),UPPER(TEXT(EDATE($D60,Milestones!$AA$141),"dd mmm yy"))&amp;" "&amp;Milestones!$AB$141&amp;" "&amp;Milestones!$AC$141&amp;";  ","")&amp;IF(AND(EDATE($D60,Milestones!$AA$142)&lt;=AsOfDate,IF($R60=0,$X60,IF(AND($T60&lt;&gt;"",EDATE($D60,Milestones!$AA$142)&gt;=$T60),$W60,IF(AND($S60&lt;&gt;"",EDATE($D60,Milestones!$AA$142)&gt;=$S60),$V60,$U60)))=Milestones!$AB$142),UPPER(TEXT(EDATE($D60,Milestones!$AA$142),"dd mmm yy"))&amp;" "&amp;Milestones!$AB$142&amp;" "&amp;Milestones!$AC$142&amp;";  ","")&amp;IF(AND(EDATE($D60,Milestones!$AA$143)&lt;=AsOfDate,IF($R60=0,$X60,IF(AND($T60&lt;&gt;"",EDATE($D60,Milestones!$AA$143)&gt;=$T60),$W60,IF(AND($S60&lt;&gt;"",EDATE($D60,Milestones!$AA$143)&gt;=$S60),$V60,$U60)))=Milestones!$AB$143),UPPER(TEXT(EDATE($D60,Milestones!$AA$143),"dd mmm yy"))&amp;" "&amp;Milestones!$AB$143&amp;" "&amp;Milestones!$AC$143&amp;";  ","")&amp;IF(AND(EDATE($D60,Milestones!$AA$144)&lt;=AsOfDate,IF($R60=0,$X60,IF(AND($T60&lt;&gt;"",EDATE($D60,Milestones!$AA$144)&gt;=$T60),$W60,IF(AND($S60&lt;&gt;"",EDATE($D60,Milestones!$AA$144)&gt;=$S60),$V60,$U60)))=Milestones!$AB$144),UPPER(TEXT(EDATE($D60,Milestones!$AA$144),"dd mmm yy"))&amp;" "&amp;Milestones!$AB$144&amp;" "&amp;Milestones!$AC$144&amp;";  ","")&amp;IF(AND(EDATE($D60,Milestones!$AA$145)&lt;=AsOfDate,IF($R60=0,$X60,IF(AND($T60&lt;&gt;"",EDATE($D60,Milestones!$AA$145)&gt;=$T60),$W60,IF(AND($S60&lt;&gt;"",EDATE($D60,Milestones!$AA$145)&gt;=$S60),$V60,$U60)))=Milestones!$AB$145),UPPER(TEXT(EDATE($D60,Milestones!$AA$145),"dd mmm yy"))&amp;" "&amp;Milestones!$AB$145&amp;" "&amp;Milestones!$AC$145&amp;";  ","")&amp;IF(AND(EDATE($D60,Milestones!$AA$146)&lt;=AsOfDate,IF($R60=0,$X60,IF(AND($T60&lt;&gt;"",EDATE($D60,Milestones!$AA$146)&gt;=$T60),$W60,IF(AND($S60&lt;&gt;"",EDATE($D60,Milestones!$AA$146)&gt;=$S60),$V60,$U60)))=Milestones!$AB$146),UPPER(TEXT(EDATE($D60,Milestones!$AA$146),"dd mmm yy"))&amp;" "&amp;Milestones!$AB$146&amp;" "&amp;Milestones!$AC$146&amp;";  ","")&amp;IF(AND(EDATE($D60,Milestones!$AA$147)&lt;=AsOfDate,IF($R60=0,$X60,IF(AND($T60&lt;&gt;"",EDATE($D60,Milestones!$AA$147)&gt;=$T60),$W60,IF(AND($S60&lt;&gt;"",EDATE($D60,Milestones!$AA$147)&gt;=$S60),$V60,$U60)))=Milestones!$AB$147),UPPER(TEXT(EDATE($D60,Milestones!$AA$147),"dd mmm yy"))&amp;" "&amp;Milestones!$AB$147&amp;" "&amp;Milestones!$AC$147&amp;";  ","")&amp;IF(AND(EDATE($D60,Milestones!$AA$148)&lt;=AsOfDate,IF($R60=0,$X60,IF(AND($T60&lt;&gt;"",EDATE($D60,Milestones!$AA$148)&gt;=$T60),$W60,IF(AND($S60&lt;&gt;"",EDATE($D60,Milestones!$AA$148)&gt;=$S60),$V60,$U60)))=Milestones!$AB$148),UPPER(TEXT(EDATE($D60,Milestones!$AA$148),"dd mmm yy"))&amp;" "&amp;Milestones!$AB$148&amp;" "&amp;Milestones!$AC$148&amp;";  ","")&amp;IF(AND(EDATE($D60,Milestones!$AA$149)&lt;=AsOfDate,IF($R60=0,$X60,IF(AND($T60&lt;&gt;"",EDATE($D60,Milestones!$AA$149)&gt;=$T60),$W60,IF(AND($S60&lt;&gt;"",EDATE($D60,Milestones!$AA$149)&gt;=$S60),$V60,$U60)))=Milestones!$AB$149),UPPER(TEXT(EDATE($D60,Milestones!$AA$149),"dd mmm yy"))&amp;" "&amp;Milestones!$AB$149&amp;" "&amp;Milestones!$AC$149&amp;";  ","")&amp;IF(AND(EDATE($D60,Milestones!$AA$150)&lt;=AsOfDate,IF($R60=0,$X60,IF(AND($T60&lt;&gt;"",EDATE($D60,Milestones!$AA$150)&gt;=$T60),$W60,IF(AND($S60&lt;&gt;"",EDATE($D60,Milestones!$AA$150)&gt;=$S60),$V60,$U60)))=Milestones!$AB$150),UPPER(TEXT(EDATE($D60,Milestones!$AA$150),"dd mmm yy"))&amp;" "&amp;Milestones!$AB$150&amp;" "&amp;Milestones!$AC$150&amp;";  ","")&amp;IF(AND(EDATE($D60,Milestones!$AA$151)&lt;=AsOfDate,IF($R60=0,$X60,IF(AND($T60&lt;&gt;"",EDATE($D60,Milestones!$AA$151)&gt;=$T60),$W60,IF(AND($S60&lt;&gt;"",EDATE($D60,Milestones!$AA$151)&gt;=$S60),$V60,$U60)))=Milestones!$AB$151),UPPER(TEXT(EDATE($D60,Milestones!$AA$151),"dd mmm yy"))&amp;" "&amp;Milestones!$AB$151&amp;" "&amp;Milestones!$AC$151&amp;";  ","")&amp;IF(AND(EDATE($D60,Milestones!$AA$152)&lt;=AsOfDate,IF($R60=0,$X60,IF(AND($T60&lt;&gt;"",EDATE($D60,Milestones!$AA$152)&gt;=$T60),$W60,IF(AND($S60&lt;&gt;"",EDATE($D60,Milestones!$AA$152)&gt;=$S60),$V60,$U60)))=Milestones!$AB$152),UPPER(TEXT(EDATE($D60,Milestones!$AA$152),"dd mmm yy"))&amp;" "&amp;Milestones!$AB$152&amp;" "&amp;Milestones!$AC$152&amp;";  ","")&amp;IF(AND(EDATE($D60,Milestones!$AA$153)&lt;=AsOfDate,IF($R60=0,$X60,IF(AND($T60&lt;&gt;"",EDATE($D60,Milestones!$AA$153)&gt;=$T60),$W60,IF(AND($S60&lt;&gt;"",EDATE($D60,Milestones!$AA$153)&gt;=$S60),$V60,$U60)))=Milestones!$AB$153),UPPER(TEXT(EDATE($D60,Milestones!$AA$153),"dd mmm yy"))&amp;" "&amp;Milestones!$AB$153&amp;" "&amp;Milestones!$AC$153&amp;";  ","")&amp;IF(AND(EDATE($D60,Milestones!$AA$154)&lt;=AsOfDate,IF($R60=0,$X60,IF(AND($T60&lt;&gt;"",EDATE($D60,Milestones!$AA$154)&gt;=$T60),$W60,IF(AND($S60&lt;&gt;"",EDATE($D60,Milestones!$AA$154)&gt;=$S60),$V60,$U60)))=Milestones!$AB$154),UPPER(TEXT(EDATE($D60,Milestones!$AA$154),"dd mmm yy"))&amp;" "&amp;Milestones!$AB$154&amp;" "&amp;Milestones!$AC$154&amp;";  ","")&amp;IF(AND(EDATE($D60,Milestones!$AA$155)&lt;=AsOfDate,IF($R60=0,$X60,IF(AND($T60&lt;&gt;"",EDATE($D60,Milestones!$AA$155)&gt;=$T60),$W60,IF(AND($S60&lt;&gt;"",EDATE($D60,Milestones!$AA$155)&gt;=$S60),$V60,$U60)))=Milestones!$AB$155),UPPER(TEXT(EDATE($D60,Milestones!$AA$155),"dd mmm yy"))&amp;" "&amp;Milestones!$AB$155&amp;" "&amp;Milestones!$AC$155&amp;";  ","")&amp;IF(AND(EDATE($D60,Milestones!$AA$156)&lt;=AsOfDate,IF($R60=0,$X60,IF(AND($T60&lt;&gt;"",EDATE($D60,Milestones!$AA$156)&gt;=$T60),$W60,IF(AND($S60&lt;&gt;"",EDATE($D60,Milestones!$AA$156)&gt;=$S60),$V60,$U60)))=Milestones!$AB$156),UPPER(TEXT(EDATE($D60,Milestones!$AA$156),"dd mmm yy"))&amp;" "&amp;Milestones!$AB$156&amp;" "&amp;Milestones!$AC$156&amp;";  ","")&amp;IF(AND(EDATE($D60,Milestones!$AA$157)&lt;=AsOfDate,IF($R60=0,$X60,IF(AND($T60&lt;&gt;"",EDATE($D60,Milestones!$AA$157)&gt;=$T60),$W60,IF(AND($S60&lt;&gt;"",EDATE($D60,Milestones!$AA$157)&gt;=$S60),$V60,$U60)))=Milestones!$AB$157),UPPER(TEXT(EDATE($D60,Milestones!$AA$157),"dd mmm yy"))&amp;" "&amp;Milestones!$AB$157&amp;" "&amp;Milestones!$AC$157&amp;";  ","")&amp;IF(AND(EDATE($D60,Milestones!$AA$158)&lt;=AsOfDate,IF($R60=0,$X60,IF(AND($T60&lt;&gt;"",EDATE($D60,Milestones!$AA$158)&gt;=$T60),$W60,IF(AND($S60&lt;&gt;"",EDATE($D60,Milestones!$AA$158)&gt;=$S60),$V60,$U60)))=Milestones!$AB$158),UPPER(TEXT(EDATE($D60,Milestones!$AA$158),"dd mmm yy"))&amp;" "&amp;Milestones!$AB$158&amp;" "&amp;Milestones!$AC$158&amp;";  ","")&amp;IF(AND(EDATE($D60,Milestones!$AA$159)&lt;=AsOfDate,IF($R60=0,$X60,IF(AND($T60&lt;&gt;"",EDATE($D60,Milestones!$AA$159)&gt;=$T60),$W60,IF(AND($S60&lt;&gt;"",EDATE($D60,Milestones!$AA$159)&gt;=$S60),$V60,$U60)))=Milestones!$AB$159),UPPER(TEXT(EDATE($D60,Milestones!$AA$159),"dd mmm yy"))&amp;" "&amp;Milestones!$AB$159&amp;" "&amp;Milestones!$AC$159&amp;";  ",""))</f>
        <v/>
      </c>
      <c r="P60" s="0" t="str">
        <f aca="false">IF(OR($A60="",$D60=""),"",IF(AND(EDATE($D60,Milestones!$AA$160)&lt;=AsOfDate,IF($R60=0,$X60,IF(AND($T60&lt;&gt;"",EDATE($D60,Milestones!$AA$160)&gt;=$T60),$W60,IF(AND($S60&lt;&gt;"",EDATE($D60,Milestones!$AA$160)&gt;=$S60),$V60,$U60)))=Milestones!$AB$160),UPPER(TEXT(EDATE($D60,Milestones!$AA$160),"dd mmm yy"))&amp;" "&amp;Milestones!$AB$160&amp;" "&amp;Milestones!$AC$160&amp;";  ","")&amp;IF(AND(EDATE($D60,Milestones!$AA$161)&lt;=AsOfDate,IF($R60=0,$X60,IF(AND($T60&lt;&gt;"",EDATE($D60,Milestones!$AA$161)&gt;=$T60),$W60,IF(AND($S60&lt;&gt;"",EDATE($D60,Milestones!$AA$161)&gt;=$S60),$V60,$U60)))=Milestones!$AB$161),UPPER(TEXT(EDATE($D60,Milestones!$AA$161),"dd mmm yy"))&amp;" "&amp;Milestones!$AB$161&amp;" "&amp;Milestones!$AC$161&amp;";  ","")&amp;IF(AND(EDATE($D60,Milestones!$AA$162)&lt;=AsOfDate,IF($R60=0,$X60,IF(AND($T60&lt;&gt;"",EDATE($D60,Milestones!$AA$162)&gt;=$T60),$W60,IF(AND($S60&lt;&gt;"",EDATE($D60,Milestones!$AA$162)&gt;=$S60),$V60,$U60)))=Milestones!$AB$162),UPPER(TEXT(EDATE($D60,Milestones!$AA$162),"dd mmm yy"))&amp;" "&amp;Milestones!$AB$162&amp;" "&amp;Milestones!$AC$162&amp;";  ","")&amp;IF(AND(EDATE($D60,Milestones!$AA$163)&lt;=AsOfDate,IF($R60=0,$X60,IF(AND($T60&lt;&gt;"",EDATE($D60,Milestones!$AA$163)&gt;=$T60),$W60,IF(AND($S60&lt;&gt;"",EDATE($D60,Milestones!$AA$163)&gt;=$S60),$V60,$U60)))=Milestones!$AB$163),UPPER(TEXT(EDATE($D60,Milestones!$AA$163),"dd mmm yy"))&amp;" "&amp;Milestones!$AB$163&amp;" "&amp;Milestones!$AC$163&amp;";  ","")&amp;IF(AND(EDATE($D60,Milestones!$AA$164)&lt;=AsOfDate,IF($R60=0,$X60,IF(AND($T60&lt;&gt;"",EDATE($D60,Milestones!$AA$164)&gt;=$T60),$W60,IF(AND($S60&lt;&gt;"",EDATE($D60,Milestones!$AA$164)&gt;=$S60),$V60,$U60)))=Milestones!$AB$164),UPPER(TEXT(EDATE($D60,Milestones!$AA$164),"dd mmm yy"))&amp;" "&amp;Milestones!$AB$164&amp;" "&amp;Milestones!$AC$164&amp;";  ","")&amp;IF(AND(EDATE($D60,Milestones!$AA$165)&lt;=AsOfDate,IF($R60=0,$X60,IF(AND($T60&lt;&gt;"",EDATE($D60,Milestones!$AA$165)&gt;=$T60),$W60,IF(AND($S60&lt;&gt;"",EDATE($D60,Milestones!$AA$165)&gt;=$S60),$V60,$U60)))=Milestones!$AB$165),UPPER(TEXT(EDATE($D60,Milestones!$AA$165),"dd mmm yy"))&amp;" "&amp;Milestones!$AB$165&amp;" "&amp;Milestones!$AC$165&amp;";  ","")&amp;IF(AND(EDATE($D60,Milestones!$AA$166)&lt;=AsOfDate,IF($R60=0,$X60,IF(AND($T60&lt;&gt;"",EDATE($D60,Milestones!$AA$166)&gt;=$T60),$W60,IF(AND($S60&lt;&gt;"",EDATE($D60,Milestones!$AA$166)&gt;=$S60),$V60,$U60)))=Milestones!$AB$166),UPPER(TEXT(EDATE($D60,Milestones!$AA$166),"dd mmm yy"))&amp;" "&amp;Milestones!$AB$166&amp;" "&amp;Milestones!$AC$166&amp;";  ","")&amp;IF(AND(EDATE($D60,Milestones!$AA$167)&lt;=AsOfDate,IF($R60=0,$X60,IF(AND($T60&lt;&gt;"",EDATE($D60,Milestones!$AA$167)&gt;=$T60),$W60,IF(AND($S60&lt;&gt;"",EDATE($D60,Milestones!$AA$167)&gt;=$S60),$V60,$U60)))=Milestones!$AB$167),UPPER(TEXT(EDATE($D60,Milestones!$AA$167),"dd mmm yy"))&amp;" "&amp;Milestones!$AB$167&amp;" "&amp;Milestones!$AC$167&amp;";  ","")&amp;IF(AND(EDATE($D60,Milestones!$AA$168)&lt;=AsOfDate,IF($R60=0,$X60,IF(AND($T60&lt;&gt;"",EDATE($D60,Milestones!$AA$168)&gt;=$T60),$W60,IF(AND($S60&lt;&gt;"",EDATE($D60,Milestones!$AA$168)&gt;=$S60),$V60,$U60)))=Milestones!$AB$168),UPPER(TEXT(EDATE($D60,Milestones!$AA$168),"dd mmm yy"))&amp;" "&amp;Milestones!$AB$168&amp;" "&amp;Milestones!$AC$168&amp;";  ","")&amp;IF(AND(EDATE($D60,Milestones!$AA$169)&lt;=AsOfDate,IF($R60=0,$X60,IF(AND($T60&lt;&gt;"",EDATE($D60,Milestones!$AA$169)&gt;=$T60),$W60,IF(AND($S60&lt;&gt;"",EDATE($D60,Milestones!$AA$169)&gt;=$S60),$V60,$U60)))=Milestones!$AB$169),UPPER(TEXT(EDATE($D60,Milestones!$AA$169),"dd mmm yy"))&amp;" "&amp;Milestones!$AB$169&amp;" "&amp;Milestones!$AC$169&amp;";  ","")&amp;IF(AND(EDATE($D60,Milestones!$AA$170)&lt;=AsOfDate,IF($R60=0,$X60,IF(AND($T60&lt;&gt;"",EDATE($D60,Milestones!$AA$170)&gt;=$T60),$W60,IF(AND($S60&lt;&gt;"",EDATE($D60,Milestones!$AA$170)&gt;=$S60),$V60,$U60)))=Milestones!$AB$170),UPPER(TEXT(EDATE($D60,Milestones!$AA$170),"dd mmm yy"))&amp;" "&amp;Milestones!$AB$170&amp;" "&amp;Milestones!$AC$170&amp;";  ","")&amp;IF(AND(EDATE($D60,Milestones!$AA$171)&lt;=AsOfDate,IF($R60=0,$X60,IF(AND($T60&lt;&gt;"",EDATE($D60,Milestones!$AA$171)&gt;=$T60),$W60,IF(AND($S60&lt;&gt;"",EDATE($D60,Milestones!$AA$171)&gt;=$S60),$V60,$U60)))=Milestones!$AB$171),UPPER(TEXT(EDATE($D60,Milestones!$AA$171),"dd mmm yy"))&amp;" "&amp;Milestones!$AB$171&amp;" "&amp;Milestones!$AC$171&amp;";  ","")&amp;IF(AND(EDATE($D60,Milestones!$AA$172)&lt;=AsOfDate,IF($R60=0,$X60,IF(AND($T60&lt;&gt;"",EDATE($D60,Milestones!$AA$172)&gt;=$T60),$W60,IF(AND($S60&lt;&gt;"",EDATE($D60,Milestones!$AA$172)&gt;=$S60),$V60,$U60)))=Milestones!$AB$172),UPPER(TEXT(EDATE($D60,Milestones!$AA$172),"dd mmm yy"))&amp;" "&amp;Milestones!$AB$172&amp;" "&amp;Milestones!$AC$172&amp;";  ","")&amp;IF(AND(EDATE($D60,Milestones!$AA$173)&lt;=AsOfDate,IF($R60=0,$X60,IF(AND($T60&lt;&gt;"",EDATE($D60,Milestones!$AA$173)&gt;=$T60),$W60,IF(AND($S60&lt;&gt;"",EDATE($D60,Milestones!$AA$173)&gt;=$S60),$V60,$U60)))=Milestones!$AB$173),UPPER(TEXT(EDATE($D60,Milestones!$AA$173),"dd mmm yy"))&amp;" "&amp;Milestones!$AB$173&amp;" "&amp;Milestones!$AC$173&amp;";  ","")&amp;IF(AND(EDATE($D60,Milestones!$AA$174)&lt;=AsOfDate,IF($R60=0,$X60,IF(AND($T60&lt;&gt;"",EDATE($D60,Milestones!$AA$174)&gt;=$T60),$W60,IF(AND($S60&lt;&gt;"",EDATE($D60,Milestones!$AA$174)&gt;=$S60),$V60,$U60)))=Milestones!$AB$174),UPPER(TEXT(EDATE($D60,Milestones!$AA$174),"dd mmm yy"))&amp;" "&amp;Milestones!$AB$174&amp;" "&amp;Milestones!$AC$174&amp;";  ","")&amp;IF(AND(EDATE($D60,Milestones!$AA$175)&lt;=AsOfDate,IF($R60=0,$X60,IF(AND($T60&lt;&gt;"",EDATE($D60,Milestones!$AA$175)&gt;=$T60),$W60,IF(AND($S60&lt;&gt;"",EDATE($D60,Milestones!$AA$175)&gt;=$S60),$V60,$U60)))=Milestones!$AB$175),UPPER(TEXT(EDATE($D60,Milestones!$AA$175),"dd mmm yy"))&amp;" "&amp;Milestones!$AB$175&amp;" "&amp;Milestones!$AC$175&amp;";  ","")&amp;IF(AND(EDATE($D60,Milestones!$AA$176)&lt;=AsOfDate,IF($R60=0,$X60,IF(AND($T60&lt;&gt;"",EDATE($D60,Milestones!$AA$176)&gt;=$T60),$W60,IF(AND($S60&lt;&gt;"",EDATE($D60,Milestones!$AA$176)&gt;=$S60),$V60,$U60)))=Milestones!$AB$176),UPPER(TEXT(EDATE($D60,Milestones!$AA$176),"dd mmm yy"))&amp;" "&amp;Milestones!$AB$176&amp;" "&amp;Milestones!$AC$176&amp;";  ","")&amp;IF(AND(EDATE($D60,Milestones!$AA$177)&lt;=AsOfDate,IF($R60=0,$X60,IF(AND($T60&lt;&gt;"",EDATE($D60,Milestones!$AA$177)&gt;=$T60),$W60,IF(AND($S60&lt;&gt;"",EDATE($D60,Milestones!$AA$177)&gt;=$S60),$V60,$U60)))=Milestones!$AB$177),UPPER(TEXT(EDATE($D60,Milestones!$AA$177),"dd mmm yy"))&amp;" "&amp;Milestones!$AB$177&amp;" "&amp;Milestones!$AC$177&amp;";  ","")&amp;IF(AND(EDATE($D60,Milestones!$AA$178)&lt;=AsOfDate,IF($R60=0,$X60,IF(AND($T60&lt;&gt;"",EDATE($D60,Milestones!$AA$178)&gt;=$T60),$W60,IF(AND($S60&lt;&gt;"",EDATE($D60,Milestones!$AA$178)&gt;=$S60),$V60,$U60)))=Milestones!$AB$178),UPPER(TEXT(EDATE($D60,Milestones!$AA$178),"dd mmm yy"))&amp;" "&amp;Milestones!$AB$178&amp;" "&amp;Milestones!$AC$178&amp;";  ","")&amp;IF(AND(EDATE($D60,Milestones!$AA$179)&lt;=AsOfDate,IF($R60=0,$X60,IF(AND($T60&lt;&gt;"",EDATE($D60,Milestones!$AA$179)&gt;=$T60),$W60,IF(AND($S60&lt;&gt;"",EDATE($D60,Milestones!$AA$179)&gt;=$S60),$V60,$U60)))=Milestones!$AB$179),UPPER(TEXT(EDATE($D60,Milestones!$AA$179),"dd mmm yy"))&amp;" "&amp;Milestones!$AB$179&amp;" "&amp;Milestones!$AC$179&amp;";  ",""))</f>
        <v/>
      </c>
      <c r="Q60" s="0" t="str">
        <f aca="false">IF(OR($A60="",$D60=""),"",IF(AND(EDATE($D60,Milestones!$AA$180)&lt;=AsOfDate,IF($R60=0,$X60,IF(AND($T60&lt;&gt;"",EDATE($D60,Milestones!$AA$180)&gt;=$T60),$W60,IF(AND($S60&lt;&gt;"",EDATE($D60,Milestones!$AA$180)&gt;=$S60),$V60,$U60)))=Milestones!$AB$180),UPPER(TEXT(EDATE($D60,Milestones!$AA$180),"dd mmm yy"))&amp;" "&amp;Milestones!$AB$180&amp;" "&amp;Milestones!$AC$180&amp;";  ","")&amp;IF(AND(EDATE($D60,Milestones!$AA$181)&lt;=AsOfDate,IF($R60=0,$X60,IF(AND($T60&lt;&gt;"",EDATE($D60,Milestones!$AA$181)&gt;=$T60),$W60,IF(AND($S60&lt;&gt;"",EDATE($D60,Milestones!$AA$181)&gt;=$S60),$V60,$U60)))=Milestones!$AB$181),UPPER(TEXT(EDATE($D60,Milestones!$AA$181),"dd mmm yy"))&amp;" "&amp;Milestones!$AB$181&amp;" "&amp;Milestones!$AC$181&amp;";  ","")&amp;IF(AND(EDATE($D60,Milestones!$AA$182)&lt;=AsOfDate,IF($R60=0,$X60,IF(AND($T60&lt;&gt;"",EDATE($D60,Milestones!$AA$182)&gt;=$T60),$W60,IF(AND($S60&lt;&gt;"",EDATE($D60,Milestones!$AA$182)&gt;=$S60),$V60,$U60)))=Milestones!$AB$182),UPPER(TEXT(EDATE($D60,Milestones!$AA$182),"dd mmm yy"))&amp;" "&amp;Milestones!$AB$182&amp;" "&amp;Milestones!$AC$182&amp;";  ","")&amp;IF(AND(EDATE($D60,Milestones!$AA$183)&lt;=AsOfDate,IF($R60=0,$X60,IF(AND($T60&lt;&gt;"",EDATE($D60,Milestones!$AA$183)&gt;=$T60),$W60,IF(AND($S60&lt;&gt;"",EDATE($D60,Milestones!$AA$183)&gt;=$S60),$V60,$U60)))=Milestones!$AB$183),UPPER(TEXT(EDATE($D60,Milestones!$AA$183),"dd mmm yy"))&amp;" "&amp;Milestones!$AB$183&amp;" "&amp;Milestones!$AC$183&amp;";  ","")&amp;IF(AND(EDATE($D60,Milestones!$AA$184)&lt;=AsOfDate,IF($R60=0,$X60,IF(AND($T60&lt;&gt;"",EDATE($D60,Milestones!$AA$184)&gt;=$T60),$W60,IF(AND($S60&lt;&gt;"",EDATE($D60,Milestones!$AA$184)&gt;=$S60),$V60,$U60)))=Milestones!$AB$184),UPPER(TEXT(EDATE($D60,Milestones!$AA$184),"dd mmm yy"))&amp;" "&amp;Milestones!$AB$184&amp;" "&amp;Milestones!$AC$184&amp;";  ","")&amp;IF(AND(EDATE($D60,Milestones!$AA$185)&lt;=AsOfDate,IF($R60=0,$X60,IF(AND($T60&lt;&gt;"",EDATE($D60,Milestones!$AA$185)&gt;=$T60),$W60,IF(AND($S60&lt;&gt;"",EDATE($D60,Milestones!$AA$185)&gt;=$S60),$V60,$U60)))=Milestones!$AB$185),UPPER(TEXT(EDATE($D60,Milestones!$AA$185),"dd mmm yy"))&amp;" "&amp;Milestones!$AB$185&amp;" "&amp;Milestones!$AC$185&amp;";  ","")&amp;IF(AND(EDATE($D60,Milestones!$AA$186)&lt;=AsOfDate,IF($R60=0,$X60,IF(AND($T60&lt;&gt;"",EDATE($D60,Milestones!$AA$186)&gt;=$T60),$W60,IF(AND($S60&lt;&gt;"",EDATE($D60,Milestones!$AA$186)&gt;=$S60),$V60,$U60)))=Milestones!$AB$186),UPPER(TEXT(EDATE($D60,Milestones!$AA$186),"dd mmm yy"))&amp;" "&amp;Milestones!$AB$186&amp;" "&amp;Milestones!$AC$186&amp;";  ","")&amp;IF(AND(EDATE($D60,Milestones!$AA$187)&lt;=AsOfDate,IF($R60=0,$X60,IF(AND($T60&lt;&gt;"",EDATE($D60,Milestones!$AA$187)&gt;=$T60),$W60,IF(AND($S60&lt;&gt;"",EDATE($D60,Milestones!$AA$187)&gt;=$S60),$V60,$U60)))=Milestones!$AB$187),UPPER(TEXT(EDATE($D60,Milestones!$AA$187),"dd mmm yy"))&amp;" "&amp;Milestones!$AB$187&amp;" "&amp;Milestones!$AC$187&amp;";  ","")&amp;IF(AND(EDATE($D60,Milestones!$AA$188)&lt;=AsOfDate,IF($R60=0,$X60,IF(AND($T60&lt;&gt;"",EDATE($D60,Milestones!$AA$188)&gt;=$T60),$W60,IF(AND($S60&lt;&gt;"",EDATE($D60,Milestones!$AA$188)&gt;=$S60),$V60,$U60)))=Milestones!$AB$188),UPPER(TEXT(EDATE($D60,Milestones!$AA$188),"dd mmm yy"))&amp;" "&amp;Milestones!$AB$188&amp;" "&amp;Milestones!$AC$188&amp;";  ","")&amp;IF(AND(EDATE($D60,Milestones!$AA$189)&lt;=AsOfDate,IF($R60=0,$X60,IF(AND($T60&lt;&gt;"",EDATE($D60,Milestones!$AA$189)&gt;=$T60),$W60,IF(AND($S60&lt;&gt;"",EDATE($D60,Milestones!$AA$189)&gt;=$S60),$V60,$U60)))=Milestones!$AB$189),UPPER(TEXT(EDATE($D60,Milestones!$AA$189),"dd mmm yy"))&amp;" "&amp;Milestones!$AB$189&amp;" "&amp;Milestones!$AC$189&amp;";  ","")&amp;IF(AND(EDATE($D60,Milestones!$AA$190)&lt;=AsOfDate,IF($R60=0,$X60,IF(AND($T60&lt;&gt;"",EDATE($D60,Milestones!$AA$190)&gt;=$T60),$W60,IF(AND($S60&lt;&gt;"",EDATE($D60,Milestones!$AA$190)&gt;=$S60),$V60,$U60)))=Milestones!$AB$190),UPPER(TEXT(EDATE($D60,Milestones!$AA$190),"dd mmm yy"))&amp;" "&amp;Milestones!$AB$190&amp;" "&amp;Milestones!$AC$190&amp;";  ","")&amp;IF(AND(EDATE($D60,Milestones!$AA$191)&lt;=AsOfDate,IF($R60=0,$X60,IF(AND($T60&lt;&gt;"",EDATE($D60,Milestones!$AA$191)&gt;=$T60),$W60,IF(AND($S60&lt;&gt;"",EDATE($D60,Milestones!$AA$191)&gt;=$S60),$V60,$U60)))=Milestones!$AB$191),UPPER(TEXT(EDATE($D60,Milestones!$AA$191),"dd mmm yy"))&amp;" "&amp;Milestones!$AB$191&amp;" "&amp;Milestones!$AC$191&amp;";  ","")&amp;IF(AND(EDATE($D60,Milestones!$AA$192)&lt;=AsOfDate,IF($R60=0,$X60,IF(AND($T60&lt;&gt;"",EDATE($D60,Milestones!$AA$192)&gt;=$T60),$W60,IF(AND($S60&lt;&gt;"",EDATE($D60,Milestones!$AA$192)&gt;=$S60),$V60,$U60)))=Milestones!$AB$192),UPPER(TEXT(EDATE($D60,Milestones!$AA$192),"dd mmm yy"))&amp;" "&amp;Milestones!$AB$192&amp;" "&amp;Milestones!$AC$192&amp;";  ","")&amp;IF(AND(EDATE($D60,Milestones!$AA$193)&lt;=AsOfDate,IF($R60=0,$X60,IF(AND($T60&lt;&gt;"",EDATE($D60,Milestones!$AA$193)&gt;=$T60),$W60,IF(AND($S60&lt;&gt;"",EDATE($D60,Milestones!$AA$193)&gt;=$S60),$V60,$U60)))=Milestones!$AB$193),UPPER(TEXT(EDATE($D60,Milestones!$AA$193),"dd mmm yy"))&amp;" "&amp;Milestones!$AB$193&amp;" "&amp;Milestones!$AC$193&amp;";  ","")&amp;IF(AND(EDATE($D60,Milestones!$AA$194)&lt;=AsOfDate,IF($R60=0,$X60,IF(AND($T60&lt;&gt;"",EDATE($D60,Milestones!$AA$194)&gt;=$T60),$W60,IF(AND($S60&lt;&gt;"",EDATE($D60,Milestones!$AA$194)&gt;=$S60),$V60,$U60)))=Milestones!$AB$194),UPPER(TEXT(EDATE($D60,Milestones!$AA$194),"dd mmm yy"))&amp;" "&amp;Milestones!$AB$194&amp;" "&amp;Milestones!$AC$194&amp;";  ","")&amp;IF(AND(EDATE($D60,Milestones!$AA$195)&lt;=AsOfDate,IF($R60=0,$X60,IF(AND($T60&lt;&gt;"",EDATE($D60,Milestones!$AA$195)&gt;=$T60),$W60,IF(AND($S60&lt;&gt;"",EDATE($D60,Milestones!$AA$195)&gt;=$S60),$V60,$U60)))=Milestones!$AB$195),UPPER(TEXT(EDATE($D60,Milestones!$AA$195),"dd mmm yy"))&amp;" "&amp;Milestones!$AB$195&amp;" "&amp;Milestones!$AC$195&amp;";  ","")&amp;IF(AND(EDATE($D60,Milestones!$AA$196)&lt;=AsOfDate,IF($R60=0,$X60,IF(AND($T60&lt;&gt;"",EDATE($D60,Milestones!$AA$196)&gt;=$T60),$W60,IF(AND($S60&lt;&gt;"",EDATE($D60,Milestones!$AA$196)&gt;=$S60),$V60,$U60)))=Milestones!$AB$196),UPPER(TEXT(EDATE($D60,Milestones!$AA$196),"dd mmm yy"))&amp;" "&amp;Milestones!$AB$196&amp;" "&amp;Milestones!$AC$196&amp;";  ","")&amp;IF(AND(EDATE($D60,Milestones!$AA$197)&lt;=AsOfDate,IF($R60=0,$X60,IF(AND($T60&lt;&gt;"",EDATE($D60,Milestones!$AA$197)&gt;=$T60),$W60,IF(AND($S60&lt;&gt;"",EDATE($D60,Milestones!$AA$197)&gt;=$S60),$V60,$U60)))=Milestones!$AB$197),UPPER(TEXT(EDATE($D60,Milestones!$AA$197),"dd mmm yy"))&amp;" "&amp;Milestones!$AB$197&amp;" "&amp;Milestones!$AC$197&amp;";  ","")&amp;IF(AND(EDATE($D60,Milestones!$AA$198)&lt;=AsOfDate,IF($R60=0,$X60,IF(AND($T60&lt;&gt;"",EDATE($D60,Milestones!$AA$198)&gt;=$T60),$W60,IF(AND($S60&lt;&gt;"",EDATE($D60,Milestones!$AA$198)&gt;=$S60),$V60,$U60)))=Milestones!$AB$198),UPPER(TEXT(EDATE($D60,Milestones!$AA$198),"dd mmm yy"))&amp;" "&amp;Milestones!$AB$198&amp;" "&amp;Milestones!$AC$198&amp;";  ","")&amp;IF(AND(EDATE($D60,Milestones!$AA$199)&lt;=AsOfDate,IF($R60=0,$X60,IF(AND($T60&lt;&gt;"",EDATE($D60,Milestones!$AA$199)&gt;=$T60),$W60,IF(AND($S60&lt;&gt;"",EDATE($D60,Milestones!$AA$199)&gt;=$S60),$V60,$U60)))=Milestones!$AB$199),UPPER(TEXT(EDATE($D60,Milestones!$AA$199),"dd mmm yy"))&amp;" "&amp;Milestones!$AB$199&amp;" "&amp;Milestones!$AC$199&amp;";  ",""))</f>
        <v/>
      </c>
      <c r="R60" s="33" t="n">
        <f aca="false">IF(Staff!$A60="","",Staff!$AI60)</f>
        <v>0</v>
      </c>
      <c r="S60" s="0" t="str">
        <f aca="false">IF(Staff!$A60="","",Staff!$AK60)</f>
        <v/>
      </c>
      <c r="T60" s="0" t="str">
        <f aca="false">IF(Staff!$A60="","",Staff!$AL60)</f>
        <v/>
      </c>
      <c r="U60" s="0" t="str">
        <f aca="false">IF(Staff!$A60="","",Staff!$AP60)</f>
        <v>None</v>
      </c>
      <c r="V60" s="0" t="str">
        <f aca="false">IF(Staff!$A60="","",Staff!$AQ60)</f>
        <v/>
      </c>
      <c r="W60" s="0" t="str">
        <f aca="false">IF(Staff!$A60="","",Staff!$AR60)</f>
        <v/>
      </c>
      <c r="X60" s="0" t="str">
        <f aca="false">IF(Staff!$A60="","",Staff!$AS60)</f>
        <v>None</v>
      </c>
    </row>
    <row r="61" customFormat="false" ht="15" hidden="false" customHeight="false" outlineLevel="0" collapsed="false">
      <c r="A61" s="19" t="str">
        <f aca="false">IF(Staff!$A61="","",Staff!$A61)</f>
        <v>Roger</v>
      </c>
      <c r="B61" s="19" t="str">
        <f aca="false">IF(Staff!$A61="","",Staff!$B61)</f>
        <v>Wehbe</v>
      </c>
      <c r="C61" s="19" t="str">
        <f aca="false">IF(Staff!$A61="","",Staff!$C61)</f>
        <v>Casual</v>
      </c>
      <c r="D61" s="17" t="n">
        <f aca="false">IF(Staff!$A61="","",Staff!$AH61)</f>
        <v>44677</v>
      </c>
      <c r="E61" s="20" t="n">
        <f aca="false">IF(Staff!$A61="","",Staff!$O61)</f>
        <v>0</v>
      </c>
      <c r="F61" s="19" t="n">
        <f aca="false">IF(E61="","",E61*HoursPerDay)</f>
        <v>0</v>
      </c>
      <c r="G61" s="20" t="n">
        <f aca="false">IF(Staff!$A61="","",Staff!$AE61)</f>
        <v>0</v>
      </c>
      <c r="H61" s="32" t="str">
        <f aca="false">IF($A61="","",I61&amp;J61&amp;K61&amp;L61&amp;M61&amp;N61&amp;O61&amp;P61&amp;Q61)</f>
        <v/>
      </c>
      <c r="I61" s="0" t="str">
        <f aca="false">IF(OR($A61="",$D61=""),"",IF(AND(EDATE($D61,Milestones!$AA$20)&lt;=AsOfDate,IF($R61=0,$X61,IF(AND($T61&lt;&gt;"",EDATE($D61,Milestones!$AA$20)&gt;=$T61),$W61,IF(AND($S61&lt;&gt;"",EDATE($D61,Milestones!$AA$20)&gt;=$S61),$V61,$U61)))=Milestones!$AB$20),UPPER(TEXT(EDATE($D61,Milestones!$AA$20),"dd mmm yy"))&amp;" "&amp;Milestones!$AB$20&amp;" "&amp;Milestones!$AC$20&amp;";  ","")&amp;IF(AND(EDATE($D61,Milestones!$AA$21)&lt;=AsOfDate,IF($R61=0,$X61,IF(AND($T61&lt;&gt;"",EDATE($D61,Milestones!$AA$21)&gt;=$T61),$W61,IF(AND($S61&lt;&gt;"",EDATE($D61,Milestones!$AA$21)&gt;=$S61),$V61,$U61)))=Milestones!$AB$21),UPPER(TEXT(EDATE($D61,Milestones!$AA$21),"dd mmm yy"))&amp;" "&amp;Milestones!$AB$21&amp;" "&amp;Milestones!$AC$21&amp;";  ","")&amp;IF(AND(EDATE($D61,Milestones!$AA$22)&lt;=AsOfDate,IF($R61=0,$X61,IF(AND($T61&lt;&gt;"",EDATE($D61,Milestones!$AA$22)&gt;=$T61),$W61,IF(AND($S61&lt;&gt;"",EDATE($D61,Milestones!$AA$22)&gt;=$S61),$V61,$U61)))=Milestones!$AB$22),UPPER(TEXT(EDATE($D61,Milestones!$AA$22),"dd mmm yy"))&amp;" "&amp;Milestones!$AB$22&amp;" "&amp;Milestones!$AC$22&amp;";  ","")&amp;IF(AND(EDATE($D61,Milestones!$AA$23)&lt;=AsOfDate,IF($R61=0,$X61,IF(AND($T61&lt;&gt;"",EDATE($D61,Milestones!$AA$23)&gt;=$T61),$W61,IF(AND($S61&lt;&gt;"",EDATE($D61,Milestones!$AA$23)&gt;=$S61),$V61,$U61)))=Milestones!$AB$23),UPPER(TEXT(EDATE($D61,Milestones!$AA$23),"dd mmm yy"))&amp;" "&amp;Milestones!$AB$23&amp;" "&amp;Milestones!$AC$23&amp;";  ","")&amp;IF(AND(EDATE($D61,Milestones!$AA$24)&lt;=AsOfDate,IF($R61=0,$X61,IF(AND($T61&lt;&gt;"",EDATE($D61,Milestones!$AA$24)&gt;=$T61),$W61,IF(AND($S61&lt;&gt;"",EDATE($D61,Milestones!$AA$24)&gt;=$S61),$V61,$U61)))=Milestones!$AB$24),UPPER(TEXT(EDATE($D61,Milestones!$AA$24),"dd mmm yy"))&amp;" "&amp;Milestones!$AB$24&amp;" "&amp;Milestones!$AC$24&amp;";  ","")&amp;IF(AND(EDATE($D61,Milestones!$AA$25)&lt;=AsOfDate,IF($R61=0,$X61,IF(AND($T61&lt;&gt;"",EDATE($D61,Milestones!$AA$25)&gt;=$T61),$W61,IF(AND($S61&lt;&gt;"",EDATE($D61,Milestones!$AA$25)&gt;=$S61),$V61,$U61)))=Milestones!$AB$25),UPPER(TEXT(EDATE($D61,Milestones!$AA$25),"dd mmm yy"))&amp;" "&amp;Milestones!$AB$25&amp;" "&amp;Milestones!$AC$25&amp;";  ","")&amp;IF(AND(EDATE($D61,Milestones!$AA$26)&lt;=AsOfDate,IF($R61=0,$X61,IF(AND($T61&lt;&gt;"",EDATE($D61,Milestones!$AA$26)&gt;=$T61),$W61,IF(AND($S61&lt;&gt;"",EDATE($D61,Milestones!$AA$26)&gt;=$S61),$V61,$U61)))=Milestones!$AB$26),UPPER(TEXT(EDATE($D61,Milestones!$AA$26),"dd mmm yy"))&amp;" "&amp;Milestones!$AB$26&amp;" "&amp;Milestones!$AC$26&amp;";  ","")&amp;IF(AND(EDATE($D61,Milestones!$AA$27)&lt;=AsOfDate,IF($R61=0,$X61,IF(AND($T61&lt;&gt;"",EDATE($D61,Milestones!$AA$27)&gt;=$T61),$W61,IF(AND($S61&lt;&gt;"",EDATE($D61,Milestones!$AA$27)&gt;=$S61),$V61,$U61)))=Milestones!$AB$27),UPPER(TEXT(EDATE($D61,Milestones!$AA$27),"dd mmm yy"))&amp;" "&amp;Milestones!$AB$27&amp;" "&amp;Milestones!$AC$27&amp;";  ","")&amp;IF(AND(EDATE($D61,Milestones!$AA$28)&lt;=AsOfDate,IF($R61=0,$X61,IF(AND($T61&lt;&gt;"",EDATE($D61,Milestones!$AA$28)&gt;=$T61),$W61,IF(AND($S61&lt;&gt;"",EDATE($D61,Milestones!$AA$28)&gt;=$S61),$V61,$U61)))=Milestones!$AB$28),UPPER(TEXT(EDATE($D61,Milestones!$AA$28),"dd mmm yy"))&amp;" "&amp;Milestones!$AB$28&amp;" "&amp;Milestones!$AC$28&amp;";  ","")&amp;IF(AND(EDATE($D61,Milestones!$AA$29)&lt;=AsOfDate,IF($R61=0,$X61,IF(AND($T61&lt;&gt;"",EDATE($D61,Milestones!$AA$29)&gt;=$T61),$W61,IF(AND($S61&lt;&gt;"",EDATE($D61,Milestones!$AA$29)&gt;=$S61),$V61,$U61)))=Milestones!$AB$29),UPPER(TEXT(EDATE($D61,Milestones!$AA$29),"dd mmm yy"))&amp;" "&amp;Milestones!$AB$29&amp;" "&amp;Milestones!$AC$29&amp;";  ","")&amp;IF(AND(EDATE($D61,Milestones!$AA$30)&lt;=AsOfDate,IF($R61=0,$X61,IF(AND($T61&lt;&gt;"",EDATE($D61,Milestones!$AA$30)&gt;=$T61),$W61,IF(AND($S61&lt;&gt;"",EDATE($D61,Milestones!$AA$30)&gt;=$S61),$V61,$U61)))=Milestones!$AB$30),UPPER(TEXT(EDATE($D61,Milestones!$AA$30),"dd mmm yy"))&amp;" "&amp;Milestones!$AB$30&amp;" "&amp;Milestones!$AC$30&amp;";  ","")&amp;IF(AND(EDATE($D61,Milestones!$AA$31)&lt;=AsOfDate,IF($R61=0,$X61,IF(AND($T61&lt;&gt;"",EDATE($D61,Milestones!$AA$31)&gt;=$T61),$W61,IF(AND($S61&lt;&gt;"",EDATE($D61,Milestones!$AA$31)&gt;=$S61),$V61,$U61)))=Milestones!$AB$31),UPPER(TEXT(EDATE($D61,Milestones!$AA$31),"dd mmm yy"))&amp;" "&amp;Milestones!$AB$31&amp;" "&amp;Milestones!$AC$31&amp;";  ","")&amp;IF(AND(EDATE($D61,Milestones!$AA$32)&lt;=AsOfDate,IF($R61=0,$X61,IF(AND($T61&lt;&gt;"",EDATE($D61,Milestones!$AA$32)&gt;=$T61),$W61,IF(AND($S61&lt;&gt;"",EDATE($D61,Milestones!$AA$32)&gt;=$S61),$V61,$U61)))=Milestones!$AB$32),UPPER(TEXT(EDATE($D61,Milestones!$AA$32),"dd mmm yy"))&amp;" "&amp;Milestones!$AB$32&amp;" "&amp;Milestones!$AC$32&amp;";  ","")&amp;IF(AND(EDATE($D61,Milestones!$AA$33)&lt;=AsOfDate,IF($R61=0,$X61,IF(AND($T61&lt;&gt;"",EDATE($D61,Milestones!$AA$33)&gt;=$T61),$W61,IF(AND($S61&lt;&gt;"",EDATE($D61,Milestones!$AA$33)&gt;=$S61),$V61,$U61)))=Milestones!$AB$33),UPPER(TEXT(EDATE($D61,Milestones!$AA$33),"dd mmm yy"))&amp;" "&amp;Milestones!$AB$33&amp;" "&amp;Milestones!$AC$33&amp;";  ","")&amp;IF(AND(EDATE($D61,Milestones!$AA$34)&lt;=AsOfDate,IF($R61=0,$X61,IF(AND($T61&lt;&gt;"",EDATE($D61,Milestones!$AA$34)&gt;=$T61),$W61,IF(AND($S61&lt;&gt;"",EDATE($D61,Milestones!$AA$34)&gt;=$S61),$V61,$U61)))=Milestones!$AB$34),UPPER(TEXT(EDATE($D61,Milestones!$AA$34),"dd mmm yy"))&amp;" "&amp;Milestones!$AB$34&amp;" "&amp;Milestones!$AC$34&amp;";  ","")&amp;IF(AND(EDATE($D61,Milestones!$AA$35)&lt;=AsOfDate,IF($R61=0,$X61,IF(AND($T61&lt;&gt;"",EDATE($D61,Milestones!$AA$35)&gt;=$T61),$W61,IF(AND($S61&lt;&gt;"",EDATE($D61,Milestones!$AA$35)&gt;=$S61),$V61,$U61)))=Milestones!$AB$35),UPPER(TEXT(EDATE($D61,Milestones!$AA$35),"dd mmm yy"))&amp;" "&amp;Milestones!$AB$35&amp;" "&amp;Milestones!$AC$35&amp;";  ","")&amp;IF(AND(EDATE($D61,Milestones!$AA$36)&lt;=AsOfDate,IF($R61=0,$X61,IF(AND($T61&lt;&gt;"",EDATE($D61,Milestones!$AA$36)&gt;=$T61),$W61,IF(AND($S61&lt;&gt;"",EDATE($D61,Milestones!$AA$36)&gt;=$S61),$V61,$U61)))=Milestones!$AB$36),UPPER(TEXT(EDATE($D61,Milestones!$AA$36),"dd mmm yy"))&amp;" "&amp;Milestones!$AB$36&amp;" "&amp;Milestones!$AC$36&amp;";  ","")&amp;IF(AND(EDATE($D61,Milestones!$AA$37)&lt;=AsOfDate,IF($R61=0,$X61,IF(AND($T61&lt;&gt;"",EDATE($D61,Milestones!$AA$37)&gt;=$T61),$W61,IF(AND($S61&lt;&gt;"",EDATE($D61,Milestones!$AA$37)&gt;=$S61),$V61,$U61)))=Milestones!$AB$37),UPPER(TEXT(EDATE($D61,Milestones!$AA$37),"dd mmm yy"))&amp;" "&amp;Milestones!$AB$37&amp;" "&amp;Milestones!$AC$37&amp;";  ","")&amp;IF(AND(EDATE($D61,Milestones!$AA$38)&lt;=AsOfDate,IF($R61=0,$X61,IF(AND($T61&lt;&gt;"",EDATE($D61,Milestones!$AA$38)&gt;=$T61),$W61,IF(AND($S61&lt;&gt;"",EDATE($D61,Milestones!$AA$38)&gt;=$S61),$V61,$U61)))=Milestones!$AB$38),UPPER(TEXT(EDATE($D61,Milestones!$AA$38),"dd mmm yy"))&amp;" "&amp;Milestones!$AB$38&amp;" "&amp;Milestones!$AC$38&amp;";  ","")&amp;IF(AND(EDATE($D61,Milestones!$AA$39)&lt;=AsOfDate,IF($R61=0,$X61,IF(AND($T61&lt;&gt;"",EDATE($D61,Milestones!$AA$39)&gt;=$T61),$W61,IF(AND($S61&lt;&gt;"",EDATE($D61,Milestones!$AA$39)&gt;=$S61),$V61,$U61)))=Milestones!$AB$39),UPPER(TEXT(EDATE($D61,Milestones!$AA$39),"dd mmm yy"))&amp;" "&amp;Milestones!$AB$39&amp;" "&amp;Milestones!$AC$39&amp;";  ",""))</f>
        <v/>
      </c>
      <c r="J61" s="0" t="str">
        <f aca="false">IF(OR($A61="",$D61=""),"",IF(AND(EDATE($D61,Milestones!$AA$40)&lt;=AsOfDate,IF($R61=0,$X61,IF(AND($T61&lt;&gt;"",EDATE($D61,Milestones!$AA$40)&gt;=$T61),$W61,IF(AND($S61&lt;&gt;"",EDATE($D61,Milestones!$AA$40)&gt;=$S61),$V61,$U61)))=Milestones!$AB$40),UPPER(TEXT(EDATE($D61,Milestones!$AA$40),"dd mmm yy"))&amp;" "&amp;Milestones!$AB$40&amp;" "&amp;Milestones!$AC$40&amp;";  ","")&amp;IF(AND(EDATE($D61,Milestones!$AA$41)&lt;=AsOfDate,IF($R61=0,$X61,IF(AND($T61&lt;&gt;"",EDATE($D61,Milestones!$AA$41)&gt;=$T61),$W61,IF(AND($S61&lt;&gt;"",EDATE($D61,Milestones!$AA$41)&gt;=$S61),$V61,$U61)))=Milestones!$AB$41),UPPER(TEXT(EDATE($D61,Milestones!$AA$41),"dd mmm yy"))&amp;" "&amp;Milestones!$AB$41&amp;" "&amp;Milestones!$AC$41&amp;";  ","")&amp;IF(AND(EDATE($D61,Milestones!$AA$42)&lt;=AsOfDate,IF($R61=0,$X61,IF(AND($T61&lt;&gt;"",EDATE($D61,Milestones!$AA$42)&gt;=$T61),$W61,IF(AND($S61&lt;&gt;"",EDATE($D61,Milestones!$AA$42)&gt;=$S61),$V61,$U61)))=Milestones!$AB$42),UPPER(TEXT(EDATE($D61,Milestones!$AA$42),"dd mmm yy"))&amp;" "&amp;Milestones!$AB$42&amp;" "&amp;Milestones!$AC$42&amp;";  ","")&amp;IF(AND(EDATE($D61,Milestones!$AA$43)&lt;=AsOfDate,IF($R61=0,$X61,IF(AND($T61&lt;&gt;"",EDATE($D61,Milestones!$AA$43)&gt;=$T61),$W61,IF(AND($S61&lt;&gt;"",EDATE($D61,Milestones!$AA$43)&gt;=$S61),$V61,$U61)))=Milestones!$AB$43),UPPER(TEXT(EDATE($D61,Milestones!$AA$43),"dd mmm yy"))&amp;" "&amp;Milestones!$AB$43&amp;" "&amp;Milestones!$AC$43&amp;";  ","")&amp;IF(AND(EDATE($D61,Milestones!$AA$44)&lt;=AsOfDate,IF($R61=0,$X61,IF(AND($T61&lt;&gt;"",EDATE($D61,Milestones!$AA$44)&gt;=$T61),$W61,IF(AND($S61&lt;&gt;"",EDATE($D61,Milestones!$AA$44)&gt;=$S61),$V61,$U61)))=Milestones!$AB$44),UPPER(TEXT(EDATE($D61,Milestones!$AA$44),"dd mmm yy"))&amp;" "&amp;Milestones!$AB$44&amp;" "&amp;Milestones!$AC$44&amp;";  ","")&amp;IF(AND(EDATE($D61,Milestones!$AA$45)&lt;=AsOfDate,IF($R61=0,$X61,IF(AND($T61&lt;&gt;"",EDATE($D61,Milestones!$AA$45)&gt;=$T61),$W61,IF(AND($S61&lt;&gt;"",EDATE($D61,Milestones!$AA$45)&gt;=$S61),$V61,$U61)))=Milestones!$AB$45),UPPER(TEXT(EDATE($D61,Milestones!$AA$45),"dd mmm yy"))&amp;" "&amp;Milestones!$AB$45&amp;" "&amp;Milestones!$AC$45&amp;";  ","")&amp;IF(AND(EDATE($D61,Milestones!$AA$46)&lt;=AsOfDate,IF($R61=0,$X61,IF(AND($T61&lt;&gt;"",EDATE($D61,Milestones!$AA$46)&gt;=$T61),$W61,IF(AND($S61&lt;&gt;"",EDATE($D61,Milestones!$AA$46)&gt;=$S61),$V61,$U61)))=Milestones!$AB$46),UPPER(TEXT(EDATE($D61,Milestones!$AA$46),"dd mmm yy"))&amp;" "&amp;Milestones!$AB$46&amp;" "&amp;Milestones!$AC$46&amp;";  ","")&amp;IF(AND(EDATE($D61,Milestones!$AA$47)&lt;=AsOfDate,IF($R61=0,$X61,IF(AND($T61&lt;&gt;"",EDATE($D61,Milestones!$AA$47)&gt;=$T61),$W61,IF(AND($S61&lt;&gt;"",EDATE($D61,Milestones!$AA$47)&gt;=$S61),$V61,$U61)))=Milestones!$AB$47),UPPER(TEXT(EDATE($D61,Milestones!$AA$47),"dd mmm yy"))&amp;" "&amp;Milestones!$AB$47&amp;" "&amp;Milestones!$AC$47&amp;";  ","")&amp;IF(AND(EDATE($D61,Milestones!$AA$48)&lt;=AsOfDate,IF($R61=0,$X61,IF(AND($T61&lt;&gt;"",EDATE($D61,Milestones!$AA$48)&gt;=$T61),$W61,IF(AND($S61&lt;&gt;"",EDATE($D61,Milestones!$AA$48)&gt;=$S61),$V61,$U61)))=Milestones!$AB$48),UPPER(TEXT(EDATE($D61,Milestones!$AA$48),"dd mmm yy"))&amp;" "&amp;Milestones!$AB$48&amp;" "&amp;Milestones!$AC$48&amp;";  ","")&amp;IF(AND(EDATE($D61,Milestones!$AA$49)&lt;=AsOfDate,IF($R61=0,$X61,IF(AND($T61&lt;&gt;"",EDATE($D61,Milestones!$AA$49)&gt;=$T61),$W61,IF(AND($S61&lt;&gt;"",EDATE($D61,Milestones!$AA$49)&gt;=$S61),$V61,$U61)))=Milestones!$AB$49),UPPER(TEXT(EDATE($D61,Milestones!$AA$49),"dd mmm yy"))&amp;" "&amp;Milestones!$AB$49&amp;" "&amp;Milestones!$AC$49&amp;";  ","")&amp;IF(AND(EDATE($D61,Milestones!$AA$50)&lt;=AsOfDate,IF($R61=0,$X61,IF(AND($T61&lt;&gt;"",EDATE($D61,Milestones!$AA$50)&gt;=$T61),$W61,IF(AND($S61&lt;&gt;"",EDATE($D61,Milestones!$AA$50)&gt;=$S61),$V61,$U61)))=Milestones!$AB$50),UPPER(TEXT(EDATE($D61,Milestones!$AA$50),"dd mmm yy"))&amp;" "&amp;Milestones!$AB$50&amp;" "&amp;Milestones!$AC$50&amp;";  ","")&amp;IF(AND(EDATE($D61,Milestones!$AA$51)&lt;=AsOfDate,IF($R61=0,$X61,IF(AND($T61&lt;&gt;"",EDATE($D61,Milestones!$AA$51)&gt;=$T61),$W61,IF(AND($S61&lt;&gt;"",EDATE($D61,Milestones!$AA$51)&gt;=$S61),$V61,$U61)))=Milestones!$AB$51),UPPER(TEXT(EDATE($D61,Milestones!$AA$51),"dd mmm yy"))&amp;" "&amp;Milestones!$AB$51&amp;" "&amp;Milestones!$AC$51&amp;";  ","")&amp;IF(AND(EDATE($D61,Milestones!$AA$52)&lt;=AsOfDate,IF($R61=0,$X61,IF(AND($T61&lt;&gt;"",EDATE($D61,Milestones!$AA$52)&gt;=$T61),$W61,IF(AND($S61&lt;&gt;"",EDATE($D61,Milestones!$AA$52)&gt;=$S61),$V61,$U61)))=Milestones!$AB$52),UPPER(TEXT(EDATE($D61,Milestones!$AA$52),"dd mmm yy"))&amp;" "&amp;Milestones!$AB$52&amp;" "&amp;Milestones!$AC$52&amp;";  ","")&amp;IF(AND(EDATE($D61,Milestones!$AA$53)&lt;=AsOfDate,IF($R61=0,$X61,IF(AND($T61&lt;&gt;"",EDATE($D61,Milestones!$AA$53)&gt;=$T61),$W61,IF(AND($S61&lt;&gt;"",EDATE($D61,Milestones!$AA$53)&gt;=$S61),$V61,$U61)))=Milestones!$AB$53),UPPER(TEXT(EDATE($D61,Milestones!$AA$53),"dd mmm yy"))&amp;" "&amp;Milestones!$AB$53&amp;" "&amp;Milestones!$AC$53&amp;";  ","")&amp;IF(AND(EDATE($D61,Milestones!$AA$54)&lt;=AsOfDate,IF($R61=0,$X61,IF(AND($T61&lt;&gt;"",EDATE($D61,Milestones!$AA$54)&gt;=$T61),$W61,IF(AND($S61&lt;&gt;"",EDATE($D61,Milestones!$AA$54)&gt;=$S61),$V61,$U61)))=Milestones!$AB$54),UPPER(TEXT(EDATE($D61,Milestones!$AA$54),"dd mmm yy"))&amp;" "&amp;Milestones!$AB$54&amp;" "&amp;Milestones!$AC$54&amp;";  ","")&amp;IF(AND(EDATE($D61,Milestones!$AA$55)&lt;=AsOfDate,IF($R61=0,$X61,IF(AND($T61&lt;&gt;"",EDATE($D61,Milestones!$AA$55)&gt;=$T61),$W61,IF(AND($S61&lt;&gt;"",EDATE($D61,Milestones!$AA$55)&gt;=$S61),$V61,$U61)))=Milestones!$AB$55),UPPER(TEXT(EDATE($D61,Milestones!$AA$55),"dd mmm yy"))&amp;" "&amp;Milestones!$AB$55&amp;" "&amp;Milestones!$AC$55&amp;";  ","")&amp;IF(AND(EDATE($D61,Milestones!$AA$56)&lt;=AsOfDate,IF($R61=0,$X61,IF(AND($T61&lt;&gt;"",EDATE($D61,Milestones!$AA$56)&gt;=$T61),$W61,IF(AND($S61&lt;&gt;"",EDATE($D61,Milestones!$AA$56)&gt;=$S61),$V61,$U61)))=Milestones!$AB$56),UPPER(TEXT(EDATE($D61,Milestones!$AA$56),"dd mmm yy"))&amp;" "&amp;Milestones!$AB$56&amp;" "&amp;Milestones!$AC$56&amp;";  ","")&amp;IF(AND(EDATE($D61,Milestones!$AA$57)&lt;=AsOfDate,IF($R61=0,$X61,IF(AND($T61&lt;&gt;"",EDATE($D61,Milestones!$AA$57)&gt;=$T61),$W61,IF(AND($S61&lt;&gt;"",EDATE($D61,Milestones!$AA$57)&gt;=$S61),$V61,$U61)))=Milestones!$AB$57),UPPER(TEXT(EDATE($D61,Milestones!$AA$57),"dd mmm yy"))&amp;" "&amp;Milestones!$AB$57&amp;" "&amp;Milestones!$AC$57&amp;";  ","")&amp;IF(AND(EDATE($D61,Milestones!$AA$58)&lt;=AsOfDate,IF($R61=0,$X61,IF(AND($T61&lt;&gt;"",EDATE($D61,Milestones!$AA$58)&gt;=$T61),$W61,IF(AND($S61&lt;&gt;"",EDATE($D61,Milestones!$AA$58)&gt;=$S61),$V61,$U61)))=Milestones!$AB$58),UPPER(TEXT(EDATE($D61,Milestones!$AA$58),"dd mmm yy"))&amp;" "&amp;Milestones!$AB$58&amp;" "&amp;Milestones!$AC$58&amp;";  ","")&amp;IF(AND(EDATE($D61,Milestones!$AA$59)&lt;=AsOfDate,IF($R61=0,$X61,IF(AND($T61&lt;&gt;"",EDATE($D61,Milestones!$AA$59)&gt;=$T61),$W61,IF(AND($S61&lt;&gt;"",EDATE($D61,Milestones!$AA$59)&gt;=$S61),$V61,$U61)))=Milestones!$AB$59),UPPER(TEXT(EDATE($D61,Milestones!$AA$59),"dd mmm yy"))&amp;" "&amp;Milestones!$AB$59&amp;" "&amp;Milestones!$AC$59&amp;";  ",""))</f>
        <v/>
      </c>
      <c r="K61" s="0" t="str">
        <f aca="false">IF(OR($A61="",$D61=""),"",IF(AND(EDATE($D61,Milestones!$AA$60)&lt;=AsOfDate,IF($R61=0,$X61,IF(AND($T61&lt;&gt;"",EDATE($D61,Milestones!$AA$60)&gt;=$T61),$W61,IF(AND($S61&lt;&gt;"",EDATE($D61,Milestones!$AA$60)&gt;=$S61),$V61,$U61)))=Milestones!$AB$60),UPPER(TEXT(EDATE($D61,Milestones!$AA$60),"dd mmm yy"))&amp;" "&amp;Milestones!$AB$60&amp;" "&amp;Milestones!$AC$60&amp;";  ","")&amp;IF(AND(EDATE($D61,Milestones!$AA$61)&lt;=AsOfDate,IF($R61=0,$X61,IF(AND($T61&lt;&gt;"",EDATE($D61,Milestones!$AA$61)&gt;=$T61),$W61,IF(AND($S61&lt;&gt;"",EDATE($D61,Milestones!$AA$61)&gt;=$S61),$V61,$U61)))=Milestones!$AB$61),UPPER(TEXT(EDATE($D61,Milestones!$AA$61),"dd mmm yy"))&amp;" "&amp;Milestones!$AB$61&amp;" "&amp;Milestones!$AC$61&amp;";  ","")&amp;IF(AND(EDATE($D61,Milestones!$AA$62)&lt;=AsOfDate,IF($R61=0,$X61,IF(AND($T61&lt;&gt;"",EDATE($D61,Milestones!$AA$62)&gt;=$T61),$W61,IF(AND($S61&lt;&gt;"",EDATE($D61,Milestones!$AA$62)&gt;=$S61),$V61,$U61)))=Milestones!$AB$62),UPPER(TEXT(EDATE($D61,Milestones!$AA$62),"dd mmm yy"))&amp;" "&amp;Milestones!$AB$62&amp;" "&amp;Milestones!$AC$62&amp;";  ","")&amp;IF(AND(EDATE($D61,Milestones!$AA$63)&lt;=AsOfDate,IF($R61=0,$X61,IF(AND($T61&lt;&gt;"",EDATE($D61,Milestones!$AA$63)&gt;=$T61),$W61,IF(AND($S61&lt;&gt;"",EDATE($D61,Milestones!$AA$63)&gt;=$S61),$V61,$U61)))=Milestones!$AB$63),UPPER(TEXT(EDATE($D61,Milestones!$AA$63),"dd mmm yy"))&amp;" "&amp;Milestones!$AB$63&amp;" "&amp;Milestones!$AC$63&amp;";  ","")&amp;IF(AND(EDATE($D61,Milestones!$AA$64)&lt;=AsOfDate,IF($R61=0,$X61,IF(AND($T61&lt;&gt;"",EDATE($D61,Milestones!$AA$64)&gt;=$T61),$W61,IF(AND($S61&lt;&gt;"",EDATE($D61,Milestones!$AA$64)&gt;=$S61),$V61,$U61)))=Milestones!$AB$64),UPPER(TEXT(EDATE($D61,Milestones!$AA$64),"dd mmm yy"))&amp;" "&amp;Milestones!$AB$64&amp;" "&amp;Milestones!$AC$64&amp;";  ","")&amp;IF(AND(EDATE($D61,Milestones!$AA$65)&lt;=AsOfDate,IF($R61=0,$X61,IF(AND($T61&lt;&gt;"",EDATE($D61,Milestones!$AA$65)&gt;=$T61),$W61,IF(AND($S61&lt;&gt;"",EDATE($D61,Milestones!$AA$65)&gt;=$S61),$V61,$U61)))=Milestones!$AB$65),UPPER(TEXT(EDATE($D61,Milestones!$AA$65),"dd mmm yy"))&amp;" "&amp;Milestones!$AB$65&amp;" "&amp;Milestones!$AC$65&amp;";  ","")&amp;IF(AND(EDATE($D61,Milestones!$AA$66)&lt;=AsOfDate,IF($R61=0,$X61,IF(AND($T61&lt;&gt;"",EDATE($D61,Milestones!$AA$66)&gt;=$T61),$W61,IF(AND($S61&lt;&gt;"",EDATE($D61,Milestones!$AA$66)&gt;=$S61),$V61,$U61)))=Milestones!$AB$66),UPPER(TEXT(EDATE($D61,Milestones!$AA$66),"dd mmm yy"))&amp;" "&amp;Milestones!$AB$66&amp;" "&amp;Milestones!$AC$66&amp;";  ","")&amp;IF(AND(EDATE($D61,Milestones!$AA$67)&lt;=AsOfDate,IF($R61=0,$X61,IF(AND($T61&lt;&gt;"",EDATE($D61,Milestones!$AA$67)&gt;=$T61),$W61,IF(AND($S61&lt;&gt;"",EDATE($D61,Milestones!$AA$67)&gt;=$S61),$V61,$U61)))=Milestones!$AB$67),UPPER(TEXT(EDATE($D61,Milestones!$AA$67),"dd mmm yy"))&amp;" "&amp;Milestones!$AB$67&amp;" "&amp;Milestones!$AC$67&amp;";  ","")&amp;IF(AND(EDATE($D61,Milestones!$AA$68)&lt;=AsOfDate,IF($R61=0,$X61,IF(AND($T61&lt;&gt;"",EDATE($D61,Milestones!$AA$68)&gt;=$T61),$W61,IF(AND($S61&lt;&gt;"",EDATE($D61,Milestones!$AA$68)&gt;=$S61),$V61,$U61)))=Milestones!$AB$68),UPPER(TEXT(EDATE($D61,Milestones!$AA$68),"dd mmm yy"))&amp;" "&amp;Milestones!$AB$68&amp;" "&amp;Milestones!$AC$68&amp;";  ","")&amp;IF(AND(EDATE($D61,Milestones!$AA$69)&lt;=AsOfDate,IF($R61=0,$X61,IF(AND($T61&lt;&gt;"",EDATE($D61,Milestones!$AA$69)&gt;=$T61),$W61,IF(AND($S61&lt;&gt;"",EDATE($D61,Milestones!$AA$69)&gt;=$S61),$V61,$U61)))=Milestones!$AB$69),UPPER(TEXT(EDATE($D61,Milestones!$AA$69),"dd mmm yy"))&amp;" "&amp;Milestones!$AB$69&amp;" "&amp;Milestones!$AC$69&amp;";  ","")&amp;IF(AND(EDATE($D61,Milestones!$AA$70)&lt;=AsOfDate,IF($R61=0,$X61,IF(AND($T61&lt;&gt;"",EDATE($D61,Milestones!$AA$70)&gt;=$T61),$W61,IF(AND($S61&lt;&gt;"",EDATE($D61,Milestones!$AA$70)&gt;=$S61),$V61,$U61)))=Milestones!$AB$70),UPPER(TEXT(EDATE($D61,Milestones!$AA$70),"dd mmm yy"))&amp;" "&amp;Milestones!$AB$70&amp;" "&amp;Milestones!$AC$70&amp;";  ","")&amp;IF(AND(EDATE($D61,Milestones!$AA$71)&lt;=AsOfDate,IF($R61=0,$X61,IF(AND($T61&lt;&gt;"",EDATE($D61,Milestones!$AA$71)&gt;=$T61),$W61,IF(AND($S61&lt;&gt;"",EDATE($D61,Milestones!$AA$71)&gt;=$S61),$V61,$U61)))=Milestones!$AB$71),UPPER(TEXT(EDATE($D61,Milestones!$AA$71),"dd mmm yy"))&amp;" "&amp;Milestones!$AB$71&amp;" "&amp;Milestones!$AC$71&amp;";  ","")&amp;IF(AND(EDATE($D61,Milestones!$AA$72)&lt;=AsOfDate,IF($R61=0,$X61,IF(AND($T61&lt;&gt;"",EDATE($D61,Milestones!$AA$72)&gt;=$T61),$W61,IF(AND($S61&lt;&gt;"",EDATE($D61,Milestones!$AA$72)&gt;=$S61),$V61,$U61)))=Milestones!$AB$72),UPPER(TEXT(EDATE($D61,Milestones!$AA$72),"dd mmm yy"))&amp;" "&amp;Milestones!$AB$72&amp;" "&amp;Milestones!$AC$72&amp;";  ","")&amp;IF(AND(EDATE($D61,Milestones!$AA$73)&lt;=AsOfDate,IF($R61=0,$X61,IF(AND($T61&lt;&gt;"",EDATE($D61,Milestones!$AA$73)&gt;=$T61),$W61,IF(AND($S61&lt;&gt;"",EDATE($D61,Milestones!$AA$73)&gt;=$S61),$V61,$U61)))=Milestones!$AB$73),UPPER(TEXT(EDATE($D61,Milestones!$AA$73),"dd mmm yy"))&amp;" "&amp;Milestones!$AB$73&amp;" "&amp;Milestones!$AC$73&amp;";  ","")&amp;IF(AND(EDATE($D61,Milestones!$AA$74)&lt;=AsOfDate,IF($R61=0,$X61,IF(AND($T61&lt;&gt;"",EDATE($D61,Milestones!$AA$74)&gt;=$T61),$W61,IF(AND($S61&lt;&gt;"",EDATE($D61,Milestones!$AA$74)&gt;=$S61),$V61,$U61)))=Milestones!$AB$74),UPPER(TEXT(EDATE($D61,Milestones!$AA$74),"dd mmm yy"))&amp;" "&amp;Milestones!$AB$74&amp;" "&amp;Milestones!$AC$74&amp;";  ","")&amp;IF(AND(EDATE($D61,Milestones!$AA$75)&lt;=AsOfDate,IF($R61=0,$X61,IF(AND($T61&lt;&gt;"",EDATE($D61,Milestones!$AA$75)&gt;=$T61),$W61,IF(AND($S61&lt;&gt;"",EDATE($D61,Milestones!$AA$75)&gt;=$S61),$V61,$U61)))=Milestones!$AB$75),UPPER(TEXT(EDATE($D61,Milestones!$AA$75),"dd mmm yy"))&amp;" "&amp;Milestones!$AB$75&amp;" "&amp;Milestones!$AC$75&amp;";  ","")&amp;IF(AND(EDATE($D61,Milestones!$AA$76)&lt;=AsOfDate,IF($R61=0,$X61,IF(AND($T61&lt;&gt;"",EDATE($D61,Milestones!$AA$76)&gt;=$T61),$W61,IF(AND($S61&lt;&gt;"",EDATE($D61,Milestones!$AA$76)&gt;=$S61),$V61,$U61)))=Milestones!$AB$76),UPPER(TEXT(EDATE($D61,Milestones!$AA$76),"dd mmm yy"))&amp;" "&amp;Milestones!$AB$76&amp;" "&amp;Milestones!$AC$76&amp;";  ","")&amp;IF(AND(EDATE($D61,Milestones!$AA$77)&lt;=AsOfDate,IF($R61=0,$X61,IF(AND($T61&lt;&gt;"",EDATE($D61,Milestones!$AA$77)&gt;=$T61),$W61,IF(AND($S61&lt;&gt;"",EDATE($D61,Milestones!$AA$77)&gt;=$S61),$V61,$U61)))=Milestones!$AB$77),UPPER(TEXT(EDATE($D61,Milestones!$AA$77),"dd mmm yy"))&amp;" "&amp;Milestones!$AB$77&amp;" "&amp;Milestones!$AC$77&amp;";  ","")&amp;IF(AND(EDATE($D61,Milestones!$AA$78)&lt;=AsOfDate,IF($R61=0,$X61,IF(AND($T61&lt;&gt;"",EDATE($D61,Milestones!$AA$78)&gt;=$T61),$W61,IF(AND($S61&lt;&gt;"",EDATE($D61,Milestones!$AA$78)&gt;=$S61),$V61,$U61)))=Milestones!$AB$78),UPPER(TEXT(EDATE($D61,Milestones!$AA$78),"dd mmm yy"))&amp;" "&amp;Milestones!$AB$78&amp;" "&amp;Milestones!$AC$78&amp;";  ","")&amp;IF(AND(EDATE($D61,Milestones!$AA$79)&lt;=AsOfDate,IF($R61=0,$X61,IF(AND($T61&lt;&gt;"",EDATE($D61,Milestones!$AA$79)&gt;=$T61),$W61,IF(AND($S61&lt;&gt;"",EDATE($D61,Milestones!$AA$79)&gt;=$S61),$V61,$U61)))=Milestones!$AB$79),UPPER(TEXT(EDATE($D61,Milestones!$AA$79),"dd mmm yy"))&amp;" "&amp;Milestones!$AB$79&amp;" "&amp;Milestones!$AC$79&amp;";  ",""))</f>
        <v/>
      </c>
      <c r="L61" s="0" t="str">
        <f aca="false">IF(OR($A61="",$D61=""),"",IF(AND(EDATE($D61,Milestones!$AA$80)&lt;=AsOfDate,IF($R61=0,$X61,IF(AND($T61&lt;&gt;"",EDATE($D61,Milestones!$AA$80)&gt;=$T61),$W61,IF(AND($S61&lt;&gt;"",EDATE($D61,Milestones!$AA$80)&gt;=$S61),$V61,$U61)))=Milestones!$AB$80),UPPER(TEXT(EDATE($D61,Milestones!$AA$80),"dd mmm yy"))&amp;" "&amp;Milestones!$AB$80&amp;" "&amp;Milestones!$AC$80&amp;";  ","")&amp;IF(AND(EDATE($D61,Milestones!$AA$81)&lt;=AsOfDate,IF($R61=0,$X61,IF(AND($T61&lt;&gt;"",EDATE($D61,Milestones!$AA$81)&gt;=$T61),$W61,IF(AND($S61&lt;&gt;"",EDATE($D61,Milestones!$AA$81)&gt;=$S61),$V61,$U61)))=Milestones!$AB$81),UPPER(TEXT(EDATE($D61,Milestones!$AA$81),"dd mmm yy"))&amp;" "&amp;Milestones!$AB$81&amp;" "&amp;Milestones!$AC$81&amp;";  ","")&amp;IF(AND(EDATE($D61,Milestones!$AA$82)&lt;=AsOfDate,IF($R61=0,$X61,IF(AND($T61&lt;&gt;"",EDATE($D61,Milestones!$AA$82)&gt;=$T61),$W61,IF(AND($S61&lt;&gt;"",EDATE($D61,Milestones!$AA$82)&gt;=$S61),$V61,$U61)))=Milestones!$AB$82),UPPER(TEXT(EDATE($D61,Milestones!$AA$82),"dd mmm yy"))&amp;" "&amp;Milestones!$AB$82&amp;" "&amp;Milestones!$AC$82&amp;";  ","")&amp;IF(AND(EDATE($D61,Milestones!$AA$83)&lt;=AsOfDate,IF($R61=0,$X61,IF(AND($T61&lt;&gt;"",EDATE($D61,Milestones!$AA$83)&gt;=$T61),$W61,IF(AND($S61&lt;&gt;"",EDATE($D61,Milestones!$AA$83)&gt;=$S61),$V61,$U61)))=Milestones!$AB$83),UPPER(TEXT(EDATE($D61,Milestones!$AA$83),"dd mmm yy"))&amp;" "&amp;Milestones!$AB$83&amp;" "&amp;Milestones!$AC$83&amp;";  ","")&amp;IF(AND(EDATE($D61,Milestones!$AA$84)&lt;=AsOfDate,IF($R61=0,$X61,IF(AND($T61&lt;&gt;"",EDATE($D61,Milestones!$AA$84)&gt;=$T61),$W61,IF(AND($S61&lt;&gt;"",EDATE($D61,Milestones!$AA$84)&gt;=$S61),$V61,$U61)))=Milestones!$AB$84),UPPER(TEXT(EDATE($D61,Milestones!$AA$84),"dd mmm yy"))&amp;" "&amp;Milestones!$AB$84&amp;" "&amp;Milestones!$AC$84&amp;";  ","")&amp;IF(AND(EDATE($D61,Milestones!$AA$85)&lt;=AsOfDate,IF($R61=0,$X61,IF(AND($T61&lt;&gt;"",EDATE($D61,Milestones!$AA$85)&gt;=$T61),$W61,IF(AND($S61&lt;&gt;"",EDATE($D61,Milestones!$AA$85)&gt;=$S61),$V61,$U61)))=Milestones!$AB$85),UPPER(TEXT(EDATE($D61,Milestones!$AA$85),"dd mmm yy"))&amp;" "&amp;Milestones!$AB$85&amp;" "&amp;Milestones!$AC$85&amp;";  ","")&amp;IF(AND(EDATE($D61,Milestones!$AA$86)&lt;=AsOfDate,IF($R61=0,$X61,IF(AND($T61&lt;&gt;"",EDATE($D61,Milestones!$AA$86)&gt;=$T61),$W61,IF(AND($S61&lt;&gt;"",EDATE($D61,Milestones!$AA$86)&gt;=$S61),$V61,$U61)))=Milestones!$AB$86),UPPER(TEXT(EDATE($D61,Milestones!$AA$86),"dd mmm yy"))&amp;" "&amp;Milestones!$AB$86&amp;" "&amp;Milestones!$AC$86&amp;";  ","")&amp;IF(AND(EDATE($D61,Milestones!$AA$87)&lt;=AsOfDate,IF($R61=0,$X61,IF(AND($T61&lt;&gt;"",EDATE($D61,Milestones!$AA$87)&gt;=$T61),$W61,IF(AND($S61&lt;&gt;"",EDATE($D61,Milestones!$AA$87)&gt;=$S61),$V61,$U61)))=Milestones!$AB$87),UPPER(TEXT(EDATE($D61,Milestones!$AA$87),"dd mmm yy"))&amp;" "&amp;Milestones!$AB$87&amp;" "&amp;Milestones!$AC$87&amp;";  ","")&amp;IF(AND(EDATE($D61,Milestones!$AA$88)&lt;=AsOfDate,IF($R61=0,$X61,IF(AND($T61&lt;&gt;"",EDATE($D61,Milestones!$AA$88)&gt;=$T61),$W61,IF(AND($S61&lt;&gt;"",EDATE($D61,Milestones!$AA$88)&gt;=$S61),$V61,$U61)))=Milestones!$AB$88),UPPER(TEXT(EDATE($D61,Milestones!$AA$88),"dd mmm yy"))&amp;" "&amp;Milestones!$AB$88&amp;" "&amp;Milestones!$AC$88&amp;";  ","")&amp;IF(AND(EDATE($D61,Milestones!$AA$89)&lt;=AsOfDate,IF($R61=0,$X61,IF(AND($T61&lt;&gt;"",EDATE($D61,Milestones!$AA$89)&gt;=$T61),$W61,IF(AND($S61&lt;&gt;"",EDATE($D61,Milestones!$AA$89)&gt;=$S61),$V61,$U61)))=Milestones!$AB$89),UPPER(TEXT(EDATE($D61,Milestones!$AA$89),"dd mmm yy"))&amp;" "&amp;Milestones!$AB$89&amp;" "&amp;Milestones!$AC$89&amp;";  ","")&amp;IF(AND(EDATE($D61,Milestones!$AA$90)&lt;=AsOfDate,IF($R61=0,$X61,IF(AND($T61&lt;&gt;"",EDATE($D61,Milestones!$AA$90)&gt;=$T61),$W61,IF(AND($S61&lt;&gt;"",EDATE($D61,Milestones!$AA$90)&gt;=$S61),$V61,$U61)))=Milestones!$AB$90),UPPER(TEXT(EDATE($D61,Milestones!$AA$90),"dd mmm yy"))&amp;" "&amp;Milestones!$AB$90&amp;" "&amp;Milestones!$AC$90&amp;";  ","")&amp;IF(AND(EDATE($D61,Milestones!$AA$91)&lt;=AsOfDate,IF($R61=0,$X61,IF(AND($T61&lt;&gt;"",EDATE($D61,Milestones!$AA$91)&gt;=$T61),$W61,IF(AND($S61&lt;&gt;"",EDATE($D61,Milestones!$AA$91)&gt;=$S61),$V61,$U61)))=Milestones!$AB$91),UPPER(TEXT(EDATE($D61,Milestones!$AA$91),"dd mmm yy"))&amp;" "&amp;Milestones!$AB$91&amp;" "&amp;Milestones!$AC$91&amp;";  ","")&amp;IF(AND(EDATE($D61,Milestones!$AA$92)&lt;=AsOfDate,IF($R61=0,$X61,IF(AND($T61&lt;&gt;"",EDATE($D61,Milestones!$AA$92)&gt;=$T61),$W61,IF(AND($S61&lt;&gt;"",EDATE($D61,Milestones!$AA$92)&gt;=$S61),$V61,$U61)))=Milestones!$AB$92),UPPER(TEXT(EDATE($D61,Milestones!$AA$92),"dd mmm yy"))&amp;" "&amp;Milestones!$AB$92&amp;" "&amp;Milestones!$AC$92&amp;";  ","")&amp;IF(AND(EDATE($D61,Milestones!$AA$93)&lt;=AsOfDate,IF($R61=0,$X61,IF(AND($T61&lt;&gt;"",EDATE($D61,Milestones!$AA$93)&gt;=$T61),$W61,IF(AND($S61&lt;&gt;"",EDATE($D61,Milestones!$AA$93)&gt;=$S61),$V61,$U61)))=Milestones!$AB$93),UPPER(TEXT(EDATE($D61,Milestones!$AA$93),"dd mmm yy"))&amp;" "&amp;Milestones!$AB$93&amp;" "&amp;Milestones!$AC$93&amp;";  ","")&amp;IF(AND(EDATE($D61,Milestones!$AA$94)&lt;=AsOfDate,IF($R61=0,$X61,IF(AND($T61&lt;&gt;"",EDATE($D61,Milestones!$AA$94)&gt;=$T61),$W61,IF(AND($S61&lt;&gt;"",EDATE($D61,Milestones!$AA$94)&gt;=$S61),$V61,$U61)))=Milestones!$AB$94),UPPER(TEXT(EDATE($D61,Milestones!$AA$94),"dd mmm yy"))&amp;" "&amp;Milestones!$AB$94&amp;" "&amp;Milestones!$AC$94&amp;";  ","")&amp;IF(AND(EDATE($D61,Milestones!$AA$95)&lt;=AsOfDate,IF($R61=0,$X61,IF(AND($T61&lt;&gt;"",EDATE($D61,Milestones!$AA$95)&gt;=$T61),$W61,IF(AND($S61&lt;&gt;"",EDATE($D61,Milestones!$AA$95)&gt;=$S61),$V61,$U61)))=Milestones!$AB$95),UPPER(TEXT(EDATE($D61,Milestones!$AA$95),"dd mmm yy"))&amp;" "&amp;Milestones!$AB$95&amp;" "&amp;Milestones!$AC$95&amp;";  ","")&amp;IF(AND(EDATE($D61,Milestones!$AA$96)&lt;=AsOfDate,IF($R61=0,$X61,IF(AND($T61&lt;&gt;"",EDATE($D61,Milestones!$AA$96)&gt;=$T61),$W61,IF(AND($S61&lt;&gt;"",EDATE($D61,Milestones!$AA$96)&gt;=$S61),$V61,$U61)))=Milestones!$AB$96),UPPER(TEXT(EDATE($D61,Milestones!$AA$96),"dd mmm yy"))&amp;" "&amp;Milestones!$AB$96&amp;" "&amp;Milestones!$AC$96&amp;";  ","")&amp;IF(AND(EDATE($D61,Milestones!$AA$97)&lt;=AsOfDate,IF($R61=0,$X61,IF(AND($T61&lt;&gt;"",EDATE($D61,Milestones!$AA$97)&gt;=$T61),$W61,IF(AND($S61&lt;&gt;"",EDATE($D61,Milestones!$AA$97)&gt;=$S61),$V61,$U61)))=Milestones!$AB$97),UPPER(TEXT(EDATE($D61,Milestones!$AA$97),"dd mmm yy"))&amp;" "&amp;Milestones!$AB$97&amp;" "&amp;Milestones!$AC$97&amp;";  ","")&amp;IF(AND(EDATE($D61,Milestones!$AA$98)&lt;=AsOfDate,IF($R61=0,$X61,IF(AND($T61&lt;&gt;"",EDATE($D61,Milestones!$AA$98)&gt;=$T61),$W61,IF(AND($S61&lt;&gt;"",EDATE($D61,Milestones!$AA$98)&gt;=$S61),$V61,$U61)))=Milestones!$AB$98),UPPER(TEXT(EDATE($D61,Milestones!$AA$98),"dd mmm yy"))&amp;" "&amp;Milestones!$AB$98&amp;" "&amp;Milestones!$AC$98&amp;";  ","")&amp;IF(AND(EDATE($D61,Milestones!$AA$99)&lt;=AsOfDate,IF($R61=0,$X61,IF(AND($T61&lt;&gt;"",EDATE($D61,Milestones!$AA$99)&gt;=$T61),$W61,IF(AND($S61&lt;&gt;"",EDATE($D61,Milestones!$AA$99)&gt;=$S61),$V61,$U61)))=Milestones!$AB$99),UPPER(TEXT(EDATE($D61,Milestones!$AA$99),"dd mmm yy"))&amp;" "&amp;Milestones!$AB$99&amp;" "&amp;Milestones!$AC$99&amp;";  ",""))</f>
        <v/>
      </c>
      <c r="M61" s="0" t="str">
        <f aca="false">IF(OR($A61="",$D61=""),"",IF(AND(EDATE($D61,Milestones!$AA$100)&lt;=AsOfDate,IF($R61=0,$X61,IF(AND($T61&lt;&gt;"",EDATE($D61,Milestones!$AA$100)&gt;=$T61),$W61,IF(AND($S61&lt;&gt;"",EDATE($D61,Milestones!$AA$100)&gt;=$S61),$V61,$U61)))=Milestones!$AB$100),UPPER(TEXT(EDATE($D61,Milestones!$AA$100),"dd mmm yy"))&amp;" "&amp;Milestones!$AB$100&amp;" "&amp;Milestones!$AC$100&amp;";  ","")&amp;IF(AND(EDATE($D61,Milestones!$AA$101)&lt;=AsOfDate,IF($R61=0,$X61,IF(AND($T61&lt;&gt;"",EDATE($D61,Milestones!$AA$101)&gt;=$T61),$W61,IF(AND($S61&lt;&gt;"",EDATE($D61,Milestones!$AA$101)&gt;=$S61),$V61,$U61)))=Milestones!$AB$101),UPPER(TEXT(EDATE($D61,Milestones!$AA$101),"dd mmm yy"))&amp;" "&amp;Milestones!$AB$101&amp;" "&amp;Milestones!$AC$101&amp;";  ","")&amp;IF(AND(EDATE($D61,Milestones!$AA$102)&lt;=AsOfDate,IF($R61=0,$X61,IF(AND($T61&lt;&gt;"",EDATE($D61,Milestones!$AA$102)&gt;=$T61),$W61,IF(AND($S61&lt;&gt;"",EDATE($D61,Milestones!$AA$102)&gt;=$S61),$V61,$U61)))=Milestones!$AB$102),UPPER(TEXT(EDATE($D61,Milestones!$AA$102),"dd mmm yy"))&amp;" "&amp;Milestones!$AB$102&amp;" "&amp;Milestones!$AC$102&amp;";  ","")&amp;IF(AND(EDATE($D61,Milestones!$AA$103)&lt;=AsOfDate,IF($R61=0,$X61,IF(AND($T61&lt;&gt;"",EDATE($D61,Milestones!$AA$103)&gt;=$T61),$W61,IF(AND($S61&lt;&gt;"",EDATE($D61,Milestones!$AA$103)&gt;=$S61),$V61,$U61)))=Milestones!$AB$103),UPPER(TEXT(EDATE($D61,Milestones!$AA$103),"dd mmm yy"))&amp;" "&amp;Milestones!$AB$103&amp;" "&amp;Milestones!$AC$103&amp;";  ","")&amp;IF(AND(EDATE($D61,Milestones!$AA$104)&lt;=AsOfDate,IF($R61=0,$X61,IF(AND($T61&lt;&gt;"",EDATE($D61,Milestones!$AA$104)&gt;=$T61),$W61,IF(AND($S61&lt;&gt;"",EDATE($D61,Milestones!$AA$104)&gt;=$S61),$V61,$U61)))=Milestones!$AB$104),UPPER(TEXT(EDATE($D61,Milestones!$AA$104),"dd mmm yy"))&amp;" "&amp;Milestones!$AB$104&amp;" "&amp;Milestones!$AC$104&amp;";  ","")&amp;IF(AND(EDATE($D61,Milestones!$AA$105)&lt;=AsOfDate,IF($R61=0,$X61,IF(AND($T61&lt;&gt;"",EDATE($D61,Milestones!$AA$105)&gt;=$T61),$W61,IF(AND($S61&lt;&gt;"",EDATE($D61,Milestones!$AA$105)&gt;=$S61),$V61,$U61)))=Milestones!$AB$105),UPPER(TEXT(EDATE($D61,Milestones!$AA$105),"dd mmm yy"))&amp;" "&amp;Milestones!$AB$105&amp;" "&amp;Milestones!$AC$105&amp;";  ","")&amp;IF(AND(EDATE($D61,Milestones!$AA$106)&lt;=AsOfDate,IF($R61=0,$X61,IF(AND($T61&lt;&gt;"",EDATE($D61,Milestones!$AA$106)&gt;=$T61),$W61,IF(AND($S61&lt;&gt;"",EDATE($D61,Milestones!$AA$106)&gt;=$S61),$V61,$U61)))=Milestones!$AB$106),UPPER(TEXT(EDATE($D61,Milestones!$AA$106),"dd mmm yy"))&amp;" "&amp;Milestones!$AB$106&amp;" "&amp;Milestones!$AC$106&amp;";  ","")&amp;IF(AND(EDATE($D61,Milestones!$AA$107)&lt;=AsOfDate,IF($R61=0,$X61,IF(AND($T61&lt;&gt;"",EDATE($D61,Milestones!$AA$107)&gt;=$T61),$W61,IF(AND($S61&lt;&gt;"",EDATE($D61,Milestones!$AA$107)&gt;=$S61),$V61,$U61)))=Milestones!$AB$107),UPPER(TEXT(EDATE($D61,Milestones!$AA$107),"dd mmm yy"))&amp;" "&amp;Milestones!$AB$107&amp;" "&amp;Milestones!$AC$107&amp;";  ","")&amp;IF(AND(EDATE($D61,Milestones!$AA$108)&lt;=AsOfDate,IF($R61=0,$X61,IF(AND($T61&lt;&gt;"",EDATE($D61,Milestones!$AA$108)&gt;=$T61),$W61,IF(AND($S61&lt;&gt;"",EDATE($D61,Milestones!$AA$108)&gt;=$S61),$V61,$U61)))=Milestones!$AB$108),UPPER(TEXT(EDATE($D61,Milestones!$AA$108),"dd mmm yy"))&amp;" "&amp;Milestones!$AB$108&amp;" "&amp;Milestones!$AC$108&amp;";  ","")&amp;IF(AND(EDATE($D61,Milestones!$AA$109)&lt;=AsOfDate,IF($R61=0,$X61,IF(AND($T61&lt;&gt;"",EDATE($D61,Milestones!$AA$109)&gt;=$T61),$W61,IF(AND($S61&lt;&gt;"",EDATE($D61,Milestones!$AA$109)&gt;=$S61),$V61,$U61)))=Milestones!$AB$109),UPPER(TEXT(EDATE($D61,Milestones!$AA$109),"dd mmm yy"))&amp;" "&amp;Milestones!$AB$109&amp;" "&amp;Milestones!$AC$109&amp;";  ","")&amp;IF(AND(EDATE($D61,Milestones!$AA$110)&lt;=AsOfDate,IF($R61=0,$X61,IF(AND($T61&lt;&gt;"",EDATE($D61,Milestones!$AA$110)&gt;=$T61),$W61,IF(AND($S61&lt;&gt;"",EDATE($D61,Milestones!$AA$110)&gt;=$S61),$V61,$U61)))=Milestones!$AB$110),UPPER(TEXT(EDATE($D61,Milestones!$AA$110),"dd mmm yy"))&amp;" "&amp;Milestones!$AB$110&amp;" "&amp;Milestones!$AC$110&amp;";  ","")&amp;IF(AND(EDATE($D61,Milestones!$AA$111)&lt;=AsOfDate,IF($R61=0,$X61,IF(AND($T61&lt;&gt;"",EDATE($D61,Milestones!$AA$111)&gt;=$T61),$W61,IF(AND($S61&lt;&gt;"",EDATE($D61,Milestones!$AA$111)&gt;=$S61),$V61,$U61)))=Milestones!$AB$111),UPPER(TEXT(EDATE($D61,Milestones!$AA$111),"dd mmm yy"))&amp;" "&amp;Milestones!$AB$111&amp;" "&amp;Milestones!$AC$111&amp;";  ","")&amp;IF(AND(EDATE($D61,Milestones!$AA$112)&lt;=AsOfDate,IF($R61=0,$X61,IF(AND($T61&lt;&gt;"",EDATE($D61,Milestones!$AA$112)&gt;=$T61),$W61,IF(AND($S61&lt;&gt;"",EDATE($D61,Milestones!$AA$112)&gt;=$S61),$V61,$U61)))=Milestones!$AB$112),UPPER(TEXT(EDATE($D61,Milestones!$AA$112),"dd mmm yy"))&amp;" "&amp;Milestones!$AB$112&amp;" "&amp;Milestones!$AC$112&amp;";  ","")&amp;IF(AND(EDATE($D61,Milestones!$AA$113)&lt;=AsOfDate,IF($R61=0,$X61,IF(AND($T61&lt;&gt;"",EDATE($D61,Milestones!$AA$113)&gt;=$T61),$W61,IF(AND($S61&lt;&gt;"",EDATE($D61,Milestones!$AA$113)&gt;=$S61),$V61,$U61)))=Milestones!$AB$113),UPPER(TEXT(EDATE($D61,Milestones!$AA$113),"dd mmm yy"))&amp;" "&amp;Milestones!$AB$113&amp;" "&amp;Milestones!$AC$113&amp;";  ","")&amp;IF(AND(EDATE($D61,Milestones!$AA$114)&lt;=AsOfDate,IF($R61=0,$X61,IF(AND($T61&lt;&gt;"",EDATE($D61,Milestones!$AA$114)&gt;=$T61),$W61,IF(AND($S61&lt;&gt;"",EDATE($D61,Milestones!$AA$114)&gt;=$S61),$V61,$U61)))=Milestones!$AB$114),UPPER(TEXT(EDATE($D61,Milestones!$AA$114),"dd mmm yy"))&amp;" "&amp;Milestones!$AB$114&amp;" "&amp;Milestones!$AC$114&amp;";  ","")&amp;IF(AND(EDATE($D61,Milestones!$AA$115)&lt;=AsOfDate,IF($R61=0,$X61,IF(AND($T61&lt;&gt;"",EDATE($D61,Milestones!$AA$115)&gt;=$T61),$W61,IF(AND($S61&lt;&gt;"",EDATE($D61,Milestones!$AA$115)&gt;=$S61),$V61,$U61)))=Milestones!$AB$115),UPPER(TEXT(EDATE($D61,Milestones!$AA$115),"dd mmm yy"))&amp;" "&amp;Milestones!$AB$115&amp;" "&amp;Milestones!$AC$115&amp;";  ","")&amp;IF(AND(EDATE($D61,Milestones!$AA$116)&lt;=AsOfDate,IF($R61=0,$X61,IF(AND($T61&lt;&gt;"",EDATE($D61,Milestones!$AA$116)&gt;=$T61),$W61,IF(AND($S61&lt;&gt;"",EDATE($D61,Milestones!$AA$116)&gt;=$S61),$V61,$U61)))=Milestones!$AB$116),UPPER(TEXT(EDATE($D61,Milestones!$AA$116),"dd mmm yy"))&amp;" "&amp;Milestones!$AB$116&amp;" "&amp;Milestones!$AC$116&amp;";  ","")&amp;IF(AND(EDATE($D61,Milestones!$AA$117)&lt;=AsOfDate,IF($R61=0,$X61,IF(AND($T61&lt;&gt;"",EDATE($D61,Milestones!$AA$117)&gt;=$T61),$W61,IF(AND($S61&lt;&gt;"",EDATE($D61,Milestones!$AA$117)&gt;=$S61),$V61,$U61)))=Milestones!$AB$117),UPPER(TEXT(EDATE($D61,Milestones!$AA$117),"dd mmm yy"))&amp;" "&amp;Milestones!$AB$117&amp;" "&amp;Milestones!$AC$117&amp;";  ","")&amp;IF(AND(EDATE($D61,Milestones!$AA$118)&lt;=AsOfDate,IF($R61=0,$X61,IF(AND($T61&lt;&gt;"",EDATE($D61,Milestones!$AA$118)&gt;=$T61),$W61,IF(AND($S61&lt;&gt;"",EDATE($D61,Milestones!$AA$118)&gt;=$S61),$V61,$U61)))=Milestones!$AB$118),UPPER(TEXT(EDATE($D61,Milestones!$AA$118),"dd mmm yy"))&amp;" "&amp;Milestones!$AB$118&amp;" "&amp;Milestones!$AC$118&amp;";  ","")&amp;IF(AND(EDATE($D61,Milestones!$AA$119)&lt;=AsOfDate,IF($R61=0,$X61,IF(AND($T61&lt;&gt;"",EDATE($D61,Milestones!$AA$119)&gt;=$T61),$W61,IF(AND($S61&lt;&gt;"",EDATE($D61,Milestones!$AA$119)&gt;=$S61),$V61,$U61)))=Milestones!$AB$119),UPPER(TEXT(EDATE($D61,Milestones!$AA$119),"dd mmm yy"))&amp;" "&amp;Milestones!$AB$119&amp;" "&amp;Milestones!$AC$119&amp;";  ",""))</f>
        <v/>
      </c>
      <c r="N61" s="0" t="str">
        <f aca="false">IF(OR($A61="",$D61=""),"",IF(AND(EDATE($D61,Milestones!$AA$120)&lt;=AsOfDate,IF($R61=0,$X61,IF(AND($T61&lt;&gt;"",EDATE($D61,Milestones!$AA$120)&gt;=$T61),$W61,IF(AND($S61&lt;&gt;"",EDATE($D61,Milestones!$AA$120)&gt;=$S61),$V61,$U61)))=Milestones!$AB$120),UPPER(TEXT(EDATE($D61,Milestones!$AA$120),"dd mmm yy"))&amp;" "&amp;Milestones!$AB$120&amp;" "&amp;Milestones!$AC$120&amp;";  ","")&amp;IF(AND(EDATE($D61,Milestones!$AA$121)&lt;=AsOfDate,IF($R61=0,$X61,IF(AND($T61&lt;&gt;"",EDATE($D61,Milestones!$AA$121)&gt;=$T61),$W61,IF(AND($S61&lt;&gt;"",EDATE($D61,Milestones!$AA$121)&gt;=$S61),$V61,$U61)))=Milestones!$AB$121),UPPER(TEXT(EDATE($D61,Milestones!$AA$121),"dd mmm yy"))&amp;" "&amp;Milestones!$AB$121&amp;" "&amp;Milestones!$AC$121&amp;";  ","")&amp;IF(AND(EDATE($D61,Milestones!$AA$122)&lt;=AsOfDate,IF($R61=0,$X61,IF(AND($T61&lt;&gt;"",EDATE($D61,Milestones!$AA$122)&gt;=$T61),$W61,IF(AND($S61&lt;&gt;"",EDATE($D61,Milestones!$AA$122)&gt;=$S61),$V61,$U61)))=Milestones!$AB$122),UPPER(TEXT(EDATE($D61,Milestones!$AA$122),"dd mmm yy"))&amp;" "&amp;Milestones!$AB$122&amp;" "&amp;Milestones!$AC$122&amp;";  ","")&amp;IF(AND(EDATE($D61,Milestones!$AA$123)&lt;=AsOfDate,IF($R61=0,$X61,IF(AND($T61&lt;&gt;"",EDATE($D61,Milestones!$AA$123)&gt;=$T61),$W61,IF(AND($S61&lt;&gt;"",EDATE($D61,Milestones!$AA$123)&gt;=$S61),$V61,$U61)))=Milestones!$AB$123),UPPER(TEXT(EDATE($D61,Milestones!$AA$123),"dd mmm yy"))&amp;" "&amp;Milestones!$AB$123&amp;" "&amp;Milestones!$AC$123&amp;";  ","")&amp;IF(AND(EDATE($D61,Milestones!$AA$124)&lt;=AsOfDate,IF($R61=0,$X61,IF(AND($T61&lt;&gt;"",EDATE($D61,Milestones!$AA$124)&gt;=$T61),$W61,IF(AND($S61&lt;&gt;"",EDATE($D61,Milestones!$AA$124)&gt;=$S61),$V61,$U61)))=Milestones!$AB$124),UPPER(TEXT(EDATE($D61,Milestones!$AA$124),"dd mmm yy"))&amp;" "&amp;Milestones!$AB$124&amp;" "&amp;Milestones!$AC$124&amp;";  ","")&amp;IF(AND(EDATE($D61,Milestones!$AA$125)&lt;=AsOfDate,IF($R61=0,$X61,IF(AND($T61&lt;&gt;"",EDATE($D61,Milestones!$AA$125)&gt;=$T61),$W61,IF(AND($S61&lt;&gt;"",EDATE($D61,Milestones!$AA$125)&gt;=$S61),$V61,$U61)))=Milestones!$AB$125),UPPER(TEXT(EDATE($D61,Milestones!$AA$125),"dd mmm yy"))&amp;" "&amp;Milestones!$AB$125&amp;" "&amp;Milestones!$AC$125&amp;";  ","")&amp;IF(AND(EDATE($D61,Milestones!$AA$126)&lt;=AsOfDate,IF($R61=0,$X61,IF(AND($T61&lt;&gt;"",EDATE($D61,Milestones!$AA$126)&gt;=$T61),$W61,IF(AND($S61&lt;&gt;"",EDATE($D61,Milestones!$AA$126)&gt;=$S61),$V61,$U61)))=Milestones!$AB$126),UPPER(TEXT(EDATE($D61,Milestones!$AA$126),"dd mmm yy"))&amp;" "&amp;Milestones!$AB$126&amp;" "&amp;Milestones!$AC$126&amp;";  ","")&amp;IF(AND(EDATE($D61,Milestones!$AA$127)&lt;=AsOfDate,IF($R61=0,$X61,IF(AND($T61&lt;&gt;"",EDATE($D61,Milestones!$AA$127)&gt;=$T61),$W61,IF(AND($S61&lt;&gt;"",EDATE($D61,Milestones!$AA$127)&gt;=$S61),$V61,$U61)))=Milestones!$AB$127),UPPER(TEXT(EDATE($D61,Milestones!$AA$127),"dd mmm yy"))&amp;" "&amp;Milestones!$AB$127&amp;" "&amp;Milestones!$AC$127&amp;";  ","")&amp;IF(AND(EDATE($D61,Milestones!$AA$128)&lt;=AsOfDate,IF($R61=0,$X61,IF(AND($T61&lt;&gt;"",EDATE($D61,Milestones!$AA$128)&gt;=$T61),$W61,IF(AND($S61&lt;&gt;"",EDATE($D61,Milestones!$AA$128)&gt;=$S61),$V61,$U61)))=Milestones!$AB$128),UPPER(TEXT(EDATE($D61,Milestones!$AA$128),"dd mmm yy"))&amp;" "&amp;Milestones!$AB$128&amp;" "&amp;Milestones!$AC$128&amp;";  ","")&amp;IF(AND(EDATE($D61,Milestones!$AA$129)&lt;=AsOfDate,IF($R61=0,$X61,IF(AND($T61&lt;&gt;"",EDATE($D61,Milestones!$AA$129)&gt;=$T61),$W61,IF(AND($S61&lt;&gt;"",EDATE($D61,Milestones!$AA$129)&gt;=$S61),$V61,$U61)))=Milestones!$AB$129),UPPER(TEXT(EDATE($D61,Milestones!$AA$129),"dd mmm yy"))&amp;" "&amp;Milestones!$AB$129&amp;" "&amp;Milestones!$AC$129&amp;";  ","")&amp;IF(AND(EDATE($D61,Milestones!$AA$130)&lt;=AsOfDate,IF($R61=0,$X61,IF(AND($T61&lt;&gt;"",EDATE($D61,Milestones!$AA$130)&gt;=$T61),$W61,IF(AND($S61&lt;&gt;"",EDATE($D61,Milestones!$AA$130)&gt;=$S61),$V61,$U61)))=Milestones!$AB$130),UPPER(TEXT(EDATE($D61,Milestones!$AA$130),"dd mmm yy"))&amp;" "&amp;Milestones!$AB$130&amp;" "&amp;Milestones!$AC$130&amp;";  ","")&amp;IF(AND(EDATE($D61,Milestones!$AA$131)&lt;=AsOfDate,IF($R61=0,$X61,IF(AND($T61&lt;&gt;"",EDATE($D61,Milestones!$AA$131)&gt;=$T61),$W61,IF(AND($S61&lt;&gt;"",EDATE($D61,Milestones!$AA$131)&gt;=$S61),$V61,$U61)))=Milestones!$AB$131),UPPER(TEXT(EDATE($D61,Milestones!$AA$131),"dd mmm yy"))&amp;" "&amp;Milestones!$AB$131&amp;" "&amp;Milestones!$AC$131&amp;";  ","")&amp;IF(AND(EDATE($D61,Milestones!$AA$132)&lt;=AsOfDate,IF($R61=0,$X61,IF(AND($T61&lt;&gt;"",EDATE($D61,Milestones!$AA$132)&gt;=$T61),$W61,IF(AND($S61&lt;&gt;"",EDATE($D61,Milestones!$AA$132)&gt;=$S61),$V61,$U61)))=Milestones!$AB$132),UPPER(TEXT(EDATE($D61,Milestones!$AA$132),"dd mmm yy"))&amp;" "&amp;Milestones!$AB$132&amp;" "&amp;Milestones!$AC$132&amp;";  ","")&amp;IF(AND(EDATE($D61,Milestones!$AA$133)&lt;=AsOfDate,IF($R61=0,$X61,IF(AND($T61&lt;&gt;"",EDATE($D61,Milestones!$AA$133)&gt;=$T61),$W61,IF(AND($S61&lt;&gt;"",EDATE($D61,Milestones!$AA$133)&gt;=$S61),$V61,$U61)))=Milestones!$AB$133),UPPER(TEXT(EDATE($D61,Milestones!$AA$133),"dd mmm yy"))&amp;" "&amp;Milestones!$AB$133&amp;" "&amp;Milestones!$AC$133&amp;";  ","")&amp;IF(AND(EDATE($D61,Milestones!$AA$134)&lt;=AsOfDate,IF($R61=0,$X61,IF(AND($T61&lt;&gt;"",EDATE($D61,Milestones!$AA$134)&gt;=$T61),$W61,IF(AND($S61&lt;&gt;"",EDATE($D61,Milestones!$AA$134)&gt;=$S61),$V61,$U61)))=Milestones!$AB$134),UPPER(TEXT(EDATE($D61,Milestones!$AA$134),"dd mmm yy"))&amp;" "&amp;Milestones!$AB$134&amp;" "&amp;Milestones!$AC$134&amp;";  ","")&amp;IF(AND(EDATE($D61,Milestones!$AA$135)&lt;=AsOfDate,IF($R61=0,$X61,IF(AND($T61&lt;&gt;"",EDATE($D61,Milestones!$AA$135)&gt;=$T61),$W61,IF(AND($S61&lt;&gt;"",EDATE($D61,Milestones!$AA$135)&gt;=$S61),$V61,$U61)))=Milestones!$AB$135),UPPER(TEXT(EDATE($D61,Milestones!$AA$135),"dd mmm yy"))&amp;" "&amp;Milestones!$AB$135&amp;" "&amp;Milestones!$AC$135&amp;";  ","")&amp;IF(AND(EDATE($D61,Milestones!$AA$136)&lt;=AsOfDate,IF($R61=0,$X61,IF(AND($T61&lt;&gt;"",EDATE($D61,Milestones!$AA$136)&gt;=$T61),$W61,IF(AND($S61&lt;&gt;"",EDATE($D61,Milestones!$AA$136)&gt;=$S61),$V61,$U61)))=Milestones!$AB$136),UPPER(TEXT(EDATE($D61,Milestones!$AA$136),"dd mmm yy"))&amp;" "&amp;Milestones!$AB$136&amp;" "&amp;Milestones!$AC$136&amp;";  ","")&amp;IF(AND(EDATE($D61,Milestones!$AA$137)&lt;=AsOfDate,IF($R61=0,$X61,IF(AND($T61&lt;&gt;"",EDATE($D61,Milestones!$AA$137)&gt;=$T61),$W61,IF(AND($S61&lt;&gt;"",EDATE($D61,Milestones!$AA$137)&gt;=$S61),$V61,$U61)))=Milestones!$AB$137),UPPER(TEXT(EDATE($D61,Milestones!$AA$137),"dd mmm yy"))&amp;" "&amp;Milestones!$AB$137&amp;" "&amp;Milestones!$AC$137&amp;";  ","")&amp;IF(AND(EDATE($D61,Milestones!$AA$138)&lt;=AsOfDate,IF($R61=0,$X61,IF(AND($T61&lt;&gt;"",EDATE($D61,Milestones!$AA$138)&gt;=$T61),$W61,IF(AND($S61&lt;&gt;"",EDATE($D61,Milestones!$AA$138)&gt;=$S61),$V61,$U61)))=Milestones!$AB$138),UPPER(TEXT(EDATE($D61,Milestones!$AA$138),"dd mmm yy"))&amp;" "&amp;Milestones!$AB$138&amp;" "&amp;Milestones!$AC$138&amp;";  ","")&amp;IF(AND(EDATE($D61,Milestones!$AA$139)&lt;=AsOfDate,IF($R61=0,$X61,IF(AND($T61&lt;&gt;"",EDATE($D61,Milestones!$AA$139)&gt;=$T61),$W61,IF(AND($S61&lt;&gt;"",EDATE($D61,Milestones!$AA$139)&gt;=$S61),$V61,$U61)))=Milestones!$AB$139),UPPER(TEXT(EDATE($D61,Milestones!$AA$139),"dd mmm yy"))&amp;" "&amp;Milestones!$AB$139&amp;" "&amp;Milestones!$AC$139&amp;";  ",""))</f>
        <v/>
      </c>
      <c r="O61" s="0" t="str">
        <f aca="false">IF(OR($A61="",$D61=""),"",IF(AND(EDATE($D61,Milestones!$AA$140)&lt;=AsOfDate,IF($R61=0,$X61,IF(AND($T61&lt;&gt;"",EDATE($D61,Milestones!$AA$140)&gt;=$T61),$W61,IF(AND($S61&lt;&gt;"",EDATE($D61,Milestones!$AA$140)&gt;=$S61),$V61,$U61)))=Milestones!$AB$140),UPPER(TEXT(EDATE($D61,Milestones!$AA$140),"dd mmm yy"))&amp;" "&amp;Milestones!$AB$140&amp;" "&amp;Milestones!$AC$140&amp;";  ","")&amp;IF(AND(EDATE($D61,Milestones!$AA$141)&lt;=AsOfDate,IF($R61=0,$X61,IF(AND($T61&lt;&gt;"",EDATE($D61,Milestones!$AA$141)&gt;=$T61),$W61,IF(AND($S61&lt;&gt;"",EDATE($D61,Milestones!$AA$141)&gt;=$S61),$V61,$U61)))=Milestones!$AB$141),UPPER(TEXT(EDATE($D61,Milestones!$AA$141),"dd mmm yy"))&amp;" "&amp;Milestones!$AB$141&amp;" "&amp;Milestones!$AC$141&amp;";  ","")&amp;IF(AND(EDATE($D61,Milestones!$AA$142)&lt;=AsOfDate,IF($R61=0,$X61,IF(AND($T61&lt;&gt;"",EDATE($D61,Milestones!$AA$142)&gt;=$T61),$W61,IF(AND($S61&lt;&gt;"",EDATE($D61,Milestones!$AA$142)&gt;=$S61),$V61,$U61)))=Milestones!$AB$142),UPPER(TEXT(EDATE($D61,Milestones!$AA$142),"dd mmm yy"))&amp;" "&amp;Milestones!$AB$142&amp;" "&amp;Milestones!$AC$142&amp;";  ","")&amp;IF(AND(EDATE($D61,Milestones!$AA$143)&lt;=AsOfDate,IF($R61=0,$X61,IF(AND($T61&lt;&gt;"",EDATE($D61,Milestones!$AA$143)&gt;=$T61),$W61,IF(AND($S61&lt;&gt;"",EDATE($D61,Milestones!$AA$143)&gt;=$S61),$V61,$U61)))=Milestones!$AB$143),UPPER(TEXT(EDATE($D61,Milestones!$AA$143),"dd mmm yy"))&amp;" "&amp;Milestones!$AB$143&amp;" "&amp;Milestones!$AC$143&amp;";  ","")&amp;IF(AND(EDATE($D61,Milestones!$AA$144)&lt;=AsOfDate,IF($R61=0,$X61,IF(AND($T61&lt;&gt;"",EDATE($D61,Milestones!$AA$144)&gt;=$T61),$W61,IF(AND($S61&lt;&gt;"",EDATE($D61,Milestones!$AA$144)&gt;=$S61),$V61,$U61)))=Milestones!$AB$144),UPPER(TEXT(EDATE($D61,Milestones!$AA$144),"dd mmm yy"))&amp;" "&amp;Milestones!$AB$144&amp;" "&amp;Milestones!$AC$144&amp;";  ","")&amp;IF(AND(EDATE($D61,Milestones!$AA$145)&lt;=AsOfDate,IF($R61=0,$X61,IF(AND($T61&lt;&gt;"",EDATE($D61,Milestones!$AA$145)&gt;=$T61),$W61,IF(AND($S61&lt;&gt;"",EDATE($D61,Milestones!$AA$145)&gt;=$S61),$V61,$U61)))=Milestones!$AB$145),UPPER(TEXT(EDATE($D61,Milestones!$AA$145),"dd mmm yy"))&amp;" "&amp;Milestones!$AB$145&amp;" "&amp;Milestones!$AC$145&amp;";  ","")&amp;IF(AND(EDATE($D61,Milestones!$AA$146)&lt;=AsOfDate,IF($R61=0,$X61,IF(AND($T61&lt;&gt;"",EDATE($D61,Milestones!$AA$146)&gt;=$T61),$W61,IF(AND($S61&lt;&gt;"",EDATE($D61,Milestones!$AA$146)&gt;=$S61),$V61,$U61)))=Milestones!$AB$146),UPPER(TEXT(EDATE($D61,Milestones!$AA$146),"dd mmm yy"))&amp;" "&amp;Milestones!$AB$146&amp;" "&amp;Milestones!$AC$146&amp;";  ","")&amp;IF(AND(EDATE($D61,Milestones!$AA$147)&lt;=AsOfDate,IF($R61=0,$X61,IF(AND($T61&lt;&gt;"",EDATE($D61,Milestones!$AA$147)&gt;=$T61),$W61,IF(AND($S61&lt;&gt;"",EDATE($D61,Milestones!$AA$147)&gt;=$S61),$V61,$U61)))=Milestones!$AB$147),UPPER(TEXT(EDATE($D61,Milestones!$AA$147),"dd mmm yy"))&amp;" "&amp;Milestones!$AB$147&amp;" "&amp;Milestones!$AC$147&amp;";  ","")&amp;IF(AND(EDATE($D61,Milestones!$AA$148)&lt;=AsOfDate,IF($R61=0,$X61,IF(AND($T61&lt;&gt;"",EDATE($D61,Milestones!$AA$148)&gt;=$T61),$W61,IF(AND($S61&lt;&gt;"",EDATE($D61,Milestones!$AA$148)&gt;=$S61),$V61,$U61)))=Milestones!$AB$148),UPPER(TEXT(EDATE($D61,Milestones!$AA$148),"dd mmm yy"))&amp;" "&amp;Milestones!$AB$148&amp;" "&amp;Milestones!$AC$148&amp;";  ","")&amp;IF(AND(EDATE($D61,Milestones!$AA$149)&lt;=AsOfDate,IF($R61=0,$X61,IF(AND($T61&lt;&gt;"",EDATE($D61,Milestones!$AA$149)&gt;=$T61),$W61,IF(AND($S61&lt;&gt;"",EDATE($D61,Milestones!$AA$149)&gt;=$S61),$V61,$U61)))=Milestones!$AB$149),UPPER(TEXT(EDATE($D61,Milestones!$AA$149),"dd mmm yy"))&amp;" "&amp;Milestones!$AB$149&amp;" "&amp;Milestones!$AC$149&amp;";  ","")&amp;IF(AND(EDATE($D61,Milestones!$AA$150)&lt;=AsOfDate,IF($R61=0,$X61,IF(AND($T61&lt;&gt;"",EDATE($D61,Milestones!$AA$150)&gt;=$T61),$W61,IF(AND($S61&lt;&gt;"",EDATE($D61,Milestones!$AA$150)&gt;=$S61),$V61,$U61)))=Milestones!$AB$150),UPPER(TEXT(EDATE($D61,Milestones!$AA$150),"dd mmm yy"))&amp;" "&amp;Milestones!$AB$150&amp;" "&amp;Milestones!$AC$150&amp;";  ","")&amp;IF(AND(EDATE($D61,Milestones!$AA$151)&lt;=AsOfDate,IF($R61=0,$X61,IF(AND($T61&lt;&gt;"",EDATE($D61,Milestones!$AA$151)&gt;=$T61),$W61,IF(AND($S61&lt;&gt;"",EDATE($D61,Milestones!$AA$151)&gt;=$S61),$V61,$U61)))=Milestones!$AB$151),UPPER(TEXT(EDATE($D61,Milestones!$AA$151),"dd mmm yy"))&amp;" "&amp;Milestones!$AB$151&amp;" "&amp;Milestones!$AC$151&amp;";  ","")&amp;IF(AND(EDATE($D61,Milestones!$AA$152)&lt;=AsOfDate,IF($R61=0,$X61,IF(AND($T61&lt;&gt;"",EDATE($D61,Milestones!$AA$152)&gt;=$T61),$W61,IF(AND($S61&lt;&gt;"",EDATE($D61,Milestones!$AA$152)&gt;=$S61),$V61,$U61)))=Milestones!$AB$152),UPPER(TEXT(EDATE($D61,Milestones!$AA$152),"dd mmm yy"))&amp;" "&amp;Milestones!$AB$152&amp;" "&amp;Milestones!$AC$152&amp;";  ","")&amp;IF(AND(EDATE($D61,Milestones!$AA$153)&lt;=AsOfDate,IF($R61=0,$X61,IF(AND($T61&lt;&gt;"",EDATE($D61,Milestones!$AA$153)&gt;=$T61),$W61,IF(AND($S61&lt;&gt;"",EDATE($D61,Milestones!$AA$153)&gt;=$S61),$V61,$U61)))=Milestones!$AB$153),UPPER(TEXT(EDATE($D61,Milestones!$AA$153),"dd mmm yy"))&amp;" "&amp;Milestones!$AB$153&amp;" "&amp;Milestones!$AC$153&amp;";  ","")&amp;IF(AND(EDATE($D61,Milestones!$AA$154)&lt;=AsOfDate,IF($R61=0,$X61,IF(AND($T61&lt;&gt;"",EDATE($D61,Milestones!$AA$154)&gt;=$T61),$W61,IF(AND($S61&lt;&gt;"",EDATE($D61,Milestones!$AA$154)&gt;=$S61),$V61,$U61)))=Milestones!$AB$154),UPPER(TEXT(EDATE($D61,Milestones!$AA$154),"dd mmm yy"))&amp;" "&amp;Milestones!$AB$154&amp;" "&amp;Milestones!$AC$154&amp;";  ","")&amp;IF(AND(EDATE($D61,Milestones!$AA$155)&lt;=AsOfDate,IF($R61=0,$X61,IF(AND($T61&lt;&gt;"",EDATE($D61,Milestones!$AA$155)&gt;=$T61),$W61,IF(AND($S61&lt;&gt;"",EDATE($D61,Milestones!$AA$155)&gt;=$S61),$V61,$U61)))=Milestones!$AB$155),UPPER(TEXT(EDATE($D61,Milestones!$AA$155),"dd mmm yy"))&amp;" "&amp;Milestones!$AB$155&amp;" "&amp;Milestones!$AC$155&amp;";  ","")&amp;IF(AND(EDATE($D61,Milestones!$AA$156)&lt;=AsOfDate,IF($R61=0,$X61,IF(AND($T61&lt;&gt;"",EDATE($D61,Milestones!$AA$156)&gt;=$T61),$W61,IF(AND($S61&lt;&gt;"",EDATE($D61,Milestones!$AA$156)&gt;=$S61),$V61,$U61)))=Milestones!$AB$156),UPPER(TEXT(EDATE($D61,Milestones!$AA$156),"dd mmm yy"))&amp;" "&amp;Milestones!$AB$156&amp;" "&amp;Milestones!$AC$156&amp;";  ","")&amp;IF(AND(EDATE($D61,Milestones!$AA$157)&lt;=AsOfDate,IF($R61=0,$X61,IF(AND($T61&lt;&gt;"",EDATE($D61,Milestones!$AA$157)&gt;=$T61),$W61,IF(AND($S61&lt;&gt;"",EDATE($D61,Milestones!$AA$157)&gt;=$S61),$V61,$U61)))=Milestones!$AB$157),UPPER(TEXT(EDATE($D61,Milestones!$AA$157),"dd mmm yy"))&amp;" "&amp;Milestones!$AB$157&amp;" "&amp;Milestones!$AC$157&amp;";  ","")&amp;IF(AND(EDATE($D61,Milestones!$AA$158)&lt;=AsOfDate,IF($R61=0,$X61,IF(AND($T61&lt;&gt;"",EDATE($D61,Milestones!$AA$158)&gt;=$T61),$W61,IF(AND($S61&lt;&gt;"",EDATE($D61,Milestones!$AA$158)&gt;=$S61),$V61,$U61)))=Milestones!$AB$158),UPPER(TEXT(EDATE($D61,Milestones!$AA$158),"dd mmm yy"))&amp;" "&amp;Milestones!$AB$158&amp;" "&amp;Milestones!$AC$158&amp;";  ","")&amp;IF(AND(EDATE($D61,Milestones!$AA$159)&lt;=AsOfDate,IF($R61=0,$X61,IF(AND($T61&lt;&gt;"",EDATE($D61,Milestones!$AA$159)&gt;=$T61),$W61,IF(AND($S61&lt;&gt;"",EDATE($D61,Milestones!$AA$159)&gt;=$S61),$V61,$U61)))=Milestones!$AB$159),UPPER(TEXT(EDATE($D61,Milestones!$AA$159),"dd mmm yy"))&amp;" "&amp;Milestones!$AB$159&amp;" "&amp;Milestones!$AC$159&amp;";  ",""))</f>
        <v/>
      </c>
      <c r="P61" s="0" t="str">
        <f aca="false">IF(OR($A61="",$D61=""),"",IF(AND(EDATE($D61,Milestones!$AA$160)&lt;=AsOfDate,IF($R61=0,$X61,IF(AND($T61&lt;&gt;"",EDATE($D61,Milestones!$AA$160)&gt;=$T61),$W61,IF(AND($S61&lt;&gt;"",EDATE($D61,Milestones!$AA$160)&gt;=$S61),$V61,$U61)))=Milestones!$AB$160),UPPER(TEXT(EDATE($D61,Milestones!$AA$160),"dd mmm yy"))&amp;" "&amp;Milestones!$AB$160&amp;" "&amp;Milestones!$AC$160&amp;";  ","")&amp;IF(AND(EDATE($D61,Milestones!$AA$161)&lt;=AsOfDate,IF($R61=0,$X61,IF(AND($T61&lt;&gt;"",EDATE($D61,Milestones!$AA$161)&gt;=$T61),$W61,IF(AND($S61&lt;&gt;"",EDATE($D61,Milestones!$AA$161)&gt;=$S61),$V61,$U61)))=Milestones!$AB$161),UPPER(TEXT(EDATE($D61,Milestones!$AA$161),"dd mmm yy"))&amp;" "&amp;Milestones!$AB$161&amp;" "&amp;Milestones!$AC$161&amp;";  ","")&amp;IF(AND(EDATE($D61,Milestones!$AA$162)&lt;=AsOfDate,IF($R61=0,$X61,IF(AND($T61&lt;&gt;"",EDATE($D61,Milestones!$AA$162)&gt;=$T61),$W61,IF(AND($S61&lt;&gt;"",EDATE($D61,Milestones!$AA$162)&gt;=$S61),$V61,$U61)))=Milestones!$AB$162),UPPER(TEXT(EDATE($D61,Milestones!$AA$162),"dd mmm yy"))&amp;" "&amp;Milestones!$AB$162&amp;" "&amp;Milestones!$AC$162&amp;";  ","")&amp;IF(AND(EDATE($D61,Milestones!$AA$163)&lt;=AsOfDate,IF($R61=0,$X61,IF(AND($T61&lt;&gt;"",EDATE($D61,Milestones!$AA$163)&gt;=$T61),$W61,IF(AND($S61&lt;&gt;"",EDATE($D61,Milestones!$AA$163)&gt;=$S61),$V61,$U61)))=Milestones!$AB$163),UPPER(TEXT(EDATE($D61,Milestones!$AA$163),"dd mmm yy"))&amp;" "&amp;Milestones!$AB$163&amp;" "&amp;Milestones!$AC$163&amp;";  ","")&amp;IF(AND(EDATE($D61,Milestones!$AA$164)&lt;=AsOfDate,IF($R61=0,$X61,IF(AND($T61&lt;&gt;"",EDATE($D61,Milestones!$AA$164)&gt;=$T61),$W61,IF(AND($S61&lt;&gt;"",EDATE($D61,Milestones!$AA$164)&gt;=$S61),$V61,$U61)))=Milestones!$AB$164),UPPER(TEXT(EDATE($D61,Milestones!$AA$164),"dd mmm yy"))&amp;" "&amp;Milestones!$AB$164&amp;" "&amp;Milestones!$AC$164&amp;";  ","")&amp;IF(AND(EDATE($D61,Milestones!$AA$165)&lt;=AsOfDate,IF($R61=0,$X61,IF(AND($T61&lt;&gt;"",EDATE($D61,Milestones!$AA$165)&gt;=$T61),$W61,IF(AND($S61&lt;&gt;"",EDATE($D61,Milestones!$AA$165)&gt;=$S61),$V61,$U61)))=Milestones!$AB$165),UPPER(TEXT(EDATE($D61,Milestones!$AA$165),"dd mmm yy"))&amp;" "&amp;Milestones!$AB$165&amp;" "&amp;Milestones!$AC$165&amp;";  ","")&amp;IF(AND(EDATE($D61,Milestones!$AA$166)&lt;=AsOfDate,IF($R61=0,$X61,IF(AND($T61&lt;&gt;"",EDATE($D61,Milestones!$AA$166)&gt;=$T61),$W61,IF(AND($S61&lt;&gt;"",EDATE($D61,Milestones!$AA$166)&gt;=$S61),$V61,$U61)))=Milestones!$AB$166),UPPER(TEXT(EDATE($D61,Milestones!$AA$166),"dd mmm yy"))&amp;" "&amp;Milestones!$AB$166&amp;" "&amp;Milestones!$AC$166&amp;";  ","")&amp;IF(AND(EDATE($D61,Milestones!$AA$167)&lt;=AsOfDate,IF($R61=0,$X61,IF(AND($T61&lt;&gt;"",EDATE($D61,Milestones!$AA$167)&gt;=$T61),$W61,IF(AND($S61&lt;&gt;"",EDATE($D61,Milestones!$AA$167)&gt;=$S61),$V61,$U61)))=Milestones!$AB$167),UPPER(TEXT(EDATE($D61,Milestones!$AA$167),"dd mmm yy"))&amp;" "&amp;Milestones!$AB$167&amp;" "&amp;Milestones!$AC$167&amp;";  ","")&amp;IF(AND(EDATE($D61,Milestones!$AA$168)&lt;=AsOfDate,IF($R61=0,$X61,IF(AND($T61&lt;&gt;"",EDATE($D61,Milestones!$AA$168)&gt;=$T61),$W61,IF(AND($S61&lt;&gt;"",EDATE($D61,Milestones!$AA$168)&gt;=$S61),$V61,$U61)))=Milestones!$AB$168),UPPER(TEXT(EDATE($D61,Milestones!$AA$168),"dd mmm yy"))&amp;" "&amp;Milestones!$AB$168&amp;" "&amp;Milestones!$AC$168&amp;";  ","")&amp;IF(AND(EDATE($D61,Milestones!$AA$169)&lt;=AsOfDate,IF($R61=0,$X61,IF(AND($T61&lt;&gt;"",EDATE($D61,Milestones!$AA$169)&gt;=$T61),$W61,IF(AND($S61&lt;&gt;"",EDATE($D61,Milestones!$AA$169)&gt;=$S61),$V61,$U61)))=Milestones!$AB$169),UPPER(TEXT(EDATE($D61,Milestones!$AA$169),"dd mmm yy"))&amp;" "&amp;Milestones!$AB$169&amp;" "&amp;Milestones!$AC$169&amp;";  ","")&amp;IF(AND(EDATE($D61,Milestones!$AA$170)&lt;=AsOfDate,IF($R61=0,$X61,IF(AND($T61&lt;&gt;"",EDATE($D61,Milestones!$AA$170)&gt;=$T61),$W61,IF(AND($S61&lt;&gt;"",EDATE($D61,Milestones!$AA$170)&gt;=$S61),$V61,$U61)))=Milestones!$AB$170),UPPER(TEXT(EDATE($D61,Milestones!$AA$170),"dd mmm yy"))&amp;" "&amp;Milestones!$AB$170&amp;" "&amp;Milestones!$AC$170&amp;";  ","")&amp;IF(AND(EDATE($D61,Milestones!$AA$171)&lt;=AsOfDate,IF($R61=0,$X61,IF(AND($T61&lt;&gt;"",EDATE($D61,Milestones!$AA$171)&gt;=$T61),$W61,IF(AND($S61&lt;&gt;"",EDATE($D61,Milestones!$AA$171)&gt;=$S61),$V61,$U61)))=Milestones!$AB$171),UPPER(TEXT(EDATE($D61,Milestones!$AA$171),"dd mmm yy"))&amp;" "&amp;Milestones!$AB$171&amp;" "&amp;Milestones!$AC$171&amp;";  ","")&amp;IF(AND(EDATE($D61,Milestones!$AA$172)&lt;=AsOfDate,IF($R61=0,$X61,IF(AND($T61&lt;&gt;"",EDATE($D61,Milestones!$AA$172)&gt;=$T61),$W61,IF(AND($S61&lt;&gt;"",EDATE($D61,Milestones!$AA$172)&gt;=$S61),$V61,$U61)))=Milestones!$AB$172),UPPER(TEXT(EDATE($D61,Milestones!$AA$172),"dd mmm yy"))&amp;" "&amp;Milestones!$AB$172&amp;" "&amp;Milestones!$AC$172&amp;";  ","")&amp;IF(AND(EDATE($D61,Milestones!$AA$173)&lt;=AsOfDate,IF($R61=0,$X61,IF(AND($T61&lt;&gt;"",EDATE($D61,Milestones!$AA$173)&gt;=$T61),$W61,IF(AND($S61&lt;&gt;"",EDATE($D61,Milestones!$AA$173)&gt;=$S61),$V61,$U61)))=Milestones!$AB$173),UPPER(TEXT(EDATE($D61,Milestones!$AA$173),"dd mmm yy"))&amp;" "&amp;Milestones!$AB$173&amp;" "&amp;Milestones!$AC$173&amp;";  ","")&amp;IF(AND(EDATE($D61,Milestones!$AA$174)&lt;=AsOfDate,IF($R61=0,$X61,IF(AND($T61&lt;&gt;"",EDATE($D61,Milestones!$AA$174)&gt;=$T61),$W61,IF(AND($S61&lt;&gt;"",EDATE($D61,Milestones!$AA$174)&gt;=$S61),$V61,$U61)))=Milestones!$AB$174),UPPER(TEXT(EDATE($D61,Milestones!$AA$174),"dd mmm yy"))&amp;" "&amp;Milestones!$AB$174&amp;" "&amp;Milestones!$AC$174&amp;";  ","")&amp;IF(AND(EDATE($D61,Milestones!$AA$175)&lt;=AsOfDate,IF($R61=0,$X61,IF(AND($T61&lt;&gt;"",EDATE($D61,Milestones!$AA$175)&gt;=$T61),$W61,IF(AND($S61&lt;&gt;"",EDATE($D61,Milestones!$AA$175)&gt;=$S61),$V61,$U61)))=Milestones!$AB$175),UPPER(TEXT(EDATE($D61,Milestones!$AA$175),"dd mmm yy"))&amp;" "&amp;Milestones!$AB$175&amp;" "&amp;Milestones!$AC$175&amp;";  ","")&amp;IF(AND(EDATE($D61,Milestones!$AA$176)&lt;=AsOfDate,IF($R61=0,$X61,IF(AND($T61&lt;&gt;"",EDATE($D61,Milestones!$AA$176)&gt;=$T61),$W61,IF(AND($S61&lt;&gt;"",EDATE($D61,Milestones!$AA$176)&gt;=$S61),$V61,$U61)))=Milestones!$AB$176),UPPER(TEXT(EDATE($D61,Milestones!$AA$176),"dd mmm yy"))&amp;" "&amp;Milestones!$AB$176&amp;" "&amp;Milestones!$AC$176&amp;";  ","")&amp;IF(AND(EDATE($D61,Milestones!$AA$177)&lt;=AsOfDate,IF($R61=0,$X61,IF(AND($T61&lt;&gt;"",EDATE($D61,Milestones!$AA$177)&gt;=$T61),$W61,IF(AND($S61&lt;&gt;"",EDATE($D61,Milestones!$AA$177)&gt;=$S61),$V61,$U61)))=Milestones!$AB$177),UPPER(TEXT(EDATE($D61,Milestones!$AA$177),"dd mmm yy"))&amp;" "&amp;Milestones!$AB$177&amp;" "&amp;Milestones!$AC$177&amp;";  ","")&amp;IF(AND(EDATE($D61,Milestones!$AA$178)&lt;=AsOfDate,IF($R61=0,$X61,IF(AND($T61&lt;&gt;"",EDATE($D61,Milestones!$AA$178)&gt;=$T61),$W61,IF(AND($S61&lt;&gt;"",EDATE($D61,Milestones!$AA$178)&gt;=$S61),$V61,$U61)))=Milestones!$AB$178),UPPER(TEXT(EDATE($D61,Milestones!$AA$178),"dd mmm yy"))&amp;" "&amp;Milestones!$AB$178&amp;" "&amp;Milestones!$AC$178&amp;";  ","")&amp;IF(AND(EDATE($D61,Milestones!$AA$179)&lt;=AsOfDate,IF($R61=0,$X61,IF(AND($T61&lt;&gt;"",EDATE($D61,Milestones!$AA$179)&gt;=$T61),$W61,IF(AND($S61&lt;&gt;"",EDATE($D61,Milestones!$AA$179)&gt;=$S61),$V61,$U61)))=Milestones!$AB$179),UPPER(TEXT(EDATE($D61,Milestones!$AA$179),"dd mmm yy"))&amp;" "&amp;Milestones!$AB$179&amp;" "&amp;Milestones!$AC$179&amp;";  ",""))</f>
        <v/>
      </c>
      <c r="Q61" s="0" t="str">
        <f aca="false">IF(OR($A61="",$D61=""),"",IF(AND(EDATE($D61,Milestones!$AA$180)&lt;=AsOfDate,IF($R61=0,$X61,IF(AND($T61&lt;&gt;"",EDATE($D61,Milestones!$AA$180)&gt;=$T61),$W61,IF(AND($S61&lt;&gt;"",EDATE($D61,Milestones!$AA$180)&gt;=$S61),$V61,$U61)))=Milestones!$AB$180),UPPER(TEXT(EDATE($D61,Milestones!$AA$180),"dd mmm yy"))&amp;" "&amp;Milestones!$AB$180&amp;" "&amp;Milestones!$AC$180&amp;";  ","")&amp;IF(AND(EDATE($D61,Milestones!$AA$181)&lt;=AsOfDate,IF($R61=0,$X61,IF(AND($T61&lt;&gt;"",EDATE($D61,Milestones!$AA$181)&gt;=$T61),$W61,IF(AND($S61&lt;&gt;"",EDATE($D61,Milestones!$AA$181)&gt;=$S61),$V61,$U61)))=Milestones!$AB$181),UPPER(TEXT(EDATE($D61,Milestones!$AA$181),"dd mmm yy"))&amp;" "&amp;Milestones!$AB$181&amp;" "&amp;Milestones!$AC$181&amp;";  ","")&amp;IF(AND(EDATE($D61,Milestones!$AA$182)&lt;=AsOfDate,IF($R61=0,$X61,IF(AND($T61&lt;&gt;"",EDATE($D61,Milestones!$AA$182)&gt;=$T61),$W61,IF(AND($S61&lt;&gt;"",EDATE($D61,Milestones!$AA$182)&gt;=$S61),$V61,$U61)))=Milestones!$AB$182),UPPER(TEXT(EDATE($D61,Milestones!$AA$182),"dd mmm yy"))&amp;" "&amp;Milestones!$AB$182&amp;" "&amp;Milestones!$AC$182&amp;";  ","")&amp;IF(AND(EDATE($D61,Milestones!$AA$183)&lt;=AsOfDate,IF($R61=0,$X61,IF(AND($T61&lt;&gt;"",EDATE($D61,Milestones!$AA$183)&gt;=$T61),$W61,IF(AND($S61&lt;&gt;"",EDATE($D61,Milestones!$AA$183)&gt;=$S61),$V61,$U61)))=Milestones!$AB$183),UPPER(TEXT(EDATE($D61,Milestones!$AA$183),"dd mmm yy"))&amp;" "&amp;Milestones!$AB$183&amp;" "&amp;Milestones!$AC$183&amp;";  ","")&amp;IF(AND(EDATE($D61,Milestones!$AA$184)&lt;=AsOfDate,IF($R61=0,$X61,IF(AND($T61&lt;&gt;"",EDATE($D61,Milestones!$AA$184)&gt;=$T61),$W61,IF(AND($S61&lt;&gt;"",EDATE($D61,Milestones!$AA$184)&gt;=$S61),$V61,$U61)))=Milestones!$AB$184),UPPER(TEXT(EDATE($D61,Milestones!$AA$184),"dd mmm yy"))&amp;" "&amp;Milestones!$AB$184&amp;" "&amp;Milestones!$AC$184&amp;";  ","")&amp;IF(AND(EDATE($D61,Milestones!$AA$185)&lt;=AsOfDate,IF($R61=0,$X61,IF(AND($T61&lt;&gt;"",EDATE($D61,Milestones!$AA$185)&gt;=$T61),$W61,IF(AND($S61&lt;&gt;"",EDATE($D61,Milestones!$AA$185)&gt;=$S61),$V61,$U61)))=Milestones!$AB$185),UPPER(TEXT(EDATE($D61,Milestones!$AA$185),"dd mmm yy"))&amp;" "&amp;Milestones!$AB$185&amp;" "&amp;Milestones!$AC$185&amp;";  ","")&amp;IF(AND(EDATE($D61,Milestones!$AA$186)&lt;=AsOfDate,IF($R61=0,$X61,IF(AND($T61&lt;&gt;"",EDATE($D61,Milestones!$AA$186)&gt;=$T61),$W61,IF(AND($S61&lt;&gt;"",EDATE($D61,Milestones!$AA$186)&gt;=$S61),$V61,$U61)))=Milestones!$AB$186),UPPER(TEXT(EDATE($D61,Milestones!$AA$186),"dd mmm yy"))&amp;" "&amp;Milestones!$AB$186&amp;" "&amp;Milestones!$AC$186&amp;";  ","")&amp;IF(AND(EDATE($D61,Milestones!$AA$187)&lt;=AsOfDate,IF($R61=0,$X61,IF(AND($T61&lt;&gt;"",EDATE($D61,Milestones!$AA$187)&gt;=$T61),$W61,IF(AND($S61&lt;&gt;"",EDATE($D61,Milestones!$AA$187)&gt;=$S61),$V61,$U61)))=Milestones!$AB$187),UPPER(TEXT(EDATE($D61,Milestones!$AA$187),"dd mmm yy"))&amp;" "&amp;Milestones!$AB$187&amp;" "&amp;Milestones!$AC$187&amp;";  ","")&amp;IF(AND(EDATE($D61,Milestones!$AA$188)&lt;=AsOfDate,IF($R61=0,$X61,IF(AND($T61&lt;&gt;"",EDATE($D61,Milestones!$AA$188)&gt;=$T61),$W61,IF(AND($S61&lt;&gt;"",EDATE($D61,Milestones!$AA$188)&gt;=$S61),$V61,$U61)))=Milestones!$AB$188),UPPER(TEXT(EDATE($D61,Milestones!$AA$188),"dd mmm yy"))&amp;" "&amp;Milestones!$AB$188&amp;" "&amp;Milestones!$AC$188&amp;";  ","")&amp;IF(AND(EDATE($D61,Milestones!$AA$189)&lt;=AsOfDate,IF($R61=0,$X61,IF(AND($T61&lt;&gt;"",EDATE($D61,Milestones!$AA$189)&gt;=$T61),$W61,IF(AND($S61&lt;&gt;"",EDATE($D61,Milestones!$AA$189)&gt;=$S61),$V61,$U61)))=Milestones!$AB$189),UPPER(TEXT(EDATE($D61,Milestones!$AA$189),"dd mmm yy"))&amp;" "&amp;Milestones!$AB$189&amp;" "&amp;Milestones!$AC$189&amp;";  ","")&amp;IF(AND(EDATE($D61,Milestones!$AA$190)&lt;=AsOfDate,IF($R61=0,$X61,IF(AND($T61&lt;&gt;"",EDATE($D61,Milestones!$AA$190)&gt;=$T61),$W61,IF(AND($S61&lt;&gt;"",EDATE($D61,Milestones!$AA$190)&gt;=$S61),$V61,$U61)))=Milestones!$AB$190),UPPER(TEXT(EDATE($D61,Milestones!$AA$190),"dd mmm yy"))&amp;" "&amp;Milestones!$AB$190&amp;" "&amp;Milestones!$AC$190&amp;";  ","")&amp;IF(AND(EDATE($D61,Milestones!$AA$191)&lt;=AsOfDate,IF($R61=0,$X61,IF(AND($T61&lt;&gt;"",EDATE($D61,Milestones!$AA$191)&gt;=$T61),$W61,IF(AND($S61&lt;&gt;"",EDATE($D61,Milestones!$AA$191)&gt;=$S61),$V61,$U61)))=Milestones!$AB$191),UPPER(TEXT(EDATE($D61,Milestones!$AA$191),"dd mmm yy"))&amp;" "&amp;Milestones!$AB$191&amp;" "&amp;Milestones!$AC$191&amp;";  ","")&amp;IF(AND(EDATE($D61,Milestones!$AA$192)&lt;=AsOfDate,IF($R61=0,$X61,IF(AND($T61&lt;&gt;"",EDATE($D61,Milestones!$AA$192)&gt;=$T61),$W61,IF(AND($S61&lt;&gt;"",EDATE($D61,Milestones!$AA$192)&gt;=$S61),$V61,$U61)))=Milestones!$AB$192),UPPER(TEXT(EDATE($D61,Milestones!$AA$192),"dd mmm yy"))&amp;" "&amp;Milestones!$AB$192&amp;" "&amp;Milestones!$AC$192&amp;";  ","")&amp;IF(AND(EDATE($D61,Milestones!$AA$193)&lt;=AsOfDate,IF($R61=0,$X61,IF(AND($T61&lt;&gt;"",EDATE($D61,Milestones!$AA$193)&gt;=$T61),$W61,IF(AND($S61&lt;&gt;"",EDATE($D61,Milestones!$AA$193)&gt;=$S61),$V61,$U61)))=Milestones!$AB$193),UPPER(TEXT(EDATE($D61,Milestones!$AA$193),"dd mmm yy"))&amp;" "&amp;Milestones!$AB$193&amp;" "&amp;Milestones!$AC$193&amp;";  ","")&amp;IF(AND(EDATE($D61,Milestones!$AA$194)&lt;=AsOfDate,IF($R61=0,$X61,IF(AND($T61&lt;&gt;"",EDATE($D61,Milestones!$AA$194)&gt;=$T61),$W61,IF(AND($S61&lt;&gt;"",EDATE($D61,Milestones!$AA$194)&gt;=$S61),$V61,$U61)))=Milestones!$AB$194),UPPER(TEXT(EDATE($D61,Milestones!$AA$194),"dd mmm yy"))&amp;" "&amp;Milestones!$AB$194&amp;" "&amp;Milestones!$AC$194&amp;";  ","")&amp;IF(AND(EDATE($D61,Milestones!$AA$195)&lt;=AsOfDate,IF($R61=0,$X61,IF(AND($T61&lt;&gt;"",EDATE($D61,Milestones!$AA$195)&gt;=$T61),$W61,IF(AND($S61&lt;&gt;"",EDATE($D61,Milestones!$AA$195)&gt;=$S61),$V61,$U61)))=Milestones!$AB$195),UPPER(TEXT(EDATE($D61,Milestones!$AA$195),"dd mmm yy"))&amp;" "&amp;Milestones!$AB$195&amp;" "&amp;Milestones!$AC$195&amp;";  ","")&amp;IF(AND(EDATE($D61,Milestones!$AA$196)&lt;=AsOfDate,IF($R61=0,$X61,IF(AND($T61&lt;&gt;"",EDATE($D61,Milestones!$AA$196)&gt;=$T61),$W61,IF(AND($S61&lt;&gt;"",EDATE($D61,Milestones!$AA$196)&gt;=$S61),$V61,$U61)))=Milestones!$AB$196),UPPER(TEXT(EDATE($D61,Milestones!$AA$196),"dd mmm yy"))&amp;" "&amp;Milestones!$AB$196&amp;" "&amp;Milestones!$AC$196&amp;";  ","")&amp;IF(AND(EDATE($D61,Milestones!$AA$197)&lt;=AsOfDate,IF($R61=0,$X61,IF(AND($T61&lt;&gt;"",EDATE($D61,Milestones!$AA$197)&gt;=$T61),$W61,IF(AND($S61&lt;&gt;"",EDATE($D61,Milestones!$AA$197)&gt;=$S61),$V61,$U61)))=Milestones!$AB$197),UPPER(TEXT(EDATE($D61,Milestones!$AA$197),"dd mmm yy"))&amp;" "&amp;Milestones!$AB$197&amp;" "&amp;Milestones!$AC$197&amp;";  ","")&amp;IF(AND(EDATE($D61,Milestones!$AA$198)&lt;=AsOfDate,IF($R61=0,$X61,IF(AND($T61&lt;&gt;"",EDATE($D61,Milestones!$AA$198)&gt;=$T61),$W61,IF(AND($S61&lt;&gt;"",EDATE($D61,Milestones!$AA$198)&gt;=$S61),$V61,$U61)))=Milestones!$AB$198),UPPER(TEXT(EDATE($D61,Milestones!$AA$198),"dd mmm yy"))&amp;" "&amp;Milestones!$AB$198&amp;" "&amp;Milestones!$AC$198&amp;";  ","")&amp;IF(AND(EDATE($D61,Milestones!$AA$199)&lt;=AsOfDate,IF($R61=0,$X61,IF(AND($T61&lt;&gt;"",EDATE($D61,Milestones!$AA$199)&gt;=$T61),$W61,IF(AND($S61&lt;&gt;"",EDATE($D61,Milestones!$AA$199)&gt;=$S61),$V61,$U61)))=Milestones!$AB$199),UPPER(TEXT(EDATE($D61,Milestones!$AA$199),"dd mmm yy"))&amp;" "&amp;Milestones!$AB$199&amp;" "&amp;Milestones!$AC$199&amp;";  ",""))</f>
        <v/>
      </c>
      <c r="R61" s="33" t="n">
        <f aca="false">IF(Staff!$A61="","",Staff!$AI61)</f>
        <v>0</v>
      </c>
      <c r="S61" s="0" t="str">
        <f aca="false">IF(Staff!$A61="","",Staff!$AK61)</f>
        <v/>
      </c>
      <c r="T61" s="0" t="str">
        <f aca="false">IF(Staff!$A61="","",Staff!$AL61)</f>
        <v/>
      </c>
      <c r="U61" s="0" t="str">
        <f aca="false">IF(Staff!$A61="","",Staff!$AP61)</f>
        <v>None</v>
      </c>
      <c r="V61" s="0" t="str">
        <f aca="false">IF(Staff!$A61="","",Staff!$AQ61)</f>
        <v/>
      </c>
      <c r="W61" s="0" t="str">
        <f aca="false">IF(Staff!$A61="","",Staff!$AR61)</f>
        <v/>
      </c>
      <c r="X61" s="0" t="str">
        <f aca="false">IF(Staff!$A61="","",Staff!$AS61)</f>
        <v>None</v>
      </c>
    </row>
    <row r="62" customFormat="false" ht="15" hidden="false" customHeight="false" outlineLevel="0" collapsed="false">
      <c r="A62" s="19" t="str">
        <f aca="false">IF(Staff!$A62="","",Staff!$A62)</f>
        <v>Ruairidh</v>
      </c>
      <c r="B62" s="19" t="str">
        <f aca="false">IF(Staff!$A62="","",Staff!$B62)</f>
        <v>Howard</v>
      </c>
      <c r="C62" s="19" t="str">
        <f aca="false">IF(Staff!$A62="","",Staff!$C62)</f>
        <v>Casual</v>
      </c>
      <c r="D62" s="17" t="n">
        <f aca="false">IF(Staff!$A62="","",Staff!$AH62)</f>
        <v>45187</v>
      </c>
      <c r="E62" s="20" t="n">
        <f aca="false">IF(Staff!$A62="","",Staff!$O62)</f>
        <v>0</v>
      </c>
      <c r="F62" s="19" t="n">
        <f aca="false">IF(E62="","",E62*HoursPerDay)</f>
        <v>0</v>
      </c>
      <c r="G62" s="20" t="n">
        <f aca="false">IF(Staff!$A62="","",Staff!$AE62)</f>
        <v>0</v>
      </c>
      <c r="H62" s="32" t="str">
        <f aca="false">IF($A62="","",I62&amp;J62&amp;K62&amp;L62&amp;M62&amp;N62&amp;O62&amp;P62&amp;Q62)</f>
        <v/>
      </c>
      <c r="I62" s="0" t="str">
        <f aca="false">IF(OR($A62="",$D62=""),"",IF(AND(EDATE($D62,Milestones!$AA$20)&lt;=AsOfDate,IF($R62=0,$X62,IF(AND($T62&lt;&gt;"",EDATE($D62,Milestones!$AA$20)&gt;=$T62),$W62,IF(AND($S62&lt;&gt;"",EDATE($D62,Milestones!$AA$20)&gt;=$S62),$V62,$U62)))=Milestones!$AB$20),UPPER(TEXT(EDATE($D62,Milestones!$AA$20),"dd mmm yy"))&amp;" "&amp;Milestones!$AB$20&amp;" "&amp;Milestones!$AC$20&amp;";  ","")&amp;IF(AND(EDATE($D62,Milestones!$AA$21)&lt;=AsOfDate,IF($R62=0,$X62,IF(AND($T62&lt;&gt;"",EDATE($D62,Milestones!$AA$21)&gt;=$T62),$W62,IF(AND($S62&lt;&gt;"",EDATE($D62,Milestones!$AA$21)&gt;=$S62),$V62,$U62)))=Milestones!$AB$21),UPPER(TEXT(EDATE($D62,Milestones!$AA$21),"dd mmm yy"))&amp;" "&amp;Milestones!$AB$21&amp;" "&amp;Milestones!$AC$21&amp;";  ","")&amp;IF(AND(EDATE($D62,Milestones!$AA$22)&lt;=AsOfDate,IF($R62=0,$X62,IF(AND($T62&lt;&gt;"",EDATE($D62,Milestones!$AA$22)&gt;=$T62),$W62,IF(AND($S62&lt;&gt;"",EDATE($D62,Milestones!$AA$22)&gt;=$S62),$V62,$U62)))=Milestones!$AB$22),UPPER(TEXT(EDATE($D62,Milestones!$AA$22),"dd mmm yy"))&amp;" "&amp;Milestones!$AB$22&amp;" "&amp;Milestones!$AC$22&amp;";  ","")&amp;IF(AND(EDATE($D62,Milestones!$AA$23)&lt;=AsOfDate,IF($R62=0,$X62,IF(AND($T62&lt;&gt;"",EDATE($D62,Milestones!$AA$23)&gt;=$T62),$W62,IF(AND($S62&lt;&gt;"",EDATE($D62,Milestones!$AA$23)&gt;=$S62),$V62,$U62)))=Milestones!$AB$23),UPPER(TEXT(EDATE($D62,Milestones!$AA$23),"dd mmm yy"))&amp;" "&amp;Milestones!$AB$23&amp;" "&amp;Milestones!$AC$23&amp;";  ","")&amp;IF(AND(EDATE($D62,Milestones!$AA$24)&lt;=AsOfDate,IF($R62=0,$X62,IF(AND($T62&lt;&gt;"",EDATE($D62,Milestones!$AA$24)&gt;=$T62),$W62,IF(AND($S62&lt;&gt;"",EDATE($D62,Milestones!$AA$24)&gt;=$S62),$V62,$U62)))=Milestones!$AB$24),UPPER(TEXT(EDATE($D62,Milestones!$AA$24),"dd mmm yy"))&amp;" "&amp;Milestones!$AB$24&amp;" "&amp;Milestones!$AC$24&amp;";  ","")&amp;IF(AND(EDATE($D62,Milestones!$AA$25)&lt;=AsOfDate,IF($R62=0,$X62,IF(AND($T62&lt;&gt;"",EDATE($D62,Milestones!$AA$25)&gt;=$T62),$W62,IF(AND($S62&lt;&gt;"",EDATE($D62,Milestones!$AA$25)&gt;=$S62),$V62,$U62)))=Milestones!$AB$25),UPPER(TEXT(EDATE($D62,Milestones!$AA$25),"dd mmm yy"))&amp;" "&amp;Milestones!$AB$25&amp;" "&amp;Milestones!$AC$25&amp;";  ","")&amp;IF(AND(EDATE($D62,Milestones!$AA$26)&lt;=AsOfDate,IF($R62=0,$X62,IF(AND($T62&lt;&gt;"",EDATE($D62,Milestones!$AA$26)&gt;=$T62),$W62,IF(AND($S62&lt;&gt;"",EDATE($D62,Milestones!$AA$26)&gt;=$S62),$V62,$U62)))=Milestones!$AB$26),UPPER(TEXT(EDATE($D62,Milestones!$AA$26),"dd mmm yy"))&amp;" "&amp;Milestones!$AB$26&amp;" "&amp;Milestones!$AC$26&amp;";  ","")&amp;IF(AND(EDATE($D62,Milestones!$AA$27)&lt;=AsOfDate,IF($R62=0,$X62,IF(AND($T62&lt;&gt;"",EDATE($D62,Milestones!$AA$27)&gt;=$T62),$W62,IF(AND($S62&lt;&gt;"",EDATE($D62,Milestones!$AA$27)&gt;=$S62),$V62,$U62)))=Milestones!$AB$27),UPPER(TEXT(EDATE($D62,Milestones!$AA$27),"dd mmm yy"))&amp;" "&amp;Milestones!$AB$27&amp;" "&amp;Milestones!$AC$27&amp;";  ","")&amp;IF(AND(EDATE($D62,Milestones!$AA$28)&lt;=AsOfDate,IF($R62=0,$X62,IF(AND($T62&lt;&gt;"",EDATE($D62,Milestones!$AA$28)&gt;=$T62),$W62,IF(AND($S62&lt;&gt;"",EDATE($D62,Milestones!$AA$28)&gt;=$S62),$V62,$U62)))=Milestones!$AB$28),UPPER(TEXT(EDATE($D62,Milestones!$AA$28),"dd mmm yy"))&amp;" "&amp;Milestones!$AB$28&amp;" "&amp;Milestones!$AC$28&amp;";  ","")&amp;IF(AND(EDATE($D62,Milestones!$AA$29)&lt;=AsOfDate,IF($R62=0,$X62,IF(AND($T62&lt;&gt;"",EDATE($D62,Milestones!$AA$29)&gt;=$T62),$W62,IF(AND($S62&lt;&gt;"",EDATE($D62,Milestones!$AA$29)&gt;=$S62),$V62,$U62)))=Milestones!$AB$29),UPPER(TEXT(EDATE($D62,Milestones!$AA$29),"dd mmm yy"))&amp;" "&amp;Milestones!$AB$29&amp;" "&amp;Milestones!$AC$29&amp;";  ","")&amp;IF(AND(EDATE($D62,Milestones!$AA$30)&lt;=AsOfDate,IF($R62=0,$X62,IF(AND($T62&lt;&gt;"",EDATE($D62,Milestones!$AA$30)&gt;=$T62),$W62,IF(AND($S62&lt;&gt;"",EDATE($D62,Milestones!$AA$30)&gt;=$S62),$V62,$U62)))=Milestones!$AB$30),UPPER(TEXT(EDATE($D62,Milestones!$AA$30),"dd mmm yy"))&amp;" "&amp;Milestones!$AB$30&amp;" "&amp;Milestones!$AC$30&amp;";  ","")&amp;IF(AND(EDATE($D62,Milestones!$AA$31)&lt;=AsOfDate,IF($R62=0,$X62,IF(AND($T62&lt;&gt;"",EDATE($D62,Milestones!$AA$31)&gt;=$T62),$W62,IF(AND($S62&lt;&gt;"",EDATE($D62,Milestones!$AA$31)&gt;=$S62),$V62,$U62)))=Milestones!$AB$31),UPPER(TEXT(EDATE($D62,Milestones!$AA$31),"dd mmm yy"))&amp;" "&amp;Milestones!$AB$31&amp;" "&amp;Milestones!$AC$31&amp;";  ","")&amp;IF(AND(EDATE($D62,Milestones!$AA$32)&lt;=AsOfDate,IF($R62=0,$X62,IF(AND($T62&lt;&gt;"",EDATE($D62,Milestones!$AA$32)&gt;=$T62),$W62,IF(AND($S62&lt;&gt;"",EDATE($D62,Milestones!$AA$32)&gt;=$S62),$V62,$U62)))=Milestones!$AB$32),UPPER(TEXT(EDATE($D62,Milestones!$AA$32),"dd mmm yy"))&amp;" "&amp;Milestones!$AB$32&amp;" "&amp;Milestones!$AC$32&amp;";  ","")&amp;IF(AND(EDATE($D62,Milestones!$AA$33)&lt;=AsOfDate,IF($R62=0,$X62,IF(AND($T62&lt;&gt;"",EDATE($D62,Milestones!$AA$33)&gt;=$T62),$W62,IF(AND($S62&lt;&gt;"",EDATE($D62,Milestones!$AA$33)&gt;=$S62),$V62,$U62)))=Milestones!$AB$33),UPPER(TEXT(EDATE($D62,Milestones!$AA$33),"dd mmm yy"))&amp;" "&amp;Milestones!$AB$33&amp;" "&amp;Milestones!$AC$33&amp;";  ","")&amp;IF(AND(EDATE($D62,Milestones!$AA$34)&lt;=AsOfDate,IF($R62=0,$X62,IF(AND($T62&lt;&gt;"",EDATE($D62,Milestones!$AA$34)&gt;=$T62),$W62,IF(AND($S62&lt;&gt;"",EDATE($D62,Milestones!$AA$34)&gt;=$S62),$V62,$U62)))=Milestones!$AB$34),UPPER(TEXT(EDATE($D62,Milestones!$AA$34),"dd mmm yy"))&amp;" "&amp;Milestones!$AB$34&amp;" "&amp;Milestones!$AC$34&amp;";  ","")&amp;IF(AND(EDATE($D62,Milestones!$AA$35)&lt;=AsOfDate,IF($R62=0,$X62,IF(AND($T62&lt;&gt;"",EDATE($D62,Milestones!$AA$35)&gt;=$T62),$W62,IF(AND($S62&lt;&gt;"",EDATE($D62,Milestones!$AA$35)&gt;=$S62),$V62,$U62)))=Milestones!$AB$35),UPPER(TEXT(EDATE($D62,Milestones!$AA$35),"dd mmm yy"))&amp;" "&amp;Milestones!$AB$35&amp;" "&amp;Milestones!$AC$35&amp;";  ","")&amp;IF(AND(EDATE($D62,Milestones!$AA$36)&lt;=AsOfDate,IF($R62=0,$X62,IF(AND($T62&lt;&gt;"",EDATE($D62,Milestones!$AA$36)&gt;=$T62),$W62,IF(AND($S62&lt;&gt;"",EDATE($D62,Milestones!$AA$36)&gt;=$S62),$V62,$U62)))=Milestones!$AB$36),UPPER(TEXT(EDATE($D62,Milestones!$AA$36),"dd mmm yy"))&amp;" "&amp;Milestones!$AB$36&amp;" "&amp;Milestones!$AC$36&amp;";  ","")&amp;IF(AND(EDATE($D62,Milestones!$AA$37)&lt;=AsOfDate,IF($R62=0,$X62,IF(AND($T62&lt;&gt;"",EDATE($D62,Milestones!$AA$37)&gt;=$T62),$W62,IF(AND($S62&lt;&gt;"",EDATE($D62,Milestones!$AA$37)&gt;=$S62),$V62,$U62)))=Milestones!$AB$37),UPPER(TEXT(EDATE($D62,Milestones!$AA$37),"dd mmm yy"))&amp;" "&amp;Milestones!$AB$37&amp;" "&amp;Milestones!$AC$37&amp;";  ","")&amp;IF(AND(EDATE($D62,Milestones!$AA$38)&lt;=AsOfDate,IF($R62=0,$X62,IF(AND($T62&lt;&gt;"",EDATE($D62,Milestones!$AA$38)&gt;=$T62),$W62,IF(AND($S62&lt;&gt;"",EDATE($D62,Milestones!$AA$38)&gt;=$S62),$V62,$U62)))=Milestones!$AB$38),UPPER(TEXT(EDATE($D62,Milestones!$AA$38),"dd mmm yy"))&amp;" "&amp;Milestones!$AB$38&amp;" "&amp;Milestones!$AC$38&amp;";  ","")&amp;IF(AND(EDATE($D62,Milestones!$AA$39)&lt;=AsOfDate,IF($R62=0,$X62,IF(AND($T62&lt;&gt;"",EDATE($D62,Milestones!$AA$39)&gt;=$T62),$W62,IF(AND($S62&lt;&gt;"",EDATE($D62,Milestones!$AA$39)&gt;=$S62),$V62,$U62)))=Milestones!$AB$39),UPPER(TEXT(EDATE($D62,Milestones!$AA$39),"dd mmm yy"))&amp;" "&amp;Milestones!$AB$39&amp;" "&amp;Milestones!$AC$39&amp;";  ",""))</f>
        <v/>
      </c>
      <c r="J62" s="0" t="str">
        <f aca="false">IF(OR($A62="",$D62=""),"",IF(AND(EDATE($D62,Milestones!$AA$40)&lt;=AsOfDate,IF($R62=0,$X62,IF(AND($T62&lt;&gt;"",EDATE($D62,Milestones!$AA$40)&gt;=$T62),$W62,IF(AND($S62&lt;&gt;"",EDATE($D62,Milestones!$AA$40)&gt;=$S62),$V62,$U62)))=Milestones!$AB$40),UPPER(TEXT(EDATE($D62,Milestones!$AA$40),"dd mmm yy"))&amp;" "&amp;Milestones!$AB$40&amp;" "&amp;Milestones!$AC$40&amp;";  ","")&amp;IF(AND(EDATE($D62,Milestones!$AA$41)&lt;=AsOfDate,IF($R62=0,$X62,IF(AND($T62&lt;&gt;"",EDATE($D62,Milestones!$AA$41)&gt;=$T62),$W62,IF(AND($S62&lt;&gt;"",EDATE($D62,Milestones!$AA$41)&gt;=$S62),$V62,$U62)))=Milestones!$AB$41),UPPER(TEXT(EDATE($D62,Milestones!$AA$41),"dd mmm yy"))&amp;" "&amp;Milestones!$AB$41&amp;" "&amp;Milestones!$AC$41&amp;";  ","")&amp;IF(AND(EDATE($D62,Milestones!$AA$42)&lt;=AsOfDate,IF($R62=0,$X62,IF(AND($T62&lt;&gt;"",EDATE($D62,Milestones!$AA$42)&gt;=$T62),$W62,IF(AND($S62&lt;&gt;"",EDATE($D62,Milestones!$AA$42)&gt;=$S62),$V62,$U62)))=Milestones!$AB$42),UPPER(TEXT(EDATE($D62,Milestones!$AA$42),"dd mmm yy"))&amp;" "&amp;Milestones!$AB$42&amp;" "&amp;Milestones!$AC$42&amp;";  ","")&amp;IF(AND(EDATE($D62,Milestones!$AA$43)&lt;=AsOfDate,IF($R62=0,$X62,IF(AND($T62&lt;&gt;"",EDATE($D62,Milestones!$AA$43)&gt;=$T62),$W62,IF(AND($S62&lt;&gt;"",EDATE($D62,Milestones!$AA$43)&gt;=$S62),$V62,$U62)))=Milestones!$AB$43),UPPER(TEXT(EDATE($D62,Milestones!$AA$43),"dd mmm yy"))&amp;" "&amp;Milestones!$AB$43&amp;" "&amp;Milestones!$AC$43&amp;";  ","")&amp;IF(AND(EDATE($D62,Milestones!$AA$44)&lt;=AsOfDate,IF($R62=0,$X62,IF(AND($T62&lt;&gt;"",EDATE($D62,Milestones!$AA$44)&gt;=$T62),$W62,IF(AND($S62&lt;&gt;"",EDATE($D62,Milestones!$AA$44)&gt;=$S62),$V62,$U62)))=Milestones!$AB$44),UPPER(TEXT(EDATE($D62,Milestones!$AA$44),"dd mmm yy"))&amp;" "&amp;Milestones!$AB$44&amp;" "&amp;Milestones!$AC$44&amp;";  ","")&amp;IF(AND(EDATE($D62,Milestones!$AA$45)&lt;=AsOfDate,IF($R62=0,$X62,IF(AND($T62&lt;&gt;"",EDATE($D62,Milestones!$AA$45)&gt;=$T62),$W62,IF(AND($S62&lt;&gt;"",EDATE($D62,Milestones!$AA$45)&gt;=$S62),$V62,$U62)))=Milestones!$AB$45),UPPER(TEXT(EDATE($D62,Milestones!$AA$45),"dd mmm yy"))&amp;" "&amp;Milestones!$AB$45&amp;" "&amp;Milestones!$AC$45&amp;";  ","")&amp;IF(AND(EDATE($D62,Milestones!$AA$46)&lt;=AsOfDate,IF($R62=0,$X62,IF(AND($T62&lt;&gt;"",EDATE($D62,Milestones!$AA$46)&gt;=$T62),$W62,IF(AND($S62&lt;&gt;"",EDATE($D62,Milestones!$AA$46)&gt;=$S62),$V62,$U62)))=Milestones!$AB$46),UPPER(TEXT(EDATE($D62,Milestones!$AA$46),"dd mmm yy"))&amp;" "&amp;Milestones!$AB$46&amp;" "&amp;Milestones!$AC$46&amp;";  ","")&amp;IF(AND(EDATE($D62,Milestones!$AA$47)&lt;=AsOfDate,IF($R62=0,$X62,IF(AND($T62&lt;&gt;"",EDATE($D62,Milestones!$AA$47)&gt;=$T62),$W62,IF(AND($S62&lt;&gt;"",EDATE($D62,Milestones!$AA$47)&gt;=$S62),$V62,$U62)))=Milestones!$AB$47),UPPER(TEXT(EDATE($D62,Milestones!$AA$47),"dd mmm yy"))&amp;" "&amp;Milestones!$AB$47&amp;" "&amp;Milestones!$AC$47&amp;";  ","")&amp;IF(AND(EDATE($D62,Milestones!$AA$48)&lt;=AsOfDate,IF($R62=0,$X62,IF(AND($T62&lt;&gt;"",EDATE($D62,Milestones!$AA$48)&gt;=$T62),$W62,IF(AND($S62&lt;&gt;"",EDATE($D62,Milestones!$AA$48)&gt;=$S62),$V62,$U62)))=Milestones!$AB$48),UPPER(TEXT(EDATE($D62,Milestones!$AA$48),"dd mmm yy"))&amp;" "&amp;Milestones!$AB$48&amp;" "&amp;Milestones!$AC$48&amp;";  ","")&amp;IF(AND(EDATE($D62,Milestones!$AA$49)&lt;=AsOfDate,IF($R62=0,$X62,IF(AND($T62&lt;&gt;"",EDATE($D62,Milestones!$AA$49)&gt;=$T62),$W62,IF(AND($S62&lt;&gt;"",EDATE($D62,Milestones!$AA$49)&gt;=$S62),$V62,$U62)))=Milestones!$AB$49),UPPER(TEXT(EDATE($D62,Milestones!$AA$49),"dd mmm yy"))&amp;" "&amp;Milestones!$AB$49&amp;" "&amp;Milestones!$AC$49&amp;";  ","")&amp;IF(AND(EDATE($D62,Milestones!$AA$50)&lt;=AsOfDate,IF($R62=0,$X62,IF(AND($T62&lt;&gt;"",EDATE($D62,Milestones!$AA$50)&gt;=$T62),$W62,IF(AND($S62&lt;&gt;"",EDATE($D62,Milestones!$AA$50)&gt;=$S62),$V62,$U62)))=Milestones!$AB$50),UPPER(TEXT(EDATE($D62,Milestones!$AA$50),"dd mmm yy"))&amp;" "&amp;Milestones!$AB$50&amp;" "&amp;Milestones!$AC$50&amp;";  ","")&amp;IF(AND(EDATE($D62,Milestones!$AA$51)&lt;=AsOfDate,IF($R62=0,$X62,IF(AND($T62&lt;&gt;"",EDATE($D62,Milestones!$AA$51)&gt;=$T62),$W62,IF(AND($S62&lt;&gt;"",EDATE($D62,Milestones!$AA$51)&gt;=$S62),$V62,$U62)))=Milestones!$AB$51),UPPER(TEXT(EDATE($D62,Milestones!$AA$51),"dd mmm yy"))&amp;" "&amp;Milestones!$AB$51&amp;" "&amp;Milestones!$AC$51&amp;";  ","")&amp;IF(AND(EDATE($D62,Milestones!$AA$52)&lt;=AsOfDate,IF($R62=0,$X62,IF(AND($T62&lt;&gt;"",EDATE($D62,Milestones!$AA$52)&gt;=$T62),$W62,IF(AND($S62&lt;&gt;"",EDATE($D62,Milestones!$AA$52)&gt;=$S62),$V62,$U62)))=Milestones!$AB$52),UPPER(TEXT(EDATE($D62,Milestones!$AA$52),"dd mmm yy"))&amp;" "&amp;Milestones!$AB$52&amp;" "&amp;Milestones!$AC$52&amp;";  ","")&amp;IF(AND(EDATE($D62,Milestones!$AA$53)&lt;=AsOfDate,IF($R62=0,$X62,IF(AND($T62&lt;&gt;"",EDATE($D62,Milestones!$AA$53)&gt;=$T62),$W62,IF(AND($S62&lt;&gt;"",EDATE($D62,Milestones!$AA$53)&gt;=$S62),$V62,$U62)))=Milestones!$AB$53),UPPER(TEXT(EDATE($D62,Milestones!$AA$53),"dd mmm yy"))&amp;" "&amp;Milestones!$AB$53&amp;" "&amp;Milestones!$AC$53&amp;";  ","")&amp;IF(AND(EDATE($D62,Milestones!$AA$54)&lt;=AsOfDate,IF($R62=0,$X62,IF(AND($T62&lt;&gt;"",EDATE($D62,Milestones!$AA$54)&gt;=$T62),$W62,IF(AND($S62&lt;&gt;"",EDATE($D62,Milestones!$AA$54)&gt;=$S62),$V62,$U62)))=Milestones!$AB$54),UPPER(TEXT(EDATE($D62,Milestones!$AA$54),"dd mmm yy"))&amp;" "&amp;Milestones!$AB$54&amp;" "&amp;Milestones!$AC$54&amp;";  ","")&amp;IF(AND(EDATE($D62,Milestones!$AA$55)&lt;=AsOfDate,IF($R62=0,$X62,IF(AND($T62&lt;&gt;"",EDATE($D62,Milestones!$AA$55)&gt;=$T62),$W62,IF(AND($S62&lt;&gt;"",EDATE($D62,Milestones!$AA$55)&gt;=$S62),$V62,$U62)))=Milestones!$AB$55),UPPER(TEXT(EDATE($D62,Milestones!$AA$55),"dd mmm yy"))&amp;" "&amp;Milestones!$AB$55&amp;" "&amp;Milestones!$AC$55&amp;";  ","")&amp;IF(AND(EDATE($D62,Milestones!$AA$56)&lt;=AsOfDate,IF($R62=0,$X62,IF(AND($T62&lt;&gt;"",EDATE($D62,Milestones!$AA$56)&gt;=$T62),$W62,IF(AND($S62&lt;&gt;"",EDATE($D62,Milestones!$AA$56)&gt;=$S62),$V62,$U62)))=Milestones!$AB$56),UPPER(TEXT(EDATE($D62,Milestones!$AA$56),"dd mmm yy"))&amp;" "&amp;Milestones!$AB$56&amp;" "&amp;Milestones!$AC$56&amp;";  ","")&amp;IF(AND(EDATE($D62,Milestones!$AA$57)&lt;=AsOfDate,IF($R62=0,$X62,IF(AND($T62&lt;&gt;"",EDATE($D62,Milestones!$AA$57)&gt;=$T62),$W62,IF(AND($S62&lt;&gt;"",EDATE($D62,Milestones!$AA$57)&gt;=$S62),$V62,$U62)))=Milestones!$AB$57),UPPER(TEXT(EDATE($D62,Milestones!$AA$57),"dd mmm yy"))&amp;" "&amp;Milestones!$AB$57&amp;" "&amp;Milestones!$AC$57&amp;";  ","")&amp;IF(AND(EDATE($D62,Milestones!$AA$58)&lt;=AsOfDate,IF($R62=0,$X62,IF(AND($T62&lt;&gt;"",EDATE($D62,Milestones!$AA$58)&gt;=$T62),$W62,IF(AND($S62&lt;&gt;"",EDATE($D62,Milestones!$AA$58)&gt;=$S62),$V62,$U62)))=Milestones!$AB$58),UPPER(TEXT(EDATE($D62,Milestones!$AA$58),"dd mmm yy"))&amp;" "&amp;Milestones!$AB$58&amp;" "&amp;Milestones!$AC$58&amp;";  ","")&amp;IF(AND(EDATE($D62,Milestones!$AA$59)&lt;=AsOfDate,IF($R62=0,$X62,IF(AND($T62&lt;&gt;"",EDATE($D62,Milestones!$AA$59)&gt;=$T62),$W62,IF(AND($S62&lt;&gt;"",EDATE($D62,Milestones!$AA$59)&gt;=$S62),$V62,$U62)))=Milestones!$AB$59),UPPER(TEXT(EDATE($D62,Milestones!$AA$59),"dd mmm yy"))&amp;" "&amp;Milestones!$AB$59&amp;" "&amp;Milestones!$AC$59&amp;";  ",""))</f>
        <v/>
      </c>
      <c r="K62" s="0" t="str">
        <f aca="false">IF(OR($A62="",$D62=""),"",IF(AND(EDATE($D62,Milestones!$AA$60)&lt;=AsOfDate,IF($R62=0,$X62,IF(AND($T62&lt;&gt;"",EDATE($D62,Milestones!$AA$60)&gt;=$T62),$W62,IF(AND($S62&lt;&gt;"",EDATE($D62,Milestones!$AA$60)&gt;=$S62),$V62,$U62)))=Milestones!$AB$60),UPPER(TEXT(EDATE($D62,Milestones!$AA$60),"dd mmm yy"))&amp;" "&amp;Milestones!$AB$60&amp;" "&amp;Milestones!$AC$60&amp;";  ","")&amp;IF(AND(EDATE($D62,Milestones!$AA$61)&lt;=AsOfDate,IF($R62=0,$X62,IF(AND($T62&lt;&gt;"",EDATE($D62,Milestones!$AA$61)&gt;=$T62),$W62,IF(AND($S62&lt;&gt;"",EDATE($D62,Milestones!$AA$61)&gt;=$S62),$V62,$U62)))=Milestones!$AB$61),UPPER(TEXT(EDATE($D62,Milestones!$AA$61),"dd mmm yy"))&amp;" "&amp;Milestones!$AB$61&amp;" "&amp;Milestones!$AC$61&amp;";  ","")&amp;IF(AND(EDATE($D62,Milestones!$AA$62)&lt;=AsOfDate,IF($R62=0,$X62,IF(AND($T62&lt;&gt;"",EDATE($D62,Milestones!$AA$62)&gt;=$T62),$W62,IF(AND($S62&lt;&gt;"",EDATE($D62,Milestones!$AA$62)&gt;=$S62),$V62,$U62)))=Milestones!$AB$62),UPPER(TEXT(EDATE($D62,Milestones!$AA$62),"dd mmm yy"))&amp;" "&amp;Milestones!$AB$62&amp;" "&amp;Milestones!$AC$62&amp;";  ","")&amp;IF(AND(EDATE($D62,Milestones!$AA$63)&lt;=AsOfDate,IF($R62=0,$X62,IF(AND($T62&lt;&gt;"",EDATE($D62,Milestones!$AA$63)&gt;=$T62),$W62,IF(AND($S62&lt;&gt;"",EDATE($D62,Milestones!$AA$63)&gt;=$S62),$V62,$U62)))=Milestones!$AB$63),UPPER(TEXT(EDATE($D62,Milestones!$AA$63),"dd mmm yy"))&amp;" "&amp;Milestones!$AB$63&amp;" "&amp;Milestones!$AC$63&amp;";  ","")&amp;IF(AND(EDATE($D62,Milestones!$AA$64)&lt;=AsOfDate,IF($R62=0,$X62,IF(AND($T62&lt;&gt;"",EDATE($D62,Milestones!$AA$64)&gt;=$T62),$W62,IF(AND($S62&lt;&gt;"",EDATE($D62,Milestones!$AA$64)&gt;=$S62),$V62,$U62)))=Milestones!$AB$64),UPPER(TEXT(EDATE($D62,Milestones!$AA$64),"dd mmm yy"))&amp;" "&amp;Milestones!$AB$64&amp;" "&amp;Milestones!$AC$64&amp;";  ","")&amp;IF(AND(EDATE($D62,Milestones!$AA$65)&lt;=AsOfDate,IF($R62=0,$X62,IF(AND($T62&lt;&gt;"",EDATE($D62,Milestones!$AA$65)&gt;=$T62),$W62,IF(AND($S62&lt;&gt;"",EDATE($D62,Milestones!$AA$65)&gt;=$S62),$V62,$U62)))=Milestones!$AB$65),UPPER(TEXT(EDATE($D62,Milestones!$AA$65),"dd mmm yy"))&amp;" "&amp;Milestones!$AB$65&amp;" "&amp;Milestones!$AC$65&amp;";  ","")&amp;IF(AND(EDATE($D62,Milestones!$AA$66)&lt;=AsOfDate,IF($R62=0,$X62,IF(AND($T62&lt;&gt;"",EDATE($D62,Milestones!$AA$66)&gt;=$T62),$W62,IF(AND($S62&lt;&gt;"",EDATE($D62,Milestones!$AA$66)&gt;=$S62),$V62,$U62)))=Milestones!$AB$66),UPPER(TEXT(EDATE($D62,Milestones!$AA$66),"dd mmm yy"))&amp;" "&amp;Milestones!$AB$66&amp;" "&amp;Milestones!$AC$66&amp;";  ","")&amp;IF(AND(EDATE($D62,Milestones!$AA$67)&lt;=AsOfDate,IF($R62=0,$X62,IF(AND($T62&lt;&gt;"",EDATE($D62,Milestones!$AA$67)&gt;=$T62),$W62,IF(AND($S62&lt;&gt;"",EDATE($D62,Milestones!$AA$67)&gt;=$S62),$V62,$U62)))=Milestones!$AB$67),UPPER(TEXT(EDATE($D62,Milestones!$AA$67),"dd mmm yy"))&amp;" "&amp;Milestones!$AB$67&amp;" "&amp;Milestones!$AC$67&amp;";  ","")&amp;IF(AND(EDATE($D62,Milestones!$AA$68)&lt;=AsOfDate,IF($R62=0,$X62,IF(AND($T62&lt;&gt;"",EDATE($D62,Milestones!$AA$68)&gt;=$T62),$W62,IF(AND($S62&lt;&gt;"",EDATE($D62,Milestones!$AA$68)&gt;=$S62),$V62,$U62)))=Milestones!$AB$68),UPPER(TEXT(EDATE($D62,Milestones!$AA$68),"dd mmm yy"))&amp;" "&amp;Milestones!$AB$68&amp;" "&amp;Milestones!$AC$68&amp;";  ","")&amp;IF(AND(EDATE($D62,Milestones!$AA$69)&lt;=AsOfDate,IF($R62=0,$X62,IF(AND($T62&lt;&gt;"",EDATE($D62,Milestones!$AA$69)&gt;=$T62),$W62,IF(AND($S62&lt;&gt;"",EDATE($D62,Milestones!$AA$69)&gt;=$S62),$V62,$U62)))=Milestones!$AB$69),UPPER(TEXT(EDATE($D62,Milestones!$AA$69),"dd mmm yy"))&amp;" "&amp;Milestones!$AB$69&amp;" "&amp;Milestones!$AC$69&amp;";  ","")&amp;IF(AND(EDATE($D62,Milestones!$AA$70)&lt;=AsOfDate,IF($R62=0,$X62,IF(AND($T62&lt;&gt;"",EDATE($D62,Milestones!$AA$70)&gt;=$T62),$W62,IF(AND($S62&lt;&gt;"",EDATE($D62,Milestones!$AA$70)&gt;=$S62),$V62,$U62)))=Milestones!$AB$70),UPPER(TEXT(EDATE($D62,Milestones!$AA$70),"dd mmm yy"))&amp;" "&amp;Milestones!$AB$70&amp;" "&amp;Milestones!$AC$70&amp;";  ","")&amp;IF(AND(EDATE($D62,Milestones!$AA$71)&lt;=AsOfDate,IF($R62=0,$X62,IF(AND($T62&lt;&gt;"",EDATE($D62,Milestones!$AA$71)&gt;=$T62),$W62,IF(AND($S62&lt;&gt;"",EDATE($D62,Milestones!$AA$71)&gt;=$S62),$V62,$U62)))=Milestones!$AB$71),UPPER(TEXT(EDATE($D62,Milestones!$AA$71),"dd mmm yy"))&amp;" "&amp;Milestones!$AB$71&amp;" "&amp;Milestones!$AC$71&amp;";  ","")&amp;IF(AND(EDATE($D62,Milestones!$AA$72)&lt;=AsOfDate,IF($R62=0,$X62,IF(AND($T62&lt;&gt;"",EDATE($D62,Milestones!$AA$72)&gt;=$T62),$W62,IF(AND($S62&lt;&gt;"",EDATE($D62,Milestones!$AA$72)&gt;=$S62),$V62,$U62)))=Milestones!$AB$72),UPPER(TEXT(EDATE($D62,Milestones!$AA$72),"dd mmm yy"))&amp;" "&amp;Milestones!$AB$72&amp;" "&amp;Milestones!$AC$72&amp;";  ","")&amp;IF(AND(EDATE($D62,Milestones!$AA$73)&lt;=AsOfDate,IF($R62=0,$X62,IF(AND($T62&lt;&gt;"",EDATE($D62,Milestones!$AA$73)&gt;=$T62),$W62,IF(AND($S62&lt;&gt;"",EDATE($D62,Milestones!$AA$73)&gt;=$S62),$V62,$U62)))=Milestones!$AB$73),UPPER(TEXT(EDATE($D62,Milestones!$AA$73),"dd mmm yy"))&amp;" "&amp;Milestones!$AB$73&amp;" "&amp;Milestones!$AC$73&amp;";  ","")&amp;IF(AND(EDATE($D62,Milestones!$AA$74)&lt;=AsOfDate,IF($R62=0,$X62,IF(AND($T62&lt;&gt;"",EDATE($D62,Milestones!$AA$74)&gt;=$T62),$W62,IF(AND($S62&lt;&gt;"",EDATE($D62,Milestones!$AA$74)&gt;=$S62),$V62,$U62)))=Milestones!$AB$74),UPPER(TEXT(EDATE($D62,Milestones!$AA$74),"dd mmm yy"))&amp;" "&amp;Milestones!$AB$74&amp;" "&amp;Milestones!$AC$74&amp;";  ","")&amp;IF(AND(EDATE($D62,Milestones!$AA$75)&lt;=AsOfDate,IF($R62=0,$X62,IF(AND($T62&lt;&gt;"",EDATE($D62,Milestones!$AA$75)&gt;=$T62),$W62,IF(AND($S62&lt;&gt;"",EDATE($D62,Milestones!$AA$75)&gt;=$S62),$V62,$U62)))=Milestones!$AB$75),UPPER(TEXT(EDATE($D62,Milestones!$AA$75),"dd mmm yy"))&amp;" "&amp;Milestones!$AB$75&amp;" "&amp;Milestones!$AC$75&amp;";  ","")&amp;IF(AND(EDATE($D62,Milestones!$AA$76)&lt;=AsOfDate,IF($R62=0,$X62,IF(AND($T62&lt;&gt;"",EDATE($D62,Milestones!$AA$76)&gt;=$T62),$W62,IF(AND($S62&lt;&gt;"",EDATE($D62,Milestones!$AA$76)&gt;=$S62),$V62,$U62)))=Milestones!$AB$76),UPPER(TEXT(EDATE($D62,Milestones!$AA$76),"dd mmm yy"))&amp;" "&amp;Milestones!$AB$76&amp;" "&amp;Milestones!$AC$76&amp;";  ","")&amp;IF(AND(EDATE($D62,Milestones!$AA$77)&lt;=AsOfDate,IF($R62=0,$X62,IF(AND($T62&lt;&gt;"",EDATE($D62,Milestones!$AA$77)&gt;=$T62),$W62,IF(AND($S62&lt;&gt;"",EDATE($D62,Milestones!$AA$77)&gt;=$S62),$V62,$U62)))=Milestones!$AB$77),UPPER(TEXT(EDATE($D62,Milestones!$AA$77),"dd mmm yy"))&amp;" "&amp;Milestones!$AB$77&amp;" "&amp;Milestones!$AC$77&amp;";  ","")&amp;IF(AND(EDATE($D62,Milestones!$AA$78)&lt;=AsOfDate,IF($R62=0,$X62,IF(AND($T62&lt;&gt;"",EDATE($D62,Milestones!$AA$78)&gt;=$T62),$W62,IF(AND($S62&lt;&gt;"",EDATE($D62,Milestones!$AA$78)&gt;=$S62),$V62,$U62)))=Milestones!$AB$78),UPPER(TEXT(EDATE($D62,Milestones!$AA$78),"dd mmm yy"))&amp;" "&amp;Milestones!$AB$78&amp;" "&amp;Milestones!$AC$78&amp;";  ","")&amp;IF(AND(EDATE($D62,Milestones!$AA$79)&lt;=AsOfDate,IF($R62=0,$X62,IF(AND($T62&lt;&gt;"",EDATE($D62,Milestones!$AA$79)&gt;=$T62),$W62,IF(AND($S62&lt;&gt;"",EDATE($D62,Milestones!$AA$79)&gt;=$S62),$V62,$U62)))=Milestones!$AB$79),UPPER(TEXT(EDATE($D62,Milestones!$AA$79),"dd mmm yy"))&amp;" "&amp;Milestones!$AB$79&amp;" "&amp;Milestones!$AC$79&amp;";  ",""))</f>
        <v/>
      </c>
      <c r="L62" s="0" t="str">
        <f aca="false">IF(OR($A62="",$D62=""),"",IF(AND(EDATE($D62,Milestones!$AA$80)&lt;=AsOfDate,IF($R62=0,$X62,IF(AND($T62&lt;&gt;"",EDATE($D62,Milestones!$AA$80)&gt;=$T62),$W62,IF(AND($S62&lt;&gt;"",EDATE($D62,Milestones!$AA$80)&gt;=$S62),$V62,$U62)))=Milestones!$AB$80),UPPER(TEXT(EDATE($D62,Milestones!$AA$80),"dd mmm yy"))&amp;" "&amp;Milestones!$AB$80&amp;" "&amp;Milestones!$AC$80&amp;";  ","")&amp;IF(AND(EDATE($D62,Milestones!$AA$81)&lt;=AsOfDate,IF($R62=0,$X62,IF(AND($T62&lt;&gt;"",EDATE($D62,Milestones!$AA$81)&gt;=$T62),$W62,IF(AND($S62&lt;&gt;"",EDATE($D62,Milestones!$AA$81)&gt;=$S62),$V62,$U62)))=Milestones!$AB$81),UPPER(TEXT(EDATE($D62,Milestones!$AA$81),"dd mmm yy"))&amp;" "&amp;Milestones!$AB$81&amp;" "&amp;Milestones!$AC$81&amp;";  ","")&amp;IF(AND(EDATE($D62,Milestones!$AA$82)&lt;=AsOfDate,IF($R62=0,$X62,IF(AND($T62&lt;&gt;"",EDATE($D62,Milestones!$AA$82)&gt;=$T62),$W62,IF(AND($S62&lt;&gt;"",EDATE($D62,Milestones!$AA$82)&gt;=$S62),$V62,$U62)))=Milestones!$AB$82),UPPER(TEXT(EDATE($D62,Milestones!$AA$82),"dd mmm yy"))&amp;" "&amp;Milestones!$AB$82&amp;" "&amp;Milestones!$AC$82&amp;";  ","")&amp;IF(AND(EDATE($D62,Milestones!$AA$83)&lt;=AsOfDate,IF($R62=0,$X62,IF(AND($T62&lt;&gt;"",EDATE($D62,Milestones!$AA$83)&gt;=$T62),$W62,IF(AND($S62&lt;&gt;"",EDATE($D62,Milestones!$AA$83)&gt;=$S62),$V62,$U62)))=Milestones!$AB$83),UPPER(TEXT(EDATE($D62,Milestones!$AA$83),"dd mmm yy"))&amp;" "&amp;Milestones!$AB$83&amp;" "&amp;Milestones!$AC$83&amp;";  ","")&amp;IF(AND(EDATE($D62,Milestones!$AA$84)&lt;=AsOfDate,IF($R62=0,$X62,IF(AND($T62&lt;&gt;"",EDATE($D62,Milestones!$AA$84)&gt;=$T62),$W62,IF(AND($S62&lt;&gt;"",EDATE($D62,Milestones!$AA$84)&gt;=$S62),$V62,$U62)))=Milestones!$AB$84),UPPER(TEXT(EDATE($D62,Milestones!$AA$84),"dd mmm yy"))&amp;" "&amp;Milestones!$AB$84&amp;" "&amp;Milestones!$AC$84&amp;";  ","")&amp;IF(AND(EDATE($D62,Milestones!$AA$85)&lt;=AsOfDate,IF($R62=0,$X62,IF(AND($T62&lt;&gt;"",EDATE($D62,Milestones!$AA$85)&gt;=$T62),$W62,IF(AND($S62&lt;&gt;"",EDATE($D62,Milestones!$AA$85)&gt;=$S62),$V62,$U62)))=Milestones!$AB$85),UPPER(TEXT(EDATE($D62,Milestones!$AA$85),"dd mmm yy"))&amp;" "&amp;Milestones!$AB$85&amp;" "&amp;Milestones!$AC$85&amp;";  ","")&amp;IF(AND(EDATE($D62,Milestones!$AA$86)&lt;=AsOfDate,IF($R62=0,$X62,IF(AND($T62&lt;&gt;"",EDATE($D62,Milestones!$AA$86)&gt;=$T62),$W62,IF(AND($S62&lt;&gt;"",EDATE($D62,Milestones!$AA$86)&gt;=$S62),$V62,$U62)))=Milestones!$AB$86),UPPER(TEXT(EDATE($D62,Milestones!$AA$86),"dd mmm yy"))&amp;" "&amp;Milestones!$AB$86&amp;" "&amp;Milestones!$AC$86&amp;";  ","")&amp;IF(AND(EDATE($D62,Milestones!$AA$87)&lt;=AsOfDate,IF($R62=0,$X62,IF(AND($T62&lt;&gt;"",EDATE($D62,Milestones!$AA$87)&gt;=$T62),$W62,IF(AND($S62&lt;&gt;"",EDATE($D62,Milestones!$AA$87)&gt;=$S62),$V62,$U62)))=Milestones!$AB$87),UPPER(TEXT(EDATE($D62,Milestones!$AA$87),"dd mmm yy"))&amp;" "&amp;Milestones!$AB$87&amp;" "&amp;Milestones!$AC$87&amp;";  ","")&amp;IF(AND(EDATE($D62,Milestones!$AA$88)&lt;=AsOfDate,IF($R62=0,$X62,IF(AND($T62&lt;&gt;"",EDATE($D62,Milestones!$AA$88)&gt;=$T62),$W62,IF(AND($S62&lt;&gt;"",EDATE($D62,Milestones!$AA$88)&gt;=$S62),$V62,$U62)))=Milestones!$AB$88),UPPER(TEXT(EDATE($D62,Milestones!$AA$88),"dd mmm yy"))&amp;" "&amp;Milestones!$AB$88&amp;" "&amp;Milestones!$AC$88&amp;";  ","")&amp;IF(AND(EDATE($D62,Milestones!$AA$89)&lt;=AsOfDate,IF($R62=0,$X62,IF(AND($T62&lt;&gt;"",EDATE($D62,Milestones!$AA$89)&gt;=$T62),$W62,IF(AND($S62&lt;&gt;"",EDATE($D62,Milestones!$AA$89)&gt;=$S62),$V62,$U62)))=Milestones!$AB$89),UPPER(TEXT(EDATE($D62,Milestones!$AA$89),"dd mmm yy"))&amp;" "&amp;Milestones!$AB$89&amp;" "&amp;Milestones!$AC$89&amp;";  ","")&amp;IF(AND(EDATE($D62,Milestones!$AA$90)&lt;=AsOfDate,IF($R62=0,$X62,IF(AND($T62&lt;&gt;"",EDATE($D62,Milestones!$AA$90)&gt;=$T62),$W62,IF(AND($S62&lt;&gt;"",EDATE($D62,Milestones!$AA$90)&gt;=$S62),$V62,$U62)))=Milestones!$AB$90),UPPER(TEXT(EDATE($D62,Milestones!$AA$90),"dd mmm yy"))&amp;" "&amp;Milestones!$AB$90&amp;" "&amp;Milestones!$AC$90&amp;";  ","")&amp;IF(AND(EDATE($D62,Milestones!$AA$91)&lt;=AsOfDate,IF($R62=0,$X62,IF(AND($T62&lt;&gt;"",EDATE($D62,Milestones!$AA$91)&gt;=$T62),$W62,IF(AND($S62&lt;&gt;"",EDATE($D62,Milestones!$AA$91)&gt;=$S62),$V62,$U62)))=Milestones!$AB$91),UPPER(TEXT(EDATE($D62,Milestones!$AA$91),"dd mmm yy"))&amp;" "&amp;Milestones!$AB$91&amp;" "&amp;Milestones!$AC$91&amp;";  ","")&amp;IF(AND(EDATE($D62,Milestones!$AA$92)&lt;=AsOfDate,IF($R62=0,$X62,IF(AND($T62&lt;&gt;"",EDATE($D62,Milestones!$AA$92)&gt;=$T62),$W62,IF(AND($S62&lt;&gt;"",EDATE($D62,Milestones!$AA$92)&gt;=$S62),$V62,$U62)))=Milestones!$AB$92),UPPER(TEXT(EDATE($D62,Milestones!$AA$92),"dd mmm yy"))&amp;" "&amp;Milestones!$AB$92&amp;" "&amp;Milestones!$AC$92&amp;";  ","")&amp;IF(AND(EDATE($D62,Milestones!$AA$93)&lt;=AsOfDate,IF($R62=0,$X62,IF(AND($T62&lt;&gt;"",EDATE($D62,Milestones!$AA$93)&gt;=$T62),$W62,IF(AND($S62&lt;&gt;"",EDATE($D62,Milestones!$AA$93)&gt;=$S62),$V62,$U62)))=Milestones!$AB$93),UPPER(TEXT(EDATE($D62,Milestones!$AA$93),"dd mmm yy"))&amp;" "&amp;Milestones!$AB$93&amp;" "&amp;Milestones!$AC$93&amp;";  ","")&amp;IF(AND(EDATE($D62,Milestones!$AA$94)&lt;=AsOfDate,IF($R62=0,$X62,IF(AND($T62&lt;&gt;"",EDATE($D62,Milestones!$AA$94)&gt;=$T62),$W62,IF(AND($S62&lt;&gt;"",EDATE($D62,Milestones!$AA$94)&gt;=$S62),$V62,$U62)))=Milestones!$AB$94),UPPER(TEXT(EDATE($D62,Milestones!$AA$94),"dd mmm yy"))&amp;" "&amp;Milestones!$AB$94&amp;" "&amp;Milestones!$AC$94&amp;";  ","")&amp;IF(AND(EDATE($D62,Milestones!$AA$95)&lt;=AsOfDate,IF($R62=0,$X62,IF(AND($T62&lt;&gt;"",EDATE($D62,Milestones!$AA$95)&gt;=$T62),$W62,IF(AND($S62&lt;&gt;"",EDATE($D62,Milestones!$AA$95)&gt;=$S62),$V62,$U62)))=Milestones!$AB$95),UPPER(TEXT(EDATE($D62,Milestones!$AA$95),"dd mmm yy"))&amp;" "&amp;Milestones!$AB$95&amp;" "&amp;Milestones!$AC$95&amp;";  ","")&amp;IF(AND(EDATE($D62,Milestones!$AA$96)&lt;=AsOfDate,IF($R62=0,$X62,IF(AND($T62&lt;&gt;"",EDATE($D62,Milestones!$AA$96)&gt;=$T62),$W62,IF(AND($S62&lt;&gt;"",EDATE($D62,Milestones!$AA$96)&gt;=$S62),$V62,$U62)))=Milestones!$AB$96),UPPER(TEXT(EDATE($D62,Milestones!$AA$96),"dd mmm yy"))&amp;" "&amp;Milestones!$AB$96&amp;" "&amp;Milestones!$AC$96&amp;";  ","")&amp;IF(AND(EDATE($D62,Milestones!$AA$97)&lt;=AsOfDate,IF($R62=0,$X62,IF(AND($T62&lt;&gt;"",EDATE($D62,Milestones!$AA$97)&gt;=$T62),$W62,IF(AND($S62&lt;&gt;"",EDATE($D62,Milestones!$AA$97)&gt;=$S62),$V62,$U62)))=Milestones!$AB$97),UPPER(TEXT(EDATE($D62,Milestones!$AA$97),"dd mmm yy"))&amp;" "&amp;Milestones!$AB$97&amp;" "&amp;Milestones!$AC$97&amp;";  ","")&amp;IF(AND(EDATE($D62,Milestones!$AA$98)&lt;=AsOfDate,IF($R62=0,$X62,IF(AND($T62&lt;&gt;"",EDATE($D62,Milestones!$AA$98)&gt;=$T62),$W62,IF(AND($S62&lt;&gt;"",EDATE($D62,Milestones!$AA$98)&gt;=$S62),$V62,$U62)))=Milestones!$AB$98),UPPER(TEXT(EDATE($D62,Milestones!$AA$98),"dd mmm yy"))&amp;" "&amp;Milestones!$AB$98&amp;" "&amp;Milestones!$AC$98&amp;";  ","")&amp;IF(AND(EDATE($D62,Milestones!$AA$99)&lt;=AsOfDate,IF($R62=0,$X62,IF(AND($T62&lt;&gt;"",EDATE($D62,Milestones!$AA$99)&gt;=$T62),$W62,IF(AND($S62&lt;&gt;"",EDATE($D62,Milestones!$AA$99)&gt;=$S62),$V62,$U62)))=Milestones!$AB$99),UPPER(TEXT(EDATE($D62,Milestones!$AA$99),"dd mmm yy"))&amp;" "&amp;Milestones!$AB$99&amp;" "&amp;Milestones!$AC$99&amp;";  ",""))</f>
        <v/>
      </c>
      <c r="M62" s="0" t="str">
        <f aca="false">IF(OR($A62="",$D62=""),"",IF(AND(EDATE($D62,Milestones!$AA$100)&lt;=AsOfDate,IF($R62=0,$X62,IF(AND($T62&lt;&gt;"",EDATE($D62,Milestones!$AA$100)&gt;=$T62),$W62,IF(AND($S62&lt;&gt;"",EDATE($D62,Milestones!$AA$100)&gt;=$S62),$V62,$U62)))=Milestones!$AB$100),UPPER(TEXT(EDATE($D62,Milestones!$AA$100),"dd mmm yy"))&amp;" "&amp;Milestones!$AB$100&amp;" "&amp;Milestones!$AC$100&amp;";  ","")&amp;IF(AND(EDATE($D62,Milestones!$AA$101)&lt;=AsOfDate,IF($R62=0,$X62,IF(AND($T62&lt;&gt;"",EDATE($D62,Milestones!$AA$101)&gt;=$T62),$W62,IF(AND($S62&lt;&gt;"",EDATE($D62,Milestones!$AA$101)&gt;=$S62),$V62,$U62)))=Milestones!$AB$101),UPPER(TEXT(EDATE($D62,Milestones!$AA$101),"dd mmm yy"))&amp;" "&amp;Milestones!$AB$101&amp;" "&amp;Milestones!$AC$101&amp;";  ","")&amp;IF(AND(EDATE($D62,Milestones!$AA$102)&lt;=AsOfDate,IF($R62=0,$X62,IF(AND($T62&lt;&gt;"",EDATE($D62,Milestones!$AA$102)&gt;=$T62),$W62,IF(AND($S62&lt;&gt;"",EDATE($D62,Milestones!$AA$102)&gt;=$S62),$V62,$U62)))=Milestones!$AB$102),UPPER(TEXT(EDATE($D62,Milestones!$AA$102),"dd mmm yy"))&amp;" "&amp;Milestones!$AB$102&amp;" "&amp;Milestones!$AC$102&amp;";  ","")&amp;IF(AND(EDATE($D62,Milestones!$AA$103)&lt;=AsOfDate,IF($R62=0,$X62,IF(AND($T62&lt;&gt;"",EDATE($D62,Milestones!$AA$103)&gt;=$T62),$W62,IF(AND($S62&lt;&gt;"",EDATE($D62,Milestones!$AA$103)&gt;=$S62),$V62,$U62)))=Milestones!$AB$103),UPPER(TEXT(EDATE($D62,Milestones!$AA$103),"dd mmm yy"))&amp;" "&amp;Milestones!$AB$103&amp;" "&amp;Milestones!$AC$103&amp;";  ","")&amp;IF(AND(EDATE($D62,Milestones!$AA$104)&lt;=AsOfDate,IF($R62=0,$X62,IF(AND($T62&lt;&gt;"",EDATE($D62,Milestones!$AA$104)&gt;=$T62),$W62,IF(AND($S62&lt;&gt;"",EDATE($D62,Milestones!$AA$104)&gt;=$S62),$V62,$U62)))=Milestones!$AB$104),UPPER(TEXT(EDATE($D62,Milestones!$AA$104),"dd mmm yy"))&amp;" "&amp;Milestones!$AB$104&amp;" "&amp;Milestones!$AC$104&amp;";  ","")&amp;IF(AND(EDATE($D62,Milestones!$AA$105)&lt;=AsOfDate,IF($R62=0,$X62,IF(AND($T62&lt;&gt;"",EDATE($D62,Milestones!$AA$105)&gt;=$T62),$W62,IF(AND($S62&lt;&gt;"",EDATE($D62,Milestones!$AA$105)&gt;=$S62),$V62,$U62)))=Milestones!$AB$105),UPPER(TEXT(EDATE($D62,Milestones!$AA$105),"dd mmm yy"))&amp;" "&amp;Milestones!$AB$105&amp;" "&amp;Milestones!$AC$105&amp;";  ","")&amp;IF(AND(EDATE($D62,Milestones!$AA$106)&lt;=AsOfDate,IF($R62=0,$X62,IF(AND($T62&lt;&gt;"",EDATE($D62,Milestones!$AA$106)&gt;=$T62),$W62,IF(AND($S62&lt;&gt;"",EDATE($D62,Milestones!$AA$106)&gt;=$S62),$V62,$U62)))=Milestones!$AB$106),UPPER(TEXT(EDATE($D62,Milestones!$AA$106),"dd mmm yy"))&amp;" "&amp;Milestones!$AB$106&amp;" "&amp;Milestones!$AC$106&amp;";  ","")&amp;IF(AND(EDATE($D62,Milestones!$AA$107)&lt;=AsOfDate,IF($R62=0,$X62,IF(AND($T62&lt;&gt;"",EDATE($D62,Milestones!$AA$107)&gt;=$T62),$W62,IF(AND($S62&lt;&gt;"",EDATE($D62,Milestones!$AA$107)&gt;=$S62),$V62,$U62)))=Milestones!$AB$107),UPPER(TEXT(EDATE($D62,Milestones!$AA$107),"dd mmm yy"))&amp;" "&amp;Milestones!$AB$107&amp;" "&amp;Milestones!$AC$107&amp;";  ","")&amp;IF(AND(EDATE($D62,Milestones!$AA$108)&lt;=AsOfDate,IF($R62=0,$X62,IF(AND($T62&lt;&gt;"",EDATE($D62,Milestones!$AA$108)&gt;=$T62),$W62,IF(AND($S62&lt;&gt;"",EDATE($D62,Milestones!$AA$108)&gt;=$S62),$V62,$U62)))=Milestones!$AB$108),UPPER(TEXT(EDATE($D62,Milestones!$AA$108),"dd mmm yy"))&amp;" "&amp;Milestones!$AB$108&amp;" "&amp;Milestones!$AC$108&amp;";  ","")&amp;IF(AND(EDATE($D62,Milestones!$AA$109)&lt;=AsOfDate,IF($R62=0,$X62,IF(AND($T62&lt;&gt;"",EDATE($D62,Milestones!$AA$109)&gt;=$T62),$W62,IF(AND($S62&lt;&gt;"",EDATE($D62,Milestones!$AA$109)&gt;=$S62),$V62,$U62)))=Milestones!$AB$109),UPPER(TEXT(EDATE($D62,Milestones!$AA$109),"dd mmm yy"))&amp;" "&amp;Milestones!$AB$109&amp;" "&amp;Milestones!$AC$109&amp;";  ","")&amp;IF(AND(EDATE($D62,Milestones!$AA$110)&lt;=AsOfDate,IF($R62=0,$X62,IF(AND($T62&lt;&gt;"",EDATE($D62,Milestones!$AA$110)&gt;=$T62),$W62,IF(AND($S62&lt;&gt;"",EDATE($D62,Milestones!$AA$110)&gt;=$S62),$V62,$U62)))=Milestones!$AB$110),UPPER(TEXT(EDATE($D62,Milestones!$AA$110),"dd mmm yy"))&amp;" "&amp;Milestones!$AB$110&amp;" "&amp;Milestones!$AC$110&amp;";  ","")&amp;IF(AND(EDATE($D62,Milestones!$AA$111)&lt;=AsOfDate,IF($R62=0,$X62,IF(AND($T62&lt;&gt;"",EDATE($D62,Milestones!$AA$111)&gt;=$T62),$W62,IF(AND($S62&lt;&gt;"",EDATE($D62,Milestones!$AA$111)&gt;=$S62),$V62,$U62)))=Milestones!$AB$111),UPPER(TEXT(EDATE($D62,Milestones!$AA$111),"dd mmm yy"))&amp;" "&amp;Milestones!$AB$111&amp;" "&amp;Milestones!$AC$111&amp;";  ","")&amp;IF(AND(EDATE($D62,Milestones!$AA$112)&lt;=AsOfDate,IF($R62=0,$X62,IF(AND($T62&lt;&gt;"",EDATE($D62,Milestones!$AA$112)&gt;=$T62),$W62,IF(AND($S62&lt;&gt;"",EDATE($D62,Milestones!$AA$112)&gt;=$S62),$V62,$U62)))=Milestones!$AB$112),UPPER(TEXT(EDATE($D62,Milestones!$AA$112),"dd mmm yy"))&amp;" "&amp;Milestones!$AB$112&amp;" "&amp;Milestones!$AC$112&amp;";  ","")&amp;IF(AND(EDATE($D62,Milestones!$AA$113)&lt;=AsOfDate,IF($R62=0,$X62,IF(AND($T62&lt;&gt;"",EDATE($D62,Milestones!$AA$113)&gt;=$T62),$W62,IF(AND($S62&lt;&gt;"",EDATE($D62,Milestones!$AA$113)&gt;=$S62),$V62,$U62)))=Milestones!$AB$113),UPPER(TEXT(EDATE($D62,Milestones!$AA$113),"dd mmm yy"))&amp;" "&amp;Milestones!$AB$113&amp;" "&amp;Milestones!$AC$113&amp;";  ","")&amp;IF(AND(EDATE($D62,Milestones!$AA$114)&lt;=AsOfDate,IF($R62=0,$X62,IF(AND($T62&lt;&gt;"",EDATE($D62,Milestones!$AA$114)&gt;=$T62),$W62,IF(AND($S62&lt;&gt;"",EDATE($D62,Milestones!$AA$114)&gt;=$S62),$V62,$U62)))=Milestones!$AB$114),UPPER(TEXT(EDATE($D62,Milestones!$AA$114),"dd mmm yy"))&amp;" "&amp;Milestones!$AB$114&amp;" "&amp;Milestones!$AC$114&amp;";  ","")&amp;IF(AND(EDATE($D62,Milestones!$AA$115)&lt;=AsOfDate,IF($R62=0,$X62,IF(AND($T62&lt;&gt;"",EDATE($D62,Milestones!$AA$115)&gt;=$T62),$W62,IF(AND($S62&lt;&gt;"",EDATE($D62,Milestones!$AA$115)&gt;=$S62),$V62,$U62)))=Milestones!$AB$115),UPPER(TEXT(EDATE($D62,Milestones!$AA$115),"dd mmm yy"))&amp;" "&amp;Milestones!$AB$115&amp;" "&amp;Milestones!$AC$115&amp;";  ","")&amp;IF(AND(EDATE($D62,Milestones!$AA$116)&lt;=AsOfDate,IF($R62=0,$X62,IF(AND($T62&lt;&gt;"",EDATE($D62,Milestones!$AA$116)&gt;=$T62),$W62,IF(AND($S62&lt;&gt;"",EDATE($D62,Milestones!$AA$116)&gt;=$S62),$V62,$U62)))=Milestones!$AB$116),UPPER(TEXT(EDATE($D62,Milestones!$AA$116),"dd mmm yy"))&amp;" "&amp;Milestones!$AB$116&amp;" "&amp;Milestones!$AC$116&amp;";  ","")&amp;IF(AND(EDATE($D62,Milestones!$AA$117)&lt;=AsOfDate,IF($R62=0,$X62,IF(AND($T62&lt;&gt;"",EDATE($D62,Milestones!$AA$117)&gt;=$T62),$W62,IF(AND($S62&lt;&gt;"",EDATE($D62,Milestones!$AA$117)&gt;=$S62),$V62,$U62)))=Milestones!$AB$117),UPPER(TEXT(EDATE($D62,Milestones!$AA$117),"dd mmm yy"))&amp;" "&amp;Milestones!$AB$117&amp;" "&amp;Milestones!$AC$117&amp;";  ","")&amp;IF(AND(EDATE($D62,Milestones!$AA$118)&lt;=AsOfDate,IF($R62=0,$X62,IF(AND($T62&lt;&gt;"",EDATE($D62,Milestones!$AA$118)&gt;=$T62),$W62,IF(AND($S62&lt;&gt;"",EDATE($D62,Milestones!$AA$118)&gt;=$S62),$V62,$U62)))=Milestones!$AB$118),UPPER(TEXT(EDATE($D62,Milestones!$AA$118),"dd mmm yy"))&amp;" "&amp;Milestones!$AB$118&amp;" "&amp;Milestones!$AC$118&amp;";  ","")&amp;IF(AND(EDATE($D62,Milestones!$AA$119)&lt;=AsOfDate,IF($R62=0,$X62,IF(AND($T62&lt;&gt;"",EDATE($D62,Milestones!$AA$119)&gt;=$T62),$W62,IF(AND($S62&lt;&gt;"",EDATE($D62,Milestones!$AA$119)&gt;=$S62),$V62,$U62)))=Milestones!$AB$119),UPPER(TEXT(EDATE($D62,Milestones!$AA$119),"dd mmm yy"))&amp;" "&amp;Milestones!$AB$119&amp;" "&amp;Milestones!$AC$119&amp;";  ",""))</f>
        <v/>
      </c>
      <c r="N62" s="0" t="str">
        <f aca="false">IF(OR($A62="",$D62=""),"",IF(AND(EDATE($D62,Milestones!$AA$120)&lt;=AsOfDate,IF($R62=0,$X62,IF(AND($T62&lt;&gt;"",EDATE($D62,Milestones!$AA$120)&gt;=$T62),$W62,IF(AND($S62&lt;&gt;"",EDATE($D62,Milestones!$AA$120)&gt;=$S62),$V62,$U62)))=Milestones!$AB$120),UPPER(TEXT(EDATE($D62,Milestones!$AA$120),"dd mmm yy"))&amp;" "&amp;Milestones!$AB$120&amp;" "&amp;Milestones!$AC$120&amp;";  ","")&amp;IF(AND(EDATE($D62,Milestones!$AA$121)&lt;=AsOfDate,IF($R62=0,$X62,IF(AND($T62&lt;&gt;"",EDATE($D62,Milestones!$AA$121)&gt;=$T62),$W62,IF(AND($S62&lt;&gt;"",EDATE($D62,Milestones!$AA$121)&gt;=$S62),$V62,$U62)))=Milestones!$AB$121),UPPER(TEXT(EDATE($D62,Milestones!$AA$121),"dd mmm yy"))&amp;" "&amp;Milestones!$AB$121&amp;" "&amp;Milestones!$AC$121&amp;";  ","")&amp;IF(AND(EDATE($D62,Milestones!$AA$122)&lt;=AsOfDate,IF($R62=0,$X62,IF(AND($T62&lt;&gt;"",EDATE($D62,Milestones!$AA$122)&gt;=$T62),$W62,IF(AND($S62&lt;&gt;"",EDATE($D62,Milestones!$AA$122)&gt;=$S62),$V62,$U62)))=Milestones!$AB$122),UPPER(TEXT(EDATE($D62,Milestones!$AA$122),"dd mmm yy"))&amp;" "&amp;Milestones!$AB$122&amp;" "&amp;Milestones!$AC$122&amp;";  ","")&amp;IF(AND(EDATE($D62,Milestones!$AA$123)&lt;=AsOfDate,IF($R62=0,$X62,IF(AND($T62&lt;&gt;"",EDATE($D62,Milestones!$AA$123)&gt;=$T62),$W62,IF(AND($S62&lt;&gt;"",EDATE($D62,Milestones!$AA$123)&gt;=$S62),$V62,$U62)))=Milestones!$AB$123),UPPER(TEXT(EDATE($D62,Milestones!$AA$123),"dd mmm yy"))&amp;" "&amp;Milestones!$AB$123&amp;" "&amp;Milestones!$AC$123&amp;";  ","")&amp;IF(AND(EDATE($D62,Milestones!$AA$124)&lt;=AsOfDate,IF($R62=0,$X62,IF(AND($T62&lt;&gt;"",EDATE($D62,Milestones!$AA$124)&gt;=$T62),$W62,IF(AND($S62&lt;&gt;"",EDATE($D62,Milestones!$AA$124)&gt;=$S62),$V62,$U62)))=Milestones!$AB$124),UPPER(TEXT(EDATE($D62,Milestones!$AA$124),"dd mmm yy"))&amp;" "&amp;Milestones!$AB$124&amp;" "&amp;Milestones!$AC$124&amp;";  ","")&amp;IF(AND(EDATE($D62,Milestones!$AA$125)&lt;=AsOfDate,IF($R62=0,$X62,IF(AND($T62&lt;&gt;"",EDATE($D62,Milestones!$AA$125)&gt;=$T62),$W62,IF(AND($S62&lt;&gt;"",EDATE($D62,Milestones!$AA$125)&gt;=$S62),$V62,$U62)))=Milestones!$AB$125),UPPER(TEXT(EDATE($D62,Milestones!$AA$125),"dd mmm yy"))&amp;" "&amp;Milestones!$AB$125&amp;" "&amp;Milestones!$AC$125&amp;";  ","")&amp;IF(AND(EDATE($D62,Milestones!$AA$126)&lt;=AsOfDate,IF($R62=0,$X62,IF(AND($T62&lt;&gt;"",EDATE($D62,Milestones!$AA$126)&gt;=$T62),$W62,IF(AND($S62&lt;&gt;"",EDATE($D62,Milestones!$AA$126)&gt;=$S62),$V62,$U62)))=Milestones!$AB$126),UPPER(TEXT(EDATE($D62,Milestones!$AA$126),"dd mmm yy"))&amp;" "&amp;Milestones!$AB$126&amp;" "&amp;Milestones!$AC$126&amp;";  ","")&amp;IF(AND(EDATE($D62,Milestones!$AA$127)&lt;=AsOfDate,IF($R62=0,$X62,IF(AND($T62&lt;&gt;"",EDATE($D62,Milestones!$AA$127)&gt;=$T62),$W62,IF(AND($S62&lt;&gt;"",EDATE($D62,Milestones!$AA$127)&gt;=$S62),$V62,$U62)))=Milestones!$AB$127),UPPER(TEXT(EDATE($D62,Milestones!$AA$127),"dd mmm yy"))&amp;" "&amp;Milestones!$AB$127&amp;" "&amp;Milestones!$AC$127&amp;";  ","")&amp;IF(AND(EDATE($D62,Milestones!$AA$128)&lt;=AsOfDate,IF($R62=0,$X62,IF(AND($T62&lt;&gt;"",EDATE($D62,Milestones!$AA$128)&gt;=$T62),$W62,IF(AND($S62&lt;&gt;"",EDATE($D62,Milestones!$AA$128)&gt;=$S62),$V62,$U62)))=Milestones!$AB$128),UPPER(TEXT(EDATE($D62,Milestones!$AA$128),"dd mmm yy"))&amp;" "&amp;Milestones!$AB$128&amp;" "&amp;Milestones!$AC$128&amp;";  ","")&amp;IF(AND(EDATE($D62,Milestones!$AA$129)&lt;=AsOfDate,IF($R62=0,$X62,IF(AND($T62&lt;&gt;"",EDATE($D62,Milestones!$AA$129)&gt;=$T62),$W62,IF(AND($S62&lt;&gt;"",EDATE($D62,Milestones!$AA$129)&gt;=$S62),$V62,$U62)))=Milestones!$AB$129),UPPER(TEXT(EDATE($D62,Milestones!$AA$129),"dd mmm yy"))&amp;" "&amp;Milestones!$AB$129&amp;" "&amp;Milestones!$AC$129&amp;";  ","")&amp;IF(AND(EDATE($D62,Milestones!$AA$130)&lt;=AsOfDate,IF($R62=0,$X62,IF(AND($T62&lt;&gt;"",EDATE($D62,Milestones!$AA$130)&gt;=$T62),$W62,IF(AND($S62&lt;&gt;"",EDATE($D62,Milestones!$AA$130)&gt;=$S62),$V62,$U62)))=Milestones!$AB$130),UPPER(TEXT(EDATE($D62,Milestones!$AA$130),"dd mmm yy"))&amp;" "&amp;Milestones!$AB$130&amp;" "&amp;Milestones!$AC$130&amp;";  ","")&amp;IF(AND(EDATE($D62,Milestones!$AA$131)&lt;=AsOfDate,IF($R62=0,$X62,IF(AND($T62&lt;&gt;"",EDATE($D62,Milestones!$AA$131)&gt;=$T62),$W62,IF(AND($S62&lt;&gt;"",EDATE($D62,Milestones!$AA$131)&gt;=$S62),$V62,$U62)))=Milestones!$AB$131),UPPER(TEXT(EDATE($D62,Milestones!$AA$131),"dd mmm yy"))&amp;" "&amp;Milestones!$AB$131&amp;" "&amp;Milestones!$AC$131&amp;";  ","")&amp;IF(AND(EDATE($D62,Milestones!$AA$132)&lt;=AsOfDate,IF($R62=0,$X62,IF(AND($T62&lt;&gt;"",EDATE($D62,Milestones!$AA$132)&gt;=$T62),$W62,IF(AND($S62&lt;&gt;"",EDATE($D62,Milestones!$AA$132)&gt;=$S62),$V62,$U62)))=Milestones!$AB$132),UPPER(TEXT(EDATE($D62,Milestones!$AA$132),"dd mmm yy"))&amp;" "&amp;Milestones!$AB$132&amp;" "&amp;Milestones!$AC$132&amp;";  ","")&amp;IF(AND(EDATE($D62,Milestones!$AA$133)&lt;=AsOfDate,IF($R62=0,$X62,IF(AND($T62&lt;&gt;"",EDATE($D62,Milestones!$AA$133)&gt;=$T62),$W62,IF(AND($S62&lt;&gt;"",EDATE($D62,Milestones!$AA$133)&gt;=$S62),$V62,$U62)))=Milestones!$AB$133),UPPER(TEXT(EDATE($D62,Milestones!$AA$133),"dd mmm yy"))&amp;" "&amp;Milestones!$AB$133&amp;" "&amp;Milestones!$AC$133&amp;";  ","")&amp;IF(AND(EDATE($D62,Milestones!$AA$134)&lt;=AsOfDate,IF($R62=0,$X62,IF(AND($T62&lt;&gt;"",EDATE($D62,Milestones!$AA$134)&gt;=$T62),$W62,IF(AND($S62&lt;&gt;"",EDATE($D62,Milestones!$AA$134)&gt;=$S62),$V62,$U62)))=Milestones!$AB$134),UPPER(TEXT(EDATE($D62,Milestones!$AA$134),"dd mmm yy"))&amp;" "&amp;Milestones!$AB$134&amp;" "&amp;Milestones!$AC$134&amp;";  ","")&amp;IF(AND(EDATE($D62,Milestones!$AA$135)&lt;=AsOfDate,IF($R62=0,$X62,IF(AND($T62&lt;&gt;"",EDATE($D62,Milestones!$AA$135)&gt;=$T62),$W62,IF(AND($S62&lt;&gt;"",EDATE($D62,Milestones!$AA$135)&gt;=$S62),$V62,$U62)))=Milestones!$AB$135),UPPER(TEXT(EDATE($D62,Milestones!$AA$135),"dd mmm yy"))&amp;" "&amp;Milestones!$AB$135&amp;" "&amp;Milestones!$AC$135&amp;";  ","")&amp;IF(AND(EDATE($D62,Milestones!$AA$136)&lt;=AsOfDate,IF($R62=0,$X62,IF(AND($T62&lt;&gt;"",EDATE($D62,Milestones!$AA$136)&gt;=$T62),$W62,IF(AND($S62&lt;&gt;"",EDATE($D62,Milestones!$AA$136)&gt;=$S62),$V62,$U62)))=Milestones!$AB$136),UPPER(TEXT(EDATE($D62,Milestones!$AA$136),"dd mmm yy"))&amp;" "&amp;Milestones!$AB$136&amp;" "&amp;Milestones!$AC$136&amp;";  ","")&amp;IF(AND(EDATE($D62,Milestones!$AA$137)&lt;=AsOfDate,IF($R62=0,$X62,IF(AND($T62&lt;&gt;"",EDATE($D62,Milestones!$AA$137)&gt;=$T62),$W62,IF(AND($S62&lt;&gt;"",EDATE($D62,Milestones!$AA$137)&gt;=$S62),$V62,$U62)))=Milestones!$AB$137),UPPER(TEXT(EDATE($D62,Milestones!$AA$137),"dd mmm yy"))&amp;" "&amp;Milestones!$AB$137&amp;" "&amp;Milestones!$AC$137&amp;";  ","")&amp;IF(AND(EDATE($D62,Milestones!$AA$138)&lt;=AsOfDate,IF($R62=0,$X62,IF(AND($T62&lt;&gt;"",EDATE($D62,Milestones!$AA$138)&gt;=$T62),$W62,IF(AND($S62&lt;&gt;"",EDATE($D62,Milestones!$AA$138)&gt;=$S62),$V62,$U62)))=Milestones!$AB$138),UPPER(TEXT(EDATE($D62,Milestones!$AA$138),"dd mmm yy"))&amp;" "&amp;Milestones!$AB$138&amp;" "&amp;Milestones!$AC$138&amp;";  ","")&amp;IF(AND(EDATE($D62,Milestones!$AA$139)&lt;=AsOfDate,IF($R62=0,$X62,IF(AND($T62&lt;&gt;"",EDATE($D62,Milestones!$AA$139)&gt;=$T62),$W62,IF(AND($S62&lt;&gt;"",EDATE($D62,Milestones!$AA$139)&gt;=$S62),$V62,$U62)))=Milestones!$AB$139),UPPER(TEXT(EDATE($D62,Milestones!$AA$139),"dd mmm yy"))&amp;" "&amp;Milestones!$AB$139&amp;" "&amp;Milestones!$AC$139&amp;";  ",""))</f>
        <v/>
      </c>
      <c r="O62" s="0" t="str">
        <f aca="false">IF(OR($A62="",$D62=""),"",IF(AND(EDATE($D62,Milestones!$AA$140)&lt;=AsOfDate,IF($R62=0,$X62,IF(AND($T62&lt;&gt;"",EDATE($D62,Milestones!$AA$140)&gt;=$T62),$W62,IF(AND($S62&lt;&gt;"",EDATE($D62,Milestones!$AA$140)&gt;=$S62),$V62,$U62)))=Milestones!$AB$140),UPPER(TEXT(EDATE($D62,Milestones!$AA$140),"dd mmm yy"))&amp;" "&amp;Milestones!$AB$140&amp;" "&amp;Milestones!$AC$140&amp;";  ","")&amp;IF(AND(EDATE($D62,Milestones!$AA$141)&lt;=AsOfDate,IF($R62=0,$X62,IF(AND($T62&lt;&gt;"",EDATE($D62,Milestones!$AA$141)&gt;=$T62),$W62,IF(AND($S62&lt;&gt;"",EDATE($D62,Milestones!$AA$141)&gt;=$S62),$V62,$U62)))=Milestones!$AB$141),UPPER(TEXT(EDATE($D62,Milestones!$AA$141),"dd mmm yy"))&amp;" "&amp;Milestones!$AB$141&amp;" "&amp;Milestones!$AC$141&amp;";  ","")&amp;IF(AND(EDATE($D62,Milestones!$AA$142)&lt;=AsOfDate,IF($R62=0,$X62,IF(AND($T62&lt;&gt;"",EDATE($D62,Milestones!$AA$142)&gt;=$T62),$W62,IF(AND($S62&lt;&gt;"",EDATE($D62,Milestones!$AA$142)&gt;=$S62),$V62,$U62)))=Milestones!$AB$142),UPPER(TEXT(EDATE($D62,Milestones!$AA$142),"dd mmm yy"))&amp;" "&amp;Milestones!$AB$142&amp;" "&amp;Milestones!$AC$142&amp;";  ","")&amp;IF(AND(EDATE($D62,Milestones!$AA$143)&lt;=AsOfDate,IF($R62=0,$X62,IF(AND($T62&lt;&gt;"",EDATE($D62,Milestones!$AA$143)&gt;=$T62),$W62,IF(AND($S62&lt;&gt;"",EDATE($D62,Milestones!$AA$143)&gt;=$S62),$V62,$U62)))=Milestones!$AB$143),UPPER(TEXT(EDATE($D62,Milestones!$AA$143),"dd mmm yy"))&amp;" "&amp;Milestones!$AB$143&amp;" "&amp;Milestones!$AC$143&amp;";  ","")&amp;IF(AND(EDATE($D62,Milestones!$AA$144)&lt;=AsOfDate,IF($R62=0,$X62,IF(AND($T62&lt;&gt;"",EDATE($D62,Milestones!$AA$144)&gt;=$T62),$W62,IF(AND($S62&lt;&gt;"",EDATE($D62,Milestones!$AA$144)&gt;=$S62),$V62,$U62)))=Milestones!$AB$144),UPPER(TEXT(EDATE($D62,Milestones!$AA$144),"dd mmm yy"))&amp;" "&amp;Milestones!$AB$144&amp;" "&amp;Milestones!$AC$144&amp;";  ","")&amp;IF(AND(EDATE($D62,Milestones!$AA$145)&lt;=AsOfDate,IF($R62=0,$X62,IF(AND($T62&lt;&gt;"",EDATE($D62,Milestones!$AA$145)&gt;=$T62),$W62,IF(AND($S62&lt;&gt;"",EDATE($D62,Milestones!$AA$145)&gt;=$S62),$V62,$U62)))=Milestones!$AB$145),UPPER(TEXT(EDATE($D62,Milestones!$AA$145),"dd mmm yy"))&amp;" "&amp;Milestones!$AB$145&amp;" "&amp;Milestones!$AC$145&amp;";  ","")&amp;IF(AND(EDATE($D62,Milestones!$AA$146)&lt;=AsOfDate,IF($R62=0,$X62,IF(AND($T62&lt;&gt;"",EDATE($D62,Milestones!$AA$146)&gt;=$T62),$W62,IF(AND($S62&lt;&gt;"",EDATE($D62,Milestones!$AA$146)&gt;=$S62),$V62,$U62)))=Milestones!$AB$146),UPPER(TEXT(EDATE($D62,Milestones!$AA$146),"dd mmm yy"))&amp;" "&amp;Milestones!$AB$146&amp;" "&amp;Milestones!$AC$146&amp;";  ","")&amp;IF(AND(EDATE($D62,Milestones!$AA$147)&lt;=AsOfDate,IF($R62=0,$X62,IF(AND($T62&lt;&gt;"",EDATE($D62,Milestones!$AA$147)&gt;=$T62),$W62,IF(AND($S62&lt;&gt;"",EDATE($D62,Milestones!$AA$147)&gt;=$S62),$V62,$U62)))=Milestones!$AB$147),UPPER(TEXT(EDATE($D62,Milestones!$AA$147),"dd mmm yy"))&amp;" "&amp;Milestones!$AB$147&amp;" "&amp;Milestones!$AC$147&amp;";  ","")&amp;IF(AND(EDATE($D62,Milestones!$AA$148)&lt;=AsOfDate,IF($R62=0,$X62,IF(AND($T62&lt;&gt;"",EDATE($D62,Milestones!$AA$148)&gt;=$T62),$W62,IF(AND($S62&lt;&gt;"",EDATE($D62,Milestones!$AA$148)&gt;=$S62),$V62,$U62)))=Milestones!$AB$148),UPPER(TEXT(EDATE($D62,Milestones!$AA$148),"dd mmm yy"))&amp;" "&amp;Milestones!$AB$148&amp;" "&amp;Milestones!$AC$148&amp;";  ","")&amp;IF(AND(EDATE($D62,Milestones!$AA$149)&lt;=AsOfDate,IF($R62=0,$X62,IF(AND($T62&lt;&gt;"",EDATE($D62,Milestones!$AA$149)&gt;=$T62),$W62,IF(AND($S62&lt;&gt;"",EDATE($D62,Milestones!$AA$149)&gt;=$S62),$V62,$U62)))=Milestones!$AB$149),UPPER(TEXT(EDATE($D62,Milestones!$AA$149),"dd mmm yy"))&amp;" "&amp;Milestones!$AB$149&amp;" "&amp;Milestones!$AC$149&amp;";  ","")&amp;IF(AND(EDATE($D62,Milestones!$AA$150)&lt;=AsOfDate,IF($R62=0,$X62,IF(AND($T62&lt;&gt;"",EDATE($D62,Milestones!$AA$150)&gt;=$T62),$W62,IF(AND($S62&lt;&gt;"",EDATE($D62,Milestones!$AA$150)&gt;=$S62),$V62,$U62)))=Milestones!$AB$150),UPPER(TEXT(EDATE($D62,Milestones!$AA$150),"dd mmm yy"))&amp;" "&amp;Milestones!$AB$150&amp;" "&amp;Milestones!$AC$150&amp;";  ","")&amp;IF(AND(EDATE($D62,Milestones!$AA$151)&lt;=AsOfDate,IF($R62=0,$X62,IF(AND($T62&lt;&gt;"",EDATE($D62,Milestones!$AA$151)&gt;=$T62),$W62,IF(AND($S62&lt;&gt;"",EDATE($D62,Milestones!$AA$151)&gt;=$S62),$V62,$U62)))=Milestones!$AB$151),UPPER(TEXT(EDATE($D62,Milestones!$AA$151),"dd mmm yy"))&amp;" "&amp;Milestones!$AB$151&amp;" "&amp;Milestones!$AC$151&amp;";  ","")&amp;IF(AND(EDATE($D62,Milestones!$AA$152)&lt;=AsOfDate,IF($R62=0,$X62,IF(AND($T62&lt;&gt;"",EDATE($D62,Milestones!$AA$152)&gt;=$T62),$W62,IF(AND($S62&lt;&gt;"",EDATE($D62,Milestones!$AA$152)&gt;=$S62),$V62,$U62)))=Milestones!$AB$152),UPPER(TEXT(EDATE($D62,Milestones!$AA$152),"dd mmm yy"))&amp;" "&amp;Milestones!$AB$152&amp;" "&amp;Milestones!$AC$152&amp;";  ","")&amp;IF(AND(EDATE($D62,Milestones!$AA$153)&lt;=AsOfDate,IF($R62=0,$X62,IF(AND($T62&lt;&gt;"",EDATE($D62,Milestones!$AA$153)&gt;=$T62),$W62,IF(AND($S62&lt;&gt;"",EDATE($D62,Milestones!$AA$153)&gt;=$S62),$V62,$U62)))=Milestones!$AB$153),UPPER(TEXT(EDATE($D62,Milestones!$AA$153),"dd mmm yy"))&amp;" "&amp;Milestones!$AB$153&amp;" "&amp;Milestones!$AC$153&amp;";  ","")&amp;IF(AND(EDATE($D62,Milestones!$AA$154)&lt;=AsOfDate,IF($R62=0,$X62,IF(AND($T62&lt;&gt;"",EDATE($D62,Milestones!$AA$154)&gt;=$T62),$W62,IF(AND($S62&lt;&gt;"",EDATE($D62,Milestones!$AA$154)&gt;=$S62),$V62,$U62)))=Milestones!$AB$154),UPPER(TEXT(EDATE($D62,Milestones!$AA$154),"dd mmm yy"))&amp;" "&amp;Milestones!$AB$154&amp;" "&amp;Milestones!$AC$154&amp;";  ","")&amp;IF(AND(EDATE($D62,Milestones!$AA$155)&lt;=AsOfDate,IF($R62=0,$X62,IF(AND($T62&lt;&gt;"",EDATE($D62,Milestones!$AA$155)&gt;=$T62),$W62,IF(AND($S62&lt;&gt;"",EDATE($D62,Milestones!$AA$155)&gt;=$S62),$V62,$U62)))=Milestones!$AB$155),UPPER(TEXT(EDATE($D62,Milestones!$AA$155),"dd mmm yy"))&amp;" "&amp;Milestones!$AB$155&amp;" "&amp;Milestones!$AC$155&amp;";  ","")&amp;IF(AND(EDATE($D62,Milestones!$AA$156)&lt;=AsOfDate,IF($R62=0,$X62,IF(AND($T62&lt;&gt;"",EDATE($D62,Milestones!$AA$156)&gt;=$T62),$W62,IF(AND($S62&lt;&gt;"",EDATE($D62,Milestones!$AA$156)&gt;=$S62),$V62,$U62)))=Milestones!$AB$156),UPPER(TEXT(EDATE($D62,Milestones!$AA$156),"dd mmm yy"))&amp;" "&amp;Milestones!$AB$156&amp;" "&amp;Milestones!$AC$156&amp;";  ","")&amp;IF(AND(EDATE($D62,Milestones!$AA$157)&lt;=AsOfDate,IF($R62=0,$X62,IF(AND($T62&lt;&gt;"",EDATE($D62,Milestones!$AA$157)&gt;=$T62),$W62,IF(AND($S62&lt;&gt;"",EDATE($D62,Milestones!$AA$157)&gt;=$S62),$V62,$U62)))=Milestones!$AB$157),UPPER(TEXT(EDATE($D62,Milestones!$AA$157),"dd mmm yy"))&amp;" "&amp;Milestones!$AB$157&amp;" "&amp;Milestones!$AC$157&amp;";  ","")&amp;IF(AND(EDATE($D62,Milestones!$AA$158)&lt;=AsOfDate,IF($R62=0,$X62,IF(AND($T62&lt;&gt;"",EDATE($D62,Milestones!$AA$158)&gt;=$T62),$W62,IF(AND($S62&lt;&gt;"",EDATE($D62,Milestones!$AA$158)&gt;=$S62),$V62,$U62)))=Milestones!$AB$158),UPPER(TEXT(EDATE($D62,Milestones!$AA$158),"dd mmm yy"))&amp;" "&amp;Milestones!$AB$158&amp;" "&amp;Milestones!$AC$158&amp;";  ","")&amp;IF(AND(EDATE($D62,Milestones!$AA$159)&lt;=AsOfDate,IF($R62=0,$X62,IF(AND($T62&lt;&gt;"",EDATE($D62,Milestones!$AA$159)&gt;=$T62),$W62,IF(AND($S62&lt;&gt;"",EDATE($D62,Milestones!$AA$159)&gt;=$S62),$V62,$U62)))=Milestones!$AB$159),UPPER(TEXT(EDATE($D62,Milestones!$AA$159),"dd mmm yy"))&amp;" "&amp;Milestones!$AB$159&amp;" "&amp;Milestones!$AC$159&amp;";  ",""))</f>
        <v/>
      </c>
      <c r="P62" s="0" t="str">
        <f aca="false">IF(OR($A62="",$D62=""),"",IF(AND(EDATE($D62,Milestones!$AA$160)&lt;=AsOfDate,IF($R62=0,$X62,IF(AND($T62&lt;&gt;"",EDATE($D62,Milestones!$AA$160)&gt;=$T62),$W62,IF(AND($S62&lt;&gt;"",EDATE($D62,Milestones!$AA$160)&gt;=$S62),$V62,$U62)))=Milestones!$AB$160),UPPER(TEXT(EDATE($D62,Milestones!$AA$160),"dd mmm yy"))&amp;" "&amp;Milestones!$AB$160&amp;" "&amp;Milestones!$AC$160&amp;";  ","")&amp;IF(AND(EDATE($D62,Milestones!$AA$161)&lt;=AsOfDate,IF($R62=0,$X62,IF(AND($T62&lt;&gt;"",EDATE($D62,Milestones!$AA$161)&gt;=$T62),$W62,IF(AND($S62&lt;&gt;"",EDATE($D62,Milestones!$AA$161)&gt;=$S62),$V62,$U62)))=Milestones!$AB$161),UPPER(TEXT(EDATE($D62,Milestones!$AA$161),"dd mmm yy"))&amp;" "&amp;Milestones!$AB$161&amp;" "&amp;Milestones!$AC$161&amp;";  ","")&amp;IF(AND(EDATE($D62,Milestones!$AA$162)&lt;=AsOfDate,IF($R62=0,$X62,IF(AND($T62&lt;&gt;"",EDATE($D62,Milestones!$AA$162)&gt;=$T62),$W62,IF(AND($S62&lt;&gt;"",EDATE($D62,Milestones!$AA$162)&gt;=$S62),$V62,$U62)))=Milestones!$AB$162),UPPER(TEXT(EDATE($D62,Milestones!$AA$162),"dd mmm yy"))&amp;" "&amp;Milestones!$AB$162&amp;" "&amp;Milestones!$AC$162&amp;";  ","")&amp;IF(AND(EDATE($D62,Milestones!$AA$163)&lt;=AsOfDate,IF($R62=0,$X62,IF(AND($T62&lt;&gt;"",EDATE($D62,Milestones!$AA$163)&gt;=$T62),$W62,IF(AND($S62&lt;&gt;"",EDATE($D62,Milestones!$AA$163)&gt;=$S62),$V62,$U62)))=Milestones!$AB$163),UPPER(TEXT(EDATE($D62,Milestones!$AA$163),"dd mmm yy"))&amp;" "&amp;Milestones!$AB$163&amp;" "&amp;Milestones!$AC$163&amp;";  ","")&amp;IF(AND(EDATE($D62,Milestones!$AA$164)&lt;=AsOfDate,IF($R62=0,$X62,IF(AND($T62&lt;&gt;"",EDATE($D62,Milestones!$AA$164)&gt;=$T62),$W62,IF(AND($S62&lt;&gt;"",EDATE($D62,Milestones!$AA$164)&gt;=$S62),$V62,$U62)))=Milestones!$AB$164),UPPER(TEXT(EDATE($D62,Milestones!$AA$164),"dd mmm yy"))&amp;" "&amp;Milestones!$AB$164&amp;" "&amp;Milestones!$AC$164&amp;";  ","")&amp;IF(AND(EDATE($D62,Milestones!$AA$165)&lt;=AsOfDate,IF($R62=0,$X62,IF(AND($T62&lt;&gt;"",EDATE($D62,Milestones!$AA$165)&gt;=$T62),$W62,IF(AND($S62&lt;&gt;"",EDATE($D62,Milestones!$AA$165)&gt;=$S62),$V62,$U62)))=Milestones!$AB$165),UPPER(TEXT(EDATE($D62,Milestones!$AA$165),"dd mmm yy"))&amp;" "&amp;Milestones!$AB$165&amp;" "&amp;Milestones!$AC$165&amp;";  ","")&amp;IF(AND(EDATE($D62,Milestones!$AA$166)&lt;=AsOfDate,IF($R62=0,$X62,IF(AND($T62&lt;&gt;"",EDATE($D62,Milestones!$AA$166)&gt;=$T62),$W62,IF(AND($S62&lt;&gt;"",EDATE($D62,Milestones!$AA$166)&gt;=$S62),$V62,$U62)))=Milestones!$AB$166),UPPER(TEXT(EDATE($D62,Milestones!$AA$166),"dd mmm yy"))&amp;" "&amp;Milestones!$AB$166&amp;" "&amp;Milestones!$AC$166&amp;";  ","")&amp;IF(AND(EDATE($D62,Milestones!$AA$167)&lt;=AsOfDate,IF($R62=0,$X62,IF(AND($T62&lt;&gt;"",EDATE($D62,Milestones!$AA$167)&gt;=$T62),$W62,IF(AND($S62&lt;&gt;"",EDATE($D62,Milestones!$AA$167)&gt;=$S62),$V62,$U62)))=Milestones!$AB$167),UPPER(TEXT(EDATE($D62,Milestones!$AA$167),"dd mmm yy"))&amp;" "&amp;Milestones!$AB$167&amp;" "&amp;Milestones!$AC$167&amp;";  ","")&amp;IF(AND(EDATE($D62,Milestones!$AA$168)&lt;=AsOfDate,IF($R62=0,$X62,IF(AND($T62&lt;&gt;"",EDATE($D62,Milestones!$AA$168)&gt;=$T62),$W62,IF(AND($S62&lt;&gt;"",EDATE($D62,Milestones!$AA$168)&gt;=$S62),$V62,$U62)))=Milestones!$AB$168),UPPER(TEXT(EDATE($D62,Milestones!$AA$168),"dd mmm yy"))&amp;" "&amp;Milestones!$AB$168&amp;" "&amp;Milestones!$AC$168&amp;";  ","")&amp;IF(AND(EDATE($D62,Milestones!$AA$169)&lt;=AsOfDate,IF($R62=0,$X62,IF(AND($T62&lt;&gt;"",EDATE($D62,Milestones!$AA$169)&gt;=$T62),$W62,IF(AND($S62&lt;&gt;"",EDATE($D62,Milestones!$AA$169)&gt;=$S62),$V62,$U62)))=Milestones!$AB$169),UPPER(TEXT(EDATE($D62,Milestones!$AA$169),"dd mmm yy"))&amp;" "&amp;Milestones!$AB$169&amp;" "&amp;Milestones!$AC$169&amp;";  ","")&amp;IF(AND(EDATE($D62,Milestones!$AA$170)&lt;=AsOfDate,IF($R62=0,$X62,IF(AND($T62&lt;&gt;"",EDATE($D62,Milestones!$AA$170)&gt;=$T62),$W62,IF(AND($S62&lt;&gt;"",EDATE($D62,Milestones!$AA$170)&gt;=$S62),$V62,$U62)))=Milestones!$AB$170),UPPER(TEXT(EDATE($D62,Milestones!$AA$170),"dd mmm yy"))&amp;" "&amp;Milestones!$AB$170&amp;" "&amp;Milestones!$AC$170&amp;";  ","")&amp;IF(AND(EDATE($D62,Milestones!$AA$171)&lt;=AsOfDate,IF($R62=0,$X62,IF(AND($T62&lt;&gt;"",EDATE($D62,Milestones!$AA$171)&gt;=$T62),$W62,IF(AND($S62&lt;&gt;"",EDATE($D62,Milestones!$AA$171)&gt;=$S62),$V62,$U62)))=Milestones!$AB$171),UPPER(TEXT(EDATE($D62,Milestones!$AA$171),"dd mmm yy"))&amp;" "&amp;Milestones!$AB$171&amp;" "&amp;Milestones!$AC$171&amp;";  ","")&amp;IF(AND(EDATE($D62,Milestones!$AA$172)&lt;=AsOfDate,IF($R62=0,$X62,IF(AND($T62&lt;&gt;"",EDATE($D62,Milestones!$AA$172)&gt;=$T62),$W62,IF(AND($S62&lt;&gt;"",EDATE($D62,Milestones!$AA$172)&gt;=$S62),$V62,$U62)))=Milestones!$AB$172),UPPER(TEXT(EDATE($D62,Milestones!$AA$172),"dd mmm yy"))&amp;" "&amp;Milestones!$AB$172&amp;" "&amp;Milestones!$AC$172&amp;";  ","")&amp;IF(AND(EDATE($D62,Milestones!$AA$173)&lt;=AsOfDate,IF($R62=0,$X62,IF(AND($T62&lt;&gt;"",EDATE($D62,Milestones!$AA$173)&gt;=$T62),$W62,IF(AND($S62&lt;&gt;"",EDATE($D62,Milestones!$AA$173)&gt;=$S62),$V62,$U62)))=Milestones!$AB$173),UPPER(TEXT(EDATE($D62,Milestones!$AA$173),"dd mmm yy"))&amp;" "&amp;Milestones!$AB$173&amp;" "&amp;Milestones!$AC$173&amp;";  ","")&amp;IF(AND(EDATE($D62,Milestones!$AA$174)&lt;=AsOfDate,IF($R62=0,$X62,IF(AND($T62&lt;&gt;"",EDATE($D62,Milestones!$AA$174)&gt;=$T62),$W62,IF(AND($S62&lt;&gt;"",EDATE($D62,Milestones!$AA$174)&gt;=$S62),$V62,$U62)))=Milestones!$AB$174),UPPER(TEXT(EDATE($D62,Milestones!$AA$174),"dd mmm yy"))&amp;" "&amp;Milestones!$AB$174&amp;" "&amp;Milestones!$AC$174&amp;";  ","")&amp;IF(AND(EDATE($D62,Milestones!$AA$175)&lt;=AsOfDate,IF($R62=0,$X62,IF(AND($T62&lt;&gt;"",EDATE($D62,Milestones!$AA$175)&gt;=$T62),$W62,IF(AND($S62&lt;&gt;"",EDATE($D62,Milestones!$AA$175)&gt;=$S62),$V62,$U62)))=Milestones!$AB$175),UPPER(TEXT(EDATE($D62,Milestones!$AA$175),"dd mmm yy"))&amp;" "&amp;Milestones!$AB$175&amp;" "&amp;Milestones!$AC$175&amp;";  ","")&amp;IF(AND(EDATE($D62,Milestones!$AA$176)&lt;=AsOfDate,IF($R62=0,$X62,IF(AND($T62&lt;&gt;"",EDATE($D62,Milestones!$AA$176)&gt;=$T62),$W62,IF(AND($S62&lt;&gt;"",EDATE($D62,Milestones!$AA$176)&gt;=$S62),$V62,$U62)))=Milestones!$AB$176),UPPER(TEXT(EDATE($D62,Milestones!$AA$176),"dd mmm yy"))&amp;" "&amp;Milestones!$AB$176&amp;" "&amp;Milestones!$AC$176&amp;";  ","")&amp;IF(AND(EDATE($D62,Milestones!$AA$177)&lt;=AsOfDate,IF($R62=0,$X62,IF(AND($T62&lt;&gt;"",EDATE($D62,Milestones!$AA$177)&gt;=$T62),$W62,IF(AND($S62&lt;&gt;"",EDATE($D62,Milestones!$AA$177)&gt;=$S62),$V62,$U62)))=Milestones!$AB$177),UPPER(TEXT(EDATE($D62,Milestones!$AA$177),"dd mmm yy"))&amp;" "&amp;Milestones!$AB$177&amp;" "&amp;Milestones!$AC$177&amp;";  ","")&amp;IF(AND(EDATE($D62,Milestones!$AA$178)&lt;=AsOfDate,IF($R62=0,$X62,IF(AND($T62&lt;&gt;"",EDATE($D62,Milestones!$AA$178)&gt;=$T62),$W62,IF(AND($S62&lt;&gt;"",EDATE($D62,Milestones!$AA$178)&gt;=$S62),$V62,$U62)))=Milestones!$AB$178),UPPER(TEXT(EDATE($D62,Milestones!$AA$178),"dd mmm yy"))&amp;" "&amp;Milestones!$AB$178&amp;" "&amp;Milestones!$AC$178&amp;";  ","")&amp;IF(AND(EDATE($D62,Milestones!$AA$179)&lt;=AsOfDate,IF($R62=0,$X62,IF(AND($T62&lt;&gt;"",EDATE($D62,Milestones!$AA$179)&gt;=$T62),$W62,IF(AND($S62&lt;&gt;"",EDATE($D62,Milestones!$AA$179)&gt;=$S62),$V62,$U62)))=Milestones!$AB$179),UPPER(TEXT(EDATE($D62,Milestones!$AA$179),"dd mmm yy"))&amp;" "&amp;Milestones!$AB$179&amp;" "&amp;Milestones!$AC$179&amp;";  ",""))</f>
        <v/>
      </c>
      <c r="Q62" s="0" t="str">
        <f aca="false">IF(OR($A62="",$D62=""),"",IF(AND(EDATE($D62,Milestones!$AA$180)&lt;=AsOfDate,IF($R62=0,$X62,IF(AND($T62&lt;&gt;"",EDATE($D62,Milestones!$AA$180)&gt;=$T62),$W62,IF(AND($S62&lt;&gt;"",EDATE($D62,Milestones!$AA$180)&gt;=$S62),$V62,$U62)))=Milestones!$AB$180),UPPER(TEXT(EDATE($D62,Milestones!$AA$180),"dd mmm yy"))&amp;" "&amp;Milestones!$AB$180&amp;" "&amp;Milestones!$AC$180&amp;";  ","")&amp;IF(AND(EDATE($D62,Milestones!$AA$181)&lt;=AsOfDate,IF($R62=0,$X62,IF(AND($T62&lt;&gt;"",EDATE($D62,Milestones!$AA$181)&gt;=$T62),$W62,IF(AND($S62&lt;&gt;"",EDATE($D62,Milestones!$AA$181)&gt;=$S62),$V62,$U62)))=Milestones!$AB$181),UPPER(TEXT(EDATE($D62,Milestones!$AA$181),"dd mmm yy"))&amp;" "&amp;Milestones!$AB$181&amp;" "&amp;Milestones!$AC$181&amp;";  ","")&amp;IF(AND(EDATE($D62,Milestones!$AA$182)&lt;=AsOfDate,IF($R62=0,$X62,IF(AND($T62&lt;&gt;"",EDATE($D62,Milestones!$AA$182)&gt;=$T62),$W62,IF(AND($S62&lt;&gt;"",EDATE($D62,Milestones!$AA$182)&gt;=$S62),$V62,$U62)))=Milestones!$AB$182),UPPER(TEXT(EDATE($D62,Milestones!$AA$182),"dd mmm yy"))&amp;" "&amp;Milestones!$AB$182&amp;" "&amp;Milestones!$AC$182&amp;";  ","")&amp;IF(AND(EDATE($D62,Milestones!$AA$183)&lt;=AsOfDate,IF($R62=0,$X62,IF(AND($T62&lt;&gt;"",EDATE($D62,Milestones!$AA$183)&gt;=$T62),$W62,IF(AND($S62&lt;&gt;"",EDATE($D62,Milestones!$AA$183)&gt;=$S62),$V62,$U62)))=Milestones!$AB$183),UPPER(TEXT(EDATE($D62,Milestones!$AA$183),"dd mmm yy"))&amp;" "&amp;Milestones!$AB$183&amp;" "&amp;Milestones!$AC$183&amp;";  ","")&amp;IF(AND(EDATE($D62,Milestones!$AA$184)&lt;=AsOfDate,IF($R62=0,$X62,IF(AND($T62&lt;&gt;"",EDATE($D62,Milestones!$AA$184)&gt;=$T62),$W62,IF(AND($S62&lt;&gt;"",EDATE($D62,Milestones!$AA$184)&gt;=$S62),$V62,$U62)))=Milestones!$AB$184),UPPER(TEXT(EDATE($D62,Milestones!$AA$184),"dd mmm yy"))&amp;" "&amp;Milestones!$AB$184&amp;" "&amp;Milestones!$AC$184&amp;";  ","")&amp;IF(AND(EDATE($D62,Milestones!$AA$185)&lt;=AsOfDate,IF($R62=0,$X62,IF(AND($T62&lt;&gt;"",EDATE($D62,Milestones!$AA$185)&gt;=$T62),$W62,IF(AND($S62&lt;&gt;"",EDATE($D62,Milestones!$AA$185)&gt;=$S62),$V62,$U62)))=Milestones!$AB$185),UPPER(TEXT(EDATE($D62,Milestones!$AA$185),"dd mmm yy"))&amp;" "&amp;Milestones!$AB$185&amp;" "&amp;Milestones!$AC$185&amp;";  ","")&amp;IF(AND(EDATE($D62,Milestones!$AA$186)&lt;=AsOfDate,IF($R62=0,$X62,IF(AND($T62&lt;&gt;"",EDATE($D62,Milestones!$AA$186)&gt;=$T62),$W62,IF(AND($S62&lt;&gt;"",EDATE($D62,Milestones!$AA$186)&gt;=$S62),$V62,$U62)))=Milestones!$AB$186),UPPER(TEXT(EDATE($D62,Milestones!$AA$186),"dd mmm yy"))&amp;" "&amp;Milestones!$AB$186&amp;" "&amp;Milestones!$AC$186&amp;";  ","")&amp;IF(AND(EDATE($D62,Milestones!$AA$187)&lt;=AsOfDate,IF($R62=0,$X62,IF(AND($T62&lt;&gt;"",EDATE($D62,Milestones!$AA$187)&gt;=$T62),$W62,IF(AND($S62&lt;&gt;"",EDATE($D62,Milestones!$AA$187)&gt;=$S62),$V62,$U62)))=Milestones!$AB$187),UPPER(TEXT(EDATE($D62,Milestones!$AA$187),"dd mmm yy"))&amp;" "&amp;Milestones!$AB$187&amp;" "&amp;Milestones!$AC$187&amp;";  ","")&amp;IF(AND(EDATE($D62,Milestones!$AA$188)&lt;=AsOfDate,IF($R62=0,$X62,IF(AND($T62&lt;&gt;"",EDATE($D62,Milestones!$AA$188)&gt;=$T62),$W62,IF(AND($S62&lt;&gt;"",EDATE($D62,Milestones!$AA$188)&gt;=$S62),$V62,$U62)))=Milestones!$AB$188),UPPER(TEXT(EDATE($D62,Milestones!$AA$188),"dd mmm yy"))&amp;" "&amp;Milestones!$AB$188&amp;" "&amp;Milestones!$AC$188&amp;";  ","")&amp;IF(AND(EDATE($D62,Milestones!$AA$189)&lt;=AsOfDate,IF($R62=0,$X62,IF(AND($T62&lt;&gt;"",EDATE($D62,Milestones!$AA$189)&gt;=$T62),$W62,IF(AND($S62&lt;&gt;"",EDATE($D62,Milestones!$AA$189)&gt;=$S62),$V62,$U62)))=Milestones!$AB$189),UPPER(TEXT(EDATE($D62,Milestones!$AA$189),"dd mmm yy"))&amp;" "&amp;Milestones!$AB$189&amp;" "&amp;Milestones!$AC$189&amp;";  ","")&amp;IF(AND(EDATE($D62,Milestones!$AA$190)&lt;=AsOfDate,IF($R62=0,$X62,IF(AND($T62&lt;&gt;"",EDATE($D62,Milestones!$AA$190)&gt;=$T62),$W62,IF(AND($S62&lt;&gt;"",EDATE($D62,Milestones!$AA$190)&gt;=$S62),$V62,$U62)))=Milestones!$AB$190),UPPER(TEXT(EDATE($D62,Milestones!$AA$190),"dd mmm yy"))&amp;" "&amp;Milestones!$AB$190&amp;" "&amp;Milestones!$AC$190&amp;";  ","")&amp;IF(AND(EDATE($D62,Milestones!$AA$191)&lt;=AsOfDate,IF($R62=0,$X62,IF(AND($T62&lt;&gt;"",EDATE($D62,Milestones!$AA$191)&gt;=$T62),$W62,IF(AND($S62&lt;&gt;"",EDATE($D62,Milestones!$AA$191)&gt;=$S62),$V62,$U62)))=Milestones!$AB$191),UPPER(TEXT(EDATE($D62,Milestones!$AA$191),"dd mmm yy"))&amp;" "&amp;Milestones!$AB$191&amp;" "&amp;Milestones!$AC$191&amp;";  ","")&amp;IF(AND(EDATE($D62,Milestones!$AA$192)&lt;=AsOfDate,IF($R62=0,$X62,IF(AND($T62&lt;&gt;"",EDATE($D62,Milestones!$AA$192)&gt;=$T62),$W62,IF(AND($S62&lt;&gt;"",EDATE($D62,Milestones!$AA$192)&gt;=$S62),$V62,$U62)))=Milestones!$AB$192),UPPER(TEXT(EDATE($D62,Milestones!$AA$192),"dd mmm yy"))&amp;" "&amp;Milestones!$AB$192&amp;" "&amp;Milestones!$AC$192&amp;";  ","")&amp;IF(AND(EDATE($D62,Milestones!$AA$193)&lt;=AsOfDate,IF($R62=0,$X62,IF(AND($T62&lt;&gt;"",EDATE($D62,Milestones!$AA$193)&gt;=$T62),$W62,IF(AND($S62&lt;&gt;"",EDATE($D62,Milestones!$AA$193)&gt;=$S62),$V62,$U62)))=Milestones!$AB$193),UPPER(TEXT(EDATE($D62,Milestones!$AA$193),"dd mmm yy"))&amp;" "&amp;Milestones!$AB$193&amp;" "&amp;Milestones!$AC$193&amp;";  ","")&amp;IF(AND(EDATE($D62,Milestones!$AA$194)&lt;=AsOfDate,IF($R62=0,$X62,IF(AND($T62&lt;&gt;"",EDATE($D62,Milestones!$AA$194)&gt;=$T62),$W62,IF(AND($S62&lt;&gt;"",EDATE($D62,Milestones!$AA$194)&gt;=$S62),$V62,$U62)))=Milestones!$AB$194),UPPER(TEXT(EDATE($D62,Milestones!$AA$194),"dd mmm yy"))&amp;" "&amp;Milestones!$AB$194&amp;" "&amp;Milestones!$AC$194&amp;";  ","")&amp;IF(AND(EDATE($D62,Milestones!$AA$195)&lt;=AsOfDate,IF($R62=0,$X62,IF(AND($T62&lt;&gt;"",EDATE($D62,Milestones!$AA$195)&gt;=$T62),$W62,IF(AND($S62&lt;&gt;"",EDATE($D62,Milestones!$AA$195)&gt;=$S62),$V62,$U62)))=Milestones!$AB$195),UPPER(TEXT(EDATE($D62,Milestones!$AA$195),"dd mmm yy"))&amp;" "&amp;Milestones!$AB$195&amp;" "&amp;Milestones!$AC$195&amp;";  ","")&amp;IF(AND(EDATE($D62,Milestones!$AA$196)&lt;=AsOfDate,IF($R62=0,$X62,IF(AND($T62&lt;&gt;"",EDATE($D62,Milestones!$AA$196)&gt;=$T62),$W62,IF(AND($S62&lt;&gt;"",EDATE($D62,Milestones!$AA$196)&gt;=$S62),$V62,$U62)))=Milestones!$AB$196),UPPER(TEXT(EDATE($D62,Milestones!$AA$196),"dd mmm yy"))&amp;" "&amp;Milestones!$AB$196&amp;" "&amp;Milestones!$AC$196&amp;";  ","")&amp;IF(AND(EDATE($D62,Milestones!$AA$197)&lt;=AsOfDate,IF($R62=0,$X62,IF(AND($T62&lt;&gt;"",EDATE($D62,Milestones!$AA$197)&gt;=$T62),$W62,IF(AND($S62&lt;&gt;"",EDATE($D62,Milestones!$AA$197)&gt;=$S62),$V62,$U62)))=Milestones!$AB$197),UPPER(TEXT(EDATE($D62,Milestones!$AA$197),"dd mmm yy"))&amp;" "&amp;Milestones!$AB$197&amp;" "&amp;Milestones!$AC$197&amp;";  ","")&amp;IF(AND(EDATE($D62,Milestones!$AA$198)&lt;=AsOfDate,IF($R62=0,$X62,IF(AND($T62&lt;&gt;"",EDATE($D62,Milestones!$AA$198)&gt;=$T62),$W62,IF(AND($S62&lt;&gt;"",EDATE($D62,Milestones!$AA$198)&gt;=$S62),$V62,$U62)))=Milestones!$AB$198),UPPER(TEXT(EDATE($D62,Milestones!$AA$198),"dd mmm yy"))&amp;" "&amp;Milestones!$AB$198&amp;" "&amp;Milestones!$AC$198&amp;";  ","")&amp;IF(AND(EDATE($D62,Milestones!$AA$199)&lt;=AsOfDate,IF($R62=0,$X62,IF(AND($T62&lt;&gt;"",EDATE($D62,Milestones!$AA$199)&gt;=$T62),$W62,IF(AND($S62&lt;&gt;"",EDATE($D62,Milestones!$AA$199)&gt;=$S62),$V62,$U62)))=Milestones!$AB$199),UPPER(TEXT(EDATE($D62,Milestones!$AA$199),"dd mmm yy"))&amp;" "&amp;Milestones!$AB$199&amp;" "&amp;Milestones!$AC$199&amp;";  ",""))</f>
        <v/>
      </c>
      <c r="R62" s="33" t="n">
        <f aca="false">IF(Staff!$A62="","",Staff!$AI62)</f>
        <v>0</v>
      </c>
      <c r="S62" s="0" t="str">
        <f aca="false">IF(Staff!$A62="","",Staff!$AK62)</f>
        <v/>
      </c>
      <c r="T62" s="0" t="str">
        <f aca="false">IF(Staff!$A62="","",Staff!$AL62)</f>
        <v/>
      </c>
      <c r="U62" s="0" t="str">
        <f aca="false">IF(Staff!$A62="","",Staff!$AP62)</f>
        <v>None</v>
      </c>
      <c r="V62" s="0" t="str">
        <f aca="false">IF(Staff!$A62="","",Staff!$AQ62)</f>
        <v/>
      </c>
      <c r="W62" s="0" t="str">
        <f aca="false">IF(Staff!$A62="","",Staff!$AR62)</f>
        <v/>
      </c>
      <c r="X62" s="0" t="str">
        <f aca="false">IF(Staff!$A62="","",Staff!$AS62)</f>
        <v>None</v>
      </c>
    </row>
    <row r="63" customFormat="false" ht="15" hidden="false" customHeight="false" outlineLevel="0" collapsed="false">
      <c r="A63" s="19" t="str">
        <f aca="false">IF(Staff!$A63="","",Staff!$A63)</f>
        <v>Sangeeta</v>
      </c>
      <c r="B63" s="19" t="str">
        <f aca="false">IF(Staff!$A63="","",Staff!$B63)</f>
        <v>Lachmaiya</v>
      </c>
      <c r="C63" s="19" t="str">
        <f aca="false">IF(Staff!$A63="","",Staff!$C63)</f>
        <v>Full-Time</v>
      </c>
      <c r="D63" s="17" t="n">
        <f aca="false">IF(Staff!$A63="","",Staff!$AH63)</f>
        <v>46167</v>
      </c>
      <c r="E63" s="20" t="n">
        <f aca="false">IF(Staff!$A63="","",Staff!$O63)</f>
        <v>0</v>
      </c>
      <c r="F63" s="19" t="n">
        <f aca="false">IF(E63="","",E63*HoursPerDay)</f>
        <v>0</v>
      </c>
      <c r="G63" s="20" t="n">
        <f aca="false">IF(Staff!$A63="","",Staff!$AE63)</f>
        <v>0</v>
      </c>
      <c r="H63" s="32" t="str">
        <f aca="false">IF($A63="","",I63&amp;J63&amp;K63&amp;L63&amp;M63&amp;N63&amp;O63&amp;P63&amp;Q63)</f>
        <v/>
      </c>
      <c r="I63" s="0" t="str">
        <f aca="false">IF(OR($A63="",$D63=""),"",IF(AND(EDATE($D63,Milestones!$AA$20)&lt;=AsOfDate,IF($R63=0,$X63,IF(AND($T63&lt;&gt;"",EDATE($D63,Milestones!$AA$20)&gt;=$T63),$W63,IF(AND($S63&lt;&gt;"",EDATE($D63,Milestones!$AA$20)&gt;=$S63),$V63,$U63)))=Milestones!$AB$20),UPPER(TEXT(EDATE($D63,Milestones!$AA$20),"dd mmm yy"))&amp;" "&amp;Milestones!$AB$20&amp;" "&amp;Milestones!$AC$20&amp;";  ","")&amp;IF(AND(EDATE($D63,Milestones!$AA$21)&lt;=AsOfDate,IF($R63=0,$X63,IF(AND($T63&lt;&gt;"",EDATE($D63,Milestones!$AA$21)&gt;=$T63),$W63,IF(AND($S63&lt;&gt;"",EDATE($D63,Milestones!$AA$21)&gt;=$S63),$V63,$U63)))=Milestones!$AB$21),UPPER(TEXT(EDATE($D63,Milestones!$AA$21),"dd mmm yy"))&amp;" "&amp;Milestones!$AB$21&amp;" "&amp;Milestones!$AC$21&amp;";  ","")&amp;IF(AND(EDATE($D63,Milestones!$AA$22)&lt;=AsOfDate,IF($R63=0,$X63,IF(AND($T63&lt;&gt;"",EDATE($D63,Milestones!$AA$22)&gt;=$T63),$W63,IF(AND($S63&lt;&gt;"",EDATE($D63,Milestones!$AA$22)&gt;=$S63),$V63,$U63)))=Milestones!$AB$22),UPPER(TEXT(EDATE($D63,Milestones!$AA$22),"dd mmm yy"))&amp;" "&amp;Milestones!$AB$22&amp;" "&amp;Milestones!$AC$22&amp;";  ","")&amp;IF(AND(EDATE($D63,Milestones!$AA$23)&lt;=AsOfDate,IF($R63=0,$X63,IF(AND($T63&lt;&gt;"",EDATE($D63,Milestones!$AA$23)&gt;=$T63),$W63,IF(AND($S63&lt;&gt;"",EDATE($D63,Milestones!$AA$23)&gt;=$S63),$V63,$U63)))=Milestones!$AB$23),UPPER(TEXT(EDATE($D63,Milestones!$AA$23),"dd mmm yy"))&amp;" "&amp;Milestones!$AB$23&amp;" "&amp;Milestones!$AC$23&amp;";  ","")&amp;IF(AND(EDATE($D63,Milestones!$AA$24)&lt;=AsOfDate,IF($R63=0,$X63,IF(AND($T63&lt;&gt;"",EDATE($D63,Milestones!$AA$24)&gt;=$T63),$W63,IF(AND($S63&lt;&gt;"",EDATE($D63,Milestones!$AA$24)&gt;=$S63),$V63,$U63)))=Milestones!$AB$24),UPPER(TEXT(EDATE($D63,Milestones!$AA$24),"dd mmm yy"))&amp;" "&amp;Milestones!$AB$24&amp;" "&amp;Milestones!$AC$24&amp;";  ","")&amp;IF(AND(EDATE($D63,Milestones!$AA$25)&lt;=AsOfDate,IF($R63=0,$X63,IF(AND($T63&lt;&gt;"",EDATE($D63,Milestones!$AA$25)&gt;=$T63),$W63,IF(AND($S63&lt;&gt;"",EDATE($D63,Milestones!$AA$25)&gt;=$S63),$V63,$U63)))=Milestones!$AB$25),UPPER(TEXT(EDATE($D63,Milestones!$AA$25),"dd mmm yy"))&amp;" "&amp;Milestones!$AB$25&amp;" "&amp;Milestones!$AC$25&amp;";  ","")&amp;IF(AND(EDATE($D63,Milestones!$AA$26)&lt;=AsOfDate,IF($R63=0,$X63,IF(AND($T63&lt;&gt;"",EDATE($D63,Milestones!$AA$26)&gt;=$T63),$W63,IF(AND($S63&lt;&gt;"",EDATE($D63,Milestones!$AA$26)&gt;=$S63),$V63,$U63)))=Milestones!$AB$26),UPPER(TEXT(EDATE($D63,Milestones!$AA$26),"dd mmm yy"))&amp;" "&amp;Milestones!$AB$26&amp;" "&amp;Milestones!$AC$26&amp;";  ","")&amp;IF(AND(EDATE($D63,Milestones!$AA$27)&lt;=AsOfDate,IF($R63=0,$X63,IF(AND($T63&lt;&gt;"",EDATE($D63,Milestones!$AA$27)&gt;=$T63),$W63,IF(AND($S63&lt;&gt;"",EDATE($D63,Milestones!$AA$27)&gt;=$S63),$V63,$U63)))=Milestones!$AB$27),UPPER(TEXT(EDATE($D63,Milestones!$AA$27),"dd mmm yy"))&amp;" "&amp;Milestones!$AB$27&amp;" "&amp;Milestones!$AC$27&amp;";  ","")&amp;IF(AND(EDATE($D63,Milestones!$AA$28)&lt;=AsOfDate,IF($R63=0,$X63,IF(AND($T63&lt;&gt;"",EDATE($D63,Milestones!$AA$28)&gt;=$T63),$W63,IF(AND($S63&lt;&gt;"",EDATE($D63,Milestones!$AA$28)&gt;=$S63),$V63,$U63)))=Milestones!$AB$28),UPPER(TEXT(EDATE($D63,Milestones!$AA$28),"dd mmm yy"))&amp;" "&amp;Milestones!$AB$28&amp;" "&amp;Milestones!$AC$28&amp;";  ","")&amp;IF(AND(EDATE($D63,Milestones!$AA$29)&lt;=AsOfDate,IF($R63=0,$X63,IF(AND($T63&lt;&gt;"",EDATE($D63,Milestones!$AA$29)&gt;=$T63),$W63,IF(AND($S63&lt;&gt;"",EDATE($D63,Milestones!$AA$29)&gt;=$S63),$V63,$U63)))=Milestones!$AB$29),UPPER(TEXT(EDATE($D63,Milestones!$AA$29),"dd mmm yy"))&amp;" "&amp;Milestones!$AB$29&amp;" "&amp;Milestones!$AC$29&amp;";  ","")&amp;IF(AND(EDATE($D63,Milestones!$AA$30)&lt;=AsOfDate,IF($R63=0,$X63,IF(AND($T63&lt;&gt;"",EDATE($D63,Milestones!$AA$30)&gt;=$T63),$W63,IF(AND($S63&lt;&gt;"",EDATE($D63,Milestones!$AA$30)&gt;=$S63),$V63,$U63)))=Milestones!$AB$30),UPPER(TEXT(EDATE($D63,Milestones!$AA$30),"dd mmm yy"))&amp;" "&amp;Milestones!$AB$30&amp;" "&amp;Milestones!$AC$30&amp;";  ","")&amp;IF(AND(EDATE($D63,Milestones!$AA$31)&lt;=AsOfDate,IF($R63=0,$X63,IF(AND($T63&lt;&gt;"",EDATE($D63,Milestones!$AA$31)&gt;=$T63),$W63,IF(AND($S63&lt;&gt;"",EDATE($D63,Milestones!$AA$31)&gt;=$S63),$V63,$U63)))=Milestones!$AB$31),UPPER(TEXT(EDATE($D63,Milestones!$AA$31),"dd mmm yy"))&amp;" "&amp;Milestones!$AB$31&amp;" "&amp;Milestones!$AC$31&amp;";  ","")&amp;IF(AND(EDATE($D63,Milestones!$AA$32)&lt;=AsOfDate,IF($R63=0,$X63,IF(AND($T63&lt;&gt;"",EDATE($D63,Milestones!$AA$32)&gt;=$T63),$W63,IF(AND($S63&lt;&gt;"",EDATE($D63,Milestones!$AA$32)&gt;=$S63),$V63,$U63)))=Milestones!$AB$32),UPPER(TEXT(EDATE($D63,Milestones!$AA$32),"dd mmm yy"))&amp;" "&amp;Milestones!$AB$32&amp;" "&amp;Milestones!$AC$32&amp;";  ","")&amp;IF(AND(EDATE($D63,Milestones!$AA$33)&lt;=AsOfDate,IF($R63=0,$X63,IF(AND($T63&lt;&gt;"",EDATE($D63,Milestones!$AA$33)&gt;=$T63),$W63,IF(AND($S63&lt;&gt;"",EDATE($D63,Milestones!$AA$33)&gt;=$S63),$V63,$U63)))=Milestones!$AB$33),UPPER(TEXT(EDATE($D63,Milestones!$AA$33),"dd mmm yy"))&amp;" "&amp;Milestones!$AB$33&amp;" "&amp;Milestones!$AC$33&amp;";  ","")&amp;IF(AND(EDATE($D63,Milestones!$AA$34)&lt;=AsOfDate,IF($R63=0,$X63,IF(AND($T63&lt;&gt;"",EDATE($D63,Milestones!$AA$34)&gt;=$T63),$W63,IF(AND($S63&lt;&gt;"",EDATE($D63,Milestones!$AA$34)&gt;=$S63),$V63,$U63)))=Milestones!$AB$34),UPPER(TEXT(EDATE($D63,Milestones!$AA$34),"dd mmm yy"))&amp;" "&amp;Milestones!$AB$34&amp;" "&amp;Milestones!$AC$34&amp;";  ","")&amp;IF(AND(EDATE($D63,Milestones!$AA$35)&lt;=AsOfDate,IF($R63=0,$X63,IF(AND($T63&lt;&gt;"",EDATE($D63,Milestones!$AA$35)&gt;=$T63),$W63,IF(AND($S63&lt;&gt;"",EDATE($D63,Milestones!$AA$35)&gt;=$S63),$V63,$U63)))=Milestones!$AB$35),UPPER(TEXT(EDATE($D63,Milestones!$AA$35),"dd mmm yy"))&amp;" "&amp;Milestones!$AB$35&amp;" "&amp;Milestones!$AC$35&amp;";  ","")&amp;IF(AND(EDATE($D63,Milestones!$AA$36)&lt;=AsOfDate,IF($R63=0,$X63,IF(AND($T63&lt;&gt;"",EDATE($D63,Milestones!$AA$36)&gt;=$T63),$W63,IF(AND($S63&lt;&gt;"",EDATE($D63,Milestones!$AA$36)&gt;=$S63),$V63,$U63)))=Milestones!$AB$36),UPPER(TEXT(EDATE($D63,Milestones!$AA$36),"dd mmm yy"))&amp;" "&amp;Milestones!$AB$36&amp;" "&amp;Milestones!$AC$36&amp;";  ","")&amp;IF(AND(EDATE($D63,Milestones!$AA$37)&lt;=AsOfDate,IF($R63=0,$X63,IF(AND($T63&lt;&gt;"",EDATE($D63,Milestones!$AA$37)&gt;=$T63),$W63,IF(AND($S63&lt;&gt;"",EDATE($D63,Milestones!$AA$37)&gt;=$S63),$V63,$U63)))=Milestones!$AB$37),UPPER(TEXT(EDATE($D63,Milestones!$AA$37),"dd mmm yy"))&amp;" "&amp;Milestones!$AB$37&amp;" "&amp;Milestones!$AC$37&amp;";  ","")&amp;IF(AND(EDATE($D63,Milestones!$AA$38)&lt;=AsOfDate,IF($R63=0,$X63,IF(AND($T63&lt;&gt;"",EDATE($D63,Milestones!$AA$38)&gt;=$T63),$W63,IF(AND($S63&lt;&gt;"",EDATE($D63,Milestones!$AA$38)&gt;=$S63),$V63,$U63)))=Milestones!$AB$38),UPPER(TEXT(EDATE($D63,Milestones!$AA$38),"dd mmm yy"))&amp;" "&amp;Milestones!$AB$38&amp;" "&amp;Milestones!$AC$38&amp;";  ","")&amp;IF(AND(EDATE($D63,Milestones!$AA$39)&lt;=AsOfDate,IF($R63=0,$X63,IF(AND($T63&lt;&gt;"",EDATE($D63,Milestones!$AA$39)&gt;=$T63),$W63,IF(AND($S63&lt;&gt;"",EDATE($D63,Milestones!$AA$39)&gt;=$S63),$V63,$U63)))=Milestones!$AB$39),UPPER(TEXT(EDATE($D63,Milestones!$AA$39),"dd mmm yy"))&amp;" "&amp;Milestones!$AB$39&amp;" "&amp;Milestones!$AC$39&amp;";  ",""))</f>
        <v/>
      </c>
      <c r="J63" s="0" t="str">
        <f aca="false">IF(OR($A63="",$D63=""),"",IF(AND(EDATE($D63,Milestones!$AA$40)&lt;=AsOfDate,IF($R63=0,$X63,IF(AND($T63&lt;&gt;"",EDATE($D63,Milestones!$AA$40)&gt;=$T63),$W63,IF(AND($S63&lt;&gt;"",EDATE($D63,Milestones!$AA$40)&gt;=$S63),$V63,$U63)))=Milestones!$AB$40),UPPER(TEXT(EDATE($D63,Milestones!$AA$40),"dd mmm yy"))&amp;" "&amp;Milestones!$AB$40&amp;" "&amp;Milestones!$AC$40&amp;";  ","")&amp;IF(AND(EDATE($D63,Milestones!$AA$41)&lt;=AsOfDate,IF($R63=0,$X63,IF(AND($T63&lt;&gt;"",EDATE($D63,Milestones!$AA$41)&gt;=$T63),$W63,IF(AND($S63&lt;&gt;"",EDATE($D63,Milestones!$AA$41)&gt;=$S63),$V63,$U63)))=Milestones!$AB$41),UPPER(TEXT(EDATE($D63,Milestones!$AA$41),"dd mmm yy"))&amp;" "&amp;Milestones!$AB$41&amp;" "&amp;Milestones!$AC$41&amp;";  ","")&amp;IF(AND(EDATE($D63,Milestones!$AA$42)&lt;=AsOfDate,IF($R63=0,$X63,IF(AND($T63&lt;&gt;"",EDATE($D63,Milestones!$AA$42)&gt;=$T63),$W63,IF(AND($S63&lt;&gt;"",EDATE($D63,Milestones!$AA$42)&gt;=$S63),$V63,$U63)))=Milestones!$AB$42),UPPER(TEXT(EDATE($D63,Milestones!$AA$42),"dd mmm yy"))&amp;" "&amp;Milestones!$AB$42&amp;" "&amp;Milestones!$AC$42&amp;";  ","")&amp;IF(AND(EDATE($D63,Milestones!$AA$43)&lt;=AsOfDate,IF($R63=0,$X63,IF(AND($T63&lt;&gt;"",EDATE($D63,Milestones!$AA$43)&gt;=$T63),$W63,IF(AND($S63&lt;&gt;"",EDATE($D63,Milestones!$AA$43)&gt;=$S63),$V63,$U63)))=Milestones!$AB$43),UPPER(TEXT(EDATE($D63,Milestones!$AA$43),"dd mmm yy"))&amp;" "&amp;Milestones!$AB$43&amp;" "&amp;Milestones!$AC$43&amp;";  ","")&amp;IF(AND(EDATE($D63,Milestones!$AA$44)&lt;=AsOfDate,IF($R63=0,$X63,IF(AND($T63&lt;&gt;"",EDATE($D63,Milestones!$AA$44)&gt;=$T63),$W63,IF(AND($S63&lt;&gt;"",EDATE($D63,Milestones!$AA$44)&gt;=$S63),$V63,$U63)))=Milestones!$AB$44),UPPER(TEXT(EDATE($D63,Milestones!$AA$44),"dd mmm yy"))&amp;" "&amp;Milestones!$AB$44&amp;" "&amp;Milestones!$AC$44&amp;";  ","")&amp;IF(AND(EDATE($D63,Milestones!$AA$45)&lt;=AsOfDate,IF($R63=0,$X63,IF(AND($T63&lt;&gt;"",EDATE($D63,Milestones!$AA$45)&gt;=$T63),$W63,IF(AND($S63&lt;&gt;"",EDATE($D63,Milestones!$AA$45)&gt;=$S63),$V63,$U63)))=Milestones!$AB$45),UPPER(TEXT(EDATE($D63,Milestones!$AA$45),"dd mmm yy"))&amp;" "&amp;Milestones!$AB$45&amp;" "&amp;Milestones!$AC$45&amp;";  ","")&amp;IF(AND(EDATE($D63,Milestones!$AA$46)&lt;=AsOfDate,IF($R63=0,$X63,IF(AND($T63&lt;&gt;"",EDATE($D63,Milestones!$AA$46)&gt;=$T63),$W63,IF(AND($S63&lt;&gt;"",EDATE($D63,Milestones!$AA$46)&gt;=$S63),$V63,$U63)))=Milestones!$AB$46),UPPER(TEXT(EDATE($D63,Milestones!$AA$46),"dd mmm yy"))&amp;" "&amp;Milestones!$AB$46&amp;" "&amp;Milestones!$AC$46&amp;";  ","")&amp;IF(AND(EDATE($D63,Milestones!$AA$47)&lt;=AsOfDate,IF($R63=0,$X63,IF(AND($T63&lt;&gt;"",EDATE($D63,Milestones!$AA$47)&gt;=$T63),$W63,IF(AND($S63&lt;&gt;"",EDATE($D63,Milestones!$AA$47)&gt;=$S63),$V63,$U63)))=Milestones!$AB$47),UPPER(TEXT(EDATE($D63,Milestones!$AA$47),"dd mmm yy"))&amp;" "&amp;Milestones!$AB$47&amp;" "&amp;Milestones!$AC$47&amp;";  ","")&amp;IF(AND(EDATE($D63,Milestones!$AA$48)&lt;=AsOfDate,IF($R63=0,$X63,IF(AND($T63&lt;&gt;"",EDATE($D63,Milestones!$AA$48)&gt;=$T63),$W63,IF(AND($S63&lt;&gt;"",EDATE($D63,Milestones!$AA$48)&gt;=$S63),$V63,$U63)))=Milestones!$AB$48),UPPER(TEXT(EDATE($D63,Milestones!$AA$48),"dd mmm yy"))&amp;" "&amp;Milestones!$AB$48&amp;" "&amp;Milestones!$AC$48&amp;";  ","")&amp;IF(AND(EDATE($D63,Milestones!$AA$49)&lt;=AsOfDate,IF($R63=0,$X63,IF(AND($T63&lt;&gt;"",EDATE($D63,Milestones!$AA$49)&gt;=$T63),$W63,IF(AND($S63&lt;&gt;"",EDATE($D63,Milestones!$AA$49)&gt;=$S63),$V63,$U63)))=Milestones!$AB$49),UPPER(TEXT(EDATE($D63,Milestones!$AA$49),"dd mmm yy"))&amp;" "&amp;Milestones!$AB$49&amp;" "&amp;Milestones!$AC$49&amp;";  ","")&amp;IF(AND(EDATE($D63,Milestones!$AA$50)&lt;=AsOfDate,IF($R63=0,$X63,IF(AND($T63&lt;&gt;"",EDATE($D63,Milestones!$AA$50)&gt;=$T63),$W63,IF(AND($S63&lt;&gt;"",EDATE($D63,Milestones!$AA$50)&gt;=$S63),$V63,$U63)))=Milestones!$AB$50),UPPER(TEXT(EDATE($D63,Milestones!$AA$50),"dd mmm yy"))&amp;" "&amp;Milestones!$AB$50&amp;" "&amp;Milestones!$AC$50&amp;";  ","")&amp;IF(AND(EDATE($D63,Milestones!$AA$51)&lt;=AsOfDate,IF($R63=0,$X63,IF(AND($T63&lt;&gt;"",EDATE($D63,Milestones!$AA$51)&gt;=$T63),$W63,IF(AND($S63&lt;&gt;"",EDATE($D63,Milestones!$AA$51)&gt;=$S63),$V63,$U63)))=Milestones!$AB$51),UPPER(TEXT(EDATE($D63,Milestones!$AA$51),"dd mmm yy"))&amp;" "&amp;Milestones!$AB$51&amp;" "&amp;Milestones!$AC$51&amp;";  ","")&amp;IF(AND(EDATE($D63,Milestones!$AA$52)&lt;=AsOfDate,IF($R63=0,$X63,IF(AND($T63&lt;&gt;"",EDATE($D63,Milestones!$AA$52)&gt;=$T63),$W63,IF(AND($S63&lt;&gt;"",EDATE($D63,Milestones!$AA$52)&gt;=$S63),$V63,$U63)))=Milestones!$AB$52),UPPER(TEXT(EDATE($D63,Milestones!$AA$52),"dd mmm yy"))&amp;" "&amp;Milestones!$AB$52&amp;" "&amp;Milestones!$AC$52&amp;";  ","")&amp;IF(AND(EDATE($D63,Milestones!$AA$53)&lt;=AsOfDate,IF($R63=0,$X63,IF(AND($T63&lt;&gt;"",EDATE($D63,Milestones!$AA$53)&gt;=$T63),$W63,IF(AND($S63&lt;&gt;"",EDATE($D63,Milestones!$AA$53)&gt;=$S63),$V63,$U63)))=Milestones!$AB$53),UPPER(TEXT(EDATE($D63,Milestones!$AA$53),"dd mmm yy"))&amp;" "&amp;Milestones!$AB$53&amp;" "&amp;Milestones!$AC$53&amp;";  ","")&amp;IF(AND(EDATE($D63,Milestones!$AA$54)&lt;=AsOfDate,IF($R63=0,$X63,IF(AND($T63&lt;&gt;"",EDATE($D63,Milestones!$AA$54)&gt;=$T63),$W63,IF(AND($S63&lt;&gt;"",EDATE($D63,Milestones!$AA$54)&gt;=$S63),$V63,$U63)))=Milestones!$AB$54),UPPER(TEXT(EDATE($D63,Milestones!$AA$54),"dd mmm yy"))&amp;" "&amp;Milestones!$AB$54&amp;" "&amp;Milestones!$AC$54&amp;";  ","")&amp;IF(AND(EDATE($D63,Milestones!$AA$55)&lt;=AsOfDate,IF($R63=0,$X63,IF(AND($T63&lt;&gt;"",EDATE($D63,Milestones!$AA$55)&gt;=$T63),$W63,IF(AND($S63&lt;&gt;"",EDATE($D63,Milestones!$AA$55)&gt;=$S63),$V63,$U63)))=Milestones!$AB$55),UPPER(TEXT(EDATE($D63,Milestones!$AA$55),"dd mmm yy"))&amp;" "&amp;Milestones!$AB$55&amp;" "&amp;Milestones!$AC$55&amp;";  ","")&amp;IF(AND(EDATE($D63,Milestones!$AA$56)&lt;=AsOfDate,IF($R63=0,$X63,IF(AND($T63&lt;&gt;"",EDATE($D63,Milestones!$AA$56)&gt;=$T63),$W63,IF(AND($S63&lt;&gt;"",EDATE($D63,Milestones!$AA$56)&gt;=$S63),$V63,$U63)))=Milestones!$AB$56),UPPER(TEXT(EDATE($D63,Milestones!$AA$56),"dd mmm yy"))&amp;" "&amp;Milestones!$AB$56&amp;" "&amp;Milestones!$AC$56&amp;";  ","")&amp;IF(AND(EDATE($D63,Milestones!$AA$57)&lt;=AsOfDate,IF($R63=0,$X63,IF(AND($T63&lt;&gt;"",EDATE($D63,Milestones!$AA$57)&gt;=$T63),$W63,IF(AND($S63&lt;&gt;"",EDATE($D63,Milestones!$AA$57)&gt;=$S63),$V63,$U63)))=Milestones!$AB$57),UPPER(TEXT(EDATE($D63,Milestones!$AA$57),"dd mmm yy"))&amp;" "&amp;Milestones!$AB$57&amp;" "&amp;Milestones!$AC$57&amp;";  ","")&amp;IF(AND(EDATE($D63,Milestones!$AA$58)&lt;=AsOfDate,IF($R63=0,$X63,IF(AND($T63&lt;&gt;"",EDATE($D63,Milestones!$AA$58)&gt;=$T63),$W63,IF(AND($S63&lt;&gt;"",EDATE($D63,Milestones!$AA$58)&gt;=$S63),$V63,$U63)))=Milestones!$AB$58),UPPER(TEXT(EDATE($D63,Milestones!$AA$58),"dd mmm yy"))&amp;" "&amp;Milestones!$AB$58&amp;" "&amp;Milestones!$AC$58&amp;";  ","")&amp;IF(AND(EDATE($D63,Milestones!$AA$59)&lt;=AsOfDate,IF($R63=0,$X63,IF(AND($T63&lt;&gt;"",EDATE($D63,Milestones!$AA$59)&gt;=$T63),$W63,IF(AND($S63&lt;&gt;"",EDATE($D63,Milestones!$AA$59)&gt;=$S63),$V63,$U63)))=Milestones!$AB$59),UPPER(TEXT(EDATE($D63,Milestones!$AA$59),"dd mmm yy"))&amp;" "&amp;Milestones!$AB$59&amp;" "&amp;Milestones!$AC$59&amp;";  ",""))</f>
        <v/>
      </c>
      <c r="K63" s="0" t="str">
        <f aca="false">IF(OR($A63="",$D63=""),"",IF(AND(EDATE($D63,Milestones!$AA$60)&lt;=AsOfDate,IF($R63=0,$X63,IF(AND($T63&lt;&gt;"",EDATE($D63,Milestones!$AA$60)&gt;=$T63),$W63,IF(AND($S63&lt;&gt;"",EDATE($D63,Milestones!$AA$60)&gt;=$S63),$V63,$U63)))=Milestones!$AB$60),UPPER(TEXT(EDATE($D63,Milestones!$AA$60),"dd mmm yy"))&amp;" "&amp;Milestones!$AB$60&amp;" "&amp;Milestones!$AC$60&amp;";  ","")&amp;IF(AND(EDATE($D63,Milestones!$AA$61)&lt;=AsOfDate,IF($R63=0,$X63,IF(AND($T63&lt;&gt;"",EDATE($D63,Milestones!$AA$61)&gt;=$T63),$W63,IF(AND($S63&lt;&gt;"",EDATE($D63,Milestones!$AA$61)&gt;=$S63),$V63,$U63)))=Milestones!$AB$61),UPPER(TEXT(EDATE($D63,Milestones!$AA$61),"dd mmm yy"))&amp;" "&amp;Milestones!$AB$61&amp;" "&amp;Milestones!$AC$61&amp;";  ","")&amp;IF(AND(EDATE($D63,Milestones!$AA$62)&lt;=AsOfDate,IF($R63=0,$X63,IF(AND($T63&lt;&gt;"",EDATE($D63,Milestones!$AA$62)&gt;=$T63),$W63,IF(AND($S63&lt;&gt;"",EDATE($D63,Milestones!$AA$62)&gt;=$S63),$V63,$U63)))=Milestones!$AB$62),UPPER(TEXT(EDATE($D63,Milestones!$AA$62),"dd mmm yy"))&amp;" "&amp;Milestones!$AB$62&amp;" "&amp;Milestones!$AC$62&amp;";  ","")&amp;IF(AND(EDATE($D63,Milestones!$AA$63)&lt;=AsOfDate,IF($R63=0,$X63,IF(AND($T63&lt;&gt;"",EDATE($D63,Milestones!$AA$63)&gt;=$T63),$W63,IF(AND($S63&lt;&gt;"",EDATE($D63,Milestones!$AA$63)&gt;=$S63),$V63,$U63)))=Milestones!$AB$63),UPPER(TEXT(EDATE($D63,Milestones!$AA$63),"dd mmm yy"))&amp;" "&amp;Milestones!$AB$63&amp;" "&amp;Milestones!$AC$63&amp;";  ","")&amp;IF(AND(EDATE($D63,Milestones!$AA$64)&lt;=AsOfDate,IF($R63=0,$X63,IF(AND($T63&lt;&gt;"",EDATE($D63,Milestones!$AA$64)&gt;=$T63),$W63,IF(AND($S63&lt;&gt;"",EDATE($D63,Milestones!$AA$64)&gt;=$S63),$V63,$U63)))=Milestones!$AB$64),UPPER(TEXT(EDATE($D63,Milestones!$AA$64),"dd mmm yy"))&amp;" "&amp;Milestones!$AB$64&amp;" "&amp;Milestones!$AC$64&amp;";  ","")&amp;IF(AND(EDATE($D63,Milestones!$AA$65)&lt;=AsOfDate,IF($R63=0,$X63,IF(AND($T63&lt;&gt;"",EDATE($D63,Milestones!$AA$65)&gt;=$T63),$W63,IF(AND($S63&lt;&gt;"",EDATE($D63,Milestones!$AA$65)&gt;=$S63),$V63,$U63)))=Milestones!$AB$65),UPPER(TEXT(EDATE($D63,Milestones!$AA$65),"dd mmm yy"))&amp;" "&amp;Milestones!$AB$65&amp;" "&amp;Milestones!$AC$65&amp;";  ","")&amp;IF(AND(EDATE($D63,Milestones!$AA$66)&lt;=AsOfDate,IF($R63=0,$X63,IF(AND($T63&lt;&gt;"",EDATE($D63,Milestones!$AA$66)&gt;=$T63),$W63,IF(AND($S63&lt;&gt;"",EDATE($D63,Milestones!$AA$66)&gt;=$S63),$V63,$U63)))=Milestones!$AB$66),UPPER(TEXT(EDATE($D63,Milestones!$AA$66),"dd mmm yy"))&amp;" "&amp;Milestones!$AB$66&amp;" "&amp;Milestones!$AC$66&amp;";  ","")&amp;IF(AND(EDATE($D63,Milestones!$AA$67)&lt;=AsOfDate,IF($R63=0,$X63,IF(AND($T63&lt;&gt;"",EDATE($D63,Milestones!$AA$67)&gt;=$T63),$W63,IF(AND($S63&lt;&gt;"",EDATE($D63,Milestones!$AA$67)&gt;=$S63),$V63,$U63)))=Milestones!$AB$67),UPPER(TEXT(EDATE($D63,Milestones!$AA$67),"dd mmm yy"))&amp;" "&amp;Milestones!$AB$67&amp;" "&amp;Milestones!$AC$67&amp;";  ","")&amp;IF(AND(EDATE($D63,Milestones!$AA$68)&lt;=AsOfDate,IF($R63=0,$X63,IF(AND($T63&lt;&gt;"",EDATE($D63,Milestones!$AA$68)&gt;=$T63),$W63,IF(AND($S63&lt;&gt;"",EDATE($D63,Milestones!$AA$68)&gt;=$S63),$V63,$U63)))=Milestones!$AB$68),UPPER(TEXT(EDATE($D63,Milestones!$AA$68),"dd mmm yy"))&amp;" "&amp;Milestones!$AB$68&amp;" "&amp;Milestones!$AC$68&amp;";  ","")&amp;IF(AND(EDATE($D63,Milestones!$AA$69)&lt;=AsOfDate,IF($R63=0,$X63,IF(AND($T63&lt;&gt;"",EDATE($D63,Milestones!$AA$69)&gt;=$T63),$W63,IF(AND($S63&lt;&gt;"",EDATE($D63,Milestones!$AA$69)&gt;=$S63),$V63,$U63)))=Milestones!$AB$69),UPPER(TEXT(EDATE($D63,Milestones!$AA$69),"dd mmm yy"))&amp;" "&amp;Milestones!$AB$69&amp;" "&amp;Milestones!$AC$69&amp;";  ","")&amp;IF(AND(EDATE($D63,Milestones!$AA$70)&lt;=AsOfDate,IF($R63=0,$X63,IF(AND($T63&lt;&gt;"",EDATE($D63,Milestones!$AA$70)&gt;=$T63),$W63,IF(AND($S63&lt;&gt;"",EDATE($D63,Milestones!$AA$70)&gt;=$S63),$V63,$U63)))=Milestones!$AB$70),UPPER(TEXT(EDATE($D63,Milestones!$AA$70),"dd mmm yy"))&amp;" "&amp;Milestones!$AB$70&amp;" "&amp;Milestones!$AC$70&amp;";  ","")&amp;IF(AND(EDATE($D63,Milestones!$AA$71)&lt;=AsOfDate,IF($R63=0,$X63,IF(AND($T63&lt;&gt;"",EDATE($D63,Milestones!$AA$71)&gt;=$T63),$W63,IF(AND($S63&lt;&gt;"",EDATE($D63,Milestones!$AA$71)&gt;=$S63),$V63,$U63)))=Milestones!$AB$71),UPPER(TEXT(EDATE($D63,Milestones!$AA$71),"dd mmm yy"))&amp;" "&amp;Milestones!$AB$71&amp;" "&amp;Milestones!$AC$71&amp;";  ","")&amp;IF(AND(EDATE($D63,Milestones!$AA$72)&lt;=AsOfDate,IF($R63=0,$X63,IF(AND($T63&lt;&gt;"",EDATE($D63,Milestones!$AA$72)&gt;=$T63),$W63,IF(AND($S63&lt;&gt;"",EDATE($D63,Milestones!$AA$72)&gt;=$S63),$V63,$U63)))=Milestones!$AB$72),UPPER(TEXT(EDATE($D63,Milestones!$AA$72),"dd mmm yy"))&amp;" "&amp;Milestones!$AB$72&amp;" "&amp;Milestones!$AC$72&amp;";  ","")&amp;IF(AND(EDATE($D63,Milestones!$AA$73)&lt;=AsOfDate,IF($R63=0,$X63,IF(AND($T63&lt;&gt;"",EDATE($D63,Milestones!$AA$73)&gt;=$T63),$W63,IF(AND($S63&lt;&gt;"",EDATE($D63,Milestones!$AA$73)&gt;=$S63),$V63,$U63)))=Milestones!$AB$73),UPPER(TEXT(EDATE($D63,Milestones!$AA$73),"dd mmm yy"))&amp;" "&amp;Milestones!$AB$73&amp;" "&amp;Milestones!$AC$73&amp;";  ","")&amp;IF(AND(EDATE($D63,Milestones!$AA$74)&lt;=AsOfDate,IF($R63=0,$X63,IF(AND($T63&lt;&gt;"",EDATE($D63,Milestones!$AA$74)&gt;=$T63),$W63,IF(AND($S63&lt;&gt;"",EDATE($D63,Milestones!$AA$74)&gt;=$S63),$V63,$U63)))=Milestones!$AB$74),UPPER(TEXT(EDATE($D63,Milestones!$AA$74),"dd mmm yy"))&amp;" "&amp;Milestones!$AB$74&amp;" "&amp;Milestones!$AC$74&amp;";  ","")&amp;IF(AND(EDATE($D63,Milestones!$AA$75)&lt;=AsOfDate,IF($R63=0,$X63,IF(AND($T63&lt;&gt;"",EDATE($D63,Milestones!$AA$75)&gt;=$T63),$W63,IF(AND($S63&lt;&gt;"",EDATE($D63,Milestones!$AA$75)&gt;=$S63),$V63,$U63)))=Milestones!$AB$75),UPPER(TEXT(EDATE($D63,Milestones!$AA$75),"dd mmm yy"))&amp;" "&amp;Milestones!$AB$75&amp;" "&amp;Milestones!$AC$75&amp;";  ","")&amp;IF(AND(EDATE($D63,Milestones!$AA$76)&lt;=AsOfDate,IF($R63=0,$X63,IF(AND($T63&lt;&gt;"",EDATE($D63,Milestones!$AA$76)&gt;=$T63),$W63,IF(AND($S63&lt;&gt;"",EDATE($D63,Milestones!$AA$76)&gt;=$S63),$V63,$U63)))=Milestones!$AB$76),UPPER(TEXT(EDATE($D63,Milestones!$AA$76),"dd mmm yy"))&amp;" "&amp;Milestones!$AB$76&amp;" "&amp;Milestones!$AC$76&amp;";  ","")&amp;IF(AND(EDATE($D63,Milestones!$AA$77)&lt;=AsOfDate,IF($R63=0,$X63,IF(AND($T63&lt;&gt;"",EDATE($D63,Milestones!$AA$77)&gt;=$T63),$W63,IF(AND($S63&lt;&gt;"",EDATE($D63,Milestones!$AA$77)&gt;=$S63),$V63,$U63)))=Milestones!$AB$77),UPPER(TEXT(EDATE($D63,Milestones!$AA$77),"dd mmm yy"))&amp;" "&amp;Milestones!$AB$77&amp;" "&amp;Milestones!$AC$77&amp;";  ","")&amp;IF(AND(EDATE($D63,Milestones!$AA$78)&lt;=AsOfDate,IF($R63=0,$X63,IF(AND($T63&lt;&gt;"",EDATE($D63,Milestones!$AA$78)&gt;=$T63),$W63,IF(AND($S63&lt;&gt;"",EDATE($D63,Milestones!$AA$78)&gt;=$S63),$V63,$U63)))=Milestones!$AB$78),UPPER(TEXT(EDATE($D63,Milestones!$AA$78),"dd mmm yy"))&amp;" "&amp;Milestones!$AB$78&amp;" "&amp;Milestones!$AC$78&amp;";  ","")&amp;IF(AND(EDATE($D63,Milestones!$AA$79)&lt;=AsOfDate,IF($R63=0,$X63,IF(AND($T63&lt;&gt;"",EDATE($D63,Milestones!$AA$79)&gt;=$T63),$W63,IF(AND($S63&lt;&gt;"",EDATE($D63,Milestones!$AA$79)&gt;=$S63),$V63,$U63)))=Milestones!$AB$79),UPPER(TEXT(EDATE($D63,Milestones!$AA$79),"dd mmm yy"))&amp;" "&amp;Milestones!$AB$79&amp;" "&amp;Milestones!$AC$79&amp;";  ",""))</f>
        <v/>
      </c>
      <c r="L63" s="0" t="str">
        <f aca="false">IF(OR($A63="",$D63=""),"",IF(AND(EDATE($D63,Milestones!$AA$80)&lt;=AsOfDate,IF($R63=0,$X63,IF(AND($T63&lt;&gt;"",EDATE($D63,Milestones!$AA$80)&gt;=$T63),$W63,IF(AND($S63&lt;&gt;"",EDATE($D63,Milestones!$AA$80)&gt;=$S63),$V63,$U63)))=Milestones!$AB$80),UPPER(TEXT(EDATE($D63,Milestones!$AA$80),"dd mmm yy"))&amp;" "&amp;Milestones!$AB$80&amp;" "&amp;Milestones!$AC$80&amp;";  ","")&amp;IF(AND(EDATE($D63,Milestones!$AA$81)&lt;=AsOfDate,IF($R63=0,$X63,IF(AND($T63&lt;&gt;"",EDATE($D63,Milestones!$AA$81)&gt;=$T63),$W63,IF(AND($S63&lt;&gt;"",EDATE($D63,Milestones!$AA$81)&gt;=$S63),$V63,$U63)))=Milestones!$AB$81),UPPER(TEXT(EDATE($D63,Milestones!$AA$81),"dd mmm yy"))&amp;" "&amp;Milestones!$AB$81&amp;" "&amp;Milestones!$AC$81&amp;";  ","")&amp;IF(AND(EDATE($D63,Milestones!$AA$82)&lt;=AsOfDate,IF($R63=0,$X63,IF(AND($T63&lt;&gt;"",EDATE($D63,Milestones!$AA$82)&gt;=$T63),$W63,IF(AND($S63&lt;&gt;"",EDATE($D63,Milestones!$AA$82)&gt;=$S63),$V63,$U63)))=Milestones!$AB$82),UPPER(TEXT(EDATE($D63,Milestones!$AA$82),"dd mmm yy"))&amp;" "&amp;Milestones!$AB$82&amp;" "&amp;Milestones!$AC$82&amp;";  ","")&amp;IF(AND(EDATE($D63,Milestones!$AA$83)&lt;=AsOfDate,IF($R63=0,$X63,IF(AND($T63&lt;&gt;"",EDATE($D63,Milestones!$AA$83)&gt;=$T63),$W63,IF(AND($S63&lt;&gt;"",EDATE($D63,Milestones!$AA$83)&gt;=$S63),$V63,$U63)))=Milestones!$AB$83),UPPER(TEXT(EDATE($D63,Milestones!$AA$83),"dd mmm yy"))&amp;" "&amp;Milestones!$AB$83&amp;" "&amp;Milestones!$AC$83&amp;";  ","")&amp;IF(AND(EDATE($D63,Milestones!$AA$84)&lt;=AsOfDate,IF($R63=0,$X63,IF(AND($T63&lt;&gt;"",EDATE($D63,Milestones!$AA$84)&gt;=$T63),$W63,IF(AND($S63&lt;&gt;"",EDATE($D63,Milestones!$AA$84)&gt;=$S63),$V63,$U63)))=Milestones!$AB$84),UPPER(TEXT(EDATE($D63,Milestones!$AA$84),"dd mmm yy"))&amp;" "&amp;Milestones!$AB$84&amp;" "&amp;Milestones!$AC$84&amp;";  ","")&amp;IF(AND(EDATE($D63,Milestones!$AA$85)&lt;=AsOfDate,IF($R63=0,$X63,IF(AND($T63&lt;&gt;"",EDATE($D63,Milestones!$AA$85)&gt;=$T63),$W63,IF(AND($S63&lt;&gt;"",EDATE($D63,Milestones!$AA$85)&gt;=$S63),$V63,$U63)))=Milestones!$AB$85),UPPER(TEXT(EDATE($D63,Milestones!$AA$85),"dd mmm yy"))&amp;" "&amp;Milestones!$AB$85&amp;" "&amp;Milestones!$AC$85&amp;";  ","")&amp;IF(AND(EDATE($D63,Milestones!$AA$86)&lt;=AsOfDate,IF($R63=0,$X63,IF(AND($T63&lt;&gt;"",EDATE($D63,Milestones!$AA$86)&gt;=$T63),$W63,IF(AND($S63&lt;&gt;"",EDATE($D63,Milestones!$AA$86)&gt;=$S63),$V63,$U63)))=Milestones!$AB$86),UPPER(TEXT(EDATE($D63,Milestones!$AA$86),"dd mmm yy"))&amp;" "&amp;Milestones!$AB$86&amp;" "&amp;Milestones!$AC$86&amp;";  ","")&amp;IF(AND(EDATE($D63,Milestones!$AA$87)&lt;=AsOfDate,IF($R63=0,$X63,IF(AND($T63&lt;&gt;"",EDATE($D63,Milestones!$AA$87)&gt;=$T63),$W63,IF(AND($S63&lt;&gt;"",EDATE($D63,Milestones!$AA$87)&gt;=$S63),$V63,$U63)))=Milestones!$AB$87),UPPER(TEXT(EDATE($D63,Milestones!$AA$87),"dd mmm yy"))&amp;" "&amp;Milestones!$AB$87&amp;" "&amp;Milestones!$AC$87&amp;";  ","")&amp;IF(AND(EDATE($D63,Milestones!$AA$88)&lt;=AsOfDate,IF($R63=0,$X63,IF(AND($T63&lt;&gt;"",EDATE($D63,Milestones!$AA$88)&gt;=$T63),$W63,IF(AND($S63&lt;&gt;"",EDATE($D63,Milestones!$AA$88)&gt;=$S63),$V63,$U63)))=Milestones!$AB$88),UPPER(TEXT(EDATE($D63,Milestones!$AA$88),"dd mmm yy"))&amp;" "&amp;Milestones!$AB$88&amp;" "&amp;Milestones!$AC$88&amp;";  ","")&amp;IF(AND(EDATE($D63,Milestones!$AA$89)&lt;=AsOfDate,IF($R63=0,$X63,IF(AND($T63&lt;&gt;"",EDATE($D63,Milestones!$AA$89)&gt;=$T63),$W63,IF(AND($S63&lt;&gt;"",EDATE($D63,Milestones!$AA$89)&gt;=$S63),$V63,$U63)))=Milestones!$AB$89),UPPER(TEXT(EDATE($D63,Milestones!$AA$89),"dd mmm yy"))&amp;" "&amp;Milestones!$AB$89&amp;" "&amp;Milestones!$AC$89&amp;";  ","")&amp;IF(AND(EDATE($D63,Milestones!$AA$90)&lt;=AsOfDate,IF($R63=0,$X63,IF(AND($T63&lt;&gt;"",EDATE($D63,Milestones!$AA$90)&gt;=$T63),$W63,IF(AND($S63&lt;&gt;"",EDATE($D63,Milestones!$AA$90)&gt;=$S63),$V63,$U63)))=Milestones!$AB$90),UPPER(TEXT(EDATE($D63,Milestones!$AA$90),"dd mmm yy"))&amp;" "&amp;Milestones!$AB$90&amp;" "&amp;Milestones!$AC$90&amp;";  ","")&amp;IF(AND(EDATE($D63,Milestones!$AA$91)&lt;=AsOfDate,IF($R63=0,$X63,IF(AND($T63&lt;&gt;"",EDATE($D63,Milestones!$AA$91)&gt;=$T63),$W63,IF(AND($S63&lt;&gt;"",EDATE($D63,Milestones!$AA$91)&gt;=$S63),$V63,$U63)))=Milestones!$AB$91),UPPER(TEXT(EDATE($D63,Milestones!$AA$91),"dd mmm yy"))&amp;" "&amp;Milestones!$AB$91&amp;" "&amp;Milestones!$AC$91&amp;";  ","")&amp;IF(AND(EDATE($D63,Milestones!$AA$92)&lt;=AsOfDate,IF($R63=0,$X63,IF(AND($T63&lt;&gt;"",EDATE($D63,Milestones!$AA$92)&gt;=$T63),$W63,IF(AND($S63&lt;&gt;"",EDATE($D63,Milestones!$AA$92)&gt;=$S63),$V63,$U63)))=Milestones!$AB$92),UPPER(TEXT(EDATE($D63,Milestones!$AA$92),"dd mmm yy"))&amp;" "&amp;Milestones!$AB$92&amp;" "&amp;Milestones!$AC$92&amp;";  ","")&amp;IF(AND(EDATE($D63,Milestones!$AA$93)&lt;=AsOfDate,IF($R63=0,$X63,IF(AND($T63&lt;&gt;"",EDATE($D63,Milestones!$AA$93)&gt;=$T63),$W63,IF(AND($S63&lt;&gt;"",EDATE($D63,Milestones!$AA$93)&gt;=$S63),$V63,$U63)))=Milestones!$AB$93),UPPER(TEXT(EDATE($D63,Milestones!$AA$93),"dd mmm yy"))&amp;" "&amp;Milestones!$AB$93&amp;" "&amp;Milestones!$AC$93&amp;";  ","")&amp;IF(AND(EDATE($D63,Milestones!$AA$94)&lt;=AsOfDate,IF($R63=0,$X63,IF(AND($T63&lt;&gt;"",EDATE($D63,Milestones!$AA$94)&gt;=$T63),$W63,IF(AND($S63&lt;&gt;"",EDATE($D63,Milestones!$AA$94)&gt;=$S63),$V63,$U63)))=Milestones!$AB$94),UPPER(TEXT(EDATE($D63,Milestones!$AA$94),"dd mmm yy"))&amp;" "&amp;Milestones!$AB$94&amp;" "&amp;Milestones!$AC$94&amp;";  ","")&amp;IF(AND(EDATE($D63,Milestones!$AA$95)&lt;=AsOfDate,IF($R63=0,$X63,IF(AND($T63&lt;&gt;"",EDATE($D63,Milestones!$AA$95)&gt;=$T63),$W63,IF(AND($S63&lt;&gt;"",EDATE($D63,Milestones!$AA$95)&gt;=$S63),$V63,$U63)))=Milestones!$AB$95),UPPER(TEXT(EDATE($D63,Milestones!$AA$95),"dd mmm yy"))&amp;" "&amp;Milestones!$AB$95&amp;" "&amp;Milestones!$AC$95&amp;";  ","")&amp;IF(AND(EDATE($D63,Milestones!$AA$96)&lt;=AsOfDate,IF($R63=0,$X63,IF(AND($T63&lt;&gt;"",EDATE($D63,Milestones!$AA$96)&gt;=$T63),$W63,IF(AND($S63&lt;&gt;"",EDATE($D63,Milestones!$AA$96)&gt;=$S63),$V63,$U63)))=Milestones!$AB$96),UPPER(TEXT(EDATE($D63,Milestones!$AA$96),"dd mmm yy"))&amp;" "&amp;Milestones!$AB$96&amp;" "&amp;Milestones!$AC$96&amp;";  ","")&amp;IF(AND(EDATE($D63,Milestones!$AA$97)&lt;=AsOfDate,IF($R63=0,$X63,IF(AND($T63&lt;&gt;"",EDATE($D63,Milestones!$AA$97)&gt;=$T63),$W63,IF(AND($S63&lt;&gt;"",EDATE($D63,Milestones!$AA$97)&gt;=$S63),$V63,$U63)))=Milestones!$AB$97),UPPER(TEXT(EDATE($D63,Milestones!$AA$97),"dd mmm yy"))&amp;" "&amp;Milestones!$AB$97&amp;" "&amp;Milestones!$AC$97&amp;";  ","")&amp;IF(AND(EDATE($D63,Milestones!$AA$98)&lt;=AsOfDate,IF($R63=0,$X63,IF(AND($T63&lt;&gt;"",EDATE($D63,Milestones!$AA$98)&gt;=$T63),$W63,IF(AND($S63&lt;&gt;"",EDATE($D63,Milestones!$AA$98)&gt;=$S63),$V63,$U63)))=Milestones!$AB$98),UPPER(TEXT(EDATE($D63,Milestones!$AA$98),"dd mmm yy"))&amp;" "&amp;Milestones!$AB$98&amp;" "&amp;Milestones!$AC$98&amp;";  ","")&amp;IF(AND(EDATE($D63,Milestones!$AA$99)&lt;=AsOfDate,IF($R63=0,$X63,IF(AND($T63&lt;&gt;"",EDATE($D63,Milestones!$AA$99)&gt;=$T63),$W63,IF(AND($S63&lt;&gt;"",EDATE($D63,Milestones!$AA$99)&gt;=$S63),$V63,$U63)))=Milestones!$AB$99),UPPER(TEXT(EDATE($D63,Milestones!$AA$99),"dd mmm yy"))&amp;" "&amp;Milestones!$AB$99&amp;" "&amp;Milestones!$AC$99&amp;";  ",""))</f>
        <v/>
      </c>
      <c r="M63" s="0" t="str">
        <f aca="false">IF(OR($A63="",$D63=""),"",IF(AND(EDATE($D63,Milestones!$AA$100)&lt;=AsOfDate,IF($R63=0,$X63,IF(AND($T63&lt;&gt;"",EDATE($D63,Milestones!$AA$100)&gt;=$T63),$W63,IF(AND($S63&lt;&gt;"",EDATE($D63,Milestones!$AA$100)&gt;=$S63),$V63,$U63)))=Milestones!$AB$100),UPPER(TEXT(EDATE($D63,Milestones!$AA$100),"dd mmm yy"))&amp;" "&amp;Milestones!$AB$100&amp;" "&amp;Milestones!$AC$100&amp;";  ","")&amp;IF(AND(EDATE($D63,Milestones!$AA$101)&lt;=AsOfDate,IF($R63=0,$X63,IF(AND($T63&lt;&gt;"",EDATE($D63,Milestones!$AA$101)&gt;=$T63),$W63,IF(AND($S63&lt;&gt;"",EDATE($D63,Milestones!$AA$101)&gt;=$S63),$V63,$U63)))=Milestones!$AB$101),UPPER(TEXT(EDATE($D63,Milestones!$AA$101),"dd mmm yy"))&amp;" "&amp;Milestones!$AB$101&amp;" "&amp;Milestones!$AC$101&amp;";  ","")&amp;IF(AND(EDATE($D63,Milestones!$AA$102)&lt;=AsOfDate,IF($R63=0,$X63,IF(AND($T63&lt;&gt;"",EDATE($D63,Milestones!$AA$102)&gt;=$T63),$W63,IF(AND($S63&lt;&gt;"",EDATE($D63,Milestones!$AA$102)&gt;=$S63),$V63,$U63)))=Milestones!$AB$102),UPPER(TEXT(EDATE($D63,Milestones!$AA$102),"dd mmm yy"))&amp;" "&amp;Milestones!$AB$102&amp;" "&amp;Milestones!$AC$102&amp;";  ","")&amp;IF(AND(EDATE($D63,Milestones!$AA$103)&lt;=AsOfDate,IF($R63=0,$X63,IF(AND($T63&lt;&gt;"",EDATE($D63,Milestones!$AA$103)&gt;=$T63),$W63,IF(AND($S63&lt;&gt;"",EDATE($D63,Milestones!$AA$103)&gt;=$S63),$V63,$U63)))=Milestones!$AB$103),UPPER(TEXT(EDATE($D63,Milestones!$AA$103),"dd mmm yy"))&amp;" "&amp;Milestones!$AB$103&amp;" "&amp;Milestones!$AC$103&amp;";  ","")&amp;IF(AND(EDATE($D63,Milestones!$AA$104)&lt;=AsOfDate,IF($R63=0,$X63,IF(AND($T63&lt;&gt;"",EDATE($D63,Milestones!$AA$104)&gt;=$T63),$W63,IF(AND($S63&lt;&gt;"",EDATE($D63,Milestones!$AA$104)&gt;=$S63),$V63,$U63)))=Milestones!$AB$104),UPPER(TEXT(EDATE($D63,Milestones!$AA$104),"dd mmm yy"))&amp;" "&amp;Milestones!$AB$104&amp;" "&amp;Milestones!$AC$104&amp;";  ","")&amp;IF(AND(EDATE($D63,Milestones!$AA$105)&lt;=AsOfDate,IF($R63=0,$X63,IF(AND($T63&lt;&gt;"",EDATE($D63,Milestones!$AA$105)&gt;=$T63),$W63,IF(AND($S63&lt;&gt;"",EDATE($D63,Milestones!$AA$105)&gt;=$S63),$V63,$U63)))=Milestones!$AB$105),UPPER(TEXT(EDATE($D63,Milestones!$AA$105),"dd mmm yy"))&amp;" "&amp;Milestones!$AB$105&amp;" "&amp;Milestones!$AC$105&amp;";  ","")&amp;IF(AND(EDATE($D63,Milestones!$AA$106)&lt;=AsOfDate,IF($R63=0,$X63,IF(AND($T63&lt;&gt;"",EDATE($D63,Milestones!$AA$106)&gt;=$T63),$W63,IF(AND($S63&lt;&gt;"",EDATE($D63,Milestones!$AA$106)&gt;=$S63),$V63,$U63)))=Milestones!$AB$106),UPPER(TEXT(EDATE($D63,Milestones!$AA$106),"dd mmm yy"))&amp;" "&amp;Milestones!$AB$106&amp;" "&amp;Milestones!$AC$106&amp;";  ","")&amp;IF(AND(EDATE($D63,Milestones!$AA$107)&lt;=AsOfDate,IF($R63=0,$X63,IF(AND($T63&lt;&gt;"",EDATE($D63,Milestones!$AA$107)&gt;=$T63),$W63,IF(AND($S63&lt;&gt;"",EDATE($D63,Milestones!$AA$107)&gt;=$S63),$V63,$U63)))=Milestones!$AB$107),UPPER(TEXT(EDATE($D63,Milestones!$AA$107),"dd mmm yy"))&amp;" "&amp;Milestones!$AB$107&amp;" "&amp;Milestones!$AC$107&amp;";  ","")&amp;IF(AND(EDATE($D63,Milestones!$AA$108)&lt;=AsOfDate,IF($R63=0,$X63,IF(AND($T63&lt;&gt;"",EDATE($D63,Milestones!$AA$108)&gt;=$T63),$W63,IF(AND($S63&lt;&gt;"",EDATE($D63,Milestones!$AA$108)&gt;=$S63),$V63,$U63)))=Milestones!$AB$108),UPPER(TEXT(EDATE($D63,Milestones!$AA$108),"dd mmm yy"))&amp;" "&amp;Milestones!$AB$108&amp;" "&amp;Milestones!$AC$108&amp;";  ","")&amp;IF(AND(EDATE($D63,Milestones!$AA$109)&lt;=AsOfDate,IF($R63=0,$X63,IF(AND($T63&lt;&gt;"",EDATE($D63,Milestones!$AA$109)&gt;=$T63),$W63,IF(AND($S63&lt;&gt;"",EDATE($D63,Milestones!$AA$109)&gt;=$S63),$V63,$U63)))=Milestones!$AB$109),UPPER(TEXT(EDATE($D63,Milestones!$AA$109),"dd mmm yy"))&amp;" "&amp;Milestones!$AB$109&amp;" "&amp;Milestones!$AC$109&amp;";  ","")&amp;IF(AND(EDATE($D63,Milestones!$AA$110)&lt;=AsOfDate,IF($R63=0,$X63,IF(AND($T63&lt;&gt;"",EDATE($D63,Milestones!$AA$110)&gt;=$T63),$W63,IF(AND($S63&lt;&gt;"",EDATE($D63,Milestones!$AA$110)&gt;=$S63),$V63,$U63)))=Milestones!$AB$110),UPPER(TEXT(EDATE($D63,Milestones!$AA$110),"dd mmm yy"))&amp;" "&amp;Milestones!$AB$110&amp;" "&amp;Milestones!$AC$110&amp;";  ","")&amp;IF(AND(EDATE($D63,Milestones!$AA$111)&lt;=AsOfDate,IF($R63=0,$X63,IF(AND($T63&lt;&gt;"",EDATE($D63,Milestones!$AA$111)&gt;=$T63),$W63,IF(AND($S63&lt;&gt;"",EDATE($D63,Milestones!$AA$111)&gt;=$S63),$V63,$U63)))=Milestones!$AB$111),UPPER(TEXT(EDATE($D63,Milestones!$AA$111),"dd mmm yy"))&amp;" "&amp;Milestones!$AB$111&amp;" "&amp;Milestones!$AC$111&amp;";  ","")&amp;IF(AND(EDATE($D63,Milestones!$AA$112)&lt;=AsOfDate,IF($R63=0,$X63,IF(AND($T63&lt;&gt;"",EDATE($D63,Milestones!$AA$112)&gt;=$T63),$W63,IF(AND($S63&lt;&gt;"",EDATE($D63,Milestones!$AA$112)&gt;=$S63),$V63,$U63)))=Milestones!$AB$112),UPPER(TEXT(EDATE($D63,Milestones!$AA$112),"dd mmm yy"))&amp;" "&amp;Milestones!$AB$112&amp;" "&amp;Milestones!$AC$112&amp;";  ","")&amp;IF(AND(EDATE($D63,Milestones!$AA$113)&lt;=AsOfDate,IF($R63=0,$X63,IF(AND($T63&lt;&gt;"",EDATE($D63,Milestones!$AA$113)&gt;=$T63),$W63,IF(AND($S63&lt;&gt;"",EDATE($D63,Milestones!$AA$113)&gt;=$S63),$V63,$U63)))=Milestones!$AB$113),UPPER(TEXT(EDATE($D63,Milestones!$AA$113),"dd mmm yy"))&amp;" "&amp;Milestones!$AB$113&amp;" "&amp;Milestones!$AC$113&amp;";  ","")&amp;IF(AND(EDATE($D63,Milestones!$AA$114)&lt;=AsOfDate,IF($R63=0,$X63,IF(AND($T63&lt;&gt;"",EDATE($D63,Milestones!$AA$114)&gt;=$T63),$W63,IF(AND($S63&lt;&gt;"",EDATE($D63,Milestones!$AA$114)&gt;=$S63),$V63,$U63)))=Milestones!$AB$114),UPPER(TEXT(EDATE($D63,Milestones!$AA$114),"dd mmm yy"))&amp;" "&amp;Milestones!$AB$114&amp;" "&amp;Milestones!$AC$114&amp;";  ","")&amp;IF(AND(EDATE($D63,Milestones!$AA$115)&lt;=AsOfDate,IF($R63=0,$X63,IF(AND($T63&lt;&gt;"",EDATE($D63,Milestones!$AA$115)&gt;=$T63),$W63,IF(AND($S63&lt;&gt;"",EDATE($D63,Milestones!$AA$115)&gt;=$S63),$V63,$U63)))=Milestones!$AB$115),UPPER(TEXT(EDATE($D63,Milestones!$AA$115),"dd mmm yy"))&amp;" "&amp;Milestones!$AB$115&amp;" "&amp;Milestones!$AC$115&amp;";  ","")&amp;IF(AND(EDATE($D63,Milestones!$AA$116)&lt;=AsOfDate,IF($R63=0,$X63,IF(AND($T63&lt;&gt;"",EDATE($D63,Milestones!$AA$116)&gt;=$T63),$W63,IF(AND($S63&lt;&gt;"",EDATE($D63,Milestones!$AA$116)&gt;=$S63),$V63,$U63)))=Milestones!$AB$116),UPPER(TEXT(EDATE($D63,Milestones!$AA$116),"dd mmm yy"))&amp;" "&amp;Milestones!$AB$116&amp;" "&amp;Milestones!$AC$116&amp;";  ","")&amp;IF(AND(EDATE($D63,Milestones!$AA$117)&lt;=AsOfDate,IF($R63=0,$X63,IF(AND($T63&lt;&gt;"",EDATE($D63,Milestones!$AA$117)&gt;=$T63),$W63,IF(AND($S63&lt;&gt;"",EDATE($D63,Milestones!$AA$117)&gt;=$S63),$V63,$U63)))=Milestones!$AB$117),UPPER(TEXT(EDATE($D63,Milestones!$AA$117),"dd mmm yy"))&amp;" "&amp;Milestones!$AB$117&amp;" "&amp;Milestones!$AC$117&amp;";  ","")&amp;IF(AND(EDATE($D63,Milestones!$AA$118)&lt;=AsOfDate,IF($R63=0,$X63,IF(AND($T63&lt;&gt;"",EDATE($D63,Milestones!$AA$118)&gt;=$T63),$W63,IF(AND($S63&lt;&gt;"",EDATE($D63,Milestones!$AA$118)&gt;=$S63),$V63,$U63)))=Milestones!$AB$118),UPPER(TEXT(EDATE($D63,Milestones!$AA$118),"dd mmm yy"))&amp;" "&amp;Milestones!$AB$118&amp;" "&amp;Milestones!$AC$118&amp;";  ","")&amp;IF(AND(EDATE($D63,Milestones!$AA$119)&lt;=AsOfDate,IF($R63=0,$X63,IF(AND($T63&lt;&gt;"",EDATE($D63,Milestones!$AA$119)&gt;=$T63),$W63,IF(AND($S63&lt;&gt;"",EDATE($D63,Milestones!$AA$119)&gt;=$S63),$V63,$U63)))=Milestones!$AB$119),UPPER(TEXT(EDATE($D63,Milestones!$AA$119),"dd mmm yy"))&amp;" "&amp;Milestones!$AB$119&amp;" "&amp;Milestones!$AC$119&amp;";  ",""))</f>
        <v/>
      </c>
      <c r="N63" s="0" t="str">
        <f aca="false">IF(OR($A63="",$D63=""),"",IF(AND(EDATE($D63,Milestones!$AA$120)&lt;=AsOfDate,IF($R63=0,$X63,IF(AND($T63&lt;&gt;"",EDATE($D63,Milestones!$AA$120)&gt;=$T63),$W63,IF(AND($S63&lt;&gt;"",EDATE($D63,Milestones!$AA$120)&gt;=$S63),$V63,$U63)))=Milestones!$AB$120),UPPER(TEXT(EDATE($D63,Milestones!$AA$120),"dd mmm yy"))&amp;" "&amp;Milestones!$AB$120&amp;" "&amp;Milestones!$AC$120&amp;";  ","")&amp;IF(AND(EDATE($D63,Milestones!$AA$121)&lt;=AsOfDate,IF($R63=0,$X63,IF(AND($T63&lt;&gt;"",EDATE($D63,Milestones!$AA$121)&gt;=$T63),$W63,IF(AND($S63&lt;&gt;"",EDATE($D63,Milestones!$AA$121)&gt;=$S63),$V63,$U63)))=Milestones!$AB$121),UPPER(TEXT(EDATE($D63,Milestones!$AA$121),"dd mmm yy"))&amp;" "&amp;Milestones!$AB$121&amp;" "&amp;Milestones!$AC$121&amp;";  ","")&amp;IF(AND(EDATE($D63,Milestones!$AA$122)&lt;=AsOfDate,IF($R63=0,$X63,IF(AND($T63&lt;&gt;"",EDATE($D63,Milestones!$AA$122)&gt;=$T63),$W63,IF(AND($S63&lt;&gt;"",EDATE($D63,Milestones!$AA$122)&gt;=$S63),$V63,$U63)))=Milestones!$AB$122),UPPER(TEXT(EDATE($D63,Milestones!$AA$122),"dd mmm yy"))&amp;" "&amp;Milestones!$AB$122&amp;" "&amp;Milestones!$AC$122&amp;";  ","")&amp;IF(AND(EDATE($D63,Milestones!$AA$123)&lt;=AsOfDate,IF($R63=0,$X63,IF(AND($T63&lt;&gt;"",EDATE($D63,Milestones!$AA$123)&gt;=$T63),$W63,IF(AND($S63&lt;&gt;"",EDATE($D63,Milestones!$AA$123)&gt;=$S63),$V63,$U63)))=Milestones!$AB$123),UPPER(TEXT(EDATE($D63,Milestones!$AA$123),"dd mmm yy"))&amp;" "&amp;Milestones!$AB$123&amp;" "&amp;Milestones!$AC$123&amp;";  ","")&amp;IF(AND(EDATE($D63,Milestones!$AA$124)&lt;=AsOfDate,IF($R63=0,$X63,IF(AND($T63&lt;&gt;"",EDATE($D63,Milestones!$AA$124)&gt;=$T63),$W63,IF(AND($S63&lt;&gt;"",EDATE($D63,Milestones!$AA$124)&gt;=$S63),$V63,$U63)))=Milestones!$AB$124),UPPER(TEXT(EDATE($D63,Milestones!$AA$124),"dd mmm yy"))&amp;" "&amp;Milestones!$AB$124&amp;" "&amp;Milestones!$AC$124&amp;";  ","")&amp;IF(AND(EDATE($D63,Milestones!$AA$125)&lt;=AsOfDate,IF($R63=0,$X63,IF(AND($T63&lt;&gt;"",EDATE($D63,Milestones!$AA$125)&gt;=$T63),$W63,IF(AND($S63&lt;&gt;"",EDATE($D63,Milestones!$AA$125)&gt;=$S63),$V63,$U63)))=Milestones!$AB$125),UPPER(TEXT(EDATE($D63,Milestones!$AA$125),"dd mmm yy"))&amp;" "&amp;Milestones!$AB$125&amp;" "&amp;Milestones!$AC$125&amp;";  ","")&amp;IF(AND(EDATE($D63,Milestones!$AA$126)&lt;=AsOfDate,IF($R63=0,$X63,IF(AND($T63&lt;&gt;"",EDATE($D63,Milestones!$AA$126)&gt;=$T63),$W63,IF(AND($S63&lt;&gt;"",EDATE($D63,Milestones!$AA$126)&gt;=$S63),$V63,$U63)))=Milestones!$AB$126),UPPER(TEXT(EDATE($D63,Milestones!$AA$126),"dd mmm yy"))&amp;" "&amp;Milestones!$AB$126&amp;" "&amp;Milestones!$AC$126&amp;";  ","")&amp;IF(AND(EDATE($D63,Milestones!$AA$127)&lt;=AsOfDate,IF($R63=0,$X63,IF(AND($T63&lt;&gt;"",EDATE($D63,Milestones!$AA$127)&gt;=$T63),$W63,IF(AND($S63&lt;&gt;"",EDATE($D63,Milestones!$AA$127)&gt;=$S63),$V63,$U63)))=Milestones!$AB$127),UPPER(TEXT(EDATE($D63,Milestones!$AA$127),"dd mmm yy"))&amp;" "&amp;Milestones!$AB$127&amp;" "&amp;Milestones!$AC$127&amp;";  ","")&amp;IF(AND(EDATE($D63,Milestones!$AA$128)&lt;=AsOfDate,IF($R63=0,$X63,IF(AND($T63&lt;&gt;"",EDATE($D63,Milestones!$AA$128)&gt;=$T63),$W63,IF(AND($S63&lt;&gt;"",EDATE($D63,Milestones!$AA$128)&gt;=$S63),$V63,$U63)))=Milestones!$AB$128),UPPER(TEXT(EDATE($D63,Milestones!$AA$128),"dd mmm yy"))&amp;" "&amp;Milestones!$AB$128&amp;" "&amp;Milestones!$AC$128&amp;";  ","")&amp;IF(AND(EDATE($D63,Milestones!$AA$129)&lt;=AsOfDate,IF($R63=0,$X63,IF(AND($T63&lt;&gt;"",EDATE($D63,Milestones!$AA$129)&gt;=$T63),$W63,IF(AND($S63&lt;&gt;"",EDATE($D63,Milestones!$AA$129)&gt;=$S63),$V63,$U63)))=Milestones!$AB$129),UPPER(TEXT(EDATE($D63,Milestones!$AA$129),"dd mmm yy"))&amp;" "&amp;Milestones!$AB$129&amp;" "&amp;Milestones!$AC$129&amp;";  ","")&amp;IF(AND(EDATE($D63,Milestones!$AA$130)&lt;=AsOfDate,IF($R63=0,$X63,IF(AND($T63&lt;&gt;"",EDATE($D63,Milestones!$AA$130)&gt;=$T63),$W63,IF(AND($S63&lt;&gt;"",EDATE($D63,Milestones!$AA$130)&gt;=$S63),$V63,$U63)))=Milestones!$AB$130),UPPER(TEXT(EDATE($D63,Milestones!$AA$130),"dd mmm yy"))&amp;" "&amp;Milestones!$AB$130&amp;" "&amp;Milestones!$AC$130&amp;";  ","")&amp;IF(AND(EDATE($D63,Milestones!$AA$131)&lt;=AsOfDate,IF($R63=0,$X63,IF(AND($T63&lt;&gt;"",EDATE($D63,Milestones!$AA$131)&gt;=$T63),$W63,IF(AND($S63&lt;&gt;"",EDATE($D63,Milestones!$AA$131)&gt;=$S63),$V63,$U63)))=Milestones!$AB$131),UPPER(TEXT(EDATE($D63,Milestones!$AA$131),"dd mmm yy"))&amp;" "&amp;Milestones!$AB$131&amp;" "&amp;Milestones!$AC$131&amp;";  ","")&amp;IF(AND(EDATE($D63,Milestones!$AA$132)&lt;=AsOfDate,IF($R63=0,$X63,IF(AND($T63&lt;&gt;"",EDATE($D63,Milestones!$AA$132)&gt;=$T63),$W63,IF(AND($S63&lt;&gt;"",EDATE($D63,Milestones!$AA$132)&gt;=$S63),$V63,$U63)))=Milestones!$AB$132),UPPER(TEXT(EDATE($D63,Milestones!$AA$132),"dd mmm yy"))&amp;" "&amp;Milestones!$AB$132&amp;" "&amp;Milestones!$AC$132&amp;";  ","")&amp;IF(AND(EDATE($D63,Milestones!$AA$133)&lt;=AsOfDate,IF($R63=0,$X63,IF(AND($T63&lt;&gt;"",EDATE($D63,Milestones!$AA$133)&gt;=$T63),$W63,IF(AND($S63&lt;&gt;"",EDATE($D63,Milestones!$AA$133)&gt;=$S63),$V63,$U63)))=Milestones!$AB$133),UPPER(TEXT(EDATE($D63,Milestones!$AA$133),"dd mmm yy"))&amp;" "&amp;Milestones!$AB$133&amp;" "&amp;Milestones!$AC$133&amp;";  ","")&amp;IF(AND(EDATE($D63,Milestones!$AA$134)&lt;=AsOfDate,IF($R63=0,$X63,IF(AND($T63&lt;&gt;"",EDATE($D63,Milestones!$AA$134)&gt;=$T63),$W63,IF(AND($S63&lt;&gt;"",EDATE($D63,Milestones!$AA$134)&gt;=$S63),$V63,$U63)))=Milestones!$AB$134),UPPER(TEXT(EDATE($D63,Milestones!$AA$134),"dd mmm yy"))&amp;" "&amp;Milestones!$AB$134&amp;" "&amp;Milestones!$AC$134&amp;";  ","")&amp;IF(AND(EDATE($D63,Milestones!$AA$135)&lt;=AsOfDate,IF($R63=0,$X63,IF(AND($T63&lt;&gt;"",EDATE($D63,Milestones!$AA$135)&gt;=$T63),$W63,IF(AND($S63&lt;&gt;"",EDATE($D63,Milestones!$AA$135)&gt;=$S63),$V63,$U63)))=Milestones!$AB$135),UPPER(TEXT(EDATE($D63,Milestones!$AA$135),"dd mmm yy"))&amp;" "&amp;Milestones!$AB$135&amp;" "&amp;Milestones!$AC$135&amp;";  ","")&amp;IF(AND(EDATE($D63,Milestones!$AA$136)&lt;=AsOfDate,IF($R63=0,$X63,IF(AND($T63&lt;&gt;"",EDATE($D63,Milestones!$AA$136)&gt;=$T63),$W63,IF(AND($S63&lt;&gt;"",EDATE($D63,Milestones!$AA$136)&gt;=$S63),$V63,$U63)))=Milestones!$AB$136),UPPER(TEXT(EDATE($D63,Milestones!$AA$136),"dd mmm yy"))&amp;" "&amp;Milestones!$AB$136&amp;" "&amp;Milestones!$AC$136&amp;";  ","")&amp;IF(AND(EDATE($D63,Milestones!$AA$137)&lt;=AsOfDate,IF($R63=0,$X63,IF(AND($T63&lt;&gt;"",EDATE($D63,Milestones!$AA$137)&gt;=$T63),$W63,IF(AND($S63&lt;&gt;"",EDATE($D63,Milestones!$AA$137)&gt;=$S63),$V63,$U63)))=Milestones!$AB$137),UPPER(TEXT(EDATE($D63,Milestones!$AA$137),"dd mmm yy"))&amp;" "&amp;Milestones!$AB$137&amp;" "&amp;Milestones!$AC$137&amp;";  ","")&amp;IF(AND(EDATE($D63,Milestones!$AA$138)&lt;=AsOfDate,IF($R63=0,$X63,IF(AND($T63&lt;&gt;"",EDATE($D63,Milestones!$AA$138)&gt;=$T63),$W63,IF(AND($S63&lt;&gt;"",EDATE($D63,Milestones!$AA$138)&gt;=$S63),$V63,$U63)))=Milestones!$AB$138),UPPER(TEXT(EDATE($D63,Milestones!$AA$138),"dd mmm yy"))&amp;" "&amp;Milestones!$AB$138&amp;" "&amp;Milestones!$AC$138&amp;";  ","")&amp;IF(AND(EDATE($D63,Milestones!$AA$139)&lt;=AsOfDate,IF($R63=0,$X63,IF(AND($T63&lt;&gt;"",EDATE($D63,Milestones!$AA$139)&gt;=$T63),$W63,IF(AND($S63&lt;&gt;"",EDATE($D63,Milestones!$AA$139)&gt;=$S63),$V63,$U63)))=Milestones!$AB$139),UPPER(TEXT(EDATE($D63,Milestones!$AA$139),"dd mmm yy"))&amp;" "&amp;Milestones!$AB$139&amp;" "&amp;Milestones!$AC$139&amp;";  ",""))</f>
        <v/>
      </c>
      <c r="O63" s="0" t="str">
        <f aca="false">IF(OR($A63="",$D63=""),"",IF(AND(EDATE($D63,Milestones!$AA$140)&lt;=AsOfDate,IF($R63=0,$X63,IF(AND($T63&lt;&gt;"",EDATE($D63,Milestones!$AA$140)&gt;=$T63),$W63,IF(AND($S63&lt;&gt;"",EDATE($D63,Milestones!$AA$140)&gt;=$S63),$V63,$U63)))=Milestones!$AB$140),UPPER(TEXT(EDATE($D63,Milestones!$AA$140),"dd mmm yy"))&amp;" "&amp;Milestones!$AB$140&amp;" "&amp;Milestones!$AC$140&amp;";  ","")&amp;IF(AND(EDATE($D63,Milestones!$AA$141)&lt;=AsOfDate,IF($R63=0,$X63,IF(AND($T63&lt;&gt;"",EDATE($D63,Milestones!$AA$141)&gt;=$T63),$W63,IF(AND($S63&lt;&gt;"",EDATE($D63,Milestones!$AA$141)&gt;=$S63),$V63,$U63)))=Milestones!$AB$141),UPPER(TEXT(EDATE($D63,Milestones!$AA$141),"dd mmm yy"))&amp;" "&amp;Milestones!$AB$141&amp;" "&amp;Milestones!$AC$141&amp;";  ","")&amp;IF(AND(EDATE($D63,Milestones!$AA$142)&lt;=AsOfDate,IF($R63=0,$X63,IF(AND($T63&lt;&gt;"",EDATE($D63,Milestones!$AA$142)&gt;=$T63),$W63,IF(AND($S63&lt;&gt;"",EDATE($D63,Milestones!$AA$142)&gt;=$S63),$V63,$U63)))=Milestones!$AB$142),UPPER(TEXT(EDATE($D63,Milestones!$AA$142),"dd mmm yy"))&amp;" "&amp;Milestones!$AB$142&amp;" "&amp;Milestones!$AC$142&amp;";  ","")&amp;IF(AND(EDATE($D63,Milestones!$AA$143)&lt;=AsOfDate,IF($R63=0,$X63,IF(AND($T63&lt;&gt;"",EDATE($D63,Milestones!$AA$143)&gt;=$T63),$W63,IF(AND($S63&lt;&gt;"",EDATE($D63,Milestones!$AA$143)&gt;=$S63),$V63,$U63)))=Milestones!$AB$143),UPPER(TEXT(EDATE($D63,Milestones!$AA$143),"dd mmm yy"))&amp;" "&amp;Milestones!$AB$143&amp;" "&amp;Milestones!$AC$143&amp;";  ","")&amp;IF(AND(EDATE($D63,Milestones!$AA$144)&lt;=AsOfDate,IF($R63=0,$X63,IF(AND($T63&lt;&gt;"",EDATE($D63,Milestones!$AA$144)&gt;=$T63),$W63,IF(AND($S63&lt;&gt;"",EDATE($D63,Milestones!$AA$144)&gt;=$S63),$V63,$U63)))=Milestones!$AB$144),UPPER(TEXT(EDATE($D63,Milestones!$AA$144),"dd mmm yy"))&amp;" "&amp;Milestones!$AB$144&amp;" "&amp;Milestones!$AC$144&amp;";  ","")&amp;IF(AND(EDATE($D63,Milestones!$AA$145)&lt;=AsOfDate,IF($R63=0,$X63,IF(AND($T63&lt;&gt;"",EDATE($D63,Milestones!$AA$145)&gt;=$T63),$W63,IF(AND($S63&lt;&gt;"",EDATE($D63,Milestones!$AA$145)&gt;=$S63),$V63,$U63)))=Milestones!$AB$145),UPPER(TEXT(EDATE($D63,Milestones!$AA$145),"dd mmm yy"))&amp;" "&amp;Milestones!$AB$145&amp;" "&amp;Milestones!$AC$145&amp;";  ","")&amp;IF(AND(EDATE($D63,Milestones!$AA$146)&lt;=AsOfDate,IF($R63=0,$X63,IF(AND($T63&lt;&gt;"",EDATE($D63,Milestones!$AA$146)&gt;=$T63),$W63,IF(AND($S63&lt;&gt;"",EDATE($D63,Milestones!$AA$146)&gt;=$S63),$V63,$U63)))=Milestones!$AB$146),UPPER(TEXT(EDATE($D63,Milestones!$AA$146),"dd mmm yy"))&amp;" "&amp;Milestones!$AB$146&amp;" "&amp;Milestones!$AC$146&amp;";  ","")&amp;IF(AND(EDATE($D63,Milestones!$AA$147)&lt;=AsOfDate,IF($R63=0,$X63,IF(AND($T63&lt;&gt;"",EDATE($D63,Milestones!$AA$147)&gt;=$T63),$W63,IF(AND($S63&lt;&gt;"",EDATE($D63,Milestones!$AA$147)&gt;=$S63),$V63,$U63)))=Milestones!$AB$147),UPPER(TEXT(EDATE($D63,Milestones!$AA$147),"dd mmm yy"))&amp;" "&amp;Milestones!$AB$147&amp;" "&amp;Milestones!$AC$147&amp;";  ","")&amp;IF(AND(EDATE($D63,Milestones!$AA$148)&lt;=AsOfDate,IF($R63=0,$X63,IF(AND($T63&lt;&gt;"",EDATE($D63,Milestones!$AA$148)&gt;=$T63),$W63,IF(AND($S63&lt;&gt;"",EDATE($D63,Milestones!$AA$148)&gt;=$S63),$V63,$U63)))=Milestones!$AB$148),UPPER(TEXT(EDATE($D63,Milestones!$AA$148),"dd mmm yy"))&amp;" "&amp;Milestones!$AB$148&amp;" "&amp;Milestones!$AC$148&amp;";  ","")&amp;IF(AND(EDATE($D63,Milestones!$AA$149)&lt;=AsOfDate,IF($R63=0,$X63,IF(AND($T63&lt;&gt;"",EDATE($D63,Milestones!$AA$149)&gt;=$T63),$W63,IF(AND($S63&lt;&gt;"",EDATE($D63,Milestones!$AA$149)&gt;=$S63),$V63,$U63)))=Milestones!$AB$149),UPPER(TEXT(EDATE($D63,Milestones!$AA$149),"dd mmm yy"))&amp;" "&amp;Milestones!$AB$149&amp;" "&amp;Milestones!$AC$149&amp;";  ","")&amp;IF(AND(EDATE($D63,Milestones!$AA$150)&lt;=AsOfDate,IF($R63=0,$X63,IF(AND($T63&lt;&gt;"",EDATE($D63,Milestones!$AA$150)&gt;=$T63),$W63,IF(AND($S63&lt;&gt;"",EDATE($D63,Milestones!$AA$150)&gt;=$S63),$V63,$U63)))=Milestones!$AB$150),UPPER(TEXT(EDATE($D63,Milestones!$AA$150),"dd mmm yy"))&amp;" "&amp;Milestones!$AB$150&amp;" "&amp;Milestones!$AC$150&amp;";  ","")&amp;IF(AND(EDATE($D63,Milestones!$AA$151)&lt;=AsOfDate,IF($R63=0,$X63,IF(AND($T63&lt;&gt;"",EDATE($D63,Milestones!$AA$151)&gt;=$T63),$W63,IF(AND($S63&lt;&gt;"",EDATE($D63,Milestones!$AA$151)&gt;=$S63),$V63,$U63)))=Milestones!$AB$151),UPPER(TEXT(EDATE($D63,Milestones!$AA$151),"dd mmm yy"))&amp;" "&amp;Milestones!$AB$151&amp;" "&amp;Milestones!$AC$151&amp;";  ","")&amp;IF(AND(EDATE($D63,Milestones!$AA$152)&lt;=AsOfDate,IF($R63=0,$X63,IF(AND($T63&lt;&gt;"",EDATE($D63,Milestones!$AA$152)&gt;=$T63),$W63,IF(AND($S63&lt;&gt;"",EDATE($D63,Milestones!$AA$152)&gt;=$S63),$V63,$U63)))=Milestones!$AB$152),UPPER(TEXT(EDATE($D63,Milestones!$AA$152),"dd mmm yy"))&amp;" "&amp;Milestones!$AB$152&amp;" "&amp;Milestones!$AC$152&amp;";  ","")&amp;IF(AND(EDATE($D63,Milestones!$AA$153)&lt;=AsOfDate,IF($R63=0,$X63,IF(AND($T63&lt;&gt;"",EDATE($D63,Milestones!$AA$153)&gt;=$T63),$W63,IF(AND($S63&lt;&gt;"",EDATE($D63,Milestones!$AA$153)&gt;=$S63),$V63,$U63)))=Milestones!$AB$153),UPPER(TEXT(EDATE($D63,Milestones!$AA$153),"dd mmm yy"))&amp;" "&amp;Milestones!$AB$153&amp;" "&amp;Milestones!$AC$153&amp;";  ","")&amp;IF(AND(EDATE($D63,Milestones!$AA$154)&lt;=AsOfDate,IF($R63=0,$X63,IF(AND($T63&lt;&gt;"",EDATE($D63,Milestones!$AA$154)&gt;=$T63),$W63,IF(AND($S63&lt;&gt;"",EDATE($D63,Milestones!$AA$154)&gt;=$S63),$V63,$U63)))=Milestones!$AB$154),UPPER(TEXT(EDATE($D63,Milestones!$AA$154),"dd mmm yy"))&amp;" "&amp;Milestones!$AB$154&amp;" "&amp;Milestones!$AC$154&amp;";  ","")&amp;IF(AND(EDATE($D63,Milestones!$AA$155)&lt;=AsOfDate,IF($R63=0,$X63,IF(AND($T63&lt;&gt;"",EDATE($D63,Milestones!$AA$155)&gt;=$T63),$W63,IF(AND($S63&lt;&gt;"",EDATE($D63,Milestones!$AA$155)&gt;=$S63),$V63,$U63)))=Milestones!$AB$155),UPPER(TEXT(EDATE($D63,Milestones!$AA$155),"dd mmm yy"))&amp;" "&amp;Milestones!$AB$155&amp;" "&amp;Milestones!$AC$155&amp;";  ","")&amp;IF(AND(EDATE($D63,Milestones!$AA$156)&lt;=AsOfDate,IF($R63=0,$X63,IF(AND($T63&lt;&gt;"",EDATE($D63,Milestones!$AA$156)&gt;=$T63),$W63,IF(AND($S63&lt;&gt;"",EDATE($D63,Milestones!$AA$156)&gt;=$S63),$V63,$U63)))=Milestones!$AB$156),UPPER(TEXT(EDATE($D63,Milestones!$AA$156),"dd mmm yy"))&amp;" "&amp;Milestones!$AB$156&amp;" "&amp;Milestones!$AC$156&amp;";  ","")&amp;IF(AND(EDATE($D63,Milestones!$AA$157)&lt;=AsOfDate,IF($R63=0,$X63,IF(AND($T63&lt;&gt;"",EDATE($D63,Milestones!$AA$157)&gt;=$T63),$W63,IF(AND($S63&lt;&gt;"",EDATE($D63,Milestones!$AA$157)&gt;=$S63),$V63,$U63)))=Milestones!$AB$157),UPPER(TEXT(EDATE($D63,Milestones!$AA$157),"dd mmm yy"))&amp;" "&amp;Milestones!$AB$157&amp;" "&amp;Milestones!$AC$157&amp;";  ","")&amp;IF(AND(EDATE($D63,Milestones!$AA$158)&lt;=AsOfDate,IF($R63=0,$X63,IF(AND($T63&lt;&gt;"",EDATE($D63,Milestones!$AA$158)&gt;=$T63),$W63,IF(AND($S63&lt;&gt;"",EDATE($D63,Milestones!$AA$158)&gt;=$S63),$V63,$U63)))=Milestones!$AB$158),UPPER(TEXT(EDATE($D63,Milestones!$AA$158),"dd mmm yy"))&amp;" "&amp;Milestones!$AB$158&amp;" "&amp;Milestones!$AC$158&amp;";  ","")&amp;IF(AND(EDATE($D63,Milestones!$AA$159)&lt;=AsOfDate,IF($R63=0,$X63,IF(AND($T63&lt;&gt;"",EDATE($D63,Milestones!$AA$159)&gt;=$T63),$W63,IF(AND($S63&lt;&gt;"",EDATE($D63,Milestones!$AA$159)&gt;=$S63),$V63,$U63)))=Milestones!$AB$159),UPPER(TEXT(EDATE($D63,Milestones!$AA$159),"dd mmm yy"))&amp;" "&amp;Milestones!$AB$159&amp;" "&amp;Milestones!$AC$159&amp;";  ",""))</f>
        <v/>
      </c>
      <c r="P63" s="0" t="str">
        <f aca="false">IF(OR($A63="",$D63=""),"",IF(AND(EDATE($D63,Milestones!$AA$160)&lt;=AsOfDate,IF($R63=0,$X63,IF(AND($T63&lt;&gt;"",EDATE($D63,Milestones!$AA$160)&gt;=$T63),$W63,IF(AND($S63&lt;&gt;"",EDATE($D63,Milestones!$AA$160)&gt;=$S63),$V63,$U63)))=Milestones!$AB$160),UPPER(TEXT(EDATE($D63,Milestones!$AA$160),"dd mmm yy"))&amp;" "&amp;Milestones!$AB$160&amp;" "&amp;Milestones!$AC$160&amp;";  ","")&amp;IF(AND(EDATE($D63,Milestones!$AA$161)&lt;=AsOfDate,IF($R63=0,$X63,IF(AND($T63&lt;&gt;"",EDATE($D63,Milestones!$AA$161)&gt;=$T63),$W63,IF(AND($S63&lt;&gt;"",EDATE($D63,Milestones!$AA$161)&gt;=$S63),$V63,$U63)))=Milestones!$AB$161),UPPER(TEXT(EDATE($D63,Milestones!$AA$161),"dd mmm yy"))&amp;" "&amp;Milestones!$AB$161&amp;" "&amp;Milestones!$AC$161&amp;";  ","")&amp;IF(AND(EDATE($D63,Milestones!$AA$162)&lt;=AsOfDate,IF($R63=0,$X63,IF(AND($T63&lt;&gt;"",EDATE($D63,Milestones!$AA$162)&gt;=$T63),$W63,IF(AND($S63&lt;&gt;"",EDATE($D63,Milestones!$AA$162)&gt;=$S63),$V63,$U63)))=Milestones!$AB$162),UPPER(TEXT(EDATE($D63,Milestones!$AA$162),"dd mmm yy"))&amp;" "&amp;Milestones!$AB$162&amp;" "&amp;Milestones!$AC$162&amp;";  ","")&amp;IF(AND(EDATE($D63,Milestones!$AA$163)&lt;=AsOfDate,IF($R63=0,$X63,IF(AND($T63&lt;&gt;"",EDATE($D63,Milestones!$AA$163)&gt;=$T63),$W63,IF(AND($S63&lt;&gt;"",EDATE($D63,Milestones!$AA$163)&gt;=$S63),$V63,$U63)))=Milestones!$AB$163),UPPER(TEXT(EDATE($D63,Milestones!$AA$163),"dd mmm yy"))&amp;" "&amp;Milestones!$AB$163&amp;" "&amp;Milestones!$AC$163&amp;";  ","")&amp;IF(AND(EDATE($D63,Milestones!$AA$164)&lt;=AsOfDate,IF($R63=0,$X63,IF(AND($T63&lt;&gt;"",EDATE($D63,Milestones!$AA$164)&gt;=$T63),$W63,IF(AND($S63&lt;&gt;"",EDATE($D63,Milestones!$AA$164)&gt;=$S63),$V63,$U63)))=Milestones!$AB$164),UPPER(TEXT(EDATE($D63,Milestones!$AA$164),"dd mmm yy"))&amp;" "&amp;Milestones!$AB$164&amp;" "&amp;Milestones!$AC$164&amp;";  ","")&amp;IF(AND(EDATE($D63,Milestones!$AA$165)&lt;=AsOfDate,IF($R63=0,$X63,IF(AND($T63&lt;&gt;"",EDATE($D63,Milestones!$AA$165)&gt;=$T63),$W63,IF(AND($S63&lt;&gt;"",EDATE($D63,Milestones!$AA$165)&gt;=$S63),$V63,$U63)))=Milestones!$AB$165),UPPER(TEXT(EDATE($D63,Milestones!$AA$165),"dd mmm yy"))&amp;" "&amp;Milestones!$AB$165&amp;" "&amp;Milestones!$AC$165&amp;";  ","")&amp;IF(AND(EDATE($D63,Milestones!$AA$166)&lt;=AsOfDate,IF($R63=0,$X63,IF(AND($T63&lt;&gt;"",EDATE($D63,Milestones!$AA$166)&gt;=$T63),$W63,IF(AND($S63&lt;&gt;"",EDATE($D63,Milestones!$AA$166)&gt;=$S63),$V63,$U63)))=Milestones!$AB$166),UPPER(TEXT(EDATE($D63,Milestones!$AA$166),"dd mmm yy"))&amp;" "&amp;Milestones!$AB$166&amp;" "&amp;Milestones!$AC$166&amp;";  ","")&amp;IF(AND(EDATE($D63,Milestones!$AA$167)&lt;=AsOfDate,IF($R63=0,$X63,IF(AND($T63&lt;&gt;"",EDATE($D63,Milestones!$AA$167)&gt;=$T63),$W63,IF(AND($S63&lt;&gt;"",EDATE($D63,Milestones!$AA$167)&gt;=$S63),$V63,$U63)))=Milestones!$AB$167),UPPER(TEXT(EDATE($D63,Milestones!$AA$167),"dd mmm yy"))&amp;" "&amp;Milestones!$AB$167&amp;" "&amp;Milestones!$AC$167&amp;";  ","")&amp;IF(AND(EDATE($D63,Milestones!$AA$168)&lt;=AsOfDate,IF($R63=0,$X63,IF(AND($T63&lt;&gt;"",EDATE($D63,Milestones!$AA$168)&gt;=$T63),$W63,IF(AND($S63&lt;&gt;"",EDATE($D63,Milestones!$AA$168)&gt;=$S63),$V63,$U63)))=Milestones!$AB$168),UPPER(TEXT(EDATE($D63,Milestones!$AA$168),"dd mmm yy"))&amp;" "&amp;Milestones!$AB$168&amp;" "&amp;Milestones!$AC$168&amp;";  ","")&amp;IF(AND(EDATE($D63,Milestones!$AA$169)&lt;=AsOfDate,IF($R63=0,$X63,IF(AND($T63&lt;&gt;"",EDATE($D63,Milestones!$AA$169)&gt;=$T63),$W63,IF(AND($S63&lt;&gt;"",EDATE($D63,Milestones!$AA$169)&gt;=$S63),$V63,$U63)))=Milestones!$AB$169),UPPER(TEXT(EDATE($D63,Milestones!$AA$169),"dd mmm yy"))&amp;" "&amp;Milestones!$AB$169&amp;" "&amp;Milestones!$AC$169&amp;";  ","")&amp;IF(AND(EDATE($D63,Milestones!$AA$170)&lt;=AsOfDate,IF($R63=0,$X63,IF(AND($T63&lt;&gt;"",EDATE($D63,Milestones!$AA$170)&gt;=$T63),$W63,IF(AND($S63&lt;&gt;"",EDATE($D63,Milestones!$AA$170)&gt;=$S63),$V63,$U63)))=Milestones!$AB$170),UPPER(TEXT(EDATE($D63,Milestones!$AA$170),"dd mmm yy"))&amp;" "&amp;Milestones!$AB$170&amp;" "&amp;Milestones!$AC$170&amp;";  ","")&amp;IF(AND(EDATE($D63,Milestones!$AA$171)&lt;=AsOfDate,IF($R63=0,$X63,IF(AND($T63&lt;&gt;"",EDATE($D63,Milestones!$AA$171)&gt;=$T63),$W63,IF(AND($S63&lt;&gt;"",EDATE($D63,Milestones!$AA$171)&gt;=$S63),$V63,$U63)))=Milestones!$AB$171),UPPER(TEXT(EDATE($D63,Milestones!$AA$171),"dd mmm yy"))&amp;" "&amp;Milestones!$AB$171&amp;" "&amp;Milestones!$AC$171&amp;";  ","")&amp;IF(AND(EDATE($D63,Milestones!$AA$172)&lt;=AsOfDate,IF($R63=0,$X63,IF(AND($T63&lt;&gt;"",EDATE($D63,Milestones!$AA$172)&gt;=$T63),$W63,IF(AND($S63&lt;&gt;"",EDATE($D63,Milestones!$AA$172)&gt;=$S63),$V63,$U63)))=Milestones!$AB$172),UPPER(TEXT(EDATE($D63,Milestones!$AA$172),"dd mmm yy"))&amp;" "&amp;Milestones!$AB$172&amp;" "&amp;Milestones!$AC$172&amp;";  ","")&amp;IF(AND(EDATE($D63,Milestones!$AA$173)&lt;=AsOfDate,IF($R63=0,$X63,IF(AND($T63&lt;&gt;"",EDATE($D63,Milestones!$AA$173)&gt;=$T63),$W63,IF(AND($S63&lt;&gt;"",EDATE($D63,Milestones!$AA$173)&gt;=$S63),$V63,$U63)))=Milestones!$AB$173),UPPER(TEXT(EDATE($D63,Milestones!$AA$173),"dd mmm yy"))&amp;" "&amp;Milestones!$AB$173&amp;" "&amp;Milestones!$AC$173&amp;";  ","")&amp;IF(AND(EDATE($D63,Milestones!$AA$174)&lt;=AsOfDate,IF($R63=0,$X63,IF(AND($T63&lt;&gt;"",EDATE($D63,Milestones!$AA$174)&gt;=$T63),$W63,IF(AND($S63&lt;&gt;"",EDATE($D63,Milestones!$AA$174)&gt;=$S63),$V63,$U63)))=Milestones!$AB$174),UPPER(TEXT(EDATE($D63,Milestones!$AA$174),"dd mmm yy"))&amp;" "&amp;Milestones!$AB$174&amp;" "&amp;Milestones!$AC$174&amp;";  ","")&amp;IF(AND(EDATE($D63,Milestones!$AA$175)&lt;=AsOfDate,IF($R63=0,$X63,IF(AND($T63&lt;&gt;"",EDATE($D63,Milestones!$AA$175)&gt;=$T63),$W63,IF(AND($S63&lt;&gt;"",EDATE($D63,Milestones!$AA$175)&gt;=$S63),$V63,$U63)))=Milestones!$AB$175),UPPER(TEXT(EDATE($D63,Milestones!$AA$175),"dd mmm yy"))&amp;" "&amp;Milestones!$AB$175&amp;" "&amp;Milestones!$AC$175&amp;";  ","")&amp;IF(AND(EDATE($D63,Milestones!$AA$176)&lt;=AsOfDate,IF($R63=0,$X63,IF(AND($T63&lt;&gt;"",EDATE($D63,Milestones!$AA$176)&gt;=$T63),$W63,IF(AND($S63&lt;&gt;"",EDATE($D63,Milestones!$AA$176)&gt;=$S63),$V63,$U63)))=Milestones!$AB$176),UPPER(TEXT(EDATE($D63,Milestones!$AA$176),"dd mmm yy"))&amp;" "&amp;Milestones!$AB$176&amp;" "&amp;Milestones!$AC$176&amp;";  ","")&amp;IF(AND(EDATE($D63,Milestones!$AA$177)&lt;=AsOfDate,IF($R63=0,$X63,IF(AND($T63&lt;&gt;"",EDATE($D63,Milestones!$AA$177)&gt;=$T63),$W63,IF(AND($S63&lt;&gt;"",EDATE($D63,Milestones!$AA$177)&gt;=$S63),$V63,$U63)))=Milestones!$AB$177),UPPER(TEXT(EDATE($D63,Milestones!$AA$177),"dd mmm yy"))&amp;" "&amp;Milestones!$AB$177&amp;" "&amp;Milestones!$AC$177&amp;";  ","")&amp;IF(AND(EDATE($D63,Milestones!$AA$178)&lt;=AsOfDate,IF($R63=0,$X63,IF(AND($T63&lt;&gt;"",EDATE($D63,Milestones!$AA$178)&gt;=$T63),$W63,IF(AND($S63&lt;&gt;"",EDATE($D63,Milestones!$AA$178)&gt;=$S63),$V63,$U63)))=Milestones!$AB$178),UPPER(TEXT(EDATE($D63,Milestones!$AA$178),"dd mmm yy"))&amp;" "&amp;Milestones!$AB$178&amp;" "&amp;Milestones!$AC$178&amp;";  ","")&amp;IF(AND(EDATE($D63,Milestones!$AA$179)&lt;=AsOfDate,IF($R63=0,$X63,IF(AND($T63&lt;&gt;"",EDATE($D63,Milestones!$AA$179)&gt;=$T63),$W63,IF(AND($S63&lt;&gt;"",EDATE($D63,Milestones!$AA$179)&gt;=$S63),$V63,$U63)))=Milestones!$AB$179),UPPER(TEXT(EDATE($D63,Milestones!$AA$179),"dd mmm yy"))&amp;" "&amp;Milestones!$AB$179&amp;" "&amp;Milestones!$AC$179&amp;";  ",""))</f>
        <v/>
      </c>
      <c r="Q63" s="0" t="str">
        <f aca="false">IF(OR($A63="",$D63=""),"",IF(AND(EDATE($D63,Milestones!$AA$180)&lt;=AsOfDate,IF($R63=0,$X63,IF(AND($T63&lt;&gt;"",EDATE($D63,Milestones!$AA$180)&gt;=$T63),$W63,IF(AND($S63&lt;&gt;"",EDATE($D63,Milestones!$AA$180)&gt;=$S63),$V63,$U63)))=Milestones!$AB$180),UPPER(TEXT(EDATE($D63,Milestones!$AA$180),"dd mmm yy"))&amp;" "&amp;Milestones!$AB$180&amp;" "&amp;Milestones!$AC$180&amp;";  ","")&amp;IF(AND(EDATE($D63,Milestones!$AA$181)&lt;=AsOfDate,IF($R63=0,$X63,IF(AND($T63&lt;&gt;"",EDATE($D63,Milestones!$AA$181)&gt;=$T63),$W63,IF(AND($S63&lt;&gt;"",EDATE($D63,Milestones!$AA$181)&gt;=$S63),$V63,$U63)))=Milestones!$AB$181),UPPER(TEXT(EDATE($D63,Milestones!$AA$181),"dd mmm yy"))&amp;" "&amp;Milestones!$AB$181&amp;" "&amp;Milestones!$AC$181&amp;";  ","")&amp;IF(AND(EDATE($D63,Milestones!$AA$182)&lt;=AsOfDate,IF($R63=0,$X63,IF(AND($T63&lt;&gt;"",EDATE($D63,Milestones!$AA$182)&gt;=$T63),$W63,IF(AND($S63&lt;&gt;"",EDATE($D63,Milestones!$AA$182)&gt;=$S63),$V63,$U63)))=Milestones!$AB$182),UPPER(TEXT(EDATE($D63,Milestones!$AA$182),"dd mmm yy"))&amp;" "&amp;Milestones!$AB$182&amp;" "&amp;Milestones!$AC$182&amp;";  ","")&amp;IF(AND(EDATE($D63,Milestones!$AA$183)&lt;=AsOfDate,IF($R63=0,$X63,IF(AND($T63&lt;&gt;"",EDATE($D63,Milestones!$AA$183)&gt;=$T63),$W63,IF(AND($S63&lt;&gt;"",EDATE($D63,Milestones!$AA$183)&gt;=$S63),$V63,$U63)))=Milestones!$AB$183),UPPER(TEXT(EDATE($D63,Milestones!$AA$183),"dd mmm yy"))&amp;" "&amp;Milestones!$AB$183&amp;" "&amp;Milestones!$AC$183&amp;";  ","")&amp;IF(AND(EDATE($D63,Milestones!$AA$184)&lt;=AsOfDate,IF($R63=0,$X63,IF(AND($T63&lt;&gt;"",EDATE($D63,Milestones!$AA$184)&gt;=$T63),$W63,IF(AND($S63&lt;&gt;"",EDATE($D63,Milestones!$AA$184)&gt;=$S63),$V63,$U63)))=Milestones!$AB$184),UPPER(TEXT(EDATE($D63,Milestones!$AA$184),"dd mmm yy"))&amp;" "&amp;Milestones!$AB$184&amp;" "&amp;Milestones!$AC$184&amp;";  ","")&amp;IF(AND(EDATE($D63,Milestones!$AA$185)&lt;=AsOfDate,IF($R63=0,$X63,IF(AND($T63&lt;&gt;"",EDATE($D63,Milestones!$AA$185)&gt;=$T63),$W63,IF(AND($S63&lt;&gt;"",EDATE($D63,Milestones!$AA$185)&gt;=$S63),$V63,$U63)))=Milestones!$AB$185),UPPER(TEXT(EDATE($D63,Milestones!$AA$185),"dd mmm yy"))&amp;" "&amp;Milestones!$AB$185&amp;" "&amp;Milestones!$AC$185&amp;";  ","")&amp;IF(AND(EDATE($D63,Milestones!$AA$186)&lt;=AsOfDate,IF($R63=0,$X63,IF(AND($T63&lt;&gt;"",EDATE($D63,Milestones!$AA$186)&gt;=$T63),$W63,IF(AND($S63&lt;&gt;"",EDATE($D63,Milestones!$AA$186)&gt;=$S63),$V63,$U63)))=Milestones!$AB$186),UPPER(TEXT(EDATE($D63,Milestones!$AA$186),"dd mmm yy"))&amp;" "&amp;Milestones!$AB$186&amp;" "&amp;Milestones!$AC$186&amp;";  ","")&amp;IF(AND(EDATE($D63,Milestones!$AA$187)&lt;=AsOfDate,IF($R63=0,$X63,IF(AND($T63&lt;&gt;"",EDATE($D63,Milestones!$AA$187)&gt;=$T63),$W63,IF(AND($S63&lt;&gt;"",EDATE($D63,Milestones!$AA$187)&gt;=$S63),$V63,$U63)))=Milestones!$AB$187),UPPER(TEXT(EDATE($D63,Milestones!$AA$187),"dd mmm yy"))&amp;" "&amp;Milestones!$AB$187&amp;" "&amp;Milestones!$AC$187&amp;";  ","")&amp;IF(AND(EDATE($D63,Milestones!$AA$188)&lt;=AsOfDate,IF($R63=0,$X63,IF(AND($T63&lt;&gt;"",EDATE($D63,Milestones!$AA$188)&gt;=$T63),$W63,IF(AND($S63&lt;&gt;"",EDATE($D63,Milestones!$AA$188)&gt;=$S63),$V63,$U63)))=Milestones!$AB$188),UPPER(TEXT(EDATE($D63,Milestones!$AA$188),"dd mmm yy"))&amp;" "&amp;Milestones!$AB$188&amp;" "&amp;Milestones!$AC$188&amp;";  ","")&amp;IF(AND(EDATE($D63,Milestones!$AA$189)&lt;=AsOfDate,IF($R63=0,$X63,IF(AND($T63&lt;&gt;"",EDATE($D63,Milestones!$AA$189)&gt;=$T63),$W63,IF(AND($S63&lt;&gt;"",EDATE($D63,Milestones!$AA$189)&gt;=$S63),$V63,$U63)))=Milestones!$AB$189),UPPER(TEXT(EDATE($D63,Milestones!$AA$189),"dd mmm yy"))&amp;" "&amp;Milestones!$AB$189&amp;" "&amp;Milestones!$AC$189&amp;";  ","")&amp;IF(AND(EDATE($D63,Milestones!$AA$190)&lt;=AsOfDate,IF($R63=0,$X63,IF(AND($T63&lt;&gt;"",EDATE($D63,Milestones!$AA$190)&gt;=$T63),$W63,IF(AND($S63&lt;&gt;"",EDATE($D63,Milestones!$AA$190)&gt;=$S63),$V63,$U63)))=Milestones!$AB$190),UPPER(TEXT(EDATE($D63,Milestones!$AA$190),"dd mmm yy"))&amp;" "&amp;Milestones!$AB$190&amp;" "&amp;Milestones!$AC$190&amp;";  ","")&amp;IF(AND(EDATE($D63,Milestones!$AA$191)&lt;=AsOfDate,IF($R63=0,$X63,IF(AND($T63&lt;&gt;"",EDATE($D63,Milestones!$AA$191)&gt;=$T63),$W63,IF(AND($S63&lt;&gt;"",EDATE($D63,Milestones!$AA$191)&gt;=$S63),$V63,$U63)))=Milestones!$AB$191),UPPER(TEXT(EDATE($D63,Milestones!$AA$191),"dd mmm yy"))&amp;" "&amp;Milestones!$AB$191&amp;" "&amp;Milestones!$AC$191&amp;";  ","")&amp;IF(AND(EDATE($D63,Milestones!$AA$192)&lt;=AsOfDate,IF($R63=0,$X63,IF(AND($T63&lt;&gt;"",EDATE($D63,Milestones!$AA$192)&gt;=$T63),$W63,IF(AND($S63&lt;&gt;"",EDATE($D63,Milestones!$AA$192)&gt;=$S63),$V63,$U63)))=Milestones!$AB$192),UPPER(TEXT(EDATE($D63,Milestones!$AA$192),"dd mmm yy"))&amp;" "&amp;Milestones!$AB$192&amp;" "&amp;Milestones!$AC$192&amp;";  ","")&amp;IF(AND(EDATE($D63,Milestones!$AA$193)&lt;=AsOfDate,IF($R63=0,$X63,IF(AND($T63&lt;&gt;"",EDATE($D63,Milestones!$AA$193)&gt;=$T63),$W63,IF(AND($S63&lt;&gt;"",EDATE($D63,Milestones!$AA$193)&gt;=$S63),$V63,$U63)))=Milestones!$AB$193),UPPER(TEXT(EDATE($D63,Milestones!$AA$193),"dd mmm yy"))&amp;" "&amp;Milestones!$AB$193&amp;" "&amp;Milestones!$AC$193&amp;";  ","")&amp;IF(AND(EDATE($D63,Milestones!$AA$194)&lt;=AsOfDate,IF($R63=0,$X63,IF(AND($T63&lt;&gt;"",EDATE($D63,Milestones!$AA$194)&gt;=$T63),$W63,IF(AND($S63&lt;&gt;"",EDATE($D63,Milestones!$AA$194)&gt;=$S63),$V63,$U63)))=Milestones!$AB$194),UPPER(TEXT(EDATE($D63,Milestones!$AA$194),"dd mmm yy"))&amp;" "&amp;Milestones!$AB$194&amp;" "&amp;Milestones!$AC$194&amp;";  ","")&amp;IF(AND(EDATE($D63,Milestones!$AA$195)&lt;=AsOfDate,IF($R63=0,$X63,IF(AND($T63&lt;&gt;"",EDATE($D63,Milestones!$AA$195)&gt;=$T63),$W63,IF(AND($S63&lt;&gt;"",EDATE($D63,Milestones!$AA$195)&gt;=$S63),$V63,$U63)))=Milestones!$AB$195),UPPER(TEXT(EDATE($D63,Milestones!$AA$195),"dd mmm yy"))&amp;" "&amp;Milestones!$AB$195&amp;" "&amp;Milestones!$AC$195&amp;";  ","")&amp;IF(AND(EDATE($D63,Milestones!$AA$196)&lt;=AsOfDate,IF($R63=0,$X63,IF(AND($T63&lt;&gt;"",EDATE($D63,Milestones!$AA$196)&gt;=$T63),$W63,IF(AND($S63&lt;&gt;"",EDATE($D63,Milestones!$AA$196)&gt;=$S63),$V63,$U63)))=Milestones!$AB$196),UPPER(TEXT(EDATE($D63,Milestones!$AA$196),"dd mmm yy"))&amp;" "&amp;Milestones!$AB$196&amp;" "&amp;Milestones!$AC$196&amp;";  ","")&amp;IF(AND(EDATE($D63,Milestones!$AA$197)&lt;=AsOfDate,IF($R63=0,$X63,IF(AND($T63&lt;&gt;"",EDATE($D63,Milestones!$AA$197)&gt;=$T63),$W63,IF(AND($S63&lt;&gt;"",EDATE($D63,Milestones!$AA$197)&gt;=$S63),$V63,$U63)))=Milestones!$AB$197),UPPER(TEXT(EDATE($D63,Milestones!$AA$197),"dd mmm yy"))&amp;" "&amp;Milestones!$AB$197&amp;" "&amp;Milestones!$AC$197&amp;";  ","")&amp;IF(AND(EDATE($D63,Milestones!$AA$198)&lt;=AsOfDate,IF($R63=0,$X63,IF(AND($T63&lt;&gt;"",EDATE($D63,Milestones!$AA$198)&gt;=$T63),$W63,IF(AND($S63&lt;&gt;"",EDATE($D63,Milestones!$AA$198)&gt;=$S63),$V63,$U63)))=Milestones!$AB$198),UPPER(TEXT(EDATE($D63,Milestones!$AA$198),"dd mmm yy"))&amp;" "&amp;Milestones!$AB$198&amp;" "&amp;Milestones!$AC$198&amp;";  ","")&amp;IF(AND(EDATE($D63,Milestones!$AA$199)&lt;=AsOfDate,IF($R63=0,$X63,IF(AND($T63&lt;&gt;"",EDATE($D63,Milestones!$AA$199)&gt;=$T63),$W63,IF(AND($S63&lt;&gt;"",EDATE($D63,Milestones!$AA$199)&gt;=$S63),$V63,$U63)))=Milestones!$AB$199),UPPER(TEXT(EDATE($D63,Milestones!$AA$199),"dd mmm yy"))&amp;" "&amp;Milestones!$AB$199&amp;" "&amp;Milestones!$AC$199&amp;";  ",""))</f>
        <v/>
      </c>
      <c r="R63" s="33" t="n">
        <f aca="false">IF(Staff!$A63="","",Staff!$AI63)</f>
        <v>2</v>
      </c>
      <c r="S63" s="23" t="n">
        <f aca="false">IF(Staff!$A63="","",Staff!$AK63)</f>
        <v>46167</v>
      </c>
      <c r="T63" s="0" t="str">
        <f aca="false">IF(Staff!$A63="","",Staff!$AL63)</f>
        <v/>
      </c>
      <c r="U63" s="0" t="str">
        <f aca="false">IF(Staff!$A63="","",Staff!$AP63)</f>
        <v>None</v>
      </c>
      <c r="V63" s="0" t="str">
        <f aca="false">IF(Staff!$A63="","",Staff!$AQ63)</f>
        <v>FT</v>
      </c>
      <c r="W63" s="0" t="str">
        <f aca="false">IF(Staff!$A63="","",Staff!$AR63)</f>
        <v/>
      </c>
      <c r="X63" s="0" t="str">
        <f aca="false">IF(Staff!$A63="","",Staff!$AS63)</f>
        <v>FT</v>
      </c>
    </row>
    <row r="64" customFormat="false" ht="15" hidden="false" customHeight="false" outlineLevel="0" collapsed="false">
      <c r="A64" s="19" t="str">
        <f aca="false">IF(Staff!$A64="","",Staff!$A64)</f>
        <v>Sebastien</v>
      </c>
      <c r="B64" s="19" t="str">
        <f aca="false">IF(Staff!$A64="","",Staff!$B64)</f>
        <v>Hathaway</v>
      </c>
      <c r="C64" s="19" t="str">
        <f aca="false">IF(Staff!$A64="","",Staff!$C64)</f>
        <v>Full-Time</v>
      </c>
      <c r="D64" s="17" t="n">
        <f aca="false">IF(Staff!$A64="","",Staff!$AH64)</f>
        <v>45628</v>
      </c>
      <c r="E64" s="20" t="n">
        <f aca="false">IF(Staff!$A64="","",Staff!$O64)</f>
        <v>0</v>
      </c>
      <c r="F64" s="19" t="n">
        <f aca="false">IF(E64="","",E64*HoursPerDay)</f>
        <v>0</v>
      </c>
      <c r="G64" s="20" t="n">
        <f aca="false">IF(Staff!$A64="","",Staff!$AE64)</f>
        <v>0</v>
      </c>
      <c r="H64" s="32" t="str">
        <f aca="false">IF($A64="","",I64&amp;J64&amp;K64&amp;L64&amp;M64&amp;N64&amp;O64&amp;P64&amp;Q64)</f>
        <v/>
      </c>
      <c r="I64" s="0" t="str">
        <f aca="false">IF(OR($A64="",$D64=""),"",IF(AND(EDATE($D64,Milestones!$AA$20)&lt;=AsOfDate,IF($R64=0,$X64,IF(AND($T64&lt;&gt;"",EDATE($D64,Milestones!$AA$20)&gt;=$T64),$W64,IF(AND($S64&lt;&gt;"",EDATE($D64,Milestones!$AA$20)&gt;=$S64),$V64,$U64)))=Milestones!$AB$20),UPPER(TEXT(EDATE($D64,Milestones!$AA$20),"dd mmm yy"))&amp;" "&amp;Milestones!$AB$20&amp;" "&amp;Milestones!$AC$20&amp;";  ","")&amp;IF(AND(EDATE($D64,Milestones!$AA$21)&lt;=AsOfDate,IF($R64=0,$X64,IF(AND($T64&lt;&gt;"",EDATE($D64,Milestones!$AA$21)&gt;=$T64),$W64,IF(AND($S64&lt;&gt;"",EDATE($D64,Milestones!$AA$21)&gt;=$S64),$V64,$U64)))=Milestones!$AB$21),UPPER(TEXT(EDATE($D64,Milestones!$AA$21),"dd mmm yy"))&amp;" "&amp;Milestones!$AB$21&amp;" "&amp;Milestones!$AC$21&amp;";  ","")&amp;IF(AND(EDATE($D64,Milestones!$AA$22)&lt;=AsOfDate,IF($R64=0,$X64,IF(AND($T64&lt;&gt;"",EDATE($D64,Milestones!$AA$22)&gt;=$T64),$W64,IF(AND($S64&lt;&gt;"",EDATE($D64,Milestones!$AA$22)&gt;=$S64),$V64,$U64)))=Milestones!$AB$22),UPPER(TEXT(EDATE($D64,Milestones!$AA$22),"dd mmm yy"))&amp;" "&amp;Milestones!$AB$22&amp;" "&amp;Milestones!$AC$22&amp;";  ","")&amp;IF(AND(EDATE($D64,Milestones!$AA$23)&lt;=AsOfDate,IF($R64=0,$X64,IF(AND($T64&lt;&gt;"",EDATE($D64,Milestones!$AA$23)&gt;=$T64),$W64,IF(AND($S64&lt;&gt;"",EDATE($D64,Milestones!$AA$23)&gt;=$S64),$V64,$U64)))=Milestones!$AB$23),UPPER(TEXT(EDATE($D64,Milestones!$AA$23),"dd mmm yy"))&amp;" "&amp;Milestones!$AB$23&amp;" "&amp;Milestones!$AC$23&amp;";  ","")&amp;IF(AND(EDATE($D64,Milestones!$AA$24)&lt;=AsOfDate,IF($R64=0,$X64,IF(AND($T64&lt;&gt;"",EDATE($D64,Milestones!$AA$24)&gt;=$T64),$W64,IF(AND($S64&lt;&gt;"",EDATE($D64,Milestones!$AA$24)&gt;=$S64),$V64,$U64)))=Milestones!$AB$24),UPPER(TEXT(EDATE($D64,Milestones!$AA$24),"dd mmm yy"))&amp;" "&amp;Milestones!$AB$24&amp;" "&amp;Milestones!$AC$24&amp;";  ","")&amp;IF(AND(EDATE($D64,Milestones!$AA$25)&lt;=AsOfDate,IF($R64=0,$X64,IF(AND($T64&lt;&gt;"",EDATE($D64,Milestones!$AA$25)&gt;=$T64),$W64,IF(AND($S64&lt;&gt;"",EDATE($D64,Milestones!$AA$25)&gt;=$S64),$V64,$U64)))=Milestones!$AB$25),UPPER(TEXT(EDATE($D64,Milestones!$AA$25),"dd mmm yy"))&amp;" "&amp;Milestones!$AB$25&amp;" "&amp;Milestones!$AC$25&amp;";  ","")&amp;IF(AND(EDATE($D64,Milestones!$AA$26)&lt;=AsOfDate,IF($R64=0,$X64,IF(AND($T64&lt;&gt;"",EDATE($D64,Milestones!$AA$26)&gt;=$T64),$W64,IF(AND($S64&lt;&gt;"",EDATE($D64,Milestones!$AA$26)&gt;=$S64),$V64,$U64)))=Milestones!$AB$26),UPPER(TEXT(EDATE($D64,Milestones!$AA$26),"dd mmm yy"))&amp;" "&amp;Milestones!$AB$26&amp;" "&amp;Milestones!$AC$26&amp;";  ","")&amp;IF(AND(EDATE($D64,Milestones!$AA$27)&lt;=AsOfDate,IF($R64=0,$X64,IF(AND($T64&lt;&gt;"",EDATE($D64,Milestones!$AA$27)&gt;=$T64),$W64,IF(AND($S64&lt;&gt;"",EDATE($D64,Milestones!$AA$27)&gt;=$S64),$V64,$U64)))=Milestones!$AB$27),UPPER(TEXT(EDATE($D64,Milestones!$AA$27),"dd mmm yy"))&amp;" "&amp;Milestones!$AB$27&amp;" "&amp;Milestones!$AC$27&amp;";  ","")&amp;IF(AND(EDATE($D64,Milestones!$AA$28)&lt;=AsOfDate,IF($R64=0,$X64,IF(AND($T64&lt;&gt;"",EDATE($D64,Milestones!$AA$28)&gt;=$T64),$W64,IF(AND($S64&lt;&gt;"",EDATE($D64,Milestones!$AA$28)&gt;=$S64),$V64,$U64)))=Milestones!$AB$28),UPPER(TEXT(EDATE($D64,Milestones!$AA$28),"dd mmm yy"))&amp;" "&amp;Milestones!$AB$28&amp;" "&amp;Milestones!$AC$28&amp;";  ","")&amp;IF(AND(EDATE($D64,Milestones!$AA$29)&lt;=AsOfDate,IF($R64=0,$X64,IF(AND($T64&lt;&gt;"",EDATE($D64,Milestones!$AA$29)&gt;=$T64),$W64,IF(AND($S64&lt;&gt;"",EDATE($D64,Milestones!$AA$29)&gt;=$S64),$V64,$U64)))=Milestones!$AB$29),UPPER(TEXT(EDATE($D64,Milestones!$AA$29),"dd mmm yy"))&amp;" "&amp;Milestones!$AB$29&amp;" "&amp;Milestones!$AC$29&amp;";  ","")&amp;IF(AND(EDATE($D64,Milestones!$AA$30)&lt;=AsOfDate,IF($R64=0,$X64,IF(AND($T64&lt;&gt;"",EDATE($D64,Milestones!$AA$30)&gt;=$T64),$W64,IF(AND($S64&lt;&gt;"",EDATE($D64,Milestones!$AA$30)&gt;=$S64),$V64,$U64)))=Milestones!$AB$30),UPPER(TEXT(EDATE($D64,Milestones!$AA$30),"dd mmm yy"))&amp;" "&amp;Milestones!$AB$30&amp;" "&amp;Milestones!$AC$30&amp;";  ","")&amp;IF(AND(EDATE($D64,Milestones!$AA$31)&lt;=AsOfDate,IF($R64=0,$X64,IF(AND($T64&lt;&gt;"",EDATE($D64,Milestones!$AA$31)&gt;=$T64),$W64,IF(AND($S64&lt;&gt;"",EDATE($D64,Milestones!$AA$31)&gt;=$S64),$V64,$U64)))=Milestones!$AB$31),UPPER(TEXT(EDATE($D64,Milestones!$AA$31),"dd mmm yy"))&amp;" "&amp;Milestones!$AB$31&amp;" "&amp;Milestones!$AC$31&amp;";  ","")&amp;IF(AND(EDATE($D64,Milestones!$AA$32)&lt;=AsOfDate,IF($R64=0,$X64,IF(AND($T64&lt;&gt;"",EDATE($D64,Milestones!$AA$32)&gt;=$T64),$W64,IF(AND($S64&lt;&gt;"",EDATE($D64,Milestones!$AA$32)&gt;=$S64),$V64,$U64)))=Milestones!$AB$32),UPPER(TEXT(EDATE($D64,Milestones!$AA$32),"dd mmm yy"))&amp;" "&amp;Milestones!$AB$32&amp;" "&amp;Milestones!$AC$32&amp;";  ","")&amp;IF(AND(EDATE($D64,Milestones!$AA$33)&lt;=AsOfDate,IF($R64=0,$X64,IF(AND($T64&lt;&gt;"",EDATE($D64,Milestones!$AA$33)&gt;=$T64),$W64,IF(AND($S64&lt;&gt;"",EDATE($D64,Milestones!$AA$33)&gt;=$S64),$V64,$U64)))=Milestones!$AB$33),UPPER(TEXT(EDATE($D64,Milestones!$AA$33),"dd mmm yy"))&amp;" "&amp;Milestones!$AB$33&amp;" "&amp;Milestones!$AC$33&amp;";  ","")&amp;IF(AND(EDATE($D64,Milestones!$AA$34)&lt;=AsOfDate,IF($R64=0,$X64,IF(AND($T64&lt;&gt;"",EDATE($D64,Milestones!$AA$34)&gt;=$T64),$W64,IF(AND($S64&lt;&gt;"",EDATE($D64,Milestones!$AA$34)&gt;=$S64),$V64,$U64)))=Milestones!$AB$34),UPPER(TEXT(EDATE($D64,Milestones!$AA$34),"dd mmm yy"))&amp;" "&amp;Milestones!$AB$34&amp;" "&amp;Milestones!$AC$34&amp;";  ","")&amp;IF(AND(EDATE($D64,Milestones!$AA$35)&lt;=AsOfDate,IF($R64=0,$X64,IF(AND($T64&lt;&gt;"",EDATE($D64,Milestones!$AA$35)&gt;=$T64),$W64,IF(AND($S64&lt;&gt;"",EDATE($D64,Milestones!$AA$35)&gt;=$S64),$V64,$U64)))=Milestones!$AB$35),UPPER(TEXT(EDATE($D64,Milestones!$AA$35),"dd mmm yy"))&amp;" "&amp;Milestones!$AB$35&amp;" "&amp;Milestones!$AC$35&amp;";  ","")&amp;IF(AND(EDATE($D64,Milestones!$AA$36)&lt;=AsOfDate,IF($R64=0,$X64,IF(AND($T64&lt;&gt;"",EDATE($D64,Milestones!$AA$36)&gt;=$T64),$W64,IF(AND($S64&lt;&gt;"",EDATE($D64,Milestones!$AA$36)&gt;=$S64),$V64,$U64)))=Milestones!$AB$36),UPPER(TEXT(EDATE($D64,Milestones!$AA$36),"dd mmm yy"))&amp;" "&amp;Milestones!$AB$36&amp;" "&amp;Milestones!$AC$36&amp;";  ","")&amp;IF(AND(EDATE($D64,Milestones!$AA$37)&lt;=AsOfDate,IF($R64=0,$X64,IF(AND($T64&lt;&gt;"",EDATE($D64,Milestones!$AA$37)&gt;=$T64),$W64,IF(AND($S64&lt;&gt;"",EDATE($D64,Milestones!$AA$37)&gt;=$S64),$V64,$U64)))=Milestones!$AB$37),UPPER(TEXT(EDATE($D64,Milestones!$AA$37),"dd mmm yy"))&amp;" "&amp;Milestones!$AB$37&amp;" "&amp;Milestones!$AC$37&amp;";  ","")&amp;IF(AND(EDATE($D64,Milestones!$AA$38)&lt;=AsOfDate,IF($R64=0,$X64,IF(AND($T64&lt;&gt;"",EDATE($D64,Milestones!$AA$38)&gt;=$T64),$W64,IF(AND($S64&lt;&gt;"",EDATE($D64,Milestones!$AA$38)&gt;=$S64),$V64,$U64)))=Milestones!$AB$38),UPPER(TEXT(EDATE($D64,Milestones!$AA$38),"dd mmm yy"))&amp;" "&amp;Milestones!$AB$38&amp;" "&amp;Milestones!$AC$38&amp;";  ","")&amp;IF(AND(EDATE($D64,Milestones!$AA$39)&lt;=AsOfDate,IF($R64=0,$X64,IF(AND($T64&lt;&gt;"",EDATE($D64,Milestones!$AA$39)&gt;=$T64),$W64,IF(AND($S64&lt;&gt;"",EDATE($D64,Milestones!$AA$39)&gt;=$S64),$V64,$U64)))=Milestones!$AB$39),UPPER(TEXT(EDATE($D64,Milestones!$AA$39),"dd mmm yy"))&amp;" "&amp;Milestones!$AB$39&amp;" "&amp;Milestones!$AC$39&amp;";  ",""))</f>
        <v/>
      </c>
      <c r="J64" s="0" t="str">
        <f aca="false">IF(OR($A64="",$D64=""),"",IF(AND(EDATE($D64,Milestones!$AA$40)&lt;=AsOfDate,IF($R64=0,$X64,IF(AND($T64&lt;&gt;"",EDATE($D64,Milestones!$AA$40)&gt;=$T64),$W64,IF(AND($S64&lt;&gt;"",EDATE($D64,Milestones!$AA$40)&gt;=$S64),$V64,$U64)))=Milestones!$AB$40),UPPER(TEXT(EDATE($D64,Milestones!$AA$40),"dd mmm yy"))&amp;" "&amp;Milestones!$AB$40&amp;" "&amp;Milestones!$AC$40&amp;";  ","")&amp;IF(AND(EDATE($D64,Milestones!$AA$41)&lt;=AsOfDate,IF($R64=0,$X64,IF(AND($T64&lt;&gt;"",EDATE($D64,Milestones!$AA$41)&gt;=$T64),$W64,IF(AND($S64&lt;&gt;"",EDATE($D64,Milestones!$AA$41)&gt;=$S64),$V64,$U64)))=Milestones!$AB$41),UPPER(TEXT(EDATE($D64,Milestones!$AA$41),"dd mmm yy"))&amp;" "&amp;Milestones!$AB$41&amp;" "&amp;Milestones!$AC$41&amp;";  ","")&amp;IF(AND(EDATE($D64,Milestones!$AA$42)&lt;=AsOfDate,IF($R64=0,$X64,IF(AND($T64&lt;&gt;"",EDATE($D64,Milestones!$AA$42)&gt;=$T64),$W64,IF(AND($S64&lt;&gt;"",EDATE($D64,Milestones!$AA$42)&gt;=$S64),$V64,$U64)))=Milestones!$AB$42),UPPER(TEXT(EDATE($D64,Milestones!$AA$42),"dd mmm yy"))&amp;" "&amp;Milestones!$AB$42&amp;" "&amp;Milestones!$AC$42&amp;";  ","")&amp;IF(AND(EDATE($D64,Milestones!$AA$43)&lt;=AsOfDate,IF($R64=0,$X64,IF(AND($T64&lt;&gt;"",EDATE($D64,Milestones!$AA$43)&gt;=$T64),$W64,IF(AND($S64&lt;&gt;"",EDATE($D64,Milestones!$AA$43)&gt;=$S64),$V64,$U64)))=Milestones!$AB$43),UPPER(TEXT(EDATE($D64,Milestones!$AA$43),"dd mmm yy"))&amp;" "&amp;Milestones!$AB$43&amp;" "&amp;Milestones!$AC$43&amp;";  ","")&amp;IF(AND(EDATE($D64,Milestones!$AA$44)&lt;=AsOfDate,IF($R64=0,$X64,IF(AND($T64&lt;&gt;"",EDATE($D64,Milestones!$AA$44)&gt;=$T64),$W64,IF(AND($S64&lt;&gt;"",EDATE($D64,Milestones!$AA$44)&gt;=$S64),$V64,$U64)))=Milestones!$AB$44),UPPER(TEXT(EDATE($D64,Milestones!$AA$44),"dd mmm yy"))&amp;" "&amp;Milestones!$AB$44&amp;" "&amp;Milestones!$AC$44&amp;";  ","")&amp;IF(AND(EDATE($D64,Milestones!$AA$45)&lt;=AsOfDate,IF($R64=0,$X64,IF(AND($T64&lt;&gt;"",EDATE($D64,Milestones!$AA$45)&gt;=$T64),$W64,IF(AND($S64&lt;&gt;"",EDATE($D64,Milestones!$AA$45)&gt;=$S64),$V64,$U64)))=Milestones!$AB$45),UPPER(TEXT(EDATE($D64,Milestones!$AA$45),"dd mmm yy"))&amp;" "&amp;Milestones!$AB$45&amp;" "&amp;Milestones!$AC$45&amp;";  ","")&amp;IF(AND(EDATE($D64,Milestones!$AA$46)&lt;=AsOfDate,IF($R64=0,$X64,IF(AND($T64&lt;&gt;"",EDATE($D64,Milestones!$AA$46)&gt;=$T64),$W64,IF(AND($S64&lt;&gt;"",EDATE($D64,Milestones!$AA$46)&gt;=$S64),$V64,$U64)))=Milestones!$AB$46),UPPER(TEXT(EDATE($D64,Milestones!$AA$46),"dd mmm yy"))&amp;" "&amp;Milestones!$AB$46&amp;" "&amp;Milestones!$AC$46&amp;";  ","")&amp;IF(AND(EDATE($D64,Milestones!$AA$47)&lt;=AsOfDate,IF($R64=0,$X64,IF(AND($T64&lt;&gt;"",EDATE($D64,Milestones!$AA$47)&gt;=$T64),$W64,IF(AND($S64&lt;&gt;"",EDATE($D64,Milestones!$AA$47)&gt;=$S64),$V64,$U64)))=Milestones!$AB$47),UPPER(TEXT(EDATE($D64,Milestones!$AA$47),"dd mmm yy"))&amp;" "&amp;Milestones!$AB$47&amp;" "&amp;Milestones!$AC$47&amp;";  ","")&amp;IF(AND(EDATE($D64,Milestones!$AA$48)&lt;=AsOfDate,IF($R64=0,$X64,IF(AND($T64&lt;&gt;"",EDATE($D64,Milestones!$AA$48)&gt;=$T64),$W64,IF(AND($S64&lt;&gt;"",EDATE($D64,Milestones!$AA$48)&gt;=$S64),$V64,$U64)))=Milestones!$AB$48),UPPER(TEXT(EDATE($D64,Milestones!$AA$48),"dd mmm yy"))&amp;" "&amp;Milestones!$AB$48&amp;" "&amp;Milestones!$AC$48&amp;";  ","")&amp;IF(AND(EDATE($D64,Milestones!$AA$49)&lt;=AsOfDate,IF($R64=0,$X64,IF(AND($T64&lt;&gt;"",EDATE($D64,Milestones!$AA$49)&gt;=$T64),$W64,IF(AND($S64&lt;&gt;"",EDATE($D64,Milestones!$AA$49)&gt;=$S64),$V64,$U64)))=Milestones!$AB$49),UPPER(TEXT(EDATE($D64,Milestones!$AA$49),"dd mmm yy"))&amp;" "&amp;Milestones!$AB$49&amp;" "&amp;Milestones!$AC$49&amp;";  ","")&amp;IF(AND(EDATE($D64,Milestones!$AA$50)&lt;=AsOfDate,IF($R64=0,$X64,IF(AND($T64&lt;&gt;"",EDATE($D64,Milestones!$AA$50)&gt;=$T64),$W64,IF(AND($S64&lt;&gt;"",EDATE($D64,Milestones!$AA$50)&gt;=$S64),$V64,$U64)))=Milestones!$AB$50),UPPER(TEXT(EDATE($D64,Milestones!$AA$50),"dd mmm yy"))&amp;" "&amp;Milestones!$AB$50&amp;" "&amp;Milestones!$AC$50&amp;";  ","")&amp;IF(AND(EDATE($D64,Milestones!$AA$51)&lt;=AsOfDate,IF($R64=0,$X64,IF(AND($T64&lt;&gt;"",EDATE($D64,Milestones!$AA$51)&gt;=$T64),$W64,IF(AND($S64&lt;&gt;"",EDATE($D64,Milestones!$AA$51)&gt;=$S64),$V64,$U64)))=Milestones!$AB$51),UPPER(TEXT(EDATE($D64,Milestones!$AA$51),"dd mmm yy"))&amp;" "&amp;Milestones!$AB$51&amp;" "&amp;Milestones!$AC$51&amp;";  ","")&amp;IF(AND(EDATE($D64,Milestones!$AA$52)&lt;=AsOfDate,IF($R64=0,$X64,IF(AND($T64&lt;&gt;"",EDATE($D64,Milestones!$AA$52)&gt;=$T64),$W64,IF(AND($S64&lt;&gt;"",EDATE($D64,Milestones!$AA$52)&gt;=$S64),$V64,$U64)))=Milestones!$AB$52),UPPER(TEXT(EDATE($D64,Milestones!$AA$52),"dd mmm yy"))&amp;" "&amp;Milestones!$AB$52&amp;" "&amp;Milestones!$AC$52&amp;";  ","")&amp;IF(AND(EDATE($D64,Milestones!$AA$53)&lt;=AsOfDate,IF($R64=0,$X64,IF(AND($T64&lt;&gt;"",EDATE($D64,Milestones!$AA$53)&gt;=$T64),$W64,IF(AND($S64&lt;&gt;"",EDATE($D64,Milestones!$AA$53)&gt;=$S64),$V64,$U64)))=Milestones!$AB$53),UPPER(TEXT(EDATE($D64,Milestones!$AA$53),"dd mmm yy"))&amp;" "&amp;Milestones!$AB$53&amp;" "&amp;Milestones!$AC$53&amp;";  ","")&amp;IF(AND(EDATE($D64,Milestones!$AA$54)&lt;=AsOfDate,IF($R64=0,$X64,IF(AND($T64&lt;&gt;"",EDATE($D64,Milestones!$AA$54)&gt;=$T64),$W64,IF(AND($S64&lt;&gt;"",EDATE($D64,Milestones!$AA$54)&gt;=$S64),$V64,$U64)))=Milestones!$AB$54),UPPER(TEXT(EDATE($D64,Milestones!$AA$54),"dd mmm yy"))&amp;" "&amp;Milestones!$AB$54&amp;" "&amp;Milestones!$AC$54&amp;";  ","")&amp;IF(AND(EDATE($D64,Milestones!$AA$55)&lt;=AsOfDate,IF($R64=0,$X64,IF(AND($T64&lt;&gt;"",EDATE($D64,Milestones!$AA$55)&gt;=$T64),$W64,IF(AND($S64&lt;&gt;"",EDATE($D64,Milestones!$AA$55)&gt;=$S64),$V64,$U64)))=Milestones!$AB$55),UPPER(TEXT(EDATE($D64,Milestones!$AA$55),"dd mmm yy"))&amp;" "&amp;Milestones!$AB$55&amp;" "&amp;Milestones!$AC$55&amp;";  ","")&amp;IF(AND(EDATE($D64,Milestones!$AA$56)&lt;=AsOfDate,IF($R64=0,$X64,IF(AND($T64&lt;&gt;"",EDATE($D64,Milestones!$AA$56)&gt;=$T64),$W64,IF(AND($S64&lt;&gt;"",EDATE($D64,Milestones!$AA$56)&gt;=$S64),$V64,$U64)))=Milestones!$AB$56),UPPER(TEXT(EDATE($D64,Milestones!$AA$56),"dd mmm yy"))&amp;" "&amp;Milestones!$AB$56&amp;" "&amp;Milestones!$AC$56&amp;";  ","")&amp;IF(AND(EDATE($D64,Milestones!$AA$57)&lt;=AsOfDate,IF($R64=0,$X64,IF(AND($T64&lt;&gt;"",EDATE($D64,Milestones!$AA$57)&gt;=$T64),$W64,IF(AND($S64&lt;&gt;"",EDATE($D64,Milestones!$AA$57)&gt;=$S64),$V64,$U64)))=Milestones!$AB$57),UPPER(TEXT(EDATE($D64,Milestones!$AA$57),"dd mmm yy"))&amp;" "&amp;Milestones!$AB$57&amp;" "&amp;Milestones!$AC$57&amp;";  ","")&amp;IF(AND(EDATE($D64,Milestones!$AA$58)&lt;=AsOfDate,IF($R64=0,$X64,IF(AND($T64&lt;&gt;"",EDATE($D64,Milestones!$AA$58)&gt;=$T64),$W64,IF(AND($S64&lt;&gt;"",EDATE($D64,Milestones!$AA$58)&gt;=$S64),$V64,$U64)))=Milestones!$AB$58),UPPER(TEXT(EDATE($D64,Milestones!$AA$58),"dd mmm yy"))&amp;" "&amp;Milestones!$AB$58&amp;" "&amp;Milestones!$AC$58&amp;";  ","")&amp;IF(AND(EDATE($D64,Milestones!$AA$59)&lt;=AsOfDate,IF($R64=0,$X64,IF(AND($T64&lt;&gt;"",EDATE($D64,Milestones!$AA$59)&gt;=$T64),$W64,IF(AND($S64&lt;&gt;"",EDATE($D64,Milestones!$AA$59)&gt;=$S64),$V64,$U64)))=Milestones!$AB$59),UPPER(TEXT(EDATE($D64,Milestones!$AA$59),"dd mmm yy"))&amp;" "&amp;Milestones!$AB$59&amp;" "&amp;Milestones!$AC$59&amp;";  ",""))</f>
        <v/>
      </c>
      <c r="K64" s="0" t="str">
        <f aca="false">IF(OR($A64="",$D64=""),"",IF(AND(EDATE($D64,Milestones!$AA$60)&lt;=AsOfDate,IF($R64=0,$X64,IF(AND($T64&lt;&gt;"",EDATE($D64,Milestones!$AA$60)&gt;=$T64),$W64,IF(AND($S64&lt;&gt;"",EDATE($D64,Milestones!$AA$60)&gt;=$S64),$V64,$U64)))=Milestones!$AB$60),UPPER(TEXT(EDATE($D64,Milestones!$AA$60),"dd mmm yy"))&amp;" "&amp;Milestones!$AB$60&amp;" "&amp;Milestones!$AC$60&amp;";  ","")&amp;IF(AND(EDATE($D64,Milestones!$AA$61)&lt;=AsOfDate,IF($R64=0,$X64,IF(AND($T64&lt;&gt;"",EDATE($D64,Milestones!$AA$61)&gt;=$T64),$W64,IF(AND($S64&lt;&gt;"",EDATE($D64,Milestones!$AA$61)&gt;=$S64),$V64,$U64)))=Milestones!$AB$61),UPPER(TEXT(EDATE($D64,Milestones!$AA$61),"dd mmm yy"))&amp;" "&amp;Milestones!$AB$61&amp;" "&amp;Milestones!$AC$61&amp;";  ","")&amp;IF(AND(EDATE($D64,Milestones!$AA$62)&lt;=AsOfDate,IF($R64=0,$X64,IF(AND($T64&lt;&gt;"",EDATE($D64,Milestones!$AA$62)&gt;=$T64),$W64,IF(AND($S64&lt;&gt;"",EDATE($D64,Milestones!$AA$62)&gt;=$S64),$V64,$U64)))=Milestones!$AB$62),UPPER(TEXT(EDATE($D64,Milestones!$AA$62),"dd mmm yy"))&amp;" "&amp;Milestones!$AB$62&amp;" "&amp;Milestones!$AC$62&amp;";  ","")&amp;IF(AND(EDATE($D64,Milestones!$AA$63)&lt;=AsOfDate,IF($R64=0,$X64,IF(AND($T64&lt;&gt;"",EDATE($D64,Milestones!$AA$63)&gt;=$T64),$W64,IF(AND($S64&lt;&gt;"",EDATE($D64,Milestones!$AA$63)&gt;=$S64),$V64,$U64)))=Milestones!$AB$63),UPPER(TEXT(EDATE($D64,Milestones!$AA$63),"dd mmm yy"))&amp;" "&amp;Milestones!$AB$63&amp;" "&amp;Milestones!$AC$63&amp;";  ","")&amp;IF(AND(EDATE($D64,Milestones!$AA$64)&lt;=AsOfDate,IF($R64=0,$X64,IF(AND($T64&lt;&gt;"",EDATE($D64,Milestones!$AA$64)&gt;=$T64),$W64,IF(AND($S64&lt;&gt;"",EDATE($D64,Milestones!$AA$64)&gt;=$S64),$V64,$U64)))=Milestones!$AB$64),UPPER(TEXT(EDATE($D64,Milestones!$AA$64),"dd mmm yy"))&amp;" "&amp;Milestones!$AB$64&amp;" "&amp;Milestones!$AC$64&amp;";  ","")&amp;IF(AND(EDATE($D64,Milestones!$AA$65)&lt;=AsOfDate,IF($R64=0,$X64,IF(AND($T64&lt;&gt;"",EDATE($D64,Milestones!$AA$65)&gt;=$T64),$W64,IF(AND($S64&lt;&gt;"",EDATE($D64,Milestones!$AA$65)&gt;=$S64),$V64,$U64)))=Milestones!$AB$65),UPPER(TEXT(EDATE($D64,Milestones!$AA$65),"dd mmm yy"))&amp;" "&amp;Milestones!$AB$65&amp;" "&amp;Milestones!$AC$65&amp;";  ","")&amp;IF(AND(EDATE($D64,Milestones!$AA$66)&lt;=AsOfDate,IF($R64=0,$X64,IF(AND($T64&lt;&gt;"",EDATE($D64,Milestones!$AA$66)&gt;=$T64),$W64,IF(AND($S64&lt;&gt;"",EDATE($D64,Milestones!$AA$66)&gt;=$S64),$V64,$U64)))=Milestones!$AB$66),UPPER(TEXT(EDATE($D64,Milestones!$AA$66),"dd mmm yy"))&amp;" "&amp;Milestones!$AB$66&amp;" "&amp;Milestones!$AC$66&amp;";  ","")&amp;IF(AND(EDATE($D64,Milestones!$AA$67)&lt;=AsOfDate,IF($R64=0,$X64,IF(AND($T64&lt;&gt;"",EDATE($D64,Milestones!$AA$67)&gt;=$T64),$W64,IF(AND($S64&lt;&gt;"",EDATE($D64,Milestones!$AA$67)&gt;=$S64),$V64,$U64)))=Milestones!$AB$67),UPPER(TEXT(EDATE($D64,Milestones!$AA$67),"dd mmm yy"))&amp;" "&amp;Milestones!$AB$67&amp;" "&amp;Milestones!$AC$67&amp;";  ","")&amp;IF(AND(EDATE($D64,Milestones!$AA$68)&lt;=AsOfDate,IF($R64=0,$X64,IF(AND($T64&lt;&gt;"",EDATE($D64,Milestones!$AA$68)&gt;=$T64),$W64,IF(AND($S64&lt;&gt;"",EDATE($D64,Milestones!$AA$68)&gt;=$S64),$V64,$U64)))=Milestones!$AB$68),UPPER(TEXT(EDATE($D64,Milestones!$AA$68),"dd mmm yy"))&amp;" "&amp;Milestones!$AB$68&amp;" "&amp;Milestones!$AC$68&amp;";  ","")&amp;IF(AND(EDATE($D64,Milestones!$AA$69)&lt;=AsOfDate,IF($R64=0,$X64,IF(AND($T64&lt;&gt;"",EDATE($D64,Milestones!$AA$69)&gt;=$T64),$W64,IF(AND($S64&lt;&gt;"",EDATE($D64,Milestones!$AA$69)&gt;=$S64),$V64,$U64)))=Milestones!$AB$69),UPPER(TEXT(EDATE($D64,Milestones!$AA$69),"dd mmm yy"))&amp;" "&amp;Milestones!$AB$69&amp;" "&amp;Milestones!$AC$69&amp;";  ","")&amp;IF(AND(EDATE($D64,Milestones!$AA$70)&lt;=AsOfDate,IF($R64=0,$X64,IF(AND($T64&lt;&gt;"",EDATE($D64,Milestones!$AA$70)&gt;=$T64),$W64,IF(AND($S64&lt;&gt;"",EDATE($D64,Milestones!$AA$70)&gt;=$S64),$V64,$U64)))=Milestones!$AB$70),UPPER(TEXT(EDATE($D64,Milestones!$AA$70),"dd mmm yy"))&amp;" "&amp;Milestones!$AB$70&amp;" "&amp;Milestones!$AC$70&amp;";  ","")&amp;IF(AND(EDATE($D64,Milestones!$AA$71)&lt;=AsOfDate,IF($R64=0,$X64,IF(AND($T64&lt;&gt;"",EDATE($D64,Milestones!$AA$71)&gt;=$T64),$W64,IF(AND($S64&lt;&gt;"",EDATE($D64,Milestones!$AA$71)&gt;=$S64),$V64,$U64)))=Milestones!$AB$71),UPPER(TEXT(EDATE($D64,Milestones!$AA$71),"dd mmm yy"))&amp;" "&amp;Milestones!$AB$71&amp;" "&amp;Milestones!$AC$71&amp;";  ","")&amp;IF(AND(EDATE($D64,Milestones!$AA$72)&lt;=AsOfDate,IF($R64=0,$X64,IF(AND($T64&lt;&gt;"",EDATE($D64,Milestones!$AA$72)&gt;=$T64),$W64,IF(AND($S64&lt;&gt;"",EDATE($D64,Milestones!$AA$72)&gt;=$S64),$V64,$U64)))=Milestones!$AB$72),UPPER(TEXT(EDATE($D64,Milestones!$AA$72),"dd mmm yy"))&amp;" "&amp;Milestones!$AB$72&amp;" "&amp;Milestones!$AC$72&amp;";  ","")&amp;IF(AND(EDATE($D64,Milestones!$AA$73)&lt;=AsOfDate,IF($R64=0,$X64,IF(AND($T64&lt;&gt;"",EDATE($D64,Milestones!$AA$73)&gt;=$T64),$W64,IF(AND($S64&lt;&gt;"",EDATE($D64,Milestones!$AA$73)&gt;=$S64),$V64,$U64)))=Milestones!$AB$73),UPPER(TEXT(EDATE($D64,Milestones!$AA$73),"dd mmm yy"))&amp;" "&amp;Milestones!$AB$73&amp;" "&amp;Milestones!$AC$73&amp;";  ","")&amp;IF(AND(EDATE($D64,Milestones!$AA$74)&lt;=AsOfDate,IF($R64=0,$X64,IF(AND($T64&lt;&gt;"",EDATE($D64,Milestones!$AA$74)&gt;=$T64),$W64,IF(AND($S64&lt;&gt;"",EDATE($D64,Milestones!$AA$74)&gt;=$S64),$V64,$U64)))=Milestones!$AB$74),UPPER(TEXT(EDATE($D64,Milestones!$AA$74),"dd mmm yy"))&amp;" "&amp;Milestones!$AB$74&amp;" "&amp;Milestones!$AC$74&amp;";  ","")&amp;IF(AND(EDATE($D64,Milestones!$AA$75)&lt;=AsOfDate,IF($R64=0,$X64,IF(AND($T64&lt;&gt;"",EDATE($D64,Milestones!$AA$75)&gt;=$T64),$W64,IF(AND($S64&lt;&gt;"",EDATE($D64,Milestones!$AA$75)&gt;=$S64),$V64,$U64)))=Milestones!$AB$75),UPPER(TEXT(EDATE($D64,Milestones!$AA$75),"dd mmm yy"))&amp;" "&amp;Milestones!$AB$75&amp;" "&amp;Milestones!$AC$75&amp;";  ","")&amp;IF(AND(EDATE($D64,Milestones!$AA$76)&lt;=AsOfDate,IF($R64=0,$X64,IF(AND($T64&lt;&gt;"",EDATE($D64,Milestones!$AA$76)&gt;=$T64),$W64,IF(AND($S64&lt;&gt;"",EDATE($D64,Milestones!$AA$76)&gt;=$S64),$V64,$U64)))=Milestones!$AB$76),UPPER(TEXT(EDATE($D64,Milestones!$AA$76),"dd mmm yy"))&amp;" "&amp;Milestones!$AB$76&amp;" "&amp;Milestones!$AC$76&amp;";  ","")&amp;IF(AND(EDATE($D64,Milestones!$AA$77)&lt;=AsOfDate,IF($R64=0,$X64,IF(AND($T64&lt;&gt;"",EDATE($D64,Milestones!$AA$77)&gt;=$T64),$W64,IF(AND($S64&lt;&gt;"",EDATE($D64,Milestones!$AA$77)&gt;=$S64),$V64,$U64)))=Milestones!$AB$77),UPPER(TEXT(EDATE($D64,Milestones!$AA$77),"dd mmm yy"))&amp;" "&amp;Milestones!$AB$77&amp;" "&amp;Milestones!$AC$77&amp;";  ","")&amp;IF(AND(EDATE($D64,Milestones!$AA$78)&lt;=AsOfDate,IF($R64=0,$X64,IF(AND($T64&lt;&gt;"",EDATE($D64,Milestones!$AA$78)&gt;=$T64),$W64,IF(AND($S64&lt;&gt;"",EDATE($D64,Milestones!$AA$78)&gt;=$S64),$V64,$U64)))=Milestones!$AB$78),UPPER(TEXT(EDATE($D64,Milestones!$AA$78),"dd mmm yy"))&amp;" "&amp;Milestones!$AB$78&amp;" "&amp;Milestones!$AC$78&amp;";  ","")&amp;IF(AND(EDATE($D64,Milestones!$AA$79)&lt;=AsOfDate,IF($R64=0,$X64,IF(AND($T64&lt;&gt;"",EDATE($D64,Milestones!$AA$79)&gt;=$T64),$W64,IF(AND($S64&lt;&gt;"",EDATE($D64,Milestones!$AA$79)&gt;=$S64),$V64,$U64)))=Milestones!$AB$79),UPPER(TEXT(EDATE($D64,Milestones!$AA$79),"dd mmm yy"))&amp;" "&amp;Milestones!$AB$79&amp;" "&amp;Milestones!$AC$79&amp;";  ",""))</f>
        <v/>
      </c>
      <c r="L64" s="0" t="str">
        <f aca="false">IF(OR($A64="",$D64=""),"",IF(AND(EDATE($D64,Milestones!$AA$80)&lt;=AsOfDate,IF($R64=0,$X64,IF(AND($T64&lt;&gt;"",EDATE($D64,Milestones!$AA$80)&gt;=$T64),$W64,IF(AND($S64&lt;&gt;"",EDATE($D64,Milestones!$AA$80)&gt;=$S64),$V64,$U64)))=Milestones!$AB$80),UPPER(TEXT(EDATE($D64,Milestones!$AA$80),"dd mmm yy"))&amp;" "&amp;Milestones!$AB$80&amp;" "&amp;Milestones!$AC$80&amp;";  ","")&amp;IF(AND(EDATE($D64,Milestones!$AA$81)&lt;=AsOfDate,IF($R64=0,$X64,IF(AND($T64&lt;&gt;"",EDATE($D64,Milestones!$AA$81)&gt;=$T64),$W64,IF(AND($S64&lt;&gt;"",EDATE($D64,Milestones!$AA$81)&gt;=$S64),$V64,$U64)))=Milestones!$AB$81),UPPER(TEXT(EDATE($D64,Milestones!$AA$81),"dd mmm yy"))&amp;" "&amp;Milestones!$AB$81&amp;" "&amp;Milestones!$AC$81&amp;";  ","")&amp;IF(AND(EDATE($D64,Milestones!$AA$82)&lt;=AsOfDate,IF($R64=0,$X64,IF(AND($T64&lt;&gt;"",EDATE($D64,Milestones!$AA$82)&gt;=$T64),$W64,IF(AND($S64&lt;&gt;"",EDATE($D64,Milestones!$AA$82)&gt;=$S64),$V64,$U64)))=Milestones!$AB$82),UPPER(TEXT(EDATE($D64,Milestones!$AA$82),"dd mmm yy"))&amp;" "&amp;Milestones!$AB$82&amp;" "&amp;Milestones!$AC$82&amp;";  ","")&amp;IF(AND(EDATE($D64,Milestones!$AA$83)&lt;=AsOfDate,IF($R64=0,$X64,IF(AND($T64&lt;&gt;"",EDATE($D64,Milestones!$AA$83)&gt;=$T64),$W64,IF(AND($S64&lt;&gt;"",EDATE($D64,Milestones!$AA$83)&gt;=$S64),$V64,$U64)))=Milestones!$AB$83),UPPER(TEXT(EDATE($D64,Milestones!$AA$83),"dd mmm yy"))&amp;" "&amp;Milestones!$AB$83&amp;" "&amp;Milestones!$AC$83&amp;";  ","")&amp;IF(AND(EDATE($D64,Milestones!$AA$84)&lt;=AsOfDate,IF($R64=0,$X64,IF(AND($T64&lt;&gt;"",EDATE($D64,Milestones!$AA$84)&gt;=$T64),$W64,IF(AND($S64&lt;&gt;"",EDATE($D64,Milestones!$AA$84)&gt;=$S64),$V64,$U64)))=Milestones!$AB$84),UPPER(TEXT(EDATE($D64,Milestones!$AA$84),"dd mmm yy"))&amp;" "&amp;Milestones!$AB$84&amp;" "&amp;Milestones!$AC$84&amp;";  ","")&amp;IF(AND(EDATE($D64,Milestones!$AA$85)&lt;=AsOfDate,IF($R64=0,$X64,IF(AND($T64&lt;&gt;"",EDATE($D64,Milestones!$AA$85)&gt;=$T64),$W64,IF(AND($S64&lt;&gt;"",EDATE($D64,Milestones!$AA$85)&gt;=$S64),$V64,$U64)))=Milestones!$AB$85),UPPER(TEXT(EDATE($D64,Milestones!$AA$85),"dd mmm yy"))&amp;" "&amp;Milestones!$AB$85&amp;" "&amp;Milestones!$AC$85&amp;";  ","")&amp;IF(AND(EDATE($D64,Milestones!$AA$86)&lt;=AsOfDate,IF($R64=0,$X64,IF(AND($T64&lt;&gt;"",EDATE($D64,Milestones!$AA$86)&gt;=$T64),$W64,IF(AND($S64&lt;&gt;"",EDATE($D64,Milestones!$AA$86)&gt;=$S64),$V64,$U64)))=Milestones!$AB$86),UPPER(TEXT(EDATE($D64,Milestones!$AA$86),"dd mmm yy"))&amp;" "&amp;Milestones!$AB$86&amp;" "&amp;Milestones!$AC$86&amp;";  ","")&amp;IF(AND(EDATE($D64,Milestones!$AA$87)&lt;=AsOfDate,IF($R64=0,$X64,IF(AND($T64&lt;&gt;"",EDATE($D64,Milestones!$AA$87)&gt;=$T64),$W64,IF(AND($S64&lt;&gt;"",EDATE($D64,Milestones!$AA$87)&gt;=$S64),$V64,$U64)))=Milestones!$AB$87),UPPER(TEXT(EDATE($D64,Milestones!$AA$87),"dd mmm yy"))&amp;" "&amp;Milestones!$AB$87&amp;" "&amp;Milestones!$AC$87&amp;";  ","")&amp;IF(AND(EDATE($D64,Milestones!$AA$88)&lt;=AsOfDate,IF($R64=0,$X64,IF(AND($T64&lt;&gt;"",EDATE($D64,Milestones!$AA$88)&gt;=$T64),$W64,IF(AND($S64&lt;&gt;"",EDATE($D64,Milestones!$AA$88)&gt;=$S64),$V64,$U64)))=Milestones!$AB$88),UPPER(TEXT(EDATE($D64,Milestones!$AA$88),"dd mmm yy"))&amp;" "&amp;Milestones!$AB$88&amp;" "&amp;Milestones!$AC$88&amp;";  ","")&amp;IF(AND(EDATE($D64,Milestones!$AA$89)&lt;=AsOfDate,IF($R64=0,$X64,IF(AND($T64&lt;&gt;"",EDATE($D64,Milestones!$AA$89)&gt;=$T64),$W64,IF(AND($S64&lt;&gt;"",EDATE($D64,Milestones!$AA$89)&gt;=$S64),$V64,$U64)))=Milestones!$AB$89),UPPER(TEXT(EDATE($D64,Milestones!$AA$89),"dd mmm yy"))&amp;" "&amp;Milestones!$AB$89&amp;" "&amp;Milestones!$AC$89&amp;";  ","")&amp;IF(AND(EDATE($D64,Milestones!$AA$90)&lt;=AsOfDate,IF($R64=0,$X64,IF(AND($T64&lt;&gt;"",EDATE($D64,Milestones!$AA$90)&gt;=$T64),$W64,IF(AND($S64&lt;&gt;"",EDATE($D64,Milestones!$AA$90)&gt;=$S64),$V64,$U64)))=Milestones!$AB$90),UPPER(TEXT(EDATE($D64,Milestones!$AA$90),"dd mmm yy"))&amp;" "&amp;Milestones!$AB$90&amp;" "&amp;Milestones!$AC$90&amp;";  ","")&amp;IF(AND(EDATE($D64,Milestones!$AA$91)&lt;=AsOfDate,IF($R64=0,$X64,IF(AND($T64&lt;&gt;"",EDATE($D64,Milestones!$AA$91)&gt;=$T64),$W64,IF(AND($S64&lt;&gt;"",EDATE($D64,Milestones!$AA$91)&gt;=$S64),$V64,$U64)))=Milestones!$AB$91),UPPER(TEXT(EDATE($D64,Milestones!$AA$91),"dd mmm yy"))&amp;" "&amp;Milestones!$AB$91&amp;" "&amp;Milestones!$AC$91&amp;";  ","")&amp;IF(AND(EDATE($D64,Milestones!$AA$92)&lt;=AsOfDate,IF($R64=0,$X64,IF(AND($T64&lt;&gt;"",EDATE($D64,Milestones!$AA$92)&gt;=$T64),$W64,IF(AND($S64&lt;&gt;"",EDATE($D64,Milestones!$AA$92)&gt;=$S64),$V64,$U64)))=Milestones!$AB$92),UPPER(TEXT(EDATE($D64,Milestones!$AA$92),"dd mmm yy"))&amp;" "&amp;Milestones!$AB$92&amp;" "&amp;Milestones!$AC$92&amp;";  ","")&amp;IF(AND(EDATE($D64,Milestones!$AA$93)&lt;=AsOfDate,IF($R64=0,$X64,IF(AND($T64&lt;&gt;"",EDATE($D64,Milestones!$AA$93)&gt;=$T64),$W64,IF(AND($S64&lt;&gt;"",EDATE($D64,Milestones!$AA$93)&gt;=$S64),$V64,$U64)))=Milestones!$AB$93),UPPER(TEXT(EDATE($D64,Milestones!$AA$93),"dd mmm yy"))&amp;" "&amp;Milestones!$AB$93&amp;" "&amp;Milestones!$AC$93&amp;";  ","")&amp;IF(AND(EDATE($D64,Milestones!$AA$94)&lt;=AsOfDate,IF($R64=0,$X64,IF(AND($T64&lt;&gt;"",EDATE($D64,Milestones!$AA$94)&gt;=$T64),$W64,IF(AND($S64&lt;&gt;"",EDATE($D64,Milestones!$AA$94)&gt;=$S64),$V64,$U64)))=Milestones!$AB$94),UPPER(TEXT(EDATE($D64,Milestones!$AA$94),"dd mmm yy"))&amp;" "&amp;Milestones!$AB$94&amp;" "&amp;Milestones!$AC$94&amp;";  ","")&amp;IF(AND(EDATE($D64,Milestones!$AA$95)&lt;=AsOfDate,IF($R64=0,$X64,IF(AND($T64&lt;&gt;"",EDATE($D64,Milestones!$AA$95)&gt;=$T64),$W64,IF(AND($S64&lt;&gt;"",EDATE($D64,Milestones!$AA$95)&gt;=$S64),$V64,$U64)))=Milestones!$AB$95),UPPER(TEXT(EDATE($D64,Milestones!$AA$95),"dd mmm yy"))&amp;" "&amp;Milestones!$AB$95&amp;" "&amp;Milestones!$AC$95&amp;";  ","")&amp;IF(AND(EDATE($D64,Milestones!$AA$96)&lt;=AsOfDate,IF($R64=0,$X64,IF(AND($T64&lt;&gt;"",EDATE($D64,Milestones!$AA$96)&gt;=$T64),$W64,IF(AND($S64&lt;&gt;"",EDATE($D64,Milestones!$AA$96)&gt;=$S64),$V64,$U64)))=Milestones!$AB$96),UPPER(TEXT(EDATE($D64,Milestones!$AA$96),"dd mmm yy"))&amp;" "&amp;Milestones!$AB$96&amp;" "&amp;Milestones!$AC$96&amp;";  ","")&amp;IF(AND(EDATE($D64,Milestones!$AA$97)&lt;=AsOfDate,IF($R64=0,$X64,IF(AND($T64&lt;&gt;"",EDATE($D64,Milestones!$AA$97)&gt;=$T64),$W64,IF(AND($S64&lt;&gt;"",EDATE($D64,Milestones!$AA$97)&gt;=$S64),$V64,$U64)))=Milestones!$AB$97),UPPER(TEXT(EDATE($D64,Milestones!$AA$97),"dd mmm yy"))&amp;" "&amp;Milestones!$AB$97&amp;" "&amp;Milestones!$AC$97&amp;";  ","")&amp;IF(AND(EDATE($D64,Milestones!$AA$98)&lt;=AsOfDate,IF($R64=0,$X64,IF(AND($T64&lt;&gt;"",EDATE($D64,Milestones!$AA$98)&gt;=$T64),$W64,IF(AND($S64&lt;&gt;"",EDATE($D64,Milestones!$AA$98)&gt;=$S64),$V64,$U64)))=Milestones!$AB$98),UPPER(TEXT(EDATE($D64,Milestones!$AA$98),"dd mmm yy"))&amp;" "&amp;Milestones!$AB$98&amp;" "&amp;Milestones!$AC$98&amp;";  ","")&amp;IF(AND(EDATE($D64,Milestones!$AA$99)&lt;=AsOfDate,IF($R64=0,$X64,IF(AND($T64&lt;&gt;"",EDATE($D64,Milestones!$AA$99)&gt;=$T64),$W64,IF(AND($S64&lt;&gt;"",EDATE($D64,Milestones!$AA$99)&gt;=$S64),$V64,$U64)))=Milestones!$AB$99),UPPER(TEXT(EDATE($D64,Milestones!$AA$99),"dd mmm yy"))&amp;" "&amp;Milestones!$AB$99&amp;" "&amp;Milestones!$AC$99&amp;";  ",""))</f>
        <v/>
      </c>
      <c r="M64" s="0" t="str">
        <f aca="false">IF(OR($A64="",$D64=""),"",IF(AND(EDATE($D64,Milestones!$AA$100)&lt;=AsOfDate,IF($R64=0,$X64,IF(AND($T64&lt;&gt;"",EDATE($D64,Milestones!$AA$100)&gt;=$T64),$W64,IF(AND($S64&lt;&gt;"",EDATE($D64,Milestones!$AA$100)&gt;=$S64),$V64,$U64)))=Milestones!$AB$100),UPPER(TEXT(EDATE($D64,Milestones!$AA$100),"dd mmm yy"))&amp;" "&amp;Milestones!$AB$100&amp;" "&amp;Milestones!$AC$100&amp;";  ","")&amp;IF(AND(EDATE($D64,Milestones!$AA$101)&lt;=AsOfDate,IF($R64=0,$X64,IF(AND($T64&lt;&gt;"",EDATE($D64,Milestones!$AA$101)&gt;=$T64),$W64,IF(AND($S64&lt;&gt;"",EDATE($D64,Milestones!$AA$101)&gt;=$S64),$V64,$U64)))=Milestones!$AB$101),UPPER(TEXT(EDATE($D64,Milestones!$AA$101),"dd mmm yy"))&amp;" "&amp;Milestones!$AB$101&amp;" "&amp;Milestones!$AC$101&amp;";  ","")&amp;IF(AND(EDATE($D64,Milestones!$AA$102)&lt;=AsOfDate,IF($R64=0,$X64,IF(AND($T64&lt;&gt;"",EDATE($D64,Milestones!$AA$102)&gt;=$T64),$W64,IF(AND($S64&lt;&gt;"",EDATE($D64,Milestones!$AA$102)&gt;=$S64),$V64,$U64)))=Milestones!$AB$102),UPPER(TEXT(EDATE($D64,Milestones!$AA$102),"dd mmm yy"))&amp;" "&amp;Milestones!$AB$102&amp;" "&amp;Milestones!$AC$102&amp;";  ","")&amp;IF(AND(EDATE($D64,Milestones!$AA$103)&lt;=AsOfDate,IF($R64=0,$X64,IF(AND($T64&lt;&gt;"",EDATE($D64,Milestones!$AA$103)&gt;=$T64),$W64,IF(AND($S64&lt;&gt;"",EDATE($D64,Milestones!$AA$103)&gt;=$S64),$V64,$U64)))=Milestones!$AB$103),UPPER(TEXT(EDATE($D64,Milestones!$AA$103),"dd mmm yy"))&amp;" "&amp;Milestones!$AB$103&amp;" "&amp;Milestones!$AC$103&amp;";  ","")&amp;IF(AND(EDATE($D64,Milestones!$AA$104)&lt;=AsOfDate,IF($R64=0,$X64,IF(AND($T64&lt;&gt;"",EDATE($D64,Milestones!$AA$104)&gt;=$T64),$W64,IF(AND($S64&lt;&gt;"",EDATE($D64,Milestones!$AA$104)&gt;=$S64),$V64,$U64)))=Milestones!$AB$104),UPPER(TEXT(EDATE($D64,Milestones!$AA$104),"dd mmm yy"))&amp;" "&amp;Milestones!$AB$104&amp;" "&amp;Milestones!$AC$104&amp;";  ","")&amp;IF(AND(EDATE($D64,Milestones!$AA$105)&lt;=AsOfDate,IF($R64=0,$X64,IF(AND($T64&lt;&gt;"",EDATE($D64,Milestones!$AA$105)&gt;=$T64),$W64,IF(AND($S64&lt;&gt;"",EDATE($D64,Milestones!$AA$105)&gt;=$S64),$V64,$U64)))=Milestones!$AB$105),UPPER(TEXT(EDATE($D64,Milestones!$AA$105),"dd mmm yy"))&amp;" "&amp;Milestones!$AB$105&amp;" "&amp;Milestones!$AC$105&amp;";  ","")&amp;IF(AND(EDATE($D64,Milestones!$AA$106)&lt;=AsOfDate,IF($R64=0,$X64,IF(AND($T64&lt;&gt;"",EDATE($D64,Milestones!$AA$106)&gt;=$T64),$W64,IF(AND($S64&lt;&gt;"",EDATE($D64,Milestones!$AA$106)&gt;=$S64),$V64,$U64)))=Milestones!$AB$106),UPPER(TEXT(EDATE($D64,Milestones!$AA$106),"dd mmm yy"))&amp;" "&amp;Milestones!$AB$106&amp;" "&amp;Milestones!$AC$106&amp;";  ","")&amp;IF(AND(EDATE($D64,Milestones!$AA$107)&lt;=AsOfDate,IF($R64=0,$X64,IF(AND($T64&lt;&gt;"",EDATE($D64,Milestones!$AA$107)&gt;=$T64),$W64,IF(AND($S64&lt;&gt;"",EDATE($D64,Milestones!$AA$107)&gt;=$S64),$V64,$U64)))=Milestones!$AB$107),UPPER(TEXT(EDATE($D64,Milestones!$AA$107),"dd mmm yy"))&amp;" "&amp;Milestones!$AB$107&amp;" "&amp;Milestones!$AC$107&amp;";  ","")&amp;IF(AND(EDATE($D64,Milestones!$AA$108)&lt;=AsOfDate,IF($R64=0,$X64,IF(AND($T64&lt;&gt;"",EDATE($D64,Milestones!$AA$108)&gt;=$T64),$W64,IF(AND($S64&lt;&gt;"",EDATE($D64,Milestones!$AA$108)&gt;=$S64),$V64,$U64)))=Milestones!$AB$108),UPPER(TEXT(EDATE($D64,Milestones!$AA$108),"dd mmm yy"))&amp;" "&amp;Milestones!$AB$108&amp;" "&amp;Milestones!$AC$108&amp;";  ","")&amp;IF(AND(EDATE($D64,Milestones!$AA$109)&lt;=AsOfDate,IF($R64=0,$X64,IF(AND($T64&lt;&gt;"",EDATE($D64,Milestones!$AA$109)&gt;=$T64),$W64,IF(AND($S64&lt;&gt;"",EDATE($D64,Milestones!$AA$109)&gt;=$S64),$V64,$U64)))=Milestones!$AB$109),UPPER(TEXT(EDATE($D64,Milestones!$AA$109),"dd mmm yy"))&amp;" "&amp;Milestones!$AB$109&amp;" "&amp;Milestones!$AC$109&amp;";  ","")&amp;IF(AND(EDATE($D64,Milestones!$AA$110)&lt;=AsOfDate,IF($R64=0,$X64,IF(AND($T64&lt;&gt;"",EDATE($D64,Milestones!$AA$110)&gt;=$T64),$W64,IF(AND($S64&lt;&gt;"",EDATE($D64,Milestones!$AA$110)&gt;=$S64),$V64,$U64)))=Milestones!$AB$110),UPPER(TEXT(EDATE($D64,Milestones!$AA$110),"dd mmm yy"))&amp;" "&amp;Milestones!$AB$110&amp;" "&amp;Milestones!$AC$110&amp;";  ","")&amp;IF(AND(EDATE($D64,Milestones!$AA$111)&lt;=AsOfDate,IF($R64=0,$X64,IF(AND($T64&lt;&gt;"",EDATE($D64,Milestones!$AA$111)&gt;=$T64),$W64,IF(AND($S64&lt;&gt;"",EDATE($D64,Milestones!$AA$111)&gt;=$S64),$V64,$U64)))=Milestones!$AB$111),UPPER(TEXT(EDATE($D64,Milestones!$AA$111),"dd mmm yy"))&amp;" "&amp;Milestones!$AB$111&amp;" "&amp;Milestones!$AC$111&amp;";  ","")&amp;IF(AND(EDATE($D64,Milestones!$AA$112)&lt;=AsOfDate,IF($R64=0,$X64,IF(AND($T64&lt;&gt;"",EDATE($D64,Milestones!$AA$112)&gt;=$T64),$W64,IF(AND($S64&lt;&gt;"",EDATE($D64,Milestones!$AA$112)&gt;=$S64),$V64,$U64)))=Milestones!$AB$112),UPPER(TEXT(EDATE($D64,Milestones!$AA$112),"dd mmm yy"))&amp;" "&amp;Milestones!$AB$112&amp;" "&amp;Milestones!$AC$112&amp;";  ","")&amp;IF(AND(EDATE($D64,Milestones!$AA$113)&lt;=AsOfDate,IF($R64=0,$X64,IF(AND($T64&lt;&gt;"",EDATE($D64,Milestones!$AA$113)&gt;=$T64),$W64,IF(AND($S64&lt;&gt;"",EDATE($D64,Milestones!$AA$113)&gt;=$S64),$V64,$U64)))=Milestones!$AB$113),UPPER(TEXT(EDATE($D64,Milestones!$AA$113),"dd mmm yy"))&amp;" "&amp;Milestones!$AB$113&amp;" "&amp;Milestones!$AC$113&amp;";  ","")&amp;IF(AND(EDATE($D64,Milestones!$AA$114)&lt;=AsOfDate,IF($R64=0,$X64,IF(AND($T64&lt;&gt;"",EDATE($D64,Milestones!$AA$114)&gt;=$T64),$W64,IF(AND($S64&lt;&gt;"",EDATE($D64,Milestones!$AA$114)&gt;=$S64),$V64,$U64)))=Milestones!$AB$114),UPPER(TEXT(EDATE($D64,Milestones!$AA$114),"dd mmm yy"))&amp;" "&amp;Milestones!$AB$114&amp;" "&amp;Milestones!$AC$114&amp;";  ","")&amp;IF(AND(EDATE($D64,Milestones!$AA$115)&lt;=AsOfDate,IF($R64=0,$X64,IF(AND($T64&lt;&gt;"",EDATE($D64,Milestones!$AA$115)&gt;=$T64),$W64,IF(AND($S64&lt;&gt;"",EDATE($D64,Milestones!$AA$115)&gt;=$S64),$V64,$U64)))=Milestones!$AB$115),UPPER(TEXT(EDATE($D64,Milestones!$AA$115),"dd mmm yy"))&amp;" "&amp;Milestones!$AB$115&amp;" "&amp;Milestones!$AC$115&amp;";  ","")&amp;IF(AND(EDATE($D64,Milestones!$AA$116)&lt;=AsOfDate,IF($R64=0,$X64,IF(AND($T64&lt;&gt;"",EDATE($D64,Milestones!$AA$116)&gt;=$T64),$W64,IF(AND($S64&lt;&gt;"",EDATE($D64,Milestones!$AA$116)&gt;=$S64),$V64,$U64)))=Milestones!$AB$116),UPPER(TEXT(EDATE($D64,Milestones!$AA$116),"dd mmm yy"))&amp;" "&amp;Milestones!$AB$116&amp;" "&amp;Milestones!$AC$116&amp;";  ","")&amp;IF(AND(EDATE($D64,Milestones!$AA$117)&lt;=AsOfDate,IF($R64=0,$X64,IF(AND($T64&lt;&gt;"",EDATE($D64,Milestones!$AA$117)&gt;=$T64),$W64,IF(AND($S64&lt;&gt;"",EDATE($D64,Milestones!$AA$117)&gt;=$S64),$V64,$U64)))=Milestones!$AB$117),UPPER(TEXT(EDATE($D64,Milestones!$AA$117),"dd mmm yy"))&amp;" "&amp;Milestones!$AB$117&amp;" "&amp;Milestones!$AC$117&amp;";  ","")&amp;IF(AND(EDATE($D64,Milestones!$AA$118)&lt;=AsOfDate,IF($R64=0,$X64,IF(AND($T64&lt;&gt;"",EDATE($D64,Milestones!$AA$118)&gt;=$T64),$W64,IF(AND($S64&lt;&gt;"",EDATE($D64,Milestones!$AA$118)&gt;=$S64),$V64,$U64)))=Milestones!$AB$118),UPPER(TEXT(EDATE($D64,Milestones!$AA$118),"dd mmm yy"))&amp;" "&amp;Milestones!$AB$118&amp;" "&amp;Milestones!$AC$118&amp;";  ","")&amp;IF(AND(EDATE($D64,Milestones!$AA$119)&lt;=AsOfDate,IF($R64=0,$X64,IF(AND($T64&lt;&gt;"",EDATE($D64,Milestones!$AA$119)&gt;=$T64),$W64,IF(AND($S64&lt;&gt;"",EDATE($D64,Milestones!$AA$119)&gt;=$S64),$V64,$U64)))=Milestones!$AB$119),UPPER(TEXT(EDATE($D64,Milestones!$AA$119),"dd mmm yy"))&amp;" "&amp;Milestones!$AB$119&amp;" "&amp;Milestones!$AC$119&amp;";  ",""))</f>
        <v/>
      </c>
      <c r="N64" s="0" t="str">
        <f aca="false">IF(OR($A64="",$D64=""),"",IF(AND(EDATE($D64,Milestones!$AA$120)&lt;=AsOfDate,IF($R64=0,$X64,IF(AND($T64&lt;&gt;"",EDATE($D64,Milestones!$AA$120)&gt;=$T64),$W64,IF(AND($S64&lt;&gt;"",EDATE($D64,Milestones!$AA$120)&gt;=$S64),$V64,$U64)))=Milestones!$AB$120),UPPER(TEXT(EDATE($D64,Milestones!$AA$120),"dd mmm yy"))&amp;" "&amp;Milestones!$AB$120&amp;" "&amp;Milestones!$AC$120&amp;";  ","")&amp;IF(AND(EDATE($D64,Milestones!$AA$121)&lt;=AsOfDate,IF($R64=0,$X64,IF(AND($T64&lt;&gt;"",EDATE($D64,Milestones!$AA$121)&gt;=$T64),$W64,IF(AND($S64&lt;&gt;"",EDATE($D64,Milestones!$AA$121)&gt;=$S64),$V64,$U64)))=Milestones!$AB$121),UPPER(TEXT(EDATE($D64,Milestones!$AA$121),"dd mmm yy"))&amp;" "&amp;Milestones!$AB$121&amp;" "&amp;Milestones!$AC$121&amp;";  ","")&amp;IF(AND(EDATE($D64,Milestones!$AA$122)&lt;=AsOfDate,IF($R64=0,$X64,IF(AND($T64&lt;&gt;"",EDATE($D64,Milestones!$AA$122)&gt;=$T64),$W64,IF(AND($S64&lt;&gt;"",EDATE($D64,Milestones!$AA$122)&gt;=$S64),$V64,$U64)))=Milestones!$AB$122),UPPER(TEXT(EDATE($D64,Milestones!$AA$122),"dd mmm yy"))&amp;" "&amp;Milestones!$AB$122&amp;" "&amp;Milestones!$AC$122&amp;";  ","")&amp;IF(AND(EDATE($D64,Milestones!$AA$123)&lt;=AsOfDate,IF($R64=0,$X64,IF(AND($T64&lt;&gt;"",EDATE($D64,Milestones!$AA$123)&gt;=$T64),$W64,IF(AND($S64&lt;&gt;"",EDATE($D64,Milestones!$AA$123)&gt;=$S64),$V64,$U64)))=Milestones!$AB$123),UPPER(TEXT(EDATE($D64,Milestones!$AA$123),"dd mmm yy"))&amp;" "&amp;Milestones!$AB$123&amp;" "&amp;Milestones!$AC$123&amp;";  ","")&amp;IF(AND(EDATE($D64,Milestones!$AA$124)&lt;=AsOfDate,IF($R64=0,$X64,IF(AND($T64&lt;&gt;"",EDATE($D64,Milestones!$AA$124)&gt;=$T64),$W64,IF(AND($S64&lt;&gt;"",EDATE($D64,Milestones!$AA$124)&gt;=$S64),$V64,$U64)))=Milestones!$AB$124),UPPER(TEXT(EDATE($D64,Milestones!$AA$124),"dd mmm yy"))&amp;" "&amp;Milestones!$AB$124&amp;" "&amp;Milestones!$AC$124&amp;";  ","")&amp;IF(AND(EDATE($D64,Milestones!$AA$125)&lt;=AsOfDate,IF($R64=0,$X64,IF(AND($T64&lt;&gt;"",EDATE($D64,Milestones!$AA$125)&gt;=$T64),$W64,IF(AND($S64&lt;&gt;"",EDATE($D64,Milestones!$AA$125)&gt;=$S64),$V64,$U64)))=Milestones!$AB$125),UPPER(TEXT(EDATE($D64,Milestones!$AA$125),"dd mmm yy"))&amp;" "&amp;Milestones!$AB$125&amp;" "&amp;Milestones!$AC$125&amp;";  ","")&amp;IF(AND(EDATE($D64,Milestones!$AA$126)&lt;=AsOfDate,IF($R64=0,$X64,IF(AND($T64&lt;&gt;"",EDATE($D64,Milestones!$AA$126)&gt;=$T64),$W64,IF(AND($S64&lt;&gt;"",EDATE($D64,Milestones!$AA$126)&gt;=$S64),$V64,$U64)))=Milestones!$AB$126),UPPER(TEXT(EDATE($D64,Milestones!$AA$126),"dd mmm yy"))&amp;" "&amp;Milestones!$AB$126&amp;" "&amp;Milestones!$AC$126&amp;";  ","")&amp;IF(AND(EDATE($D64,Milestones!$AA$127)&lt;=AsOfDate,IF($R64=0,$X64,IF(AND($T64&lt;&gt;"",EDATE($D64,Milestones!$AA$127)&gt;=$T64),$W64,IF(AND($S64&lt;&gt;"",EDATE($D64,Milestones!$AA$127)&gt;=$S64),$V64,$U64)))=Milestones!$AB$127),UPPER(TEXT(EDATE($D64,Milestones!$AA$127),"dd mmm yy"))&amp;" "&amp;Milestones!$AB$127&amp;" "&amp;Milestones!$AC$127&amp;";  ","")&amp;IF(AND(EDATE($D64,Milestones!$AA$128)&lt;=AsOfDate,IF($R64=0,$X64,IF(AND($T64&lt;&gt;"",EDATE($D64,Milestones!$AA$128)&gt;=$T64),$W64,IF(AND($S64&lt;&gt;"",EDATE($D64,Milestones!$AA$128)&gt;=$S64),$V64,$U64)))=Milestones!$AB$128),UPPER(TEXT(EDATE($D64,Milestones!$AA$128),"dd mmm yy"))&amp;" "&amp;Milestones!$AB$128&amp;" "&amp;Milestones!$AC$128&amp;";  ","")&amp;IF(AND(EDATE($D64,Milestones!$AA$129)&lt;=AsOfDate,IF($R64=0,$X64,IF(AND($T64&lt;&gt;"",EDATE($D64,Milestones!$AA$129)&gt;=$T64),$W64,IF(AND($S64&lt;&gt;"",EDATE($D64,Milestones!$AA$129)&gt;=$S64),$V64,$U64)))=Milestones!$AB$129),UPPER(TEXT(EDATE($D64,Milestones!$AA$129),"dd mmm yy"))&amp;" "&amp;Milestones!$AB$129&amp;" "&amp;Milestones!$AC$129&amp;";  ","")&amp;IF(AND(EDATE($D64,Milestones!$AA$130)&lt;=AsOfDate,IF($R64=0,$X64,IF(AND($T64&lt;&gt;"",EDATE($D64,Milestones!$AA$130)&gt;=$T64),$W64,IF(AND($S64&lt;&gt;"",EDATE($D64,Milestones!$AA$130)&gt;=$S64),$V64,$U64)))=Milestones!$AB$130),UPPER(TEXT(EDATE($D64,Milestones!$AA$130),"dd mmm yy"))&amp;" "&amp;Milestones!$AB$130&amp;" "&amp;Milestones!$AC$130&amp;";  ","")&amp;IF(AND(EDATE($D64,Milestones!$AA$131)&lt;=AsOfDate,IF($R64=0,$X64,IF(AND($T64&lt;&gt;"",EDATE($D64,Milestones!$AA$131)&gt;=$T64),$W64,IF(AND($S64&lt;&gt;"",EDATE($D64,Milestones!$AA$131)&gt;=$S64),$V64,$U64)))=Milestones!$AB$131),UPPER(TEXT(EDATE($D64,Milestones!$AA$131),"dd mmm yy"))&amp;" "&amp;Milestones!$AB$131&amp;" "&amp;Milestones!$AC$131&amp;";  ","")&amp;IF(AND(EDATE($D64,Milestones!$AA$132)&lt;=AsOfDate,IF($R64=0,$X64,IF(AND($T64&lt;&gt;"",EDATE($D64,Milestones!$AA$132)&gt;=$T64),$W64,IF(AND($S64&lt;&gt;"",EDATE($D64,Milestones!$AA$132)&gt;=$S64),$V64,$U64)))=Milestones!$AB$132),UPPER(TEXT(EDATE($D64,Milestones!$AA$132),"dd mmm yy"))&amp;" "&amp;Milestones!$AB$132&amp;" "&amp;Milestones!$AC$132&amp;";  ","")&amp;IF(AND(EDATE($D64,Milestones!$AA$133)&lt;=AsOfDate,IF($R64=0,$X64,IF(AND($T64&lt;&gt;"",EDATE($D64,Milestones!$AA$133)&gt;=$T64),$W64,IF(AND($S64&lt;&gt;"",EDATE($D64,Milestones!$AA$133)&gt;=$S64),$V64,$U64)))=Milestones!$AB$133),UPPER(TEXT(EDATE($D64,Milestones!$AA$133),"dd mmm yy"))&amp;" "&amp;Milestones!$AB$133&amp;" "&amp;Milestones!$AC$133&amp;";  ","")&amp;IF(AND(EDATE($D64,Milestones!$AA$134)&lt;=AsOfDate,IF($R64=0,$X64,IF(AND($T64&lt;&gt;"",EDATE($D64,Milestones!$AA$134)&gt;=$T64),$W64,IF(AND($S64&lt;&gt;"",EDATE($D64,Milestones!$AA$134)&gt;=$S64),$V64,$U64)))=Milestones!$AB$134),UPPER(TEXT(EDATE($D64,Milestones!$AA$134),"dd mmm yy"))&amp;" "&amp;Milestones!$AB$134&amp;" "&amp;Milestones!$AC$134&amp;";  ","")&amp;IF(AND(EDATE($D64,Milestones!$AA$135)&lt;=AsOfDate,IF($R64=0,$X64,IF(AND($T64&lt;&gt;"",EDATE($D64,Milestones!$AA$135)&gt;=$T64),$W64,IF(AND($S64&lt;&gt;"",EDATE($D64,Milestones!$AA$135)&gt;=$S64),$V64,$U64)))=Milestones!$AB$135),UPPER(TEXT(EDATE($D64,Milestones!$AA$135),"dd mmm yy"))&amp;" "&amp;Milestones!$AB$135&amp;" "&amp;Milestones!$AC$135&amp;";  ","")&amp;IF(AND(EDATE($D64,Milestones!$AA$136)&lt;=AsOfDate,IF($R64=0,$X64,IF(AND($T64&lt;&gt;"",EDATE($D64,Milestones!$AA$136)&gt;=$T64),$W64,IF(AND($S64&lt;&gt;"",EDATE($D64,Milestones!$AA$136)&gt;=$S64),$V64,$U64)))=Milestones!$AB$136),UPPER(TEXT(EDATE($D64,Milestones!$AA$136),"dd mmm yy"))&amp;" "&amp;Milestones!$AB$136&amp;" "&amp;Milestones!$AC$136&amp;";  ","")&amp;IF(AND(EDATE($D64,Milestones!$AA$137)&lt;=AsOfDate,IF($R64=0,$X64,IF(AND($T64&lt;&gt;"",EDATE($D64,Milestones!$AA$137)&gt;=$T64),$W64,IF(AND($S64&lt;&gt;"",EDATE($D64,Milestones!$AA$137)&gt;=$S64),$V64,$U64)))=Milestones!$AB$137),UPPER(TEXT(EDATE($D64,Milestones!$AA$137),"dd mmm yy"))&amp;" "&amp;Milestones!$AB$137&amp;" "&amp;Milestones!$AC$137&amp;";  ","")&amp;IF(AND(EDATE($D64,Milestones!$AA$138)&lt;=AsOfDate,IF($R64=0,$X64,IF(AND($T64&lt;&gt;"",EDATE($D64,Milestones!$AA$138)&gt;=$T64),$W64,IF(AND($S64&lt;&gt;"",EDATE($D64,Milestones!$AA$138)&gt;=$S64),$V64,$U64)))=Milestones!$AB$138),UPPER(TEXT(EDATE($D64,Milestones!$AA$138),"dd mmm yy"))&amp;" "&amp;Milestones!$AB$138&amp;" "&amp;Milestones!$AC$138&amp;";  ","")&amp;IF(AND(EDATE($D64,Milestones!$AA$139)&lt;=AsOfDate,IF($R64=0,$X64,IF(AND($T64&lt;&gt;"",EDATE($D64,Milestones!$AA$139)&gt;=$T64),$W64,IF(AND($S64&lt;&gt;"",EDATE($D64,Milestones!$AA$139)&gt;=$S64),$V64,$U64)))=Milestones!$AB$139),UPPER(TEXT(EDATE($D64,Milestones!$AA$139),"dd mmm yy"))&amp;" "&amp;Milestones!$AB$139&amp;" "&amp;Milestones!$AC$139&amp;";  ",""))</f>
        <v/>
      </c>
      <c r="O64" s="0" t="str">
        <f aca="false">IF(OR($A64="",$D64=""),"",IF(AND(EDATE($D64,Milestones!$AA$140)&lt;=AsOfDate,IF($R64=0,$X64,IF(AND($T64&lt;&gt;"",EDATE($D64,Milestones!$AA$140)&gt;=$T64),$W64,IF(AND($S64&lt;&gt;"",EDATE($D64,Milestones!$AA$140)&gt;=$S64),$V64,$U64)))=Milestones!$AB$140),UPPER(TEXT(EDATE($D64,Milestones!$AA$140),"dd mmm yy"))&amp;" "&amp;Milestones!$AB$140&amp;" "&amp;Milestones!$AC$140&amp;";  ","")&amp;IF(AND(EDATE($D64,Milestones!$AA$141)&lt;=AsOfDate,IF($R64=0,$X64,IF(AND($T64&lt;&gt;"",EDATE($D64,Milestones!$AA$141)&gt;=$T64),$W64,IF(AND($S64&lt;&gt;"",EDATE($D64,Milestones!$AA$141)&gt;=$S64),$V64,$U64)))=Milestones!$AB$141),UPPER(TEXT(EDATE($D64,Milestones!$AA$141),"dd mmm yy"))&amp;" "&amp;Milestones!$AB$141&amp;" "&amp;Milestones!$AC$141&amp;";  ","")&amp;IF(AND(EDATE($D64,Milestones!$AA$142)&lt;=AsOfDate,IF($R64=0,$X64,IF(AND($T64&lt;&gt;"",EDATE($D64,Milestones!$AA$142)&gt;=$T64),$W64,IF(AND($S64&lt;&gt;"",EDATE($D64,Milestones!$AA$142)&gt;=$S64),$V64,$U64)))=Milestones!$AB$142),UPPER(TEXT(EDATE($D64,Milestones!$AA$142),"dd mmm yy"))&amp;" "&amp;Milestones!$AB$142&amp;" "&amp;Milestones!$AC$142&amp;";  ","")&amp;IF(AND(EDATE($D64,Milestones!$AA$143)&lt;=AsOfDate,IF($R64=0,$X64,IF(AND($T64&lt;&gt;"",EDATE($D64,Milestones!$AA$143)&gt;=$T64),$W64,IF(AND($S64&lt;&gt;"",EDATE($D64,Milestones!$AA$143)&gt;=$S64),$V64,$U64)))=Milestones!$AB$143),UPPER(TEXT(EDATE($D64,Milestones!$AA$143),"dd mmm yy"))&amp;" "&amp;Milestones!$AB$143&amp;" "&amp;Milestones!$AC$143&amp;";  ","")&amp;IF(AND(EDATE($D64,Milestones!$AA$144)&lt;=AsOfDate,IF($R64=0,$X64,IF(AND($T64&lt;&gt;"",EDATE($D64,Milestones!$AA$144)&gt;=$T64),$W64,IF(AND($S64&lt;&gt;"",EDATE($D64,Milestones!$AA$144)&gt;=$S64),$V64,$U64)))=Milestones!$AB$144),UPPER(TEXT(EDATE($D64,Milestones!$AA$144),"dd mmm yy"))&amp;" "&amp;Milestones!$AB$144&amp;" "&amp;Milestones!$AC$144&amp;";  ","")&amp;IF(AND(EDATE($D64,Milestones!$AA$145)&lt;=AsOfDate,IF($R64=0,$X64,IF(AND($T64&lt;&gt;"",EDATE($D64,Milestones!$AA$145)&gt;=$T64),$W64,IF(AND($S64&lt;&gt;"",EDATE($D64,Milestones!$AA$145)&gt;=$S64),$V64,$U64)))=Milestones!$AB$145),UPPER(TEXT(EDATE($D64,Milestones!$AA$145),"dd mmm yy"))&amp;" "&amp;Milestones!$AB$145&amp;" "&amp;Milestones!$AC$145&amp;";  ","")&amp;IF(AND(EDATE($D64,Milestones!$AA$146)&lt;=AsOfDate,IF($R64=0,$X64,IF(AND($T64&lt;&gt;"",EDATE($D64,Milestones!$AA$146)&gt;=$T64),$W64,IF(AND($S64&lt;&gt;"",EDATE($D64,Milestones!$AA$146)&gt;=$S64),$V64,$U64)))=Milestones!$AB$146),UPPER(TEXT(EDATE($D64,Milestones!$AA$146),"dd mmm yy"))&amp;" "&amp;Milestones!$AB$146&amp;" "&amp;Milestones!$AC$146&amp;";  ","")&amp;IF(AND(EDATE($D64,Milestones!$AA$147)&lt;=AsOfDate,IF($R64=0,$X64,IF(AND($T64&lt;&gt;"",EDATE($D64,Milestones!$AA$147)&gt;=$T64),$W64,IF(AND($S64&lt;&gt;"",EDATE($D64,Milestones!$AA$147)&gt;=$S64),$V64,$U64)))=Milestones!$AB$147),UPPER(TEXT(EDATE($D64,Milestones!$AA$147),"dd mmm yy"))&amp;" "&amp;Milestones!$AB$147&amp;" "&amp;Milestones!$AC$147&amp;";  ","")&amp;IF(AND(EDATE($D64,Milestones!$AA$148)&lt;=AsOfDate,IF($R64=0,$X64,IF(AND($T64&lt;&gt;"",EDATE($D64,Milestones!$AA$148)&gt;=$T64),$W64,IF(AND($S64&lt;&gt;"",EDATE($D64,Milestones!$AA$148)&gt;=$S64),$V64,$U64)))=Milestones!$AB$148),UPPER(TEXT(EDATE($D64,Milestones!$AA$148),"dd mmm yy"))&amp;" "&amp;Milestones!$AB$148&amp;" "&amp;Milestones!$AC$148&amp;";  ","")&amp;IF(AND(EDATE($D64,Milestones!$AA$149)&lt;=AsOfDate,IF($R64=0,$X64,IF(AND($T64&lt;&gt;"",EDATE($D64,Milestones!$AA$149)&gt;=$T64),$W64,IF(AND($S64&lt;&gt;"",EDATE($D64,Milestones!$AA$149)&gt;=$S64),$V64,$U64)))=Milestones!$AB$149),UPPER(TEXT(EDATE($D64,Milestones!$AA$149),"dd mmm yy"))&amp;" "&amp;Milestones!$AB$149&amp;" "&amp;Milestones!$AC$149&amp;";  ","")&amp;IF(AND(EDATE($D64,Milestones!$AA$150)&lt;=AsOfDate,IF($R64=0,$X64,IF(AND($T64&lt;&gt;"",EDATE($D64,Milestones!$AA$150)&gt;=$T64),$W64,IF(AND($S64&lt;&gt;"",EDATE($D64,Milestones!$AA$150)&gt;=$S64),$V64,$U64)))=Milestones!$AB$150),UPPER(TEXT(EDATE($D64,Milestones!$AA$150),"dd mmm yy"))&amp;" "&amp;Milestones!$AB$150&amp;" "&amp;Milestones!$AC$150&amp;";  ","")&amp;IF(AND(EDATE($D64,Milestones!$AA$151)&lt;=AsOfDate,IF($R64=0,$X64,IF(AND($T64&lt;&gt;"",EDATE($D64,Milestones!$AA$151)&gt;=$T64),$W64,IF(AND($S64&lt;&gt;"",EDATE($D64,Milestones!$AA$151)&gt;=$S64),$V64,$U64)))=Milestones!$AB$151),UPPER(TEXT(EDATE($D64,Milestones!$AA$151),"dd mmm yy"))&amp;" "&amp;Milestones!$AB$151&amp;" "&amp;Milestones!$AC$151&amp;";  ","")&amp;IF(AND(EDATE($D64,Milestones!$AA$152)&lt;=AsOfDate,IF($R64=0,$X64,IF(AND($T64&lt;&gt;"",EDATE($D64,Milestones!$AA$152)&gt;=$T64),$W64,IF(AND($S64&lt;&gt;"",EDATE($D64,Milestones!$AA$152)&gt;=$S64),$V64,$U64)))=Milestones!$AB$152),UPPER(TEXT(EDATE($D64,Milestones!$AA$152),"dd mmm yy"))&amp;" "&amp;Milestones!$AB$152&amp;" "&amp;Milestones!$AC$152&amp;";  ","")&amp;IF(AND(EDATE($D64,Milestones!$AA$153)&lt;=AsOfDate,IF($R64=0,$X64,IF(AND($T64&lt;&gt;"",EDATE($D64,Milestones!$AA$153)&gt;=$T64),$W64,IF(AND($S64&lt;&gt;"",EDATE($D64,Milestones!$AA$153)&gt;=$S64),$V64,$U64)))=Milestones!$AB$153),UPPER(TEXT(EDATE($D64,Milestones!$AA$153),"dd mmm yy"))&amp;" "&amp;Milestones!$AB$153&amp;" "&amp;Milestones!$AC$153&amp;";  ","")&amp;IF(AND(EDATE($D64,Milestones!$AA$154)&lt;=AsOfDate,IF($R64=0,$X64,IF(AND($T64&lt;&gt;"",EDATE($D64,Milestones!$AA$154)&gt;=$T64),$W64,IF(AND($S64&lt;&gt;"",EDATE($D64,Milestones!$AA$154)&gt;=$S64),$V64,$U64)))=Milestones!$AB$154),UPPER(TEXT(EDATE($D64,Milestones!$AA$154),"dd mmm yy"))&amp;" "&amp;Milestones!$AB$154&amp;" "&amp;Milestones!$AC$154&amp;";  ","")&amp;IF(AND(EDATE($D64,Milestones!$AA$155)&lt;=AsOfDate,IF($R64=0,$X64,IF(AND($T64&lt;&gt;"",EDATE($D64,Milestones!$AA$155)&gt;=$T64),$W64,IF(AND($S64&lt;&gt;"",EDATE($D64,Milestones!$AA$155)&gt;=$S64),$V64,$U64)))=Milestones!$AB$155),UPPER(TEXT(EDATE($D64,Milestones!$AA$155),"dd mmm yy"))&amp;" "&amp;Milestones!$AB$155&amp;" "&amp;Milestones!$AC$155&amp;";  ","")&amp;IF(AND(EDATE($D64,Milestones!$AA$156)&lt;=AsOfDate,IF($R64=0,$X64,IF(AND($T64&lt;&gt;"",EDATE($D64,Milestones!$AA$156)&gt;=$T64),$W64,IF(AND($S64&lt;&gt;"",EDATE($D64,Milestones!$AA$156)&gt;=$S64),$V64,$U64)))=Milestones!$AB$156),UPPER(TEXT(EDATE($D64,Milestones!$AA$156),"dd mmm yy"))&amp;" "&amp;Milestones!$AB$156&amp;" "&amp;Milestones!$AC$156&amp;";  ","")&amp;IF(AND(EDATE($D64,Milestones!$AA$157)&lt;=AsOfDate,IF($R64=0,$X64,IF(AND($T64&lt;&gt;"",EDATE($D64,Milestones!$AA$157)&gt;=$T64),$W64,IF(AND($S64&lt;&gt;"",EDATE($D64,Milestones!$AA$157)&gt;=$S64),$V64,$U64)))=Milestones!$AB$157),UPPER(TEXT(EDATE($D64,Milestones!$AA$157),"dd mmm yy"))&amp;" "&amp;Milestones!$AB$157&amp;" "&amp;Milestones!$AC$157&amp;";  ","")&amp;IF(AND(EDATE($D64,Milestones!$AA$158)&lt;=AsOfDate,IF($R64=0,$X64,IF(AND($T64&lt;&gt;"",EDATE($D64,Milestones!$AA$158)&gt;=$T64),$W64,IF(AND($S64&lt;&gt;"",EDATE($D64,Milestones!$AA$158)&gt;=$S64),$V64,$U64)))=Milestones!$AB$158),UPPER(TEXT(EDATE($D64,Milestones!$AA$158),"dd mmm yy"))&amp;" "&amp;Milestones!$AB$158&amp;" "&amp;Milestones!$AC$158&amp;";  ","")&amp;IF(AND(EDATE($D64,Milestones!$AA$159)&lt;=AsOfDate,IF($R64=0,$X64,IF(AND($T64&lt;&gt;"",EDATE($D64,Milestones!$AA$159)&gt;=$T64),$W64,IF(AND($S64&lt;&gt;"",EDATE($D64,Milestones!$AA$159)&gt;=$S64),$V64,$U64)))=Milestones!$AB$159),UPPER(TEXT(EDATE($D64,Milestones!$AA$159),"dd mmm yy"))&amp;" "&amp;Milestones!$AB$159&amp;" "&amp;Milestones!$AC$159&amp;";  ",""))</f>
        <v/>
      </c>
      <c r="P64" s="0" t="str">
        <f aca="false">IF(OR($A64="",$D64=""),"",IF(AND(EDATE($D64,Milestones!$AA$160)&lt;=AsOfDate,IF($R64=0,$X64,IF(AND($T64&lt;&gt;"",EDATE($D64,Milestones!$AA$160)&gt;=$T64),$W64,IF(AND($S64&lt;&gt;"",EDATE($D64,Milestones!$AA$160)&gt;=$S64),$V64,$U64)))=Milestones!$AB$160),UPPER(TEXT(EDATE($D64,Milestones!$AA$160),"dd mmm yy"))&amp;" "&amp;Milestones!$AB$160&amp;" "&amp;Milestones!$AC$160&amp;";  ","")&amp;IF(AND(EDATE($D64,Milestones!$AA$161)&lt;=AsOfDate,IF($R64=0,$X64,IF(AND($T64&lt;&gt;"",EDATE($D64,Milestones!$AA$161)&gt;=$T64),$W64,IF(AND($S64&lt;&gt;"",EDATE($D64,Milestones!$AA$161)&gt;=$S64),$V64,$U64)))=Milestones!$AB$161),UPPER(TEXT(EDATE($D64,Milestones!$AA$161),"dd mmm yy"))&amp;" "&amp;Milestones!$AB$161&amp;" "&amp;Milestones!$AC$161&amp;";  ","")&amp;IF(AND(EDATE($D64,Milestones!$AA$162)&lt;=AsOfDate,IF($R64=0,$X64,IF(AND($T64&lt;&gt;"",EDATE($D64,Milestones!$AA$162)&gt;=$T64),$W64,IF(AND($S64&lt;&gt;"",EDATE($D64,Milestones!$AA$162)&gt;=$S64),$V64,$U64)))=Milestones!$AB$162),UPPER(TEXT(EDATE($D64,Milestones!$AA$162),"dd mmm yy"))&amp;" "&amp;Milestones!$AB$162&amp;" "&amp;Milestones!$AC$162&amp;";  ","")&amp;IF(AND(EDATE($D64,Milestones!$AA$163)&lt;=AsOfDate,IF($R64=0,$X64,IF(AND($T64&lt;&gt;"",EDATE($D64,Milestones!$AA$163)&gt;=$T64),$W64,IF(AND($S64&lt;&gt;"",EDATE($D64,Milestones!$AA$163)&gt;=$S64),$V64,$U64)))=Milestones!$AB$163),UPPER(TEXT(EDATE($D64,Milestones!$AA$163),"dd mmm yy"))&amp;" "&amp;Milestones!$AB$163&amp;" "&amp;Milestones!$AC$163&amp;";  ","")&amp;IF(AND(EDATE($D64,Milestones!$AA$164)&lt;=AsOfDate,IF($R64=0,$X64,IF(AND($T64&lt;&gt;"",EDATE($D64,Milestones!$AA$164)&gt;=$T64),$W64,IF(AND($S64&lt;&gt;"",EDATE($D64,Milestones!$AA$164)&gt;=$S64),$V64,$U64)))=Milestones!$AB$164),UPPER(TEXT(EDATE($D64,Milestones!$AA$164),"dd mmm yy"))&amp;" "&amp;Milestones!$AB$164&amp;" "&amp;Milestones!$AC$164&amp;";  ","")&amp;IF(AND(EDATE($D64,Milestones!$AA$165)&lt;=AsOfDate,IF($R64=0,$X64,IF(AND($T64&lt;&gt;"",EDATE($D64,Milestones!$AA$165)&gt;=$T64),$W64,IF(AND($S64&lt;&gt;"",EDATE($D64,Milestones!$AA$165)&gt;=$S64),$V64,$U64)))=Milestones!$AB$165),UPPER(TEXT(EDATE($D64,Milestones!$AA$165),"dd mmm yy"))&amp;" "&amp;Milestones!$AB$165&amp;" "&amp;Milestones!$AC$165&amp;";  ","")&amp;IF(AND(EDATE($D64,Milestones!$AA$166)&lt;=AsOfDate,IF($R64=0,$X64,IF(AND($T64&lt;&gt;"",EDATE($D64,Milestones!$AA$166)&gt;=$T64),$W64,IF(AND($S64&lt;&gt;"",EDATE($D64,Milestones!$AA$166)&gt;=$S64),$V64,$U64)))=Milestones!$AB$166),UPPER(TEXT(EDATE($D64,Milestones!$AA$166),"dd mmm yy"))&amp;" "&amp;Milestones!$AB$166&amp;" "&amp;Milestones!$AC$166&amp;";  ","")&amp;IF(AND(EDATE($D64,Milestones!$AA$167)&lt;=AsOfDate,IF($R64=0,$X64,IF(AND($T64&lt;&gt;"",EDATE($D64,Milestones!$AA$167)&gt;=$T64),$W64,IF(AND($S64&lt;&gt;"",EDATE($D64,Milestones!$AA$167)&gt;=$S64),$V64,$U64)))=Milestones!$AB$167),UPPER(TEXT(EDATE($D64,Milestones!$AA$167),"dd mmm yy"))&amp;" "&amp;Milestones!$AB$167&amp;" "&amp;Milestones!$AC$167&amp;";  ","")&amp;IF(AND(EDATE($D64,Milestones!$AA$168)&lt;=AsOfDate,IF($R64=0,$X64,IF(AND($T64&lt;&gt;"",EDATE($D64,Milestones!$AA$168)&gt;=$T64),$W64,IF(AND($S64&lt;&gt;"",EDATE($D64,Milestones!$AA$168)&gt;=$S64),$V64,$U64)))=Milestones!$AB$168),UPPER(TEXT(EDATE($D64,Milestones!$AA$168),"dd mmm yy"))&amp;" "&amp;Milestones!$AB$168&amp;" "&amp;Milestones!$AC$168&amp;";  ","")&amp;IF(AND(EDATE($D64,Milestones!$AA$169)&lt;=AsOfDate,IF($R64=0,$X64,IF(AND($T64&lt;&gt;"",EDATE($D64,Milestones!$AA$169)&gt;=$T64),$W64,IF(AND($S64&lt;&gt;"",EDATE($D64,Milestones!$AA$169)&gt;=$S64),$V64,$U64)))=Milestones!$AB$169),UPPER(TEXT(EDATE($D64,Milestones!$AA$169),"dd mmm yy"))&amp;" "&amp;Milestones!$AB$169&amp;" "&amp;Milestones!$AC$169&amp;";  ","")&amp;IF(AND(EDATE($D64,Milestones!$AA$170)&lt;=AsOfDate,IF($R64=0,$X64,IF(AND($T64&lt;&gt;"",EDATE($D64,Milestones!$AA$170)&gt;=$T64),$W64,IF(AND($S64&lt;&gt;"",EDATE($D64,Milestones!$AA$170)&gt;=$S64),$V64,$U64)))=Milestones!$AB$170),UPPER(TEXT(EDATE($D64,Milestones!$AA$170),"dd mmm yy"))&amp;" "&amp;Milestones!$AB$170&amp;" "&amp;Milestones!$AC$170&amp;";  ","")&amp;IF(AND(EDATE($D64,Milestones!$AA$171)&lt;=AsOfDate,IF($R64=0,$X64,IF(AND($T64&lt;&gt;"",EDATE($D64,Milestones!$AA$171)&gt;=$T64),$W64,IF(AND($S64&lt;&gt;"",EDATE($D64,Milestones!$AA$171)&gt;=$S64),$V64,$U64)))=Milestones!$AB$171),UPPER(TEXT(EDATE($D64,Milestones!$AA$171),"dd mmm yy"))&amp;" "&amp;Milestones!$AB$171&amp;" "&amp;Milestones!$AC$171&amp;";  ","")&amp;IF(AND(EDATE($D64,Milestones!$AA$172)&lt;=AsOfDate,IF($R64=0,$X64,IF(AND($T64&lt;&gt;"",EDATE($D64,Milestones!$AA$172)&gt;=$T64),$W64,IF(AND($S64&lt;&gt;"",EDATE($D64,Milestones!$AA$172)&gt;=$S64),$V64,$U64)))=Milestones!$AB$172),UPPER(TEXT(EDATE($D64,Milestones!$AA$172),"dd mmm yy"))&amp;" "&amp;Milestones!$AB$172&amp;" "&amp;Milestones!$AC$172&amp;";  ","")&amp;IF(AND(EDATE($D64,Milestones!$AA$173)&lt;=AsOfDate,IF($R64=0,$X64,IF(AND($T64&lt;&gt;"",EDATE($D64,Milestones!$AA$173)&gt;=$T64),$W64,IF(AND($S64&lt;&gt;"",EDATE($D64,Milestones!$AA$173)&gt;=$S64),$V64,$U64)))=Milestones!$AB$173),UPPER(TEXT(EDATE($D64,Milestones!$AA$173),"dd mmm yy"))&amp;" "&amp;Milestones!$AB$173&amp;" "&amp;Milestones!$AC$173&amp;";  ","")&amp;IF(AND(EDATE($D64,Milestones!$AA$174)&lt;=AsOfDate,IF($R64=0,$X64,IF(AND($T64&lt;&gt;"",EDATE($D64,Milestones!$AA$174)&gt;=$T64),$W64,IF(AND($S64&lt;&gt;"",EDATE($D64,Milestones!$AA$174)&gt;=$S64),$V64,$U64)))=Milestones!$AB$174),UPPER(TEXT(EDATE($D64,Milestones!$AA$174),"dd mmm yy"))&amp;" "&amp;Milestones!$AB$174&amp;" "&amp;Milestones!$AC$174&amp;";  ","")&amp;IF(AND(EDATE($D64,Milestones!$AA$175)&lt;=AsOfDate,IF($R64=0,$X64,IF(AND($T64&lt;&gt;"",EDATE($D64,Milestones!$AA$175)&gt;=$T64),$W64,IF(AND($S64&lt;&gt;"",EDATE($D64,Milestones!$AA$175)&gt;=$S64),$V64,$U64)))=Milestones!$AB$175),UPPER(TEXT(EDATE($D64,Milestones!$AA$175),"dd mmm yy"))&amp;" "&amp;Milestones!$AB$175&amp;" "&amp;Milestones!$AC$175&amp;";  ","")&amp;IF(AND(EDATE($D64,Milestones!$AA$176)&lt;=AsOfDate,IF($R64=0,$X64,IF(AND($T64&lt;&gt;"",EDATE($D64,Milestones!$AA$176)&gt;=$T64),$W64,IF(AND($S64&lt;&gt;"",EDATE($D64,Milestones!$AA$176)&gt;=$S64),$V64,$U64)))=Milestones!$AB$176),UPPER(TEXT(EDATE($D64,Milestones!$AA$176),"dd mmm yy"))&amp;" "&amp;Milestones!$AB$176&amp;" "&amp;Milestones!$AC$176&amp;";  ","")&amp;IF(AND(EDATE($D64,Milestones!$AA$177)&lt;=AsOfDate,IF($R64=0,$X64,IF(AND($T64&lt;&gt;"",EDATE($D64,Milestones!$AA$177)&gt;=$T64),$W64,IF(AND($S64&lt;&gt;"",EDATE($D64,Milestones!$AA$177)&gt;=$S64),$V64,$U64)))=Milestones!$AB$177),UPPER(TEXT(EDATE($D64,Milestones!$AA$177),"dd mmm yy"))&amp;" "&amp;Milestones!$AB$177&amp;" "&amp;Milestones!$AC$177&amp;";  ","")&amp;IF(AND(EDATE($D64,Milestones!$AA$178)&lt;=AsOfDate,IF($R64=0,$X64,IF(AND($T64&lt;&gt;"",EDATE($D64,Milestones!$AA$178)&gt;=$T64),$W64,IF(AND($S64&lt;&gt;"",EDATE($D64,Milestones!$AA$178)&gt;=$S64),$V64,$U64)))=Milestones!$AB$178),UPPER(TEXT(EDATE($D64,Milestones!$AA$178),"dd mmm yy"))&amp;" "&amp;Milestones!$AB$178&amp;" "&amp;Milestones!$AC$178&amp;";  ","")&amp;IF(AND(EDATE($D64,Milestones!$AA$179)&lt;=AsOfDate,IF($R64=0,$X64,IF(AND($T64&lt;&gt;"",EDATE($D64,Milestones!$AA$179)&gt;=$T64),$W64,IF(AND($S64&lt;&gt;"",EDATE($D64,Milestones!$AA$179)&gt;=$S64),$V64,$U64)))=Milestones!$AB$179),UPPER(TEXT(EDATE($D64,Milestones!$AA$179),"dd mmm yy"))&amp;" "&amp;Milestones!$AB$179&amp;" "&amp;Milestones!$AC$179&amp;";  ",""))</f>
        <v/>
      </c>
      <c r="Q64" s="0" t="str">
        <f aca="false">IF(OR($A64="",$D64=""),"",IF(AND(EDATE($D64,Milestones!$AA$180)&lt;=AsOfDate,IF($R64=0,$X64,IF(AND($T64&lt;&gt;"",EDATE($D64,Milestones!$AA$180)&gt;=$T64),$W64,IF(AND($S64&lt;&gt;"",EDATE($D64,Milestones!$AA$180)&gt;=$S64),$V64,$U64)))=Milestones!$AB$180),UPPER(TEXT(EDATE($D64,Milestones!$AA$180),"dd mmm yy"))&amp;" "&amp;Milestones!$AB$180&amp;" "&amp;Milestones!$AC$180&amp;";  ","")&amp;IF(AND(EDATE($D64,Milestones!$AA$181)&lt;=AsOfDate,IF($R64=0,$X64,IF(AND($T64&lt;&gt;"",EDATE($D64,Milestones!$AA$181)&gt;=$T64),$W64,IF(AND($S64&lt;&gt;"",EDATE($D64,Milestones!$AA$181)&gt;=$S64),$V64,$U64)))=Milestones!$AB$181),UPPER(TEXT(EDATE($D64,Milestones!$AA$181),"dd mmm yy"))&amp;" "&amp;Milestones!$AB$181&amp;" "&amp;Milestones!$AC$181&amp;";  ","")&amp;IF(AND(EDATE($D64,Milestones!$AA$182)&lt;=AsOfDate,IF($R64=0,$X64,IF(AND($T64&lt;&gt;"",EDATE($D64,Milestones!$AA$182)&gt;=$T64),$W64,IF(AND($S64&lt;&gt;"",EDATE($D64,Milestones!$AA$182)&gt;=$S64),$V64,$U64)))=Milestones!$AB$182),UPPER(TEXT(EDATE($D64,Milestones!$AA$182),"dd mmm yy"))&amp;" "&amp;Milestones!$AB$182&amp;" "&amp;Milestones!$AC$182&amp;";  ","")&amp;IF(AND(EDATE($D64,Milestones!$AA$183)&lt;=AsOfDate,IF($R64=0,$X64,IF(AND($T64&lt;&gt;"",EDATE($D64,Milestones!$AA$183)&gt;=$T64),$W64,IF(AND($S64&lt;&gt;"",EDATE($D64,Milestones!$AA$183)&gt;=$S64),$V64,$U64)))=Milestones!$AB$183),UPPER(TEXT(EDATE($D64,Milestones!$AA$183),"dd mmm yy"))&amp;" "&amp;Milestones!$AB$183&amp;" "&amp;Milestones!$AC$183&amp;";  ","")&amp;IF(AND(EDATE($D64,Milestones!$AA$184)&lt;=AsOfDate,IF($R64=0,$X64,IF(AND($T64&lt;&gt;"",EDATE($D64,Milestones!$AA$184)&gt;=$T64),$W64,IF(AND($S64&lt;&gt;"",EDATE($D64,Milestones!$AA$184)&gt;=$S64),$V64,$U64)))=Milestones!$AB$184),UPPER(TEXT(EDATE($D64,Milestones!$AA$184),"dd mmm yy"))&amp;" "&amp;Milestones!$AB$184&amp;" "&amp;Milestones!$AC$184&amp;";  ","")&amp;IF(AND(EDATE($D64,Milestones!$AA$185)&lt;=AsOfDate,IF($R64=0,$X64,IF(AND($T64&lt;&gt;"",EDATE($D64,Milestones!$AA$185)&gt;=$T64),$W64,IF(AND($S64&lt;&gt;"",EDATE($D64,Milestones!$AA$185)&gt;=$S64),$V64,$U64)))=Milestones!$AB$185),UPPER(TEXT(EDATE($D64,Milestones!$AA$185),"dd mmm yy"))&amp;" "&amp;Milestones!$AB$185&amp;" "&amp;Milestones!$AC$185&amp;";  ","")&amp;IF(AND(EDATE($D64,Milestones!$AA$186)&lt;=AsOfDate,IF($R64=0,$X64,IF(AND($T64&lt;&gt;"",EDATE($D64,Milestones!$AA$186)&gt;=$T64),$W64,IF(AND($S64&lt;&gt;"",EDATE($D64,Milestones!$AA$186)&gt;=$S64),$V64,$U64)))=Milestones!$AB$186),UPPER(TEXT(EDATE($D64,Milestones!$AA$186),"dd mmm yy"))&amp;" "&amp;Milestones!$AB$186&amp;" "&amp;Milestones!$AC$186&amp;";  ","")&amp;IF(AND(EDATE($D64,Milestones!$AA$187)&lt;=AsOfDate,IF($R64=0,$X64,IF(AND($T64&lt;&gt;"",EDATE($D64,Milestones!$AA$187)&gt;=$T64),$W64,IF(AND($S64&lt;&gt;"",EDATE($D64,Milestones!$AA$187)&gt;=$S64),$V64,$U64)))=Milestones!$AB$187),UPPER(TEXT(EDATE($D64,Milestones!$AA$187),"dd mmm yy"))&amp;" "&amp;Milestones!$AB$187&amp;" "&amp;Milestones!$AC$187&amp;";  ","")&amp;IF(AND(EDATE($D64,Milestones!$AA$188)&lt;=AsOfDate,IF($R64=0,$X64,IF(AND($T64&lt;&gt;"",EDATE($D64,Milestones!$AA$188)&gt;=$T64),$W64,IF(AND($S64&lt;&gt;"",EDATE($D64,Milestones!$AA$188)&gt;=$S64),$V64,$U64)))=Milestones!$AB$188),UPPER(TEXT(EDATE($D64,Milestones!$AA$188),"dd mmm yy"))&amp;" "&amp;Milestones!$AB$188&amp;" "&amp;Milestones!$AC$188&amp;";  ","")&amp;IF(AND(EDATE($D64,Milestones!$AA$189)&lt;=AsOfDate,IF($R64=0,$X64,IF(AND($T64&lt;&gt;"",EDATE($D64,Milestones!$AA$189)&gt;=$T64),$W64,IF(AND($S64&lt;&gt;"",EDATE($D64,Milestones!$AA$189)&gt;=$S64),$V64,$U64)))=Milestones!$AB$189),UPPER(TEXT(EDATE($D64,Milestones!$AA$189),"dd mmm yy"))&amp;" "&amp;Milestones!$AB$189&amp;" "&amp;Milestones!$AC$189&amp;";  ","")&amp;IF(AND(EDATE($D64,Milestones!$AA$190)&lt;=AsOfDate,IF($R64=0,$X64,IF(AND($T64&lt;&gt;"",EDATE($D64,Milestones!$AA$190)&gt;=$T64),$W64,IF(AND($S64&lt;&gt;"",EDATE($D64,Milestones!$AA$190)&gt;=$S64),$V64,$U64)))=Milestones!$AB$190),UPPER(TEXT(EDATE($D64,Milestones!$AA$190),"dd mmm yy"))&amp;" "&amp;Milestones!$AB$190&amp;" "&amp;Milestones!$AC$190&amp;";  ","")&amp;IF(AND(EDATE($D64,Milestones!$AA$191)&lt;=AsOfDate,IF($R64=0,$X64,IF(AND($T64&lt;&gt;"",EDATE($D64,Milestones!$AA$191)&gt;=$T64),$W64,IF(AND($S64&lt;&gt;"",EDATE($D64,Milestones!$AA$191)&gt;=$S64),$V64,$U64)))=Milestones!$AB$191),UPPER(TEXT(EDATE($D64,Milestones!$AA$191),"dd mmm yy"))&amp;" "&amp;Milestones!$AB$191&amp;" "&amp;Milestones!$AC$191&amp;";  ","")&amp;IF(AND(EDATE($D64,Milestones!$AA$192)&lt;=AsOfDate,IF($R64=0,$X64,IF(AND($T64&lt;&gt;"",EDATE($D64,Milestones!$AA$192)&gt;=$T64),$W64,IF(AND($S64&lt;&gt;"",EDATE($D64,Milestones!$AA$192)&gt;=$S64),$V64,$U64)))=Milestones!$AB$192),UPPER(TEXT(EDATE($D64,Milestones!$AA$192),"dd mmm yy"))&amp;" "&amp;Milestones!$AB$192&amp;" "&amp;Milestones!$AC$192&amp;";  ","")&amp;IF(AND(EDATE($D64,Milestones!$AA$193)&lt;=AsOfDate,IF($R64=0,$X64,IF(AND($T64&lt;&gt;"",EDATE($D64,Milestones!$AA$193)&gt;=$T64),$W64,IF(AND($S64&lt;&gt;"",EDATE($D64,Milestones!$AA$193)&gt;=$S64),$V64,$U64)))=Milestones!$AB$193),UPPER(TEXT(EDATE($D64,Milestones!$AA$193),"dd mmm yy"))&amp;" "&amp;Milestones!$AB$193&amp;" "&amp;Milestones!$AC$193&amp;";  ","")&amp;IF(AND(EDATE($D64,Milestones!$AA$194)&lt;=AsOfDate,IF($R64=0,$X64,IF(AND($T64&lt;&gt;"",EDATE($D64,Milestones!$AA$194)&gt;=$T64),$W64,IF(AND($S64&lt;&gt;"",EDATE($D64,Milestones!$AA$194)&gt;=$S64),$V64,$U64)))=Milestones!$AB$194),UPPER(TEXT(EDATE($D64,Milestones!$AA$194),"dd mmm yy"))&amp;" "&amp;Milestones!$AB$194&amp;" "&amp;Milestones!$AC$194&amp;";  ","")&amp;IF(AND(EDATE($D64,Milestones!$AA$195)&lt;=AsOfDate,IF($R64=0,$X64,IF(AND($T64&lt;&gt;"",EDATE($D64,Milestones!$AA$195)&gt;=$T64),$W64,IF(AND($S64&lt;&gt;"",EDATE($D64,Milestones!$AA$195)&gt;=$S64),$V64,$U64)))=Milestones!$AB$195),UPPER(TEXT(EDATE($D64,Milestones!$AA$195),"dd mmm yy"))&amp;" "&amp;Milestones!$AB$195&amp;" "&amp;Milestones!$AC$195&amp;";  ","")&amp;IF(AND(EDATE($D64,Milestones!$AA$196)&lt;=AsOfDate,IF($R64=0,$X64,IF(AND($T64&lt;&gt;"",EDATE($D64,Milestones!$AA$196)&gt;=$T64),$W64,IF(AND($S64&lt;&gt;"",EDATE($D64,Milestones!$AA$196)&gt;=$S64),$V64,$U64)))=Milestones!$AB$196),UPPER(TEXT(EDATE($D64,Milestones!$AA$196),"dd mmm yy"))&amp;" "&amp;Milestones!$AB$196&amp;" "&amp;Milestones!$AC$196&amp;";  ","")&amp;IF(AND(EDATE($D64,Milestones!$AA$197)&lt;=AsOfDate,IF($R64=0,$X64,IF(AND($T64&lt;&gt;"",EDATE($D64,Milestones!$AA$197)&gt;=$T64),$W64,IF(AND($S64&lt;&gt;"",EDATE($D64,Milestones!$AA$197)&gt;=$S64),$V64,$U64)))=Milestones!$AB$197),UPPER(TEXT(EDATE($D64,Milestones!$AA$197),"dd mmm yy"))&amp;" "&amp;Milestones!$AB$197&amp;" "&amp;Milestones!$AC$197&amp;";  ","")&amp;IF(AND(EDATE($D64,Milestones!$AA$198)&lt;=AsOfDate,IF($R64=0,$X64,IF(AND($T64&lt;&gt;"",EDATE($D64,Milestones!$AA$198)&gt;=$T64),$W64,IF(AND($S64&lt;&gt;"",EDATE($D64,Milestones!$AA$198)&gt;=$S64),$V64,$U64)))=Milestones!$AB$198),UPPER(TEXT(EDATE($D64,Milestones!$AA$198),"dd mmm yy"))&amp;" "&amp;Milestones!$AB$198&amp;" "&amp;Milestones!$AC$198&amp;";  ","")&amp;IF(AND(EDATE($D64,Milestones!$AA$199)&lt;=AsOfDate,IF($R64=0,$X64,IF(AND($T64&lt;&gt;"",EDATE($D64,Milestones!$AA$199)&gt;=$T64),$W64,IF(AND($S64&lt;&gt;"",EDATE($D64,Milestones!$AA$199)&gt;=$S64),$V64,$U64)))=Milestones!$AB$199),UPPER(TEXT(EDATE($D64,Milestones!$AA$199),"dd mmm yy"))&amp;" "&amp;Milestones!$AB$199&amp;" "&amp;Milestones!$AC$199&amp;";  ",""))</f>
        <v/>
      </c>
      <c r="R64" s="33" t="n">
        <f aca="false">IF(Staff!$A64="","",Staff!$AI64)</f>
        <v>1</v>
      </c>
      <c r="S64" s="0" t="str">
        <f aca="false">IF(Staff!$A64="","",Staff!$AK64)</f>
        <v/>
      </c>
      <c r="T64" s="0" t="str">
        <f aca="false">IF(Staff!$A64="","",Staff!$AL64)</f>
        <v/>
      </c>
      <c r="U64" s="0" t="str">
        <f aca="false">IF(Staff!$A64="","",Staff!$AP64)</f>
        <v>FT</v>
      </c>
      <c r="V64" s="0" t="str">
        <f aca="false">IF(Staff!$A64="","",Staff!$AQ64)</f>
        <v/>
      </c>
      <c r="W64" s="0" t="str">
        <f aca="false">IF(Staff!$A64="","",Staff!$AR64)</f>
        <v/>
      </c>
      <c r="X64" s="0" t="str">
        <f aca="false">IF(Staff!$A64="","",Staff!$AS64)</f>
        <v>FT</v>
      </c>
    </row>
    <row r="65" customFormat="false" ht="15" hidden="false" customHeight="false" outlineLevel="0" collapsed="false">
      <c r="A65" s="19" t="str">
        <f aca="false">IF(Staff!$A65="","",Staff!$A65)</f>
        <v>Simone</v>
      </c>
      <c r="B65" s="19" t="str">
        <f aca="false">IF(Staff!$A65="","",Staff!$B65)</f>
        <v>Citrani</v>
      </c>
      <c r="C65" s="19" t="str">
        <f aca="false">IF(Staff!$A65="","",Staff!$C65)</f>
        <v>Casual</v>
      </c>
      <c r="D65" s="17" t="n">
        <f aca="false">IF(Staff!$A65="","",Staff!$AH65)</f>
        <v>45947</v>
      </c>
      <c r="E65" s="20" t="n">
        <f aca="false">IF(Staff!$A65="","",Staff!$O65)</f>
        <v>0</v>
      </c>
      <c r="F65" s="19" t="n">
        <f aca="false">IF(E65="","",E65*HoursPerDay)</f>
        <v>0</v>
      </c>
      <c r="G65" s="20" t="n">
        <f aca="false">IF(Staff!$A65="","",Staff!$AE65)</f>
        <v>0</v>
      </c>
      <c r="H65" s="32" t="str">
        <f aca="false">IF($A65="","",I65&amp;J65&amp;K65&amp;L65&amp;M65&amp;N65&amp;O65&amp;P65&amp;Q65)</f>
        <v/>
      </c>
      <c r="I65" s="0" t="str">
        <f aca="false">IF(OR($A65="",$D65=""),"",IF(AND(EDATE($D65,Milestones!$AA$20)&lt;=AsOfDate,IF($R65=0,$X65,IF(AND($T65&lt;&gt;"",EDATE($D65,Milestones!$AA$20)&gt;=$T65),$W65,IF(AND($S65&lt;&gt;"",EDATE($D65,Milestones!$AA$20)&gt;=$S65),$V65,$U65)))=Milestones!$AB$20),UPPER(TEXT(EDATE($D65,Milestones!$AA$20),"dd mmm yy"))&amp;" "&amp;Milestones!$AB$20&amp;" "&amp;Milestones!$AC$20&amp;";  ","")&amp;IF(AND(EDATE($D65,Milestones!$AA$21)&lt;=AsOfDate,IF($R65=0,$X65,IF(AND($T65&lt;&gt;"",EDATE($D65,Milestones!$AA$21)&gt;=$T65),$W65,IF(AND($S65&lt;&gt;"",EDATE($D65,Milestones!$AA$21)&gt;=$S65),$V65,$U65)))=Milestones!$AB$21),UPPER(TEXT(EDATE($D65,Milestones!$AA$21),"dd mmm yy"))&amp;" "&amp;Milestones!$AB$21&amp;" "&amp;Milestones!$AC$21&amp;";  ","")&amp;IF(AND(EDATE($D65,Milestones!$AA$22)&lt;=AsOfDate,IF($R65=0,$X65,IF(AND($T65&lt;&gt;"",EDATE($D65,Milestones!$AA$22)&gt;=$T65),$W65,IF(AND($S65&lt;&gt;"",EDATE($D65,Milestones!$AA$22)&gt;=$S65),$V65,$U65)))=Milestones!$AB$22),UPPER(TEXT(EDATE($D65,Milestones!$AA$22),"dd mmm yy"))&amp;" "&amp;Milestones!$AB$22&amp;" "&amp;Milestones!$AC$22&amp;";  ","")&amp;IF(AND(EDATE($D65,Milestones!$AA$23)&lt;=AsOfDate,IF($R65=0,$X65,IF(AND($T65&lt;&gt;"",EDATE($D65,Milestones!$AA$23)&gt;=$T65),$W65,IF(AND($S65&lt;&gt;"",EDATE($D65,Milestones!$AA$23)&gt;=$S65),$V65,$U65)))=Milestones!$AB$23),UPPER(TEXT(EDATE($D65,Milestones!$AA$23),"dd mmm yy"))&amp;" "&amp;Milestones!$AB$23&amp;" "&amp;Milestones!$AC$23&amp;";  ","")&amp;IF(AND(EDATE($D65,Milestones!$AA$24)&lt;=AsOfDate,IF($R65=0,$X65,IF(AND($T65&lt;&gt;"",EDATE($D65,Milestones!$AA$24)&gt;=$T65),$W65,IF(AND($S65&lt;&gt;"",EDATE($D65,Milestones!$AA$24)&gt;=$S65),$V65,$U65)))=Milestones!$AB$24),UPPER(TEXT(EDATE($D65,Milestones!$AA$24),"dd mmm yy"))&amp;" "&amp;Milestones!$AB$24&amp;" "&amp;Milestones!$AC$24&amp;";  ","")&amp;IF(AND(EDATE($D65,Milestones!$AA$25)&lt;=AsOfDate,IF($R65=0,$X65,IF(AND($T65&lt;&gt;"",EDATE($D65,Milestones!$AA$25)&gt;=$T65),$W65,IF(AND($S65&lt;&gt;"",EDATE($D65,Milestones!$AA$25)&gt;=$S65),$V65,$U65)))=Milestones!$AB$25),UPPER(TEXT(EDATE($D65,Milestones!$AA$25),"dd mmm yy"))&amp;" "&amp;Milestones!$AB$25&amp;" "&amp;Milestones!$AC$25&amp;";  ","")&amp;IF(AND(EDATE($D65,Milestones!$AA$26)&lt;=AsOfDate,IF($R65=0,$X65,IF(AND($T65&lt;&gt;"",EDATE($D65,Milestones!$AA$26)&gt;=$T65),$W65,IF(AND($S65&lt;&gt;"",EDATE($D65,Milestones!$AA$26)&gt;=$S65),$V65,$U65)))=Milestones!$AB$26),UPPER(TEXT(EDATE($D65,Milestones!$AA$26),"dd mmm yy"))&amp;" "&amp;Milestones!$AB$26&amp;" "&amp;Milestones!$AC$26&amp;";  ","")&amp;IF(AND(EDATE($D65,Milestones!$AA$27)&lt;=AsOfDate,IF($R65=0,$X65,IF(AND($T65&lt;&gt;"",EDATE($D65,Milestones!$AA$27)&gt;=$T65),$W65,IF(AND($S65&lt;&gt;"",EDATE($D65,Milestones!$AA$27)&gt;=$S65),$V65,$U65)))=Milestones!$AB$27),UPPER(TEXT(EDATE($D65,Milestones!$AA$27),"dd mmm yy"))&amp;" "&amp;Milestones!$AB$27&amp;" "&amp;Milestones!$AC$27&amp;";  ","")&amp;IF(AND(EDATE($D65,Milestones!$AA$28)&lt;=AsOfDate,IF($R65=0,$X65,IF(AND($T65&lt;&gt;"",EDATE($D65,Milestones!$AA$28)&gt;=$T65),$W65,IF(AND($S65&lt;&gt;"",EDATE($D65,Milestones!$AA$28)&gt;=$S65),$V65,$U65)))=Milestones!$AB$28),UPPER(TEXT(EDATE($D65,Milestones!$AA$28),"dd mmm yy"))&amp;" "&amp;Milestones!$AB$28&amp;" "&amp;Milestones!$AC$28&amp;";  ","")&amp;IF(AND(EDATE($D65,Milestones!$AA$29)&lt;=AsOfDate,IF($R65=0,$X65,IF(AND($T65&lt;&gt;"",EDATE($D65,Milestones!$AA$29)&gt;=$T65),$W65,IF(AND($S65&lt;&gt;"",EDATE($D65,Milestones!$AA$29)&gt;=$S65),$V65,$U65)))=Milestones!$AB$29),UPPER(TEXT(EDATE($D65,Milestones!$AA$29),"dd mmm yy"))&amp;" "&amp;Milestones!$AB$29&amp;" "&amp;Milestones!$AC$29&amp;";  ","")&amp;IF(AND(EDATE($D65,Milestones!$AA$30)&lt;=AsOfDate,IF($R65=0,$X65,IF(AND($T65&lt;&gt;"",EDATE($D65,Milestones!$AA$30)&gt;=$T65),$W65,IF(AND($S65&lt;&gt;"",EDATE($D65,Milestones!$AA$30)&gt;=$S65),$V65,$U65)))=Milestones!$AB$30),UPPER(TEXT(EDATE($D65,Milestones!$AA$30),"dd mmm yy"))&amp;" "&amp;Milestones!$AB$30&amp;" "&amp;Milestones!$AC$30&amp;";  ","")&amp;IF(AND(EDATE($D65,Milestones!$AA$31)&lt;=AsOfDate,IF($R65=0,$X65,IF(AND($T65&lt;&gt;"",EDATE($D65,Milestones!$AA$31)&gt;=$T65),$W65,IF(AND($S65&lt;&gt;"",EDATE($D65,Milestones!$AA$31)&gt;=$S65),$V65,$U65)))=Milestones!$AB$31),UPPER(TEXT(EDATE($D65,Milestones!$AA$31),"dd mmm yy"))&amp;" "&amp;Milestones!$AB$31&amp;" "&amp;Milestones!$AC$31&amp;";  ","")&amp;IF(AND(EDATE($D65,Milestones!$AA$32)&lt;=AsOfDate,IF($R65=0,$X65,IF(AND($T65&lt;&gt;"",EDATE($D65,Milestones!$AA$32)&gt;=$T65),$W65,IF(AND($S65&lt;&gt;"",EDATE($D65,Milestones!$AA$32)&gt;=$S65),$V65,$U65)))=Milestones!$AB$32),UPPER(TEXT(EDATE($D65,Milestones!$AA$32),"dd mmm yy"))&amp;" "&amp;Milestones!$AB$32&amp;" "&amp;Milestones!$AC$32&amp;";  ","")&amp;IF(AND(EDATE($D65,Milestones!$AA$33)&lt;=AsOfDate,IF($R65=0,$X65,IF(AND($T65&lt;&gt;"",EDATE($D65,Milestones!$AA$33)&gt;=$T65),$W65,IF(AND($S65&lt;&gt;"",EDATE($D65,Milestones!$AA$33)&gt;=$S65),$V65,$U65)))=Milestones!$AB$33),UPPER(TEXT(EDATE($D65,Milestones!$AA$33),"dd mmm yy"))&amp;" "&amp;Milestones!$AB$33&amp;" "&amp;Milestones!$AC$33&amp;";  ","")&amp;IF(AND(EDATE($D65,Milestones!$AA$34)&lt;=AsOfDate,IF($R65=0,$X65,IF(AND($T65&lt;&gt;"",EDATE($D65,Milestones!$AA$34)&gt;=$T65),$W65,IF(AND($S65&lt;&gt;"",EDATE($D65,Milestones!$AA$34)&gt;=$S65),$V65,$U65)))=Milestones!$AB$34),UPPER(TEXT(EDATE($D65,Milestones!$AA$34),"dd mmm yy"))&amp;" "&amp;Milestones!$AB$34&amp;" "&amp;Milestones!$AC$34&amp;";  ","")&amp;IF(AND(EDATE($D65,Milestones!$AA$35)&lt;=AsOfDate,IF($R65=0,$X65,IF(AND($T65&lt;&gt;"",EDATE($D65,Milestones!$AA$35)&gt;=$T65),$W65,IF(AND($S65&lt;&gt;"",EDATE($D65,Milestones!$AA$35)&gt;=$S65),$V65,$U65)))=Milestones!$AB$35),UPPER(TEXT(EDATE($D65,Milestones!$AA$35),"dd mmm yy"))&amp;" "&amp;Milestones!$AB$35&amp;" "&amp;Milestones!$AC$35&amp;";  ","")&amp;IF(AND(EDATE($D65,Milestones!$AA$36)&lt;=AsOfDate,IF($R65=0,$X65,IF(AND($T65&lt;&gt;"",EDATE($D65,Milestones!$AA$36)&gt;=$T65),$W65,IF(AND($S65&lt;&gt;"",EDATE($D65,Milestones!$AA$36)&gt;=$S65),$V65,$U65)))=Milestones!$AB$36),UPPER(TEXT(EDATE($D65,Milestones!$AA$36),"dd mmm yy"))&amp;" "&amp;Milestones!$AB$36&amp;" "&amp;Milestones!$AC$36&amp;";  ","")&amp;IF(AND(EDATE($D65,Milestones!$AA$37)&lt;=AsOfDate,IF($R65=0,$X65,IF(AND($T65&lt;&gt;"",EDATE($D65,Milestones!$AA$37)&gt;=$T65),$W65,IF(AND($S65&lt;&gt;"",EDATE($D65,Milestones!$AA$37)&gt;=$S65),$V65,$U65)))=Milestones!$AB$37),UPPER(TEXT(EDATE($D65,Milestones!$AA$37),"dd mmm yy"))&amp;" "&amp;Milestones!$AB$37&amp;" "&amp;Milestones!$AC$37&amp;";  ","")&amp;IF(AND(EDATE($D65,Milestones!$AA$38)&lt;=AsOfDate,IF($R65=0,$X65,IF(AND($T65&lt;&gt;"",EDATE($D65,Milestones!$AA$38)&gt;=$T65),$W65,IF(AND($S65&lt;&gt;"",EDATE($D65,Milestones!$AA$38)&gt;=$S65),$V65,$U65)))=Milestones!$AB$38),UPPER(TEXT(EDATE($D65,Milestones!$AA$38),"dd mmm yy"))&amp;" "&amp;Milestones!$AB$38&amp;" "&amp;Milestones!$AC$38&amp;";  ","")&amp;IF(AND(EDATE($D65,Milestones!$AA$39)&lt;=AsOfDate,IF($R65=0,$X65,IF(AND($T65&lt;&gt;"",EDATE($D65,Milestones!$AA$39)&gt;=$T65),$W65,IF(AND($S65&lt;&gt;"",EDATE($D65,Milestones!$AA$39)&gt;=$S65),$V65,$U65)))=Milestones!$AB$39),UPPER(TEXT(EDATE($D65,Milestones!$AA$39),"dd mmm yy"))&amp;" "&amp;Milestones!$AB$39&amp;" "&amp;Milestones!$AC$39&amp;";  ",""))</f>
        <v/>
      </c>
      <c r="J65" s="0" t="str">
        <f aca="false">IF(OR($A65="",$D65=""),"",IF(AND(EDATE($D65,Milestones!$AA$40)&lt;=AsOfDate,IF($R65=0,$X65,IF(AND($T65&lt;&gt;"",EDATE($D65,Milestones!$AA$40)&gt;=$T65),$W65,IF(AND($S65&lt;&gt;"",EDATE($D65,Milestones!$AA$40)&gt;=$S65),$V65,$U65)))=Milestones!$AB$40),UPPER(TEXT(EDATE($D65,Milestones!$AA$40),"dd mmm yy"))&amp;" "&amp;Milestones!$AB$40&amp;" "&amp;Milestones!$AC$40&amp;";  ","")&amp;IF(AND(EDATE($D65,Milestones!$AA$41)&lt;=AsOfDate,IF($R65=0,$X65,IF(AND($T65&lt;&gt;"",EDATE($D65,Milestones!$AA$41)&gt;=$T65),$W65,IF(AND($S65&lt;&gt;"",EDATE($D65,Milestones!$AA$41)&gt;=$S65),$V65,$U65)))=Milestones!$AB$41),UPPER(TEXT(EDATE($D65,Milestones!$AA$41),"dd mmm yy"))&amp;" "&amp;Milestones!$AB$41&amp;" "&amp;Milestones!$AC$41&amp;";  ","")&amp;IF(AND(EDATE($D65,Milestones!$AA$42)&lt;=AsOfDate,IF($R65=0,$X65,IF(AND($T65&lt;&gt;"",EDATE($D65,Milestones!$AA$42)&gt;=$T65),$W65,IF(AND($S65&lt;&gt;"",EDATE($D65,Milestones!$AA$42)&gt;=$S65),$V65,$U65)))=Milestones!$AB$42),UPPER(TEXT(EDATE($D65,Milestones!$AA$42),"dd mmm yy"))&amp;" "&amp;Milestones!$AB$42&amp;" "&amp;Milestones!$AC$42&amp;";  ","")&amp;IF(AND(EDATE($D65,Milestones!$AA$43)&lt;=AsOfDate,IF($R65=0,$X65,IF(AND($T65&lt;&gt;"",EDATE($D65,Milestones!$AA$43)&gt;=$T65),$W65,IF(AND($S65&lt;&gt;"",EDATE($D65,Milestones!$AA$43)&gt;=$S65),$V65,$U65)))=Milestones!$AB$43),UPPER(TEXT(EDATE($D65,Milestones!$AA$43),"dd mmm yy"))&amp;" "&amp;Milestones!$AB$43&amp;" "&amp;Milestones!$AC$43&amp;";  ","")&amp;IF(AND(EDATE($D65,Milestones!$AA$44)&lt;=AsOfDate,IF($R65=0,$X65,IF(AND($T65&lt;&gt;"",EDATE($D65,Milestones!$AA$44)&gt;=$T65),$W65,IF(AND($S65&lt;&gt;"",EDATE($D65,Milestones!$AA$44)&gt;=$S65),$V65,$U65)))=Milestones!$AB$44),UPPER(TEXT(EDATE($D65,Milestones!$AA$44),"dd mmm yy"))&amp;" "&amp;Milestones!$AB$44&amp;" "&amp;Milestones!$AC$44&amp;";  ","")&amp;IF(AND(EDATE($D65,Milestones!$AA$45)&lt;=AsOfDate,IF($R65=0,$X65,IF(AND($T65&lt;&gt;"",EDATE($D65,Milestones!$AA$45)&gt;=$T65),$W65,IF(AND($S65&lt;&gt;"",EDATE($D65,Milestones!$AA$45)&gt;=$S65),$V65,$U65)))=Milestones!$AB$45),UPPER(TEXT(EDATE($D65,Milestones!$AA$45),"dd mmm yy"))&amp;" "&amp;Milestones!$AB$45&amp;" "&amp;Milestones!$AC$45&amp;";  ","")&amp;IF(AND(EDATE($D65,Milestones!$AA$46)&lt;=AsOfDate,IF($R65=0,$X65,IF(AND($T65&lt;&gt;"",EDATE($D65,Milestones!$AA$46)&gt;=$T65),$W65,IF(AND($S65&lt;&gt;"",EDATE($D65,Milestones!$AA$46)&gt;=$S65),$V65,$U65)))=Milestones!$AB$46),UPPER(TEXT(EDATE($D65,Milestones!$AA$46),"dd mmm yy"))&amp;" "&amp;Milestones!$AB$46&amp;" "&amp;Milestones!$AC$46&amp;";  ","")&amp;IF(AND(EDATE($D65,Milestones!$AA$47)&lt;=AsOfDate,IF($R65=0,$X65,IF(AND($T65&lt;&gt;"",EDATE($D65,Milestones!$AA$47)&gt;=$T65),$W65,IF(AND($S65&lt;&gt;"",EDATE($D65,Milestones!$AA$47)&gt;=$S65),$V65,$U65)))=Milestones!$AB$47),UPPER(TEXT(EDATE($D65,Milestones!$AA$47),"dd mmm yy"))&amp;" "&amp;Milestones!$AB$47&amp;" "&amp;Milestones!$AC$47&amp;";  ","")&amp;IF(AND(EDATE($D65,Milestones!$AA$48)&lt;=AsOfDate,IF($R65=0,$X65,IF(AND($T65&lt;&gt;"",EDATE($D65,Milestones!$AA$48)&gt;=$T65),$W65,IF(AND($S65&lt;&gt;"",EDATE($D65,Milestones!$AA$48)&gt;=$S65),$V65,$U65)))=Milestones!$AB$48),UPPER(TEXT(EDATE($D65,Milestones!$AA$48),"dd mmm yy"))&amp;" "&amp;Milestones!$AB$48&amp;" "&amp;Milestones!$AC$48&amp;";  ","")&amp;IF(AND(EDATE($D65,Milestones!$AA$49)&lt;=AsOfDate,IF($R65=0,$X65,IF(AND($T65&lt;&gt;"",EDATE($D65,Milestones!$AA$49)&gt;=$T65),$W65,IF(AND($S65&lt;&gt;"",EDATE($D65,Milestones!$AA$49)&gt;=$S65),$V65,$U65)))=Milestones!$AB$49),UPPER(TEXT(EDATE($D65,Milestones!$AA$49),"dd mmm yy"))&amp;" "&amp;Milestones!$AB$49&amp;" "&amp;Milestones!$AC$49&amp;";  ","")&amp;IF(AND(EDATE($D65,Milestones!$AA$50)&lt;=AsOfDate,IF($R65=0,$X65,IF(AND($T65&lt;&gt;"",EDATE($D65,Milestones!$AA$50)&gt;=$T65),$W65,IF(AND($S65&lt;&gt;"",EDATE($D65,Milestones!$AA$50)&gt;=$S65),$V65,$U65)))=Milestones!$AB$50),UPPER(TEXT(EDATE($D65,Milestones!$AA$50),"dd mmm yy"))&amp;" "&amp;Milestones!$AB$50&amp;" "&amp;Milestones!$AC$50&amp;";  ","")&amp;IF(AND(EDATE($D65,Milestones!$AA$51)&lt;=AsOfDate,IF($R65=0,$X65,IF(AND($T65&lt;&gt;"",EDATE($D65,Milestones!$AA$51)&gt;=$T65),$W65,IF(AND($S65&lt;&gt;"",EDATE($D65,Milestones!$AA$51)&gt;=$S65),$V65,$U65)))=Milestones!$AB$51),UPPER(TEXT(EDATE($D65,Milestones!$AA$51),"dd mmm yy"))&amp;" "&amp;Milestones!$AB$51&amp;" "&amp;Milestones!$AC$51&amp;";  ","")&amp;IF(AND(EDATE($D65,Milestones!$AA$52)&lt;=AsOfDate,IF($R65=0,$X65,IF(AND($T65&lt;&gt;"",EDATE($D65,Milestones!$AA$52)&gt;=$T65),$W65,IF(AND($S65&lt;&gt;"",EDATE($D65,Milestones!$AA$52)&gt;=$S65),$V65,$U65)))=Milestones!$AB$52),UPPER(TEXT(EDATE($D65,Milestones!$AA$52),"dd mmm yy"))&amp;" "&amp;Milestones!$AB$52&amp;" "&amp;Milestones!$AC$52&amp;";  ","")&amp;IF(AND(EDATE($D65,Milestones!$AA$53)&lt;=AsOfDate,IF($R65=0,$X65,IF(AND($T65&lt;&gt;"",EDATE($D65,Milestones!$AA$53)&gt;=$T65),$W65,IF(AND($S65&lt;&gt;"",EDATE($D65,Milestones!$AA$53)&gt;=$S65),$V65,$U65)))=Milestones!$AB$53),UPPER(TEXT(EDATE($D65,Milestones!$AA$53),"dd mmm yy"))&amp;" "&amp;Milestones!$AB$53&amp;" "&amp;Milestones!$AC$53&amp;";  ","")&amp;IF(AND(EDATE($D65,Milestones!$AA$54)&lt;=AsOfDate,IF($R65=0,$X65,IF(AND($T65&lt;&gt;"",EDATE($D65,Milestones!$AA$54)&gt;=$T65),$W65,IF(AND($S65&lt;&gt;"",EDATE($D65,Milestones!$AA$54)&gt;=$S65),$V65,$U65)))=Milestones!$AB$54),UPPER(TEXT(EDATE($D65,Milestones!$AA$54),"dd mmm yy"))&amp;" "&amp;Milestones!$AB$54&amp;" "&amp;Milestones!$AC$54&amp;";  ","")&amp;IF(AND(EDATE($D65,Milestones!$AA$55)&lt;=AsOfDate,IF($R65=0,$X65,IF(AND($T65&lt;&gt;"",EDATE($D65,Milestones!$AA$55)&gt;=$T65),$W65,IF(AND($S65&lt;&gt;"",EDATE($D65,Milestones!$AA$55)&gt;=$S65),$V65,$U65)))=Milestones!$AB$55),UPPER(TEXT(EDATE($D65,Milestones!$AA$55),"dd mmm yy"))&amp;" "&amp;Milestones!$AB$55&amp;" "&amp;Milestones!$AC$55&amp;";  ","")&amp;IF(AND(EDATE($D65,Milestones!$AA$56)&lt;=AsOfDate,IF($R65=0,$X65,IF(AND($T65&lt;&gt;"",EDATE($D65,Milestones!$AA$56)&gt;=$T65),$W65,IF(AND($S65&lt;&gt;"",EDATE($D65,Milestones!$AA$56)&gt;=$S65),$V65,$U65)))=Milestones!$AB$56),UPPER(TEXT(EDATE($D65,Milestones!$AA$56),"dd mmm yy"))&amp;" "&amp;Milestones!$AB$56&amp;" "&amp;Milestones!$AC$56&amp;";  ","")&amp;IF(AND(EDATE($D65,Milestones!$AA$57)&lt;=AsOfDate,IF($R65=0,$X65,IF(AND($T65&lt;&gt;"",EDATE($D65,Milestones!$AA$57)&gt;=$T65),$W65,IF(AND($S65&lt;&gt;"",EDATE($D65,Milestones!$AA$57)&gt;=$S65),$V65,$U65)))=Milestones!$AB$57),UPPER(TEXT(EDATE($D65,Milestones!$AA$57),"dd mmm yy"))&amp;" "&amp;Milestones!$AB$57&amp;" "&amp;Milestones!$AC$57&amp;";  ","")&amp;IF(AND(EDATE($D65,Milestones!$AA$58)&lt;=AsOfDate,IF($R65=0,$X65,IF(AND($T65&lt;&gt;"",EDATE($D65,Milestones!$AA$58)&gt;=$T65),$W65,IF(AND($S65&lt;&gt;"",EDATE($D65,Milestones!$AA$58)&gt;=$S65),$V65,$U65)))=Milestones!$AB$58),UPPER(TEXT(EDATE($D65,Milestones!$AA$58),"dd mmm yy"))&amp;" "&amp;Milestones!$AB$58&amp;" "&amp;Milestones!$AC$58&amp;";  ","")&amp;IF(AND(EDATE($D65,Milestones!$AA$59)&lt;=AsOfDate,IF($R65=0,$X65,IF(AND($T65&lt;&gt;"",EDATE($D65,Milestones!$AA$59)&gt;=$T65),$W65,IF(AND($S65&lt;&gt;"",EDATE($D65,Milestones!$AA$59)&gt;=$S65),$V65,$U65)))=Milestones!$AB$59),UPPER(TEXT(EDATE($D65,Milestones!$AA$59),"dd mmm yy"))&amp;" "&amp;Milestones!$AB$59&amp;" "&amp;Milestones!$AC$59&amp;";  ",""))</f>
        <v/>
      </c>
      <c r="K65" s="0" t="str">
        <f aca="false">IF(OR($A65="",$D65=""),"",IF(AND(EDATE($D65,Milestones!$AA$60)&lt;=AsOfDate,IF($R65=0,$X65,IF(AND($T65&lt;&gt;"",EDATE($D65,Milestones!$AA$60)&gt;=$T65),$W65,IF(AND($S65&lt;&gt;"",EDATE($D65,Milestones!$AA$60)&gt;=$S65),$V65,$U65)))=Milestones!$AB$60),UPPER(TEXT(EDATE($D65,Milestones!$AA$60),"dd mmm yy"))&amp;" "&amp;Milestones!$AB$60&amp;" "&amp;Milestones!$AC$60&amp;";  ","")&amp;IF(AND(EDATE($D65,Milestones!$AA$61)&lt;=AsOfDate,IF($R65=0,$X65,IF(AND($T65&lt;&gt;"",EDATE($D65,Milestones!$AA$61)&gt;=$T65),$W65,IF(AND($S65&lt;&gt;"",EDATE($D65,Milestones!$AA$61)&gt;=$S65),$V65,$U65)))=Milestones!$AB$61),UPPER(TEXT(EDATE($D65,Milestones!$AA$61),"dd mmm yy"))&amp;" "&amp;Milestones!$AB$61&amp;" "&amp;Milestones!$AC$61&amp;";  ","")&amp;IF(AND(EDATE($D65,Milestones!$AA$62)&lt;=AsOfDate,IF($R65=0,$X65,IF(AND($T65&lt;&gt;"",EDATE($D65,Milestones!$AA$62)&gt;=$T65),$W65,IF(AND($S65&lt;&gt;"",EDATE($D65,Milestones!$AA$62)&gt;=$S65),$V65,$U65)))=Milestones!$AB$62),UPPER(TEXT(EDATE($D65,Milestones!$AA$62),"dd mmm yy"))&amp;" "&amp;Milestones!$AB$62&amp;" "&amp;Milestones!$AC$62&amp;";  ","")&amp;IF(AND(EDATE($D65,Milestones!$AA$63)&lt;=AsOfDate,IF($R65=0,$X65,IF(AND($T65&lt;&gt;"",EDATE($D65,Milestones!$AA$63)&gt;=$T65),$W65,IF(AND($S65&lt;&gt;"",EDATE($D65,Milestones!$AA$63)&gt;=$S65),$V65,$U65)))=Milestones!$AB$63),UPPER(TEXT(EDATE($D65,Milestones!$AA$63),"dd mmm yy"))&amp;" "&amp;Milestones!$AB$63&amp;" "&amp;Milestones!$AC$63&amp;";  ","")&amp;IF(AND(EDATE($D65,Milestones!$AA$64)&lt;=AsOfDate,IF($R65=0,$X65,IF(AND($T65&lt;&gt;"",EDATE($D65,Milestones!$AA$64)&gt;=$T65),$W65,IF(AND($S65&lt;&gt;"",EDATE($D65,Milestones!$AA$64)&gt;=$S65),$V65,$U65)))=Milestones!$AB$64),UPPER(TEXT(EDATE($D65,Milestones!$AA$64),"dd mmm yy"))&amp;" "&amp;Milestones!$AB$64&amp;" "&amp;Milestones!$AC$64&amp;";  ","")&amp;IF(AND(EDATE($D65,Milestones!$AA$65)&lt;=AsOfDate,IF($R65=0,$X65,IF(AND($T65&lt;&gt;"",EDATE($D65,Milestones!$AA$65)&gt;=$T65),$W65,IF(AND($S65&lt;&gt;"",EDATE($D65,Milestones!$AA$65)&gt;=$S65),$V65,$U65)))=Milestones!$AB$65),UPPER(TEXT(EDATE($D65,Milestones!$AA$65),"dd mmm yy"))&amp;" "&amp;Milestones!$AB$65&amp;" "&amp;Milestones!$AC$65&amp;";  ","")&amp;IF(AND(EDATE($D65,Milestones!$AA$66)&lt;=AsOfDate,IF($R65=0,$X65,IF(AND($T65&lt;&gt;"",EDATE($D65,Milestones!$AA$66)&gt;=$T65),$W65,IF(AND($S65&lt;&gt;"",EDATE($D65,Milestones!$AA$66)&gt;=$S65),$V65,$U65)))=Milestones!$AB$66),UPPER(TEXT(EDATE($D65,Milestones!$AA$66),"dd mmm yy"))&amp;" "&amp;Milestones!$AB$66&amp;" "&amp;Milestones!$AC$66&amp;";  ","")&amp;IF(AND(EDATE($D65,Milestones!$AA$67)&lt;=AsOfDate,IF($R65=0,$X65,IF(AND($T65&lt;&gt;"",EDATE($D65,Milestones!$AA$67)&gt;=$T65),$W65,IF(AND($S65&lt;&gt;"",EDATE($D65,Milestones!$AA$67)&gt;=$S65),$V65,$U65)))=Milestones!$AB$67),UPPER(TEXT(EDATE($D65,Milestones!$AA$67),"dd mmm yy"))&amp;" "&amp;Milestones!$AB$67&amp;" "&amp;Milestones!$AC$67&amp;";  ","")&amp;IF(AND(EDATE($D65,Milestones!$AA$68)&lt;=AsOfDate,IF($R65=0,$X65,IF(AND($T65&lt;&gt;"",EDATE($D65,Milestones!$AA$68)&gt;=$T65),$W65,IF(AND($S65&lt;&gt;"",EDATE($D65,Milestones!$AA$68)&gt;=$S65),$V65,$U65)))=Milestones!$AB$68),UPPER(TEXT(EDATE($D65,Milestones!$AA$68),"dd mmm yy"))&amp;" "&amp;Milestones!$AB$68&amp;" "&amp;Milestones!$AC$68&amp;";  ","")&amp;IF(AND(EDATE($D65,Milestones!$AA$69)&lt;=AsOfDate,IF($R65=0,$X65,IF(AND($T65&lt;&gt;"",EDATE($D65,Milestones!$AA$69)&gt;=$T65),$W65,IF(AND($S65&lt;&gt;"",EDATE($D65,Milestones!$AA$69)&gt;=$S65),$V65,$U65)))=Milestones!$AB$69),UPPER(TEXT(EDATE($D65,Milestones!$AA$69),"dd mmm yy"))&amp;" "&amp;Milestones!$AB$69&amp;" "&amp;Milestones!$AC$69&amp;";  ","")&amp;IF(AND(EDATE($D65,Milestones!$AA$70)&lt;=AsOfDate,IF($R65=0,$X65,IF(AND($T65&lt;&gt;"",EDATE($D65,Milestones!$AA$70)&gt;=$T65),$W65,IF(AND($S65&lt;&gt;"",EDATE($D65,Milestones!$AA$70)&gt;=$S65),$V65,$U65)))=Milestones!$AB$70),UPPER(TEXT(EDATE($D65,Milestones!$AA$70),"dd mmm yy"))&amp;" "&amp;Milestones!$AB$70&amp;" "&amp;Milestones!$AC$70&amp;";  ","")&amp;IF(AND(EDATE($D65,Milestones!$AA$71)&lt;=AsOfDate,IF($R65=0,$X65,IF(AND($T65&lt;&gt;"",EDATE($D65,Milestones!$AA$71)&gt;=$T65),$W65,IF(AND($S65&lt;&gt;"",EDATE($D65,Milestones!$AA$71)&gt;=$S65),$V65,$U65)))=Milestones!$AB$71),UPPER(TEXT(EDATE($D65,Milestones!$AA$71),"dd mmm yy"))&amp;" "&amp;Milestones!$AB$71&amp;" "&amp;Milestones!$AC$71&amp;";  ","")&amp;IF(AND(EDATE($D65,Milestones!$AA$72)&lt;=AsOfDate,IF($R65=0,$X65,IF(AND($T65&lt;&gt;"",EDATE($D65,Milestones!$AA$72)&gt;=$T65),$W65,IF(AND($S65&lt;&gt;"",EDATE($D65,Milestones!$AA$72)&gt;=$S65),$V65,$U65)))=Milestones!$AB$72),UPPER(TEXT(EDATE($D65,Milestones!$AA$72),"dd mmm yy"))&amp;" "&amp;Milestones!$AB$72&amp;" "&amp;Milestones!$AC$72&amp;";  ","")&amp;IF(AND(EDATE($D65,Milestones!$AA$73)&lt;=AsOfDate,IF($R65=0,$X65,IF(AND($T65&lt;&gt;"",EDATE($D65,Milestones!$AA$73)&gt;=$T65),$W65,IF(AND($S65&lt;&gt;"",EDATE($D65,Milestones!$AA$73)&gt;=$S65),$V65,$U65)))=Milestones!$AB$73),UPPER(TEXT(EDATE($D65,Milestones!$AA$73),"dd mmm yy"))&amp;" "&amp;Milestones!$AB$73&amp;" "&amp;Milestones!$AC$73&amp;";  ","")&amp;IF(AND(EDATE($D65,Milestones!$AA$74)&lt;=AsOfDate,IF($R65=0,$X65,IF(AND($T65&lt;&gt;"",EDATE($D65,Milestones!$AA$74)&gt;=$T65),$W65,IF(AND($S65&lt;&gt;"",EDATE($D65,Milestones!$AA$74)&gt;=$S65),$V65,$U65)))=Milestones!$AB$74),UPPER(TEXT(EDATE($D65,Milestones!$AA$74),"dd mmm yy"))&amp;" "&amp;Milestones!$AB$74&amp;" "&amp;Milestones!$AC$74&amp;";  ","")&amp;IF(AND(EDATE($D65,Milestones!$AA$75)&lt;=AsOfDate,IF($R65=0,$X65,IF(AND($T65&lt;&gt;"",EDATE($D65,Milestones!$AA$75)&gt;=$T65),$W65,IF(AND($S65&lt;&gt;"",EDATE($D65,Milestones!$AA$75)&gt;=$S65),$V65,$U65)))=Milestones!$AB$75),UPPER(TEXT(EDATE($D65,Milestones!$AA$75),"dd mmm yy"))&amp;" "&amp;Milestones!$AB$75&amp;" "&amp;Milestones!$AC$75&amp;";  ","")&amp;IF(AND(EDATE($D65,Milestones!$AA$76)&lt;=AsOfDate,IF($R65=0,$X65,IF(AND($T65&lt;&gt;"",EDATE($D65,Milestones!$AA$76)&gt;=$T65),$W65,IF(AND($S65&lt;&gt;"",EDATE($D65,Milestones!$AA$76)&gt;=$S65),$V65,$U65)))=Milestones!$AB$76),UPPER(TEXT(EDATE($D65,Milestones!$AA$76),"dd mmm yy"))&amp;" "&amp;Milestones!$AB$76&amp;" "&amp;Milestones!$AC$76&amp;";  ","")&amp;IF(AND(EDATE($D65,Milestones!$AA$77)&lt;=AsOfDate,IF($R65=0,$X65,IF(AND($T65&lt;&gt;"",EDATE($D65,Milestones!$AA$77)&gt;=$T65),$W65,IF(AND($S65&lt;&gt;"",EDATE($D65,Milestones!$AA$77)&gt;=$S65),$V65,$U65)))=Milestones!$AB$77),UPPER(TEXT(EDATE($D65,Milestones!$AA$77),"dd mmm yy"))&amp;" "&amp;Milestones!$AB$77&amp;" "&amp;Milestones!$AC$77&amp;";  ","")&amp;IF(AND(EDATE($D65,Milestones!$AA$78)&lt;=AsOfDate,IF($R65=0,$X65,IF(AND($T65&lt;&gt;"",EDATE($D65,Milestones!$AA$78)&gt;=$T65),$W65,IF(AND($S65&lt;&gt;"",EDATE($D65,Milestones!$AA$78)&gt;=$S65),$V65,$U65)))=Milestones!$AB$78),UPPER(TEXT(EDATE($D65,Milestones!$AA$78),"dd mmm yy"))&amp;" "&amp;Milestones!$AB$78&amp;" "&amp;Milestones!$AC$78&amp;";  ","")&amp;IF(AND(EDATE($D65,Milestones!$AA$79)&lt;=AsOfDate,IF($R65=0,$X65,IF(AND($T65&lt;&gt;"",EDATE($D65,Milestones!$AA$79)&gt;=$T65),$W65,IF(AND($S65&lt;&gt;"",EDATE($D65,Milestones!$AA$79)&gt;=$S65),$V65,$U65)))=Milestones!$AB$79),UPPER(TEXT(EDATE($D65,Milestones!$AA$79),"dd mmm yy"))&amp;" "&amp;Milestones!$AB$79&amp;" "&amp;Milestones!$AC$79&amp;";  ",""))</f>
        <v/>
      </c>
      <c r="L65" s="0" t="str">
        <f aca="false">IF(OR($A65="",$D65=""),"",IF(AND(EDATE($D65,Milestones!$AA$80)&lt;=AsOfDate,IF($R65=0,$X65,IF(AND($T65&lt;&gt;"",EDATE($D65,Milestones!$AA$80)&gt;=$T65),$W65,IF(AND($S65&lt;&gt;"",EDATE($D65,Milestones!$AA$80)&gt;=$S65),$V65,$U65)))=Milestones!$AB$80),UPPER(TEXT(EDATE($D65,Milestones!$AA$80),"dd mmm yy"))&amp;" "&amp;Milestones!$AB$80&amp;" "&amp;Milestones!$AC$80&amp;";  ","")&amp;IF(AND(EDATE($D65,Milestones!$AA$81)&lt;=AsOfDate,IF($R65=0,$X65,IF(AND($T65&lt;&gt;"",EDATE($D65,Milestones!$AA$81)&gt;=$T65),$W65,IF(AND($S65&lt;&gt;"",EDATE($D65,Milestones!$AA$81)&gt;=$S65),$V65,$U65)))=Milestones!$AB$81),UPPER(TEXT(EDATE($D65,Milestones!$AA$81),"dd mmm yy"))&amp;" "&amp;Milestones!$AB$81&amp;" "&amp;Milestones!$AC$81&amp;";  ","")&amp;IF(AND(EDATE($D65,Milestones!$AA$82)&lt;=AsOfDate,IF($R65=0,$X65,IF(AND($T65&lt;&gt;"",EDATE($D65,Milestones!$AA$82)&gt;=$T65),$W65,IF(AND($S65&lt;&gt;"",EDATE($D65,Milestones!$AA$82)&gt;=$S65),$V65,$U65)))=Milestones!$AB$82),UPPER(TEXT(EDATE($D65,Milestones!$AA$82),"dd mmm yy"))&amp;" "&amp;Milestones!$AB$82&amp;" "&amp;Milestones!$AC$82&amp;";  ","")&amp;IF(AND(EDATE($D65,Milestones!$AA$83)&lt;=AsOfDate,IF($R65=0,$X65,IF(AND($T65&lt;&gt;"",EDATE($D65,Milestones!$AA$83)&gt;=$T65),$W65,IF(AND($S65&lt;&gt;"",EDATE($D65,Milestones!$AA$83)&gt;=$S65),$V65,$U65)))=Milestones!$AB$83),UPPER(TEXT(EDATE($D65,Milestones!$AA$83),"dd mmm yy"))&amp;" "&amp;Milestones!$AB$83&amp;" "&amp;Milestones!$AC$83&amp;";  ","")&amp;IF(AND(EDATE($D65,Milestones!$AA$84)&lt;=AsOfDate,IF($R65=0,$X65,IF(AND($T65&lt;&gt;"",EDATE($D65,Milestones!$AA$84)&gt;=$T65),$W65,IF(AND($S65&lt;&gt;"",EDATE($D65,Milestones!$AA$84)&gt;=$S65),$V65,$U65)))=Milestones!$AB$84),UPPER(TEXT(EDATE($D65,Milestones!$AA$84),"dd mmm yy"))&amp;" "&amp;Milestones!$AB$84&amp;" "&amp;Milestones!$AC$84&amp;";  ","")&amp;IF(AND(EDATE($D65,Milestones!$AA$85)&lt;=AsOfDate,IF($R65=0,$X65,IF(AND($T65&lt;&gt;"",EDATE($D65,Milestones!$AA$85)&gt;=$T65),$W65,IF(AND($S65&lt;&gt;"",EDATE($D65,Milestones!$AA$85)&gt;=$S65),$V65,$U65)))=Milestones!$AB$85),UPPER(TEXT(EDATE($D65,Milestones!$AA$85),"dd mmm yy"))&amp;" "&amp;Milestones!$AB$85&amp;" "&amp;Milestones!$AC$85&amp;";  ","")&amp;IF(AND(EDATE($D65,Milestones!$AA$86)&lt;=AsOfDate,IF($R65=0,$X65,IF(AND($T65&lt;&gt;"",EDATE($D65,Milestones!$AA$86)&gt;=$T65),$W65,IF(AND($S65&lt;&gt;"",EDATE($D65,Milestones!$AA$86)&gt;=$S65),$V65,$U65)))=Milestones!$AB$86),UPPER(TEXT(EDATE($D65,Milestones!$AA$86),"dd mmm yy"))&amp;" "&amp;Milestones!$AB$86&amp;" "&amp;Milestones!$AC$86&amp;";  ","")&amp;IF(AND(EDATE($D65,Milestones!$AA$87)&lt;=AsOfDate,IF($R65=0,$X65,IF(AND($T65&lt;&gt;"",EDATE($D65,Milestones!$AA$87)&gt;=$T65),$W65,IF(AND($S65&lt;&gt;"",EDATE($D65,Milestones!$AA$87)&gt;=$S65),$V65,$U65)))=Milestones!$AB$87),UPPER(TEXT(EDATE($D65,Milestones!$AA$87),"dd mmm yy"))&amp;" "&amp;Milestones!$AB$87&amp;" "&amp;Milestones!$AC$87&amp;";  ","")&amp;IF(AND(EDATE($D65,Milestones!$AA$88)&lt;=AsOfDate,IF($R65=0,$X65,IF(AND($T65&lt;&gt;"",EDATE($D65,Milestones!$AA$88)&gt;=$T65),$W65,IF(AND($S65&lt;&gt;"",EDATE($D65,Milestones!$AA$88)&gt;=$S65),$V65,$U65)))=Milestones!$AB$88),UPPER(TEXT(EDATE($D65,Milestones!$AA$88),"dd mmm yy"))&amp;" "&amp;Milestones!$AB$88&amp;" "&amp;Milestones!$AC$88&amp;";  ","")&amp;IF(AND(EDATE($D65,Milestones!$AA$89)&lt;=AsOfDate,IF($R65=0,$X65,IF(AND($T65&lt;&gt;"",EDATE($D65,Milestones!$AA$89)&gt;=$T65),$W65,IF(AND($S65&lt;&gt;"",EDATE($D65,Milestones!$AA$89)&gt;=$S65),$V65,$U65)))=Milestones!$AB$89),UPPER(TEXT(EDATE($D65,Milestones!$AA$89),"dd mmm yy"))&amp;" "&amp;Milestones!$AB$89&amp;" "&amp;Milestones!$AC$89&amp;";  ","")&amp;IF(AND(EDATE($D65,Milestones!$AA$90)&lt;=AsOfDate,IF($R65=0,$X65,IF(AND($T65&lt;&gt;"",EDATE($D65,Milestones!$AA$90)&gt;=$T65),$W65,IF(AND($S65&lt;&gt;"",EDATE($D65,Milestones!$AA$90)&gt;=$S65),$V65,$U65)))=Milestones!$AB$90),UPPER(TEXT(EDATE($D65,Milestones!$AA$90),"dd mmm yy"))&amp;" "&amp;Milestones!$AB$90&amp;" "&amp;Milestones!$AC$90&amp;";  ","")&amp;IF(AND(EDATE($D65,Milestones!$AA$91)&lt;=AsOfDate,IF($R65=0,$X65,IF(AND($T65&lt;&gt;"",EDATE($D65,Milestones!$AA$91)&gt;=$T65),$W65,IF(AND($S65&lt;&gt;"",EDATE($D65,Milestones!$AA$91)&gt;=$S65),$V65,$U65)))=Milestones!$AB$91),UPPER(TEXT(EDATE($D65,Milestones!$AA$91),"dd mmm yy"))&amp;" "&amp;Milestones!$AB$91&amp;" "&amp;Milestones!$AC$91&amp;";  ","")&amp;IF(AND(EDATE($D65,Milestones!$AA$92)&lt;=AsOfDate,IF($R65=0,$X65,IF(AND($T65&lt;&gt;"",EDATE($D65,Milestones!$AA$92)&gt;=$T65),$W65,IF(AND($S65&lt;&gt;"",EDATE($D65,Milestones!$AA$92)&gt;=$S65),$V65,$U65)))=Milestones!$AB$92),UPPER(TEXT(EDATE($D65,Milestones!$AA$92),"dd mmm yy"))&amp;" "&amp;Milestones!$AB$92&amp;" "&amp;Milestones!$AC$92&amp;";  ","")&amp;IF(AND(EDATE($D65,Milestones!$AA$93)&lt;=AsOfDate,IF($R65=0,$X65,IF(AND($T65&lt;&gt;"",EDATE($D65,Milestones!$AA$93)&gt;=$T65),$W65,IF(AND($S65&lt;&gt;"",EDATE($D65,Milestones!$AA$93)&gt;=$S65),$V65,$U65)))=Milestones!$AB$93),UPPER(TEXT(EDATE($D65,Milestones!$AA$93),"dd mmm yy"))&amp;" "&amp;Milestones!$AB$93&amp;" "&amp;Milestones!$AC$93&amp;";  ","")&amp;IF(AND(EDATE($D65,Milestones!$AA$94)&lt;=AsOfDate,IF($R65=0,$X65,IF(AND($T65&lt;&gt;"",EDATE($D65,Milestones!$AA$94)&gt;=$T65),$W65,IF(AND($S65&lt;&gt;"",EDATE($D65,Milestones!$AA$94)&gt;=$S65),$V65,$U65)))=Milestones!$AB$94),UPPER(TEXT(EDATE($D65,Milestones!$AA$94),"dd mmm yy"))&amp;" "&amp;Milestones!$AB$94&amp;" "&amp;Milestones!$AC$94&amp;";  ","")&amp;IF(AND(EDATE($D65,Milestones!$AA$95)&lt;=AsOfDate,IF($R65=0,$X65,IF(AND($T65&lt;&gt;"",EDATE($D65,Milestones!$AA$95)&gt;=$T65),$W65,IF(AND($S65&lt;&gt;"",EDATE($D65,Milestones!$AA$95)&gt;=$S65),$V65,$U65)))=Milestones!$AB$95),UPPER(TEXT(EDATE($D65,Milestones!$AA$95),"dd mmm yy"))&amp;" "&amp;Milestones!$AB$95&amp;" "&amp;Milestones!$AC$95&amp;";  ","")&amp;IF(AND(EDATE($D65,Milestones!$AA$96)&lt;=AsOfDate,IF($R65=0,$X65,IF(AND($T65&lt;&gt;"",EDATE($D65,Milestones!$AA$96)&gt;=$T65),$W65,IF(AND($S65&lt;&gt;"",EDATE($D65,Milestones!$AA$96)&gt;=$S65),$V65,$U65)))=Milestones!$AB$96),UPPER(TEXT(EDATE($D65,Milestones!$AA$96),"dd mmm yy"))&amp;" "&amp;Milestones!$AB$96&amp;" "&amp;Milestones!$AC$96&amp;";  ","")&amp;IF(AND(EDATE($D65,Milestones!$AA$97)&lt;=AsOfDate,IF($R65=0,$X65,IF(AND($T65&lt;&gt;"",EDATE($D65,Milestones!$AA$97)&gt;=$T65),$W65,IF(AND($S65&lt;&gt;"",EDATE($D65,Milestones!$AA$97)&gt;=$S65),$V65,$U65)))=Milestones!$AB$97),UPPER(TEXT(EDATE($D65,Milestones!$AA$97),"dd mmm yy"))&amp;" "&amp;Milestones!$AB$97&amp;" "&amp;Milestones!$AC$97&amp;";  ","")&amp;IF(AND(EDATE($D65,Milestones!$AA$98)&lt;=AsOfDate,IF($R65=0,$X65,IF(AND($T65&lt;&gt;"",EDATE($D65,Milestones!$AA$98)&gt;=$T65),$W65,IF(AND($S65&lt;&gt;"",EDATE($D65,Milestones!$AA$98)&gt;=$S65),$V65,$U65)))=Milestones!$AB$98),UPPER(TEXT(EDATE($D65,Milestones!$AA$98),"dd mmm yy"))&amp;" "&amp;Milestones!$AB$98&amp;" "&amp;Milestones!$AC$98&amp;";  ","")&amp;IF(AND(EDATE($D65,Milestones!$AA$99)&lt;=AsOfDate,IF($R65=0,$X65,IF(AND($T65&lt;&gt;"",EDATE($D65,Milestones!$AA$99)&gt;=$T65),$W65,IF(AND($S65&lt;&gt;"",EDATE($D65,Milestones!$AA$99)&gt;=$S65),$V65,$U65)))=Milestones!$AB$99),UPPER(TEXT(EDATE($D65,Milestones!$AA$99),"dd mmm yy"))&amp;" "&amp;Milestones!$AB$99&amp;" "&amp;Milestones!$AC$99&amp;";  ",""))</f>
        <v/>
      </c>
      <c r="M65" s="0" t="str">
        <f aca="false">IF(OR($A65="",$D65=""),"",IF(AND(EDATE($D65,Milestones!$AA$100)&lt;=AsOfDate,IF($R65=0,$X65,IF(AND($T65&lt;&gt;"",EDATE($D65,Milestones!$AA$100)&gt;=$T65),$W65,IF(AND($S65&lt;&gt;"",EDATE($D65,Milestones!$AA$100)&gt;=$S65),$V65,$U65)))=Milestones!$AB$100),UPPER(TEXT(EDATE($D65,Milestones!$AA$100),"dd mmm yy"))&amp;" "&amp;Milestones!$AB$100&amp;" "&amp;Milestones!$AC$100&amp;";  ","")&amp;IF(AND(EDATE($D65,Milestones!$AA$101)&lt;=AsOfDate,IF($R65=0,$X65,IF(AND($T65&lt;&gt;"",EDATE($D65,Milestones!$AA$101)&gt;=$T65),$W65,IF(AND($S65&lt;&gt;"",EDATE($D65,Milestones!$AA$101)&gt;=$S65),$V65,$U65)))=Milestones!$AB$101),UPPER(TEXT(EDATE($D65,Milestones!$AA$101),"dd mmm yy"))&amp;" "&amp;Milestones!$AB$101&amp;" "&amp;Milestones!$AC$101&amp;";  ","")&amp;IF(AND(EDATE($D65,Milestones!$AA$102)&lt;=AsOfDate,IF($R65=0,$X65,IF(AND($T65&lt;&gt;"",EDATE($D65,Milestones!$AA$102)&gt;=$T65),$W65,IF(AND($S65&lt;&gt;"",EDATE($D65,Milestones!$AA$102)&gt;=$S65),$V65,$U65)))=Milestones!$AB$102),UPPER(TEXT(EDATE($D65,Milestones!$AA$102),"dd mmm yy"))&amp;" "&amp;Milestones!$AB$102&amp;" "&amp;Milestones!$AC$102&amp;";  ","")&amp;IF(AND(EDATE($D65,Milestones!$AA$103)&lt;=AsOfDate,IF($R65=0,$X65,IF(AND($T65&lt;&gt;"",EDATE($D65,Milestones!$AA$103)&gt;=$T65),$W65,IF(AND($S65&lt;&gt;"",EDATE($D65,Milestones!$AA$103)&gt;=$S65),$V65,$U65)))=Milestones!$AB$103),UPPER(TEXT(EDATE($D65,Milestones!$AA$103),"dd mmm yy"))&amp;" "&amp;Milestones!$AB$103&amp;" "&amp;Milestones!$AC$103&amp;";  ","")&amp;IF(AND(EDATE($D65,Milestones!$AA$104)&lt;=AsOfDate,IF($R65=0,$X65,IF(AND($T65&lt;&gt;"",EDATE($D65,Milestones!$AA$104)&gt;=$T65),$W65,IF(AND($S65&lt;&gt;"",EDATE($D65,Milestones!$AA$104)&gt;=$S65),$V65,$U65)))=Milestones!$AB$104),UPPER(TEXT(EDATE($D65,Milestones!$AA$104),"dd mmm yy"))&amp;" "&amp;Milestones!$AB$104&amp;" "&amp;Milestones!$AC$104&amp;";  ","")&amp;IF(AND(EDATE($D65,Milestones!$AA$105)&lt;=AsOfDate,IF($R65=0,$X65,IF(AND($T65&lt;&gt;"",EDATE($D65,Milestones!$AA$105)&gt;=$T65),$W65,IF(AND($S65&lt;&gt;"",EDATE($D65,Milestones!$AA$105)&gt;=$S65),$V65,$U65)))=Milestones!$AB$105),UPPER(TEXT(EDATE($D65,Milestones!$AA$105),"dd mmm yy"))&amp;" "&amp;Milestones!$AB$105&amp;" "&amp;Milestones!$AC$105&amp;";  ","")&amp;IF(AND(EDATE($D65,Milestones!$AA$106)&lt;=AsOfDate,IF($R65=0,$X65,IF(AND($T65&lt;&gt;"",EDATE($D65,Milestones!$AA$106)&gt;=$T65),$W65,IF(AND($S65&lt;&gt;"",EDATE($D65,Milestones!$AA$106)&gt;=$S65),$V65,$U65)))=Milestones!$AB$106),UPPER(TEXT(EDATE($D65,Milestones!$AA$106),"dd mmm yy"))&amp;" "&amp;Milestones!$AB$106&amp;" "&amp;Milestones!$AC$106&amp;";  ","")&amp;IF(AND(EDATE($D65,Milestones!$AA$107)&lt;=AsOfDate,IF($R65=0,$X65,IF(AND($T65&lt;&gt;"",EDATE($D65,Milestones!$AA$107)&gt;=$T65),$W65,IF(AND($S65&lt;&gt;"",EDATE($D65,Milestones!$AA$107)&gt;=$S65),$V65,$U65)))=Milestones!$AB$107),UPPER(TEXT(EDATE($D65,Milestones!$AA$107),"dd mmm yy"))&amp;" "&amp;Milestones!$AB$107&amp;" "&amp;Milestones!$AC$107&amp;";  ","")&amp;IF(AND(EDATE($D65,Milestones!$AA$108)&lt;=AsOfDate,IF($R65=0,$X65,IF(AND($T65&lt;&gt;"",EDATE($D65,Milestones!$AA$108)&gt;=$T65),$W65,IF(AND($S65&lt;&gt;"",EDATE($D65,Milestones!$AA$108)&gt;=$S65),$V65,$U65)))=Milestones!$AB$108),UPPER(TEXT(EDATE($D65,Milestones!$AA$108),"dd mmm yy"))&amp;" "&amp;Milestones!$AB$108&amp;" "&amp;Milestones!$AC$108&amp;";  ","")&amp;IF(AND(EDATE($D65,Milestones!$AA$109)&lt;=AsOfDate,IF($R65=0,$X65,IF(AND($T65&lt;&gt;"",EDATE($D65,Milestones!$AA$109)&gt;=$T65),$W65,IF(AND($S65&lt;&gt;"",EDATE($D65,Milestones!$AA$109)&gt;=$S65),$V65,$U65)))=Milestones!$AB$109),UPPER(TEXT(EDATE($D65,Milestones!$AA$109),"dd mmm yy"))&amp;" "&amp;Milestones!$AB$109&amp;" "&amp;Milestones!$AC$109&amp;";  ","")&amp;IF(AND(EDATE($D65,Milestones!$AA$110)&lt;=AsOfDate,IF($R65=0,$X65,IF(AND($T65&lt;&gt;"",EDATE($D65,Milestones!$AA$110)&gt;=$T65),$W65,IF(AND($S65&lt;&gt;"",EDATE($D65,Milestones!$AA$110)&gt;=$S65),$V65,$U65)))=Milestones!$AB$110),UPPER(TEXT(EDATE($D65,Milestones!$AA$110),"dd mmm yy"))&amp;" "&amp;Milestones!$AB$110&amp;" "&amp;Milestones!$AC$110&amp;";  ","")&amp;IF(AND(EDATE($D65,Milestones!$AA$111)&lt;=AsOfDate,IF($R65=0,$X65,IF(AND($T65&lt;&gt;"",EDATE($D65,Milestones!$AA$111)&gt;=$T65),$W65,IF(AND($S65&lt;&gt;"",EDATE($D65,Milestones!$AA$111)&gt;=$S65),$V65,$U65)))=Milestones!$AB$111),UPPER(TEXT(EDATE($D65,Milestones!$AA$111),"dd mmm yy"))&amp;" "&amp;Milestones!$AB$111&amp;" "&amp;Milestones!$AC$111&amp;";  ","")&amp;IF(AND(EDATE($D65,Milestones!$AA$112)&lt;=AsOfDate,IF($R65=0,$X65,IF(AND($T65&lt;&gt;"",EDATE($D65,Milestones!$AA$112)&gt;=$T65),$W65,IF(AND($S65&lt;&gt;"",EDATE($D65,Milestones!$AA$112)&gt;=$S65),$V65,$U65)))=Milestones!$AB$112),UPPER(TEXT(EDATE($D65,Milestones!$AA$112),"dd mmm yy"))&amp;" "&amp;Milestones!$AB$112&amp;" "&amp;Milestones!$AC$112&amp;";  ","")&amp;IF(AND(EDATE($D65,Milestones!$AA$113)&lt;=AsOfDate,IF($R65=0,$X65,IF(AND($T65&lt;&gt;"",EDATE($D65,Milestones!$AA$113)&gt;=$T65),$W65,IF(AND($S65&lt;&gt;"",EDATE($D65,Milestones!$AA$113)&gt;=$S65),$V65,$U65)))=Milestones!$AB$113),UPPER(TEXT(EDATE($D65,Milestones!$AA$113),"dd mmm yy"))&amp;" "&amp;Milestones!$AB$113&amp;" "&amp;Milestones!$AC$113&amp;";  ","")&amp;IF(AND(EDATE($D65,Milestones!$AA$114)&lt;=AsOfDate,IF($R65=0,$X65,IF(AND($T65&lt;&gt;"",EDATE($D65,Milestones!$AA$114)&gt;=$T65),$W65,IF(AND($S65&lt;&gt;"",EDATE($D65,Milestones!$AA$114)&gt;=$S65),$V65,$U65)))=Milestones!$AB$114),UPPER(TEXT(EDATE($D65,Milestones!$AA$114),"dd mmm yy"))&amp;" "&amp;Milestones!$AB$114&amp;" "&amp;Milestones!$AC$114&amp;";  ","")&amp;IF(AND(EDATE($D65,Milestones!$AA$115)&lt;=AsOfDate,IF($R65=0,$X65,IF(AND($T65&lt;&gt;"",EDATE($D65,Milestones!$AA$115)&gt;=$T65),$W65,IF(AND($S65&lt;&gt;"",EDATE($D65,Milestones!$AA$115)&gt;=$S65),$V65,$U65)))=Milestones!$AB$115),UPPER(TEXT(EDATE($D65,Milestones!$AA$115),"dd mmm yy"))&amp;" "&amp;Milestones!$AB$115&amp;" "&amp;Milestones!$AC$115&amp;";  ","")&amp;IF(AND(EDATE($D65,Milestones!$AA$116)&lt;=AsOfDate,IF($R65=0,$X65,IF(AND($T65&lt;&gt;"",EDATE($D65,Milestones!$AA$116)&gt;=$T65),$W65,IF(AND($S65&lt;&gt;"",EDATE($D65,Milestones!$AA$116)&gt;=$S65),$V65,$U65)))=Milestones!$AB$116),UPPER(TEXT(EDATE($D65,Milestones!$AA$116),"dd mmm yy"))&amp;" "&amp;Milestones!$AB$116&amp;" "&amp;Milestones!$AC$116&amp;";  ","")&amp;IF(AND(EDATE($D65,Milestones!$AA$117)&lt;=AsOfDate,IF($R65=0,$X65,IF(AND($T65&lt;&gt;"",EDATE($D65,Milestones!$AA$117)&gt;=$T65),$W65,IF(AND($S65&lt;&gt;"",EDATE($D65,Milestones!$AA$117)&gt;=$S65),$V65,$U65)))=Milestones!$AB$117),UPPER(TEXT(EDATE($D65,Milestones!$AA$117),"dd mmm yy"))&amp;" "&amp;Milestones!$AB$117&amp;" "&amp;Milestones!$AC$117&amp;";  ","")&amp;IF(AND(EDATE($D65,Milestones!$AA$118)&lt;=AsOfDate,IF($R65=0,$X65,IF(AND($T65&lt;&gt;"",EDATE($D65,Milestones!$AA$118)&gt;=$T65),$W65,IF(AND($S65&lt;&gt;"",EDATE($D65,Milestones!$AA$118)&gt;=$S65),$V65,$U65)))=Milestones!$AB$118),UPPER(TEXT(EDATE($D65,Milestones!$AA$118),"dd mmm yy"))&amp;" "&amp;Milestones!$AB$118&amp;" "&amp;Milestones!$AC$118&amp;";  ","")&amp;IF(AND(EDATE($D65,Milestones!$AA$119)&lt;=AsOfDate,IF($R65=0,$X65,IF(AND($T65&lt;&gt;"",EDATE($D65,Milestones!$AA$119)&gt;=$T65),$W65,IF(AND($S65&lt;&gt;"",EDATE($D65,Milestones!$AA$119)&gt;=$S65),$V65,$U65)))=Milestones!$AB$119),UPPER(TEXT(EDATE($D65,Milestones!$AA$119),"dd mmm yy"))&amp;" "&amp;Milestones!$AB$119&amp;" "&amp;Milestones!$AC$119&amp;";  ",""))</f>
        <v/>
      </c>
      <c r="N65" s="0" t="str">
        <f aca="false">IF(OR($A65="",$D65=""),"",IF(AND(EDATE($D65,Milestones!$AA$120)&lt;=AsOfDate,IF($R65=0,$X65,IF(AND($T65&lt;&gt;"",EDATE($D65,Milestones!$AA$120)&gt;=$T65),$W65,IF(AND($S65&lt;&gt;"",EDATE($D65,Milestones!$AA$120)&gt;=$S65),$V65,$U65)))=Milestones!$AB$120),UPPER(TEXT(EDATE($D65,Milestones!$AA$120),"dd mmm yy"))&amp;" "&amp;Milestones!$AB$120&amp;" "&amp;Milestones!$AC$120&amp;";  ","")&amp;IF(AND(EDATE($D65,Milestones!$AA$121)&lt;=AsOfDate,IF($R65=0,$X65,IF(AND($T65&lt;&gt;"",EDATE($D65,Milestones!$AA$121)&gt;=$T65),$W65,IF(AND($S65&lt;&gt;"",EDATE($D65,Milestones!$AA$121)&gt;=$S65),$V65,$U65)))=Milestones!$AB$121),UPPER(TEXT(EDATE($D65,Milestones!$AA$121),"dd mmm yy"))&amp;" "&amp;Milestones!$AB$121&amp;" "&amp;Milestones!$AC$121&amp;";  ","")&amp;IF(AND(EDATE($D65,Milestones!$AA$122)&lt;=AsOfDate,IF($R65=0,$X65,IF(AND($T65&lt;&gt;"",EDATE($D65,Milestones!$AA$122)&gt;=$T65),$W65,IF(AND($S65&lt;&gt;"",EDATE($D65,Milestones!$AA$122)&gt;=$S65),$V65,$U65)))=Milestones!$AB$122),UPPER(TEXT(EDATE($D65,Milestones!$AA$122),"dd mmm yy"))&amp;" "&amp;Milestones!$AB$122&amp;" "&amp;Milestones!$AC$122&amp;";  ","")&amp;IF(AND(EDATE($D65,Milestones!$AA$123)&lt;=AsOfDate,IF($R65=0,$X65,IF(AND($T65&lt;&gt;"",EDATE($D65,Milestones!$AA$123)&gt;=$T65),$W65,IF(AND($S65&lt;&gt;"",EDATE($D65,Milestones!$AA$123)&gt;=$S65),$V65,$U65)))=Milestones!$AB$123),UPPER(TEXT(EDATE($D65,Milestones!$AA$123),"dd mmm yy"))&amp;" "&amp;Milestones!$AB$123&amp;" "&amp;Milestones!$AC$123&amp;";  ","")&amp;IF(AND(EDATE($D65,Milestones!$AA$124)&lt;=AsOfDate,IF($R65=0,$X65,IF(AND($T65&lt;&gt;"",EDATE($D65,Milestones!$AA$124)&gt;=$T65),$W65,IF(AND($S65&lt;&gt;"",EDATE($D65,Milestones!$AA$124)&gt;=$S65),$V65,$U65)))=Milestones!$AB$124),UPPER(TEXT(EDATE($D65,Milestones!$AA$124),"dd mmm yy"))&amp;" "&amp;Milestones!$AB$124&amp;" "&amp;Milestones!$AC$124&amp;";  ","")&amp;IF(AND(EDATE($D65,Milestones!$AA$125)&lt;=AsOfDate,IF($R65=0,$X65,IF(AND($T65&lt;&gt;"",EDATE($D65,Milestones!$AA$125)&gt;=$T65),$W65,IF(AND($S65&lt;&gt;"",EDATE($D65,Milestones!$AA$125)&gt;=$S65),$V65,$U65)))=Milestones!$AB$125),UPPER(TEXT(EDATE($D65,Milestones!$AA$125),"dd mmm yy"))&amp;" "&amp;Milestones!$AB$125&amp;" "&amp;Milestones!$AC$125&amp;";  ","")&amp;IF(AND(EDATE($D65,Milestones!$AA$126)&lt;=AsOfDate,IF($R65=0,$X65,IF(AND($T65&lt;&gt;"",EDATE($D65,Milestones!$AA$126)&gt;=$T65),$W65,IF(AND($S65&lt;&gt;"",EDATE($D65,Milestones!$AA$126)&gt;=$S65),$V65,$U65)))=Milestones!$AB$126),UPPER(TEXT(EDATE($D65,Milestones!$AA$126),"dd mmm yy"))&amp;" "&amp;Milestones!$AB$126&amp;" "&amp;Milestones!$AC$126&amp;";  ","")&amp;IF(AND(EDATE($D65,Milestones!$AA$127)&lt;=AsOfDate,IF($R65=0,$X65,IF(AND($T65&lt;&gt;"",EDATE($D65,Milestones!$AA$127)&gt;=$T65),$W65,IF(AND($S65&lt;&gt;"",EDATE($D65,Milestones!$AA$127)&gt;=$S65),$V65,$U65)))=Milestones!$AB$127),UPPER(TEXT(EDATE($D65,Milestones!$AA$127),"dd mmm yy"))&amp;" "&amp;Milestones!$AB$127&amp;" "&amp;Milestones!$AC$127&amp;";  ","")&amp;IF(AND(EDATE($D65,Milestones!$AA$128)&lt;=AsOfDate,IF($R65=0,$X65,IF(AND($T65&lt;&gt;"",EDATE($D65,Milestones!$AA$128)&gt;=$T65),$W65,IF(AND($S65&lt;&gt;"",EDATE($D65,Milestones!$AA$128)&gt;=$S65),$V65,$U65)))=Milestones!$AB$128),UPPER(TEXT(EDATE($D65,Milestones!$AA$128),"dd mmm yy"))&amp;" "&amp;Milestones!$AB$128&amp;" "&amp;Milestones!$AC$128&amp;";  ","")&amp;IF(AND(EDATE($D65,Milestones!$AA$129)&lt;=AsOfDate,IF($R65=0,$X65,IF(AND($T65&lt;&gt;"",EDATE($D65,Milestones!$AA$129)&gt;=$T65),$W65,IF(AND($S65&lt;&gt;"",EDATE($D65,Milestones!$AA$129)&gt;=$S65),$V65,$U65)))=Milestones!$AB$129),UPPER(TEXT(EDATE($D65,Milestones!$AA$129),"dd mmm yy"))&amp;" "&amp;Milestones!$AB$129&amp;" "&amp;Milestones!$AC$129&amp;";  ","")&amp;IF(AND(EDATE($D65,Milestones!$AA$130)&lt;=AsOfDate,IF($R65=0,$X65,IF(AND($T65&lt;&gt;"",EDATE($D65,Milestones!$AA$130)&gt;=$T65),$W65,IF(AND($S65&lt;&gt;"",EDATE($D65,Milestones!$AA$130)&gt;=$S65),$V65,$U65)))=Milestones!$AB$130),UPPER(TEXT(EDATE($D65,Milestones!$AA$130),"dd mmm yy"))&amp;" "&amp;Milestones!$AB$130&amp;" "&amp;Milestones!$AC$130&amp;";  ","")&amp;IF(AND(EDATE($D65,Milestones!$AA$131)&lt;=AsOfDate,IF($R65=0,$X65,IF(AND($T65&lt;&gt;"",EDATE($D65,Milestones!$AA$131)&gt;=$T65),$W65,IF(AND($S65&lt;&gt;"",EDATE($D65,Milestones!$AA$131)&gt;=$S65),$V65,$U65)))=Milestones!$AB$131),UPPER(TEXT(EDATE($D65,Milestones!$AA$131),"dd mmm yy"))&amp;" "&amp;Milestones!$AB$131&amp;" "&amp;Milestones!$AC$131&amp;";  ","")&amp;IF(AND(EDATE($D65,Milestones!$AA$132)&lt;=AsOfDate,IF($R65=0,$X65,IF(AND($T65&lt;&gt;"",EDATE($D65,Milestones!$AA$132)&gt;=$T65),$W65,IF(AND($S65&lt;&gt;"",EDATE($D65,Milestones!$AA$132)&gt;=$S65),$V65,$U65)))=Milestones!$AB$132),UPPER(TEXT(EDATE($D65,Milestones!$AA$132),"dd mmm yy"))&amp;" "&amp;Milestones!$AB$132&amp;" "&amp;Milestones!$AC$132&amp;";  ","")&amp;IF(AND(EDATE($D65,Milestones!$AA$133)&lt;=AsOfDate,IF($R65=0,$X65,IF(AND($T65&lt;&gt;"",EDATE($D65,Milestones!$AA$133)&gt;=$T65),$W65,IF(AND($S65&lt;&gt;"",EDATE($D65,Milestones!$AA$133)&gt;=$S65),$V65,$U65)))=Milestones!$AB$133),UPPER(TEXT(EDATE($D65,Milestones!$AA$133),"dd mmm yy"))&amp;" "&amp;Milestones!$AB$133&amp;" "&amp;Milestones!$AC$133&amp;";  ","")&amp;IF(AND(EDATE($D65,Milestones!$AA$134)&lt;=AsOfDate,IF($R65=0,$X65,IF(AND($T65&lt;&gt;"",EDATE($D65,Milestones!$AA$134)&gt;=$T65),$W65,IF(AND($S65&lt;&gt;"",EDATE($D65,Milestones!$AA$134)&gt;=$S65),$V65,$U65)))=Milestones!$AB$134),UPPER(TEXT(EDATE($D65,Milestones!$AA$134),"dd mmm yy"))&amp;" "&amp;Milestones!$AB$134&amp;" "&amp;Milestones!$AC$134&amp;";  ","")&amp;IF(AND(EDATE($D65,Milestones!$AA$135)&lt;=AsOfDate,IF($R65=0,$X65,IF(AND($T65&lt;&gt;"",EDATE($D65,Milestones!$AA$135)&gt;=$T65),$W65,IF(AND($S65&lt;&gt;"",EDATE($D65,Milestones!$AA$135)&gt;=$S65),$V65,$U65)))=Milestones!$AB$135),UPPER(TEXT(EDATE($D65,Milestones!$AA$135),"dd mmm yy"))&amp;" "&amp;Milestones!$AB$135&amp;" "&amp;Milestones!$AC$135&amp;";  ","")&amp;IF(AND(EDATE($D65,Milestones!$AA$136)&lt;=AsOfDate,IF($R65=0,$X65,IF(AND($T65&lt;&gt;"",EDATE($D65,Milestones!$AA$136)&gt;=$T65),$W65,IF(AND($S65&lt;&gt;"",EDATE($D65,Milestones!$AA$136)&gt;=$S65),$V65,$U65)))=Milestones!$AB$136),UPPER(TEXT(EDATE($D65,Milestones!$AA$136),"dd mmm yy"))&amp;" "&amp;Milestones!$AB$136&amp;" "&amp;Milestones!$AC$136&amp;";  ","")&amp;IF(AND(EDATE($D65,Milestones!$AA$137)&lt;=AsOfDate,IF($R65=0,$X65,IF(AND($T65&lt;&gt;"",EDATE($D65,Milestones!$AA$137)&gt;=$T65),$W65,IF(AND($S65&lt;&gt;"",EDATE($D65,Milestones!$AA$137)&gt;=$S65),$V65,$U65)))=Milestones!$AB$137),UPPER(TEXT(EDATE($D65,Milestones!$AA$137),"dd mmm yy"))&amp;" "&amp;Milestones!$AB$137&amp;" "&amp;Milestones!$AC$137&amp;";  ","")&amp;IF(AND(EDATE($D65,Milestones!$AA$138)&lt;=AsOfDate,IF($R65=0,$X65,IF(AND($T65&lt;&gt;"",EDATE($D65,Milestones!$AA$138)&gt;=$T65),$W65,IF(AND($S65&lt;&gt;"",EDATE($D65,Milestones!$AA$138)&gt;=$S65),$V65,$U65)))=Milestones!$AB$138),UPPER(TEXT(EDATE($D65,Milestones!$AA$138),"dd mmm yy"))&amp;" "&amp;Milestones!$AB$138&amp;" "&amp;Milestones!$AC$138&amp;";  ","")&amp;IF(AND(EDATE($D65,Milestones!$AA$139)&lt;=AsOfDate,IF($R65=0,$X65,IF(AND($T65&lt;&gt;"",EDATE($D65,Milestones!$AA$139)&gt;=$T65),$W65,IF(AND($S65&lt;&gt;"",EDATE($D65,Milestones!$AA$139)&gt;=$S65),$V65,$U65)))=Milestones!$AB$139),UPPER(TEXT(EDATE($D65,Milestones!$AA$139),"dd mmm yy"))&amp;" "&amp;Milestones!$AB$139&amp;" "&amp;Milestones!$AC$139&amp;";  ",""))</f>
        <v/>
      </c>
      <c r="O65" s="0" t="str">
        <f aca="false">IF(OR($A65="",$D65=""),"",IF(AND(EDATE($D65,Milestones!$AA$140)&lt;=AsOfDate,IF($R65=0,$X65,IF(AND($T65&lt;&gt;"",EDATE($D65,Milestones!$AA$140)&gt;=$T65),$W65,IF(AND($S65&lt;&gt;"",EDATE($D65,Milestones!$AA$140)&gt;=$S65),$V65,$U65)))=Milestones!$AB$140),UPPER(TEXT(EDATE($D65,Milestones!$AA$140),"dd mmm yy"))&amp;" "&amp;Milestones!$AB$140&amp;" "&amp;Milestones!$AC$140&amp;";  ","")&amp;IF(AND(EDATE($D65,Milestones!$AA$141)&lt;=AsOfDate,IF($R65=0,$X65,IF(AND($T65&lt;&gt;"",EDATE($D65,Milestones!$AA$141)&gt;=$T65),$W65,IF(AND($S65&lt;&gt;"",EDATE($D65,Milestones!$AA$141)&gt;=$S65),$V65,$U65)))=Milestones!$AB$141),UPPER(TEXT(EDATE($D65,Milestones!$AA$141),"dd mmm yy"))&amp;" "&amp;Milestones!$AB$141&amp;" "&amp;Milestones!$AC$141&amp;";  ","")&amp;IF(AND(EDATE($D65,Milestones!$AA$142)&lt;=AsOfDate,IF($R65=0,$X65,IF(AND($T65&lt;&gt;"",EDATE($D65,Milestones!$AA$142)&gt;=$T65),$W65,IF(AND($S65&lt;&gt;"",EDATE($D65,Milestones!$AA$142)&gt;=$S65),$V65,$U65)))=Milestones!$AB$142),UPPER(TEXT(EDATE($D65,Milestones!$AA$142),"dd mmm yy"))&amp;" "&amp;Milestones!$AB$142&amp;" "&amp;Milestones!$AC$142&amp;";  ","")&amp;IF(AND(EDATE($D65,Milestones!$AA$143)&lt;=AsOfDate,IF($R65=0,$X65,IF(AND($T65&lt;&gt;"",EDATE($D65,Milestones!$AA$143)&gt;=$T65),$W65,IF(AND($S65&lt;&gt;"",EDATE($D65,Milestones!$AA$143)&gt;=$S65),$V65,$U65)))=Milestones!$AB$143),UPPER(TEXT(EDATE($D65,Milestones!$AA$143),"dd mmm yy"))&amp;" "&amp;Milestones!$AB$143&amp;" "&amp;Milestones!$AC$143&amp;";  ","")&amp;IF(AND(EDATE($D65,Milestones!$AA$144)&lt;=AsOfDate,IF($R65=0,$X65,IF(AND($T65&lt;&gt;"",EDATE($D65,Milestones!$AA$144)&gt;=$T65),$W65,IF(AND($S65&lt;&gt;"",EDATE($D65,Milestones!$AA$144)&gt;=$S65),$V65,$U65)))=Milestones!$AB$144),UPPER(TEXT(EDATE($D65,Milestones!$AA$144),"dd mmm yy"))&amp;" "&amp;Milestones!$AB$144&amp;" "&amp;Milestones!$AC$144&amp;";  ","")&amp;IF(AND(EDATE($D65,Milestones!$AA$145)&lt;=AsOfDate,IF($R65=0,$X65,IF(AND($T65&lt;&gt;"",EDATE($D65,Milestones!$AA$145)&gt;=$T65),$W65,IF(AND($S65&lt;&gt;"",EDATE($D65,Milestones!$AA$145)&gt;=$S65),$V65,$U65)))=Milestones!$AB$145),UPPER(TEXT(EDATE($D65,Milestones!$AA$145),"dd mmm yy"))&amp;" "&amp;Milestones!$AB$145&amp;" "&amp;Milestones!$AC$145&amp;";  ","")&amp;IF(AND(EDATE($D65,Milestones!$AA$146)&lt;=AsOfDate,IF($R65=0,$X65,IF(AND($T65&lt;&gt;"",EDATE($D65,Milestones!$AA$146)&gt;=$T65),$W65,IF(AND($S65&lt;&gt;"",EDATE($D65,Milestones!$AA$146)&gt;=$S65),$V65,$U65)))=Milestones!$AB$146),UPPER(TEXT(EDATE($D65,Milestones!$AA$146),"dd mmm yy"))&amp;" "&amp;Milestones!$AB$146&amp;" "&amp;Milestones!$AC$146&amp;";  ","")&amp;IF(AND(EDATE($D65,Milestones!$AA$147)&lt;=AsOfDate,IF($R65=0,$X65,IF(AND($T65&lt;&gt;"",EDATE($D65,Milestones!$AA$147)&gt;=$T65),$W65,IF(AND($S65&lt;&gt;"",EDATE($D65,Milestones!$AA$147)&gt;=$S65),$V65,$U65)))=Milestones!$AB$147),UPPER(TEXT(EDATE($D65,Milestones!$AA$147),"dd mmm yy"))&amp;" "&amp;Milestones!$AB$147&amp;" "&amp;Milestones!$AC$147&amp;";  ","")&amp;IF(AND(EDATE($D65,Milestones!$AA$148)&lt;=AsOfDate,IF($R65=0,$X65,IF(AND($T65&lt;&gt;"",EDATE($D65,Milestones!$AA$148)&gt;=$T65),$W65,IF(AND($S65&lt;&gt;"",EDATE($D65,Milestones!$AA$148)&gt;=$S65),$V65,$U65)))=Milestones!$AB$148),UPPER(TEXT(EDATE($D65,Milestones!$AA$148),"dd mmm yy"))&amp;" "&amp;Milestones!$AB$148&amp;" "&amp;Milestones!$AC$148&amp;";  ","")&amp;IF(AND(EDATE($D65,Milestones!$AA$149)&lt;=AsOfDate,IF($R65=0,$X65,IF(AND($T65&lt;&gt;"",EDATE($D65,Milestones!$AA$149)&gt;=$T65),$W65,IF(AND($S65&lt;&gt;"",EDATE($D65,Milestones!$AA$149)&gt;=$S65),$V65,$U65)))=Milestones!$AB$149),UPPER(TEXT(EDATE($D65,Milestones!$AA$149),"dd mmm yy"))&amp;" "&amp;Milestones!$AB$149&amp;" "&amp;Milestones!$AC$149&amp;";  ","")&amp;IF(AND(EDATE($D65,Milestones!$AA$150)&lt;=AsOfDate,IF($R65=0,$X65,IF(AND($T65&lt;&gt;"",EDATE($D65,Milestones!$AA$150)&gt;=$T65),$W65,IF(AND($S65&lt;&gt;"",EDATE($D65,Milestones!$AA$150)&gt;=$S65),$V65,$U65)))=Milestones!$AB$150),UPPER(TEXT(EDATE($D65,Milestones!$AA$150),"dd mmm yy"))&amp;" "&amp;Milestones!$AB$150&amp;" "&amp;Milestones!$AC$150&amp;";  ","")&amp;IF(AND(EDATE($D65,Milestones!$AA$151)&lt;=AsOfDate,IF($R65=0,$X65,IF(AND($T65&lt;&gt;"",EDATE($D65,Milestones!$AA$151)&gt;=$T65),$W65,IF(AND($S65&lt;&gt;"",EDATE($D65,Milestones!$AA$151)&gt;=$S65),$V65,$U65)))=Milestones!$AB$151),UPPER(TEXT(EDATE($D65,Milestones!$AA$151),"dd mmm yy"))&amp;" "&amp;Milestones!$AB$151&amp;" "&amp;Milestones!$AC$151&amp;";  ","")&amp;IF(AND(EDATE($D65,Milestones!$AA$152)&lt;=AsOfDate,IF($R65=0,$X65,IF(AND($T65&lt;&gt;"",EDATE($D65,Milestones!$AA$152)&gt;=$T65),$W65,IF(AND($S65&lt;&gt;"",EDATE($D65,Milestones!$AA$152)&gt;=$S65),$V65,$U65)))=Milestones!$AB$152),UPPER(TEXT(EDATE($D65,Milestones!$AA$152),"dd mmm yy"))&amp;" "&amp;Milestones!$AB$152&amp;" "&amp;Milestones!$AC$152&amp;";  ","")&amp;IF(AND(EDATE($D65,Milestones!$AA$153)&lt;=AsOfDate,IF($R65=0,$X65,IF(AND($T65&lt;&gt;"",EDATE($D65,Milestones!$AA$153)&gt;=$T65),$W65,IF(AND($S65&lt;&gt;"",EDATE($D65,Milestones!$AA$153)&gt;=$S65),$V65,$U65)))=Milestones!$AB$153),UPPER(TEXT(EDATE($D65,Milestones!$AA$153),"dd mmm yy"))&amp;" "&amp;Milestones!$AB$153&amp;" "&amp;Milestones!$AC$153&amp;";  ","")&amp;IF(AND(EDATE($D65,Milestones!$AA$154)&lt;=AsOfDate,IF($R65=0,$X65,IF(AND($T65&lt;&gt;"",EDATE($D65,Milestones!$AA$154)&gt;=$T65),$W65,IF(AND($S65&lt;&gt;"",EDATE($D65,Milestones!$AA$154)&gt;=$S65),$V65,$U65)))=Milestones!$AB$154),UPPER(TEXT(EDATE($D65,Milestones!$AA$154),"dd mmm yy"))&amp;" "&amp;Milestones!$AB$154&amp;" "&amp;Milestones!$AC$154&amp;";  ","")&amp;IF(AND(EDATE($D65,Milestones!$AA$155)&lt;=AsOfDate,IF($R65=0,$X65,IF(AND($T65&lt;&gt;"",EDATE($D65,Milestones!$AA$155)&gt;=$T65),$W65,IF(AND($S65&lt;&gt;"",EDATE($D65,Milestones!$AA$155)&gt;=$S65),$V65,$U65)))=Milestones!$AB$155),UPPER(TEXT(EDATE($D65,Milestones!$AA$155),"dd mmm yy"))&amp;" "&amp;Milestones!$AB$155&amp;" "&amp;Milestones!$AC$155&amp;";  ","")&amp;IF(AND(EDATE($D65,Milestones!$AA$156)&lt;=AsOfDate,IF($R65=0,$X65,IF(AND($T65&lt;&gt;"",EDATE($D65,Milestones!$AA$156)&gt;=$T65),$W65,IF(AND($S65&lt;&gt;"",EDATE($D65,Milestones!$AA$156)&gt;=$S65),$V65,$U65)))=Milestones!$AB$156),UPPER(TEXT(EDATE($D65,Milestones!$AA$156),"dd mmm yy"))&amp;" "&amp;Milestones!$AB$156&amp;" "&amp;Milestones!$AC$156&amp;";  ","")&amp;IF(AND(EDATE($D65,Milestones!$AA$157)&lt;=AsOfDate,IF($R65=0,$X65,IF(AND($T65&lt;&gt;"",EDATE($D65,Milestones!$AA$157)&gt;=$T65),$W65,IF(AND($S65&lt;&gt;"",EDATE($D65,Milestones!$AA$157)&gt;=$S65),$V65,$U65)))=Milestones!$AB$157),UPPER(TEXT(EDATE($D65,Milestones!$AA$157),"dd mmm yy"))&amp;" "&amp;Milestones!$AB$157&amp;" "&amp;Milestones!$AC$157&amp;";  ","")&amp;IF(AND(EDATE($D65,Milestones!$AA$158)&lt;=AsOfDate,IF($R65=0,$X65,IF(AND($T65&lt;&gt;"",EDATE($D65,Milestones!$AA$158)&gt;=$T65),$W65,IF(AND($S65&lt;&gt;"",EDATE($D65,Milestones!$AA$158)&gt;=$S65),$V65,$U65)))=Milestones!$AB$158),UPPER(TEXT(EDATE($D65,Milestones!$AA$158),"dd mmm yy"))&amp;" "&amp;Milestones!$AB$158&amp;" "&amp;Milestones!$AC$158&amp;";  ","")&amp;IF(AND(EDATE($D65,Milestones!$AA$159)&lt;=AsOfDate,IF($R65=0,$X65,IF(AND($T65&lt;&gt;"",EDATE($D65,Milestones!$AA$159)&gt;=$T65),$W65,IF(AND($S65&lt;&gt;"",EDATE($D65,Milestones!$AA$159)&gt;=$S65),$V65,$U65)))=Milestones!$AB$159),UPPER(TEXT(EDATE($D65,Milestones!$AA$159),"dd mmm yy"))&amp;" "&amp;Milestones!$AB$159&amp;" "&amp;Milestones!$AC$159&amp;";  ",""))</f>
        <v/>
      </c>
      <c r="P65" s="0" t="str">
        <f aca="false">IF(OR($A65="",$D65=""),"",IF(AND(EDATE($D65,Milestones!$AA$160)&lt;=AsOfDate,IF($R65=0,$X65,IF(AND($T65&lt;&gt;"",EDATE($D65,Milestones!$AA$160)&gt;=$T65),$W65,IF(AND($S65&lt;&gt;"",EDATE($D65,Milestones!$AA$160)&gt;=$S65),$V65,$U65)))=Milestones!$AB$160),UPPER(TEXT(EDATE($D65,Milestones!$AA$160),"dd mmm yy"))&amp;" "&amp;Milestones!$AB$160&amp;" "&amp;Milestones!$AC$160&amp;";  ","")&amp;IF(AND(EDATE($D65,Milestones!$AA$161)&lt;=AsOfDate,IF($R65=0,$X65,IF(AND($T65&lt;&gt;"",EDATE($D65,Milestones!$AA$161)&gt;=$T65),$W65,IF(AND($S65&lt;&gt;"",EDATE($D65,Milestones!$AA$161)&gt;=$S65),$V65,$U65)))=Milestones!$AB$161),UPPER(TEXT(EDATE($D65,Milestones!$AA$161),"dd mmm yy"))&amp;" "&amp;Milestones!$AB$161&amp;" "&amp;Milestones!$AC$161&amp;";  ","")&amp;IF(AND(EDATE($D65,Milestones!$AA$162)&lt;=AsOfDate,IF($R65=0,$X65,IF(AND($T65&lt;&gt;"",EDATE($D65,Milestones!$AA$162)&gt;=$T65),$W65,IF(AND($S65&lt;&gt;"",EDATE($D65,Milestones!$AA$162)&gt;=$S65),$V65,$U65)))=Milestones!$AB$162),UPPER(TEXT(EDATE($D65,Milestones!$AA$162),"dd mmm yy"))&amp;" "&amp;Milestones!$AB$162&amp;" "&amp;Milestones!$AC$162&amp;";  ","")&amp;IF(AND(EDATE($D65,Milestones!$AA$163)&lt;=AsOfDate,IF($R65=0,$X65,IF(AND($T65&lt;&gt;"",EDATE($D65,Milestones!$AA$163)&gt;=$T65),$W65,IF(AND($S65&lt;&gt;"",EDATE($D65,Milestones!$AA$163)&gt;=$S65),$V65,$U65)))=Milestones!$AB$163),UPPER(TEXT(EDATE($D65,Milestones!$AA$163),"dd mmm yy"))&amp;" "&amp;Milestones!$AB$163&amp;" "&amp;Milestones!$AC$163&amp;";  ","")&amp;IF(AND(EDATE($D65,Milestones!$AA$164)&lt;=AsOfDate,IF($R65=0,$X65,IF(AND($T65&lt;&gt;"",EDATE($D65,Milestones!$AA$164)&gt;=$T65),$W65,IF(AND($S65&lt;&gt;"",EDATE($D65,Milestones!$AA$164)&gt;=$S65),$V65,$U65)))=Milestones!$AB$164),UPPER(TEXT(EDATE($D65,Milestones!$AA$164),"dd mmm yy"))&amp;" "&amp;Milestones!$AB$164&amp;" "&amp;Milestones!$AC$164&amp;";  ","")&amp;IF(AND(EDATE($D65,Milestones!$AA$165)&lt;=AsOfDate,IF($R65=0,$X65,IF(AND($T65&lt;&gt;"",EDATE($D65,Milestones!$AA$165)&gt;=$T65),$W65,IF(AND($S65&lt;&gt;"",EDATE($D65,Milestones!$AA$165)&gt;=$S65),$V65,$U65)))=Milestones!$AB$165),UPPER(TEXT(EDATE($D65,Milestones!$AA$165),"dd mmm yy"))&amp;" "&amp;Milestones!$AB$165&amp;" "&amp;Milestones!$AC$165&amp;";  ","")&amp;IF(AND(EDATE($D65,Milestones!$AA$166)&lt;=AsOfDate,IF($R65=0,$X65,IF(AND($T65&lt;&gt;"",EDATE($D65,Milestones!$AA$166)&gt;=$T65),$W65,IF(AND($S65&lt;&gt;"",EDATE($D65,Milestones!$AA$166)&gt;=$S65),$V65,$U65)))=Milestones!$AB$166),UPPER(TEXT(EDATE($D65,Milestones!$AA$166),"dd mmm yy"))&amp;" "&amp;Milestones!$AB$166&amp;" "&amp;Milestones!$AC$166&amp;";  ","")&amp;IF(AND(EDATE($D65,Milestones!$AA$167)&lt;=AsOfDate,IF($R65=0,$X65,IF(AND($T65&lt;&gt;"",EDATE($D65,Milestones!$AA$167)&gt;=$T65),$W65,IF(AND($S65&lt;&gt;"",EDATE($D65,Milestones!$AA$167)&gt;=$S65),$V65,$U65)))=Milestones!$AB$167),UPPER(TEXT(EDATE($D65,Milestones!$AA$167),"dd mmm yy"))&amp;" "&amp;Milestones!$AB$167&amp;" "&amp;Milestones!$AC$167&amp;";  ","")&amp;IF(AND(EDATE($D65,Milestones!$AA$168)&lt;=AsOfDate,IF($R65=0,$X65,IF(AND($T65&lt;&gt;"",EDATE($D65,Milestones!$AA$168)&gt;=$T65),$W65,IF(AND($S65&lt;&gt;"",EDATE($D65,Milestones!$AA$168)&gt;=$S65),$V65,$U65)))=Milestones!$AB$168),UPPER(TEXT(EDATE($D65,Milestones!$AA$168),"dd mmm yy"))&amp;" "&amp;Milestones!$AB$168&amp;" "&amp;Milestones!$AC$168&amp;";  ","")&amp;IF(AND(EDATE($D65,Milestones!$AA$169)&lt;=AsOfDate,IF($R65=0,$X65,IF(AND($T65&lt;&gt;"",EDATE($D65,Milestones!$AA$169)&gt;=$T65),$W65,IF(AND($S65&lt;&gt;"",EDATE($D65,Milestones!$AA$169)&gt;=$S65),$V65,$U65)))=Milestones!$AB$169),UPPER(TEXT(EDATE($D65,Milestones!$AA$169),"dd mmm yy"))&amp;" "&amp;Milestones!$AB$169&amp;" "&amp;Milestones!$AC$169&amp;";  ","")&amp;IF(AND(EDATE($D65,Milestones!$AA$170)&lt;=AsOfDate,IF($R65=0,$X65,IF(AND($T65&lt;&gt;"",EDATE($D65,Milestones!$AA$170)&gt;=$T65),$W65,IF(AND($S65&lt;&gt;"",EDATE($D65,Milestones!$AA$170)&gt;=$S65),$V65,$U65)))=Milestones!$AB$170),UPPER(TEXT(EDATE($D65,Milestones!$AA$170),"dd mmm yy"))&amp;" "&amp;Milestones!$AB$170&amp;" "&amp;Milestones!$AC$170&amp;";  ","")&amp;IF(AND(EDATE($D65,Milestones!$AA$171)&lt;=AsOfDate,IF($R65=0,$X65,IF(AND($T65&lt;&gt;"",EDATE($D65,Milestones!$AA$171)&gt;=$T65),$W65,IF(AND($S65&lt;&gt;"",EDATE($D65,Milestones!$AA$171)&gt;=$S65),$V65,$U65)))=Milestones!$AB$171),UPPER(TEXT(EDATE($D65,Milestones!$AA$171),"dd mmm yy"))&amp;" "&amp;Milestones!$AB$171&amp;" "&amp;Milestones!$AC$171&amp;";  ","")&amp;IF(AND(EDATE($D65,Milestones!$AA$172)&lt;=AsOfDate,IF($R65=0,$X65,IF(AND($T65&lt;&gt;"",EDATE($D65,Milestones!$AA$172)&gt;=$T65),$W65,IF(AND($S65&lt;&gt;"",EDATE($D65,Milestones!$AA$172)&gt;=$S65),$V65,$U65)))=Milestones!$AB$172),UPPER(TEXT(EDATE($D65,Milestones!$AA$172),"dd mmm yy"))&amp;" "&amp;Milestones!$AB$172&amp;" "&amp;Milestones!$AC$172&amp;";  ","")&amp;IF(AND(EDATE($D65,Milestones!$AA$173)&lt;=AsOfDate,IF($R65=0,$X65,IF(AND($T65&lt;&gt;"",EDATE($D65,Milestones!$AA$173)&gt;=$T65),$W65,IF(AND($S65&lt;&gt;"",EDATE($D65,Milestones!$AA$173)&gt;=$S65),$V65,$U65)))=Milestones!$AB$173),UPPER(TEXT(EDATE($D65,Milestones!$AA$173),"dd mmm yy"))&amp;" "&amp;Milestones!$AB$173&amp;" "&amp;Milestones!$AC$173&amp;";  ","")&amp;IF(AND(EDATE($D65,Milestones!$AA$174)&lt;=AsOfDate,IF($R65=0,$X65,IF(AND($T65&lt;&gt;"",EDATE($D65,Milestones!$AA$174)&gt;=$T65),$W65,IF(AND($S65&lt;&gt;"",EDATE($D65,Milestones!$AA$174)&gt;=$S65),$V65,$U65)))=Milestones!$AB$174),UPPER(TEXT(EDATE($D65,Milestones!$AA$174),"dd mmm yy"))&amp;" "&amp;Milestones!$AB$174&amp;" "&amp;Milestones!$AC$174&amp;";  ","")&amp;IF(AND(EDATE($D65,Milestones!$AA$175)&lt;=AsOfDate,IF($R65=0,$X65,IF(AND($T65&lt;&gt;"",EDATE($D65,Milestones!$AA$175)&gt;=$T65),$W65,IF(AND($S65&lt;&gt;"",EDATE($D65,Milestones!$AA$175)&gt;=$S65),$V65,$U65)))=Milestones!$AB$175),UPPER(TEXT(EDATE($D65,Milestones!$AA$175),"dd mmm yy"))&amp;" "&amp;Milestones!$AB$175&amp;" "&amp;Milestones!$AC$175&amp;";  ","")&amp;IF(AND(EDATE($D65,Milestones!$AA$176)&lt;=AsOfDate,IF($R65=0,$X65,IF(AND($T65&lt;&gt;"",EDATE($D65,Milestones!$AA$176)&gt;=$T65),$W65,IF(AND($S65&lt;&gt;"",EDATE($D65,Milestones!$AA$176)&gt;=$S65),$V65,$U65)))=Milestones!$AB$176),UPPER(TEXT(EDATE($D65,Milestones!$AA$176),"dd mmm yy"))&amp;" "&amp;Milestones!$AB$176&amp;" "&amp;Milestones!$AC$176&amp;";  ","")&amp;IF(AND(EDATE($D65,Milestones!$AA$177)&lt;=AsOfDate,IF($R65=0,$X65,IF(AND($T65&lt;&gt;"",EDATE($D65,Milestones!$AA$177)&gt;=$T65),$W65,IF(AND($S65&lt;&gt;"",EDATE($D65,Milestones!$AA$177)&gt;=$S65),$V65,$U65)))=Milestones!$AB$177),UPPER(TEXT(EDATE($D65,Milestones!$AA$177),"dd mmm yy"))&amp;" "&amp;Milestones!$AB$177&amp;" "&amp;Milestones!$AC$177&amp;";  ","")&amp;IF(AND(EDATE($D65,Milestones!$AA$178)&lt;=AsOfDate,IF($R65=0,$X65,IF(AND($T65&lt;&gt;"",EDATE($D65,Milestones!$AA$178)&gt;=$T65),$W65,IF(AND($S65&lt;&gt;"",EDATE($D65,Milestones!$AA$178)&gt;=$S65),$V65,$U65)))=Milestones!$AB$178),UPPER(TEXT(EDATE($D65,Milestones!$AA$178),"dd mmm yy"))&amp;" "&amp;Milestones!$AB$178&amp;" "&amp;Milestones!$AC$178&amp;";  ","")&amp;IF(AND(EDATE($D65,Milestones!$AA$179)&lt;=AsOfDate,IF($R65=0,$X65,IF(AND($T65&lt;&gt;"",EDATE($D65,Milestones!$AA$179)&gt;=$T65),$W65,IF(AND($S65&lt;&gt;"",EDATE($D65,Milestones!$AA$179)&gt;=$S65),$V65,$U65)))=Milestones!$AB$179),UPPER(TEXT(EDATE($D65,Milestones!$AA$179),"dd mmm yy"))&amp;" "&amp;Milestones!$AB$179&amp;" "&amp;Milestones!$AC$179&amp;";  ",""))</f>
        <v/>
      </c>
      <c r="Q65" s="0" t="str">
        <f aca="false">IF(OR($A65="",$D65=""),"",IF(AND(EDATE($D65,Milestones!$AA$180)&lt;=AsOfDate,IF($R65=0,$X65,IF(AND($T65&lt;&gt;"",EDATE($D65,Milestones!$AA$180)&gt;=$T65),$W65,IF(AND($S65&lt;&gt;"",EDATE($D65,Milestones!$AA$180)&gt;=$S65),$V65,$U65)))=Milestones!$AB$180),UPPER(TEXT(EDATE($D65,Milestones!$AA$180),"dd mmm yy"))&amp;" "&amp;Milestones!$AB$180&amp;" "&amp;Milestones!$AC$180&amp;";  ","")&amp;IF(AND(EDATE($D65,Milestones!$AA$181)&lt;=AsOfDate,IF($R65=0,$X65,IF(AND($T65&lt;&gt;"",EDATE($D65,Milestones!$AA$181)&gt;=$T65),$W65,IF(AND($S65&lt;&gt;"",EDATE($D65,Milestones!$AA$181)&gt;=$S65),$V65,$U65)))=Milestones!$AB$181),UPPER(TEXT(EDATE($D65,Milestones!$AA$181),"dd mmm yy"))&amp;" "&amp;Milestones!$AB$181&amp;" "&amp;Milestones!$AC$181&amp;";  ","")&amp;IF(AND(EDATE($D65,Milestones!$AA$182)&lt;=AsOfDate,IF($R65=0,$X65,IF(AND($T65&lt;&gt;"",EDATE($D65,Milestones!$AA$182)&gt;=$T65),$W65,IF(AND($S65&lt;&gt;"",EDATE($D65,Milestones!$AA$182)&gt;=$S65),$V65,$U65)))=Milestones!$AB$182),UPPER(TEXT(EDATE($D65,Milestones!$AA$182),"dd mmm yy"))&amp;" "&amp;Milestones!$AB$182&amp;" "&amp;Milestones!$AC$182&amp;";  ","")&amp;IF(AND(EDATE($D65,Milestones!$AA$183)&lt;=AsOfDate,IF($R65=0,$X65,IF(AND($T65&lt;&gt;"",EDATE($D65,Milestones!$AA$183)&gt;=$T65),$W65,IF(AND($S65&lt;&gt;"",EDATE($D65,Milestones!$AA$183)&gt;=$S65),$V65,$U65)))=Milestones!$AB$183),UPPER(TEXT(EDATE($D65,Milestones!$AA$183),"dd mmm yy"))&amp;" "&amp;Milestones!$AB$183&amp;" "&amp;Milestones!$AC$183&amp;";  ","")&amp;IF(AND(EDATE($D65,Milestones!$AA$184)&lt;=AsOfDate,IF($R65=0,$X65,IF(AND($T65&lt;&gt;"",EDATE($D65,Milestones!$AA$184)&gt;=$T65),$W65,IF(AND($S65&lt;&gt;"",EDATE($D65,Milestones!$AA$184)&gt;=$S65),$V65,$U65)))=Milestones!$AB$184),UPPER(TEXT(EDATE($D65,Milestones!$AA$184),"dd mmm yy"))&amp;" "&amp;Milestones!$AB$184&amp;" "&amp;Milestones!$AC$184&amp;";  ","")&amp;IF(AND(EDATE($D65,Milestones!$AA$185)&lt;=AsOfDate,IF($R65=0,$X65,IF(AND($T65&lt;&gt;"",EDATE($D65,Milestones!$AA$185)&gt;=$T65),$W65,IF(AND($S65&lt;&gt;"",EDATE($D65,Milestones!$AA$185)&gt;=$S65),$V65,$U65)))=Milestones!$AB$185),UPPER(TEXT(EDATE($D65,Milestones!$AA$185),"dd mmm yy"))&amp;" "&amp;Milestones!$AB$185&amp;" "&amp;Milestones!$AC$185&amp;";  ","")&amp;IF(AND(EDATE($D65,Milestones!$AA$186)&lt;=AsOfDate,IF($R65=0,$X65,IF(AND($T65&lt;&gt;"",EDATE($D65,Milestones!$AA$186)&gt;=$T65),$W65,IF(AND($S65&lt;&gt;"",EDATE($D65,Milestones!$AA$186)&gt;=$S65),$V65,$U65)))=Milestones!$AB$186),UPPER(TEXT(EDATE($D65,Milestones!$AA$186),"dd mmm yy"))&amp;" "&amp;Milestones!$AB$186&amp;" "&amp;Milestones!$AC$186&amp;";  ","")&amp;IF(AND(EDATE($D65,Milestones!$AA$187)&lt;=AsOfDate,IF($R65=0,$X65,IF(AND($T65&lt;&gt;"",EDATE($D65,Milestones!$AA$187)&gt;=$T65),$W65,IF(AND($S65&lt;&gt;"",EDATE($D65,Milestones!$AA$187)&gt;=$S65),$V65,$U65)))=Milestones!$AB$187),UPPER(TEXT(EDATE($D65,Milestones!$AA$187),"dd mmm yy"))&amp;" "&amp;Milestones!$AB$187&amp;" "&amp;Milestones!$AC$187&amp;";  ","")&amp;IF(AND(EDATE($D65,Milestones!$AA$188)&lt;=AsOfDate,IF($R65=0,$X65,IF(AND($T65&lt;&gt;"",EDATE($D65,Milestones!$AA$188)&gt;=$T65),$W65,IF(AND($S65&lt;&gt;"",EDATE($D65,Milestones!$AA$188)&gt;=$S65),$V65,$U65)))=Milestones!$AB$188),UPPER(TEXT(EDATE($D65,Milestones!$AA$188),"dd mmm yy"))&amp;" "&amp;Milestones!$AB$188&amp;" "&amp;Milestones!$AC$188&amp;";  ","")&amp;IF(AND(EDATE($D65,Milestones!$AA$189)&lt;=AsOfDate,IF($R65=0,$X65,IF(AND($T65&lt;&gt;"",EDATE($D65,Milestones!$AA$189)&gt;=$T65),$W65,IF(AND($S65&lt;&gt;"",EDATE($D65,Milestones!$AA$189)&gt;=$S65),$V65,$U65)))=Milestones!$AB$189),UPPER(TEXT(EDATE($D65,Milestones!$AA$189),"dd mmm yy"))&amp;" "&amp;Milestones!$AB$189&amp;" "&amp;Milestones!$AC$189&amp;";  ","")&amp;IF(AND(EDATE($D65,Milestones!$AA$190)&lt;=AsOfDate,IF($R65=0,$X65,IF(AND($T65&lt;&gt;"",EDATE($D65,Milestones!$AA$190)&gt;=$T65),$W65,IF(AND($S65&lt;&gt;"",EDATE($D65,Milestones!$AA$190)&gt;=$S65),$V65,$U65)))=Milestones!$AB$190),UPPER(TEXT(EDATE($D65,Milestones!$AA$190),"dd mmm yy"))&amp;" "&amp;Milestones!$AB$190&amp;" "&amp;Milestones!$AC$190&amp;";  ","")&amp;IF(AND(EDATE($D65,Milestones!$AA$191)&lt;=AsOfDate,IF($R65=0,$X65,IF(AND($T65&lt;&gt;"",EDATE($D65,Milestones!$AA$191)&gt;=$T65),$W65,IF(AND($S65&lt;&gt;"",EDATE($D65,Milestones!$AA$191)&gt;=$S65),$V65,$U65)))=Milestones!$AB$191),UPPER(TEXT(EDATE($D65,Milestones!$AA$191),"dd mmm yy"))&amp;" "&amp;Milestones!$AB$191&amp;" "&amp;Milestones!$AC$191&amp;";  ","")&amp;IF(AND(EDATE($D65,Milestones!$AA$192)&lt;=AsOfDate,IF($R65=0,$X65,IF(AND($T65&lt;&gt;"",EDATE($D65,Milestones!$AA$192)&gt;=$T65),$W65,IF(AND($S65&lt;&gt;"",EDATE($D65,Milestones!$AA$192)&gt;=$S65),$V65,$U65)))=Milestones!$AB$192),UPPER(TEXT(EDATE($D65,Milestones!$AA$192),"dd mmm yy"))&amp;" "&amp;Milestones!$AB$192&amp;" "&amp;Milestones!$AC$192&amp;";  ","")&amp;IF(AND(EDATE($D65,Milestones!$AA$193)&lt;=AsOfDate,IF($R65=0,$X65,IF(AND($T65&lt;&gt;"",EDATE($D65,Milestones!$AA$193)&gt;=$T65),$W65,IF(AND($S65&lt;&gt;"",EDATE($D65,Milestones!$AA$193)&gt;=$S65),$V65,$U65)))=Milestones!$AB$193),UPPER(TEXT(EDATE($D65,Milestones!$AA$193),"dd mmm yy"))&amp;" "&amp;Milestones!$AB$193&amp;" "&amp;Milestones!$AC$193&amp;";  ","")&amp;IF(AND(EDATE($D65,Milestones!$AA$194)&lt;=AsOfDate,IF($R65=0,$X65,IF(AND($T65&lt;&gt;"",EDATE($D65,Milestones!$AA$194)&gt;=$T65),$W65,IF(AND($S65&lt;&gt;"",EDATE($D65,Milestones!$AA$194)&gt;=$S65),$V65,$U65)))=Milestones!$AB$194),UPPER(TEXT(EDATE($D65,Milestones!$AA$194),"dd mmm yy"))&amp;" "&amp;Milestones!$AB$194&amp;" "&amp;Milestones!$AC$194&amp;";  ","")&amp;IF(AND(EDATE($D65,Milestones!$AA$195)&lt;=AsOfDate,IF($R65=0,$X65,IF(AND($T65&lt;&gt;"",EDATE($D65,Milestones!$AA$195)&gt;=$T65),$W65,IF(AND($S65&lt;&gt;"",EDATE($D65,Milestones!$AA$195)&gt;=$S65),$V65,$U65)))=Milestones!$AB$195),UPPER(TEXT(EDATE($D65,Milestones!$AA$195),"dd mmm yy"))&amp;" "&amp;Milestones!$AB$195&amp;" "&amp;Milestones!$AC$195&amp;";  ","")&amp;IF(AND(EDATE($D65,Milestones!$AA$196)&lt;=AsOfDate,IF($R65=0,$X65,IF(AND($T65&lt;&gt;"",EDATE($D65,Milestones!$AA$196)&gt;=$T65),$W65,IF(AND($S65&lt;&gt;"",EDATE($D65,Milestones!$AA$196)&gt;=$S65),$V65,$U65)))=Milestones!$AB$196),UPPER(TEXT(EDATE($D65,Milestones!$AA$196),"dd mmm yy"))&amp;" "&amp;Milestones!$AB$196&amp;" "&amp;Milestones!$AC$196&amp;";  ","")&amp;IF(AND(EDATE($D65,Milestones!$AA$197)&lt;=AsOfDate,IF($R65=0,$X65,IF(AND($T65&lt;&gt;"",EDATE($D65,Milestones!$AA$197)&gt;=$T65),$W65,IF(AND($S65&lt;&gt;"",EDATE($D65,Milestones!$AA$197)&gt;=$S65),$V65,$U65)))=Milestones!$AB$197),UPPER(TEXT(EDATE($D65,Milestones!$AA$197),"dd mmm yy"))&amp;" "&amp;Milestones!$AB$197&amp;" "&amp;Milestones!$AC$197&amp;";  ","")&amp;IF(AND(EDATE($D65,Milestones!$AA$198)&lt;=AsOfDate,IF($R65=0,$X65,IF(AND($T65&lt;&gt;"",EDATE($D65,Milestones!$AA$198)&gt;=$T65),$W65,IF(AND($S65&lt;&gt;"",EDATE($D65,Milestones!$AA$198)&gt;=$S65),$V65,$U65)))=Milestones!$AB$198),UPPER(TEXT(EDATE($D65,Milestones!$AA$198),"dd mmm yy"))&amp;" "&amp;Milestones!$AB$198&amp;" "&amp;Milestones!$AC$198&amp;";  ","")&amp;IF(AND(EDATE($D65,Milestones!$AA$199)&lt;=AsOfDate,IF($R65=0,$X65,IF(AND($T65&lt;&gt;"",EDATE($D65,Milestones!$AA$199)&gt;=$T65),$W65,IF(AND($S65&lt;&gt;"",EDATE($D65,Milestones!$AA$199)&gt;=$S65),$V65,$U65)))=Milestones!$AB$199),UPPER(TEXT(EDATE($D65,Milestones!$AA$199),"dd mmm yy"))&amp;" "&amp;Milestones!$AB$199&amp;" "&amp;Milestones!$AC$199&amp;";  ",""))</f>
        <v/>
      </c>
      <c r="R65" s="33" t="n">
        <f aca="false">IF(Staff!$A65="","",Staff!$AI65)</f>
        <v>0</v>
      </c>
      <c r="S65" s="0" t="str">
        <f aca="false">IF(Staff!$A65="","",Staff!$AK65)</f>
        <v/>
      </c>
      <c r="T65" s="0" t="str">
        <f aca="false">IF(Staff!$A65="","",Staff!$AL65)</f>
        <v/>
      </c>
      <c r="U65" s="0" t="str">
        <f aca="false">IF(Staff!$A65="","",Staff!$AP65)</f>
        <v>None</v>
      </c>
      <c r="V65" s="0" t="str">
        <f aca="false">IF(Staff!$A65="","",Staff!$AQ65)</f>
        <v/>
      </c>
      <c r="W65" s="0" t="str">
        <f aca="false">IF(Staff!$A65="","",Staff!$AR65)</f>
        <v/>
      </c>
      <c r="X65" s="0" t="str">
        <f aca="false">IF(Staff!$A65="","",Staff!$AS65)</f>
        <v>None</v>
      </c>
    </row>
    <row r="66" customFormat="false" ht="15" hidden="false" customHeight="false" outlineLevel="0" collapsed="false">
      <c r="A66" s="19" t="str">
        <f aca="false">IF(Staff!$A66="","",Staff!$A66)</f>
        <v>Stephen</v>
      </c>
      <c r="B66" s="19" t="str">
        <f aca="false">IF(Staff!$A66="","",Staff!$B66)</f>
        <v>ADAM</v>
      </c>
      <c r="C66" s="19" t="str">
        <f aca="false">IF(Staff!$A66="","",Staff!$C66)</f>
        <v>Casual</v>
      </c>
      <c r="D66" s="17" t="n">
        <f aca="false">IF(Staff!$A66="","",Staff!$AH66)</f>
        <v>45985</v>
      </c>
      <c r="E66" s="20" t="n">
        <f aca="false">IF(Staff!$A66="","",Staff!$O66)</f>
        <v>0</v>
      </c>
      <c r="F66" s="19" t="n">
        <f aca="false">IF(E66="","",E66*HoursPerDay)</f>
        <v>0</v>
      </c>
      <c r="G66" s="20" t="n">
        <f aca="false">IF(Staff!$A66="","",Staff!$AE66)</f>
        <v>0</v>
      </c>
      <c r="H66" s="32" t="str">
        <f aca="false">IF($A66="","",I66&amp;J66&amp;K66&amp;L66&amp;M66&amp;N66&amp;O66&amp;P66&amp;Q66)</f>
        <v/>
      </c>
      <c r="I66" s="0" t="str">
        <f aca="false">IF(OR($A66="",$D66=""),"",IF(AND(EDATE($D66,Milestones!$AA$20)&lt;=AsOfDate,IF($R66=0,$X66,IF(AND($T66&lt;&gt;"",EDATE($D66,Milestones!$AA$20)&gt;=$T66),$W66,IF(AND($S66&lt;&gt;"",EDATE($D66,Milestones!$AA$20)&gt;=$S66),$V66,$U66)))=Milestones!$AB$20),UPPER(TEXT(EDATE($D66,Milestones!$AA$20),"dd mmm yy"))&amp;" "&amp;Milestones!$AB$20&amp;" "&amp;Milestones!$AC$20&amp;";  ","")&amp;IF(AND(EDATE($D66,Milestones!$AA$21)&lt;=AsOfDate,IF($R66=0,$X66,IF(AND($T66&lt;&gt;"",EDATE($D66,Milestones!$AA$21)&gt;=$T66),$W66,IF(AND($S66&lt;&gt;"",EDATE($D66,Milestones!$AA$21)&gt;=$S66),$V66,$U66)))=Milestones!$AB$21),UPPER(TEXT(EDATE($D66,Milestones!$AA$21),"dd mmm yy"))&amp;" "&amp;Milestones!$AB$21&amp;" "&amp;Milestones!$AC$21&amp;";  ","")&amp;IF(AND(EDATE($D66,Milestones!$AA$22)&lt;=AsOfDate,IF($R66=0,$X66,IF(AND($T66&lt;&gt;"",EDATE($D66,Milestones!$AA$22)&gt;=$T66),$W66,IF(AND($S66&lt;&gt;"",EDATE($D66,Milestones!$AA$22)&gt;=$S66),$V66,$U66)))=Milestones!$AB$22),UPPER(TEXT(EDATE($D66,Milestones!$AA$22),"dd mmm yy"))&amp;" "&amp;Milestones!$AB$22&amp;" "&amp;Milestones!$AC$22&amp;";  ","")&amp;IF(AND(EDATE($D66,Milestones!$AA$23)&lt;=AsOfDate,IF($R66=0,$X66,IF(AND($T66&lt;&gt;"",EDATE($D66,Milestones!$AA$23)&gt;=$T66),$W66,IF(AND($S66&lt;&gt;"",EDATE($D66,Milestones!$AA$23)&gt;=$S66),$V66,$U66)))=Milestones!$AB$23),UPPER(TEXT(EDATE($D66,Milestones!$AA$23),"dd mmm yy"))&amp;" "&amp;Milestones!$AB$23&amp;" "&amp;Milestones!$AC$23&amp;";  ","")&amp;IF(AND(EDATE($D66,Milestones!$AA$24)&lt;=AsOfDate,IF($R66=0,$X66,IF(AND($T66&lt;&gt;"",EDATE($D66,Milestones!$AA$24)&gt;=$T66),$W66,IF(AND($S66&lt;&gt;"",EDATE($D66,Milestones!$AA$24)&gt;=$S66),$V66,$U66)))=Milestones!$AB$24),UPPER(TEXT(EDATE($D66,Milestones!$AA$24),"dd mmm yy"))&amp;" "&amp;Milestones!$AB$24&amp;" "&amp;Milestones!$AC$24&amp;";  ","")&amp;IF(AND(EDATE($D66,Milestones!$AA$25)&lt;=AsOfDate,IF($R66=0,$X66,IF(AND($T66&lt;&gt;"",EDATE($D66,Milestones!$AA$25)&gt;=$T66),$W66,IF(AND($S66&lt;&gt;"",EDATE($D66,Milestones!$AA$25)&gt;=$S66),$V66,$U66)))=Milestones!$AB$25),UPPER(TEXT(EDATE($D66,Milestones!$AA$25),"dd mmm yy"))&amp;" "&amp;Milestones!$AB$25&amp;" "&amp;Milestones!$AC$25&amp;";  ","")&amp;IF(AND(EDATE($D66,Milestones!$AA$26)&lt;=AsOfDate,IF($R66=0,$X66,IF(AND($T66&lt;&gt;"",EDATE($D66,Milestones!$AA$26)&gt;=$T66),$W66,IF(AND($S66&lt;&gt;"",EDATE($D66,Milestones!$AA$26)&gt;=$S66),$V66,$U66)))=Milestones!$AB$26),UPPER(TEXT(EDATE($D66,Milestones!$AA$26),"dd mmm yy"))&amp;" "&amp;Milestones!$AB$26&amp;" "&amp;Milestones!$AC$26&amp;";  ","")&amp;IF(AND(EDATE($D66,Milestones!$AA$27)&lt;=AsOfDate,IF($R66=0,$X66,IF(AND($T66&lt;&gt;"",EDATE($D66,Milestones!$AA$27)&gt;=$T66),$W66,IF(AND($S66&lt;&gt;"",EDATE($D66,Milestones!$AA$27)&gt;=$S66),$V66,$U66)))=Milestones!$AB$27),UPPER(TEXT(EDATE($D66,Milestones!$AA$27),"dd mmm yy"))&amp;" "&amp;Milestones!$AB$27&amp;" "&amp;Milestones!$AC$27&amp;";  ","")&amp;IF(AND(EDATE($D66,Milestones!$AA$28)&lt;=AsOfDate,IF($R66=0,$X66,IF(AND($T66&lt;&gt;"",EDATE($D66,Milestones!$AA$28)&gt;=$T66),$W66,IF(AND($S66&lt;&gt;"",EDATE($D66,Milestones!$AA$28)&gt;=$S66),$V66,$U66)))=Milestones!$AB$28),UPPER(TEXT(EDATE($D66,Milestones!$AA$28),"dd mmm yy"))&amp;" "&amp;Milestones!$AB$28&amp;" "&amp;Milestones!$AC$28&amp;";  ","")&amp;IF(AND(EDATE($D66,Milestones!$AA$29)&lt;=AsOfDate,IF($R66=0,$X66,IF(AND($T66&lt;&gt;"",EDATE($D66,Milestones!$AA$29)&gt;=$T66),$W66,IF(AND($S66&lt;&gt;"",EDATE($D66,Milestones!$AA$29)&gt;=$S66),$V66,$U66)))=Milestones!$AB$29),UPPER(TEXT(EDATE($D66,Milestones!$AA$29),"dd mmm yy"))&amp;" "&amp;Milestones!$AB$29&amp;" "&amp;Milestones!$AC$29&amp;";  ","")&amp;IF(AND(EDATE($D66,Milestones!$AA$30)&lt;=AsOfDate,IF($R66=0,$X66,IF(AND($T66&lt;&gt;"",EDATE($D66,Milestones!$AA$30)&gt;=$T66),$W66,IF(AND($S66&lt;&gt;"",EDATE($D66,Milestones!$AA$30)&gt;=$S66),$V66,$U66)))=Milestones!$AB$30),UPPER(TEXT(EDATE($D66,Milestones!$AA$30),"dd mmm yy"))&amp;" "&amp;Milestones!$AB$30&amp;" "&amp;Milestones!$AC$30&amp;";  ","")&amp;IF(AND(EDATE($D66,Milestones!$AA$31)&lt;=AsOfDate,IF($R66=0,$X66,IF(AND($T66&lt;&gt;"",EDATE($D66,Milestones!$AA$31)&gt;=$T66),$W66,IF(AND($S66&lt;&gt;"",EDATE($D66,Milestones!$AA$31)&gt;=$S66),$V66,$U66)))=Milestones!$AB$31),UPPER(TEXT(EDATE($D66,Milestones!$AA$31),"dd mmm yy"))&amp;" "&amp;Milestones!$AB$31&amp;" "&amp;Milestones!$AC$31&amp;";  ","")&amp;IF(AND(EDATE($D66,Milestones!$AA$32)&lt;=AsOfDate,IF($R66=0,$X66,IF(AND($T66&lt;&gt;"",EDATE($D66,Milestones!$AA$32)&gt;=$T66),$W66,IF(AND($S66&lt;&gt;"",EDATE($D66,Milestones!$AA$32)&gt;=$S66),$V66,$U66)))=Milestones!$AB$32),UPPER(TEXT(EDATE($D66,Milestones!$AA$32),"dd mmm yy"))&amp;" "&amp;Milestones!$AB$32&amp;" "&amp;Milestones!$AC$32&amp;";  ","")&amp;IF(AND(EDATE($D66,Milestones!$AA$33)&lt;=AsOfDate,IF($R66=0,$X66,IF(AND($T66&lt;&gt;"",EDATE($D66,Milestones!$AA$33)&gt;=$T66),$W66,IF(AND($S66&lt;&gt;"",EDATE($D66,Milestones!$AA$33)&gt;=$S66),$V66,$U66)))=Milestones!$AB$33),UPPER(TEXT(EDATE($D66,Milestones!$AA$33),"dd mmm yy"))&amp;" "&amp;Milestones!$AB$33&amp;" "&amp;Milestones!$AC$33&amp;";  ","")&amp;IF(AND(EDATE($D66,Milestones!$AA$34)&lt;=AsOfDate,IF($R66=0,$X66,IF(AND($T66&lt;&gt;"",EDATE($D66,Milestones!$AA$34)&gt;=$T66),$W66,IF(AND($S66&lt;&gt;"",EDATE($D66,Milestones!$AA$34)&gt;=$S66),$V66,$U66)))=Milestones!$AB$34),UPPER(TEXT(EDATE($D66,Milestones!$AA$34),"dd mmm yy"))&amp;" "&amp;Milestones!$AB$34&amp;" "&amp;Milestones!$AC$34&amp;";  ","")&amp;IF(AND(EDATE($D66,Milestones!$AA$35)&lt;=AsOfDate,IF($R66=0,$X66,IF(AND($T66&lt;&gt;"",EDATE($D66,Milestones!$AA$35)&gt;=$T66),$W66,IF(AND($S66&lt;&gt;"",EDATE($D66,Milestones!$AA$35)&gt;=$S66),$V66,$U66)))=Milestones!$AB$35),UPPER(TEXT(EDATE($D66,Milestones!$AA$35),"dd mmm yy"))&amp;" "&amp;Milestones!$AB$35&amp;" "&amp;Milestones!$AC$35&amp;";  ","")&amp;IF(AND(EDATE($D66,Milestones!$AA$36)&lt;=AsOfDate,IF($R66=0,$X66,IF(AND($T66&lt;&gt;"",EDATE($D66,Milestones!$AA$36)&gt;=$T66),$W66,IF(AND($S66&lt;&gt;"",EDATE($D66,Milestones!$AA$36)&gt;=$S66),$V66,$U66)))=Milestones!$AB$36),UPPER(TEXT(EDATE($D66,Milestones!$AA$36),"dd mmm yy"))&amp;" "&amp;Milestones!$AB$36&amp;" "&amp;Milestones!$AC$36&amp;";  ","")&amp;IF(AND(EDATE($D66,Milestones!$AA$37)&lt;=AsOfDate,IF($R66=0,$X66,IF(AND($T66&lt;&gt;"",EDATE($D66,Milestones!$AA$37)&gt;=$T66),$W66,IF(AND($S66&lt;&gt;"",EDATE($D66,Milestones!$AA$37)&gt;=$S66),$V66,$U66)))=Milestones!$AB$37),UPPER(TEXT(EDATE($D66,Milestones!$AA$37),"dd mmm yy"))&amp;" "&amp;Milestones!$AB$37&amp;" "&amp;Milestones!$AC$37&amp;";  ","")&amp;IF(AND(EDATE($D66,Milestones!$AA$38)&lt;=AsOfDate,IF($R66=0,$X66,IF(AND($T66&lt;&gt;"",EDATE($D66,Milestones!$AA$38)&gt;=$T66),$W66,IF(AND($S66&lt;&gt;"",EDATE($D66,Milestones!$AA$38)&gt;=$S66),$V66,$U66)))=Milestones!$AB$38),UPPER(TEXT(EDATE($D66,Milestones!$AA$38),"dd mmm yy"))&amp;" "&amp;Milestones!$AB$38&amp;" "&amp;Milestones!$AC$38&amp;";  ","")&amp;IF(AND(EDATE($D66,Milestones!$AA$39)&lt;=AsOfDate,IF($R66=0,$X66,IF(AND($T66&lt;&gt;"",EDATE($D66,Milestones!$AA$39)&gt;=$T66),$W66,IF(AND($S66&lt;&gt;"",EDATE($D66,Milestones!$AA$39)&gt;=$S66),$V66,$U66)))=Milestones!$AB$39),UPPER(TEXT(EDATE($D66,Milestones!$AA$39),"dd mmm yy"))&amp;" "&amp;Milestones!$AB$39&amp;" "&amp;Milestones!$AC$39&amp;";  ",""))</f>
        <v/>
      </c>
      <c r="J66" s="0" t="str">
        <f aca="false">IF(OR($A66="",$D66=""),"",IF(AND(EDATE($D66,Milestones!$AA$40)&lt;=AsOfDate,IF($R66=0,$X66,IF(AND($T66&lt;&gt;"",EDATE($D66,Milestones!$AA$40)&gt;=$T66),$W66,IF(AND($S66&lt;&gt;"",EDATE($D66,Milestones!$AA$40)&gt;=$S66),$V66,$U66)))=Milestones!$AB$40),UPPER(TEXT(EDATE($D66,Milestones!$AA$40),"dd mmm yy"))&amp;" "&amp;Milestones!$AB$40&amp;" "&amp;Milestones!$AC$40&amp;";  ","")&amp;IF(AND(EDATE($D66,Milestones!$AA$41)&lt;=AsOfDate,IF($R66=0,$X66,IF(AND($T66&lt;&gt;"",EDATE($D66,Milestones!$AA$41)&gt;=$T66),$W66,IF(AND($S66&lt;&gt;"",EDATE($D66,Milestones!$AA$41)&gt;=$S66),$V66,$U66)))=Milestones!$AB$41),UPPER(TEXT(EDATE($D66,Milestones!$AA$41),"dd mmm yy"))&amp;" "&amp;Milestones!$AB$41&amp;" "&amp;Milestones!$AC$41&amp;";  ","")&amp;IF(AND(EDATE($D66,Milestones!$AA$42)&lt;=AsOfDate,IF($R66=0,$X66,IF(AND($T66&lt;&gt;"",EDATE($D66,Milestones!$AA$42)&gt;=$T66),$W66,IF(AND($S66&lt;&gt;"",EDATE($D66,Milestones!$AA$42)&gt;=$S66),$V66,$U66)))=Milestones!$AB$42),UPPER(TEXT(EDATE($D66,Milestones!$AA$42),"dd mmm yy"))&amp;" "&amp;Milestones!$AB$42&amp;" "&amp;Milestones!$AC$42&amp;";  ","")&amp;IF(AND(EDATE($D66,Milestones!$AA$43)&lt;=AsOfDate,IF($R66=0,$X66,IF(AND($T66&lt;&gt;"",EDATE($D66,Milestones!$AA$43)&gt;=$T66),$W66,IF(AND($S66&lt;&gt;"",EDATE($D66,Milestones!$AA$43)&gt;=$S66),$V66,$U66)))=Milestones!$AB$43),UPPER(TEXT(EDATE($D66,Milestones!$AA$43),"dd mmm yy"))&amp;" "&amp;Milestones!$AB$43&amp;" "&amp;Milestones!$AC$43&amp;";  ","")&amp;IF(AND(EDATE($D66,Milestones!$AA$44)&lt;=AsOfDate,IF($R66=0,$X66,IF(AND($T66&lt;&gt;"",EDATE($D66,Milestones!$AA$44)&gt;=$T66),$W66,IF(AND($S66&lt;&gt;"",EDATE($D66,Milestones!$AA$44)&gt;=$S66),$V66,$U66)))=Milestones!$AB$44),UPPER(TEXT(EDATE($D66,Milestones!$AA$44),"dd mmm yy"))&amp;" "&amp;Milestones!$AB$44&amp;" "&amp;Milestones!$AC$44&amp;";  ","")&amp;IF(AND(EDATE($D66,Milestones!$AA$45)&lt;=AsOfDate,IF($R66=0,$X66,IF(AND($T66&lt;&gt;"",EDATE($D66,Milestones!$AA$45)&gt;=$T66),$W66,IF(AND($S66&lt;&gt;"",EDATE($D66,Milestones!$AA$45)&gt;=$S66),$V66,$U66)))=Milestones!$AB$45),UPPER(TEXT(EDATE($D66,Milestones!$AA$45),"dd mmm yy"))&amp;" "&amp;Milestones!$AB$45&amp;" "&amp;Milestones!$AC$45&amp;";  ","")&amp;IF(AND(EDATE($D66,Milestones!$AA$46)&lt;=AsOfDate,IF($R66=0,$X66,IF(AND($T66&lt;&gt;"",EDATE($D66,Milestones!$AA$46)&gt;=$T66),$W66,IF(AND($S66&lt;&gt;"",EDATE($D66,Milestones!$AA$46)&gt;=$S66),$V66,$U66)))=Milestones!$AB$46),UPPER(TEXT(EDATE($D66,Milestones!$AA$46),"dd mmm yy"))&amp;" "&amp;Milestones!$AB$46&amp;" "&amp;Milestones!$AC$46&amp;";  ","")&amp;IF(AND(EDATE($D66,Milestones!$AA$47)&lt;=AsOfDate,IF($R66=0,$X66,IF(AND($T66&lt;&gt;"",EDATE($D66,Milestones!$AA$47)&gt;=$T66),$W66,IF(AND($S66&lt;&gt;"",EDATE($D66,Milestones!$AA$47)&gt;=$S66),$V66,$U66)))=Milestones!$AB$47),UPPER(TEXT(EDATE($D66,Milestones!$AA$47),"dd mmm yy"))&amp;" "&amp;Milestones!$AB$47&amp;" "&amp;Milestones!$AC$47&amp;";  ","")&amp;IF(AND(EDATE($D66,Milestones!$AA$48)&lt;=AsOfDate,IF($R66=0,$X66,IF(AND($T66&lt;&gt;"",EDATE($D66,Milestones!$AA$48)&gt;=$T66),$W66,IF(AND($S66&lt;&gt;"",EDATE($D66,Milestones!$AA$48)&gt;=$S66),$V66,$U66)))=Milestones!$AB$48),UPPER(TEXT(EDATE($D66,Milestones!$AA$48),"dd mmm yy"))&amp;" "&amp;Milestones!$AB$48&amp;" "&amp;Milestones!$AC$48&amp;";  ","")&amp;IF(AND(EDATE($D66,Milestones!$AA$49)&lt;=AsOfDate,IF($R66=0,$X66,IF(AND($T66&lt;&gt;"",EDATE($D66,Milestones!$AA$49)&gt;=$T66),$W66,IF(AND($S66&lt;&gt;"",EDATE($D66,Milestones!$AA$49)&gt;=$S66),$V66,$U66)))=Milestones!$AB$49),UPPER(TEXT(EDATE($D66,Milestones!$AA$49),"dd mmm yy"))&amp;" "&amp;Milestones!$AB$49&amp;" "&amp;Milestones!$AC$49&amp;";  ","")&amp;IF(AND(EDATE($D66,Milestones!$AA$50)&lt;=AsOfDate,IF($R66=0,$X66,IF(AND($T66&lt;&gt;"",EDATE($D66,Milestones!$AA$50)&gt;=$T66),$W66,IF(AND($S66&lt;&gt;"",EDATE($D66,Milestones!$AA$50)&gt;=$S66),$V66,$U66)))=Milestones!$AB$50),UPPER(TEXT(EDATE($D66,Milestones!$AA$50),"dd mmm yy"))&amp;" "&amp;Milestones!$AB$50&amp;" "&amp;Milestones!$AC$50&amp;";  ","")&amp;IF(AND(EDATE($D66,Milestones!$AA$51)&lt;=AsOfDate,IF($R66=0,$X66,IF(AND($T66&lt;&gt;"",EDATE($D66,Milestones!$AA$51)&gt;=$T66),$W66,IF(AND($S66&lt;&gt;"",EDATE($D66,Milestones!$AA$51)&gt;=$S66),$V66,$U66)))=Milestones!$AB$51),UPPER(TEXT(EDATE($D66,Milestones!$AA$51),"dd mmm yy"))&amp;" "&amp;Milestones!$AB$51&amp;" "&amp;Milestones!$AC$51&amp;";  ","")&amp;IF(AND(EDATE($D66,Milestones!$AA$52)&lt;=AsOfDate,IF($R66=0,$X66,IF(AND($T66&lt;&gt;"",EDATE($D66,Milestones!$AA$52)&gt;=$T66),$W66,IF(AND($S66&lt;&gt;"",EDATE($D66,Milestones!$AA$52)&gt;=$S66),$V66,$U66)))=Milestones!$AB$52),UPPER(TEXT(EDATE($D66,Milestones!$AA$52),"dd mmm yy"))&amp;" "&amp;Milestones!$AB$52&amp;" "&amp;Milestones!$AC$52&amp;";  ","")&amp;IF(AND(EDATE($D66,Milestones!$AA$53)&lt;=AsOfDate,IF($R66=0,$X66,IF(AND($T66&lt;&gt;"",EDATE($D66,Milestones!$AA$53)&gt;=$T66),$W66,IF(AND($S66&lt;&gt;"",EDATE($D66,Milestones!$AA$53)&gt;=$S66),$V66,$U66)))=Milestones!$AB$53),UPPER(TEXT(EDATE($D66,Milestones!$AA$53),"dd mmm yy"))&amp;" "&amp;Milestones!$AB$53&amp;" "&amp;Milestones!$AC$53&amp;";  ","")&amp;IF(AND(EDATE($D66,Milestones!$AA$54)&lt;=AsOfDate,IF($R66=0,$X66,IF(AND($T66&lt;&gt;"",EDATE($D66,Milestones!$AA$54)&gt;=$T66),$W66,IF(AND($S66&lt;&gt;"",EDATE($D66,Milestones!$AA$54)&gt;=$S66),$V66,$U66)))=Milestones!$AB$54),UPPER(TEXT(EDATE($D66,Milestones!$AA$54),"dd mmm yy"))&amp;" "&amp;Milestones!$AB$54&amp;" "&amp;Milestones!$AC$54&amp;";  ","")&amp;IF(AND(EDATE($D66,Milestones!$AA$55)&lt;=AsOfDate,IF($R66=0,$X66,IF(AND($T66&lt;&gt;"",EDATE($D66,Milestones!$AA$55)&gt;=$T66),$W66,IF(AND($S66&lt;&gt;"",EDATE($D66,Milestones!$AA$55)&gt;=$S66),$V66,$U66)))=Milestones!$AB$55),UPPER(TEXT(EDATE($D66,Milestones!$AA$55),"dd mmm yy"))&amp;" "&amp;Milestones!$AB$55&amp;" "&amp;Milestones!$AC$55&amp;";  ","")&amp;IF(AND(EDATE($D66,Milestones!$AA$56)&lt;=AsOfDate,IF($R66=0,$X66,IF(AND($T66&lt;&gt;"",EDATE($D66,Milestones!$AA$56)&gt;=$T66),$W66,IF(AND($S66&lt;&gt;"",EDATE($D66,Milestones!$AA$56)&gt;=$S66),$V66,$U66)))=Milestones!$AB$56),UPPER(TEXT(EDATE($D66,Milestones!$AA$56),"dd mmm yy"))&amp;" "&amp;Milestones!$AB$56&amp;" "&amp;Milestones!$AC$56&amp;";  ","")&amp;IF(AND(EDATE($D66,Milestones!$AA$57)&lt;=AsOfDate,IF($R66=0,$X66,IF(AND($T66&lt;&gt;"",EDATE($D66,Milestones!$AA$57)&gt;=$T66),$W66,IF(AND($S66&lt;&gt;"",EDATE($D66,Milestones!$AA$57)&gt;=$S66),$V66,$U66)))=Milestones!$AB$57),UPPER(TEXT(EDATE($D66,Milestones!$AA$57),"dd mmm yy"))&amp;" "&amp;Milestones!$AB$57&amp;" "&amp;Milestones!$AC$57&amp;";  ","")&amp;IF(AND(EDATE($D66,Milestones!$AA$58)&lt;=AsOfDate,IF($R66=0,$X66,IF(AND($T66&lt;&gt;"",EDATE($D66,Milestones!$AA$58)&gt;=$T66),$W66,IF(AND($S66&lt;&gt;"",EDATE($D66,Milestones!$AA$58)&gt;=$S66),$V66,$U66)))=Milestones!$AB$58),UPPER(TEXT(EDATE($D66,Milestones!$AA$58),"dd mmm yy"))&amp;" "&amp;Milestones!$AB$58&amp;" "&amp;Milestones!$AC$58&amp;";  ","")&amp;IF(AND(EDATE($D66,Milestones!$AA$59)&lt;=AsOfDate,IF($R66=0,$X66,IF(AND($T66&lt;&gt;"",EDATE($D66,Milestones!$AA$59)&gt;=$T66),$W66,IF(AND($S66&lt;&gt;"",EDATE($D66,Milestones!$AA$59)&gt;=$S66),$V66,$U66)))=Milestones!$AB$59),UPPER(TEXT(EDATE($D66,Milestones!$AA$59),"dd mmm yy"))&amp;" "&amp;Milestones!$AB$59&amp;" "&amp;Milestones!$AC$59&amp;";  ",""))</f>
        <v/>
      </c>
      <c r="K66" s="0" t="str">
        <f aca="false">IF(OR($A66="",$D66=""),"",IF(AND(EDATE($D66,Milestones!$AA$60)&lt;=AsOfDate,IF($R66=0,$X66,IF(AND($T66&lt;&gt;"",EDATE($D66,Milestones!$AA$60)&gt;=$T66),$W66,IF(AND($S66&lt;&gt;"",EDATE($D66,Milestones!$AA$60)&gt;=$S66),$V66,$U66)))=Milestones!$AB$60),UPPER(TEXT(EDATE($D66,Milestones!$AA$60),"dd mmm yy"))&amp;" "&amp;Milestones!$AB$60&amp;" "&amp;Milestones!$AC$60&amp;";  ","")&amp;IF(AND(EDATE($D66,Milestones!$AA$61)&lt;=AsOfDate,IF($R66=0,$X66,IF(AND($T66&lt;&gt;"",EDATE($D66,Milestones!$AA$61)&gt;=$T66),$W66,IF(AND($S66&lt;&gt;"",EDATE($D66,Milestones!$AA$61)&gt;=$S66),$V66,$U66)))=Milestones!$AB$61),UPPER(TEXT(EDATE($D66,Milestones!$AA$61),"dd mmm yy"))&amp;" "&amp;Milestones!$AB$61&amp;" "&amp;Milestones!$AC$61&amp;";  ","")&amp;IF(AND(EDATE($D66,Milestones!$AA$62)&lt;=AsOfDate,IF($R66=0,$X66,IF(AND($T66&lt;&gt;"",EDATE($D66,Milestones!$AA$62)&gt;=$T66),$W66,IF(AND($S66&lt;&gt;"",EDATE($D66,Milestones!$AA$62)&gt;=$S66),$V66,$U66)))=Milestones!$AB$62),UPPER(TEXT(EDATE($D66,Milestones!$AA$62),"dd mmm yy"))&amp;" "&amp;Milestones!$AB$62&amp;" "&amp;Milestones!$AC$62&amp;";  ","")&amp;IF(AND(EDATE($D66,Milestones!$AA$63)&lt;=AsOfDate,IF($R66=0,$X66,IF(AND($T66&lt;&gt;"",EDATE($D66,Milestones!$AA$63)&gt;=$T66),$W66,IF(AND($S66&lt;&gt;"",EDATE($D66,Milestones!$AA$63)&gt;=$S66),$V66,$U66)))=Milestones!$AB$63),UPPER(TEXT(EDATE($D66,Milestones!$AA$63),"dd mmm yy"))&amp;" "&amp;Milestones!$AB$63&amp;" "&amp;Milestones!$AC$63&amp;";  ","")&amp;IF(AND(EDATE($D66,Milestones!$AA$64)&lt;=AsOfDate,IF($R66=0,$X66,IF(AND($T66&lt;&gt;"",EDATE($D66,Milestones!$AA$64)&gt;=$T66),$W66,IF(AND($S66&lt;&gt;"",EDATE($D66,Milestones!$AA$64)&gt;=$S66),$V66,$U66)))=Milestones!$AB$64),UPPER(TEXT(EDATE($D66,Milestones!$AA$64),"dd mmm yy"))&amp;" "&amp;Milestones!$AB$64&amp;" "&amp;Milestones!$AC$64&amp;";  ","")&amp;IF(AND(EDATE($D66,Milestones!$AA$65)&lt;=AsOfDate,IF($R66=0,$X66,IF(AND($T66&lt;&gt;"",EDATE($D66,Milestones!$AA$65)&gt;=$T66),$W66,IF(AND($S66&lt;&gt;"",EDATE($D66,Milestones!$AA$65)&gt;=$S66),$V66,$U66)))=Milestones!$AB$65),UPPER(TEXT(EDATE($D66,Milestones!$AA$65),"dd mmm yy"))&amp;" "&amp;Milestones!$AB$65&amp;" "&amp;Milestones!$AC$65&amp;";  ","")&amp;IF(AND(EDATE($D66,Milestones!$AA$66)&lt;=AsOfDate,IF($R66=0,$X66,IF(AND($T66&lt;&gt;"",EDATE($D66,Milestones!$AA$66)&gt;=$T66),$W66,IF(AND($S66&lt;&gt;"",EDATE($D66,Milestones!$AA$66)&gt;=$S66),$V66,$U66)))=Milestones!$AB$66),UPPER(TEXT(EDATE($D66,Milestones!$AA$66),"dd mmm yy"))&amp;" "&amp;Milestones!$AB$66&amp;" "&amp;Milestones!$AC$66&amp;";  ","")&amp;IF(AND(EDATE($D66,Milestones!$AA$67)&lt;=AsOfDate,IF($R66=0,$X66,IF(AND($T66&lt;&gt;"",EDATE($D66,Milestones!$AA$67)&gt;=$T66),$W66,IF(AND($S66&lt;&gt;"",EDATE($D66,Milestones!$AA$67)&gt;=$S66),$V66,$U66)))=Milestones!$AB$67),UPPER(TEXT(EDATE($D66,Milestones!$AA$67),"dd mmm yy"))&amp;" "&amp;Milestones!$AB$67&amp;" "&amp;Milestones!$AC$67&amp;";  ","")&amp;IF(AND(EDATE($D66,Milestones!$AA$68)&lt;=AsOfDate,IF($R66=0,$X66,IF(AND($T66&lt;&gt;"",EDATE($D66,Milestones!$AA$68)&gt;=$T66),$W66,IF(AND($S66&lt;&gt;"",EDATE($D66,Milestones!$AA$68)&gt;=$S66),$V66,$U66)))=Milestones!$AB$68),UPPER(TEXT(EDATE($D66,Milestones!$AA$68),"dd mmm yy"))&amp;" "&amp;Milestones!$AB$68&amp;" "&amp;Milestones!$AC$68&amp;";  ","")&amp;IF(AND(EDATE($D66,Milestones!$AA$69)&lt;=AsOfDate,IF($R66=0,$X66,IF(AND($T66&lt;&gt;"",EDATE($D66,Milestones!$AA$69)&gt;=$T66),$W66,IF(AND($S66&lt;&gt;"",EDATE($D66,Milestones!$AA$69)&gt;=$S66),$V66,$U66)))=Milestones!$AB$69),UPPER(TEXT(EDATE($D66,Milestones!$AA$69),"dd mmm yy"))&amp;" "&amp;Milestones!$AB$69&amp;" "&amp;Milestones!$AC$69&amp;";  ","")&amp;IF(AND(EDATE($D66,Milestones!$AA$70)&lt;=AsOfDate,IF($R66=0,$X66,IF(AND($T66&lt;&gt;"",EDATE($D66,Milestones!$AA$70)&gt;=$T66),$W66,IF(AND($S66&lt;&gt;"",EDATE($D66,Milestones!$AA$70)&gt;=$S66),$V66,$U66)))=Milestones!$AB$70),UPPER(TEXT(EDATE($D66,Milestones!$AA$70),"dd mmm yy"))&amp;" "&amp;Milestones!$AB$70&amp;" "&amp;Milestones!$AC$70&amp;";  ","")&amp;IF(AND(EDATE($D66,Milestones!$AA$71)&lt;=AsOfDate,IF($R66=0,$X66,IF(AND($T66&lt;&gt;"",EDATE($D66,Milestones!$AA$71)&gt;=$T66),$W66,IF(AND($S66&lt;&gt;"",EDATE($D66,Milestones!$AA$71)&gt;=$S66),$V66,$U66)))=Milestones!$AB$71),UPPER(TEXT(EDATE($D66,Milestones!$AA$71),"dd mmm yy"))&amp;" "&amp;Milestones!$AB$71&amp;" "&amp;Milestones!$AC$71&amp;";  ","")&amp;IF(AND(EDATE($D66,Milestones!$AA$72)&lt;=AsOfDate,IF($R66=0,$X66,IF(AND($T66&lt;&gt;"",EDATE($D66,Milestones!$AA$72)&gt;=$T66),$W66,IF(AND($S66&lt;&gt;"",EDATE($D66,Milestones!$AA$72)&gt;=$S66),$V66,$U66)))=Milestones!$AB$72),UPPER(TEXT(EDATE($D66,Milestones!$AA$72),"dd mmm yy"))&amp;" "&amp;Milestones!$AB$72&amp;" "&amp;Milestones!$AC$72&amp;";  ","")&amp;IF(AND(EDATE($D66,Milestones!$AA$73)&lt;=AsOfDate,IF($R66=0,$X66,IF(AND($T66&lt;&gt;"",EDATE($D66,Milestones!$AA$73)&gt;=$T66),$W66,IF(AND($S66&lt;&gt;"",EDATE($D66,Milestones!$AA$73)&gt;=$S66),$V66,$U66)))=Milestones!$AB$73),UPPER(TEXT(EDATE($D66,Milestones!$AA$73),"dd mmm yy"))&amp;" "&amp;Milestones!$AB$73&amp;" "&amp;Milestones!$AC$73&amp;";  ","")&amp;IF(AND(EDATE($D66,Milestones!$AA$74)&lt;=AsOfDate,IF($R66=0,$X66,IF(AND($T66&lt;&gt;"",EDATE($D66,Milestones!$AA$74)&gt;=$T66),$W66,IF(AND($S66&lt;&gt;"",EDATE($D66,Milestones!$AA$74)&gt;=$S66),$V66,$U66)))=Milestones!$AB$74),UPPER(TEXT(EDATE($D66,Milestones!$AA$74),"dd mmm yy"))&amp;" "&amp;Milestones!$AB$74&amp;" "&amp;Milestones!$AC$74&amp;";  ","")&amp;IF(AND(EDATE($D66,Milestones!$AA$75)&lt;=AsOfDate,IF($R66=0,$X66,IF(AND($T66&lt;&gt;"",EDATE($D66,Milestones!$AA$75)&gt;=$T66),$W66,IF(AND($S66&lt;&gt;"",EDATE($D66,Milestones!$AA$75)&gt;=$S66),$V66,$U66)))=Milestones!$AB$75),UPPER(TEXT(EDATE($D66,Milestones!$AA$75),"dd mmm yy"))&amp;" "&amp;Milestones!$AB$75&amp;" "&amp;Milestones!$AC$75&amp;";  ","")&amp;IF(AND(EDATE($D66,Milestones!$AA$76)&lt;=AsOfDate,IF($R66=0,$X66,IF(AND($T66&lt;&gt;"",EDATE($D66,Milestones!$AA$76)&gt;=$T66),$W66,IF(AND($S66&lt;&gt;"",EDATE($D66,Milestones!$AA$76)&gt;=$S66),$V66,$U66)))=Milestones!$AB$76),UPPER(TEXT(EDATE($D66,Milestones!$AA$76),"dd mmm yy"))&amp;" "&amp;Milestones!$AB$76&amp;" "&amp;Milestones!$AC$76&amp;";  ","")&amp;IF(AND(EDATE($D66,Milestones!$AA$77)&lt;=AsOfDate,IF($R66=0,$X66,IF(AND($T66&lt;&gt;"",EDATE($D66,Milestones!$AA$77)&gt;=$T66),$W66,IF(AND($S66&lt;&gt;"",EDATE($D66,Milestones!$AA$77)&gt;=$S66),$V66,$U66)))=Milestones!$AB$77),UPPER(TEXT(EDATE($D66,Milestones!$AA$77),"dd mmm yy"))&amp;" "&amp;Milestones!$AB$77&amp;" "&amp;Milestones!$AC$77&amp;";  ","")&amp;IF(AND(EDATE($D66,Milestones!$AA$78)&lt;=AsOfDate,IF($R66=0,$X66,IF(AND($T66&lt;&gt;"",EDATE($D66,Milestones!$AA$78)&gt;=$T66),$W66,IF(AND($S66&lt;&gt;"",EDATE($D66,Milestones!$AA$78)&gt;=$S66),$V66,$U66)))=Milestones!$AB$78),UPPER(TEXT(EDATE($D66,Milestones!$AA$78),"dd mmm yy"))&amp;" "&amp;Milestones!$AB$78&amp;" "&amp;Milestones!$AC$78&amp;";  ","")&amp;IF(AND(EDATE($D66,Milestones!$AA$79)&lt;=AsOfDate,IF($R66=0,$X66,IF(AND($T66&lt;&gt;"",EDATE($D66,Milestones!$AA$79)&gt;=$T66),$W66,IF(AND($S66&lt;&gt;"",EDATE($D66,Milestones!$AA$79)&gt;=$S66),$V66,$U66)))=Milestones!$AB$79),UPPER(TEXT(EDATE($D66,Milestones!$AA$79),"dd mmm yy"))&amp;" "&amp;Milestones!$AB$79&amp;" "&amp;Milestones!$AC$79&amp;";  ",""))</f>
        <v/>
      </c>
      <c r="L66" s="0" t="str">
        <f aca="false">IF(OR($A66="",$D66=""),"",IF(AND(EDATE($D66,Milestones!$AA$80)&lt;=AsOfDate,IF($R66=0,$X66,IF(AND($T66&lt;&gt;"",EDATE($D66,Milestones!$AA$80)&gt;=$T66),$W66,IF(AND($S66&lt;&gt;"",EDATE($D66,Milestones!$AA$80)&gt;=$S66),$V66,$U66)))=Milestones!$AB$80),UPPER(TEXT(EDATE($D66,Milestones!$AA$80),"dd mmm yy"))&amp;" "&amp;Milestones!$AB$80&amp;" "&amp;Milestones!$AC$80&amp;";  ","")&amp;IF(AND(EDATE($D66,Milestones!$AA$81)&lt;=AsOfDate,IF($R66=0,$X66,IF(AND($T66&lt;&gt;"",EDATE($D66,Milestones!$AA$81)&gt;=$T66),$W66,IF(AND($S66&lt;&gt;"",EDATE($D66,Milestones!$AA$81)&gt;=$S66),$V66,$U66)))=Milestones!$AB$81),UPPER(TEXT(EDATE($D66,Milestones!$AA$81),"dd mmm yy"))&amp;" "&amp;Milestones!$AB$81&amp;" "&amp;Milestones!$AC$81&amp;";  ","")&amp;IF(AND(EDATE($D66,Milestones!$AA$82)&lt;=AsOfDate,IF($R66=0,$X66,IF(AND($T66&lt;&gt;"",EDATE($D66,Milestones!$AA$82)&gt;=$T66),$W66,IF(AND($S66&lt;&gt;"",EDATE($D66,Milestones!$AA$82)&gt;=$S66),$V66,$U66)))=Milestones!$AB$82),UPPER(TEXT(EDATE($D66,Milestones!$AA$82),"dd mmm yy"))&amp;" "&amp;Milestones!$AB$82&amp;" "&amp;Milestones!$AC$82&amp;";  ","")&amp;IF(AND(EDATE($D66,Milestones!$AA$83)&lt;=AsOfDate,IF($R66=0,$X66,IF(AND($T66&lt;&gt;"",EDATE($D66,Milestones!$AA$83)&gt;=$T66),$W66,IF(AND($S66&lt;&gt;"",EDATE($D66,Milestones!$AA$83)&gt;=$S66),$V66,$U66)))=Milestones!$AB$83),UPPER(TEXT(EDATE($D66,Milestones!$AA$83),"dd mmm yy"))&amp;" "&amp;Milestones!$AB$83&amp;" "&amp;Milestones!$AC$83&amp;";  ","")&amp;IF(AND(EDATE($D66,Milestones!$AA$84)&lt;=AsOfDate,IF($R66=0,$X66,IF(AND($T66&lt;&gt;"",EDATE($D66,Milestones!$AA$84)&gt;=$T66),$W66,IF(AND($S66&lt;&gt;"",EDATE($D66,Milestones!$AA$84)&gt;=$S66),$V66,$U66)))=Milestones!$AB$84),UPPER(TEXT(EDATE($D66,Milestones!$AA$84),"dd mmm yy"))&amp;" "&amp;Milestones!$AB$84&amp;" "&amp;Milestones!$AC$84&amp;";  ","")&amp;IF(AND(EDATE($D66,Milestones!$AA$85)&lt;=AsOfDate,IF($R66=0,$X66,IF(AND($T66&lt;&gt;"",EDATE($D66,Milestones!$AA$85)&gt;=$T66),$W66,IF(AND($S66&lt;&gt;"",EDATE($D66,Milestones!$AA$85)&gt;=$S66),$V66,$U66)))=Milestones!$AB$85),UPPER(TEXT(EDATE($D66,Milestones!$AA$85),"dd mmm yy"))&amp;" "&amp;Milestones!$AB$85&amp;" "&amp;Milestones!$AC$85&amp;";  ","")&amp;IF(AND(EDATE($D66,Milestones!$AA$86)&lt;=AsOfDate,IF($R66=0,$X66,IF(AND($T66&lt;&gt;"",EDATE($D66,Milestones!$AA$86)&gt;=$T66),$W66,IF(AND($S66&lt;&gt;"",EDATE($D66,Milestones!$AA$86)&gt;=$S66),$V66,$U66)))=Milestones!$AB$86),UPPER(TEXT(EDATE($D66,Milestones!$AA$86),"dd mmm yy"))&amp;" "&amp;Milestones!$AB$86&amp;" "&amp;Milestones!$AC$86&amp;";  ","")&amp;IF(AND(EDATE($D66,Milestones!$AA$87)&lt;=AsOfDate,IF($R66=0,$X66,IF(AND($T66&lt;&gt;"",EDATE($D66,Milestones!$AA$87)&gt;=$T66),$W66,IF(AND($S66&lt;&gt;"",EDATE($D66,Milestones!$AA$87)&gt;=$S66),$V66,$U66)))=Milestones!$AB$87),UPPER(TEXT(EDATE($D66,Milestones!$AA$87),"dd mmm yy"))&amp;" "&amp;Milestones!$AB$87&amp;" "&amp;Milestones!$AC$87&amp;";  ","")&amp;IF(AND(EDATE($D66,Milestones!$AA$88)&lt;=AsOfDate,IF($R66=0,$X66,IF(AND($T66&lt;&gt;"",EDATE($D66,Milestones!$AA$88)&gt;=$T66),$W66,IF(AND($S66&lt;&gt;"",EDATE($D66,Milestones!$AA$88)&gt;=$S66),$V66,$U66)))=Milestones!$AB$88),UPPER(TEXT(EDATE($D66,Milestones!$AA$88),"dd mmm yy"))&amp;" "&amp;Milestones!$AB$88&amp;" "&amp;Milestones!$AC$88&amp;";  ","")&amp;IF(AND(EDATE($D66,Milestones!$AA$89)&lt;=AsOfDate,IF($R66=0,$X66,IF(AND($T66&lt;&gt;"",EDATE($D66,Milestones!$AA$89)&gt;=$T66),$W66,IF(AND($S66&lt;&gt;"",EDATE($D66,Milestones!$AA$89)&gt;=$S66),$V66,$U66)))=Milestones!$AB$89),UPPER(TEXT(EDATE($D66,Milestones!$AA$89),"dd mmm yy"))&amp;" "&amp;Milestones!$AB$89&amp;" "&amp;Milestones!$AC$89&amp;";  ","")&amp;IF(AND(EDATE($D66,Milestones!$AA$90)&lt;=AsOfDate,IF($R66=0,$X66,IF(AND($T66&lt;&gt;"",EDATE($D66,Milestones!$AA$90)&gt;=$T66),$W66,IF(AND($S66&lt;&gt;"",EDATE($D66,Milestones!$AA$90)&gt;=$S66),$V66,$U66)))=Milestones!$AB$90),UPPER(TEXT(EDATE($D66,Milestones!$AA$90),"dd mmm yy"))&amp;" "&amp;Milestones!$AB$90&amp;" "&amp;Milestones!$AC$90&amp;";  ","")&amp;IF(AND(EDATE($D66,Milestones!$AA$91)&lt;=AsOfDate,IF($R66=0,$X66,IF(AND($T66&lt;&gt;"",EDATE($D66,Milestones!$AA$91)&gt;=$T66),$W66,IF(AND($S66&lt;&gt;"",EDATE($D66,Milestones!$AA$91)&gt;=$S66),$V66,$U66)))=Milestones!$AB$91),UPPER(TEXT(EDATE($D66,Milestones!$AA$91),"dd mmm yy"))&amp;" "&amp;Milestones!$AB$91&amp;" "&amp;Milestones!$AC$91&amp;";  ","")&amp;IF(AND(EDATE($D66,Milestones!$AA$92)&lt;=AsOfDate,IF($R66=0,$X66,IF(AND($T66&lt;&gt;"",EDATE($D66,Milestones!$AA$92)&gt;=$T66),$W66,IF(AND($S66&lt;&gt;"",EDATE($D66,Milestones!$AA$92)&gt;=$S66),$V66,$U66)))=Milestones!$AB$92),UPPER(TEXT(EDATE($D66,Milestones!$AA$92),"dd mmm yy"))&amp;" "&amp;Milestones!$AB$92&amp;" "&amp;Milestones!$AC$92&amp;";  ","")&amp;IF(AND(EDATE($D66,Milestones!$AA$93)&lt;=AsOfDate,IF($R66=0,$X66,IF(AND($T66&lt;&gt;"",EDATE($D66,Milestones!$AA$93)&gt;=$T66),$W66,IF(AND($S66&lt;&gt;"",EDATE($D66,Milestones!$AA$93)&gt;=$S66),$V66,$U66)))=Milestones!$AB$93),UPPER(TEXT(EDATE($D66,Milestones!$AA$93),"dd mmm yy"))&amp;" "&amp;Milestones!$AB$93&amp;" "&amp;Milestones!$AC$93&amp;";  ","")&amp;IF(AND(EDATE($D66,Milestones!$AA$94)&lt;=AsOfDate,IF($R66=0,$X66,IF(AND($T66&lt;&gt;"",EDATE($D66,Milestones!$AA$94)&gt;=$T66),$W66,IF(AND($S66&lt;&gt;"",EDATE($D66,Milestones!$AA$94)&gt;=$S66),$V66,$U66)))=Milestones!$AB$94),UPPER(TEXT(EDATE($D66,Milestones!$AA$94),"dd mmm yy"))&amp;" "&amp;Milestones!$AB$94&amp;" "&amp;Milestones!$AC$94&amp;";  ","")&amp;IF(AND(EDATE($D66,Milestones!$AA$95)&lt;=AsOfDate,IF($R66=0,$X66,IF(AND($T66&lt;&gt;"",EDATE($D66,Milestones!$AA$95)&gt;=$T66),$W66,IF(AND($S66&lt;&gt;"",EDATE($D66,Milestones!$AA$95)&gt;=$S66),$V66,$U66)))=Milestones!$AB$95),UPPER(TEXT(EDATE($D66,Milestones!$AA$95),"dd mmm yy"))&amp;" "&amp;Milestones!$AB$95&amp;" "&amp;Milestones!$AC$95&amp;";  ","")&amp;IF(AND(EDATE($D66,Milestones!$AA$96)&lt;=AsOfDate,IF($R66=0,$X66,IF(AND($T66&lt;&gt;"",EDATE($D66,Milestones!$AA$96)&gt;=$T66),$W66,IF(AND($S66&lt;&gt;"",EDATE($D66,Milestones!$AA$96)&gt;=$S66),$V66,$U66)))=Milestones!$AB$96),UPPER(TEXT(EDATE($D66,Milestones!$AA$96),"dd mmm yy"))&amp;" "&amp;Milestones!$AB$96&amp;" "&amp;Milestones!$AC$96&amp;";  ","")&amp;IF(AND(EDATE($D66,Milestones!$AA$97)&lt;=AsOfDate,IF($R66=0,$X66,IF(AND($T66&lt;&gt;"",EDATE($D66,Milestones!$AA$97)&gt;=$T66),$W66,IF(AND($S66&lt;&gt;"",EDATE($D66,Milestones!$AA$97)&gt;=$S66),$V66,$U66)))=Milestones!$AB$97),UPPER(TEXT(EDATE($D66,Milestones!$AA$97),"dd mmm yy"))&amp;" "&amp;Milestones!$AB$97&amp;" "&amp;Milestones!$AC$97&amp;";  ","")&amp;IF(AND(EDATE($D66,Milestones!$AA$98)&lt;=AsOfDate,IF($R66=0,$X66,IF(AND($T66&lt;&gt;"",EDATE($D66,Milestones!$AA$98)&gt;=$T66),$W66,IF(AND($S66&lt;&gt;"",EDATE($D66,Milestones!$AA$98)&gt;=$S66),$V66,$U66)))=Milestones!$AB$98),UPPER(TEXT(EDATE($D66,Milestones!$AA$98),"dd mmm yy"))&amp;" "&amp;Milestones!$AB$98&amp;" "&amp;Milestones!$AC$98&amp;";  ","")&amp;IF(AND(EDATE($D66,Milestones!$AA$99)&lt;=AsOfDate,IF($R66=0,$X66,IF(AND($T66&lt;&gt;"",EDATE($D66,Milestones!$AA$99)&gt;=$T66),$W66,IF(AND($S66&lt;&gt;"",EDATE($D66,Milestones!$AA$99)&gt;=$S66),$V66,$U66)))=Milestones!$AB$99),UPPER(TEXT(EDATE($D66,Milestones!$AA$99),"dd mmm yy"))&amp;" "&amp;Milestones!$AB$99&amp;" "&amp;Milestones!$AC$99&amp;";  ",""))</f>
        <v/>
      </c>
      <c r="M66" s="0" t="str">
        <f aca="false">IF(OR($A66="",$D66=""),"",IF(AND(EDATE($D66,Milestones!$AA$100)&lt;=AsOfDate,IF($R66=0,$X66,IF(AND($T66&lt;&gt;"",EDATE($D66,Milestones!$AA$100)&gt;=$T66),$W66,IF(AND($S66&lt;&gt;"",EDATE($D66,Milestones!$AA$100)&gt;=$S66),$V66,$U66)))=Milestones!$AB$100),UPPER(TEXT(EDATE($D66,Milestones!$AA$100),"dd mmm yy"))&amp;" "&amp;Milestones!$AB$100&amp;" "&amp;Milestones!$AC$100&amp;";  ","")&amp;IF(AND(EDATE($D66,Milestones!$AA$101)&lt;=AsOfDate,IF($R66=0,$X66,IF(AND($T66&lt;&gt;"",EDATE($D66,Milestones!$AA$101)&gt;=$T66),$W66,IF(AND($S66&lt;&gt;"",EDATE($D66,Milestones!$AA$101)&gt;=$S66),$V66,$U66)))=Milestones!$AB$101),UPPER(TEXT(EDATE($D66,Milestones!$AA$101),"dd mmm yy"))&amp;" "&amp;Milestones!$AB$101&amp;" "&amp;Milestones!$AC$101&amp;";  ","")&amp;IF(AND(EDATE($D66,Milestones!$AA$102)&lt;=AsOfDate,IF($R66=0,$X66,IF(AND($T66&lt;&gt;"",EDATE($D66,Milestones!$AA$102)&gt;=$T66),$W66,IF(AND($S66&lt;&gt;"",EDATE($D66,Milestones!$AA$102)&gt;=$S66),$V66,$U66)))=Milestones!$AB$102),UPPER(TEXT(EDATE($D66,Milestones!$AA$102),"dd mmm yy"))&amp;" "&amp;Milestones!$AB$102&amp;" "&amp;Milestones!$AC$102&amp;";  ","")&amp;IF(AND(EDATE($D66,Milestones!$AA$103)&lt;=AsOfDate,IF($R66=0,$X66,IF(AND($T66&lt;&gt;"",EDATE($D66,Milestones!$AA$103)&gt;=$T66),$W66,IF(AND($S66&lt;&gt;"",EDATE($D66,Milestones!$AA$103)&gt;=$S66),$V66,$U66)))=Milestones!$AB$103),UPPER(TEXT(EDATE($D66,Milestones!$AA$103),"dd mmm yy"))&amp;" "&amp;Milestones!$AB$103&amp;" "&amp;Milestones!$AC$103&amp;";  ","")&amp;IF(AND(EDATE($D66,Milestones!$AA$104)&lt;=AsOfDate,IF($R66=0,$X66,IF(AND($T66&lt;&gt;"",EDATE($D66,Milestones!$AA$104)&gt;=$T66),$W66,IF(AND($S66&lt;&gt;"",EDATE($D66,Milestones!$AA$104)&gt;=$S66),$V66,$U66)))=Milestones!$AB$104),UPPER(TEXT(EDATE($D66,Milestones!$AA$104),"dd mmm yy"))&amp;" "&amp;Milestones!$AB$104&amp;" "&amp;Milestones!$AC$104&amp;";  ","")&amp;IF(AND(EDATE($D66,Milestones!$AA$105)&lt;=AsOfDate,IF($R66=0,$X66,IF(AND($T66&lt;&gt;"",EDATE($D66,Milestones!$AA$105)&gt;=$T66),$W66,IF(AND($S66&lt;&gt;"",EDATE($D66,Milestones!$AA$105)&gt;=$S66),$V66,$U66)))=Milestones!$AB$105),UPPER(TEXT(EDATE($D66,Milestones!$AA$105),"dd mmm yy"))&amp;" "&amp;Milestones!$AB$105&amp;" "&amp;Milestones!$AC$105&amp;";  ","")&amp;IF(AND(EDATE($D66,Milestones!$AA$106)&lt;=AsOfDate,IF($R66=0,$X66,IF(AND($T66&lt;&gt;"",EDATE($D66,Milestones!$AA$106)&gt;=$T66),$W66,IF(AND($S66&lt;&gt;"",EDATE($D66,Milestones!$AA$106)&gt;=$S66),$V66,$U66)))=Milestones!$AB$106),UPPER(TEXT(EDATE($D66,Milestones!$AA$106),"dd mmm yy"))&amp;" "&amp;Milestones!$AB$106&amp;" "&amp;Milestones!$AC$106&amp;";  ","")&amp;IF(AND(EDATE($D66,Milestones!$AA$107)&lt;=AsOfDate,IF($R66=0,$X66,IF(AND($T66&lt;&gt;"",EDATE($D66,Milestones!$AA$107)&gt;=$T66),$W66,IF(AND($S66&lt;&gt;"",EDATE($D66,Milestones!$AA$107)&gt;=$S66),$V66,$U66)))=Milestones!$AB$107),UPPER(TEXT(EDATE($D66,Milestones!$AA$107),"dd mmm yy"))&amp;" "&amp;Milestones!$AB$107&amp;" "&amp;Milestones!$AC$107&amp;";  ","")&amp;IF(AND(EDATE($D66,Milestones!$AA$108)&lt;=AsOfDate,IF($R66=0,$X66,IF(AND($T66&lt;&gt;"",EDATE($D66,Milestones!$AA$108)&gt;=$T66),$W66,IF(AND($S66&lt;&gt;"",EDATE($D66,Milestones!$AA$108)&gt;=$S66),$V66,$U66)))=Milestones!$AB$108),UPPER(TEXT(EDATE($D66,Milestones!$AA$108),"dd mmm yy"))&amp;" "&amp;Milestones!$AB$108&amp;" "&amp;Milestones!$AC$108&amp;";  ","")&amp;IF(AND(EDATE($D66,Milestones!$AA$109)&lt;=AsOfDate,IF($R66=0,$X66,IF(AND($T66&lt;&gt;"",EDATE($D66,Milestones!$AA$109)&gt;=$T66),$W66,IF(AND($S66&lt;&gt;"",EDATE($D66,Milestones!$AA$109)&gt;=$S66),$V66,$U66)))=Milestones!$AB$109),UPPER(TEXT(EDATE($D66,Milestones!$AA$109),"dd mmm yy"))&amp;" "&amp;Milestones!$AB$109&amp;" "&amp;Milestones!$AC$109&amp;";  ","")&amp;IF(AND(EDATE($D66,Milestones!$AA$110)&lt;=AsOfDate,IF($R66=0,$X66,IF(AND($T66&lt;&gt;"",EDATE($D66,Milestones!$AA$110)&gt;=$T66),$W66,IF(AND($S66&lt;&gt;"",EDATE($D66,Milestones!$AA$110)&gt;=$S66),$V66,$U66)))=Milestones!$AB$110),UPPER(TEXT(EDATE($D66,Milestones!$AA$110),"dd mmm yy"))&amp;" "&amp;Milestones!$AB$110&amp;" "&amp;Milestones!$AC$110&amp;";  ","")&amp;IF(AND(EDATE($D66,Milestones!$AA$111)&lt;=AsOfDate,IF($R66=0,$X66,IF(AND($T66&lt;&gt;"",EDATE($D66,Milestones!$AA$111)&gt;=$T66),$W66,IF(AND($S66&lt;&gt;"",EDATE($D66,Milestones!$AA$111)&gt;=$S66),$V66,$U66)))=Milestones!$AB$111),UPPER(TEXT(EDATE($D66,Milestones!$AA$111),"dd mmm yy"))&amp;" "&amp;Milestones!$AB$111&amp;" "&amp;Milestones!$AC$111&amp;";  ","")&amp;IF(AND(EDATE($D66,Milestones!$AA$112)&lt;=AsOfDate,IF($R66=0,$X66,IF(AND($T66&lt;&gt;"",EDATE($D66,Milestones!$AA$112)&gt;=$T66),$W66,IF(AND($S66&lt;&gt;"",EDATE($D66,Milestones!$AA$112)&gt;=$S66),$V66,$U66)))=Milestones!$AB$112),UPPER(TEXT(EDATE($D66,Milestones!$AA$112),"dd mmm yy"))&amp;" "&amp;Milestones!$AB$112&amp;" "&amp;Milestones!$AC$112&amp;";  ","")&amp;IF(AND(EDATE($D66,Milestones!$AA$113)&lt;=AsOfDate,IF($R66=0,$X66,IF(AND($T66&lt;&gt;"",EDATE($D66,Milestones!$AA$113)&gt;=$T66),$W66,IF(AND($S66&lt;&gt;"",EDATE($D66,Milestones!$AA$113)&gt;=$S66),$V66,$U66)))=Milestones!$AB$113),UPPER(TEXT(EDATE($D66,Milestones!$AA$113),"dd mmm yy"))&amp;" "&amp;Milestones!$AB$113&amp;" "&amp;Milestones!$AC$113&amp;";  ","")&amp;IF(AND(EDATE($D66,Milestones!$AA$114)&lt;=AsOfDate,IF($R66=0,$X66,IF(AND($T66&lt;&gt;"",EDATE($D66,Milestones!$AA$114)&gt;=$T66),$W66,IF(AND($S66&lt;&gt;"",EDATE($D66,Milestones!$AA$114)&gt;=$S66),$V66,$U66)))=Milestones!$AB$114),UPPER(TEXT(EDATE($D66,Milestones!$AA$114),"dd mmm yy"))&amp;" "&amp;Milestones!$AB$114&amp;" "&amp;Milestones!$AC$114&amp;";  ","")&amp;IF(AND(EDATE($D66,Milestones!$AA$115)&lt;=AsOfDate,IF($R66=0,$X66,IF(AND($T66&lt;&gt;"",EDATE($D66,Milestones!$AA$115)&gt;=$T66),$W66,IF(AND($S66&lt;&gt;"",EDATE($D66,Milestones!$AA$115)&gt;=$S66),$V66,$U66)))=Milestones!$AB$115),UPPER(TEXT(EDATE($D66,Milestones!$AA$115),"dd mmm yy"))&amp;" "&amp;Milestones!$AB$115&amp;" "&amp;Milestones!$AC$115&amp;";  ","")&amp;IF(AND(EDATE($D66,Milestones!$AA$116)&lt;=AsOfDate,IF($R66=0,$X66,IF(AND($T66&lt;&gt;"",EDATE($D66,Milestones!$AA$116)&gt;=$T66),$W66,IF(AND($S66&lt;&gt;"",EDATE($D66,Milestones!$AA$116)&gt;=$S66),$V66,$U66)))=Milestones!$AB$116),UPPER(TEXT(EDATE($D66,Milestones!$AA$116),"dd mmm yy"))&amp;" "&amp;Milestones!$AB$116&amp;" "&amp;Milestones!$AC$116&amp;";  ","")&amp;IF(AND(EDATE($D66,Milestones!$AA$117)&lt;=AsOfDate,IF($R66=0,$X66,IF(AND($T66&lt;&gt;"",EDATE($D66,Milestones!$AA$117)&gt;=$T66),$W66,IF(AND($S66&lt;&gt;"",EDATE($D66,Milestones!$AA$117)&gt;=$S66),$V66,$U66)))=Milestones!$AB$117),UPPER(TEXT(EDATE($D66,Milestones!$AA$117),"dd mmm yy"))&amp;" "&amp;Milestones!$AB$117&amp;" "&amp;Milestones!$AC$117&amp;";  ","")&amp;IF(AND(EDATE($D66,Milestones!$AA$118)&lt;=AsOfDate,IF($R66=0,$X66,IF(AND($T66&lt;&gt;"",EDATE($D66,Milestones!$AA$118)&gt;=$T66),$W66,IF(AND($S66&lt;&gt;"",EDATE($D66,Milestones!$AA$118)&gt;=$S66),$V66,$U66)))=Milestones!$AB$118),UPPER(TEXT(EDATE($D66,Milestones!$AA$118),"dd mmm yy"))&amp;" "&amp;Milestones!$AB$118&amp;" "&amp;Milestones!$AC$118&amp;";  ","")&amp;IF(AND(EDATE($D66,Milestones!$AA$119)&lt;=AsOfDate,IF($R66=0,$X66,IF(AND($T66&lt;&gt;"",EDATE($D66,Milestones!$AA$119)&gt;=$T66),$W66,IF(AND($S66&lt;&gt;"",EDATE($D66,Milestones!$AA$119)&gt;=$S66),$V66,$U66)))=Milestones!$AB$119),UPPER(TEXT(EDATE($D66,Milestones!$AA$119),"dd mmm yy"))&amp;" "&amp;Milestones!$AB$119&amp;" "&amp;Milestones!$AC$119&amp;";  ",""))</f>
        <v/>
      </c>
      <c r="N66" s="0" t="str">
        <f aca="false">IF(OR($A66="",$D66=""),"",IF(AND(EDATE($D66,Milestones!$AA$120)&lt;=AsOfDate,IF($R66=0,$X66,IF(AND($T66&lt;&gt;"",EDATE($D66,Milestones!$AA$120)&gt;=$T66),$W66,IF(AND($S66&lt;&gt;"",EDATE($D66,Milestones!$AA$120)&gt;=$S66),$V66,$U66)))=Milestones!$AB$120),UPPER(TEXT(EDATE($D66,Milestones!$AA$120),"dd mmm yy"))&amp;" "&amp;Milestones!$AB$120&amp;" "&amp;Milestones!$AC$120&amp;";  ","")&amp;IF(AND(EDATE($D66,Milestones!$AA$121)&lt;=AsOfDate,IF($R66=0,$X66,IF(AND($T66&lt;&gt;"",EDATE($D66,Milestones!$AA$121)&gt;=$T66),$W66,IF(AND($S66&lt;&gt;"",EDATE($D66,Milestones!$AA$121)&gt;=$S66),$V66,$U66)))=Milestones!$AB$121),UPPER(TEXT(EDATE($D66,Milestones!$AA$121),"dd mmm yy"))&amp;" "&amp;Milestones!$AB$121&amp;" "&amp;Milestones!$AC$121&amp;";  ","")&amp;IF(AND(EDATE($D66,Milestones!$AA$122)&lt;=AsOfDate,IF($R66=0,$X66,IF(AND($T66&lt;&gt;"",EDATE($D66,Milestones!$AA$122)&gt;=$T66),$W66,IF(AND($S66&lt;&gt;"",EDATE($D66,Milestones!$AA$122)&gt;=$S66),$V66,$U66)))=Milestones!$AB$122),UPPER(TEXT(EDATE($D66,Milestones!$AA$122),"dd mmm yy"))&amp;" "&amp;Milestones!$AB$122&amp;" "&amp;Milestones!$AC$122&amp;";  ","")&amp;IF(AND(EDATE($D66,Milestones!$AA$123)&lt;=AsOfDate,IF($R66=0,$X66,IF(AND($T66&lt;&gt;"",EDATE($D66,Milestones!$AA$123)&gt;=$T66),$W66,IF(AND($S66&lt;&gt;"",EDATE($D66,Milestones!$AA$123)&gt;=$S66),$V66,$U66)))=Milestones!$AB$123),UPPER(TEXT(EDATE($D66,Milestones!$AA$123),"dd mmm yy"))&amp;" "&amp;Milestones!$AB$123&amp;" "&amp;Milestones!$AC$123&amp;";  ","")&amp;IF(AND(EDATE($D66,Milestones!$AA$124)&lt;=AsOfDate,IF($R66=0,$X66,IF(AND($T66&lt;&gt;"",EDATE($D66,Milestones!$AA$124)&gt;=$T66),$W66,IF(AND($S66&lt;&gt;"",EDATE($D66,Milestones!$AA$124)&gt;=$S66),$V66,$U66)))=Milestones!$AB$124),UPPER(TEXT(EDATE($D66,Milestones!$AA$124),"dd mmm yy"))&amp;" "&amp;Milestones!$AB$124&amp;" "&amp;Milestones!$AC$124&amp;";  ","")&amp;IF(AND(EDATE($D66,Milestones!$AA$125)&lt;=AsOfDate,IF($R66=0,$X66,IF(AND($T66&lt;&gt;"",EDATE($D66,Milestones!$AA$125)&gt;=$T66),$W66,IF(AND($S66&lt;&gt;"",EDATE($D66,Milestones!$AA$125)&gt;=$S66),$V66,$U66)))=Milestones!$AB$125),UPPER(TEXT(EDATE($D66,Milestones!$AA$125),"dd mmm yy"))&amp;" "&amp;Milestones!$AB$125&amp;" "&amp;Milestones!$AC$125&amp;";  ","")&amp;IF(AND(EDATE($D66,Milestones!$AA$126)&lt;=AsOfDate,IF($R66=0,$X66,IF(AND($T66&lt;&gt;"",EDATE($D66,Milestones!$AA$126)&gt;=$T66),$W66,IF(AND($S66&lt;&gt;"",EDATE($D66,Milestones!$AA$126)&gt;=$S66),$V66,$U66)))=Milestones!$AB$126),UPPER(TEXT(EDATE($D66,Milestones!$AA$126),"dd mmm yy"))&amp;" "&amp;Milestones!$AB$126&amp;" "&amp;Milestones!$AC$126&amp;";  ","")&amp;IF(AND(EDATE($D66,Milestones!$AA$127)&lt;=AsOfDate,IF($R66=0,$X66,IF(AND($T66&lt;&gt;"",EDATE($D66,Milestones!$AA$127)&gt;=$T66),$W66,IF(AND($S66&lt;&gt;"",EDATE($D66,Milestones!$AA$127)&gt;=$S66),$V66,$U66)))=Milestones!$AB$127),UPPER(TEXT(EDATE($D66,Milestones!$AA$127),"dd mmm yy"))&amp;" "&amp;Milestones!$AB$127&amp;" "&amp;Milestones!$AC$127&amp;";  ","")&amp;IF(AND(EDATE($D66,Milestones!$AA$128)&lt;=AsOfDate,IF($R66=0,$X66,IF(AND($T66&lt;&gt;"",EDATE($D66,Milestones!$AA$128)&gt;=$T66),$W66,IF(AND($S66&lt;&gt;"",EDATE($D66,Milestones!$AA$128)&gt;=$S66),$V66,$U66)))=Milestones!$AB$128),UPPER(TEXT(EDATE($D66,Milestones!$AA$128),"dd mmm yy"))&amp;" "&amp;Milestones!$AB$128&amp;" "&amp;Milestones!$AC$128&amp;";  ","")&amp;IF(AND(EDATE($D66,Milestones!$AA$129)&lt;=AsOfDate,IF($R66=0,$X66,IF(AND($T66&lt;&gt;"",EDATE($D66,Milestones!$AA$129)&gt;=$T66),$W66,IF(AND($S66&lt;&gt;"",EDATE($D66,Milestones!$AA$129)&gt;=$S66),$V66,$U66)))=Milestones!$AB$129),UPPER(TEXT(EDATE($D66,Milestones!$AA$129),"dd mmm yy"))&amp;" "&amp;Milestones!$AB$129&amp;" "&amp;Milestones!$AC$129&amp;";  ","")&amp;IF(AND(EDATE($D66,Milestones!$AA$130)&lt;=AsOfDate,IF($R66=0,$X66,IF(AND($T66&lt;&gt;"",EDATE($D66,Milestones!$AA$130)&gt;=$T66),$W66,IF(AND($S66&lt;&gt;"",EDATE($D66,Milestones!$AA$130)&gt;=$S66),$V66,$U66)))=Milestones!$AB$130),UPPER(TEXT(EDATE($D66,Milestones!$AA$130),"dd mmm yy"))&amp;" "&amp;Milestones!$AB$130&amp;" "&amp;Milestones!$AC$130&amp;";  ","")&amp;IF(AND(EDATE($D66,Milestones!$AA$131)&lt;=AsOfDate,IF($R66=0,$X66,IF(AND($T66&lt;&gt;"",EDATE($D66,Milestones!$AA$131)&gt;=$T66),$W66,IF(AND($S66&lt;&gt;"",EDATE($D66,Milestones!$AA$131)&gt;=$S66),$V66,$U66)))=Milestones!$AB$131),UPPER(TEXT(EDATE($D66,Milestones!$AA$131),"dd mmm yy"))&amp;" "&amp;Milestones!$AB$131&amp;" "&amp;Milestones!$AC$131&amp;";  ","")&amp;IF(AND(EDATE($D66,Milestones!$AA$132)&lt;=AsOfDate,IF($R66=0,$X66,IF(AND($T66&lt;&gt;"",EDATE($D66,Milestones!$AA$132)&gt;=$T66),$W66,IF(AND($S66&lt;&gt;"",EDATE($D66,Milestones!$AA$132)&gt;=$S66),$V66,$U66)))=Milestones!$AB$132),UPPER(TEXT(EDATE($D66,Milestones!$AA$132),"dd mmm yy"))&amp;" "&amp;Milestones!$AB$132&amp;" "&amp;Milestones!$AC$132&amp;";  ","")&amp;IF(AND(EDATE($D66,Milestones!$AA$133)&lt;=AsOfDate,IF($R66=0,$X66,IF(AND($T66&lt;&gt;"",EDATE($D66,Milestones!$AA$133)&gt;=$T66),$W66,IF(AND($S66&lt;&gt;"",EDATE($D66,Milestones!$AA$133)&gt;=$S66),$V66,$U66)))=Milestones!$AB$133),UPPER(TEXT(EDATE($D66,Milestones!$AA$133),"dd mmm yy"))&amp;" "&amp;Milestones!$AB$133&amp;" "&amp;Milestones!$AC$133&amp;";  ","")&amp;IF(AND(EDATE($D66,Milestones!$AA$134)&lt;=AsOfDate,IF($R66=0,$X66,IF(AND($T66&lt;&gt;"",EDATE($D66,Milestones!$AA$134)&gt;=$T66),$W66,IF(AND($S66&lt;&gt;"",EDATE($D66,Milestones!$AA$134)&gt;=$S66),$V66,$U66)))=Milestones!$AB$134),UPPER(TEXT(EDATE($D66,Milestones!$AA$134),"dd mmm yy"))&amp;" "&amp;Milestones!$AB$134&amp;" "&amp;Milestones!$AC$134&amp;";  ","")&amp;IF(AND(EDATE($D66,Milestones!$AA$135)&lt;=AsOfDate,IF($R66=0,$X66,IF(AND($T66&lt;&gt;"",EDATE($D66,Milestones!$AA$135)&gt;=$T66),$W66,IF(AND($S66&lt;&gt;"",EDATE($D66,Milestones!$AA$135)&gt;=$S66),$V66,$U66)))=Milestones!$AB$135),UPPER(TEXT(EDATE($D66,Milestones!$AA$135),"dd mmm yy"))&amp;" "&amp;Milestones!$AB$135&amp;" "&amp;Milestones!$AC$135&amp;";  ","")&amp;IF(AND(EDATE($D66,Milestones!$AA$136)&lt;=AsOfDate,IF($R66=0,$X66,IF(AND($T66&lt;&gt;"",EDATE($D66,Milestones!$AA$136)&gt;=$T66),$W66,IF(AND($S66&lt;&gt;"",EDATE($D66,Milestones!$AA$136)&gt;=$S66),$V66,$U66)))=Milestones!$AB$136),UPPER(TEXT(EDATE($D66,Milestones!$AA$136),"dd mmm yy"))&amp;" "&amp;Milestones!$AB$136&amp;" "&amp;Milestones!$AC$136&amp;";  ","")&amp;IF(AND(EDATE($D66,Milestones!$AA$137)&lt;=AsOfDate,IF($R66=0,$X66,IF(AND($T66&lt;&gt;"",EDATE($D66,Milestones!$AA$137)&gt;=$T66),$W66,IF(AND($S66&lt;&gt;"",EDATE($D66,Milestones!$AA$137)&gt;=$S66),$V66,$U66)))=Milestones!$AB$137),UPPER(TEXT(EDATE($D66,Milestones!$AA$137),"dd mmm yy"))&amp;" "&amp;Milestones!$AB$137&amp;" "&amp;Milestones!$AC$137&amp;";  ","")&amp;IF(AND(EDATE($D66,Milestones!$AA$138)&lt;=AsOfDate,IF($R66=0,$X66,IF(AND($T66&lt;&gt;"",EDATE($D66,Milestones!$AA$138)&gt;=$T66),$W66,IF(AND($S66&lt;&gt;"",EDATE($D66,Milestones!$AA$138)&gt;=$S66),$V66,$U66)))=Milestones!$AB$138),UPPER(TEXT(EDATE($D66,Milestones!$AA$138),"dd mmm yy"))&amp;" "&amp;Milestones!$AB$138&amp;" "&amp;Milestones!$AC$138&amp;";  ","")&amp;IF(AND(EDATE($D66,Milestones!$AA$139)&lt;=AsOfDate,IF($R66=0,$X66,IF(AND($T66&lt;&gt;"",EDATE($D66,Milestones!$AA$139)&gt;=$T66),$W66,IF(AND($S66&lt;&gt;"",EDATE($D66,Milestones!$AA$139)&gt;=$S66),$V66,$U66)))=Milestones!$AB$139),UPPER(TEXT(EDATE($D66,Milestones!$AA$139),"dd mmm yy"))&amp;" "&amp;Milestones!$AB$139&amp;" "&amp;Milestones!$AC$139&amp;";  ",""))</f>
        <v/>
      </c>
      <c r="O66" s="0" t="str">
        <f aca="false">IF(OR($A66="",$D66=""),"",IF(AND(EDATE($D66,Milestones!$AA$140)&lt;=AsOfDate,IF($R66=0,$X66,IF(AND($T66&lt;&gt;"",EDATE($D66,Milestones!$AA$140)&gt;=$T66),$W66,IF(AND($S66&lt;&gt;"",EDATE($D66,Milestones!$AA$140)&gt;=$S66),$V66,$U66)))=Milestones!$AB$140),UPPER(TEXT(EDATE($D66,Milestones!$AA$140),"dd mmm yy"))&amp;" "&amp;Milestones!$AB$140&amp;" "&amp;Milestones!$AC$140&amp;";  ","")&amp;IF(AND(EDATE($D66,Milestones!$AA$141)&lt;=AsOfDate,IF($R66=0,$X66,IF(AND($T66&lt;&gt;"",EDATE($D66,Milestones!$AA$141)&gt;=$T66),$W66,IF(AND($S66&lt;&gt;"",EDATE($D66,Milestones!$AA$141)&gt;=$S66),$V66,$U66)))=Milestones!$AB$141),UPPER(TEXT(EDATE($D66,Milestones!$AA$141),"dd mmm yy"))&amp;" "&amp;Milestones!$AB$141&amp;" "&amp;Milestones!$AC$141&amp;";  ","")&amp;IF(AND(EDATE($D66,Milestones!$AA$142)&lt;=AsOfDate,IF($R66=0,$X66,IF(AND($T66&lt;&gt;"",EDATE($D66,Milestones!$AA$142)&gt;=$T66),$W66,IF(AND($S66&lt;&gt;"",EDATE($D66,Milestones!$AA$142)&gt;=$S66),$V66,$U66)))=Milestones!$AB$142),UPPER(TEXT(EDATE($D66,Milestones!$AA$142),"dd mmm yy"))&amp;" "&amp;Milestones!$AB$142&amp;" "&amp;Milestones!$AC$142&amp;";  ","")&amp;IF(AND(EDATE($D66,Milestones!$AA$143)&lt;=AsOfDate,IF($R66=0,$X66,IF(AND($T66&lt;&gt;"",EDATE($D66,Milestones!$AA$143)&gt;=$T66),$W66,IF(AND($S66&lt;&gt;"",EDATE($D66,Milestones!$AA$143)&gt;=$S66),$V66,$U66)))=Milestones!$AB$143),UPPER(TEXT(EDATE($D66,Milestones!$AA$143),"dd mmm yy"))&amp;" "&amp;Milestones!$AB$143&amp;" "&amp;Milestones!$AC$143&amp;";  ","")&amp;IF(AND(EDATE($D66,Milestones!$AA$144)&lt;=AsOfDate,IF($R66=0,$X66,IF(AND($T66&lt;&gt;"",EDATE($D66,Milestones!$AA$144)&gt;=$T66),$W66,IF(AND($S66&lt;&gt;"",EDATE($D66,Milestones!$AA$144)&gt;=$S66),$V66,$U66)))=Milestones!$AB$144),UPPER(TEXT(EDATE($D66,Milestones!$AA$144),"dd mmm yy"))&amp;" "&amp;Milestones!$AB$144&amp;" "&amp;Milestones!$AC$144&amp;";  ","")&amp;IF(AND(EDATE($D66,Milestones!$AA$145)&lt;=AsOfDate,IF($R66=0,$X66,IF(AND($T66&lt;&gt;"",EDATE($D66,Milestones!$AA$145)&gt;=$T66),$W66,IF(AND($S66&lt;&gt;"",EDATE($D66,Milestones!$AA$145)&gt;=$S66),$V66,$U66)))=Milestones!$AB$145),UPPER(TEXT(EDATE($D66,Milestones!$AA$145),"dd mmm yy"))&amp;" "&amp;Milestones!$AB$145&amp;" "&amp;Milestones!$AC$145&amp;";  ","")&amp;IF(AND(EDATE($D66,Milestones!$AA$146)&lt;=AsOfDate,IF($R66=0,$X66,IF(AND($T66&lt;&gt;"",EDATE($D66,Milestones!$AA$146)&gt;=$T66),$W66,IF(AND($S66&lt;&gt;"",EDATE($D66,Milestones!$AA$146)&gt;=$S66),$V66,$U66)))=Milestones!$AB$146),UPPER(TEXT(EDATE($D66,Milestones!$AA$146),"dd mmm yy"))&amp;" "&amp;Milestones!$AB$146&amp;" "&amp;Milestones!$AC$146&amp;";  ","")&amp;IF(AND(EDATE($D66,Milestones!$AA$147)&lt;=AsOfDate,IF($R66=0,$X66,IF(AND($T66&lt;&gt;"",EDATE($D66,Milestones!$AA$147)&gt;=$T66),$W66,IF(AND($S66&lt;&gt;"",EDATE($D66,Milestones!$AA$147)&gt;=$S66),$V66,$U66)))=Milestones!$AB$147),UPPER(TEXT(EDATE($D66,Milestones!$AA$147),"dd mmm yy"))&amp;" "&amp;Milestones!$AB$147&amp;" "&amp;Milestones!$AC$147&amp;";  ","")&amp;IF(AND(EDATE($D66,Milestones!$AA$148)&lt;=AsOfDate,IF($R66=0,$X66,IF(AND($T66&lt;&gt;"",EDATE($D66,Milestones!$AA$148)&gt;=$T66),$W66,IF(AND($S66&lt;&gt;"",EDATE($D66,Milestones!$AA$148)&gt;=$S66),$V66,$U66)))=Milestones!$AB$148),UPPER(TEXT(EDATE($D66,Milestones!$AA$148),"dd mmm yy"))&amp;" "&amp;Milestones!$AB$148&amp;" "&amp;Milestones!$AC$148&amp;";  ","")&amp;IF(AND(EDATE($D66,Milestones!$AA$149)&lt;=AsOfDate,IF($R66=0,$X66,IF(AND($T66&lt;&gt;"",EDATE($D66,Milestones!$AA$149)&gt;=$T66),$W66,IF(AND($S66&lt;&gt;"",EDATE($D66,Milestones!$AA$149)&gt;=$S66),$V66,$U66)))=Milestones!$AB$149),UPPER(TEXT(EDATE($D66,Milestones!$AA$149),"dd mmm yy"))&amp;" "&amp;Milestones!$AB$149&amp;" "&amp;Milestones!$AC$149&amp;";  ","")&amp;IF(AND(EDATE($D66,Milestones!$AA$150)&lt;=AsOfDate,IF($R66=0,$X66,IF(AND($T66&lt;&gt;"",EDATE($D66,Milestones!$AA$150)&gt;=$T66),$W66,IF(AND($S66&lt;&gt;"",EDATE($D66,Milestones!$AA$150)&gt;=$S66),$V66,$U66)))=Milestones!$AB$150),UPPER(TEXT(EDATE($D66,Milestones!$AA$150),"dd mmm yy"))&amp;" "&amp;Milestones!$AB$150&amp;" "&amp;Milestones!$AC$150&amp;";  ","")&amp;IF(AND(EDATE($D66,Milestones!$AA$151)&lt;=AsOfDate,IF($R66=0,$X66,IF(AND($T66&lt;&gt;"",EDATE($D66,Milestones!$AA$151)&gt;=$T66),$W66,IF(AND($S66&lt;&gt;"",EDATE($D66,Milestones!$AA$151)&gt;=$S66),$V66,$U66)))=Milestones!$AB$151),UPPER(TEXT(EDATE($D66,Milestones!$AA$151),"dd mmm yy"))&amp;" "&amp;Milestones!$AB$151&amp;" "&amp;Milestones!$AC$151&amp;";  ","")&amp;IF(AND(EDATE($D66,Milestones!$AA$152)&lt;=AsOfDate,IF($R66=0,$X66,IF(AND($T66&lt;&gt;"",EDATE($D66,Milestones!$AA$152)&gt;=$T66),$W66,IF(AND($S66&lt;&gt;"",EDATE($D66,Milestones!$AA$152)&gt;=$S66),$V66,$U66)))=Milestones!$AB$152),UPPER(TEXT(EDATE($D66,Milestones!$AA$152),"dd mmm yy"))&amp;" "&amp;Milestones!$AB$152&amp;" "&amp;Milestones!$AC$152&amp;";  ","")&amp;IF(AND(EDATE($D66,Milestones!$AA$153)&lt;=AsOfDate,IF($R66=0,$X66,IF(AND($T66&lt;&gt;"",EDATE($D66,Milestones!$AA$153)&gt;=$T66),$W66,IF(AND($S66&lt;&gt;"",EDATE($D66,Milestones!$AA$153)&gt;=$S66),$V66,$U66)))=Milestones!$AB$153),UPPER(TEXT(EDATE($D66,Milestones!$AA$153),"dd mmm yy"))&amp;" "&amp;Milestones!$AB$153&amp;" "&amp;Milestones!$AC$153&amp;";  ","")&amp;IF(AND(EDATE($D66,Milestones!$AA$154)&lt;=AsOfDate,IF($R66=0,$X66,IF(AND($T66&lt;&gt;"",EDATE($D66,Milestones!$AA$154)&gt;=$T66),$W66,IF(AND($S66&lt;&gt;"",EDATE($D66,Milestones!$AA$154)&gt;=$S66),$V66,$U66)))=Milestones!$AB$154),UPPER(TEXT(EDATE($D66,Milestones!$AA$154),"dd mmm yy"))&amp;" "&amp;Milestones!$AB$154&amp;" "&amp;Milestones!$AC$154&amp;";  ","")&amp;IF(AND(EDATE($D66,Milestones!$AA$155)&lt;=AsOfDate,IF($R66=0,$X66,IF(AND($T66&lt;&gt;"",EDATE($D66,Milestones!$AA$155)&gt;=$T66),$W66,IF(AND($S66&lt;&gt;"",EDATE($D66,Milestones!$AA$155)&gt;=$S66),$V66,$U66)))=Milestones!$AB$155),UPPER(TEXT(EDATE($D66,Milestones!$AA$155),"dd mmm yy"))&amp;" "&amp;Milestones!$AB$155&amp;" "&amp;Milestones!$AC$155&amp;";  ","")&amp;IF(AND(EDATE($D66,Milestones!$AA$156)&lt;=AsOfDate,IF($R66=0,$X66,IF(AND($T66&lt;&gt;"",EDATE($D66,Milestones!$AA$156)&gt;=$T66),$W66,IF(AND($S66&lt;&gt;"",EDATE($D66,Milestones!$AA$156)&gt;=$S66),$V66,$U66)))=Milestones!$AB$156),UPPER(TEXT(EDATE($D66,Milestones!$AA$156),"dd mmm yy"))&amp;" "&amp;Milestones!$AB$156&amp;" "&amp;Milestones!$AC$156&amp;";  ","")&amp;IF(AND(EDATE($D66,Milestones!$AA$157)&lt;=AsOfDate,IF($R66=0,$X66,IF(AND($T66&lt;&gt;"",EDATE($D66,Milestones!$AA$157)&gt;=$T66),$W66,IF(AND($S66&lt;&gt;"",EDATE($D66,Milestones!$AA$157)&gt;=$S66),$V66,$U66)))=Milestones!$AB$157),UPPER(TEXT(EDATE($D66,Milestones!$AA$157),"dd mmm yy"))&amp;" "&amp;Milestones!$AB$157&amp;" "&amp;Milestones!$AC$157&amp;";  ","")&amp;IF(AND(EDATE($D66,Milestones!$AA$158)&lt;=AsOfDate,IF($R66=0,$X66,IF(AND($T66&lt;&gt;"",EDATE($D66,Milestones!$AA$158)&gt;=$T66),$W66,IF(AND($S66&lt;&gt;"",EDATE($D66,Milestones!$AA$158)&gt;=$S66),$V66,$U66)))=Milestones!$AB$158),UPPER(TEXT(EDATE($D66,Milestones!$AA$158),"dd mmm yy"))&amp;" "&amp;Milestones!$AB$158&amp;" "&amp;Milestones!$AC$158&amp;";  ","")&amp;IF(AND(EDATE($D66,Milestones!$AA$159)&lt;=AsOfDate,IF($R66=0,$X66,IF(AND($T66&lt;&gt;"",EDATE($D66,Milestones!$AA$159)&gt;=$T66),$W66,IF(AND($S66&lt;&gt;"",EDATE($D66,Milestones!$AA$159)&gt;=$S66),$V66,$U66)))=Milestones!$AB$159),UPPER(TEXT(EDATE($D66,Milestones!$AA$159),"dd mmm yy"))&amp;" "&amp;Milestones!$AB$159&amp;" "&amp;Milestones!$AC$159&amp;";  ",""))</f>
        <v/>
      </c>
      <c r="P66" s="0" t="str">
        <f aca="false">IF(OR($A66="",$D66=""),"",IF(AND(EDATE($D66,Milestones!$AA$160)&lt;=AsOfDate,IF($R66=0,$X66,IF(AND($T66&lt;&gt;"",EDATE($D66,Milestones!$AA$160)&gt;=$T66),$W66,IF(AND($S66&lt;&gt;"",EDATE($D66,Milestones!$AA$160)&gt;=$S66),$V66,$U66)))=Milestones!$AB$160),UPPER(TEXT(EDATE($D66,Milestones!$AA$160),"dd mmm yy"))&amp;" "&amp;Milestones!$AB$160&amp;" "&amp;Milestones!$AC$160&amp;";  ","")&amp;IF(AND(EDATE($D66,Milestones!$AA$161)&lt;=AsOfDate,IF($R66=0,$X66,IF(AND($T66&lt;&gt;"",EDATE($D66,Milestones!$AA$161)&gt;=$T66),$W66,IF(AND($S66&lt;&gt;"",EDATE($D66,Milestones!$AA$161)&gt;=$S66),$V66,$U66)))=Milestones!$AB$161),UPPER(TEXT(EDATE($D66,Milestones!$AA$161),"dd mmm yy"))&amp;" "&amp;Milestones!$AB$161&amp;" "&amp;Milestones!$AC$161&amp;";  ","")&amp;IF(AND(EDATE($D66,Milestones!$AA$162)&lt;=AsOfDate,IF($R66=0,$X66,IF(AND($T66&lt;&gt;"",EDATE($D66,Milestones!$AA$162)&gt;=$T66),$W66,IF(AND($S66&lt;&gt;"",EDATE($D66,Milestones!$AA$162)&gt;=$S66),$V66,$U66)))=Milestones!$AB$162),UPPER(TEXT(EDATE($D66,Milestones!$AA$162),"dd mmm yy"))&amp;" "&amp;Milestones!$AB$162&amp;" "&amp;Milestones!$AC$162&amp;";  ","")&amp;IF(AND(EDATE($D66,Milestones!$AA$163)&lt;=AsOfDate,IF($R66=0,$X66,IF(AND($T66&lt;&gt;"",EDATE($D66,Milestones!$AA$163)&gt;=$T66),$W66,IF(AND($S66&lt;&gt;"",EDATE($D66,Milestones!$AA$163)&gt;=$S66),$V66,$U66)))=Milestones!$AB$163),UPPER(TEXT(EDATE($D66,Milestones!$AA$163),"dd mmm yy"))&amp;" "&amp;Milestones!$AB$163&amp;" "&amp;Milestones!$AC$163&amp;";  ","")&amp;IF(AND(EDATE($D66,Milestones!$AA$164)&lt;=AsOfDate,IF($R66=0,$X66,IF(AND($T66&lt;&gt;"",EDATE($D66,Milestones!$AA$164)&gt;=$T66),$W66,IF(AND($S66&lt;&gt;"",EDATE($D66,Milestones!$AA$164)&gt;=$S66),$V66,$U66)))=Milestones!$AB$164),UPPER(TEXT(EDATE($D66,Milestones!$AA$164),"dd mmm yy"))&amp;" "&amp;Milestones!$AB$164&amp;" "&amp;Milestones!$AC$164&amp;";  ","")&amp;IF(AND(EDATE($D66,Milestones!$AA$165)&lt;=AsOfDate,IF($R66=0,$X66,IF(AND($T66&lt;&gt;"",EDATE($D66,Milestones!$AA$165)&gt;=$T66),$W66,IF(AND($S66&lt;&gt;"",EDATE($D66,Milestones!$AA$165)&gt;=$S66),$V66,$U66)))=Milestones!$AB$165),UPPER(TEXT(EDATE($D66,Milestones!$AA$165),"dd mmm yy"))&amp;" "&amp;Milestones!$AB$165&amp;" "&amp;Milestones!$AC$165&amp;";  ","")&amp;IF(AND(EDATE($D66,Milestones!$AA$166)&lt;=AsOfDate,IF($R66=0,$X66,IF(AND($T66&lt;&gt;"",EDATE($D66,Milestones!$AA$166)&gt;=$T66),$W66,IF(AND($S66&lt;&gt;"",EDATE($D66,Milestones!$AA$166)&gt;=$S66),$V66,$U66)))=Milestones!$AB$166),UPPER(TEXT(EDATE($D66,Milestones!$AA$166),"dd mmm yy"))&amp;" "&amp;Milestones!$AB$166&amp;" "&amp;Milestones!$AC$166&amp;";  ","")&amp;IF(AND(EDATE($D66,Milestones!$AA$167)&lt;=AsOfDate,IF($R66=0,$X66,IF(AND($T66&lt;&gt;"",EDATE($D66,Milestones!$AA$167)&gt;=$T66),$W66,IF(AND($S66&lt;&gt;"",EDATE($D66,Milestones!$AA$167)&gt;=$S66),$V66,$U66)))=Milestones!$AB$167),UPPER(TEXT(EDATE($D66,Milestones!$AA$167),"dd mmm yy"))&amp;" "&amp;Milestones!$AB$167&amp;" "&amp;Milestones!$AC$167&amp;";  ","")&amp;IF(AND(EDATE($D66,Milestones!$AA$168)&lt;=AsOfDate,IF($R66=0,$X66,IF(AND($T66&lt;&gt;"",EDATE($D66,Milestones!$AA$168)&gt;=$T66),$W66,IF(AND($S66&lt;&gt;"",EDATE($D66,Milestones!$AA$168)&gt;=$S66),$V66,$U66)))=Milestones!$AB$168),UPPER(TEXT(EDATE($D66,Milestones!$AA$168),"dd mmm yy"))&amp;" "&amp;Milestones!$AB$168&amp;" "&amp;Milestones!$AC$168&amp;";  ","")&amp;IF(AND(EDATE($D66,Milestones!$AA$169)&lt;=AsOfDate,IF($R66=0,$X66,IF(AND($T66&lt;&gt;"",EDATE($D66,Milestones!$AA$169)&gt;=$T66),$W66,IF(AND($S66&lt;&gt;"",EDATE($D66,Milestones!$AA$169)&gt;=$S66),$V66,$U66)))=Milestones!$AB$169),UPPER(TEXT(EDATE($D66,Milestones!$AA$169),"dd mmm yy"))&amp;" "&amp;Milestones!$AB$169&amp;" "&amp;Milestones!$AC$169&amp;";  ","")&amp;IF(AND(EDATE($D66,Milestones!$AA$170)&lt;=AsOfDate,IF($R66=0,$X66,IF(AND($T66&lt;&gt;"",EDATE($D66,Milestones!$AA$170)&gt;=$T66),$W66,IF(AND($S66&lt;&gt;"",EDATE($D66,Milestones!$AA$170)&gt;=$S66),$V66,$U66)))=Milestones!$AB$170),UPPER(TEXT(EDATE($D66,Milestones!$AA$170),"dd mmm yy"))&amp;" "&amp;Milestones!$AB$170&amp;" "&amp;Milestones!$AC$170&amp;";  ","")&amp;IF(AND(EDATE($D66,Milestones!$AA$171)&lt;=AsOfDate,IF($R66=0,$X66,IF(AND($T66&lt;&gt;"",EDATE($D66,Milestones!$AA$171)&gt;=$T66),$W66,IF(AND($S66&lt;&gt;"",EDATE($D66,Milestones!$AA$171)&gt;=$S66),$V66,$U66)))=Milestones!$AB$171),UPPER(TEXT(EDATE($D66,Milestones!$AA$171),"dd mmm yy"))&amp;" "&amp;Milestones!$AB$171&amp;" "&amp;Milestones!$AC$171&amp;";  ","")&amp;IF(AND(EDATE($D66,Milestones!$AA$172)&lt;=AsOfDate,IF($R66=0,$X66,IF(AND($T66&lt;&gt;"",EDATE($D66,Milestones!$AA$172)&gt;=$T66),$W66,IF(AND($S66&lt;&gt;"",EDATE($D66,Milestones!$AA$172)&gt;=$S66),$V66,$U66)))=Milestones!$AB$172),UPPER(TEXT(EDATE($D66,Milestones!$AA$172),"dd mmm yy"))&amp;" "&amp;Milestones!$AB$172&amp;" "&amp;Milestones!$AC$172&amp;";  ","")&amp;IF(AND(EDATE($D66,Milestones!$AA$173)&lt;=AsOfDate,IF($R66=0,$X66,IF(AND($T66&lt;&gt;"",EDATE($D66,Milestones!$AA$173)&gt;=$T66),$W66,IF(AND($S66&lt;&gt;"",EDATE($D66,Milestones!$AA$173)&gt;=$S66),$V66,$U66)))=Milestones!$AB$173),UPPER(TEXT(EDATE($D66,Milestones!$AA$173),"dd mmm yy"))&amp;" "&amp;Milestones!$AB$173&amp;" "&amp;Milestones!$AC$173&amp;";  ","")&amp;IF(AND(EDATE($D66,Milestones!$AA$174)&lt;=AsOfDate,IF($R66=0,$X66,IF(AND($T66&lt;&gt;"",EDATE($D66,Milestones!$AA$174)&gt;=$T66),$W66,IF(AND($S66&lt;&gt;"",EDATE($D66,Milestones!$AA$174)&gt;=$S66),$V66,$U66)))=Milestones!$AB$174),UPPER(TEXT(EDATE($D66,Milestones!$AA$174),"dd mmm yy"))&amp;" "&amp;Milestones!$AB$174&amp;" "&amp;Milestones!$AC$174&amp;";  ","")&amp;IF(AND(EDATE($D66,Milestones!$AA$175)&lt;=AsOfDate,IF($R66=0,$X66,IF(AND($T66&lt;&gt;"",EDATE($D66,Milestones!$AA$175)&gt;=$T66),$W66,IF(AND($S66&lt;&gt;"",EDATE($D66,Milestones!$AA$175)&gt;=$S66),$V66,$U66)))=Milestones!$AB$175),UPPER(TEXT(EDATE($D66,Milestones!$AA$175),"dd mmm yy"))&amp;" "&amp;Milestones!$AB$175&amp;" "&amp;Milestones!$AC$175&amp;";  ","")&amp;IF(AND(EDATE($D66,Milestones!$AA$176)&lt;=AsOfDate,IF($R66=0,$X66,IF(AND($T66&lt;&gt;"",EDATE($D66,Milestones!$AA$176)&gt;=$T66),$W66,IF(AND($S66&lt;&gt;"",EDATE($D66,Milestones!$AA$176)&gt;=$S66),$V66,$U66)))=Milestones!$AB$176),UPPER(TEXT(EDATE($D66,Milestones!$AA$176),"dd mmm yy"))&amp;" "&amp;Milestones!$AB$176&amp;" "&amp;Milestones!$AC$176&amp;";  ","")&amp;IF(AND(EDATE($D66,Milestones!$AA$177)&lt;=AsOfDate,IF($R66=0,$X66,IF(AND($T66&lt;&gt;"",EDATE($D66,Milestones!$AA$177)&gt;=$T66),$W66,IF(AND($S66&lt;&gt;"",EDATE($D66,Milestones!$AA$177)&gt;=$S66),$V66,$U66)))=Milestones!$AB$177),UPPER(TEXT(EDATE($D66,Milestones!$AA$177),"dd mmm yy"))&amp;" "&amp;Milestones!$AB$177&amp;" "&amp;Milestones!$AC$177&amp;";  ","")&amp;IF(AND(EDATE($D66,Milestones!$AA$178)&lt;=AsOfDate,IF($R66=0,$X66,IF(AND($T66&lt;&gt;"",EDATE($D66,Milestones!$AA$178)&gt;=$T66),$W66,IF(AND($S66&lt;&gt;"",EDATE($D66,Milestones!$AA$178)&gt;=$S66),$V66,$U66)))=Milestones!$AB$178),UPPER(TEXT(EDATE($D66,Milestones!$AA$178),"dd mmm yy"))&amp;" "&amp;Milestones!$AB$178&amp;" "&amp;Milestones!$AC$178&amp;";  ","")&amp;IF(AND(EDATE($D66,Milestones!$AA$179)&lt;=AsOfDate,IF($R66=0,$X66,IF(AND($T66&lt;&gt;"",EDATE($D66,Milestones!$AA$179)&gt;=$T66),$W66,IF(AND($S66&lt;&gt;"",EDATE($D66,Milestones!$AA$179)&gt;=$S66),$V66,$U66)))=Milestones!$AB$179),UPPER(TEXT(EDATE($D66,Milestones!$AA$179),"dd mmm yy"))&amp;" "&amp;Milestones!$AB$179&amp;" "&amp;Milestones!$AC$179&amp;";  ",""))</f>
        <v/>
      </c>
      <c r="Q66" s="0" t="str">
        <f aca="false">IF(OR($A66="",$D66=""),"",IF(AND(EDATE($D66,Milestones!$AA$180)&lt;=AsOfDate,IF($R66=0,$X66,IF(AND($T66&lt;&gt;"",EDATE($D66,Milestones!$AA$180)&gt;=$T66),$W66,IF(AND($S66&lt;&gt;"",EDATE($D66,Milestones!$AA$180)&gt;=$S66),$V66,$U66)))=Milestones!$AB$180),UPPER(TEXT(EDATE($D66,Milestones!$AA$180),"dd mmm yy"))&amp;" "&amp;Milestones!$AB$180&amp;" "&amp;Milestones!$AC$180&amp;";  ","")&amp;IF(AND(EDATE($D66,Milestones!$AA$181)&lt;=AsOfDate,IF($R66=0,$X66,IF(AND($T66&lt;&gt;"",EDATE($D66,Milestones!$AA$181)&gt;=$T66),$W66,IF(AND($S66&lt;&gt;"",EDATE($D66,Milestones!$AA$181)&gt;=$S66),$V66,$U66)))=Milestones!$AB$181),UPPER(TEXT(EDATE($D66,Milestones!$AA$181),"dd mmm yy"))&amp;" "&amp;Milestones!$AB$181&amp;" "&amp;Milestones!$AC$181&amp;";  ","")&amp;IF(AND(EDATE($D66,Milestones!$AA$182)&lt;=AsOfDate,IF($R66=0,$X66,IF(AND($T66&lt;&gt;"",EDATE($D66,Milestones!$AA$182)&gt;=$T66),$W66,IF(AND($S66&lt;&gt;"",EDATE($D66,Milestones!$AA$182)&gt;=$S66),$V66,$U66)))=Milestones!$AB$182),UPPER(TEXT(EDATE($D66,Milestones!$AA$182),"dd mmm yy"))&amp;" "&amp;Milestones!$AB$182&amp;" "&amp;Milestones!$AC$182&amp;";  ","")&amp;IF(AND(EDATE($D66,Milestones!$AA$183)&lt;=AsOfDate,IF($R66=0,$X66,IF(AND($T66&lt;&gt;"",EDATE($D66,Milestones!$AA$183)&gt;=$T66),$W66,IF(AND($S66&lt;&gt;"",EDATE($D66,Milestones!$AA$183)&gt;=$S66),$V66,$U66)))=Milestones!$AB$183),UPPER(TEXT(EDATE($D66,Milestones!$AA$183),"dd mmm yy"))&amp;" "&amp;Milestones!$AB$183&amp;" "&amp;Milestones!$AC$183&amp;";  ","")&amp;IF(AND(EDATE($D66,Milestones!$AA$184)&lt;=AsOfDate,IF($R66=0,$X66,IF(AND($T66&lt;&gt;"",EDATE($D66,Milestones!$AA$184)&gt;=$T66),$W66,IF(AND($S66&lt;&gt;"",EDATE($D66,Milestones!$AA$184)&gt;=$S66),$V66,$U66)))=Milestones!$AB$184),UPPER(TEXT(EDATE($D66,Milestones!$AA$184),"dd mmm yy"))&amp;" "&amp;Milestones!$AB$184&amp;" "&amp;Milestones!$AC$184&amp;";  ","")&amp;IF(AND(EDATE($D66,Milestones!$AA$185)&lt;=AsOfDate,IF($R66=0,$X66,IF(AND($T66&lt;&gt;"",EDATE($D66,Milestones!$AA$185)&gt;=$T66),$W66,IF(AND($S66&lt;&gt;"",EDATE($D66,Milestones!$AA$185)&gt;=$S66),$V66,$U66)))=Milestones!$AB$185),UPPER(TEXT(EDATE($D66,Milestones!$AA$185),"dd mmm yy"))&amp;" "&amp;Milestones!$AB$185&amp;" "&amp;Milestones!$AC$185&amp;";  ","")&amp;IF(AND(EDATE($D66,Milestones!$AA$186)&lt;=AsOfDate,IF($R66=0,$X66,IF(AND($T66&lt;&gt;"",EDATE($D66,Milestones!$AA$186)&gt;=$T66),$W66,IF(AND($S66&lt;&gt;"",EDATE($D66,Milestones!$AA$186)&gt;=$S66),$V66,$U66)))=Milestones!$AB$186),UPPER(TEXT(EDATE($D66,Milestones!$AA$186),"dd mmm yy"))&amp;" "&amp;Milestones!$AB$186&amp;" "&amp;Milestones!$AC$186&amp;";  ","")&amp;IF(AND(EDATE($D66,Milestones!$AA$187)&lt;=AsOfDate,IF($R66=0,$X66,IF(AND($T66&lt;&gt;"",EDATE($D66,Milestones!$AA$187)&gt;=$T66),$W66,IF(AND($S66&lt;&gt;"",EDATE($D66,Milestones!$AA$187)&gt;=$S66),$V66,$U66)))=Milestones!$AB$187),UPPER(TEXT(EDATE($D66,Milestones!$AA$187),"dd mmm yy"))&amp;" "&amp;Milestones!$AB$187&amp;" "&amp;Milestones!$AC$187&amp;";  ","")&amp;IF(AND(EDATE($D66,Milestones!$AA$188)&lt;=AsOfDate,IF($R66=0,$X66,IF(AND($T66&lt;&gt;"",EDATE($D66,Milestones!$AA$188)&gt;=$T66),$W66,IF(AND($S66&lt;&gt;"",EDATE($D66,Milestones!$AA$188)&gt;=$S66),$V66,$U66)))=Milestones!$AB$188),UPPER(TEXT(EDATE($D66,Milestones!$AA$188),"dd mmm yy"))&amp;" "&amp;Milestones!$AB$188&amp;" "&amp;Milestones!$AC$188&amp;";  ","")&amp;IF(AND(EDATE($D66,Milestones!$AA$189)&lt;=AsOfDate,IF($R66=0,$X66,IF(AND($T66&lt;&gt;"",EDATE($D66,Milestones!$AA$189)&gt;=$T66),$W66,IF(AND($S66&lt;&gt;"",EDATE($D66,Milestones!$AA$189)&gt;=$S66),$V66,$U66)))=Milestones!$AB$189),UPPER(TEXT(EDATE($D66,Milestones!$AA$189),"dd mmm yy"))&amp;" "&amp;Milestones!$AB$189&amp;" "&amp;Milestones!$AC$189&amp;";  ","")&amp;IF(AND(EDATE($D66,Milestones!$AA$190)&lt;=AsOfDate,IF($R66=0,$X66,IF(AND($T66&lt;&gt;"",EDATE($D66,Milestones!$AA$190)&gt;=$T66),$W66,IF(AND($S66&lt;&gt;"",EDATE($D66,Milestones!$AA$190)&gt;=$S66),$V66,$U66)))=Milestones!$AB$190),UPPER(TEXT(EDATE($D66,Milestones!$AA$190),"dd mmm yy"))&amp;" "&amp;Milestones!$AB$190&amp;" "&amp;Milestones!$AC$190&amp;";  ","")&amp;IF(AND(EDATE($D66,Milestones!$AA$191)&lt;=AsOfDate,IF($R66=0,$X66,IF(AND($T66&lt;&gt;"",EDATE($D66,Milestones!$AA$191)&gt;=$T66),$W66,IF(AND($S66&lt;&gt;"",EDATE($D66,Milestones!$AA$191)&gt;=$S66),$V66,$U66)))=Milestones!$AB$191),UPPER(TEXT(EDATE($D66,Milestones!$AA$191),"dd mmm yy"))&amp;" "&amp;Milestones!$AB$191&amp;" "&amp;Milestones!$AC$191&amp;";  ","")&amp;IF(AND(EDATE($D66,Milestones!$AA$192)&lt;=AsOfDate,IF($R66=0,$X66,IF(AND($T66&lt;&gt;"",EDATE($D66,Milestones!$AA$192)&gt;=$T66),$W66,IF(AND($S66&lt;&gt;"",EDATE($D66,Milestones!$AA$192)&gt;=$S66),$V66,$U66)))=Milestones!$AB$192),UPPER(TEXT(EDATE($D66,Milestones!$AA$192),"dd mmm yy"))&amp;" "&amp;Milestones!$AB$192&amp;" "&amp;Milestones!$AC$192&amp;";  ","")&amp;IF(AND(EDATE($D66,Milestones!$AA$193)&lt;=AsOfDate,IF($R66=0,$X66,IF(AND($T66&lt;&gt;"",EDATE($D66,Milestones!$AA$193)&gt;=$T66),$W66,IF(AND($S66&lt;&gt;"",EDATE($D66,Milestones!$AA$193)&gt;=$S66),$V66,$U66)))=Milestones!$AB$193),UPPER(TEXT(EDATE($D66,Milestones!$AA$193),"dd mmm yy"))&amp;" "&amp;Milestones!$AB$193&amp;" "&amp;Milestones!$AC$193&amp;";  ","")&amp;IF(AND(EDATE($D66,Milestones!$AA$194)&lt;=AsOfDate,IF($R66=0,$X66,IF(AND($T66&lt;&gt;"",EDATE($D66,Milestones!$AA$194)&gt;=$T66),$W66,IF(AND($S66&lt;&gt;"",EDATE($D66,Milestones!$AA$194)&gt;=$S66),$V66,$U66)))=Milestones!$AB$194),UPPER(TEXT(EDATE($D66,Milestones!$AA$194),"dd mmm yy"))&amp;" "&amp;Milestones!$AB$194&amp;" "&amp;Milestones!$AC$194&amp;";  ","")&amp;IF(AND(EDATE($D66,Milestones!$AA$195)&lt;=AsOfDate,IF($R66=0,$X66,IF(AND($T66&lt;&gt;"",EDATE($D66,Milestones!$AA$195)&gt;=$T66),$W66,IF(AND($S66&lt;&gt;"",EDATE($D66,Milestones!$AA$195)&gt;=$S66),$V66,$U66)))=Milestones!$AB$195),UPPER(TEXT(EDATE($D66,Milestones!$AA$195),"dd mmm yy"))&amp;" "&amp;Milestones!$AB$195&amp;" "&amp;Milestones!$AC$195&amp;";  ","")&amp;IF(AND(EDATE($D66,Milestones!$AA$196)&lt;=AsOfDate,IF($R66=0,$X66,IF(AND($T66&lt;&gt;"",EDATE($D66,Milestones!$AA$196)&gt;=$T66),$W66,IF(AND($S66&lt;&gt;"",EDATE($D66,Milestones!$AA$196)&gt;=$S66),$V66,$U66)))=Milestones!$AB$196),UPPER(TEXT(EDATE($D66,Milestones!$AA$196),"dd mmm yy"))&amp;" "&amp;Milestones!$AB$196&amp;" "&amp;Milestones!$AC$196&amp;";  ","")&amp;IF(AND(EDATE($D66,Milestones!$AA$197)&lt;=AsOfDate,IF($R66=0,$X66,IF(AND($T66&lt;&gt;"",EDATE($D66,Milestones!$AA$197)&gt;=$T66),$W66,IF(AND($S66&lt;&gt;"",EDATE($D66,Milestones!$AA$197)&gt;=$S66),$V66,$U66)))=Milestones!$AB$197),UPPER(TEXT(EDATE($D66,Milestones!$AA$197),"dd mmm yy"))&amp;" "&amp;Milestones!$AB$197&amp;" "&amp;Milestones!$AC$197&amp;";  ","")&amp;IF(AND(EDATE($D66,Milestones!$AA$198)&lt;=AsOfDate,IF($R66=0,$X66,IF(AND($T66&lt;&gt;"",EDATE($D66,Milestones!$AA$198)&gt;=$T66),$W66,IF(AND($S66&lt;&gt;"",EDATE($D66,Milestones!$AA$198)&gt;=$S66),$V66,$U66)))=Milestones!$AB$198),UPPER(TEXT(EDATE($D66,Milestones!$AA$198),"dd mmm yy"))&amp;" "&amp;Milestones!$AB$198&amp;" "&amp;Milestones!$AC$198&amp;";  ","")&amp;IF(AND(EDATE($D66,Milestones!$AA$199)&lt;=AsOfDate,IF($R66=0,$X66,IF(AND($T66&lt;&gt;"",EDATE($D66,Milestones!$AA$199)&gt;=$T66),$W66,IF(AND($S66&lt;&gt;"",EDATE($D66,Milestones!$AA$199)&gt;=$S66),$V66,$U66)))=Milestones!$AB$199),UPPER(TEXT(EDATE($D66,Milestones!$AA$199),"dd mmm yy"))&amp;" "&amp;Milestones!$AB$199&amp;" "&amp;Milestones!$AC$199&amp;";  ",""))</f>
        <v/>
      </c>
      <c r="R66" s="33" t="n">
        <f aca="false">IF(Staff!$A66="","",Staff!$AI66)</f>
        <v>0</v>
      </c>
      <c r="S66" s="0" t="str">
        <f aca="false">IF(Staff!$A66="","",Staff!$AK66)</f>
        <v/>
      </c>
      <c r="T66" s="0" t="str">
        <f aca="false">IF(Staff!$A66="","",Staff!$AL66)</f>
        <v/>
      </c>
      <c r="U66" s="0" t="str">
        <f aca="false">IF(Staff!$A66="","",Staff!$AP66)</f>
        <v>None</v>
      </c>
      <c r="V66" s="0" t="str">
        <f aca="false">IF(Staff!$A66="","",Staff!$AQ66)</f>
        <v/>
      </c>
      <c r="W66" s="0" t="str">
        <f aca="false">IF(Staff!$A66="","",Staff!$AR66)</f>
        <v/>
      </c>
      <c r="X66" s="0" t="str">
        <f aca="false">IF(Staff!$A66="","",Staff!$AS66)</f>
        <v>None</v>
      </c>
    </row>
    <row r="67" customFormat="false" ht="15" hidden="false" customHeight="false" outlineLevel="0" collapsed="false">
      <c r="A67" s="19" t="str">
        <f aca="false">IF(Staff!$A67="","",Staff!$A67)</f>
        <v>Timothy</v>
      </c>
      <c r="B67" s="19" t="str">
        <f aca="false">IF(Staff!$A67="","",Staff!$B67)</f>
        <v>Camden</v>
      </c>
      <c r="C67" s="19" t="str">
        <f aca="false">IF(Staff!$A67="","",Staff!$C67)</f>
        <v>Casual</v>
      </c>
      <c r="D67" s="17" t="n">
        <f aca="false">IF(Staff!$A67="","",Staff!$AH67)</f>
        <v>46055</v>
      </c>
      <c r="E67" s="20" t="n">
        <f aca="false">IF(Staff!$A67="","",Staff!$O67)</f>
        <v>0</v>
      </c>
      <c r="F67" s="19" t="n">
        <f aca="false">IF(E67="","",E67*HoursPerDay)</f>
        <v>0</v>
      </c>
      <c r="G67" s="20" t="n">
        <f aca="false">IF(Staff!$A67="","",Staff!$AE67)</f>
        <v>0</v>
      </c>
      <c r="H67" s="32" t="str">
        <f aca="false">IF($A67="","",I67&amp;J67&amp;K67&amp;L67&amp;M67&amp;N67&amp;O67&amp;P67&amp;Q67)</f>
        <v/>
      </c>
      <c r="I67" s="0" t="str">
        <f aca="false">IF(OR($A67="",$D67=""),"",IF(AND(EDATE($D67,Milestones!$AA$20)&lt;=AsOfDate,IF($R67=0,$X67,IF(AND($T67&lt;&gt;"",EDATE($D67,Milestones!$AA$20)&gt;=$T67),$W67,IF(AND($S67&lt;&gt;"",EDATE($D67,Milestones!$AA$20)&gt;=$S67),$V67,$U67)))=Milestones!$AB$20),UPPER(TEXT(EDATE($D67,Milestones!$AA$20),"dd mmm yy"))&amp;" "&amp;Milestones!$AB$20&amp;" "&amp;Milestones!$AC$20&amp;";  ","")&amp;IF(AND(EDATE($D67,Milestones!$AA$21)&lt;=AsOfDate,IF($R67=0,$X67,IF(AND($T67&lt;&gt;"",EDATE($D67,Milestones!$AA$21)&gt;=$T67),$W67,IF(AND($S67&lt;&gt;"",EDATE($D67,Milestones!$AA$21)&gt;=$S67),$V67,$U67)))=Milestones!$AB$21),UPPER(TEXT(EDATE($D67,Milestones!$AA$21),"dd mmm yy"))&amp;" "&amp;Milestones!$AB$21&amp;" "&amp;Milestones!$AC$21&amp;";  ","")&amp;IF(AND(EDATE($D67,Milestones!$AA$22)&lt;=AsOfDate,IF($R67=0,$X67,IF(AND($T67&lt;&gt;"",EDATE($D67,Milestones!$AA$22)&gt;=$T67),$W67,IF(AND($S67&lt;&gt;"",EDATE($D67,Milestones!$AA$22)&gt;=$S67),$V67,$U67)))=Milestones!$AB$22),UPPER(TEXT(EDATE($D67,Milestones!$AA$22),"dd mmm yy"))&amp;" "&amp;Milestones!$AB$22&amp;" "&amp;Milestones!$AC$22&amp;";  ","")&amp;IF(AND(EDATE($D67,Milestones!$AA$23)&lt;=AsOfDate,IF($R67=0,$X67,IF(AND($T67&lt;&gt;"",EDATE($D67,Milestones!$AA$23)&gt;=$T67),$W67,IF(AND($S67&lt;&gt;"",EDATE($D67,Milestones!$AA$23)&gt;=$S67),$V67,$U67)))=Milestones!$AB$23),UPPER(TEXT(EDATE($D67,Milestones!$AA$23),"dd mmm yy"))&amp;" "&amp;Milestones!$AB$23&amp;" "&amp;Milestones!$AC$23&amp;";  ","")&amp;IF(AND(EDATE($D67,Milestones!$AA$24)&lt;=AsOfDate,IF($R67=0,$X67,IF(AND($T67&lt;&gt;"",EDATE($D67,Milestones!$AA$24)&gt;=$T67),$W67,IF(AND($S67&lt;&gt;"",EDATE($D67,Milestones!$AA$24)&gt;=$S67),$V67,$U67)))=Milestones!$AB$24),UPPER(TEXT(EDATE($D67,Milestones!$AA$24),"dd mmm yy"))&amp;" "&amp;Milestones!$AB$24&amp;" "&amp;Milestones!$AC$24&amp;";  ","")&amp;IF(AND(EDATE($D67,Milestones!$AA$25)&lt;=AsOfDate,IF($R67=0,$X67,IF(AND($T67&lt;&gt;"",EDATE($D67,Milestones!$AA$25)&gt;=$T67),$W67,IF(AND($S67&lt;&gt;"",EDATE($D67,Milestones!$AA$25)&gt;=$S67),$V67,$U67)))=Milestones!$AB$25),UPPER(TEXT(EDATE($D67,Milestones!$AA$25),"dd mmm yy"))&amp;" "&amp;Milestones!$AB$25&amp;" "&amp;Milestones!$AC$25&amp;";  ","")&amp;IF(AND(EDATE($D67,Milestones!$AA$26)&lt;=AsOfDate,IF($R67=0,$X67,IF(AND($T67&lt;&gt;"",EDATE($D67,Milestones!$AA$26)&gt;=$T67),$W67,IF(AND($S67&lt;&gt;"",EDATE($D67,Milestones!$AA$26)&gt;=$S67),$V67,$U67)))=Milestones!$AB$26),UPPER(TEXT(EDATE($D67,Milestones!$AA$26),"dd mmm yy"))&amp;" "&amp;Milestones!$AB$26&amp;" "&amp;Milestones!$AC$26&amp;";  ","")&amp;IF(AND(EDATE($D67,Milestones!$AA$27)&lt;=AsOfDate,IF($R67=0,$X67,IF(AND($T67&lt;&gt;"",EDATE($D67,Milestones!$AA$27)&gt;=$T67),$W67,IF(AND($S67&lt;&gt;"",EDATE($D67,Milestones!$AA$27)&gt;=$S67),$V67,$U67)))=Milestones!$AB$27),UPPER(TEXT(EDATE($D67,Milestones!$AA$27),"dd mmm yy"))&amp;" "&amp;Milestones!$AB$27&amp;" "&amp;Milestones!$AC$27&amp;";  ","")&amp;IF(AND(EDATE($D67,Milestones!$AA$28)&lt;=AsOfDate,IF($R67=0,$X67,IF(AND($T67&lt;&gt;"",EDATE($D67,Milestones!$AA$28)&gt;=$T67),$W67,IF(AND($S67&lt;&gt;"",EDATE($D67,Milestones!$AA$28)&gt;=$S67),$V67,$U67)))=Milestones!$AB$28),UPPER(TEXT(EDATE($D67,Milestones!$AA$28),"dd mmm yy"))&amp;" "&amp;Milestones!$AB$28&amp;" "&amp;Milestones!$AC$28&amp;";  ","")&amp;IF(AND(EDATE($D67,Milestones!$AA$29)&lt;=AsOfDate,IF($R67=0,$X67,IF(AND($T67&lt;&gt;"",EDATE($D67,Milestones!$AA$29)&gt;=$T67),$W67,IF(AND($S67&lt;&gt;"",EDATE($D67,Milestones!$AA$29)&gt;=$S67),$V67,$U67)))=Milestones!$AB$29),UPPER(TEXT(EDATE($D67,Milestones!$AA$29),"dd mmm yy"))&amp;" "&amp;Milestones!$AB$29&amp;" "&amp;Milestones!$AC$29&amp;";  ","")&amp;IF(AND(EDATE($D67,Milestones!$AA$30)&lt;=AsOfDate,IF($R67=0,$X67,IF(AND($T67&lt;&gt;"",EDATE($D67,Milestones!$AA$30)&gt;=$T67),$W67,IF(AND($S67&lt;&gt;"",EDATE($D67,Milestones!$AA$30)&gt;=$S67),$V67,$U67)))=Milestones!$AB$30),UPPER(TEXT(EDATE($D67,Milestones!$AA$30),"dd mmm yy"))&amp;" "&amp;Milestones!$AB$30&amp;" "&amp;Milestones!$AC$30&amp;";  ","")&amp;IF(AND(EDATE($D67,Milestones!$AA$31)&lt;=AsOfDate,IF($R67=0,$X67,IF(AND($T67&lt;&gt;"",EDATE($D67,Milestones!$AA$31)&gt;=$T67),$W67,IF(AND($S67&lt;&gt;"",EDATE($D67,Milestones!$AA$31)&gt;=$S67),$V67,$U67)))=Milestones!$AB$31),UPPER(TEXT(EDATE($D67,Milestones!$AA$31),"dd mmm yy"))&amp;" "&amp;Milestones!$AB$31&amp;" "&amp;Milestones!$AC$31&amp;";  ","")&amp;IF(AND(EDATE($D67,Milestones!$AA$32)&lt;=AsOfDate,IF($R67=0,$X67,IF(AND($T67&lt;&gt;"",EDATE($D67,Milestones!$AA$32)&gt;=$T67),$W67,IF(AND($S67&lt;&gt;"",EDATE($D67,Milestones!$AA$32)&gt;=$S67),$V67,$U67)))=Milestones!$AB$32),UPPER(TEXT(EDATE($D67,Milestones!$AA$32),"dd mmm yy"))&amp;" "&amp;Milestones!$AB$32&amp;" "&amp;Milestones!$AC$32&amp;";  ","")&amp;IF(AND(EDATE($D67,Milestones!$AA$33)&lt;=AsOfDate,IF($R67=0,$X67,IF(AND($T67&lt;&gt;"",EDATE($D67,Milestones!$AA$33)&gt;=$T67),$W67,IF(AND($S67&lt;&gt;"",EDATE($D67,Milestones!$AA$33)&gt;=$S67),$V67,$U67)))=Milestones!$AB$33),UPPER(TEXT(EDATE($D67,Milestones!$AA$33),"dd mmm yy"))&amp;" "&amp;Milestones!$AB$33&amp;" "&amp;Milestones!$AC$33&amp;";  ","")&amp;IF(AND(EDATE($D67,Milestones!$AA$34)&lt;=AsOfDate,IF($R67=0,$X67,IF(AND($T67&lt;&gt;"",EDATE($D67,Milestones!$AA$34)&gt;=$T67),$W67,IF(AND($S67&lt;&gt;"",EDATE($D67,Milestones!$AA$34)&gt;=$S67),$V67,$U67)))=Milestones!$AB$34),UPPER(TEXT(EDATE($D67,Milestones!$AA$34),"dd mmm yy"))&amp;" "&amp;Milestones!$AB$34&amp;" "&amp;Milestones!$AC$34&amp;";  ","")&amp;IF(AND(EDATE($D67,Milestones!$AA$35)&lt;=AsOfDate,IF($R67=0,$X67,IF(AND($T67&lt;&gt;"",EDATE($D67,Milestones!$AA$35)&gt;=$T67),$W67,IF(AND($S67&lt;&gt;"",EDATE($D67,Milestones!$AA$35)&gt;=$S67),$V67,$U67)))=Milestones!$AB$35),UPPER(TEXT(EDATE($D67,Milestones!$AA$35),"dd mmm yy"))&amp;" "&amp;Milestones!$AB$35&amp;" "&amp;Milestones!$AC$35&amp;";  ","")&amp;IF(AND(EDATE($D67,Milestones!$AA$36)&lt;=AsOfDate,IF($R67=0,$X67,IF(AND($T67&lt;&gt;"",EDATE($D67,Milestones!$AA$36)&gt;=$T67),$W67,IF(AND($S67&lt;&gt;"",EDATE($D67,Milestones!$AA$36)&gt;=$S67),$V67,$U67)))=Milestones!$AB$36),UPPER(TEXT(EDATE($D67,Milestones!$AA$36),"dd mmm yy"))&amp;" "&amp;Milestones!$AB$36&amp;" "&amp;Milestones!$AC$36&amp;";  ","")&amp;IF(AND(EDATE($D67,Milestones!$AA$37)&lt;=AsOfDate,IF($R67=0,$X67,IF(AND($T67&lt;&gt;"",EDATE($D67,Milestones!$AA$37)&gt;=$T67),$W67,IF(AND($S67&lt;&gt;"",EDATE($D67,Milestones!$AA$37)&gt;=$S67),$V67,$U67)))=Milestones!$AB$37),UPPER(TEXT(EDATE($D67,Milestones!$AA$37),"dd mmm yy"))&amp;" "&amp;Milestones!$AB$37&amp;" "&amp;Milestones!$AC$37&amp;";  ","")&amp;IF(AND(EDATE($D67,Milestones!$AA$38)&lt;=AsOfDate,IF($R67=0,$X67,IF(AND($T67&lt;&gt;"",EDATE($D67,Milestones!$AA$38)&gt;=$T67),$W67,IF(AND($S67&lt;&gt;"",EDATE($D67,Milestones!$AA$38)&gt;=$S67),$V67,$U67)))=Milestones!$AB$38),UPPER(TEXT(EDATE($D67,Milestones!$AA$38),"dd mmm yy"))&amp;" "&amp;Milestones!$AB$38&amp;" "&amp;Milestones!$AC$38&amp;";  ","")&amp;IF(AND(EDATE($D67,Milestones!$AA$39)&lt;=AsOfDate,IF($R67=0,$X67,IF(AND($T67&lt;&gt;"",EDATE($D67,Milestones!$AA$39)&gt;=$T67),$W67,IF(AND($S67&lt;&gt;"",EDATE($D67,Milestones!$AA$39)&gt;=$S67),$V67,$U67)))=Milestones!$AB$39),UPPER(TEXT(EDATE($D67,Milestones!$AA$39),"dd mmm yy"))&amp;" "&amp;Milestones!$AB$39&amp;" "&amp;Milestones!$AC$39&amp;";  ",""))</f>
        <v/>
      </c>
      <c r="J67" s="0" t="str">
        <f aca="false">IF(OR($A67="",$D67=""),"",IF(AND(EDATE($D67,Milestones!$AA$40)&lt;=AsOfDate,IF($R67=0,$X67,IF(AND($T67&lt;&gt;"",EDATE($D67,Milestones!$AA$40)&gt;=$T67),$W67,IF(AND($S67&lt;&gt;"",EDATE($D67,Milestones!$AA$40)&gt;=$S67),$V67,$U67)))=Milestones!$AB$40),UPPER(TEXT(EDATE($D67,Milestones!$AA$40),"dd mmm yy"))&amp;" "&amp;Milestones!$AB$40&amp;" "&amp;Milestones!$AC$40&amp;";  ","")&amp;IF(AND(EDATE($D67,Milestones!$AA$41)&lt;=AsOfDate,IF($R67=0,$X67,IF(AND($T67&lt;&gt;"",EDATE($D67,Milestones!$AA$41)&gt;=$T67),$W67,IF(AND($S67&lt;&gt;"",EDATE($D67,Milestones!$AA$41)&gt;=$S67),$V67,$U67)))=Milestones!$AB$41),UPPER(TEXT(EDATE($D67,Milestones!$AA$41),"dd mmm yy"))&amp;" "&amp;Milestones!$AB$41&amp;" "&amp;Milestones!$AC$41&amp;";  ","")&amp;IF(AND(EDATE($D67,Milestones!$AA$42)&lt;=AsOfDate,IF($R67=0,$X67,IF(AND($T67&lt;&gt;"",EDATE($D67,Milestones!$AA$42)&gt;=$T67),$W67,IF(AND($S67&lt;&gt;"",EDATE($D67,Milestones!$AA$42)&gt;=$S67),$V67,$U67)))=Milestones!$AB$42),UPPER(TEXT(EDATE($D67,Milestones!$AA$42),"dd mmm yy"))&amp;" "&amp;Milestones!$AB$42&amp;" "&amp;Milestones!$AC$42&amp;";  ","")&amp;IF(AND(EDATE($D67,Milestones!$AA$43)&lt;=AsOfDate,IF($R67=0,$X67,IF(AND($T67&lt;&gt;"",EDATE($D67,Milestones!$AA$43)&gt;=$T67),$W67,IF(AND($S67&lt;&gt;"",EDATE($D67,Milestones!$AA$43)&gt;=$S67),$V67,$U67)))=Milestones!$AB$43),UPPER(TEXT(EDATE($D67,Milestones!$AA$43),"dd mmm yy"))&amp;" "&amp;Milestones!$AB$43&amp;" "&amp;Milestones!$AC$43&amp;";  ","")&amp;IF(AND(EDATE($D67,Milestones!$AA$44)&lt;=AsOfDate,IF($R67=0,$X67,IF(AND($T67&lt;&gt;"",EDATE($D67,Milestones!$AA$44)&gt;=$T67),$W67,IF(AND($S67&lt;&gt;"",EDATE($D67,Milestones!$AA$44)&gt;=$S67),$V67,$U67)))=Milestones!$AB$44),UPPER(TEXT(EDATE($D67,Milestones!$AA$44),"dd mmm yy"))&amp;" "&amp;Milestones!$AB$44&amp;" "&amp;Milestones!$AC$44&amp;";  ","")&amp;IF(AND(EDATE($D67,Milestones!$AA$45)&lt;=AsOfDate,IF($R67=0,$X67,IF(AND($T67&lt;&gt;"",EDATE($D67,Milestones!$AA$45)&gt;=$T67),$W67,IF(AND($S67&lt;&gt;"",EDATE($D67,Milestones!$AA$45)&gt;=$S67),$V67,$U67)))=Milestones!$AB$45),UPPER(TEXT(EDATE($D67,Milestones!$AA$45),"dd mmm yy"))&amp;" "&amp;Milestones!$AB$45&amp;" "&amp;Milestones!$AC$45&amp;";  ","")&amp;IF(AND(EDATE($D67,Milestones!$AA$46)&lt;=AsOfDate,IF($R67=0,$X67,IF(AND($T67&lt;&gt;"",EDATE($D67,Milestones!$AA$46)&gt;=$T67),$W67,IF(AND($S67&lt;&gt;"",EDATE($D67,Milestones!$AA$46)&gt;=$S67),$V67,$U67)))=Milestones!$AB$46),UPPER(TEXT(EDATE($D67,Milestones!$AA$46),"dd mmm yy"))&amp;" "&amp;Milestones!$AB$46&amp;" "&amp;Milestones!$AC$46&amp;";  ","")&amp;IF(AND(EDATE($D67,Milestones!$AA$47)&lt;=AsOfDate,IF($R67=0,$X67,IF(AND($T67&lt;&gt;"",EDATE($D67,Milestones!$AA$47)&gt;=$T67),$W67,IF(AND($S67&lt;&gt;"",EDATE($D67,Milestones!$AA$47)&gt;=$S67),$V67,$U67)))=Milestones!$AB$47),UPPER(TEXT(EDATE($D67,Milestones!$AA$47),"dd mmm yy"))&amp;" "&amp;Milestones!$AB$47&amp;" "&amp;Milestones!$AC$47&amp;";  ","")&amp;IF(AND(EDATE($D67,Milestones!$AA$48)&lt;=AsOfDate,IF($R67=0,$X67,IF(AND($T67&lt;&gt;"",EDATE($D67,Milestones!$AA$48)&gt;=$T67),$W67,IF(AND($S67&lt;&gt;"",EDATE($D67,Milestones!$AA$48)&gt;=$S67),$V67,$U67)))=Milestones!$AB$48),UPPER(TEXT(EDATE($D67,Milestones!$AA$48),"dd mmm yy"))&amp;" "&amp;Milestones!$AB$48&amp;" "&amp;Milestones!$AC$48&amp;";  ","")&amp;IF(AND(EDATE($D67,Milestones!$AA$49)&lt;=AsOfDate,IF($R67=0,$X67,IF(AND($T67&lt;&gt;"",EDATE($D67,Milestones!$AA$49)&gt;=$T67),$W67,IF(AND($S67&lt;&gt;"",EDATE($D67,Milestones!$AA$49)&gt;=$S67),$V67,$U67)))=Milestones!$AB$49),UPPER(TEXT(EDATE($D67,Milestones!$AA$49),"dd mmm yy"))&amp;" "&amp;Milestones!$AB$49&amp;" "&amp;Milestones!$AC$49&amp;";  ","")&amp;IF(AND(EDATE($D67,Milestones!$AA$50)&lt;=AsOfDate,IF($R67=0,$X67,IF(AND($T67&lt;&gt;"",EDATE($D67,Milestones!$AA$50)&gt;=$T67),$W67,IF(AND($S67&lt;&gt;"",EDATE($D67,Milestones!$AA$50)&gt;=$S67),$V67,$U67)))=Milestones!$AB$50),UPPER(TEXT(EDATE($D67,Milestones!$AA$50),"dd mmm yy"))&amp;" "&amp;Milestones!$AB$50&amp;" "&amp;Milestones!$AC$50&amp;";  ","")&amp;IF(AND(EDATE($D67,Milestones!$AA$51)&lt;=AsOfDate,IF($R67=0,$X67,IF(AND($T67&lt;&gt;"",EDATE($D67,Milestones!$AA$51)&gt;=$T67),$W67,IF(AND($S67&lt;&gt;"",EDATE($D67,Milestones!$AA$51)&gt;=$S67),$V67,$U67)))=Milestones!$AB$51),UPPER(TEXT(EDATE($D67,Milestones!$AA$51),"dd mmm yy"))&amp;" "&amp;Milestones!$AB$51&amp;" "&amp;Milestones!$AC$51&amp;";  ","")&amp;IF(AND(EDATE($D67,Milestones!$AA$52)&lt;=AsOfDate,IF($R67=0,$X67,IF(AND($T67&lt;&gt;"",EDATE($D67,Milestones!$AA$52)&gt;=$T67),$W67,IF(AND($S67&lt;&gt;"",EDATE($D67,Milestones!$AA$52)&gt;=$S67),$V67,$U67)))=Milestones!$AB$52),UPPER(TEXT(EDATE($D67,Milestones!$AA$52),"dd mmm yy"))&amp;" "&amp;Milestones!$AB$52&amp;" "&amp;Milestones!$AC$52&amp;";  ","")&amp;IF(AND(EDATE($D67,Milestones!$AA$53)&lt;=AsOfDate,IF($R67=0,$X67,IF(AND($T67&lt;&gt;"",EDATE($D67,Milestones!$AA$53)&gt;=$T67),$W67,IF(AND($S67&lt;&gt;"",EDATE($D67,Milestones!$AA$53)&gt;=$S67),$V67,$U67)))=Milestones!$AB$53),UPPER(TEXT(EDATE($D67,Milestones!$AA$53),"dd mmm yy"))&amp;" "&amp;Milestones!$AB$53&amp;" "&amp;Milestones!$AC$53&amp;";  ","")&amp;IF(AND(EDATE($D67,Milestones!$AA$54)&lt;=AsOfDate,IF($R67=0,$X67,IF(AND($T67&lt;&gt;"",EDATE($D67,Milestones!$AA$54)&gt;=$T67),$W67,IF(AND($S67&lt;&gt;"",EDATE($D67,Milestones!$AA$54)&gt;=$S67),$V67,$U67)))=Milestones!$AB$54),UPPER(TEXT(EDATE($D67,Milestones!$AA$54),"dd mmm yy"))&amp;" "&amp;Milestones!$AB$54&amp;" "&amp;Milestones!$AC$54&amp;";  ","")&amp;IF(AND(EDATE($D67,Milestones!$AA$55)&lt;=AsOfDate,IF($R67=0,$X67,IF(AND($T67&lt;&gt;"",EDATE($D67,Milestones!$AA$55)&gt;=$T67),$W67,IF(AND($S67&lt;&gt;"",EDATE($D67,Milestones!$AA$55)&gt;=$S67),$V67,$U67)))=Milestones!$AB$55),UPPER(TEXT(EDATE($D67,Milestones!$AA$55),"dd mmm yy"))&amp;" "&amp;Milestones!$AB$55&amp;" "&amp;Milestones!$AC$55&amp;";  ","")&amp;IF(AND(EDATE($D67,Milestones!$AA$56)&lt;=AsOfDate,IF($R67=0,$X67,IF(AND($T67&lt;&gt;"",EDATE($D67,Milestones!$AA$56)&gt;=$T67),$W67,IF(AND($S67&lt;&gt;"",EDATE($D67,Milestones!$AA$56)&gt;=$S67),$V67,$U67)))=Milestones!$AB$56),UPPER(TEXT(EDATE($D67,Milestones!$AA$56),"dd mmm yy"))&amp;" "&amp;Milestones!$AB$56&amp;" "&amp;Milestones!$AC$56&amp;";  ","")&amp;IF(AND(EDATE($D67,Milestones!$AA$57)&lt;=AsOfDate,IF($R67=0,$X67,IF(AND($T67&lt;&gt;"",EDATE($D67,Milestones!$AA$57)&gt;=$T67),$W67,IF(AND($S67&lt;&gt;"",EDATE($D67,Milestones!$AA$57)&gt;=$S67),$V67,$U67)))=Milestones!$AB$57),UPPER(TEXT(EDATE($D67,Milestones!$AA$57),"dd mmm yy"))&amp;" "&amp;Milestones!$AB$57&amp;" "&amp;Milestones!$AC$57&amp;";  ","")&amp;IF(AND(EDATE($D67,Milestones!$AA$58)&lt;=AsOfDate,IF($R67=0,$X67,IF(AND($T67&lt;&gt;"",EDATE($D67,Milestones!$AA$58)&gt;=$T67),$W67,IF(AND($S67&lt;&gt;"",EDATE($D67,Milestones!$AA$58)&gt;=$S67),$V67,$U67)))=Milestones!$AB$58),UPPER(TEXT(EDATE($D67,Milestones!$AA$58),"dd mmm yy"))&amp;" "&amp;Milestones!$AB$58&amp;" "&amp;Milestones!$AC$58&amp;";  ","")&amp;IF(AND(EDATE($D67,Milestones!$AA$59)&lt;=AsOfDate,IF($R67=0,$X67,IF(AND($T67&lt;&gt;"",EDATE($D67,Milestones!$AA$59)&gt;=$T67),$W67,IF(AND($S67&lt;&gt;"",EDATE($D67,Milestones!$AA$59)&gt;=$S67),$V67,$U67)))=Milestones!$AB$59),UPPER(TEXT(EDATE($D67,Milestones!$AA$59),"dd mmm yy"))&amp;" "&amp;Milestones!$AB$59&amp;" "&amp;Milestones!$AC$59&amp;";  ",""))</f>
        <v/>
      </c>
      <c r="K67" s="0" t="str">
        <f aca="false">IF(OR($A67="",$D67=""),"",IF(AND(EDATE($D67,Milestones!$AA$60)&lt;=AsOfDate,IF($R67=0,$X67,IF(AND($T67&lt;&gt;"",EDATE($D67,Milestones!$AA$60)&gt;=$T67),$W67,IF(AND($S67&lt;&gt;"",EDATE($D67,Milestones!$AA$60)&gt;=$S67),$V67,$U67)))=Milestones!$AB$60),UPPER(TEXT(EDATE($D67,Milestones!$AA$60),"dd mmm yy"))&amp;" "&amp;Milestones!$AB$60&amp;" "&amp;Milestones!$AC$60&amp;";  ","")&amp;IF(AND(EDATE($D67,Milestones!$AA$61)&lt;=AsOfDate,IF($R67=0,$X67,IF(AND($T67&lt;&gt;"",EDATE($D67,Milestones!$AA$61)&gt;=$T67),$W67,IF(AND($S67&lt;&gt;"",EDATE($D67,Milestones!$AA$61)&gt;=$S67),$V67,$U67)))=Milestones!$AB$61),UPPER(TEXT(EDATE($D67,Milestones!$AA$61),"dd mmm yy"))&amp;" "&amp;Milestones!$AB$61&amp;" "&amp;Milestones!$AC$61&amp;";  ","")&amp;IF(AND(EDATE($D67,Milestones!$AA$62)&lt;=AsOfDate,IF($R67=0,$X67,IF(AND($T67&lt;&gt;"",EDATE($D67,Milestones!$AA$62)&gt;=$T67),$W67,IF(AND($S67&lt;&gt;"",EDATE($D67,Milestones!$AA$62)&gt;=$S67),$V67,$U67)))=Milestones!$AB$62),UPPER(TEXT(EDATE($D67,Milestones!$AA$62),"dd mmm yy"))&amp;" "&amp;Milestones!$AB$62&amp;" "&amp;Milestones!$AC$62&amp;";  ","")&amp;IF(AND(EDATE($D67,Milestones!$AA$63)&lt;=AsOfDate,IF($R67=0,$X67,IF(AND($T67&lt;&gt;"",EDATE($D67,Milestones!$AA$63)&gt;=$T67),$W67,IF(AND($S67&lt;&gt;"",EDATE($D67,Milestones!$AA$63)&gt;=$S67),$V67,$U67)))=Milestones!$AB$63),UPPER(TEXT(EDATE($D67,Milestones!$AA$63),"dd mmm yy"))&amp;" "&amp;Milestones!$AB$63&amp;" "&amp;Milestones!$AC$63&amp;";  ","")&amp;IF(AND(EDATE($D67,Milestones!$AA$64)&lt;=AsOfDate,IF($R67=0,$X67,IF(AND($T67&lt;&gt;"",EDATE($D67,Milestones!$AA$64)&gt;=$T67),$W67,IF(AND($S67&lt;&gt;"",EDATE($D67,Milestones!$AA$64)&gt;=$S67),$V67,$U67)))=Milestones!$AB$64),UPPER(TEXT(EDATE($D67,Milestones!$AA$64),"dd mmm yy"))&amp;" "&amp;Milestones!$AB$64&amp;" "&amp;Milestones!$AC$64&amp;";  ","")&amp;IF(AND(EDATE($D67,Milestones!$AA$65)&lt;=AsOfDate,IF($R67=0,$X67,IF(AND($T67&lt;&gt;"",EDATE($D67,Milestones!$AA$65)&gt;=$T67),$W67,IF(AND($S67&lt;&gt;"",EDATE($D67,Milestones!$AA$65)&gt;=$S67),$V67,$U67)))=Milestones!$AB$65),UPPER(TEXT(EDATE($D67,Milestones!$AA$65),"dd mmm yy"))&amp;" "&amp;Milestones!$AB$65&amp;" "&amp;Milestones!$AC$65&amp;";  ","")&amp;IF(AND(EDATE($D67,Milestones!$AA$66)&lt;=AsOfDate,IF($R67=0,$X67,IF(AND($T67&lt;&gt;"",EDATE($D67,Milestones!$AA$66)&gt;=$T67),$W67,IF(AND($S67&lt;&gt;"",EDATE($D67,Milestones!$AA$66)&gt;=$S67),$V67,$U67)))=Milestones!$AB$66),UPPER(TEXT(EDATE($D67,Milestones!$AA$66),"dd mmm yy"))&amp;" "&amp;Milestones!$AB$66&amp;" "&amp;Milestones!$AC$66&amp;";  ","")&amp;IF(AND(EDATE($D67,Milestones!$AA$67)&lt;=AsOfDate,IF($R67=0,$X67,IF(AND($T67&lt;&gt;"",EDATE($D67,Milestones!$AA$67)&gt;=$T67),$W67,IF(AND($S67&lt;&gt;"",EDATE($D67,Milestones!$AA$67)&gt;=$S67),$V67,$U67)))=Milestones!$AB$67),UPPER(TEXT(EDATE($D67,Milestones!$AA$67),"dd mmm yy"))&amp;" "&amp;Milestones!$AB$67&amp;" "&amp;Milestones!$AC$67&amp;";  ","")&amp;IF(AND(EDATE($D67,Milestones!$AA$68)&lt;=AsOfDate,IF($R67=0,$X67,IF(AND($T67&lt;&gt;"",EDATE($D67,Milestones!$AA$68)&gt;=$T67),$W67,IF(AND($S67&lt;&gt;"",EDATE($D67,Milestones!$AA$68)&gt;=$S67),$V67,$U67)))=Milestones!$AB$68),UPPER(TEXT(EDATE($D67,Milestones!$AA$68),"dd mmm yy"))&amp;" "&amp;Milestones!$AB$68&amp;" "&amp;Milestones!$AC$68&amp;";  ","")&amp;IF(AND(EDATE($D67,Milestones!$AA$69)&lt;=AsOfDate,IF($R67=0,$X67,IF(AND($T67&lt;&gt;"",EDATE($D67,Milestones!$AA$69)&gt;=$T67),$W67,IF(AND($S67&lt;&gt;"",EDATE($D67,Milestones!$AA$69)&gt;=$S67),$V67,$U67)))=Milestones!$AB$69),UPPER(TEXT(EDATE($D67,Milestones!$AA$69),"dd mmm yy"))&amp;" "&amp;Milestones!$AB$69&amp;" "&amp;Milestones!$AC$69&amp;";  ","")&amp;IF(AND(EDATE($D67,Milestones!$AA$70)&lt;=AsOfDate,IF($R67=0,$X67,IF(AND($T67&lt;&gt;"",EDATE($D67,Milestones!$AA$70)&gt;=$T67),$W67,IF(AND($S67&lt;&gt;"",EDATE($D67,Milestones!$AA$70)&gt;=$S67),$V67,$U67)))=Milestones!$AB$70),UPPER(TEXT(EDATE($D67,Milestones!$AA$70),"dd mmm yy"))&amp;" "&amp;Milestones!$AB$70&amp;" "&amp;Milestones!$AC$70&amp;";  ","")&amp;IF(AND(EDATE($D67,Milestones!$AA$71)&lt;=AsOfDate,IF($R67=0,$X67,IF(AND($T67&lt;&gt;"",EDATE($D67,Milestones!$AA$71)&gt;=$T67),$W67,IF(AND($S67&lt;&gt;"",EDATE($D67,Milestones!$AA$71)&gt;=$S67),$V67,$U67)))=Milestones!$AB$71),UPPER(TEXT(EDATE($D67,Milestones!$AA$71),"dd mmm yy"))&amp;" "&amp;Milestones!$AB$71&amp;" "&amp;Milestones!$AC$71&amp;";  ","")&amp;IF(AND(EDATE($D67,Milestones!$AA$72)&lt;=AsOfDate,IF($R67=0,$X67,IF(AND($T67&lt;&gt;"",EDATE($D67,Milestones!$AA$72)&gt;=$T67),$W67,IF(AND($S67&lt;&gt;"",EDATE($D67,Milestones!$AA$72)&gt;=$S67),$V67,$U67)))=Milestones!$AB$72),UPPER(TEXT(EDATE($D67,Milestones!$AA$72),"dd mmm yy"))&amp;" "&amp;Milestones!$AB$72&amp;" "&amp;Milestones!$AC$72&amp;";  ","")&amp;IF(AND(EDATE($D67,Milestones!$AA$73)&lt;=AsOfDate,IF($R67=0,$X67,IF(AND($T67&lt;&gt;"",EDATE($D67,Milestones!$AA$73)&gt;=$T67),$W67,IF(AND($S67&lt;&gt;"",EDATE($D67,Milestones!$AA$73)&gt;=$S67),$V67,$U67)))=Milestones!$AB$73),UPPER(TEXT(EDATE($D67,Milestones!$AA$73),"dd mmm yy"))&amp;" "&amp;Milestones!$AB$73&amp;" "&amp;Milestones!$AC$73&amp;";  ","")&amp;IF(AND(EDATE($D67,Milestones!$AA$74)&lt;=AsOfDate,IF($R67=0,$X67,IF(AND($T67&lt;&gt;"",EDATE($D67,Milestones!$AA$74)&gt;=$T67),$W67,IF(AND($S67&lt;&gt;"",EDATE($D67,Milestones!$AA$74)&gt;=$S67),$V67,$U67)))=Milestones!$AB$74),UPPER(TEXT(EDATE($D67,Milestones!$AA$74),"dd mmm yy"))&amp;" "&amp;Milestones!$AB$74&amp;" "&amp;Milestones!$AC$74&amp;";  ","")&amp;IF(AND(EDATE($D67,Milestones!$AA$75)&lt;=AsOfDate,IF($R67=0,$X67,IF(AND($T67&lt;&gt;"",EDATE($D67,Milestones!$AA$75)&gt;=$T67),$W67,IF(AND($S67&lt;&gt;"",EDATE($D67,Milestones!$AA$75)&gt;=$S67),$V67,$U67)))=Milestones!$AB$75),UPPER(TEXT(EDATE($D67,Milestones!$AA$75),"dd mmm yy"))&amp;" "&amp;Milestones!$AB$75&amp;" "&amp;Milestones!$AC$75&amp;";  ","")&amp;IF(AND(EDATE($D67,Milestones!$AA$76)&lt;=AsOfDate,IF($R67=0,$X67,IF(AND($T67&lt;&gt;"",EDATE($D67,Milestones!$AA$76)&gt;=$T67),$W67,IF(AND($S67&lt;&gt;"",EDATE($D67,Milestones!$AA$76)&gt;=$S67),$V67,$U67)))=Milestones!$AB$76),UPPER(TEXT(EDATE($D67,Milestones!$AA$76),"dd mmm yy"))&amp;" "&amp;Milestones!$AB$76&amp;" "&amp;Milestones!$AC$76&amp;";  ","")&amp;IF(AND(EDATE($D67,Milestones!$AA$77)&lt;=AsOfDate,IF($R67=0,$X67,IF(AND($T67&lt;&gt;"",EDATE($D67,Milestones!$AA$77)&gt;=$T67),$W67,IF(AND($S67&lt;&gt;"",EDATE($D67,Milestones!$AA$77)&gt;=$S67),$V67,$U67)))=Milestones!$AB$77),UPPER(TEXT(EDATE($D67,Milestones!$AA$77),"dd mmm yy"))&amp;" "&amp;Milestones!$AB$77&amp;" "&amp;Milestones!$AC$77&amp;";  ","")&amp;IF(AND(EDATE($D67,Milestones!$AA$78)&lt;=AsOfDate,IF($R67=0,$X67,IF(AND($T67&lt;&gt;"",EDATE($D67,Milestones!$AA$78)&gt;=$T67),$W67,IF(AND($S67&lt;&gt;"",EDATE($D67,Milestones!$AA$78)&gt;=$S67),$V67,$U67)))=Milestones!$AB$78),UPPER(TEXT(EDATE($D67,Milestones!$AA$78),"dd mmm yy"))&amp;" "&amp;Milestones!$AB$78&amp;" "&amp;Milestones!$AC$78&amp;";  ","")&amp;IF(AND(EDATE($D67,Milestones!$AA$79)&lt;=AsOfDate,IF($R67=0,$X67,IF(AND($T67&lt;&gt;"",EDATE($D67,Milestones!$AA$79)&gt;=$T67),$W67,IF(AND($S67&lt;&gt;"",EDATE($D67,Milestones!$AA$79)&gt;=$S67),$V67,$U67)))=Milestones!$AB$79),UPPER(TEXT(EDATE($D67,Milestones!$AA$79),"dd mmm yy"))&amp;" "&amp;Milestones!$AB$79&amp;" "&amp;Milestones!$AC$79&amp;";  ",""))</f>
        <v/>
      </c>
      <c r="L67" s="0" t="str">
        <f aca="false">IF(OR($A67="",$D67=""),"",IF(AND(EDATE($D67,Milestones!$AA$80)&lt;=AsOfDate,IF($R67=0,$X67,IF(AND($T67&lt;&gt;"",EDATE($D67,Milestones!$AA$80)&gt;=$T67),$W67,IF(AND($S67&lt;&gt;"",EDATE($D67,Milestones!$AA$80)&gt;=$S67),$V67,$U67)))=Milestones!$AB$80),UPPER(TEXT(EDATE($D67,Milestones!$AA$80),"dd mmm yy"))&amp;" "&amp;Milestones!$AB$80&amp;" "&amp;Milestones!$AC$80&amp;";  ","")&amp;IF(AND(EDATE($D67,Milestones!$AA$81)&lt;=AsOfDate,IF($R67=0,$X67,IF(AND($T67&lt;&gt;"",EDATE($D67,Milestones!$AA$81)&gt;=$T67),$W67,IF(AND($S67&lt;&gt;"",EDATE($D67,Milestones!$AA$81)&gt;=$S67),$V67,$U67)))=Milestones!$AB$81),UPPER(TEXT(EDATE($D67,Milestones!$AA$81),"dd mmm yy"))&amp;" "&amp;Milestones!$AB$81&amp;" "&amp;Milestones!$AC$81&amp;";  ","")&amp;IF(AND(EDATE($D67,Milestones!$AA$82)&lt;=AsOfDate,IF($R67=0,$X67,IF(AND($T67&lt;&gt;"",EDATE($D67,Milestones!$AA$82)&gt;=$T67),$W67,IF(AND($S67&lt;&gt;"",EDATE($D67,Milestones!$AA$82)&gt;=$S67),$V67,$U67)))=Milestones!$AB$82),UPPER(TEXT(EDATE($D67,Milestones!$AA$82),"dd mmm yy"))&amp;" "&amp;Milestones!$AB$82&amp;" "&amp;Milestones!$AC$82&amp;";  ","")&amp;IF(AND(EDATE($D67,Milestones!$AA$83)&lt;=AsOfDate,IF($R67=0,$X67,IF(AND($T67&lt;&gt;"",EDATE($D67,Milestones!$AA$83)&gt;=$T67),$W67,IF(AND($S67&lt;&gt;"",EDATE($D67,Milestones!$AA$83)&gt;=$S67),$V67,$U67)))=Milestones!$AB$83),UPPER(TEXT(EDATE($D67,Milestones!$AA$83),"dd mmm yy"))&amp;" "&amp;Milestones!$AB$83&amp;" "&amp;Milestones!$AC$83&amp;";  ","")&amp;IF(AND(EDATE($D67,Milestones!$AA$84)&lt;=AsOfDate,IF($R67=0,$X67,IF(AND($T67&lt;&gt;"",EDATE($D67,Milestones!$AA$84)&gt;=$T67),$W67,IF(AND($S67&lt;&gt;"",EDATE($D67,Milestones!$AA$84)&gt;=$S67),$V67,$U67)))=Milestones!$AB$84),UPPER(TEXT(EDATE($D67,Milestones!$AA$84),"dd mmm yy"))&amp;" "&amp;Milestones!$AB$84&amp;" "&amp;Milestones!$AC$84&amp;";  ","")&amp;IF(AND(EDATE($D67,Milestones!$AA$85)&lt;=AsOfDate,IF($R67=0,$X67,IF(AND($T67&lt;&gt;"",EDATE($D67,Milestones!$AA$85)&gt;=$T67),$W67,IF(AND($S67&lt;&gt;"",EDATE($D67,Milestones!$AA$85)&gt;=$S67),$V67,$U67)))=Milestones!$AB$85),UPPER(TEXT(EDATE($D67,Milestones!$AA$85),"dd mmm yy"))&amp;" "&amp;Milestones!$AB$85&amp;" "&amp;Milestones!$AC$85&amp;";  ","")&amp;IF(AND(EDATE($D67,Milestones!$AA$86)&lt;=AsOfDate,IF($R67=0,$X67,IF(AND($T67&lt;&gt;"",EDATE($D67,Milestones!$AA$86)&gt;=$T67),$W67,IF(AND($S67&lt;&gt;"",EDATE($D67,Milestones!$AA$86)&gt;=$S67),$V67,$U67)))=Milestones!$AB$86),UPPER(TEXT(EDATE($D67,Milestones!$AA$86),"dd mmm yy"))&amp;" "&amp;Milestones!$AB$86&amp;" "&amp;Milestones!$AC$86&amp;";  ","")&amp;IF(AND(EDATE($D67,Milestones!$AA$87)&lt;=AsOfDate,IF($R67=0,$X67,IF(AND($T67&lt;&gt;"",EDATE($D67,Milestones!$AA$87)&gt;=$T67),$W67,IF(AND($S67&lt;&gt;"",EDATE($D67,Milestones!$AA$87)&gt;=$S67),$V67,$U67)))=Milestones!$AB$87),UPPER(TEXT(EDATE($D67,Milestones!$AA$87),"dd mmm yy"))&amp;" "&amp;Milestones!$AB$87&amp;" "&amp;Milestones!$AC$87&amp;";  ","")&amp;IF(AND(EDATE($D67,Milestones!$AA$88)&lt;=AsOfDate,IF($R67=0,$X67,IF(AND($T67&lt;&gt;"",EDATE($D67,Milestones!$AA$88)&gt;=$T67),$W67,IF(AND($S67&lt;&gt;"",EDATE($D67,Milestones!$AA$88)&gt;=$S67),$V67,$U67)))=Milestones!$AB$88),UPPER(TEXT(EDATE($D67,Milestones!$AA$88),"dd mmm yy"))&amp;" "&amp;Milestones!$AB$88&amp;" "&amp;Milestones!$AC$88&amp;";  ","")&amp;IF(AND(EDATE($D67,Milestones!$AA$89)&lt;=AsOfDate,IF($R67=0,$X67,IF(AND($T67&lt;&gt;"",EDATE($D67,Milestones!$AA$89)&gt;=$T67),$W67,IF(AND($S67&lt;&gt;"",EDATE($D67,Milestones!$AA$89)&gt;=$S67),$V67,$U67)))=Milestones!$AB$89),UPPER(TEXT(EDATE($D67,Milestones!$AA$89),"dd mmm yy"))&amp;" "&amp;Milestones!$AB$89&amp;" "&amp;Milestones!$AC$89&amp;";  ","")&amp;IF(AND(EDATE($D67,Milestones!$AA$90)&lt;=AsOfDate,IF($R67=0,$X67,IF(AND($T67&lt;&gt;"",EDATE($D67,Milestones!$AA$90)&gt;=$T67),$W67,IF(AND($S67&lt;&gt;"",EDATE($D67,Milestones!$AA$90)&gt;=$S67),$V67,$U67)))=Milestones!$AB$90),UPPER(TEXT(EDATE($D67,Milestones!$AA$90),"dd mmm yy"))&amp;" "&amp;Milestones!$AB$90&amp;" "&amp;Milestones!$AC$90&amp;";  ","")&amp;IF(AND(EDATE($D67,Milestones!$AA$91)&lt;=AsOfDate,IF($R67=0,$X67,IF(AND($T67&lt;&gt;"",EDATE($D67,Milestones!$AA$91)&gt;=$T67),$W67,IF(AND($S67&lt;&gt;"",EDATE($D67,Milestones!$AA$91)&gt;=$S67),$V67,$U67)))=Milestones!$AB$91),UPPER(TEXT(EDATE($D67,Milestones!$AA$91),"dd mmm yy"))&amp;" "&amp;Milestones!$AB$91&amp;" "&amp;Milestones!$AC$91&amp;";  ","")&amp;IF(AND(EDATE($D67,Milestones!$AA$92)&lt;=AsOfDate,IF($R67=0,$X67,IF(AND($T67&lt;&gt;"",EDATE($D67,Milestones!$AA$92)&gt;=$T67),$W67,IF(AND($S67&lt;&gt;"",EDATE($D67,Milestones!$AA$92)&gt;=$S67),$V67,$U67)))=Milestones!$AB$92),UPPER(TEXT(EDATE($D67,Milestones!$AA$92),"dd mmm yy"))&amp;" "&amp;Milestones!$AB$92&amp;" "&amp;Milestones!$AC$92&amp;";  ","")&amp;IF(AND(EDATE($D67,Milestones!$AA$93)&lt;=AsOfDate,IF($R67=0,$X67,IF(AND($T67&lt;&gt;"",EDATE($D67,Milestones!$AA$93)&gt;=$T67),$W67,IF(AND($S67&lt;&gt;"",EDATE($D67,Milestones!$AA$93)&gt;=$S67),$V67,$U67)))=Milestones!$AB$93),UPPER(TEXT(EDATE($D67,Milestones!$AA$93),"dd mmm yy"))&amp;" "&amp;Milestones!$AB$93&amp;" "&amp;Milestones!$AC$93&amp;";  ","")&amp;IF(AND(EDATE($D67,Milestones!$AA$94)&lt;=AsOfDate,IF($R67=0,$X67,IF(AND($T67&lt;&gt;"",EDATE($D67,Milestones!$AA$94)&gt;=$T67),$W67,IF(AND($S67&lt;&gt;"",EDATE($D67,Milestones!$AA$94)&gt;=$S67),$V67,$U67)))=Milestones!$AB$94),UPPER(TEXT(EDATE($D67,Milestones!$AA$94),"dd mmm yy"))&amp;" "&amp;Milestones!$AB$94&amp;" "&amp;Milestones!$AC$94&amp;";  ","")&amp;IF(AND(EDATE($D67,Milestones!$AA$95)&lt;=AsOfDate,IF($R67=0,$X67,IF(AND($T67&lt;&gt;"",EDATE($D67,Milestones!$AA$95)&gt;=$T67),$W67,IF(AND($S67&lt;&gt;"",EDATE($D67,Milestones!$AA$95)&gt;=$S67),$V67,$U67)))=Milestones!$AB$95),UPPER(TEXT(EDATE($D67,Milestones!$AA$95),"dd mmm yy"))&amp;" "&amp;Milestones!$AB$95&amp;" "&amp;Milestones!$AC$95&amp;";  ","")&amp;IF(AND(EDATE($D67,Milestones!$AA$96)&lt;=AsOfDate,IF($R67=0,$X67,IF(AND($T67&lt;&gt;"",EDATE($D67,Milestones!$AA$96)&gt;=$T67),$W67,IF(AND($S67&lt;&gt;"",EDATE($D67,Milestones!$AA$96)&gt;=$S67),$V67,$U67)))=Milestones!$AB$96),UPPER(TEXT(EDATE($D67,Milestones!$AA$96),"dd mmm yy"))&amp;" "&amp;Milestones!$AB$96&amp;" "&amp;Milestones!$AC$96&amp;";  ","")&amp;IF(AND(EDATE($D67,Milestones!$AA$97)&lt;=AsOfDate,IF($R67=0,$X67,IF(AND($T67&lt;&gt;"",EDATE($D67,Milestones!$AA$97)&gt;=$T67),$W67,IF(AND($S67&lt;&gt;"",EDATE($D67,Milestones!$AA$97)&gt;=$S67),$V67,$U67)))=Milestones!$AB$97),UPPER(TEXT(EDATE($D67,Milestones!$AA$97),"dd mmm yy"))&amp;" "&amp;Milestones!$AB$97&amp;" "&amp;Milestones!$AC$97&amp;";  ","")&amp;IF(AND(EDATE($D67,Milestones!$AA$98)&lt;=AsOfDate,IF($R67=0,$X67,IF(AND($T67&lt;&gt;"",EDATE($D67,Milestones!$AA$98)&gt;=$T67),$W67,IF(AND($S67&lt;&gt;"",EDATE($D67,Milestones!$AA$98)&gt;=$S67),$V67,$U67)))=Milestones!$AB$98),UPPER(TEXT(EDATE($D67,Milestones!$AA$98),"dd mmm yy"))&amp;" "&amp;Milestones!$AB$98&amp;" "&amp;Milestones!$AC$98&amp;";  ","")&amp;IF(AND(EDATE($D67,Milestones!$AA$99)&lt;=AsOfDate,IF($R67=0,$X67,IF(AND($T67&lt;&gt;"",EDATE($D67,Milestones!$AA$99)&gt;=$T67),$W67,IF(AND($S67&lt;&gt;"",EDATE($D67,Milestones!$AA$99)&gt;=$S67),$V67,$U67)))=Milestones!$AB$99),UPPER(TEXT(EDATE($D67,Milestones!$AA$99),"dd mmm yy"))&amp;" "&amp;Milestones!$AB$99&amp;" "&amp;Milestones!$AC$99&amp;";  ",""))</f>
        <v/>
      </c>
      <c r="M67" s="0" t="str">
        <f aca="false">IF(OR($A67="",$D67=""),"",IF(AND(EDATE($D67,Milestones!$AA$100)&lt;=AsOfDate,IF($R67=0,$X67,IF(AND($T67&lt;&gt;"",EDATE($D67,Milestones!$AA$100)&gt;=$T67),$W67,IF(AND($S67&lt;&gt;"",EDATE($D67,Milestones!$AA$100)&gt;=$S67),$V67,$U67)))=Milestones!$AB$100),UPPER(TEXT(EDATE($D67,Milestones!$AA$100),"dd mmm yy"))&amp;" "&amp;Milestones!$AB$100&amp;" "&amp;Milestones!$AC$100&amp;";  ","")&amp;IF(AND(EDATE($D67,Milestones!$AA$101)&lt;=AsOfDate,IF($R67=0,$X67,IF(AND($T67&lt;&gt;"",EDATE($D67,Milestones!$AA$101)&gt;=$T67),$W67,IF(AND($S67&lt;&gt;"",EDATE($D67,Milestones!$AA$101)&gt;=$S67),$V67,$U67)))=Milestones!$AB$101),UPPER(TEXT(EDATE($D67,Milestones!$AA$101),"dd mmm yy"))&amp;" "&amp;Milestones!$AB$101&amp;" "&amp;Milestones!$AC$101&amp;";  ","")&amp;IF(AND(EDATE($D67,Milestones!$AA$102)&lt;=AsOfDate,IF($R67=0,$X67,IF(AND($T67&lt;&gt;"",EDATE($D67,Milestones!$AA$102)&gt;=$T67),$W67,IF(AND($S67&lt;&gt;"",EDATE($D67,Milestones!$AA$102)&gt;=$S67),$V67,$U67)))=Milestones!$AB$102),UPPER(TEXT(EDATE($D67,Milestones!$AA$102),"dd mmm yy"))&amp;" "&amp;Milestones!$AB$102&amp;" "&amp;Milestones!$AC$102&amp;";  ","")&amp;IF(AND(EDATE($D67,Milestones!$AA$103)&lt;=AsOfDate,IF($R67=0,$X67,IF(AND($T67&lt;&gt;"",EDATE($D67,Milestones!$AA$103)&gt;=$T67),$W67,IF(AND($S67&lt;&gt;"",EDATE($D67,Milestones!$AA$103)&gt;=$S67),$V67,$U67)))=Milestones!$AB$103),UPPER(TEXT(EDATE($D67,Milestones!$AA$103),"dd mmm yy"))&amp;" "&amp;Milestones!$AB$103&amp;" "&amp;Milestones!$AC$103&amp;";  ","")&amp;IF(AND(EDATE($D67,Milestones!$AA$104)&lt;=AsOfDate,IF($R67=0,$X67,IF(AND($T67&lt;&gt;"",EDATE($D67,Milestones!$AA$104)&gt;=$T67),$W67,IF(AND($S67&lt;&gt;"",EDATE($D67,Milestones!$AA$104)&gt;=$S67),$V67,$U67)))=Milestones!$AB$104),UPPER(TEXT(EDATE($D67,Milestones!$AA$104),"dd mmm yy"))&amp;" "&amp;Milestones!$AB$104&amp;" "&amp;Milestones!$AC$104&amp;";  ","")&amp;IF(AND(EDATE($D67,Milestones!$AA$105)&lt;=AsOfDate,IF($R67=0,$X67,IF(AND($T67&lt;&gt;"",EDATE($D67,Milestones!$AA$105)&gt;=$T67),$W67,IF(AND($S67&lt;&gt;"",EDATE($D67,Milestones!$AA$105)&gt;=$S67),$V67,$U67)))=Milestones!$AB$105),UPPER(TEXT(EDATE($D67,Milestones!$AA$105),"dd mmm yy"))&amp;" "&amp;Milestones!$AB$105&amp;" "&amp;Milestones!$AC$105&amp;";  ","")&amp;IF(AND(EDATE($D67,Milestones!$AA$106)&lt;=AsOfDate,IF($R67=0,$X67,IF(AND($T67&lt;&gt;"",EDATE($D67,Milestones!$AA$106)&gt;=$T67),$W67,IF(AND($S67&lt;&gt;"",EDATE($D67,Milestones!$AA$106)&gt;=$S67),$V67,$U67)))=Milestones!$AB$106),UPPER(TEXT(EDATE($D67,Milestones!$AA$106),"dd mmm yy"))&amp;" "&amp;Milestones!$AB$106&amp;" "&amp;Milestones!$AC$106&amp;";  ","")&amp;IF(AND(EDATE($D67,Milestones!$AA$107)&lt;=AsOfDate,IF($R67=0,$X67,IF(AND($T67&lt;&gt;"",EDATE($D67,Milestones!$AA$107)&gt;=$T67),$W67,IF(AND($S67&lt;&gt;"",EDATE($D67,Milestones!$AA$107)&gt;=$S67),$V67,$U67)))=Milestones!$AB$107),UPPER(TEXT(EDATE($D67,Milestones!$AA$107),"dd mmm yy"))&amp;" "&amp;Milestones!$AB$107&amp;" "&amp;Milestones!$AC$107&amp;";  ","")&amp;IF(AND(EDATE($D67,Milestones!$AA$108)&lt;=AsOfDate,IF($R67=0,$X67,IF(AND($T67&lt;&gt;"",EDATE($D67,Milestones!$AA$108)&gt;=$T67),$W67,IF(AND($S67&lt;&gt;"",EDATE($D67,Milestones!$AA$108)&gt;=$S67),$V67,$U67)))=Milestones!$AB$108),UPPER(TEXT(EDATE($D67,Milestones!$AA$108),"dd mmm yy"))&amp;" "&amp;Milestones!$AB$108&amp;" "&amp;Milestones!$AC$108&amp;";  ","")&amp;IF(AND(EDATE($D67,Milestones!$AA$109)&lt;=AsOfDate,IF($R67=0,$X67,IF(AND($T67&lt;&gt;"",EDATE($D67,Milestones!$AA$109)&gt;=$T67),$W67,IF(AND($S67&lt;&gt;"",EDATE($D67,Milestones!$AA$109)&gt;=$S67),$V67,$U67)))=Milestones!$AB$109),UPPER(TEXT(EDATE($D67,Milestones!$AA$109),"dd mmm yy"))&amp;" "&amp;Milestones!$AB$109&amp;" "&amp;Milestones!$AC$109&amp;";  ","")&amp;IF(AND(EDATE($D67,Milestones!$AA$110)&lt;=AsOfDate,IF($R67=0,$X67,IF(AND($T67&lt;&gt;"",EDATE($D67,Milestones!$AA$110)&gt;=$T67),$W67,IF(AND($S67&lt;&gt;"",EDATE($D67,Milestones!$AA$110)&gt;=$S67),$V67,$U67)))=Milestones!$AB$110),UPPER(TEXT(EDATE($D67,Milestones!$AA$110),"dd mmm yy"))&amp;" "&amp;Milestones!$AB$110&amp;" "&amp;Milestones!$AC$110&amp;";  ","")&amp;IF(AND(EDATE($D67,Milestones!$AA$111)&lt;=AsOfDate,IF($R67=0,$X67,IF(AND($T67&lt;&gt;"",EDATE($D67,Milestones!$AA$111)&gt;=$T67),$W67,IF(AND($S67&lt;&gt;"",EDATE($D67,Milestones!$AA$111)&gt;=$S67),$V67,$U67)))=Milestones!$AB$111),UPPER(TEXT(EDATE($D67,Milestones!$AA$111),"dd mmm yy"))&amp;" "&amp;Milestones!$AB$111&amp;" "&amp;Milestones!$AC$111&amp;";  ","")&amp;IF(AND(EDATE($D67,Milestones!$AA$112)&lt;=AsOfDate,IF($R67=0,$X67,IF(AND($T67&lt;&gt;"",EDATE($D67,Milestones!$AA$112)&gt;=$T67),$W67,IF(AND($S67&lt;&gt;"",EDATE($D67,Milestones!$AA$112)&gt;=$S67),$V67,$U67)))=Milestones!$AB$112),UPPER(TEXT(EDATE($D67,Milestones!$AA$112),"dd mmm yy"))&amp;" "&amp;Milestones!$AB$112&amp;" "&amp;Milestones!$AC$112&amp;";  ","")&amp;IF(AND(EDATE($D67,Milestones!$AA$113)&lt;=AsOfDate,IF($R67=0,$X67,IF(AND($T67&lt;&gt;"",EDATE($D67,Milestones!$AA$113)&gt;=$T67),$W67,IF(AND($S67&lt;&gt;"",EDATE($D67,Milestones!$AA$113)&gt;=$S67),$V67,$U67)))=Milestones!$AB$113),UPPER(TEXT(EDATE($D67,Milestones!$AA$113),"dd mmm yy"))&amp;" "&amp;Milestones!$AB$113&amp;" "&amp;Milestones!$AC$113&amp;";  ","")&amp;IF(AND(EDATE($D67,Milestones!$AA$114)&lt;=AsOfDate,IF($R67=0,$X67,IF(AND($T67&lt;&gt;"",EDATE($D67,Milestones!$AA$114)&gt;=$T67),$W67,IF(AND($S67&lt;&gt;"",EDATE($D67,Milestones!$AA$114)&gt;=$S67),$V67,$U67)))=Milestones!$AB$114),UPPER(TEXT(EDATE($D67,Milestones!$AA$114),"dd mmm yy"))&amp;" "&amp;Milestones!$AB$114&amp;" "&amp;Milestones!$AC$114&amp;";  ","")&amp;IF(AND(EDATE($D67,Milestones!$AA$115)&lt;=AsOfDate,IF($R67=0,$X67,IF(AND($T67&lt;&gt;"",EDATE($D67,Milestones!$AA$115)&gt;=$T67),$W67,IF(AND($S67&lt;&gt;"",EDATE($D67,Milestones!$AA$115)&gt;=$S67),$V67,$U67)))=Milestones!$AB$115),UPPER(TEXT(EDATE($D67,Milestones!$AA$115),"dd mmm yy"))&amp;" "&amp;Milestones!$AB$115&amp;" "&amp;Milestones!$AC$115&amp;";  ","")&amp;IF(AND(EDATE($D67,Milestones!$AA$116)&lt;=AsOfDate,IF($R67=0,$X67,IF(AND($T67&lt;&gt;"",EDATE($D67,Milestones!$AA$116)&gt;=$T67),$W67,IF(AND($S67&lt;&gt;"",EDATE($D67,Milestones!$AA$116)&gt;=$S67),$V67,$U67)))=Milestones!$AB$116),UPPER(TEXT(EDATE($D67,Milestones!$AA$116),"dd mmm yy"))&amp;" "&amp;Milestones!$AB$116&amp;" "&amp;Milestones!$AC$116&amp;";  ","")&amp;IF(AND(EDATE($D67,Milestones!$AA$117)&lt;=AsOfDate,IF($R67=0,$X67,IF(AND($T67&lt;&gt;"",EDATE($D67,Milestones!$AA$117)&gt;=$T67),$W67,IF(AND($S67&lt;&gt;"",EDATE($D67,Milestones!$AA$117)&gt;=$S67),$V67,$U67)))=Milestones!$AB$117),UPPER(TEXT(EDATE($D67,Milestones!$AA$117),"dd mmm yy"))&amp;" "&amp;Milestones!$AB$117&amp;" "&amp;Milestones!$AC$117&amp;";  ","")&amp;IF(AND(EDATE($D67,Milestones!$AA$118)&lt;=AsOfDate,IF($R67=0,$X67,IF(AND($T67&lt;&gt;"",EDATE($D67,Milestones!$AA$118)&gt;=$T67),$W67,IF(AND($S67&lt;&gt;"",EDATE($D67,Milestones!$AA$118)&gt;=$S67),$V67,$U67)))=Milestones!$AB$118),UPPER(TEXT(EDATE($D67,Milestones!$AA$118),"dd mmm yy"))&amp;" "&amp;Milestones!$AB$118&amp;" "&amp;Milestones!$AC$118&amp;";  ","")&amp;IF(AND(EDATE($D67,Milestones!$AA$119)&lt;=AsOfDate,IF($R67=0,$X67,IF(AND($T67&lt;&gt;"",EDATE($D67,Milestones!$AA$119)&gt;=$T67),$W67,IF(AND($S67&lt;&gt;"",EDATE($D67,Milestones!$AA$119)&gt;=$S67),$V67,$U67)))=Milestones!$AB$119),UPPER(TEXT(EDATE($D67,Milestones!$AA$119),"dd mmm yy"))&amp;" "&amp;Milestones!$AB$119&amp;" "&amp;Milestones!$AC$119&amp;";  ",""))</f>
        <v/>
      </c>
      <c r="N67" s="0" t="str">
        <f aca="false">IF(OR($A67="",$D67=""),"",IF(AND(EDATE($D67,Milestones!$AA$120)&lt;=AsOfDate,IF($R67=0,$X67,IF(AND($T67&lt;&gt;"",EDATE($D67,Milestones!$AA$120)&gt;=$T67),$W67,IF(AND($S67&lt;&gt;"",EDATE($D67,Milestones!$AA$120)&gt;=$S67),$V67,$U67)))=Milestones!$AB$120),UPPER(TEXT(EDATE($D67,Milestones!$AA$120),"dd mmm yy"))&amp;" "&amp;Milestones!$AB$120&amp;" "&amp;Milestones!$AC$120&amp;";  ","")&amp;IF(AND(EDATE($D67,Milestones!$AA$121)&lt;=AsOfDate,IF($R67=0,$X67,IF(AND($T67&lt;&gt;"",EDATE($D67,Milestones!$AA$121)&gt;=$T67),$W67,IF(AND($S67&lt;&gt;"",EDATE($D67,Milestones!$AA$121)&gt;=$S67),$V67,$U67)))=Milestones!$AB$121),UPPER(TEXT(EDATE($D67,Milestones!$AA$121),"dd mmm yy"))&amp;" "&amp;Milestones!$AB$121&amp;" "&amp;Milestones!$AC$121&amp;";  ","")&amp;IF(AND(EDATE($D67,Milestones!$AA$122)&lt;=AsOfDate,IF($R67=0,$X67,IF(AND($T67&lt;&gt;"",EDATE($D67,Milestones!$AA$122)&gt;=$T67),$W67,IF(AND($S67&lt;&gt;"",EDATE($D67,Milestones!$AA$122)&gt;=$S67),$V67,$U67)))=Milestones!$AB$122),UPPER(TEXT(EDATE($D67,Milestones!$AA$122),"dd mmm yy"))&amp;" "&amp;Milestones!$AB$122&amp;" "&amp;Milestones!$AC$122&amp;";  ","")&amp;IF(AND(EDATE($D67,Milestones!$AA$123)&lt;=AsOfDate,IF($R67=0,$X67,IF(AND($T67&lt;&gt;"",EDATE($D67,Milestones!$AA$123)&gt;=$T67),$W67,IF(AND($S67&lt;&gt;"",EDATE($D67,Milestones!$AA$123)&gt;=$S67),$V67,$U67)))=Milestones!$AB$123),UPPER(TEXT(EDATE($D67,Milestones!$AA$123),"dd mmm yy"))&amp;" "&amp;Milestones!$AB$123&amp;" "&amp;Milestones!$AC$123&amp;";  ","")&amp;IF(AND(EDATE($D67,Milestones!$AA$124)&lt;=AsOfDate,IF($R67=0,$X67,IF(AND($T67&lt;&gt;"",EDATE($D67,Milestones!$AA$124)&gt;=$T67),$W67,IF(AND($S67&lt;&gt;"",EDATE($D67,Milestones!$AA$124)&gt;=$S67),$V67,$U67)))=Milestones!$AB$124),UPPER(TEXT(EDATE($D67,Milestones!$AA$124),"dd mmm yy"))&amp;" "&amp;Milestones!$AB$124&amp;" "&amp;Milestones!$AC$124&amp;";  ","")&amp;IF(AND(EDATE($D67,Milestones!$AA$125)&lt;=AsOfDate,IF($R67=0,$X67,IF(AND($T67&lt;&gt;"",EDATE($D67,Milestones!$AA$125)&gt;=$T67),$W67,IF(AND($S67&lt;&gt;"",EDATE($D67,Milestones!$AA$125)&gt;=$S67),$V67,$U67)))=Milestones!$AB$125),UPPER(TEXT(EDATE($D67,Milestones!$AA$125),"dd mmm yy"))&amp;" "&amp;Milestones!$AB$125&amp;" "&amp;Milestones!$AC$125&amp;";  ","")&amp;IF(AND(EDATE($D67,Milestones!$AA$126)&lt;=AsOfDate,IF($R67=0,$X67,IF(AND($T67&lt;&gt;"",EDATE($D67,Milestones!$AA$126)&gt;=$T67),$W67,IF(AND($S67&lt;&gt;"",EDATE($D67,Milestones!$AA$126)&gt;=$S67),$V67,$U67)))=Milestones!$AB$126),UPPER(TEXT(EDATE($D67,Milestones!$AA$126),"dd mmm yy"))&amp;" "&amp;Milestones!$AB$126&amp;" "&amp;Milestones!$AC$126&amp;";  ","")&amp;IF(AND(EDATE($D67,Milestones!$AA$127)&lt;=AsOfDate,IF($R67=0,$X67,IF(AND($T67&lt;&gt;"",EDATE($D67,Milestones!$AA$127)&gt;=$T67),$W67,IF(AND($S67&lt;&gt;"",EDATE($D67,Milestones!$AA$127)&gt;=$S67),$V67,$U67)))=Milestones!$AB$127),UPPER(TEXT(EDATE($D67,Milestones!$AA$127),"dd mmm yy"))&amp;" "&amp;Milestones!$AB$127&amp;" "&amp;Milestones!$AC$127&amp;";  ","")&amp;IF(AND(EDATE($D67,Milestones!$AA$128)&lt;=AsOfDate,IF($R67=0,$X67,IF(AND($T67&lt;&gt;"",EDATE($D67,Milestones!$AA$128)&gt;=$T67),$W67,IF(AND($S67&lt;&gt;"",EDATE($D67,Milestones!$AA$128)&gt;=$S67),$V67,$U67)))=Milestones!$AB$128),UPPER(TEXT(EDATE($D67,Milestones!$AA$128),"dd mmm yy"))&amp;" "&amp;Milestones!$AB$128&amp;" "&amp;Milestones!$AC$128&amp;";  ","")&amp;IF(AND(EDATE($D67,Milestones!$AA$129)&lt;=AsOfDate,IF($R67=0,$X67,IF(AND($T67&lt;&gt;"",EDATE($D67,Milestones!$AA$129)&gt;=$T67),$W67,IF(AND($S67&lt;&gt;"",EDATE($D67,Milestones!$AA$129)&gt;=$S67),$V67,$U67)))=Milestones!$AB$129),UPPER(TEXT(EDATE($D67,Milestones!$AA$129),"dd mmm yy"))&amp;" "&amp;Milestones!$AB$129&amp;" "&amp;Milestones!$AC$129&amp;";  ","")&amp;IF(AND(EDATE($D67,Milestones!$AA$130)&lt;=AsOfDate,IF($R67=0,$X67,IF(AND($T67&lt;&gt;"",EDATE($D67,Milestones!$AA$130)&gt;=$T67),$W67,IF(AND($S67&lt;&gt;"",EDATE($D67,Milestones!$AA$130)&gt;=$S67),$V67,$U67)))=Milestones!$AB$130),UPPER(TEXT(EDATE($D67,Milestones!$AA$130),"dd mmm yy"))&amp;" "&amp;Milestones!$AB$130&amp;" "&amp;Milestones!$AC$130&amp;";  ","")&amp;IF(AND(EDATE($D67,Milestones!$AA$131)&lt;=AsOfDate,IF($R67=0,$X67,IF(AND($T67&lt;&gt;"",EDATE($D67,Milestones!$AA$131)&gt;=$T67),$W67,IF(AND($S67&lt;&gt;"",EDATE($D67,Milestones!$AA$131)&gt;=$S67),$V67,$U67)))=Milestones!$AB$131),UPPER(TEXT(EDATE($D67,Milestones!$AA$131),"dd mmm yy"))&amp;" "&amp;Milestones!$AB$131&amp;" "&amp;Milestones!$AC$131&amp;";  ","")&amp;IF(AND(EDATE($D67,Milestones!$AA$132)&lt;=AsOfDate,IF($R67=0,$X67,IF(AND($T67&lt;&gt;"",EDATE($D67,Milestones!$AA$132)&gt;=$T67),$W67,IF(AND($S67&lt;&gt;"",EDATE($D67,Milestones!$AA$132)&gt;=$S67),$V67,$U67)))=Milestones!$AB$132),UPPER(TEXT(EDATE($D67,Milestones!$AA$132),"dd mmm yy"))&amp;" "&amp;Milestones!$AB$132&amp;" "&amp;Milestones!$AC$132&amp;";  ","")&amp;IF(AND(EDATE($D67,Milestones!$AA$133)&lt;=AsOfDate,IF($R67=0,$X67,IF(AND($T67&lt;&gt;"",EDATE($D67,Milestones!$AA$133)&gt;=$T67),$W67,IF(AND($S67&lt;&gt;"",EDATE($D67,Milestones!$AA$133)&gt;=$S67),$V67,$U67)))=Milestones!$AB$133),UPPER(TEXT(EDATE($D67,Milestones!$AA$133),"dd mmm yy"))&amp;" "&amp;Milestones!$AB$133&amp;" "&amp;Milestones!$AC$133&amp;";  ","")&amp;IF(AND(EDATE($D67,Milestones!$AA$134)&lt;=AsOfDate,IF($R67=0,$X67,IF(AND($T67&lt;&gt;"",EDATE($D67,Milestones!$AA$134)&gt;=$T67),$W67,IF(AND($S67&lt;&gt;"",EDATE($D67,Milestones!$AA$134)&gt;=$S67),$V67,$U67)))=Milestones!$AB$134),UPPER(TEXT(EDATE($D67,Milestones!$AA$134),"dd mmm yy"))&amp;" "&amp;Milestones!$AB$134&amp;" "&amp;Milestones!$AC$134&amp;";  ","")&amp;IF(AND(EDATE($D67,Milestones!$AA$135)&lt;=AsOfDate,IF($R67=0,$X67,IF(AND($T67&lt;&gt;"",EDATE($D67,Milestones!$AA$135)&gt;=$T67),$W67,IF(AND($S67&lt;&gt;"",EDATE($D67,Milestones!$AA$135)&gt;=$S67),$V67,$U67)))=Milestones!$AB$135),UPPER(TEXT(EDATE($D67,Milestones!$AA$135),"dd mmm yy"))&amp;" "&amp;Milestones!$AB$135&amp;" "&amp;Milestones!$AC$135&amp;";  ","")&amp;IF(AND(EDATE($D67,Milestones!$AA$136)&lt;=AsOfDate,IF($R67=0,$X67,IF(AND($T67&lt;&gt;"",EDATE($D67,Milestones!$AA$136)&gt;=$T67),$W67,IF(AND($S67&lt;&gt;"",EDATE($D67,Milestones!$AA$136)&gt;=$S67),$V67,$U67)))=Milestones!$AB$136),UPPER(TEXT(EDATE($D67,Milestones!$AA$136),"dd mmm yy"))&amp;" "&amp;Milestones!$AB$136&amp;" "&amp;Milestones!$AC$136&amp;";  ","")&amp;IF(AND(EDATE($D67,Milestones!$AA$137)&lt;=AsOfDate,IF($R67=0,$X67,IF(AND($T67&lt;&gt;"",EDATE($D67,Milestones!$AA$137)&gt;=$T67),$W67,IF(AND($S67&lt;&gt;"",EDATE($D67,Milestones!$AA$137)&gt;=$S67),$V67,$U67)))=Milestones!$AB$137),UPPER(TEXT(EDATE($D67,Milestones!$AA$137),"dd mmm yy"))&amp;" "&amp;Milestones!$AB$137&amp;" "&amp;Milestones!$AC$137&amp;";  ","")&amp;IF(AND(EDATE($D67,Milestones!$AA$138)&lt;=AsOfDate,IF($R67=0,$X67,IF(AND($T67&lt;&gt;"",EDATE($D67,Milestones!$AA$138)&gt;=$T67),$W67,IF(AND($S67&lt;&gt;"",EDATE($D67,Milestones!$AA$138)&gt;=$S67),$V67,$U67)))=Milestones!$AB$138),UPPER(TEXT(EDATE($D67,Milestones!$AA$138),"dd mmm yy"))&amp;" "&amp;Milestones!$AB$138&amp;" "&amp;Milestones!$AC$138&amp;";  ","")&amp;IF(AND(EDATE($D67,Milestones!$AA$139)&lt;=AsOfDate,IF($R67=0,$X67,IF(AND($T67&lt;&gt;"",EDATE($D67,Milestones!$AA$139)&gt;=$T67),$W67,IF(AND($S67&lt;&gt;"",EDATE($D67,Milestones!$AA$139)&gt;=$S67),$V67,$U67)))=Milestones!$AB$139),UPPER(TEXT(EDATE($D67,Milestones!$AA$139),"dd mmm yy"))&amp;" "&amp;Milestones!$AB$139&amp;" "&amp;Milestones!$AC$139&amp;";  ",""))</f>
        <v/>
      </c>
      <c r="O67" s="0" t="str">
        <f aca="false">IF(OR($A67="",$D67=""),"",IF(AND(EDATE($D67,Milestones!$AA$140)&lt;=AsOfDate,IF($R67=0,$X67,IF(AND($T67&lt;&gt;"",EDATE($D67,Milestones!$AA$140)&gt;=$T67),$W67,IF(AND($S67&lt;&gt;"",EDATE($D67,Milestones!$AA$140)&gt;=$S67),$V67,$U67)))=Milestones!$AB$140),UPPER(TEXT(EDATE($D67,Milestones!$AA$140),"dd mmm yy"))&amp;" "&amp;Milestones!$AB$140&amp;" "&amp;Milestones!$AC$140&amp;";  ","")&amp;IF(AND(EDATE($D67,Milestones!$AA$141)&lt;=AsOfDate,IF($R67=0,$X67,IF(AND($T67&lt;&gt;"",EDATE($D67,Milestones!$AA$141)&gt;=$T67),$W67,IF(AND($S67&lt;&gt;"",EDATE($D67,Milestones!$AA$141)&gt;=$S67),$V67,$U67)))=Milestones!$AB$141),UPPER(TEXT(EDATE($D67,Milestones!$AA$141),"dd mmm yy"))&amp;" "&amp;Milestones!$AB$141&amp;" "&amp;Milestones!$AC$141&amp;";  ","")&amp;IF(AND(EDATE($D67,Milestones!$AA$142)&lt;=AsOfDate,IF($R67=0,$X67,IF(AND($T67&lt;&gt;"",EDATE($D67,Milestones!$AA$142)&gt;=$T67),$W67,IF(AND($S67&lt;&gt;"",EDATE($D67,Milestones!$AA$142)&gt;=$S67),$V67,$U67)))=Milestones!$AB$142),UPPER(TEXT(EDATE($D67,Milestones!$AA$142),"dd mmm yy"))&amp;" "&amp;Milestones!$AB$142&amp;" "&amp;Milestones!$AC$142&amp;";  ","")&amp;IF(AND(EDATE($D67,Milestones!$AA$143)&lt;=AsOfDate,IF($R67=0,$X67,IF(AND($T67&lt;&gt;"",EDATE($D67,Milestones!$AA$143)&gt;=$T67),$W67,IF(AND($S67&lt;&gt;"",EDATE($D67,Milestones!$AA$143)&gt;=$S67),$V67,$U67)))=Milestones!$AB$143),UPPER(TEXT(EDATE($D67,Milestones!$AA$143),"dd mmm yy"))&amp;" "&amp;Milestones!$AB$143&amp;" "&amp;Milestones!$AC$143&amp;";  ","")&amp;IF(AND(EDATE($D67,Milestones!$AA$144)&lt;=AsOfDate,IF($R67=0,$X67,IF(AND($T67&lt;&gt;"",EDATE($D67,Milestones!$AA$144)&gt;=$T67),$W67,IF(AND($S67&lt;&gt;"",EDATE($D67,Milestones!$AA$144)&gt;=$S67),$V67,$U67)))=Milestones!$AB$144),UPPER(TEXT(EDATE($D67,Milestones!$AA$144),"dd mmm yy"))&amp;" "&amp;Milestones!$AB$144&amp;" "&amp;Milestones!$AC$144&amp;";  ","")&amp;IF(AND(EDATE($D67,Milestones!$AA$145)&lt;=AsOfDate,IF($R67=0,$X67,IF(AND($T67&lt;&gt;"",EDATE($D67,Milestones!$AA$145)&gt;=$T67),$W67,IF(AND($S67&lt;&gt;"",EDATE($D67,Milestones!$AA$145)&gt;=$S67),$V67,$U67)))=Milestones!$AB$145),UPPER(TEXT(EDATE($D67,Milestones!$AA$145),"dd mmm yy"))&amp;" "&amp;Milestones!$AB$145&amp;" "&amp;Milestones!$AC$145&amp;";  ","")&amp;IF(AND(EDATE($D67,Milestones!$AA$146)&lt;=AsOfDate,IF($R67=0,$X67,IF(AND($T67&lt;&gt;"",EDATE($D67,Milestones!$AA$146)&gt;=$T67),$W67,IF(AND($S67&lt;&gt;"",EDATE($D67,Milestones!$AA$146)&gt;=$S67),$V67,$U67)))=Milestones!$AB$146),UPPER(TEXT(EDATE($D67,Milestones!$AA$146),"dd mmm yy"))&amp;" "&amp;Milestones!$AB$146&amp;" "&amp;Milestones!$AC$146&amp;";  ","")&amp;IF(AND(EDATE($D67,Milestones!$AA$147)&lt;=AsOfDate,IF($R67=0,$X67,IF(AND($T67&lt;&gt;"",EDATE($D67,Milestones!$AA$147)&gt;=$T67),$W67,IF(AND($S67&lt;&gt;"",EDATE($D67,Milestones!$AA$147)&gt;=$S67),$V67,$U67)))=Milestones!$AB$147),UPPER(TEXT(EDATE($D67,Milestones!$AA$147),"dd mmm yy"))&amp;" "&amp;Milestones!$AB$147&amp;" "&amp;Milestones!$AC$147&amp;";  ","")&amp;IF(AND(EDATE($D67,Milestones!$AA$148)&lt;=AsOfDate,IF($R67=0,$X67,IF(AND($T67&lt;&gt;"",EDATE($D67,Milestones!$AA$148)&gt;=$T67),$W67,IF(AND($S67&lt;&gt;"",EDATE($D67,Milestones!$AA$148)&gt;=$S67),$V67,$U67)))=Milestones!$AB$148),UPPER(TEXT(EDATE($D67,Milestones!$AA$148),"dd mmm yy"))&amp;" "&amp;Milestones!$AB$148&amp;" "&amp;Milestones!$AC$148&amp;";  ","")&amp;IF(AND(EDATE($D67,Milestones!$AA$149)&lt;=AsOfDate,IF($R67=0,$X67,IF(AND($T67&lt;&gt;"",EDATE($D67,Milestones!$AA$149)&gt;=$T67),$W67,IF(AND($S67&lt;&gt;"",EDATE($D67,Milestones!$AA$149)&gt;=$S67),$V67,$U67)))=Milestones!$AB$149),UPPER(TEXT(EDATE($D67,Milestones!$AA$149),"dd mmm yy"))&amp;" "&amp;Milestones!$AB$149&amp;" "&amp;Milestones!$AC$149&amp;";  ","")&amp;IF(AND(EDATE($D67,Milestones!$AA$150)&lt;=AsOfDate,IF($R67=0,$X67,IF(AND($T67&lt;&gt;"",EDATE($D67,Milestones!$AA$150)&gt;=$T67),$W67,IF(AND($S67&lt;&gt;"",EDATE($D67,Milestones!$AA$150)&gt;=$S67),$V67,$U67)))=Milestones!$AB$150),UPPER(TEXT(EDATE($D67,Milestones!$AA$150),"dd mmm yy"))&amp;" "&amp;Milestones!$AB$150&amp;" "&amp;Milestones!$AC$150&amp;";  ","")&amp;IF(AND(EDATE($D67,Milestones!$AA$151)&lt;=AsOfDate,IF($R67=0,$X67,IF(AND($T67&lt;&gt;"",EDATE($D67,Milestones!$AA$151)&gt;=$T67),$W67,IF(AND($S67&lt;&gt;"",EDATE($D67,Milestones!$AA$151)&gt;=$S67),$V67,$U67)))=Milestones!$AB$151),UPPER(TEXT(EDATE($D67,Milestones!$AA$151),"dd mmm yy"))&amp;" "&amp;Milestones!$AB$151&amp;" "&amp;Milestones!$AC$151&amp;";  ","")&amp;IF(AND(EDATE($D67,Milestones!$AA$152)&lt;=AsOfDate,IF($R67=0,$X67,IF(AND($T67&lt;&gt;"",EDATE($D67,Milestones!$AA$152)&gt;=$T67),$W67,IF(AND($S67&lt;&gt;"",EDATE($D67,Milestones!$AA$152)&gt;=$S67),$V67,$U67)))=Milestones!$AB$152),UPPER(TEXT(EDATE($D67,Milestones!$AA$152),"dd mmm yy"))&amp;" "&amp;Milestones!$AB$152&amp;" "&amp;Milestones!$AC$152&amp;";  ","")&amp;IF(AND(EDATE($D67,Milestones!$AA$153)&lt;=AsOfDate,IF($R67=0,$X67,IF(AND($T67&lt;&gt;"",EDATE($D67,Milestones!$AA$153)&gt;=$T67),$W67,IF(AND($S67&lt;&gt;"",EDATE($D67,Milestones!$AA$153)&gt;=$S67),$V67,$U67)))=Milestones!$AB$153),UPPER(TEXT(EDATE($D67,Milestones!$AA$153),"dd mmm yy"))&amp;" "&amp;Milestones!$AB$153&amp;" "&amp;Milestones!$AC$153&amp;";  ","")&amp;IF(AND(EDATE($D67,Milestones!$AA$154)&lt;=AsOfDate,IF($R67=0,$X67,IF(AND($T67&lt;&gt;"",EDATE($D67,Milestones!$AA$154)&gt;=$T67),$W67,IF(AND($S67&lt;&gt;"",EDATE($D67,Milestones!$AA$154)&gt;=$S67),$V67,$U67)))=Milestones!$AB$154),UPPER(TEXT(EDATE($D67,Milestones!$AA$154),"dd mmm yy"))&amp;" "&amp;Milestones!$AB$154&amp;" "&amp;Milestones!$AC$154&amp;";  ","")&amp;IF(AND(EDATE($D67,Milestones!$AA$155)&lt;=AsOfDate,IF($R67=0,$X67,IF(AND($T67&lt;&gt;"",EDATE($D67,Milestones!$AA$155)&gt;=$T67),$W67,IF(AND($S67&lt;&gt;"",EDATE($D67,Milestones!$AA$155)&gt;=$S67),$V67,$U67)))=Milestones!$AB$155),UPPER(TEXT(EDATE($D67,Milestones!$AA$155),"dd mmm yy"))&amp;" "&amp;Milestones!$AB$155&amp;" "&amp;Milestones!$AC$155&amp;";  ","")&amp;IF(AND(EDATE($D67,Milestones!$AA$156)&lt;=AsOfDate,IF($R67=0,$X67,IF(AND($T67&lt;&gt;"",EDATE($D67,Milestones!$AA$156)&gt;=$T67),$W67,IF(AND($S67&lt;&gt;"",EDATE($D67,Milestones!$AA$156)&gt;=$S67),$V67,$U67)))=Milestones!$AB$156),UPPER(TEXT(EDATE($D67,Milestones!$AA$156),"dd mmm yy"))&amp;" "&amp;Milestones!$AB$156&amp;" "&amp;Milestones!$AC$156&amp;";  ","")&amp;IF(AND(EDATE($D67,Milestones!$AA$157)&lt;=AsOfDate,IF($R67=0,$X67,IF(AND($T67&lt;&gt;"",EDATE($D67,Milestones!$AA$157)&gt;=$T67),$W67,IF(AND($S67&lt;&gt;"",EDATE($D67,Milestones!$AA$157)&gt;=$S67),$V67,$U67)))=Milestones!$AB$157),UPPER(TEXT(EDATE($D67,Milestones!$AA$157),"dd mmm yy"))&amp;" "&amp;Milestones!$AB$157&amp;" "&amp;Milestones!$AC$157&amp;";  ","")&amp;IF(AND(EDATE($D67,Milestones!$AA$158)&lt;=AsOfDate,IF($R67=0,$X67,IF(AND($T67&lt;&gt;"",EDATE($D67,Milestones!$AA$158)&gt;=$T67),$W67,IF(AND($S67&lt;&gt;"",EDATE($D67,Milestones!$AA$158)&gt;=$S67),$V67,$U67)))=Milestones!$AB$158),UPPER(TEXT(EDATE($D67,Milestones!$AA$158),"dd mmm yy"))&amp;" "&amp;Milestones!$AB$158&amp;" "&amp;Milestones!$AC$158&amp;";  ","")&amp;IF(AND(EDATE($D67,Milestones!$AA$159)&lt;=AsOfDate,IF($R67=0,$X67,IF(AND($T67&lt;&gt;"",EDATE($D67,Milestones!$AA$159)&gt;=$T67),$W67,IF(AND($S67&lt;&gt;"",EDATE($D67,Milestones!$AA$159)&gt;=$S67),$V67,$U67)))=Milestones!$AB$159),UPPER(TEXT(EDATE($D67,Milestones!$AA$159),"dd mmm yy"))&amp;" "&amp;Milestones!$AB$159&amp;" "&amp;Milestones!$AC$159&amp;";  ",""))</f>
        <v/>
      </c>
      <c r="P67" s="0" t="str">
        <f aca="false">IF(OR($A67="",$D67=""),"",IF(AND(EDATE($D67,Milestones!$AA$160)&lt;=AsOfDate,IF($R67=0,$X67,IF(AND($T67&lt;&gt;"",EDATE($D67,Milestones!$AA$160)&gt;=$T67),$W67,IF(AND($S67&lt;&gt;"",EDATE($D67,Milestones!$AA$160)&gt;=$S67),$V67,$U67)))=Milestones!$AB$160),UPPER(TEXT(EDATE($D67,Milestones!$AA$160),"dd mmm yy"))&amp;" "&amp;Milestones!$AB$160&amp;" "&amp;Milestones!$AC$160&amp;";  ","")&amp;IF(AND(EDATE($D67,Milestones!$AA$161)&lt;=AsOfDate,IF($R67=0,$X67,IF(AND($T67&lt;&gt;"",EDATE($D67,Milestones!$AA$161)&gt;=$T67),$W67,IF(AND($S67&lt;&gt;"",EDATE($D67,Milestones!$AA$161)&gt;=$S67),$V67,$U67)))=Milestones!$AB$161),UPPER(TEXT(EDATE($D67,Milestones!$AA$161),"dd mmm yy"))&amp;" "&amp;Milestones!$AB$161&amp;" "&amp;Milestones!$AC$161&amp;";  ","")&amp;IF(AND(EDATE($D67,Milestones!$AA$162)&lt;=AsOfDate,IF($R67=0,$X67,IF(AND($T67&lt;&gt;"",EDATE($D67,Milestones!$AA$162)&gt;=$T67),$W67,IF(AND($S67&lt;&gt;"",EDATE($D67,Milestones!$AA$162)&gt;=$S67),$V67,$U67)))=Milestones!$AB$162),UPPER(TEXT(EDATE($D67,Milestones!$AA$162),"dd mmm yy"))&amp;" "&amp;Milestones!$AB$162&amp;" "&amp;Milestones!$AC$162&amp;";  ","")&amp;IF(AND(EDATE($D67,Milestones!$AA$163)&lt;=AsOfDate,IF($R67=0,$X67,IF(AND($T67&lt;&gt;"",EDATE($D67,Milestones!$AA$163)&gt;=$T67),$W67,IF(AND($S67&lt;&gt;"",EDATE($D67,Milestones!$AA$163)&gt;=$S67),$V67,$U67)))=Milestones!$AB$163),UPPER(TEXT(EDATE($D67,Milestones!$AA$163),"dd mmm yy"))&amp;" "&amp;Milestones!$AB$163&amp;" "&amp;Milestones!$AC$163&amp;";  ","")&amp;IF(AND(EDATE($D67,Milestones!$AA$164)&lt;=AsOfDate,IF($R67=0,$X67,IF(AND($T67&lt;&gt;"",EDATE($D67,Milestones!$AA$164)&gt;=$T67),$W67,IF(AND($S67&lt;&gt;"",EDATE($D67,Milestones!$AA$164)&gt;=$S67),$V67,$U67)))=Milestones!$AB$164),UPPER(TEXT(EDATE($D67,Milestones!$AA$164),"dd mmm yy"))&amp;" "&amp;Milestones!$AB$164&amp;" "&amp;Milestones!$AC$164&amp;";  ","")&amp;IF(AND(EDATE($D67,Milestones!$AA$165)&lt;=AsOfDate,IF($R67=0,$X67,IF(AND($T67&lt;&gt;"",EDATE($D67,Milestones!$AA$165)&gt;=$T67),$W67,IF(AND($S67&lt;&gt;"",EDATE($D67,Milestones!$AA$165)&gt;=$S67),$V67,$U67)))=Milestones!$AB$165),UPPER(TEXT(EDATE($D67,Milestones!$AA$165),"dd mmm yy"))&amp;" "&amp;Milestones!$AB$165&amp;" "&amp;Milestones!$AC$165&amp;";  ","")&amp;IF(AND(EDATE($D67,Milestones!$AA$166)&lt;=AsOfDate,IF($R67=0,$X67,IF(AND($T67&lt;&gt;"",EDATE($D67,Milestones!$AA$166)&gt;=$T67),$W67,IF(AND($S67&lt;&gt;"",EDATE($D67,Milestones!$AA$166)&gt;=$S67),$V67,$U67)))=Milestones!$AB$166),UPPER(TEXT(EDATE($D67,Milestones!$AA$166),"dd mmm yy"))&amp;" "&amp;Milestones!$AB$166&amp;" "&amp;Milestones!$AC$166&amp;";  ","")&amp;IF(AND(EDATE($D67,Milestones!$AA$167)&lt;=AsOfDate,IF($R67=0,$X67,IF(AND($T67&lt;&gt;"",EDATE($D67,Milestones!$AA$167)&gt;=$T67),$W67,IF(AND($S67&lt;&gt;"",EDATE($D67,Milestones!$AA$167)&gt;=$S67),$V67,$U67)))=Milestones!$AB$167),UPPER(TEXT(EDATE($D67,Milestones!$AA$167),"dd mmm yy"))&amp;" "&amp;Milestones!$AB$167&amp;" "&amp;Milestones!$AC$167&amp;";  ","")&amp;IF(AND(EDATE($D67,Milestones!$AA$168)&lt;=AsOfDate,IF($R67=0,$X67,IF(AND($T67&lt;&gt;"",EDATE($D67,Milestones!$AA$168)&gt;=$T67),$W67,IF(AND($S67&lt;&gt;"",EDATE($D67,Milestones!$AA$168)&gt;=$S67),$V67,$U67)))=Milestones!$AB$168),UPPER(TEXT(EDATE($D67,Milestones!$AA$168),"dd mmm yy"))&amp;" "&amp;Milestones!$AB$168&amp;" "&amp;Milestones!$AC$168&amp;";  ","")&amp;IF(AND(EDATE($D67,Milestones!$AA$169)&lt;=AsOfDate,IF($R67=0,$X67,IF(AND($T67&lt;&gt;"",EDATE($D67,Milestones!$AA$169)&gt;=$T67),$W67,IF(AND($S67&lt;&gt;"",EDATE($D67,Milestones!$AA$169)&gt;=$S67),$V67,$U67)))=Milestones!$AB$169),UPPER(TEXT(EDATE($D67,Milestones!$AA$169),"dd mmm yy"))&amp;" "&amp;Milestones!$AB$169&amp;" "&amp;Milestones!$AC$169&amp;";  ","")&amp;IF(AND(EDATE($D67,Milestones!$AA$170)&lt;=AsOfDate,IF($R67=0,$X67,IF(AND($T67&lt;&gt;"",EDATE($D67,Milestones!$AA$170)&gt;=$T67),$W67,IF(AND($S67&lt;&gt;"",EDATE($D67,Milestones!$AA$170)&gt;=$S67),$V67,$U67)))=Milestones!$AB$170),UPPER(TEXT(EDATE($D67,Milestones!$AA$170),"dd mmm yy"))&amp;" "&amp;Milestones!$AB$170&amp;" "&amp;Milestones!$AC$170&amp;";  ","")&amp;IF(AND(EDATE($D67,Milestones!$AA$171)&lt;=AsOfDate,IF($R67=0,$X67,IF(AND($T67&lt;&gt;"",EDATE($D67,Milestones!$AA$171)&gt;=$T67),$W67,IF(AND($S67&lt;&gt;"",EDATE($D67,Milestones!$AA$171)&gt;=$S67),$V67,$U67)))=Milestones!$AB$171),UPPER(TEXT(EDATE($D67,Milestones!$AA$171),"dd mmm yy"))&amp;" "&amp;Milestones!$AB$171&amp;" "&amp;Milestones!$AC$171&amp;";  ","")&amp;IF(AND(EDATE($D67,Milestones!$AA$172)&lt;=AsOfDate,IF($R67=0,$X67,IF(AND($T67&lt;&gt;"",EDATE($D67,Milestones!$AA$172)&gt;=$T67),$W67,IF(AND($S67&lt;&gt;"",EDATE($D67,Milestones!$AA$172)&gt;=$S67),$V67,$U67)))=Milestones!$AB$172),UPPER(TEXT(EDATE($D67,Milestones!$AA$172),"dd mmm yy"))&amp;" "&amp;Milestones!$AB$172&amp;" "&amp;Milestones!$AC$172&amp;";  ","")&amp;IF(AND(EDATE($D67,Milestones!$AA$173)&lt;=AsOfDate,IF($R67=0,$X67,IF(AND($T67&lt;&gt;"",EDATE($D67,Milestones!$AA$173)&gt;=$T67),$W67,IF(AND($S67&lt;&gt;"",EDATE($D67,Milestones!$AA$173)&gt;=$S67),$V67,$U67)))=Milestones!$AB$173),UPPER(TEXT(EDATE($D67,Milestones!$AA$173),"dd mmm yy"))&amp;" "&amp;Milestones!$AB$173&amp;" "&amp;Milestones!$AC$173&amp;";  ","")&amp;IF(AND(EDATE($D67,Milestones!$AA$174)&lt;=AsOfDate,IF($R67=0,$X67,IF(AND($T67&lt;&gt;"",EDATE($D67,Milestones!$AA$174)&gt;=$T67),$W67,IF(AND($S67&lt;&gt;"",EDATE($D67,Milestones!$AA$174)&gt;=$S67),$V67,$U67)))=Milestones!$AB$174),UPPER(TEXT(EDATE($D67,Milestones!$AA$174),"dd mmm yy"))&amp;" "&amp;Milestones!$AB$174&amp;" "&amp;Milestones!$AC$174&amp;";  ","")&amp;IF(AND(EDATE($D67,Milestones!$AA$175)&lt;=AsOfDate,IF($R67=0,$X67,IF(AND($T67&lt;&gt;"",EDATE($D67,Milestones!$AA$175)&gt;=$T67),$W67,IF(AND($S67&lt;&gt;"",EDATE($D67,Milestones!$AA$175)&gt;=$S67),$V67,$U67)))=Milestones!$AB$175),UPPER(TEXT(EDATE($D67,Milestones!$AA$175),"dd mmm yy"))&amp;" "&amp;Milestones!$AB$175&amp;" "&amp;Milestones!$AC$175&amp;";  ","")&amp;IF(AND(EDATE($D67,Milestones!$AA$176)&lt;=AsOfDate,IF($R67=0,$X67,IF(AND($T67&lt;&gt;"",EDATE($D67,Milestones!$AA$176)&gt;=$T67),$W67,IF(AND($S67&lt;&gt;"",EDATE($D67,Milestones!$AA$176)&gt;=$S67),$V67,$U67)))=Milestones!$AB$176),UPPER(TEXT(EDATE($D67,Milestones!$AA$176),"dd mmm yy"))&amp;" "&amp;Milestones!$AB$176&amp;" "&amp;Milestones!$AC$176&amp;";  ","")&amp;IF(AND(EDATE($D67,Milestones!$AA$177)&lt;=AsOfDate,IF($R67=0,$X67,IF(AND($T67&lt;&gt;"",EDATE($D67,Milestones!$AA$177)&gt;=$T67),$W67,IF(AND($S67&lt;&gt;"",EDATE($D67,Milestones!$AA$177)&gt;=$S67),$V67,$U67)))=Milestones!$AB$177),UPPER(TEXT(EDATE($D67,Milestones!$AA$177),"dd mmm yy"))&amp;" "&amp;Milestones!$AB$177&amp;" "&amp;Milestones!$AC$177&amp;";  ","")&amp;IF(AND(EDATE($D67,Milestones!$AA$178)&lt;=AsOfDate,IF($R67=0,$X67,IF(AND($T67&lt;&gt;"",EDATE($D67,Milestones!$AA$178)&gt;=$T67),$W67,IF(AND($S67&lt;&gt;"",EDATE($D67,Milestones!$AA$178)&gt;=$S67),$V67,$U67)))=Milestones!$AB$178),UPPER(TEXT(EDATE($D67,Milestones!$AA$178),"dd mmm yy"))&amp;" "&amp;Milestones!$AB$178&amp;" "&amp;Milestones!$AC$178&amp;";  ","")&amp;IF(AND(EDATE($D67,Milestones!$AA$179)&lt;=AsOfDate,IF($R67=0,$X67,IF(AND($T67&lt;&gt;"",EDATE($D67,Milestones!$AA$179)&gt;=$T67),$W67,IF(AND($S67&lt;&gt;"",EDATE($D67,Milestones!$AA$179)&gt;=$S67),$V67,$U67)))=Milestones!$AB$179),UPPER(TEXT(EDATE($D67,Milestones!$AA$179),"dd mmm yy"))&amp;" "&amp;Milestones!$AB$179&amp;" "&amp;Milestones!$AC$179&amp;";  ",""))</f>
        <v/>
      </c>
      <c r="Q67" s="0" t="str">
        <f aca="false">IF(OR($A67="",$D67=""),"",IF(AND(EDATE($D67,Milestones!$AA$180)&lt;=AsOfDate,IF($R67=0,$X67,IF(AND($T67&lt;&gt;"",EDATE($D67,Milestones!$AA$180)&gt;=$T67),$W67,IF(AND($S67&lt;&gt;"",EDATE($D67,Milestones!$AA$180)&gt;=$S67),$V67,$U67)))=Milestones!$AB$180),UPPER(TEXT(EDATE($D67,Milestones!$AA$180),"dd mmm yy"))&amp;" "&amp;Milestones!$AB$180&amp;" "&amp;Milestones!$AC$180&amp;";  ","")&amp;IF(AND(EDATE($D67,Milestones!$AA$181)&lt;=AsOfDate,IF($R67=0,$X67,IF(AND($T67&lt;&gt;"",EDATE($D67,Milestones!$AA$181)&gt;=$T67),$W67,IF(AND($S67&lt;&gt;"",EDATE($D67,Milestones!$AA$181)&gt;=$S67),$V67,$U67)))=Milestones!$AB$181),UPPER(TEXT(EDATE($D67,Milestones!$AA$181),"dd mmm yy"))&amp;" "&amp;Milestones!$AB$181&amp;" "&amp;Milestones!$AC$181&amp;";  ","")&amp;IF(AND(EDATE($D67,Milestones!$AA$182)&lt;=AsOfDate,IF($R67=0,$X67,IF(AND($T67&lt;&gt;"",EDATE($D67,Milestones!$AA$182)&gt;=$T67),$W67,IF(AND($S67&lt;&gt;"",EDATE($D67,Milestones!$AA$182)&gt;=$S67),$V67,$U67)))=Milestones!$AB$182),UPPER(TEXT(EDATE($D67,Milestones!$AA$182),"dd mmm yy"))&amp;" "&amp;Milestones!$AB$182&amp;" "&amp;Milestones!$AC$182&amp;";  ","")&amp;IF(AND(EDATE($D67,Milestones!$AA$183)&lt;=AsOfDate,IF($R67=0,$X67,IF(AND($T67&lt;&gt;"",EDATE($D67,Milestones!$AA$183)&gt;=$T67),$W67,IF(AND($S67&lt;&gt;"",EDATE($D67,Milestones!$AA$183)&gt;=$S67),$V67,$U67)))=Milestones!$AB$183),UPPER(TEXT(EDATE($D67,Milestones!$AA$183),"dd mmm yy"))&amp;" "&amp;Milestones!$AB$183&amp;" "&amp;Milestones!$AC$183&amp;";  ","")&amp;IF(AND(EDATE($D67,Milestones!$AA$184)&lt;=AsOfDate,IF($R67=0,$X67,IF(AND($T67&lt;&gt;"",EDATE($D67,Milestones!$AA$184)&gt;=$T67),$W67,IF(AND($S67&lt;&gt;"",EDATE($D67,Milestones!$AA$184)&gt;=$S67),$V67,$U67)))=Milestones!$AB$184),UPPER(TEXT(EDATE($D67,Milestones!$AA$184),"dd mmm yy"))&amp;" "&amp;Milestones!$AB$184&amp;" "&amp;Milestones!$AC$184&amp;";  ","")&amp;IF(AND(EDATE($D67,Milestones!$AA$185)&lt;=AsOfDate,IF($R67=0,$X67,IF(AND($T67&lt;&gt;"",EDATE($D67,Milestones!$AA$185)&gt;=$T67),$W67,IF(AND($S67&lt;&gt;"",EDATE($D67,Milestones!$AA$185)&gt;=$S67),$V67,$U67)))=Milestones!$AB$185),UPPER(TEXT(EDATE($D67,Milestones!$AA$185),"dd mmm yy"))&amp;" "&amp;Milestones!$AB$185&amp;" "&amp;Milestones!$AC$185&amp;";  ","")&amp;IF(AND(EDATE($D67,Milestones!$AA$186)&lt;=AsOfDate,IF($R67=0,$X67,IF(AND($T67&lt;&gt;"",EDATE($D67,Milestones!$AA$186)&gt;=$T67),$W67,IF(AND($S67&lt;&gt;"",EDATE($D67,Milestones!$AA$186)&gt;=$S67),$V67,$U67)))=Milestones!$AB$186),UPPER(TEXT(EDATE($D67,Milestones!$AA$186),"dd mmm yy"))&amp;" "&amp;Milestones!$AB$186&amp;" "&amp;Milestones!$AC$186&amp;";  ","")&amp;IF(AND(EDATE($D67,Milestones!$AA$187)&lt;=AsOfDate,IF($R67=0,$X67,IF(AND($T67&lt;&gt;"",EDATE($D67,Milestones!$AA$187)&gt;=$T67),$W67,IF(AND($S67&lt;&gt;"",EDATE($D67,Milestones!$AA$187)&gt;=$S67),$V67,$U67)))=Milestones!$AB$187),UPPER(TEXT(EDATE($D67,Milestones!$AA$187),"dd mmm yy"))&amp;" "&amp;Milestones!$AB$187&amp;" "&amp;Milestones!$AC$187&amp;";  ","")&amp;IF(AND(EDATE($D67,Milestones!$AA$188)&lt;=AsOfDate,IF($R67=0,$X67,IF(AND($T67&lt;&gt;"",EDATE($D67,Milestones!$AA$188)&gt;=$T67),$W67,IF(AND($S67&lt;&gt;"",EDATE($D67,Milestones!$AA$188)&gt;=$S67),$V67,$U67)))=Milestones!$AB$188),UPPER(TEXT(EDATE($D67,Milestones!$AA$188),"dd mmm yy"))&amp;" "&amp;Milestones!$AB$188&amp;" "&amp;Milestones!$AC$188&amp;";  ","")&amp;IF(AND(EDATE($D67,Milestones!$AA$189)&lt;=AsOfDate,IF($R67=0,$X67,IF(AND($T67&lt;&gt;"",EDATE($D67,Milestones!$AA$189)&gt;=$T67),$W67,IF(AND($S67&lt;&gt;"",EDATE($D67,Milestones!$AA$189)&gt;=$S67),$V67,$U67)))=Milestones!$AB$189),UPPER(TEXT(EDATE($D67,Milestones!$AA$189),"dd mmm yy"))&amp;" "&amp;Milestones!$AB$189&amp;" "&amp;Milestones!$AC$189&amp;";  ","")&amp;IF(AND(EDATE($D67,Milestones!$AA$190)&lt;=AsOfDate,IF($R67=0,$X67,IF(AND($T67&lt;&gt;"",EDATE($D67,Milestones!$AA$190)&gt;=$T67),$W67,IF(AND($S67&lt;&gt;"",EDATE($D67,Milestones!$AA$190)&gt;=$S67),$V67,$U67)))=Milestones!$AB$190),UPPER(TEXT(EDATE($D67,Milestones!$AA$190),"dd mmm yy"))&amp;" "&amp;Milestones!$AB$190&amp;" "&amp;Milestones!$AC$190&amp;";  ","")&amp;IF(AND(EDATE($D67,Milestones!$AA$191)&lt;=AsOfDate,IF($R67=0,$X67,IF(AND($T67&lt;&gt;"",EDATE($D67,Milestones!$AA$191)&gt;=$T67),$W67,IF(AND($S67&lt;&gt;"",EDATE($D67,Milestones!$AA$191)&gt;=$S67),$V67,$U67)))=Milestones!$AB$191),UPPER(TEXT(EDATE($D67,Milestones!$AA$191),"dd mmm yy"))&amp;" "&amp;Milestones!$AB$191&amp;" "&amp;Milestones!$AC$191&amp;";  ","")&amp;IF(AND(EDATE($D67,Milestones!$AA$192)&lt;=AsOfDate,IF($R67=0,$X67,IF(AND($T67&lt;&gt;"",EDATE($D67,Milestones!$AA$192)&gt;=$T67),$W67,IF(AND($S67&lt;&gt;"",EDATE($D67,Milestones!$AA$192)&gt;=$S67),$V67,$U67)))=Milestones!$AB$192),UPPER(TEXT(EDATE($D67,Milestones!$AA$192),"dd mmm yy"))&amp;" "&amp;Milestones!$AB$192&amp;" "&amp;Milestones!$AC$192&amp;";  ","")&amp;IF(AND(EDATE($D67,Milestones!$AA$193)&lt;=AsOfDate,IF($R67=0,$X67,IF(AND($T67&lt;&gt;"",EDATE($D67,Milestones!$AA$193)&gt;=$T67),$W67,IF(AND($S67&lt;&gt;"",EDATE($D67,Milestones!$AA$193)&gt;=$S67),$V67,$U67)))=Milestones!$AB$193),UPPER(TEXT(EDATE($D67,Milestones!$AA$193),"dd mmm yy"))&amp;" "&amp;Milestones!$AB$193&amp;" "&amp;Milestones!$AC$193&amp;";  ","")&amp;IF(AND(EDATE($D67,Milestones!$AA$194)&lt;=AsOfDate,IF($R67=0,$X67,IF(AND($T67&lt;&gt;"",EDATE($D67,Milestones!$AA$194)&gt;=$T67),$W67,IF(AND($S67&lt;&gt;"",EDATE($D67,Milestones!$AA$194)&gt;=$S67),$V67,$U67)))=Milestones!$AB$194),UPPER(TEXT(EDATE($D67,Milestones!$AA$194),"dd mmm yy"))&amp;" "&amp;Milestones!$AB$194&amp;" "&amp;Milestones!$AC$194&amp;";  ","")&amp;IF(AND(EDATE($D67,Milestones!$AA$195)&lt;=AsOfDate,IF($R67=0,$X67,IF(AND($T67&lt;&gt;"",EDATE($D67,Milestones!$AA$195)&gt;=$T67),$W67,IF(AND($S67&lt;&gt;"",EDATE($D67,Milestones!$AA$195)&gt;=$S67),$V67,$U67)))=Milestones!$AB$195),UPPER(TEXT(EDATE($D67,Milestones!$AA$195),"dd mmm yy"))&amp;" "&amp;Milestones!$AB$195&amp;" "&amp;Milestones!$AC$195&amp;";  ","")&amp;IF(AND(EDATE($D67,Milestones!$AA$196)&lt;=AsOfDate,IF($R67=0,$X67,IF(AND($T67&lt;&gt;"",EDATE($D67,Milestones!$AA$196)&gt;=$T67),$W67,IF(AND($S67&lt;&gt;"",EDATE($D67,Milestones!$AA$196)&gt;=$S67),$V67,$U67)))=Milestones!$AB$196),UPPER(TEXT(EDATE($D67,Milestones!$AA$196),"dd mmm yy"))&amp;" "&amp;Milestones!$AB$196&amp;" "&amp;Milestones!$AC$196&amp;";  ","")&amp;IF(AND(EDATE($D67,Milestones!$AA$197)&lt;=AsOfDate,IF($R67=0,$X67,IF(AND($T67&lt;&gt;"",EDATE($D67,Milestones!$AA$197)&gt;=$T67),$W67,IF(AND($S67&lt;&gt;"",EDATE($D67,Milestones!$AA$197)&gt;=$S67),$V67,$U67)))=Milestones!$AB$197),UPPER(TEXT(EDATE($D67,Milestones!$AA$197),"dd mmm yy"))&amp;" "&amp;Milestones!$AB$197&amp;" "&amp;Milestones!$AC$197&amp;";  ","")&amp;IF(AND(EDATE($D67,Milestones!$AA$198)&lt;=AsOfDate,IF($R67=0,$X67,IF(AND($T67&lt;&gt;"",EDATE($D67,Milestones!$AA$198)&gt;=$T67),$W67,IF(AND($S67&lt;&gt;"",EDATE($D67,Milestones!$AA$198)&gt;=$S67),$V67,$U67)))=Milestones!$AB$198),UPPER(TEXT(EDATE($D67,Milestones!$AA$198),"dd mmm yy"))&amp;" "&amp;Milestones!$AB$198&amp;" "&amp;Milestones!$AC$198&amp;";  ","")&amp;IF(AND(EDATE($D67,Milestones!$AA$199)&lt;=AsOfDate,IF($R67=0,$X67,IF(AND($T67&lt;&gt;"",EDATE($D67,Milestones!$AA$199)&gt;=$T67),$W67,IF(AND($S67&lt;&gt;"",EDATE($D67,Milestones!$AA$199)&gt;=$S67),$V67,$U67)))=Milestones!$AB$199),UPPER(TEXT(EDATE($D67,Milestones!$AA$199),"dd mmm yy"))&amp;" "&amp;Milestones!$AB$199&amp;" "&amp;Milestones!$AC$199&amp;";  ",""))</f>
        <v/>
      </c>
      <c r="R67" s="33" t="n">
        <f aca="false">IF(Staff!$A67="","",Staff!$AI67)</f>
        <v>0</v>
      </c>
      <c r="S67" s="0" t="str">
        <f aca="false">IF(Staff!$A67="","",Staff!$AK67)</f>
        <v/>
      </c>
      <c r="T67" s="0" t="str">
        <f aca="false">IF(Staff!$A67="","",Staff!$AL67)</f>
        <v/>
      </c>
      <c r="U67" s="0" t="str">
        <f aca="false">IF(Staff!$A67="","",Staff!$AP67)</f>
        <v>None</v>
      </c>
      <c r="V67" s="0" t="str">
        <f aca="false">IF(Staff!$A67="","",Staff!$AQ67)</f>
        <v/>
      </c>
      <c r="W67" s="0" t="str">
        <f aca="false">IF(Staff!$A67="","",Staff!$AR67)</f>
        <v/>
      </c>
      <c r="X67" s="0" t="str">
        <f aca="false">IF(Staff!$A67="","",Staff!$AS67)</f>
        <v>None</v>
      </c>
    </row>
    <row r="68" customFormat="false" ht="15" hidden="false" customHeight="false" outlineLevel="0" collapsed="false">
      <c r="A68" s="19" t="str">
        <f aca="false">IF(Staff!$A68="","",Staff!$A68)</f>
        <v>Tina</v>
      </c>
      <c r="B68" s="19" t="str">
        <f aca="false">IF(Staff!$A68="","",Staff!$B68)</f>
        <v>Nguyen</v>
      </c>
      <c r="C68" s="19" t="str">
        <f aca="false">IF(Staff!$A68="","",Staff!$C68)</f>
        <v>Full-Time</v>
      </c>
      <c r="D68" s="17" t="n">
        <f aca="false">IF(Staff!$A68="","",Staff!$AH68)</f>
        <v>45110</v>
      </c>
      <c r="E68" s="20" t="n">
        <f aca="false">IF(Staff!$A68="","",Staff!$O68)</f>
        <v>1</v>
      </c>
      <c r="F68" s="19" t="n">
        <f aca="false">IF(E68="","",E68*HoursPerDay)</f>
        <v>8</v>
      </c>
      <c r="G68" s="20" t="n">
        <f aca="false">IF(Staff!$A68="","",Staff!$AE68)</f>
        <v>0</v>
      </c>
      <c r="H68" s="32" t="str">
        <f aca="false">IF($A68="","",I68&amp;J68&amp;K68&amp;L68&amp;M68&amp;N68&amp;O68&amp;P68&amp;Q68)</f>
        <v>03 JUL 26 FT 1;  </v>
      </c>
      <c r="I68" s="0" t="str">
        <f aca="false">IF(OR($A68="",$D68=""),"",IF(AND(EDATE($D68,Milestones!$AA$20)&lt;=AsOfDate,IF($R68=0,$X68,IF(AND($T68&lt;&gt;"",EDATE($D68,Milestones!$AA$20)&gt;=$T68),$W68,IF(AND($S68&lt;&gt;"",EDATE($D68,Milestones!$AA$20)&gt;=$S68),$V68,$U68)))=Milestones!$AB$20),UPPER(TEXT(EDATE($D68,Milestones!$AA$20),"dd mmm yy"))&amp;" "&amp;Milestones!$AB$20&amp;" "&amp;Milestones!$AC$20&amp;";  ","")&amp;IF(AND(EDATE($D68,Milestones!$AA$21)&lt;=AsOfDate,IF($R68=0,$X68,IF(AND($T68&lt;&gt;"",EDATE($D68,Milestones!$AA$21)&gt;=$T68),$W68,IF(AND($S68&lt;&gt;"",EDATE($D68,Milestones!$AA$21)&gt;=$S68),$V68,$U68)))=Milestones!$AB$21),UPPER(TEXT(EDATE($D68,Milestones!$AA$21),"dd mmm yy"))&amp;" "&amp;Milestones!$AB$21&amp;" "&amp;Milestones!$AC$21&amp;";  ","")&amp;IF(AND(EDATE($D68,Milestones!$AA$22)&lt;=AsOfDate,IF($R68=0,$X68,IF(AND($T68&lt;&gt;"",EDATE($D68,Milestones!$AA$22)&gt;=$T68),$W68,IF(AND($S68&lt;&gt;"",EDATE($D68,Milestones!$AA$22)&gt;=$S68),$V68,$U68)))=Milestones!$AB$22),UPPER(TEXT(EDATE($D68,Milestones!$AA$22),"dd mmm yy"))&amp;" "&amp;Milestones!$AB$22&amp;" "&amp;Milestones!$AC$22&amp;";  ","")&amp;IF(AND(EDATE($D68,Milestones!$AA$23)&lt;=AsOfDate,IF($R68=0,$X68,IF(AND($T68&lt;&gt;"",EDATE($D68,Milestones!$AA$23)&gt;=$T68),$W68,IF(AND($S68&lt;&gt;"",EDATE($D68,Milestones!$AA$23)&gt;=$S68),$V68,$U68)))=Milestones!$AB$23),UPPER(TEXT(EDATE($D68,Milestones!$AA$23),"dd mmm yy"))&amp;" "&amp;Milestones!$AB$23&amp;" "&amp;Milestones!$AC$23&amp;";  ","")&amp;IF(AND(EDATE($D68,Milestones!$AA$24)&lt;=AsOfDate,IF($R68=0,$X68,IF(AND($T68&lt;&gt;"",EDATE($D68,Milestones!$AA$24)&gt;=$T68),$W68,IF(AND($S68&lt;&gt;"",EDATE($D68,Milestones!$AA$24)&gt;=$S68),$V68,$U68)))=Milestones!$AB$24),UPPER(TEXT(EDATE($D68,Milestones!$AA$24),"dd mmm yy"))&amp;" "&amp;Milestones!$AB$24&amp;" "&amp;Milestones!$AC$24&amp;";  ","")&amp;IF(AND(EDATE($D68,Milestones!$AA$25)&lt;=AsOfDate,IF($R68=0,$X68,IF(AND($T68&lt;&gt;"",EDATE($D68,Milestones!$AA$25)&gt;=$T68),$W68,IF(AND($S68&lt;&gt;"",EDATE($D68,Milestones!$AA$25)&gt;=$S68),$V68,$U68)))=Milestones!$AB$25),UPPER(TEXT(EDATE($D68,Milestones!$AA$25),"dd mmm yy"))&amp;" "&amp;Milestones!$AB$25&amp;" "&amp;Milestones!$AC$25&amp;";  ","")&amp;IF(AND(EDATE($D68,Milestones!$AA$26)&lt;=AsOfDate,IF($R68=0,$X68,IF(AND($T68&lt;&gt;"",EDATE($D68,Milestones!$AA$26)&gt;=$T68),$W68,IF(AND($S68&lt;&gt;"",EDATE($D68,Milestones!$AA$26)&gt;=$S68),$V68,$U68)))=Milestones!$AB$26),UPPER(TEXT(EDATE($D68,Milestones!$AA$26),"dd mmm yy"))&amp;" "&amp;Milestones!$AB$26&amp;" "&amp;Milestones!$AC$26&amp;";  ","")&amp;IF(AND(EDATE($D68,Milestones!$AA$27)&lt;=AsOfDate,IF($R68=0,$X68,IF(AND($T68&lt;&gt;"",EDATE($D68,Milestones!$AA$27)&gt;=$T68),$W68,IF(AND($S68&lt;&gt;"",EDATE($D68,Milestones!$AA$27)&gt;=$S68),$V68,$U68)))=Milestones!$AB$27),UPPER(TEXT(EDATE($D68,Milestones!$AA$27),"dd mmm yy"))&amp;" "&amp;Milestones!$AB$27&amp;" "&amp;Milestones!$AC$27&amp;";  ","")&amp;IF(AND(EDATE($D68,Milestones!$AA$28)&lt;=AsOfDate,IF($R68=0,$X68,IF(AND($T68&lt;&gt;"",EDATE($D68,Milestones!$AA$28)&gt;=$T68),$W68,IF(AND($S68&lt;&gt;"",EDATE($D68,Milestones!$AA$28)&gt;=$S68),$V68,$U68)))=Milestones!$AB$28),UPPER(TEXT(EDATE($D68,Milestones!$AA$28),"dd mmm yy"))&amp;" "&amp;Milestones!$AB$28&amp;" "&amp;Milestones!$AC$28&amp;";  ","")&amp;IF(AND(EDATE($D68,Milestones!$AA$29)&lt;=AsOfDate,IF($R68=0,$X68,IF(AND($T68&lt;&gt;"",EDATE($D68,Milestones!$AA$29)&gt;=$T68),$W68,IF(AND($S68&lt;&gt;"",EDATE($D68,Milestones!$AA$29)&gt;=$S68),$V68,$U68)))=Milestones!$AB$29),UPPER(TEXT(EDATE($D68,Milestones!$AA$29),"dd mmm yy"))&amp;" "&amp;Milestones!$AB$29&amp;" "&amp;Milestones!$AC$29&amp;";  ","")&amp;IF(AND(EDATE($D68,Milestones!$AA$30)&lt;=AsOfDate,IF($R68=0,$X68,IF(AND($T68&lt;&gt;"",EDATE($D68,Milestones!$AA$30)&gt;=$T68),$W68,IF(AND($S68&lt;&gt;"",EDATE($D68,Milestones!$AA$30)&gt;=$S68),$V68,$U68)))=Milestones!$AB$30),UPPER(TEXT(EDATE($D68,Milestones!$AA$30),"dd mmm yy"))&amp;" "&amp;Milestones!$AB$30&amp;" "&amp;Milestones!$AC$30&amp;";  ","")&amp;IF(AND(EDATE($D68,Milestones!$AA$31)&lt;=AsOfDate,IF($R68=0,$X68,IF(AND($T68&lt;&gt;"",EDATE($D68,Milestones!$AA$31)&gt;=$T68),$W68,IF(AND($S68&lt;&gt;"",EDATE($D68,Milestones!$AA$31)&gt;=$S68),$V68,$U68)))=Milestones!$AB$31),UPPER(TEXT(EDATE($D68,Milestones!$AA$31),"dd mmm yy"))&amp;" "&amp;Milestones!$AB$31&amp;" "&amp;Milestones!$AC$31&amp;";  ","")&amp;IF(AND(EDATE($D68,Milestones!$AA$32)&lt;=AsOfDate,IF($R68=0,$X68,IF(AND($T68&lt;&gt;"",EDATE($D68,Milestones!$AA$32)&gt;=$T68),$W68,IF(AND($S68&lt;&gt;"",EDATE($D68,Milestones!$AA$32)&gt;=$S68),$V68,$U68)))=Milestones!$AB$32),UPPER(TEXT(EDATE($D68,Milestones!$AA$32),"dd mmm yy"))&amp;" "&amp;Milestones!$AB$32&amp;" "&amp;Milestones!$AC$32&amp;";  ","")&amp;IF(AND(EDATE($D68,Milestones!$AA$33)&lt;=AsOfDate,IF($R68=0,$X68,IF(AND($T68&lt;&gt;"",EDATE($D68,Milestones!$AA$33)&gt;=$T68),$W68,IF(AND($S68&lt;&gt;"",EDATE($D68,Milestones!$AA$33)&gt;=$S68),$V68,$U68)))=Milestones!$AB$33),UPPER(TEXT(EDATE($D68,Milestones!$AA$33),"dd mmm yy"))&amp;" "&amp;Milestones!$AB$33&amp;" "&amp;Milestones!$AC$33&amp;";  ","")&amp;IF(AND(EDATE($D68,Milestones!$AA$34)&lt;=AsOfDate,IF($R68=0,$X68,IF(AND($T68&lt;&gt;"",EDATE($D68,Milestones!$AA$34)&gt;=$T68),$W68,IF(AND($S68&lt;&gt;"",EDATE($D68,Milestones!$AA$34)&gt;=$S68),$V68,$U68)))=Milestones!$AB$34),UPPER(TEXT(EDATE($D68,Milestones!$AA$34),"dd mmm yy"))&amp;" "&amp;Milestones!$AB$34&amp;" "&amp;Milestones!$AC$34&amp;";  ","")&amp;IF(AND(EDATE($D68,Milestones!$AA$35)&lt;=AsOfDate,IF($R68=0,$X68,IF(AND($T68&lt;&gt;"",EDATE($D68,Milestones!$AA$35)&gt;=$T68),$W68,IF(AND($S68&lt;&gt;"",EDATE($D68,Milestones!$AA$35)&gt;=$S68),$V68,$U68)))=Milestones!$AB$35),UPPER(TEXT(EDATE($D68,Milestones!$AA$35),"dd mmm yy"))&amp;" "&amp;Milestones!$AB$35&amp;" "&amp;Milestones!$AC$35&amp;";  ","")&amp;IF(AND(EDATE($D68,Milestones!$AA$36)&lt;=AsOfDate,IF($R68=0,$X68,IF(AND($T68&lt;&gt;"",EDATE($D68,Milestones!$AA$36)&gt;=$T68),$W68,IF(AND($S68&lt;&gt;"",EDATE($D68,Milestones!$AA$36)&gt;=$S68),$V68,$U68)))=Milestones!$AB$36),UPPER(TEXT(EDATE($D68,Milestones!$AA$36),"dd mmm yy"))&amp;" "&amp;Milestones!$AB$36&amp;" "&amp;Milestones!$AC$36&amp;";  ","")&amp;IF(AND(EDATE($D68,Milestones!$AA$37)&lt;=AsOfDate,IF($R68=0,$X68,IF(AND($T68&lt;&gt;"",EDATE($D68,Milestones!$AA$37)&gt;=$T68),$W68,IF(AND($S68&lt;&gt;"",EDATE($D68,Milestones!$AA$37)&gt;=$S68),$V68,$U68)))=Milestones!$AB$37),UPPER(TEXT(EDATE($D68,Milestones!$AA$37),"dd mmm yy"))&amp;" "&amp;Milestones!$AB$37&amp;" "&amp;Milestones!$AC$37&amp;";  ","")&amp;IF(AND(EDATE($D68,Milestones!$AA$38)&lt;=AsOfDate,IF($R68=0,$X68,IF(AND($T68&lt;&gt;"",EDATE($D68,Milestones!$AA$38)&gt;=$T68),$W68,IF(AND($S68&lt;&gt;"",EDATE($D68,Milestones!$AA$38)&gt;=$S68),$V68,$U68)))=Milestones!$AB$38),UPPER(TEXT(EDATE($D68,Milestones!$AA$38),"dd mmm yy"))&amp;" "&amp;Milestones!$AB$38&amp;" "&amp;Milestones!$AC$38&amp;";  ","")&amp;IF(AND(EDATE($D68,Milestones!$AA$39)&lt;=AsOfDate,IF($R68=0,$X68,IF(AND($T68&lt;&gt;"",EDATE($D68,Milestones!$AA$39)&gt;=$T68),$W68,IF(AND($S68&lt;&gt;"",EDATE($D68,Milestones!$AA$39)&gt;=$S68),$V68,$U68)))=Milestones!$AB$39),UPPER(TEXT(EDATE($D68,Milestones!$AA$39),"dd mmm yy"))&amp;" "&amp;Milestones!$AB$39&amp;" "&amp;Milestones!$AC$39&amp;";  ",""))</f>
        <v>03 JUL 26 FT 1;  </v>
      </c>
      <c r="J68" s="0" t="str">
        <f aca="false">IF(OR($A68="",$D68=""),"",IF(AND(EDATE($D68,Milestones!$AA$40)&lt;=AsOfDate,IF($R68=0,$X68,IF(AND($T68&lt;&gt;"",EDATE($D68,Milestones!$AA$40)&gt;=$T68),$W68,IF(AND($S68&lt;&gt;"",EDATE($D68,Milestones!$AA$40)&gt;=$S68),$V68,$U68)))=Milestones!$AB$40),UPPER(TEXT(EDATE($D68,Milestones!$AA$40),"dd mmm yy"))&amp;" "&amp;Milestones!$AB$40&amp;" "&amp;Milestones!$AC$40&amp;";  ","")&amp;IF(AND(EDATE($D68,Milestones!$AA$41)&lt;=AsOfDate,IF($R68=0,$X68,IF(AND($T68&lt;&gt;"",EDATE($D68,Milestones!$AA$41)&gt;=$T68),$W68,IF(AND($S68&lt;&gt;"",EDATE($D68,Milestones!$AA$41)&gt;=$S68),$V68,$U68)))=Milestones!$AB$41),UPPER(TEXT(EDATE($D68,Milestones!$AA$41),"dd mmm yy"))&amp;" "&amp;Milestones!$AB$41&amp;" "&amp;Milestones!$AC$41&amp;";  ","")&amp;IF(AND(EDATE($D68,Milestones!$AA$42)&lt;=AsOfDate,IF($R68=0,$X68,IF(AND($T68&lt;&gt;"",EDATE($D68,Milestones!$AA$42)&gt;=$T68),$W68,IF(AND($S68&lt;&gt;"",EDATE($D68,Milestones!$AA$42)&gt;=$S68),$V68,$U68)))=Milestones!$AB$42),UPPER(TEXT(EDATE($D68,Milestones!$AA$42),"dd mmm yy"))&amp;" "&amp;Milestones!$AB$42&amp;" "&amp;Milestones!$AC$42&amp;";  ","")&amp;IF(AND(EDATE($D68,Milestones!$AA$43)&lt;=AsOfDate,IF($R68=0,$X68,IF(AND($T68&lt;&gt;"",EDATE($D68,Milestones!$AA$43)&gt;=$T68),$W68,IF(AND($S68&lt;&gt;"",EDATE($D68,Milestones!$AA$43)&gt;=$S68),$V68,$U68)))=Milestones!$AB$43),UPPER(TEXT(EDATE($D68,Milestones!$AA$43),"dd mmm yy"))&amp;" "&amp;Milestones!$AB$43&amp;" "&amp;Milestones!$AC$43&amp;";  ","")&amp;IF(AND(EDATE($D68,Milestones!$AA$44)&lt;=AsOfDate,IF($R68=0,$X68,IF(AND($T68&lt;&gt;"",EDATE($D68,Milestones!$AA$44)&gt;=$T68),$W68,IF(AND($S68&lt;&gt;"",EDATE($D68,Milestones!$AA$44)&gt;=$S68),$V68,$U68)))=Milestones!$AB$44),UPPER(TEXT(EDATE($D68,Milestones!$AA$44),"dd mmm yy"))&amp;" "&amp;Milestones!$AB$44&amp;" "&amp;Milestones!$AC$44&amp;";  ","")&amp;IF(AND(EDATE($D68,Milestones!$AA$45)&lt;=AsOfDate,IF($R68=0,$X68,IF(AND($T68&lt;&gt;"",EDATE($D68,Milestones!$AA$45)&gt;=$T68),$W68,IF(AND($S68&lt;&gt;"",EDATE($D68,Milestones!$AA$45)&gt;=$S68),$V68,$U68)))=Milestones!$AB$45),UPPER(TEXT(EDATE($D68,Milestones!$AA$45),"dd mmm yy"))&amp;" "&amp;Milestones!$AB$45&amp;" "&amp;Milestones!$AC$45&amp;";  ","")&amp;IF(AND(EDATE($D68,Milestones!$AA$46)&lt;=AsOfDate,IF($R68=0,$X68,IF(AND($T68&lt;&gt;"",EDATE($D68,Milestones!$AA$46)&gt;=$T68),$W68,IF(AND($S68&lt;&gt;"",EDATE($D68,Milestones!$AA$46)&gt;=$S68),$V68,$U68)))=Milestones!$AB$46),UPPER(TEXT(EDATE($D68,Milestones!$AA$46),"dd mmm yy"))&amp;" "&amp;Milestones!$AB$46&amp;" "&amp;Milestones!$AC$46&amp;";  ","")&amp;IF(AND(EDATE($D68,Milestones!$AA$47)&lt;=AsOfDate,IF($R68=0,$X68,IF(AND($T68&lt;&gt;"",EDATE($D68,Milestones!$AA$47)&gt;=$T68),$W68,IF(AND($S68&lt;&gt;"",EDATE($D68,Milestones!$AA$47)&gt;=$S68),$V68,$U68)))=Milestones!$AB$47),UPPER(TEXT(EDATE($D68,Milestones!$AA$47),"dd mmm yy"))&amp;" "&amp;Milestones!$AB$47&amp;" "&amp;Milestones!$AC$47&amp;";  ","")&amp;IF(AND(EDATE($D68,Milestones!$AA$48)&lt;=AsOfDate,IF($R68=0,$X68,IF(AND($T68&lt;&gt;"",EDATE($D68,Milestones!$AA$48)&gt;=$T68),$W68,IF(AND($S68&lt;&gt;"",EDATE($D68,Milestones!$AA$48)&gt;=$S68),$V68,$U68)))=Milestones!$AB$48),UPPER(TEXT(EDATE($D68,Milestones!$AA$48),"dd mmm yy"))&amp;" "&amp;Milestones!$AB$48&amp;" "&amp;Milestones!$AC$48&amp;";  ","")&amp;IF(AND(EDATE($D68,Milestones!$AA$49)&lt;=AsOfDate,IF($R68=0,$X68,IF(AND($T68&lt;&gt;"",EDATE($D68,Milestones!$AA$49)&gt;=$T68),$W68,IF(AND($S68&lt;&gt;"",EDATE($D68,Milestones!$AA$49)&gt;=$S68),$V68,$U68)))=Milestones!$AB$49),UPPER(TEXT(EDATE($D68,Milestones!$AA$49),"dd mmm yy"))&amp;" "&amp;Milestones!$AB$49&amp;" "&amp;Milestones!$AC$49&amp;";  ","")&amp;IF(AND(EDATE($D68,Milestones!$AA$50)&lt;=AsOfDate,IF($R68=0,$X68,IF(AND($T68&lt;&gt;"",EDATE($D68,Milestones!$AA$50)&gt;=$T68),$W68,IF(AND($S68&lt;&gt;"",EDATE($D68,Milestones!$AA$50)&gt;=$S68),$V68,$U68)))=Milestones!$AB$50),UPPER(TEXT(EDATE($D68,Milestones!$AA$50),"dd mmm yy"))&amp;" "&amp;Milestones!$AB$50&amp;" "&amp;Milestones!$AC$50&amp;";  ","")&amp;IF(AND(EDATE($D68,Milestones!$AA$51)&lt;=AsOfDate,IF($R68=0,$X68,IF(AND($T68&lt;&gt;"",EDATE($D68,Milestones!$AA$51)&gt;=$T68),$W68,IF(AND($S68&lt;&gt;"",EDATE($D68,Milestones!$AA$51)&gt;=$S68),$V68,$U68)))=Milestones!$AB$51),UPPER(TEXT(EDATE($D68,Milestones!$AA$51),"dd mmm yy"))&amp;" "&amp;Milestones!$AB$51&amp;" "&amp;Milestones!$AC$51&amp;";  ","")&amp;IF(AND(EDATE($D68,Milestones!$AA$52)&lt;=AsOfDate,IF($R68=0,$X68,IF(AND($T68&lt;&gt;"",EDATE($D68,Milestones!$AA$52)&gt;=$T68),$W68,IF(AND($S68&lt;&gt;"",EDATE($D68,Milestones!$AA$52)&gt;=$S68),$V68,$U68)))=Milestones!$AB$52),UPPER(TEXT(EDATE($D68,Milestones!$AA$52),"dd mmm yy"))&amp;" "&amp;Milestones!$AB$52&amp;" "&amp;Milestones!$AC$52&amp;";  ","")&amp;IF(AND(EDATE($D68,Milestones!$AA$53)&lt;=AsOfDate,IF($R68=0,$X68,IF(AND($T68&lt;&gt;"",EDATE($D68,Milestones!$AA$53)&gt;=$T68),$W68,IF(AND($S68&lt;&gt;"",EDATE($D68,Milestones!$AA$53)&gt;=$S68),$V68,$U68)))=Milestones!$AB$53),UPPER(TEXT(EDATE($D68,Milestones!$AA$53),"dd mmm yy"))&amp;" "&amp;Milestones!$AB$53&amp;" "&amp;Milestones!$AC$53&amp;";  ","")&amp;IF(AND(EDATE($D68,Milestones!$AA$54)&lt;=AsOfDate,IF($R68=0,$X68,IF(AND($T68&lt;&gt;"",EDATE($D68,Milestones!$AA$54)&gt;=$T68),$W68,IF(AND($S68&lt;&gt;"",EDATE($D68,Milestones!$AA$54)&gt;=$S68),$V68,$U68)))=Milestones!$AB$54),UPPER(TEXT(EDATE($D68,Milestones!$AA$54),"dd mmm yy"))&amp;" "&amp;Milestones!$AB$54&amp;" "&amp;Milestones!$AC$54&amp;";  ","")&amp;IF(AND(EDATE($D68,Milestones!$AA$55)&lt;=AsOfDate,IF($R68=0,$X68,IF(AND($T68&lt;&gt;"",EDATE($D68,Milestones!$AA$55)&gt;=$T68),$W68,IF(AND($S68&lt;&gt;"",EDATE($D68,Milestones!$AA$55)&gt;=$S68),$V68,$U68)))=Milestones!$AB$55),UPPER(TEXT(EDATE($D68,Milestones!$AA$55),"dd mmm yy"))&amp;" "&amp;Milestones!$AB$55&amp;" "&amp;Milestones!$AC$55&amp;";  ","")&amp;IF(AND(EDATE($D68,Milestones!$AA$56)&lt;=AsOfDate,IF($R68=0,$X68,IF(AND($T68&lt;&gt;"",EDATE($D68,Milestones!$AA$56)&gt;=$T68),$W68,IF(AND($S68&lt;&gt;"",EDATE($D68,Milestones!$AA$56)&gt;=$S68),$V68,$U68)))=Milestones!$AB$56),UPPER(TEXT(EDATE($D68,Milestones!$AA$56),"dd mmm yy"))&amp;" "&amp;Milestones!$AB$56&amp;" "&amp;Milestones!$AC$56&amp;";  ","")&amp;IF(AND(EDATE($D68,Milestones!$AA$57)&lt;=AsOfDate,IF($R68=0,$X68,IF(AND($T68&lt;&gt;"",EDATE($D68,Milestones!$AA$57)&gt;=$T68),$W68,IF(AND($S68&lt;&gt;"",EDATE($D68,Milestones!$AA$57)&gt;=$S68),$V68,$U68)))=Milestones!$AB$57),UPPER(TEXT(EDATE($D68,Milestones!$AA$57),"dd mmm yy"))&amp;" "&amp;Milestones!$AB$57&amp;" "&amp;Milestones!$AC$57&amp;";  ","")&amp;IF(AND(EDATE($D68,Milestones!$AA$58)&lt;=AsOfDate,IF($R68=0,$X68,IF(AND($T68&lt;&gt;"",EDATE($D68,Milestones!$AA$58)&gt;=$T68),$W68,IF(AND($S68&lt;&gt;"",EDATE($D68,Milestones!$AA$58)&gt;=$S68),$V68,$U68)))=Milestones!$AB$58),UPPER(TEXT(EDATE($D68,Milestones!$AA$58),"dd mmm yy"))&amp;" "&amp;Milestones!$AB$58&amp;" "&amp;Milestones!$AC$58&amp;";  ","")&amp;IF(AND(EDATE($D68,Milestones!$AA$59)&lt;=AsOfDate,IF($R68=0,$X68,IF(AND($T68&lt;&gt;"",EDATE($D68,Milestones!$AA$59)&gt;=$T68),$W68,IF(AND($S68&lt;&gt;"",EDATE($D68,Milestones!$AA$59)&gt;=$S68),$V68,$U68)))=Milestones!$AB$59),UPPER(TEXT(EDATE($D68,Milestones!$AA$59),"dd mmm yy"))&amp;" "&amp;Milestones!$AB$59&amp;" "&amp;Milestones!$AC$59&amp;";  ",""))</f>
        <v/>
      </c>
      <c r="K68" s="0" t="str">
        <f aca="false">IF(OR($A68="",$D68=""),"",IF(AND(EDATE($D68,Milestones!$AA$60)&lt;=AsOfDate,IF($R68=0,$X68,IF(AND($T68&lt;&gt;"",EDATE($D68,Milestones!$AA$60)&gt;=$T68),$W68,IF(AND($S68&lt;&gt;"",EDATE($D68,Milestones!$AA$60)&gt;=$S68),$V68,$U68)))=Milestones!$AB$60),UPPER(TEXT(EDATE($D68,Milestones!$AA$60),"dd mmm yy"))&amp;" "&amp;Milestones!$AB$60&amp;" "&amp;Milestones!$AC$60&amp;";  ","")&amp;IF(AND(EDATE($D68,Milestones!$AA$61)&lt;=AsOfDate,IF($R68=0,$X68,IF(AND($T68&lt;&gt;"",EDATE($D68,Milestones!$AA$61)&gt;=$T68),$W68,IF(AND($S68&lt;&gt;"",EDATE($D68,Milestones!$AA$61)&gt;=$S68),$V68,$U68)))=Milestones!$AB$61),UPPER(TEXT(EDATE($D68,Milestones!$AA$61),"dd mmm yy"))&amp;" "&amp;Milestones!$AB$61&amp;" "&amp;Milestones!$AC$61&amp;";  ","")&amp;IF(AND(EDATE($D68,Milestones!$AA$62)&lt;=AsOfDate,IF($R68=0,$X68,IF(AND($T68&lt;&gt;"",EDATE($D68,Milestones!$AA$62)&gt;=$T68),$W68,IF(AND($S68&lt;&gt;"",EDATE($D68,Milestones!$AA$62)&gt;=$S68),$V68,$U68)))=Milestones!$AB$62),UPPER(TEXT(EDATE($D68,Milestones!$AA$62),"dd mmm yy"))&amp;" "&amp;Milestones!$AB$62&amp;" "&amp;Milestones!$AC$62&amp;";  ","")&amp;IF(AND(EDATE($D68,Milestones!$AA$63)&lt;=AsOfDate,IF($R68=0,$X68,IF(AND($T68&lt;&gt;"",EDATE($D68,Milestones!$AA$63)&gt;=$T68),$W68,IF(AND($S68&lt;&gt;"",EDATE($D68,Milestones!$AA$63)&gt;=$S68),$V68,$U68)))=Milestones!$AB$63),UPPER(TEXT(EDATE($D68,Milestones!$AA$63),"dd mmm yy"))&amp;" "&amp;Milestones!$AB$63&amp;" "&amp;Milestones!$AC$63&amp;";  ","")&amp;IF(AND(EDATE($D68,Milestones!$AA$64)&lt;=AsOfDate,IF($R68=0,$X68,IF(AND($T68&lt;&gt;"",EDATE($D68,Milestones!$AA$64)&gt;=$T68),$W68,IF(AND($S68&lt;&gt;"",EDATE($D68,Milestones!$AA$64)&gt;=$S68),$V68,$U68)))=Milestones!$AB$64),UPPER(TEXT(EDATE($D68,Milestones!$AA$64),"dd mmm yy"))&amp;" "&amp;Milestones!$AB$64&amp;" "&amp;Milestones!$AC$64&amp;";  ","")&amp;IF(AND(EDATE($D68,Milestones!$AA$65)&lt;=AsOfDate,IF($R68=0,$X68,IF(AND($T68&lt;&gt;"",EDATE($D68,Milestones!$AA$65)&gt;=$T68),$W68,IF(AND($S68&lt;&gt;"",EDATE($D68,Milestones!$AA$65)&gt;=$S68),$V68,$U68)))=Milestones!$AB$65),UPPER(TEXT(EDATE($D68,Milestones!$AA$65),"dd mmm yy"))&amp;" "&amp;Milestones!$AB$65&amp;" "&amp;Milestones!$AC$65&amp;";  ","")&amp;IF(AND(EDATE($D68,Milestones!$AA$66)&lt;=AsOfDate,IF($R68=0,$X68,IF(AND($T68&lt;&gt;"",EDATE($D68,Milestones!$AA$66)&gt;=$T68),$W68,IF(AND($S68&lt;&gt;"",EDATE($D68,Milestones!$AA$66)&gt;=$S68),$V68,$U68)))=Milestones!$AB$66),UPPER(TEXT(EDATE($D68,Milestones!$AA$66),"dd mmm yy"))&amp;" "&amp;Milestones!$AB$66&amp;" "&amp;Milestones!$AC$66&amp;";  ","")&amp;IF(AND(EDATE($D68,Milestones!$AA$67)&lt;=AsOfDate,IF($R68=0,$X68,IF(AND($T68&lt;&gt;"",EDATE($D68,Milestones!$AA$67)&gt;=$T68),$W68,IF(AND($S68&lt;&gt;"",EDATE($D68,Milestones!$AA$67)&gt;=$S68),$V68,$U68)))=Milestones!$AB$67),UPPER(TEXT(EDATE($D68,Milestones!$AA$67),"dd mmm yy"))&amp;" "&amp;Milestones!$AB$67&amp;" "&amp;Milestones!$AC$67&amp;";  ","")&amp;IF(AND(EDATE($D68,Milestones!$AA$68)&lt;=AsOfDate,IF($R68=0,$X68,IF(AND($T68&lt;&gt;"",EDATE($D68,Milestones!$AA$68)&gt;=$T68),$W68,IF(AND($S68&lt;&gt;"",EDATE($D68,Milestones!$AA$68)&gt;=$S68),$V68,$U68)))=Milestones!$AB$68),UPPER(TEXT(EDATE($D68,Milestones!$AA$68),"dd mmm yy"))&amp;" "&amp;Milestones!$AB$68&amp;" "&amp;Milestones!$AC$68&amp;";  ","")&amp;IF(AND(EDATE($D68,Milestones!$AA$69)&lt;=AsOfDate,IF($R68=0,$X68,IF(AND($T68&lt;&gt;"",EDATE($D68,Milestones!$AA$69)&gt;=$T68),$W68,IF(AND($S68&lt;&gt;"",EDATE($D68,Milestones!$AA$69)&gt;=$S68),$V68,$U68)))=Milestones!$AB$69),UPPER(TEXT(EDATE($D68,Milestones!$AA$69),"dd mmm yy"))&amp;" "&amp;Milestones!$AB$69&amp;" "&amp;Milestones!$AC$69&amp;";  ","")&amp;IF(AND(EDATE($D68,Milestones!$AA$70)&lt;=AsOfDate,IF($R68=0,$X68,IF(AND($T68&lt;&gt;"",EDATE($D68,Milestones!$AA$70)&gt;=$T68),$W68,IF(AND($S68&lt;&gt;"",EDATE($D68,Milestones!$AA$70)&gt;=$S68),$V68,$U68)))=Milestones!$AB$70),UPPER(TEXT(EDATE($D68,Milestones!$AA$70),"dd mmm yy"))&amp;" "&amp;Milestones!$AB$70&amp;" "&amp;Milestones!$AC$70&amp;";  ","")&amp;IF(AND(EDATE($D68,Milestones!$AA$71)&lt;=AsOfDate,IF($R68=0,$X68,IF(AND($T68&lt;&gt;"",EDATE($D68,Milestones!$AA$71)&gt;=$T68),$W68,IF(AND($S68&lt;&gt;"",EDATE($D68,Milestones!$AA$71)&gt;=$S68),$V68,$U68)))=Milestones!$AB$71),UPPER(TEXT(EDATE($D68,Milestones!$AA$71),"dd mmm yy"))&amp;" "&amp;Milestones!$AB$71&amp;" "&amp;Milestones!$AC$71&amp;";  ","")&amp;IF(AND(EDATE($D68,Milestones!$AA$72)&lt;=AsOfDate,IF($R68=0,$X68,IF(AND($T68&lt;&gt;"",EDATE($D68,Milestones!$AA$72)&gt;=$T68),$W68,IF(AND($S68&lt;&gt;"",EDATE($D68,Milestones!$AA$72)&gt;=$S68),$V68,$U68)))=Milestones!$AB$72),UPPER(TEXT(EDATE($D68,Milestones!$AA$72),"dd mmm yy"))&amp;" "&amp;Milestones!$AB$72&amp;" "&amp;Milestones!$AC$72&amp;";  ","")&amp;IF(AND(EDATE($D68,Milestones!$AA$73)&lt;=AsOfDate,IF($R68=0,$X68,IF(AND($T68&lt;&gt;"",EDATE($D68,Milestones!$AA$73)&gt;=$T68),$W68,IF(AND($S68&lt;&gt;"",EDATE($D68,Milestones!$AA$73)&gt;=$S68),$V68,$U68)))=Milestones!$AB$73),UPPER(TEXT(EDATE($D68,Milestones!$AA$73),"dd mmm yy"))&amp;" "&amp;Milestones!$AB$73&amp;" "&amp;Milestones!$AC$73&amp;";  ","")&amp;IF(AND(EDATE($D68,Milestones!$AA$74)&lt;=AsOfDate,IF($R68=0,$X68,IF(AND($T68&lt;&gt;"",EDATE($D68,Milestones!$AA$74)&gt;=$T68),$W68,IF(AND($S68&lt;&gt;"",EDATE($D68,Milestones!$AA$74)&gt;=$S68),$V68,$U68)))=Milestones!$AB$74),UPPER(TEXT(EDATE($D68,Milestones!$AA$74),"dd mmm yy"))&amp;" "&amp;Milestones!$AB$74&amp;" "&amp;Milestones!$AC$74&amp;";  ","")&amp;IF(AND(EDATE($D68,Milestones!$AA$75)&lt;=AsOfDate,IF($R68=0,$X68,IF(AND($T68&lt;&gt;"",EDATE($D68,Milestones!$AA$75)&gt;=$T68),$W68,IF(AND($S68&lt;&gt;"",EDATE($D68,Milestones!$AA$75)&gt;=$S68),$V68,$U68)))=Milestones!$AB$75),UPPER(TEXT(EDATE($D68,Milestones!$AA$75),"dd mmm yy"))&amp;" "&amp;Milestones!$AB$75&amp;" "&amp;Milestones!$AC$75&amp;";  ","")&amp;IF(AND(EDATE($D68,Milestones!$AA$76)&lt;=AsOfDate,IF($R68=0,$X68,IF(AND($T68&lt;&gt;"",EDATE($D68,Milestones!$AA$76)&gt;=$T68),$W68,IF(AND($S68&lt;&gt;"",EDATE($D68,Milestones!$AA$76)&gt;=$S68),$V68,$U68)))=Milestones!$AB$76),UPPER(TEXT(EDATE($D68,Milestones!$AA$76),"dd mmm yy"))&amp;" "&amp;Milestones!$AB$76&amp;" "&amp;Milestones!$AC$76&amp;";  ","")&amp;IF(AND(EDATE($D68,Milestones!$AA$77)&lt;=AsOfDate,IF($R68=0,$X68,IF(AND($T68&lt;&gt;"",EDATE($D68,Milestones!$AA$77)&gt;=$T68),$W68,IF(AND($S68&lt;&gt;"",EDATE($D68,Milestones!$AA$77)&gt;=$S68),$V68,$U68)))=Milestones!$AB$77),UPPER(TEXT(EDATE($D68,Milestones!$AA$77),"dd mmm yy"))&amp;" "&amp;Milestones!$AB$77&amp;" "&amp;Milestones!$AC$77&amp;";  ","")&amp;IF(AND(EDATE($D68,Milestones!$AA$78)&lt;=AsOfDate,IF($R68=0,$X68,IF(AND($T68&lt;&gt;"",EDATE($D68,Milestones!$AA$78)&gt;=$T68),$W68,IF(AND($S68&lt;&gt;"",EDATE($D68,Milestones!$AA$78)&gt;=$S68),$V68,$U68)))=Milestones!$AB$78),UPPER(TEXT(EDATE($D68,Milestones!$AA$78),"dd mmm yy"))&amp;" "&amp;Milestones!$AB$78&amp;" "&amp;Milestones!$AC$78&amp;";  ","")&amp;IF(AND(EDATE($D68,Milestones!$AA$79)&lt;=AsOfDate,IF($R68=0,$X68,IF(AND($T68&lt;&gt;"",EDATE($D68,Milestones!$AA$79)&gt;=$T68),$W68,IF(AND($S68&lt;&gt;"",EDATE($D68,Milestones!$AA$79)&gt;=$S68),$V68,$U68)))=Milestones!$AB$79),UPPER(TEXT(EDATE($D68,Milestones!$AA$79),"dd mmm yy"))&amp;" "&amp;Milestones!$AB$79&amp;" "&amp;Milestones!$AC$79&amp;";  ",""))</f>
        <v/>
      </c>
      <c r="L68" s="0" t="str">
        <f aca="false">IF(OR($A68="",$D68=""),"",IF(AND(EDATE($D68,Milestones!$AA$80)&lt;=AsOfDate,IF($R68=0,$X68,IF(AND($T68&lt;&gt;"",EDATE($D68,Milestones!$AA$80)&gt;=$T68),$W68,IF(AND($S68&lt;&gt;"",EDATE($D68,Milestones!$AA$80)&gt;=$S68),$V68,$U68)))=Milestones!$AB$80),UPPER(TEXT(EDATE($D68,Milestones!$AA$80),"dd mmm yy"))&amp;" "&amp;Milestones!$AB$80&amp;" "&amp;Milestones!$AC$80&amp;";  ","")&amp;IF(AND(EDATE($D68,Milestones!$AA$81)&lt;=AsOfDate,IF($R68=0,$X68,IF(AND($T68&lt;&gt;"",EDATE($D68,Milestones!$AA$81)&gt;=$T68),$W68,IF(AND($S68&lt;&gt;"",EDATE($D68,Milestones!$AA$81)&gt;=$S68),$V68,$U68)))=Milestones!$AB$81),UPPER(TEXT(EDATE($D68,Milestones!$AA$81),"dd mmm yy"))&amp;" "&amp;Milestones!$AB$81&amp;" "&amp;Milestones!$AC$81&amp;";  ","")&amp;IF(AND(EDATE($D68,Milestones!$AA$82)&lt;=AsOfDate,IF($R68=0,$X68,IF(AND($T68&lt;&gt;"",EDATE($D68,Milestones!$AA$82)&gt;=$T68),$W68,IF(AND($S68&lt;&gt;"",EDATE($D68,Milestones!$AA$82)&gt;=$S68),$V68,$U68)))=Milestones!$AB$82),UPPER(TEXT(EDATE($D68,Milestones!$AA$82),"dd mmm yy"))&amp;" "&amp;Milestones!$AB$82&amp;" "&amp;Milestones!$AC$82&amp;";  ","")&amp;IF(AND(EDATE($D68,Milestones!$AA$83)&lt;=AsOfDate,IF($R68=0,$X68,IF(AND($T68&lt;&gt;"",EDATE($D68,Milestones!$AA$83)&gt;=$T68),$W68,IF(AND($S68&lt;&gt;"",EDATE($D68,Milestones!$AA$83)&gt;=$S68),$V68,$U68)))=Milestones!$AB$83),UPPER(TEXT(EDATE($D68,Milestones!$AA$83),"dd mmm yy"))&amp;" "&amp;Milestones!$AB$83&amp;" "&amp;Milestones!$AC$83&amp;";  ","")&amp;IF(AND(EDATE($D68,Milestones!$AA$84)&lt;=AsOfDate,IF($R68=0,$X68,IF(AND($T68&lt;&gt;"",EDATE($D68,Milestones!$AA$84)&gt;=$T68),$W68,IF(AND($S68&lt;&gt;"",EDATE($D68,Milestones!$AA$84)&gt;=$S68),$V68,$U68)))=Milestones!$AB$84),UPPER(TEXT(EDATE($D68,Milestones!$AA$84),"dd mmm yy"))&amp;" "&amp;Milestones!$AB$84&amp;" "&amp;Milestones!$AC$84&amp;";  ","")&amp;IF(AND(EDATE($D68,Milestones!$AA$85)&lt;=AsOfDate,IF($R68=0,$X68,IF(AND($T68&lt;&gt;"",EDATE($D68,Milestones!$AA$85)&gt;=$T68),$W68,IF(AND($S68&lt;&gt;"",EDATE($D68,Milestones!$AA$85)&gt;=$S68),$V68,$U68)))=Milestones!$AB$85),UPPER(TEXT(EDATE($D68,Milestones!$AA$85),"dd mmm yy"))&amp;" "&amp;Milestones!$AB$85&amp;" "&amp;Milestones!$AC$85&amp;";  ","")&amp;IF(AND(EDATE($D68,Milestones!$AA$86)&lt;=AsOfDate,IF($R68=0,$X68,IF(AND($T68&lt;&gt;"",EDATE($D68,Milestones!$AA$86)&gt;=$T68),$W68,IF(AND($S68&lt;&gt;"",EDATE($D68,Milestones!$AA$86)&gt;=$S68),$V68,$U68)))=Milestones!$AB$86),UPPER(TEXT(EDATE($D68,Milestones!$AA$86),"dd mmm yy"))&amp;" "&amp;Milestones!$AB$86&amp;" "&amp;Milestones!$AC$86&amp;";  ","")&amp;IF(AND(EDATE($D68,Milestones!$AA$87)&lt;=AsOfDate,IF($R68=0,$X68,IF(AND($T68&lt;&gt;"",EDATE($D68,Milestones!$AA$87)&gt;=$T68),$W68,IF(AND($S68&lt;&gt;"",EDATE($D68,Milestones!$AA$87)&gt;=$S68),$V68,$U68)))=Milestones!$AB$87),UPPER(TEXT(EDATE($D68,Milestones!$AA$87),"dd mmm yy"))&amp;" "&amp;Milestones!$AB$87&amp;" "&amp;Milestones!$AC$87&amp;";  ","")&amp;IF(AND(EDATE($D68,Milestones!$AA$88)&lt;=AsOfDate,IF($R68=0,$X68,IF(AND($T68&lt;&gt;"",EDATE($D68,Milestones!$AA$88)&gt;=$T68),$W68,IF(AND($S68&lt;&gt;"",EDATE($D68,Milestones!$AA$88)&gt;=$S68),$V68,$U68)))=Milestones!$AB$88),UPPER(TEXT(EDATE($D68,Milestones!$AA$88),"dd mmm yy"))&amp;" "&amp;Milestones!$AB$88&amp;" "&amp;Milestones!$AC$88&amp;";  ","")&amp;IF(AND(EDATE($D68,Milestones!$AA$89)&lt;=AsOfDate,IF($R68=0,$X68,IF(AND($T68&lt;&gt;"",EDATE($D68,Milestones!$AA$89)&gt;=$T68),$W68,IF(AND($S68&lt;&gt;"",EDATE($D68,Milestones!$AA$89)&gt;=$S68),$V68,$U68)))=Milestones!$AB$89),UPPER(TEXT(EDATE($D68,Milestones!$AA$89),"dd mmm yy"))&amp;" "&amp;Milestones!$AB$89&amp;" "&amp;Milestones!$AC$89&amp;";  ","")&amp;IF(AND(EDATE($D68,Milestones!$AA$90)&lt;=AsOfDate,IF($R68=0,$X68,IF(AND($T68&lt;&gt;"",EDATE($D68,Milestones!$AA$90)&gt;=$T68),$W68,IF(AND($S68&lt;&gt;"",EDATE($D68,Milestones!$AA$90)&gt;=$S68),$V68,$U68)))=Milestones!$AB$90),UPPER(TEXT(EDATE($D68,Milestones!$AA$90),"dd mmm yy"))&amp;" "&amp;Milestones!$AB$90&amp;" "&amp;Milestones!$AC$90&amp;";  ","")&amp;IF(AND(EDATE($D68,Milestones!$AA$91)&lt;=AsOfDate,IF($R68=0,$X68,IF(AND($T68&lt;&gt;"",EDATE($D68,Milestones!$AA$91)&gt;=$T68),$W68,IF(AND($S68&lt;&gt;"",EDATE($D68,Milestones!$AA$91)&gt;=$S68),$V68,$U68)))=Milestones!$AB$91),UPPER(TEXT(EDATE($D68,Milestones!$AA$91),"dd mmm yy"))&amp;" "&amp;Milestones!$AB$91&amp;" "&amp;Milestones!$AC$91&amp;";  ","")&amp;IF(AND(EDATE($D68,Milestones!$AA$92)&lt;=AsOfDate,IF($R68=0,$X68,IF(AND($T68&lt;&gt;"",EDATE($D68,Milestones!$AA$92)&gt;=$T68),$W68,IF(AND($S68&lt;&gt;"",EDATE($D68,Milestones!$AA$92)&gt;=$S68),$V68,$U68)))=Milestones!$AB$92),UPPER(TEXT(EDATE($D68,Milestones!$AA$92),"dd mmm yy"))&amp;" "&amp;Milestones!$AB$92&amp;" "&amp;Milestones!$AC$92&amp;";  ","")&amp;IF(AND(EDATE($D68,Milestones!$AA$93)&lt;=AsOfDate,IF($R68=0,$X68,IF(AND($T68&lt;&gt;"",EDATE($D68,Milestones!$AA$93)&gt;=$T68),$W68,IF(AND($S68&lt;&gt;"",EDATE($D68,Milestones!$AA$93)&gt;=$S68),$V68,$U68)))=Milestones!$AB$93),UPPER(TEXT(EDATE($D68,Milestones!$AA$93),"dd mmm yy"))&amp;" "&amp;Milestones!$AB$93&amp;" "&amp;Milestones!$AC$93&amp;";  ","")&amp;IF(AND(EDATE($D68,Milestones!$AA$94)&lt;=AsOfDate,IF($R68=0,$X68,IF(AND($T68&lt;&gt;"",EDATE($D68,Milestones!$AA$94)&gt;=$T68),$W68,IF(AND($S68&lt;&gt;"",EDATE($D68,Milestones!$AA$94)&gt;=$S68),$V68,$U68)))=Milestones!$AB$94),UPPER(TEXT(EDATE($D68,Milestones!$AA$94),"dd mmm yy"))&amp;" "&amp;Milestones!$AB$94&amp;" "&amp;Milestones!$AC$94&amp;";  ","")&amp;IF(AND(EDATE($D68,Milestones!$AA$95)&lt;=AsOfDate,IF($R68=0,$X68,IF(AND($T68&lt;&gt;"",EDATE($D68,Milestones!$AA$95)&gt;=$T68),$W68,IF(AND($S68&lt;&gt;"",EDATE($D68,Milestones!$AA$95)&gt;=$S68),$V68,$U68)))=Milestones!$AB$95),UPPER(TEXT(EDATE($D68,Milestones!$AA$95),"dd mmm yy"))&amp;" "&amp;Milestones!$AB$95&amp;" "&amp;Milestones!$AC$95&amp;";  ","")&amp;IF(AND(EDATE($D68,Milestones!$AA$96)&lt;=AsOfDate,IF($R68=0,$X68,IF(AND($T68&lt;&gt;"",EDATE($D68,Milestones!$AA$96)&gt;=$T68),$W68,IF(AND($S68&lt;&gt;"",EDATE($D68,Milestones!$AA$96)&gt;=$S68),$V68,$U68)))=Milestones!$AB$96),UPPER(TEXT(EDATE($D68,Milestones!$AA$96),"dd mmm yy"))&amp;" "&amp;Milestones!$AB$96&amp;" "&amp;Milestones!$AC$96&amp;";  ","")&amp;IF(AND(EDATE($D68,Milestones!$AA$97)&lt;=AsOfDate,IF($R68=0,$X68,IF(AND($T68&lt;&gt;"",EDATE($D68,Milestones!$AA$97)&gt;=$T68),$W68,IF(AND($S68&lt;&gt;"",EDATE($D68,Milestones!$AA$97)&gt;=$S68),$V68,$U68)))=Milestones!$AB$97),UPPER(TEXT(EDATE($D68,Milestones!$AA$97),"dd mmm yy"))&amp;" "&amp;Milestones!$AB$97&amp;" "&amp;Milestones!$AC$97&amp;";  ","")&amp;IF(AND(EDATE($D68,Milestones!$AA$98)&lt;=AsOfDate,IF($R68=0,$X68,IF(AND($T68&lt;&gt;"",EDATE($D68,Milestones!$AA$98)&gt;=$T68),$W68,IF(AND($S68&lt;&gt;"",EDATE($D68,Milestones!$AA$98)&gt;=$S68),$V68,$U68)))=Milestones!$AB$98),UPPER(TEXT(EDATE($D68,Milestones!$AA$98),"dd mmm yy"))&amp;" "&amp;Milestones!$AB$98&amp;" "&amp;Milestones!$AC$98&amp;";  ","")&amp;IF(AND(EDATE($D68,Milestones!$AA$99)&lt;=AsOfDate,IF($R68=0,$X68,IF(AND($T68&lt;&gt;"",EDATE($D68,Milestones!$AA$99)&gt;=$T68),$W68,IF(AND($S68&lt;&gt;"",EDATE($D68,Milestones!$AA$99)&gt;=$S68),$V68,$U68)))=Milestones!$AB$99),UPPER(TEXT(EDATE($D68,Milestones!$AA$99),"dd mmm yy"))&amp;" "&amp;Milestones!$AB$99&amp;" "&amp;Milestones!$AC$99&amp;";  ",""))</f>
        <v/>
      </c>
      <c r="M68" s="0" t="str">
        <f aca="false">IF(OR($A68="",$D68=""),"",IF(AND(EDATE($D68,Milestones!$AA$100)&lt;=AsOfDate,IF($R68=0,$X68,IF(AND($T68&lt;&gt;"",EDATE($D68,Milestones!$AA$100)&gt;=$T68),$W68,IF(AND($S68&lt;&gt;"",EDATE($D68,Milestones!$AA$100)&gt;=$S68),$V68,$U68)))=Milestones!$AB$100),UPPER(TEXT(EDATE($D68,Milestones!$AA$100),"dd mmm yy"))&amp;" "&amp;Milestones!$AB$100&amp;" "&amp;Milestones!$AC$100&amp;";  ","")&amp;IF(AND(EDATE($D68,Milestones!$AA$101)&lt;=AsOfDate,IF($R68=0,$X68,IF(AND($T68&lt;&gt;"",EDATE($D68,Milestones!$AA$101)&gt;=$T68),$W68,IF(AND($S68&lt;&gt;"",EDATE($D68,Milestones!$AA$101)&gt;=$S68),$V68,$U68)))=Milestones!$AB$101),UPPER(TEXT(EDATE($D68,Milestones!$AA$101),"dd mmm yy"))&amp;" "&amp;Milestones!$AB$101&amp;" "&amp;Milestones!$AC$101&amp;";  ","")&amp;IF(AND(EDATE($D68,Milestones!$AA$102)&lt;=AsOfDate,IF($R68=0,$X68,IF(AND($T68&lt;&gt;"",EDATE($D68,Milestones!$AA$102)&gt;=$T68),$W68,IF(AND($S68&lt;&gt;"",EDATE($D68,Milestones!$AA$102)&gt;=$S68),$V68,$U68)))=Milestones!$AB$102),UPPER(TEXT(EDATE($D68,Milestones!$AA$102),"dd mmm yy"))&amp;" "&amp;Milestones!$AB$102&amp;" "&amp;Milestones!$AC$102&amp;";  ","")&amp;IF(AND(EDATE($D68,Milestones!$AA$103)&lt;=AsOfDate,IF($R68=0,$X68,IF(AND($T68&lt;&gt;"",EDATE($D68,Milestones!$AA$103)&gt;=$T68),$W68,IF(AND($S68&lt;&gt;"",EDATE($D68,Milestones!$AA$103)&gt;=$S68),$V68,$U68)))=Milestones!$AB$103),UPPER(TEXT(EDATE($D68,Milestones!$AA$103),"dd mmm yy"))&amp;" "&amp;Milestones!$AB$103&amp;" "&amp;Milestones!$AC$103&amp;";  ","")&amp;IF(AND(EDATE($D68,Milestones!$AA$104)&lt;=AsOfDate,IF($R68=0,$X68,IF(AND($T68&lt;&gt;"",EDATE($D68,Milestones!$AA$104)&gt;=$T68),$W68,IF(AND($S68&lt;&gt;"",EDATE($D68,Milestones!$AA$104)&gt;=$S68),$V68,$U68)))=Milestones!$AB$104),UPPER(TEXT(EDATE($D68,Milestones!$AA$104),"dd mmm yy"))&amp;" "&amp;Milestones!$AB$104&amp;" "&amp;Milestones!$AC$104&amp;";  ","")&amp;IF(AND(EDATE($D68,Milestones!$AA$105)&lt;=AsOfDate,IF($R68=0,$X68,IF(AND($T68&lt;&gt;"",EDATE($D68,Milestones!$AA$105)&gt;=$T68),$W68,IF(AND($S68&lt;&gt;"",EDATE($D68,Milestones!$AA$105)&gt;=$S68),$V68,$U68)))=Milestones!$AB$105),UPPER(TEXT(EDATE($D68,Milestones!$AA$105),"dd mmm yy"))&amp;" "&amp;Milestones!$AB$105&amp;" "&amp;Milestones!$AC$105&amp;";  ","")&amp;IF(AND(EDATE($D68,Milestones!$AA$106)&lt;=AsOfDate,IF($R68=0,$X68,IF(AND($T68&lt;&gt;"",EDATE($D68,Milestones!$AA$106)&gt;=$T68),$W68,IF(AND($S68&lt;&gt;"",EDATE($D68,Milestones!$AA$106)&gt;=$S68),$V68,$U68)))=Milestones!$AB$106),UPPER(TEXT(EDATE($D68,Milestones!$AA$106),"dd mmm yy"))&amp;" "&amp;Milestones!$AB$106&amp;" "&amp;Milestones!$AC$106&amp;";  ","")&amp;IF(AND(EDATE($D68,Milestones!$AA$107)&lt;=AsOfDate,IF($R68=0,$X68,IF(AND($T68&lt;&gt;"",EDATE($D68,Milestones!$AA$107)&gt;=$T68),$W68,IF(AND($S68&lt;&gt;"",EDATE($D68,Milestones!$AA$107)&gt;=$S68),$V68,$U68)))=Milestones!$AB$107),UPPER(TEXT(EDATE($D68,Milestones!$AA$107),"dd mmm yy"))&amp;" "&amp;Milestones!$AB$107&amp;" "&amp;Milestones!$AC$107&amp;";  ","")&amp;IF(AND(EDATE($D68,Milestones!$AA$108)&lt;=AsOfDate,IF($R68=0,$X68,IF(AND($T68&lt;&gt;"",EDATE($D68,Milestones!$AA$108)&gt;=$T68),$W68,IF(AND($S68&lt;&gt;"",EDATE($D68,Milestones!$AA$108)&gt;=$S68),$V68,$U68)))=Milestones!$AB$108),UPPER(TEXT(EDATE($D68,Milestones!$AA$108),"dd mmm yy"))&amp;" "&amp;Milestones!$AB$108&amp;" "&amp;Milestones!$AC$108&amp;";  ","")&amp;IF(AND(EDATE($D68,Milestones!$AA$109)&lt;=AsOfDate,IF($R68=0,$X68,IF(AND($T68&lt;&gt;"",EDATE($D68,Milestones!$AA$109)&gt;=$T68),$W68,IF(AND($S68&lt;&gt;"",EDATE($D68,Milestones!$AA$109)&gt;=$S68),$V68,$U68)))=Milestones!$AB$109),UPPER(TEXT(EDATE($D68,Milestones!$AA$109),"dd mmm yy"))&amp;" "&amp;Milestones!$AB$109&amp;" "&amp;Milestones!$AC$109&amp;";  ","")&amp;IF(AND(EDATE($D68,Milestones!$AA$110)&lt;=AsOfDate,IF($R68=0,$X68,IF(AND($T68&lt;&gt;"",EDATE($D68,Milestones!$AA$110)&gt;=$T68),$W68,IF(AND($S68&lt;&gt;"",EDATE($D68,Milestones!$AA$110)&gt;=$S68),$V68,$U68)))=Milestones!$AB$110),UPPER(TEXT(EDATE($D68,Milestones!$AA$110),"dd mmm yy"))&amp;" "&amp;Milestones!$AB$110&amp;" "&amp;Milestones!$AC$110&amp;";  ","")&amp;IF(AND(EDATE($D68,Milestones!$AA$111)&lt;=AsOfDate,IF($R68=0,$X68,IF(AND($T68&lt;&gt;"",EDATE($D68,Milestones!$AA$111)&gt;=$T68),$W68,IF(AND($S68&lt;&gt;"",EDATE($D68,Milestones!$AA$111)&gt;=$S68),$V68,$U68)))=Milestones!$AB$111),UPPER(TEXT(EDATE($D68,Milestones!$AA$111),"dd mmm yy"))&amp;" "&amp;Milestones!$AB$111&amp;" "&amp;Milestones!$AC$111&amp;";  ","")&amp;IF(AND(EDATE($D68,Milestones!$AA$112)&lt;=AsOfDate,IF($R68=0,$X68,IF(AND($T68&lt;&gt;"",EDATE($D68,Milestones!$AA$112)&gt;=$T68),$W68,IF(AND($S68&lt;&gt;"",EDATE($D68,Milestones!$AA$112)&gt;=$S68),$V68,$U68)))=Milestones!$AB$112),UPPER(TEXT(EDATE($D68,Milestones!$AA$112),"dd mmm yy"))&amp;" "&amp;Milestones!$AB$112&amp;" "&amp;Milestones!$AC$112&amp;";  ","")&amp;IF(AND(EDATE($D68,Milestones!$AA$113)&lt;=AsOfDate,IF($R68=0,$X68,IF(AND($T68&lt;&gt;"",EDATE($D68,Milestones!$AA$113)&gt;=$T68),$W68,IF(AND($S68&lt;&gt;"",EDATE($D68,Milestones!$AA$113)&gt;=$S68),$V68,$U68)))=Milestones!$AB$113),UPPER(TEXT(EDATE($D68,Milestones!$AA$113),"dd mmm yy"))&amp;" "&amp;Milestones!$AB$113&amp;" "&amp;Milestones!$AC$113&amp;";  ","")&amp;IF(AND(EDATE($D68,Milestones!$AA$114)&lt;=AsOfDate,IF($R68=0,$X68,IF(AND($T68&lt;&gt;"",EDATE($D68,Milestones!$AA$114)&gt;=$T68),$W68,IF(AND($S68&lt;&gt;"",EDATE($D68,Milestones!$AA$114)&gt;=$S68),$V68,$U68)))=Milestones!$AB$114),UPPER(TEXT(EDATE($D68,Milestones!$AA$114),"dd mmm yy"))&amp;" "&amp;Milestones!$AB$114&amp;" "&amp;Milestones!$AC$114&amp;";  ","")&amp;IF(AND(EDATE($D68,Milestones!$AA$115)&lt;=AsOfDate,IF($R68=0,$X68,IF(AND($T68&lt;&gt;"",EDATE($D68,Milestones!$AA$115)&gt;=$T68),$W68,IF(AND($S68&lt;&gt;"",EDATE($D68,Milestones!$AA$115)&gt;=$S68),$V68,$U68)))=Milestones!$AB$115),UPPER(TEXT(EDATE($D68,Milestones!$AA$115),"dd mmm yy"))&amp;" "&amp;Milestones!$AB$115&amp;" "&amp;Milestones!$AC$115&amp;";  ","")&amp;IF(AND(EDATE($D68,Milestones!$AA$116)&lt;=AsOfDate,IF($R68=0,$X68,IF(AND($T68&lt;&gt;"",EDATE($D68,Milestones!$AA$116)&gt;=$T68),$W68,IF(AND($S68&lt;&gt;"",EDATE($D68,Milestones!$AA$116)&gt;=$S68),$V68,$U68)))=Milestones!$AB$116),UPPER(TEXT(EDATE($D68,Milestones!$AA$116),"dd mmm yy"))&amp;" "&amp;Milestones!$AB$116&amp;" "&amp;Milestones!$AC$116&amp;";  ","")&amp;IF(AND(EDATE($D68,Milestones!$AA$117)&lt;=AsOfDate,IF($R68=0,$X68,IF(AND($T68&lt;&gt;"",EDATE($D68,Milestones!$AA$117)&gt;=$T68),$W68,IF(AND($S68&lt;&gt;"",EDATE($D68,Milestones!$AA$117)&gt;=$S68),$V68,$U68)))=Milestones!$AB$117),UPPER(TEXT(EDATE($D68,Milestones!$AA$117),"dd mmm yy"))&amp;" "&amp;Milestones!$AB$117&amp;" "&amp;Milestones!$AC$117&amp;";  ","")&amp;IF(AND(EDATE($D68,Milestones!$AA$118)&lt;=AsOfDate,IF($R68=0,$X68,IF(AND($T68&lt;&gt;"",EDATE($D68,Milestones!$AA$118)&gt;=$T68),$W68,IF(AND($S68&lt;&gt;"",EDATE($D68,Milestones!$AA$118)&gt;=$S68),$V68,$U68)))=Milestones!$AB$118),UPPER(TEXT(EDATE($D68,Milestones!$AA$118),"dd mmm yy"))&amp;" "&amp;Milestones!$AB$118&amp;" "&amp;Milestones!$AC$118&amp;";  ","")&amp;IF(AND(EDATE($D68,Milestones!$AA$119)&lt;=AsOfDate,IF($R68=0,$X68,IF(AND($T68&lt;&gt;"",EDATE($D68,Milestones!$AA$119)&gt;=$T68),$W68,IF(AND($S68&lt;&gt;"",EDATE($D68,Milestones!$AA$119)&gt;=$S68),$V68,$U68)))=Milestones!$AB$119),UPPER(TEXT(EDATE($D68,Milestones!$AA$119),"dd mmm yy"))&amp;" "&amp;Milestones!$AB$119&amp;" "&amp;Milestones!$AC$119&amp;";  ",""))</f>
        <v/>
      </c>
      <c r="N68" s="0" t="str">
        <f aca="false">IF(OR($A68="",$D68=""),"",IF(AND(EDATE($D68,Milestones!$AA$120)&lt;=AsOfDate,IF($R68=0,$X68,IF(AND($T68&lt;&gt;"",EDATE($D68,Milestones!$AA$120)&gt;=$T68),$W68,IF(AND($S68&lt;&gt;"",EDATE($D68,Milestones!$AA$120)&gt;=$S68),$V68,$U68)))=Milestones!$AB$120),UPPER(TEXT(EDATE($D68,Milestones!$AA$120),"dd mmm yy"))&amp;" "&amp;Milestones!$AB$120&amp;" "&amp;Milestones!$AC$120&amp;";  ","")&amp;IF(AND(EDATE($D68,Milestones!$AA$121)&lt;=AsOfDate,IF($R68=0,$X68,IF(AND($T68&lt;&gt;"",EDATE($D68,Milestones!$AA$121)&gt;=$T68),$W68,IF(AND($S68&lt;&gt;"",EDATE($D68,Milestones!$AA$121)&gt;=$S68),$V68,$U68)))=Milestones!$AB$121),UPPER(TEXT(EDATE($D68,Milestones!$AA$121),"dd mmm yy"))&amp;" "&amp;Milestones!$AB$121&amp;" "&amp;Milestones!$AC$121&amp;";  ","")&amp;IF(AND(EDATE($D68,Milestones!$AA$122)&lt;=AsOfDate,IF($R68=0,$X68,IF(AND($T68&lt;&gt;"",EDATE($D68,Milestones!$AA$122)&gt;=$T68),$W68,IF(AND($S68&lt;&gt;"",EDATE($D68,Milestones!$AA$122)&gt;=$S68),$V68,$U68)))=Milestones!$AB$122),UPPER(TEXT(EDATE($D68,Milestones!$AA$122),"dd mmm yy"))&amp;" "&amp;Milestones!$AB$122&amp;" "&amp;Milestones!$AC$122&amp;";  ","")&amp;IF(AND(EDATE($D68,Milestones!$AA$123)&lt;=AsOfDate,IF($R68=0,$X68,IF(AND($T68&lt;&gt;"",EDATE($D68,Milestones!$AA$123)&gt;=$T68),$W68,IF(AND($S68&lt;&gt;"",EDATE($D68,Milestones!$AA$123)&gt;=$S68),$V68,$U68)))=Milestones!$AB$123),UPPER(TEXT(EDATE($D68,Milestones!$AA$123),"dd mmm yy"))&amp;" "&amp;Milestones!$AB$123&amp;" "&amp;Milestones!$AC$123&amp;";  ","")&amp;IF(AND(EDATE($D68,Milestones!$AA$124)&lt;=AsOfDate,IF($R68=0,$X68,IF(AND($T68&lt;&gt;"",EDATE($D68,Milestones!$AA$124)&gt;=$T68),$W68,IF(AND($S68&lt;&gt;"",EDATE($D68,Milestones!$AA$124)&gt;=$S68),$V68,$U68)))=Milestones!$AB$124),UPPER(TEXT(EDATE($D68,Milestones!$AA$124),"dd mmm yy"))&amp;" "&amp;Milestones!$AB$124&amp;" "&amp;Milestones!$AC$124&amp;";  ","")&amp;IF(AND(EDATE($D68,Milestones!$AA$125)&lt;=AsOfDate,IF($R68=0,$X68,IF(AND($T68&lt;&gt;"",EDATE($D68,Milestones!$AA$125)&gt;=$T68),$W68,IF(AND($S68&lt;&gt;"",EDATE($D68,Milestones!$AA$125)&gt;=$S68),$V68,$U68)))=Milestones!$AB$125),UPPER(TEXT(EDATE($D68,Milestones!$AA$125),"dd mmm yy"))&amp;" "&amp;Milestones!$AB$125&amp;" "&amp;Milestones!$AC$125&amp;";  ","")&amp;IF(AND(EDATE($D68,Milestones!$AA$126)&lt;=AsOfDate,IF($R68=0,$X68,IF(AND($T68&lt;&gt;"",EDATE($D68,Milestones!$AA$126)&gt;=$T68),$W68,IF(AND($S68&lt;&gt;"",EDATE($D68,Milestones!$AA$126)&gt;=$S68),$V68,$U68)))=Milestones!$AB$126),UPPER(TEXT(EDATE($D68,Milestones!$AA$126),"dd mmm yy"))&amp;" "&amp;Milestones!$AB$126&amp;" "&amp;Milestones!$AC$126&amp;";  ","")&amp;IF(AND(EDATE($D68,Milestones!$AA$127)&lt;=AsOfDate,IF($R68=0,$X68,IF(AND($T68&lt;&gt;"",EDATE($D68,Milestones!$AA$127)&gt;=$T68),$W68,IF(AND($S68&lt;&gt;"",EDATE($D68,Milestones!$AA$127)&gt;=$S68),$V68,$U68)))=Milestones!$AB$127),UPPER(TEXT(EDATE($D68,Milestones!$AA$127),"dd mmm yy"))&amp;" "&amp;Milestones!$AB$127&amp;" "&amp;Milestones!$AC$127&amp;";  ","")&amp;IF(AND(EDATE($D68,Milestones!$AA$128)&lt;=AsOfDate,IF($R68=0,$X68,IF(AND($T68&lt;&gt;"",EDATE($D68,Milestones!$AA$128)&gt;=$T68),$W68,IF(AND($S68&lt;&gt;"",EDATE($D68,Milestones!$AA$128)&gt;=$S68),$V68,$U68)))=Milestones!$AB$128),UPPER(TEXT(EDATE($D68,Milestones!$AA$128),"dd mmm yy"))&amp;" "&amp;Milestones!$AB$128&amp;" "&amp;Milestones!$AC$128&amp;";  ","")&amp;IF(AND(EDATE($D68,Milestones!$AA$129)&lt;=AsOfDate,IF($R68=0,$X68,IF(AND($T68&lt;&gt;"",EDATE($D68,Milestones!$AA$129)&gt;=$T68),$W68,IF(AND($S68&lt;&gt;"",EDATE($D68,Milestones!$AA$129)&gt;=$S68),$V68,$U68)))=Milestones!$AB$129),UPPER(TEXT(EDATE($D68,Milestones!$AA$129),"dd mmm yy"))&amp;" "&amp;Milestones!$AB$129&amp;" "&amp;Milestones!$AC$129&amp;";  ","")&amp;IF(AND(EDATE($D68,Milestones!$AA$130)&lt;=AsOfDate,IF($R68=0,$X68,IF(AND($T68&lt;&gt;"",EDATE($D68,Milestones!$AA$130)&gt;=$T68),$W68,IF(AND($S68&lt;&gt;"",EDATE($D68,Milestones!$AA$130)&gt;=$S68),$V68,$U68)))=Milestones!$AB$130),UPPER(TEXT(EDATE($D68,Milestones!$AA$130),"dd mmm yy"))&amp;" "&amp;Milestones!$AB$130&amp;" "&amp;Milestones!$AC$130&amp;";  ","")&amp;IF(AND(EDATE($D68,Milestones!$AA$131)&lt;=AsOfDate,IF($R68=0,$X68,IF(AND($T68&lt;&gt;"",EDATE($D68,Milestones!$AA$131)&gt;=$T68),$W68,IF(AND($S68&lt;&gt;"",EDATE($D68,Milestones!$AA$131)&gt;=$S68),$V68,$U68)))=Milestones!$AB$131),UPPER(TEXT(EDATE($D68,Milestones!$AA$131),"dd mmm yy"))&amp;" "&amp;Milestones!$AB$131&amp;" "&amp;Milestones!$AC$131&amp;";  ","")&amp;IF(AND(EDATE($D68,Milestones!$AA$132)&lt;=AsOfDate,IF($R68=0,$X68,IF(AND($T68&lt;&gt;"",EDATE($D68,Milestones!$AA$132)&gt;=$T68),$W68,IF(AND($S68&lt;&gt;"",EDATE($D68,Milestones!$AA$132)&gt;=$S68),$V68,$U68)))=Milestones!$AB$132),UPPER(TEXT(EDATE($D68,Milestones!$AA$132),"dd mmm yy"))&amp;" "&amp;Milestones!$AB$132&amp;" "&amp;Milestones!$AC$132&amp;";  ","")&amp;IF(AND(EDATE($D68,Milestones!$AA$133)&lt;=AsOfDate,IF($R68=0,$X68,IF(AND($T68&lt;&gt;"",EDATE($D68,Milestones!$AA$133)&gt;=$T68),$W68,IF(AND($S68&lt;&gt;"",EDATE($D68,Milestones!$AA$133)&gt;=$S68),$V68,$U68)))=Milestones!$AB$133),UPPER(TEXT(EDATE($D68,Milestones!$AA$133),"dd mmm yy"))&amp;" "&amp;Milestones!$AB$133&amp;" "&amp;Milestones!$AC$133&amp;";  ","")&amp;IF(AND(EDATE($D68,Milestones!$AA$134)&lt;=AsOfDate,IF($R68=0,$X68,IF(AND($T68&lt;&gt;"",EDATE($D68,Milestones!$AA$134)&gt;=$T68),$W68,IF(AND($S68&lt;&gt;"",EDATE($D68,Milestones!$AA$134)&gt;=$S68),$V68,$U68)))=Milestones!$AB$134),UPPER(TEXT(EDATE($D68,Milestones!$AA$134),"dd mmm yy"))&amp;" "&amp;Milestones!$AB$134&amp;" "&amp;Milestones!$AC$134&amp;";  ","")&amp;IF(AND(EDATE($D68,Milestones!$AA$135)&lt;=AsOfDate,IF($R68=0,$X68,IF(AND($T68&lt;&gt;"",EDATE($D68,Milestones!$AA$135)&gt;=$T68),$W68,IF(AND($S68&lt;&gt;"",EDATE($D68,Milestones!$AA$135)&gt;=$S68),$V68,$U68)))=Milestones!$AB$135),UPPER(TEXT(EDATE($D68,Milestones!$AA$135),"dd mmm yy"))&amp;" "&amp;Milestones!$AB$135&amp;" "&amp;Milestones!$AC$135&amp;";  ","")&amp;IF(AND(EDATE($D68,Milestones!$AA$136)&lt;=AsOfDate,IF($R68=0,$X68,IF(AND($T68&lt;&gt;"",EDATE($D68,Milestones!$AA$136)&gt;=$T68),$W68,IF(AND($S68&lt;&gt;"",EDATE($D68,Milestones!$AA$136)&gt;=$S68),$V68,$U68)))=Milestones!$AB$136),UPPER(TEXT(EDATE($D68,Milestones!$AA$136),"dd mmm yy"))&amp;" "&amp;Milestones!$AB$136&amp;" "&amp;Milestones!$AC$136&amp;";  ","")&amp;IF(AND(EDATE($D68,Milestones!$AA$137)&lt;=AsOfDate,IF($R68=0,$X68,IF(AND($T68&lt;&gt;"",EDATE($D68,Milestones!$AA$137)&gt;=$T68),$W68,IF(AND($S68&lt;&gt;"",EDATE($D68,Milestones!$AA$137)&gt;=$S68),$V68,$U68)))=Milestones!$AB$137),UPPER(TEXT(EDATE($D68,Milestones!$AA$137),"dd mmm yy"))&amp;" "&amp;Milestones!$AB$137&amp;" "&amp;Milestones!$AC$137&amp;";  ","")&amp;IF(AND(EDATE($D68,Milestones!$AA$138)&lt;=AsOfDate,IF($R68=0,$X68,IF(AND($T68&lt;&gt;"",EDATE($D68,Milestones!$AA$138)&gt;=$T68),$W68,IF(AND($S68&lt;&gt;"",EDATE($D68,Milestones!$AA$138)&gt;=$S68),$V68,$U68)))=Milestones!$AB$138),UPPER(TEXT(EDATE($D68,Milestones!$AA$138),"dd mmm yy"))&amp;" "&amp;Milestones!$AB$138&amp;" "&amp;Milestones!$AC$138&amp;";  ","")&amp;IF(AND(EDATE($D68,Milestones!$AA$139)&lt;=AsOfDate,IF($R68=0,$X68,IF(AND($T68&lt;&gt;"",EDATE($D68,Milestones!$AA$139)&gt;=$T68),$W68,IF(AND($S68&lt;&gt;"",EDATE($D68,Milestones!$AA$139)&gt;=$S68),$V68,$U68)))=Milestones!$AB$139),UPPER(TEXT(EDATE($D68,Milestones!$AA$139),"dd mmm yy"))&amp;" "&amp;Milestones!$AB$139&amp;" "&amp;Milestones!$AC$139&amp;";  ",""))</f>
        <v/>
      </c>
      <c r="O68" s="0" t="str">
        <f aca="false">IF(OR($A68="",$D68=""),"",IF(AND(EDATE($D68,Milestones!$AA$140)&lt;=AsOfDate,IF($R68=0,$X68,IF(AND($T68&lt;&gt;"",EDATE($D68,Milestones!$AA$140)&gt;=$T68),$W68,IF(AND($S68&lt;&gt;"",EDATE($D68,Milestones!$AA$140)&gt;=$S68),$V68,$U68)))=Milestones!$AB$140),UPPER(TEXT(EDATE($D68,Milestones!$AA$140),"dd mmm yy"))&amp;" "&amp;Milestones!$AB$140&amp;" "&amp;Milestones!$AC$140&amp;";  ","")&amp;IF(AND(EDATE($D68,Milestones!$AA$141)&lt;=AsOfDate,IF($R68=0,$X68,IF(AND($T68&lt;&gt;"",EDATE($D68,Milestones!$AA$141)&gt;=$T68),$W68,IF(AND($S68&lt;&gt;"",EDATE($D68,Milestones!$AA$141)&gt;=$S68),$V68,$U68)))=Milestones!$AB$141),UPPER(TEXT(EDATE($D68,Milestones!$AA$141),"dd mmm yy"))&amp;" "&amp;Milestones!$AB$141&amp;" "&amp;Milestones!$AC$141&amp;";  ","")&amp;IF(AND(EDATE($D68,Milestones!$AA$142)&lt;=AsOfDate,IF($R68=0,$X68,IF(AND($T68&lt;&gt;"",EDATE($D68,Milestones!$AA$142)&gt;=$T68),$W68,IF(AND($S68&lt;&gt;"",EDATE($D68,Milestones!$AA$142)&gt;=$S68),$V68,$U68)))=Milestones!$AB$142),UPPER(TEXT(EDATE($D68,Milestones!$AA$142),"dd mmm yy"))&amp;" "&amp;Milestones!$AB$142&amp;" "&amp;Milestones!$AC$142&amp;";  ","")&amp;IF(AND(EDATE($D68,Milestones!$AA$143)&lt;=AsOfDate,IF($R68=0,$X68,IF(AND($T68&lt;&gt;"",EDATE($D68,Milestones!$AA$143)&gt;=$T68),$W68,IF(AND($S68&lt;&gt;"",EDATE($D68,Milestones!$AA$143)&gt;=$S68),$V68,$U68)))=Milestones!$AB$143),UPPER(TEXT(EDATE($D68,Milestones!$AA$143),"dd mmm yy"))&amp;" "&amp;Milestones!$AB$143&amp;" "&amp;Milestones!$AC$143&amp;";  ","")&amp;IF(AND(EDATE($D68,Milestones!$AA$144)&lt;=AsOfDate,IF($R68=0,$X68,IF(AND($T68&lt;&gt;"",EDATE($D68,Milestones!$AA$144)&gt;=$T68),$W68,IF(AND($S68&lt;&gt;"",EDATE($D68,Milestones!$AA$144)&gt;=$S68),$V68,$U68)))=Milestones!$AB$144),UPPER(TEXT(EDATE($D68,Milestones!$AA$144),"dd mmm yy"))&amp;" "&amp;Milestones!$AB$144&amp;" "&amp;Milestones!$AC$144&amp;";  ","")&amp;IF(AND(EDATE($D68,Milestones!$AA$145)&lt;=AsOfDate,IF($R68=0,$X68,IF(AND($T68&lt;&gt;"",EDATE($D68,Milestones!$AA$145)&gt;=$T68),$W68,IF(AND($S68&lt;&gt;"",EDATE($D68,Milestones!$AA$145)&gt;=$S68),$V68,$U68)))=Milestones!$AB$145),UPPER(TEXT(EDATE($D68,Milestones!$AA$145),"dd mmm yy"))&amp;" "&amp;Milestones!$AB$145&amp;" "&amp;Milestones!$AC$145&amp;";  ","")&amp;IF(AND(EDATE($D68,Milestones!$AA$146)&lt;=AsOfDate,IF($R68=0,$X68,IF(AND($T68&lt;&gt;"",EDATE($D68,Milestones!$AA$146)&gt;=$T68),$W68,IF(AND($S68&lt;&gt;"",EDATE($D68,Milestones!$AA$146)&gt;=$S68),$V68,$U68)))=Milestones!$AB$146),UPPER(TEXT(EDATE($D68,Milestones!$AA$146),"dd mmm yy"))&amp;" "&amp;Milestones!$AB$146&amp;" "&amp;Milestones!$AC$146&amp;";  ","")&amp;IF(AND(EDATE($D68,Milestones!$AA$147)&lt;=AsOfDate,IF($R68=0,$X68,IF(AND($T68&lt;&gt;"",EDATE($D68,Milestones!$AA$147)&gt;=$T68),$W68,IF(AND($S68&lt;&gt;"",EDATE($D68,Milestones!$AA$147)&gt;=$S68),$V68,$U68)))=Milestones!$AB$147),UPPER(TEXT(EDATE($D68,Milestones!$AA$147),"dd mmm yy"))&amp;" "&amp;Milestones!$AB$147&amp;" "&amp;Milestones!$AC$147&amp;";  ","")&amp;IF(AND(EDATE($D68,Milestones!$AA$148)&lt;=AsOfDate,IF($R68=0,$X68,IF(AND($T68&lt;&gt;"",EDATE($D68,Milestones!$AA$148)&gt;=$T68),$W68,IF(AND($S68&lt;&gt;"",EDATE($D68,Milestones!$AA$148)&gt;=$S68),$V68,$U68)))=Milestones!$AB$148),UPPER(TEXT(EDATE($D68,Milestones!$AA$148),"dd mmm yy"))&amp;" "&amp;Milestones!$AB$148&amp;" "&amp;Milestones!$AC$148&amp;";  ","")&amp;IF(AND(EDATE($D68,Milestones!$AA$149)&lt;=AsOfDate,IF($R68=0,$X68,IF(AND($T68&lt;&gt;"",EDATE($D68,Milestones!$AA$149)&gt;=$T68),$W68,IF(AND($S68&lt;&gt;"",EDATE($D68,Milestones!$AA$149)&gt;=$S68),$V68,$U68)))=Milestones!$AB$149),UPPER(TEXT(EDATE($D68,Milestones!$AA$149),"dd mmm yy"))&amp;" "&amp;Milestones!$AB$149&amp;" "&amp;Milestones!$AC$149&amp;";  ","")&amp;IF(AND(EDATE($D68,Milestones!$AA$150)&lt;=AsOfDate,IF($R68=0,$X68,IF(AND($T68&lt;&gt;"",EDATE($D68,Milestones!$AA$150)&gt;=$T68),$W68,IF(AND($S68&lt;&gt;"",EDATE($D68,Milestones!$AA$150)&gt;=$S68),$V68,$U68)))=Milestones!$AB$150),UPPER(TEXT(EDATE($D68,Milestones!$AA$150),"dd mmm yy"))&amp;" "&amp;Milestones!$AB$150&amp;" "&amp;Milestones!$AC$150&amp;";  ","")&amp;IF(AND(EDATE($D68,Milestones!$AA$151)&lt;=AsOfDate,IF($R68=0,$X68,IF(AND($T68&lt;&gt;"",EDATE($D68,Milestones!$AA$151)&gt;=$T68),$W68,IF(AND($S68&lt;&gt;"",EDATE($D68,Milestones!$AA$151)&gt;=$S68),$V68,$U68)))=Milestones!$AB$151),UPPER(TEXT(EDATE($D68,Milestones!$AA$151),"dd mmm yy"))&amp;" "&amp;Milestones!$AB$151&amp;" "&amp;Milestones!$AC$151&amp;";  ","")&amp;IF(AND(EDATE($D68,Milestones!$AA$152)&lt;=AsOfDate,IF($R68=0,$X68,IF(AND($T68&lt;&gt;"",EDATE($D68,Milestones!$AA$152)&gt;=$T68),$W68,IF(AND($S68&lt;&gt;"",EDATE($D68,Milestones!$AA$152)&gt;=$S68),$V68,$U68)))=Milestones!$AB$152),UPPER(TEXT(EDATE($D68,Milestones!$AA$152),"dd mmm yy"))&amp;" "&amp;Milestones!$AB$152&amp;" "&amp;Milestones!$AC$152&amp;";  ","")&amp;IF(AND(EDATE($D68,Milestones!$AA$153)&lt;=AsOfDate,IF($R68=0,$X68,IF(AND($T68&lt;&gt;"",EDATE($D68,Milestones!$AA$153)&gt;=$T68),$W68,IF(AND($S68&lt;&gt;"",EDATE($D68,Milestones!$AA$153)&gt;=$S68),$V68,$U68)))=Milestones!$AB$153),UPPER(TEXT(EDATE($D68,Milestones!$AA$153),"dd mmm yy"))&amp;" "&amp;Milestones!$AB$153&amp;" "&amp;Milestones!$AC$153&amp;";  ","")&amp;IF(AND(EDATE($D68,Milestones!$AA$154)&lt;=AsOfDate,IF($R68=0,$X68,IF(AND($T68&lt;&gt;"",EDATE($D68,Milestones!$AA$154)&gt;=$T68),$W68,IF(AND($S68&lt;&gt;"",EDATE($D68,Milestones!$AA$154)&gt;=$S68),$V68,$U68)))=Milestones!$AB$154),UPPER(TEXT(EDATE($D68,Milestones!$AA$154),"dd mmm yy"))&amp;" "&amp;Milestones!$AB$154&amp;" "&amp;Milestones!$AC$154&amp;";  ","")&amp;IF(AND(EDATE($D68,Milestones!$AA$155)&lt;=AsOfDate,IF($R68=0,$X68,IF(AND($T68&lt;&gt;"",EDATE($D68,Milestones!$AA$155)&gt;=$T68),$W68,IF(AND($S68&lt;&gt;"",EDATE($D68,Milestones!$AA$155)&gt;=$S68),$V68,$U68)))=Milestones!$AB$155),UPPER(TEXT(EDATE($D68,Milestones!$AA$155),"dd mmm yy"))&amp;" "&amp;Milestones!$AB$155&amp;" "&amp;Milestones!$AC$155&amp;";  ","")&amp;IF(AND(EDATE($D68,Milestones!$AA$156)&lt;=AsOfDate,IF($R68=0,$X68,IF(AND($T68&lt;&gt;"",EDATE($D68,Milestones!$AA$156)&gt;=$T68),$W68,IF(AND($S68&lt;&gt;"",EDATE($D68,Milestones!$AA$156)&gt;=$S68),$V68,$U68)))=Milestones!$AB$156),UPPER(TEXT(EDATE($D68,Milestones!$AA$156),"dd mmm yy"))&amp;" "&amp;Milestones!$AB$156&amp;" "&amp;Milestones!$AC$156&amp;";  ","")&amp;IF(AND(EDATE($D68,Milestones!$AA$157)&lt;=AsOfDate,IF($R68=0,$X68,IF(AND($T68&lt;&gt;"",EDATE($D68,Milestones!$AA$157)&gt;=$T68),$W68,IF(AND($S68&lt;&gt;"",EDATE($D68,Milestones!$AA$157)&gt;=$S68),$V68,$U68)))=Milestones!$AB$157),UPPER(TEXT(EDATE($D68,Milestones!$AA$157),"dd mmm yy"))&amp;" "&amp;Milestones!$AB$157&amp;" "&amp;Milestones!$AC$157&amp;";  ","")&amp;IF(AND(EDATE($D68,Milestones!$AA$158)&lt;=AsOfDate,IF($R68=0,$X68,IF(AND($T68&lt;&gt;"",EDATE($D68,Milestones!$AA$158)&gt;=$T68),$W68,IF(AND($S68&lt;&gt;"",EDATE($D68,Milestones!$AA$158)&gt;=$S68),$V68,$U68)))=Milestones!$AB$158),UPPER(TEXT(EDATE($D68,Milestones!$AA$158),"dd mmm yy"))&amp;" "&amp;Milestones!$AB$158&amp;" "&amp;Milestones!$AC$158&amp;";  ","")&amp;IF(AND(EDATE($D68,Milestones!$AA$159)&lt;=AsOfDate,IF($R68=0,$X68,IF(AND($T68&lt;&gt;"",EDATE($D68,Milestones!$AA$159)&gt;=$T68),$W68,IF(AND($S68&lt;&gt;"",EDATE($D68,Milestones!$AA$159)&gt;=$S68),$V68,$U68)))=Milestones!$AB$159),UPPER(TEXT(EDATE($D68,Milestones!$AA$159),"dd mmm yy"))&amp;" "&amp;Milestones!$AB$159&amp;" "&amp;Milestones!$AC$159&amp;";  ",""))</f>
        <v/>
      </c>
      <c r="P68" s="0" t="str">
        <f aca="false">IF(OR($A68="",$D68=""),"",IF(AND(EDATE($D68,Milestones!$AA$160)&lt;=AsOfDate,IF($R68=0,$X68,IF(AND($T68&lt;&gt;"",EDATE($D68,Milestones!$AA$160)&gt;=$T68),$W68,IF(AND($S68&lt;&gt;"",EDATE($D68,Milestones!$AA$160)&gt;=$S68),$V68,$U68)))=Milestones!$AB$160),UPPER(TEXT(EDATE($D68,Milestones!$AA$160),"dd mmm yy"))&amp;" "&amp;Milestones!$AB$160&amp;" "&amp;Milestones!$AC$160&amp;";  ","")&amp;IF(AND(EDATE($D68,Milestones!$AA$161)&lt;=AsOfDate,IF($R68=0,$X68,IF(AND($T68&lt;&gt;"",EDATE($D68,Milestones!$AA$161)&gt;=$T68),$W68,IF(AND($S68&lt;&gt;"",EDATE($D68,Milestones!$AA$161)&gt;=$S68),$V68,$U68)))=Milestones!$AB$161),UPPER(TEXT(EDATE($D68,Milestones!$AA$161),"dd mmm yy"))&amp;" "&amp;Milestones!$AB$161&amp;" "&amp;Milestones!$AC$161&amp;";  ","")&amp;IF(AND(EDATE($D68,Milestones!$AA$162)&lt;=AsOfDate,IF($R68=0,$X68,IF(AND($T68&lt;&gt;"",EDATE($D68,Milestones!$AA$162)&gt;=$T68),$W68,IF(AND($S68&lt;&gt;"",EDATE($D68,Milestones!$AA$162)&gt;=$S68),$V68,$U68)))=Milestones!$AB$162),UPPER(TEXT(EDATE($D68,Milestones!$AA$162),"dd mmm yy"))&amp;" "&amp;Milestones!$AB$162&amp;" "&amp;Milestones!$AC$162&amp;";  ","")&amp;IF(AND(EDATE($D68,Milestones!$AA$163)&lt;=AsOfDate,IF($R68=0,$X68,IF(AND($T68&lt;&gt;"",EDATE($D68,Milestones!$AA$163)&gt;=$T68),$W68,IF(AND($S68&lt;&gt;"",EDATE($D68,Milestones!$AA$163)&gt;=$S68),$V68,$U68)))=Milestones!$AB$163),UPPER(TEXT(EDATE($D68,Milestones!$AA$163),"dd mmm yy"))&amp;" "&amp;Milestones!$AB$163&amp;" "&amp;Milestones!$AC$163&amp;";  ","")&amp;IF(AND(EDATE($D68,Milestones!$AA$164)&lt;=AsOfDate,IF($R68=0,$X68,IF(AND($T68&lt;&gt;"",EDATE($D68,Milestones!$AA$164)&gt;=$T68),$W68,IF(AND($S68&lt;&gt;"",EDATE($D68,Milestones!$AA$164)&gt;=$S68),$V68,$U68)))=Milestones!$AB$164),UPPER(TEXT(EDATE($D68,Milestones!$AA$164),"dd mmm yy"))&amp;" "&amp;Milestones!$AB$164&amp;" "&amp;Milestones!$AC$164&amp;";  ","")&amp;IF(AND(EDATE($D68,Milestones!$AA$165)&lt;=AsOfDate,IF($R68=0,$X68,IF(AND($T68&lt;&gt;"",EDATE($D68,Milestones!$AA$165)&gt;=$T68),$W68,IF(AND($S68&lt;&gt;"",EDATE($D68,Milestones!$AA$165)&gt;=$S68),$V68,$U68)))=Milestones!$AB$165),UPPER(TEXT(EDATE($D68,Milestones!$AA$165),"dd mmm yy"))&amp;" "&amp;Milestones!$AB$165&amp;" "&amp;Milestones!$AC$165&amp;";  ","")&amp;IF(AND(EDATE($D68,Milestones!$AA$166)&lt;=AsOfDate,IF($R68=0,$X68,IF(AND($T68&lt;&gt;"",EDATE($D68,Milestones!$AA$166)&gt;=$T68),$W68,IF(AND($S68&lt;&gt;"",EDATE($D68,Milestones!$AA$166)&gt;=$S68),$V68,$U68)))=Milestones!$AB$166),UPPER(TEXT(EDATE($D68,Milestones!$AA$166),"dd mmm yy"))&amp;" "&amp;Milestones!$AB$166&amp;" "&amp;Milestones!$AC$166&amp;";  ","")&amp;IF(AND(EDATE($D68,Milestones!$AA$167)&lt;=AsOfDate,IF($R68=0,$X68,IF(AND($T68&lt;&gt;"",EDATE($D68,Milestones!$AA$167)&gt;=$T68),$W68,IF(AND($S68&lt;&gt;"",EDATE($D68,Milestones!$AA$167)&gt;=$S68),$V68,$U68)))=Milestones!$AB$167),UPPER(TEXT(EDATE($D68,Milestones!$AA$167),"dd mmm yy"))&amp;" "&amp;Milestones!$AB$167&amp;" "&amp;Milestones!$AC$167&amp;";  ","")&amp;IF(AND(EDATE($D68,Milestones!$AA$168)&lt;=AsOfDate,IF($R68=0,$X68,IF(AND($T68&lt;&gt;"",EDATE($D68,Milestones!$AA$168)&gt;=$T68),$W68,IF(AND($S68&lt;&gt;"",EDATE($D68,Milestones!$AA$168)&gt;=$S68),$V68,$U68)))=Milestones!$AB$168),UPPER(TEXT(EDATE($D68,Milestones!$AA$168),"dd mmm yy"))&amp;" "&amp;Milestones!$AB$168&amp;" "&amp;Milestones!$AC$168&amp;";  ","")&amp;IF(AND(EDATE($D68,Milestones!$AA$169)&lt;=AsOfDate,IF($R68=0,$X68,IF(AND($T68&lt;&gt;"",EDATE($D68,Milestones!$AA$169)&gt;=$T68),$W68,IF(AND($S68&lt;&gt;"",EDATE($D68,Milestones!$AA$169)&gt;=$S68),$V68,$U68)))=Milestones!$AB$169),UPPER(TEXT(EDATE($D68,Milestones!$AA$169),"dd mmm yy"))&amp;" "&amp;Milestones!$AB$169&amp;" "&amp;Milestones!$AC$169&amp;";  ","")&amp;IF(AND(EDATE($D68,Milestones!$AA$170)&lt;=AsOfDate,IF($R68=0,$X68,IF(AND($T68&lt;&gt;"",EDATE($D68,Milestones!$AA$170)&gt;=$T68),$W68,IF(AND($S68&lt;&gt;"",EDATE($D68,Milestones!$AA$170)&gt;=$S68),$V68,$U68)))=Milestones!$AB$170),UPPER(TEXT(EDATE($D68,Milestones!$AA$170),"dd mmm yy"))&amp;" "&amp;Milestones!$AB$170&amp;" "&amp;Milestones!$AC$170&amp;";  ","")&amp;IF(AND(EDATE($D68,Milestones!$AA$171)&lt;=AsOfDate,IF($R68=0,$X68,IF(AND($T68&lt;&gt;"",EDATE($D68,Milestones!$AA$171)&gt;=$T68),$W68,IF(AND($S68&lt;&gt;"",EDATE($D68,Milestones!$AA$171)&gt;=$S68),$V68,$U68)))=Milestones!$AB$171),UPPER(TEXT(EDATE($D68,Milestones!$AA$171),"dd mmm yy"))&amp;" "&amp;Milestones!$AB$171&amp;" "&amp;Milestones!$AC$171&amp;";  ","")&amp;IF(AND(EDATE($D68,Milestones!$AA$172)&lt;=AsOfDate,IF($R68=0,$X68,IF(AND($T68&lt;&gt;"",EDATE($D68,Milestones!$AA$172)&gt;=$T68),$W68,IF(AND($S68&lt;&gt;"",EDATE($D68,Milestones!$AA$172)&gt;=$S68),$V68,$U68)))=Milestones!$AB$172),UPPER(TEXT(EDATE($D68,Milestones!$AA$172),"dd mmm yy"))&amp;" "&amp;Milestones!$AB$172&amp;" "&amp;Milestones!$AC$172&amp;";  ","")&amp;IF(AND(EDATE($D68,Milestones!$AA$173)&lt;=AsOfDate,IF($R68=0,$X68,IF(AND($T68&lt;&gt;"",EDATE($D68,Milestones!$AA$173)&gt;=$T68),$W68,IF(AND($S68&lt;&gt;"",EDATE($D68,Milestones!$AA$173)&gt;=$S68),$V68,$U68)))=Milestones!$AB$173),UPPER(TEXT(EDATE($D68,Milestones!$AA$173),"dd mmm yy"))&amp;" "&amp;Milestones!$AB$173&amp;" "&amp;Milestones!$AC$173&amp;";  ","")&amp;IF(AND(EDATE($D68,Milestones!$AA$174)&lt;=AsOfDate,IF($R68=0,$X68,IF(AND($T68&lt;&gt;"",EDATE($D68,Milestones!$AA$174)&gt;=$T68),$W68,IF(AND($S68&lt;&gt;"",EDATE($D68,Milestones!$AA$174)&gt;=$S68),$V68,$U68)))=Milestones!$AB$174),UPPER(TEXT(EDATE($D68,Milestones!$AA$174),"dd mmm yy"))&amp;" "&amp;Milestones!$AB$174&amp;" "&amp;Milestones!$AC$174&amp;";  ","")&amp;IF(AND(EDATE($D68,Milestones!$AA$175)&lt;=AsOfDate,IF($R68=0,$X68,IF(AND($T68&lt;&gt;"",EDATE($D68,Milestones!$AA$175)&gt;=$T68),$W68,IF(AND($S68&lt;&gt;"",EDATE($D68,Milestones!$AA$175)&gt;=$S68),$V68,$U68)))=Milestones!$AB$175),UPPER(TEXT(EDATE($D68,Milestones!$AA$175),"dd mmm yy"))&amp;" "&amp;Milestones!$AB$175&amp;" "&amp;Milestones!$AC$175&amp;";  ","")&amp;IF(AND(EDATE($D68,Milestones!$AA$176)&lt;=AsOfDate,IF($R68=0,$X68,IF(AND($T68&lt;&gt;"",EDATE($D68,Milestones!$AA$176)&gt;=$T68),$W68,IF(AND($S68&lt;&gt;"",EDATE($D68,Milestones!$AA$176)&gt;=$S68),$V68,$U68)))=Milestones!$AB$176),UPPER(TEXT(EDATE($D68,Milestones!$AA$176),"dd mmm yy"))&amp;" "&amp;Milestones!$AB$176&amp;" "&amp;Milestones!$AC$176&amp;";  ","")&amp;IF(AND(EDATE($D68,Milestones!$AA$177)&lt;=AsOfDate,IF($R68=0,$X68,IF(AND($T68&lt;&gt;"",EDATE($D68,Milestones!$AA$177)&gt;=$T68),$W68,IF(AND($S68&lt;&gt;"",EDATE($D68,Milestones!$AA$177)&gt;=$S68),$V68,$U68)))=Milestones!$AB$177),UPPER(TEXT(EDATE($D68,Milestones!$AA$177),"dd mmm yy"))&amp;" "&amp;Milestones!$AB$177&amp;" "&amp;Milestones!$AC$177&amp;";  ","")&amp;IF(AND(EDATE($D68,Milestones!$AA$178)&lt;=AsOfDate,IF($R68=0,$X68,IF(AND($T68&lt;&gt;"",EDATE($D68,Milestones!$AA$178)&gt;=$T68),$W68,IF(AND($S68&lt;&gt;"",EDATE($D68,Milestones!$AA$178)&gt;=$S68),$V68,$U68)))=Milestones!$AB$178),UPPER(TEXT(EDATE($D68,Milestones!$AA$178),"dd mmm yy"))&amp;" "&amp;Milestones!$AB$178&amp;" "&amp;Milestones!$AC$178&amp;";  ","")&amp;IF(AND(EDATE($D68,Milestones!$AA$179)&lt;=AsOfDate,IF($R68=0,$X68,IF(AND($T68&lt;&gt;"",EDATE($D68,Milestones!$AA$179)&gt;=$T68),$W68,IF(AND($S68&lt;&gt;"",EDATE($D68,Milestones!$AA$179)&gt;=$S68),$V68,$U68)))=Milestones!$AB$179),UPPER(TEXT(EDATE($D68,Milestones!$AA$179),"dd mmm yy"))&amp;" "&amp;Milestones!$AB$179&amp;" "&amp;Milestones!$AC$179&amp;";  ",""))</f>
        <v/>
      </c>
      <c r="Q68" s="0" t="str">
        <f aca="false">IF(OR($A68="",$D68=""),"",IF(AND(EDATE($D68,Milestones!$AA$180)&lt;=AsOfDate,IF($R68=0,$X68,IF(AND($T68&lt;&gt;"",EDATE($D68,Milestones!$AA$180)&gt;=$T68),$W68,IF(AND($S68&lt;&gt;"",EDATE($D68,Milestones!$AA$180)&gt;=$S68),$V68,$U68)))=Milestones!$AB$180),UPPER(TEXT(EDATE($D68,Milestones!$AA$180),"dd mmm yy"))&amp;" "&amp;Milestones!$AB$180&amp;" "&amp;Milestones!$AC$180&amp;";  ","")&amp;IF(AND(EDATE($D68,Milestones!$AA$181)&lt;=AsOfDate,IF($R68=0,$X68,IF(AND($T68&lt;&gt;"",EDATE($D68,Milestones!$AA$181)&gt;=$T68),$W68,IF(AND($S68&lt;&gt;"",EDATE($D68,Milestones!$AA$181)&gt;=$S68),$V68,$U68)))=Milestones!$AB$181),UPPER(TEXT(EDATE($D68,Milestones!$AA$181),"dd mmm yy"))&amp;" "&amp;Milestones!$AB$181&amp;" "&amp;Milestones!$AC$181&amp;";  ","")&amp;IF(AND(EDATE($D68,Milestones!$AA$182)&lt;=AsOfDate,IF($R68=0,$X68,IF(AND($T68&lt;&gt;"",EDATE($D68,Milestones!$AA$182)&gt;=$T68),$W68,IF(AND($S68&lt;&gt;"",EDATE($D68,Milestones!$AA$182)&gt;=$S68),$V68,$U68)))=Milestones!$AB$182),UPPER(TEXT(EDATE($D68,Milestones!$AA$182),"dd mmm yy"))&amp;" "&amp;Milestones!$AB$182&amp;" "&amp;Milestones!$AC$182&amp;";  ","")&amp;IF(AND(EDATE($D68,Milestones!$AA$183)&lt;=AsOfDate,IF($R68=0,$X68,IF(AND($T68&lt;&gt;"",EDATE($D68,Milestones!$AA$183)&gt;=$T68),$W68,IF(AND($S68&lt;&gt;"",EDATE($D68,Milestones!$AA$183)&gt;=$S68),$V68,$U68)))=Milestones!$AB$183),UPPER(TEXT(EDATE($D68,Milestones!$AA$183),"dd mmm yy"))&amp;" "&amp;Milestones!$AB$183&amp;" "&amp;Milestones!$AC$183&amp;";  ","")&amp;IF(AND(EDATE($D68,Milestones!$AA$184)&lt;=AsOfDate,IF($R68=0,$X68,IF(AND($T68&lt;&gt;"",EDATE($D68,Milestones!$AA$184)&gt;=$T68),$W68,IF(AND($S68&lt;&gt;"",EDATE($D68,Milestones!$AA$184)&gt;=$S68),$V68,$U68)))=Milestones!$AB$184),UPPER(TEXT(EDATE($D68,Milestones!$AA$184),"dd mmm yy"))&amp;" "&amp;Milestones!$AB$184&amp;" "&amp;Milestones!$AC$184&amp;";  ","")&amp;IF(AND(EDATE($D68,Milestones!$AA$185)&lt;=AsOfDate,IF($R68=0,$X68,IF(AND($T68&lt;&gt;"",EDATE($D68,Milestones!$AA$185)&gt;=$T68),$W68,IF(AND($S68&lt;&gt;"",EDATE($D68,Milestones!$AA$185)&gt;=$S68),$V68,$U68)))=Milestones!$AB$185),UPPER(TEXT(EDATE($D68,Milestones!$AA$185),"dd mmm yy"))&amp;" "&amp;Milestones!$AB$185&amp;" "&amp;Milestones!$AC$185&amp;";  ","")&amp;IF(AND(EDATE($D68,Milestones!$AA$186)&lt;=AsOfDate,IF($R68=0,$X68,IF(AND($T68&lt;&gt;"",EDATE($D68,Milestones!$AA$186)&gt;=$T68),$W68,IF(AND($S68&lt;&gt;"",EDATE($D68,Milestones!$AA$186)&gt;=$S68),$V68,$U68)))=Milestones!$AB$186),UPPER(TEXT(EDATE($D68,Milestones!$AA$186),"dd mmm yy"))&amp;" "&amp;Milestones!$AB$186&amp;" "&amp;Milestones!$AC$186&amp;";  ","")&amp;IF(AND(EDATE($D68,Milestones!$AA$187)&lt;=AsOfDate,IF($R68=0,$X68,IF(AND($T68&lt;&gt;"",EDATE($D68,Milestones!$AA$187)&gt;=$T68),$W68,IF(AND($S68&lt;&gt;"",EDATE($D68,Milestones!$AA$187)&gt;=$S68),$V68,$U68)))=Milestones!$AB$187),UPPER(TEXT(EDATE($D68,Milestones!$AA$187),"dd mmm yy"))&amp;" "&amp;Milestones!$AB$187&amp;" "&amp;Milestones!$AC$187&amp;";  ","")&amp;IF(AND(EDATE($D68,Milestones!$AA$188)&lt;=AsOfDate,IF($R68=0,$X68,IF(AND($T68&lt;&gt;"",EDATE($D68,Milestones!$AA$188)&gt;=$T68),$W68,IF(AND($S68&lt;&gt;"",EDATE($D68,Milestones!$AA$188)&gt;=$S68),$V68,$U68)))=Milestones!$AB$188),UPPER(TEXT(EDATE($D68,Milestones!$AA$188),"dd mmm yy"))&amp;" "&amp;Milestones!$AB$188&amp;" "&amp;Milestones!$AC$188&amp;";  ","")&amp;IF(AND(EDATE($D68,Milestones!$AA$189)&lt;=AsOfDate,IF($R68=0,$X68,IF(AND($T68&lt;&gt;"",EDATE($D68,Milestones!$AA$189)&gt;=$T68),$W68,IF(AND($S68&lt;&gt;"",EDATE($D68,Milestones!$AA$189)&gt;=$S68),$V68,$U68)))=Milestones!$AB$189),UPPER(TEXT(EDATE($D68,Milestones!$AA$189),"dd mmm yy"))&amp;" "&amp;Milestones!$AB$189&amp;" "&amp;Milestones!$AC$189&amp;";  ","")&amp;IF(AND(EDATE($D68,Milestones!$AA$190)&lt;=AsOfDate,IF($R68=0,$X68,IF(AND($T68&lt;&gt;"",EDATE($D68,Milestones!$AA$190)&gt;=$T68),$W68,IF(AND($S68&lt;&gt;"",EDATE($D68,Milestones!$AA$190)&gt;=$S68),$V68,$U68)))=Milestones!$AB$190),UPPER(TEXT(EDATE($D68,Milestones!$AA$190),"dd mmm yy"))&amp;" "&amp;Milestones!$AB$190&amp;" "&amp;Milestones!$AC$190&amp;";  ","")&amp;IF(AND(EDATE($D68,Milestones!$AA$191)&lt;=AsOfDate,IF($R68=0,$X68,IF(AND($T68&lt;&gt;"",EDATE($D68,Milestones!$AA$191)&gt;=$T68),$W68,IF(AND($S68&lt;&gt;"",EDATE($D68,Milestones!$AA$191)&gt;=$S68),$V68,$U68)))=Milestones!$AB$191),UPPER(TEXT(EDATE($D68,Milestones!$AA$191),"dd mmm yy"))&amp;" "&amp;Milestones!$AB$191&amp;" "&amp;Milestones!$AC$191&amp;";  ","")&amp;IF(AND(EDATE($D68,Milestones!$AA$192)&lt;=AsOfDate,IF($R68=0,$X68,IF(AND($T68&lt;&gt;"",EDATE($D68,Milestones!$AA$192)&gt;=$T68),$W68,IF(AND($S68&lt;&gt;"",EDATE($D68,Milestones!$AA$192)&gt;=$S68),$V68,$U68)))=Milestones!$AB$192),UPPER(TEXT(EDATE($D68,Milestones!$AA$192),"dd mmm yy"))&amp;" "&amp;Milestones!$AB$192&amp;" "&amp;Milestones!$AC$192&amp;";  ","")&amp;IF(AND(EDATE($D68,Milestones!$AA$193)&lt;=AsOfDate,IF($R68=0,$X68,IF(AND($T68&lt;&gt;"",EDATE($D68,Milestones!$AA$193)&gt;=$T68),$W68,IF(AND($S68&lt;&gt;"",EDATE($D68,Milestones!$AA$193)&gt;=$S68),$V68,$U68)))=Milestones!$AB$193),UPPER(TEXT(EDATE($D68,Milestones!$AA$193),"dd mmm yy"))&amp;" "&amp;Milestones!$AB$193&amp;" "&amp;Milestones!$AC$193&amp;";  ","")&amp;IF(AND(EDATE($D68,Milestones!$AA$194)&lt;=AsOfDate,IF($R68=0,$X68,IF(AND($T68&lt;&gt;"",EDATE($D68,Milestones!$AA$194)&gt;=$T68),$W68,IF(AND($S68&lt;&gt;"",EDATE($D68,Milestones!$AA$194)&gt;=$S68),$V68,$U68)))=Milestones!$AB$194),UPPER(TEXT(EDATE($D68,Milestones!$AA$194),"dd mmm yy"))&amp;" "&amp;Milestones!$AB$194&amp;" "&amp;Milestones!$AC$194&amp;";  ","")&amp;IF(AND(EDATE($D68,Milestones!$AA$195)&lt;=AsOfDate,IF($R68=0,$X68,IF(AND($T68&lt;&gt;"",EDATE($D68,Milestones!$AA$195)&gt;=$T68),$W68,IF(AND($S68&lt;&gt;"",EDATE($D68,Milestones!$AA$195)&gt;=$S68),$V68,$U68)))=Milestones!$AB$195),UPPER(TEXT(EDATE($D68,Milestones!$AA$195),"dd mmm yy"))&amp;" "&amp;Milestones!$AB$195&amp;" "&amp;Milestones!$AC$195&amp;";  ","")&amp;IF(AND(EDATE($D68,Milestones!$AA$196)&lt;=AsOfDate,IF($R68=0,$X68,IF(AND($T68&lt;&gt;"",EDATE($D68,Milestones!$AA$196)&gt;=$T68),$W68,IF(AND($S68&lt;&gt;"",EDATE($D68,Milestones!$AA$196)&gt;=$S68),$V68,$U68)))=Milestones!$AB$196),UPPER(TEXT(EDATE($D68,Milestones!$AA$196),"dd mmm yy"))&amp;" "&amp;Milestones!$AB$196&amp;" "&amp;Milestones!$AC$196&amp;";  ","")&amp;IF(AND(EDATE($D68,Milestones!$AA$197)&lt;=AsOfDate,IF($R68=0,$X68,IF(AND($T68&lt;&gt;"",EDATE($D68,Milestones!$AA$197)&gt;=$T68),$W68,IF(AND($S68&lt;&gt;"",EDATE($D68,Milestones!$AA$197)&gt;=$S68),$V68,$U68)))=Milestones!$AB$197),UPPER(TEXT(EDATE($D68,Milestones!$AA$197),"dd mmm yy"))&amp;" "&amp;Milestones!$AB$197&amp;" "&amp;Milestones!$AC$197&amp;";  ","")&amp;IF(AND(EDATE($D68,Milestones!$AA$198)&lt;=AsOfDate,IF($R68=0,$X68,IF(AND($T68&lt;&gt;"",EDATE($D68,Milestones!$AA$198)&gt;=$T68),$W68,IF(AND($S68&lt;&gt;"",EDATE($D68,Milestones!$AA$198)&gt;=$S68),$V68,$U68)))=Milestones!$AB$198),UPPER(TEXT(EDATE($D68,Milestones!$AA$198),"dd mmm yy"))&amp;" "&amp;Milestones!$AB$198&amp;" "&amp;Milestones!$AC$198&amp;";  ","")&amp;IF(AND(EDATE($D68,Milestones!$AA$199)&lt;=AsOfDate,IF($R68=0,$X68,IF(AND($T68&lt;&gt;"",EDATE($D68,Milestones!$AA$199)&gt;=$T68),$W68,IF(AND($S68&lt;&gt;"",EDATE($D68,Milestones!$AA$199)&gt;=$S68),$V68,$U68)))=Milestones!$AB$199),UPPER(TEXT(EDATE($D68,Milestones!$AA$199),"dd mmm yy"))&amp;" "&amp;Milestones!$AB$199&amp;" "&amp;Milestones!$AC$199&amp;";  ",""))</f>
        <v/>
      </c>
      <c r="R68" s="33" t="n">
        <f aca="false">IF(Staff!$A68="","",Staff!$AI68)</f>
        <v>1</v>
      </c>
      <c r="S68" s="0" t="str">
        <f aca="false">IF(Staff!$A68="","",Staff!$AK68)</f>
        <v/>
      </c>
      <c r="T68" s="0" t="str">
        <f aca="false">IF(Staff!$A68="","",Staff!$AL68)</f>
        <v/>
      </c>
      <c r="U68" s="0" t="str">
        <f aca="false">IF(Staff!$A68="","",Staff!$AP68)</f>
        <v>FT</v>
      </c>
      <c r="V68" s="0" t="str">
        <f aca="false">IF(Staff!$A68="","",Staff!$AQ68)</f>
        <v/>
      </c>
      <c r="W68" s="0" t="str">
        <f aca="false">IF(Staff!$A68="","",Staff!$AR68)</f>
        <v/>
      </c>
      <c r="X68" s="0" t="str">
        <f aca="false">IF(Staff!$A68="","",Staff!$AS68)</f>
        <v>FT</v>
      </c>
    </row>
    <row r="69" customFormat="false" ht="35.05" hidden="false" customHeight="false" outlineLevel="0" collapsed="false">
      <c r="A69" s="19" t="str">
        <f aca="false">IF(Staff!$A69="","",Staff!$A69)</f>
        <v>Tyler</v>
      </c>
      <c r="B69" s="19" t="str">
        <f aca="false">IF(Staff!$A69="","",Staff!$B69)</f>
        <v>WOOD</v>
      </c>
      <c r="C69" s="19" t="str">
        <f aca="false">IF(Staff!$A69="","",Staff!$C69)</f>
        <v>Full-Time</v>
      </c>
      <c r="D69" s="17" t="n">
        <f aca="false">IF(Staff!$A69="","",Staff!$AH69)</f>
        <v>42919</v>
      </c>
      <c r="E69" s="20" t="n">
        <f aca="false">IF(Staff!$A69="","",Staff!$O69)</f>
        <v>29</v>
      </c>
      <c r="F69" s="19" t="n">
        <f aca="false">IF(E69="","",E69*HoursPerDay)</f>
        <v>232</v>
      </c>
      <c r="G69" s="20" t="n">
        <f aca="false">IF(Staff!$A69="","",Staff!$AE69)</f>
        <v>1</v>
      </c>
      <c r="H69" s="32" t="str">
        <f aca="false">IF($A69="","",I69&amp;J69&amp;K69&amp;L69&amp;M69&amp;N69&amp;O69&amp;P69&amp;Q69)</f>
        <v>03 JUL 20 FT 1;  03 NOV 20 FT 1;  03 MAR 21 FT 1;  03 JUL 21 FT 1;  03 NOV 21 FT 1;  03 MAR 22 FT 1;  03 JUL 22 FT 2;  03 OCT 22 FT 1;  03 JAN 23 FT 1;  03 APR 23 FT 1;  03 JUL 23 FT 2;  03 OCT 23 FT 1;  03 JAN 24 FT 1;  03 APR 24 FT 1;  03 JUL 24 FT 2;  03 OCT 24 FT 1;  03 JAN 25 FT 1;  03 APR 25 FT 1;  03 JUL 25 FT 2;  03 OCT 25 FT 1;  03 JAN 26 FT 1;  03 APR 26 FT 1;  03 JUL 26 FT 2;  03 OCT 26 FT 1;  </v>
      </c>
      <c r="I69" s="0" t="str">
        <f aca="false">IF(OR($A69="",$D69=""),"",IF(AND(EDATE($D69,Milestones!$AA$20)&lt;=AsOfDate,IF($R69=0,$X69,IF(AND($T69&lt;&gt;"",EDATE($D69,Milestones!$AA$20)&gt;=$T69),$W69,IF(AND($S69&lt;&gt;"",EDATE($D69,Milestones!$AA$20)&gt;=$S69),$V69,$U69)))=Milestones!$AB$20),UPPER(TEXT(EDATE($D69,Milestones!$AA$20),"dd mmm yy"))&amp;" "&amp;Milestones!$AB$20&amp;" "&amp;Milestones!$AC$20&amp;";  ","")&amp;IF(AND(EDATE($D69,Milestones!$AA$21)&lt;=AsOfDate,IF($R69=0,$X69,IF(AND($T69&lt;&gt;"",EDATE($D69,Milestones!$AA$21)&gt;=$T69),$W69,IF(AND($S69&lt;&gt;"",EDATE($D69,Milestones!$AA$21)&gt;=$S69),$V69,$U69)))=Milestones!$AB$21),UPPER(TEXT(EDATE($D69,Milestones!$AA$21),"dd mmm yy"))&amp;" "&amp;Milestones!$AB$21&amp;" "&amp;Milestones!$AC$21&amp;";  ","")&amp;IF(AND(EDATE($D69,Milestones!$AA$22)&lt;=AsOfDate,IF($R69=0,$X69,IF(AND($T69&lt;&gt;"",EDATE($D69,Milestones!$AA$22)&gt;=$T69),$W69,IF(AND($S69&lt;&gt;"",EDATE($D69,Milestones!$AA$22)&gt;=$S69),$V69,$U69)))=Milestones!$AB$22),UPPER(TEXT(EDATE($D69,Milestones!$AA$22),"dd mmm yy"))&amp;" "&amp;Milestones!$AB$22&amp;" "&amp;Milestones!$AC$22&amp;";  ","")&amp;IF(AND(EDATE($D69,Milestones!$AA$23)&lt;=AsOfDate,IF($R69=0,$X69,IF(AND($T69&lt;&gt;"",EDATE($D69,Milestones!$AA$23)&gt;=$T69),$W69,IF(AND($S69&lt;&gt;"",EDATE($D69,Milestones!$AA$23)&gt;=$S69),$V69,$U69)))=Milestones!$AB$23),UPPER(TEXT(EDATE($D69,Milestones!$AA$23),"dd mmm yy"))&amp;" "&amp;Milestones!$AB$23&amp;" "&amp;Milestones!$AC$23&amp;";  ","")&amp;IF(AND(EDATE($D69,Milestones!$AA$24)&lt;=AsOfDate,IF($R69=0,$X69,IF(AND($T69&lt;&gt;"",EDATE($D69,Milestones!$AA$24)&gt;=$T69),$W69,IF(AND($S69&lt;&gt;"",EDATE($D69,Milestones!$AA$24)&gt;=$S69),$V69,$U69)))=Milestones!$AB$24),UPPER(TEXT(EDATE($D69,Milestones!$AA$24),"dd mmm yy"))&amp;" "&amp;Milestones!$AB$24&amp;" "&amp;Milestones!$AC$24&amp;";  ","")&amp;IF(AND(EDATE($D69,Milestones!$AA$25)&lt;=AsOfDate,IF($R69=0,$X69,IF(AND($T69&lt;&gt;"",EDATE($D69,Milestones!$AA$25)&gt;=$T69),$W69,IF(AND($S69&lt;&gt;"",EDATE($D69,Milestones!$AA$25)&gt;=$S69),$V69,$U69)))=Milestones!$AB$25),UPPER(TEXT(EDATE($D69,Milestones!$AA$25),"dd mmm yy"))&amp;" "&amp;Milestones!$AB$25&amp;" "&amp;Milestones!$AC$25&amp;";  ","")&amp;IF(AND(EDATE($D69,Milestones!$AA$26)&lt;=AsOfDate,IF($R69=0,$X69,IF(AND($T69&lt;&gt;"",EDATE($D69,Milestones!$AA$26)&gt;=$T69),$W69,IF(AND($S69&lt;&gt;"",EDATE($D69,Milestones!$AA$26)&gt;=$S69),$V69,$U69)))=Milestones!$AB$26),UPPER(TEXT(EDATE($D69,Milestones!$AA$26),"dd mmm yy"))&amp;" "&amp;Milestones!$AB$26&amp;" "&amp;Milestones!$AC$26&amp;";  ","")&amp;IF(AND(EDATE($D69,Milestones!$AA$27)&lt;=AsOfDate,IF($R69=0,$X69,IF(AND($T69&lt;&gt;"",EDATE($D69,Milestones!$AA$27)&gt;=$T69),$W69,IF(AND($S69&lt;&gt;"",EDATE($D69,Milestones!$AA$27)&gt;=$S69),$V69,$U69)))=Milestones!$AB$27),UPPER(TEXT(EDATE($D69,Milestones!$AA$27),"dd mmm yy"))&amp;" "&amp;Milestones!$AB$27&amp;" "&amp;Milestones!$AC$27&amp;";  ","")&amp;IF(AND(EDATE($D69,Milestones!$AA$28)&lt;=AsOfDate,IF($R69=0,$X69,IF(AND($T69&lt;&gt;"",EDATE($D69,Milestones!$AA$28)&gt;=$T69),$W69,IF(AND($S69&lt;&gt;"",EDATE($D69,Milestones!$AA$28)&gt;=$S69),$V69,$U69)))=Milestones!$AB$28),UPPER(TEXT(EDATE($D69,Milestones!$AA$28),"dd mmm yy"))&amp;" "&amp;Milestones!$AB$28&amp;" "&amp;Milestones!$AC$28&amp;";  ","")&amp;IF(AND(EDATE($D69,Milestones!$AA$29)&lt;=AsOfDate,IF($R69=0,$X69,IF(AND($T69&lt;&gt;"",EDATE($D69,Milestones!$AA$29)&gt;=$T69),$W69,IF(AND($S69&lt;&gt;"",EDATE($D69,Milestones!$AA$29)&gt;=$S69),$V69,$U69)))=Milestones!$AB$29),UPPER(TEXT(EDATE($D69,Milestones!$AA$29),"dd mmm yy"))&amp;" "&amp;Milestones!$AB$29&amp;" "&amp;Milestones!$AC$29&amp;";  ","")&amp;IF(AND(EDATE($D69,Milestones!$AA$30)&lt;=AsOfDate,IF($R69=0,$X69,IF(AND($T69&lt;&gt;"",EDATE($D69,Milestones!$AA$30)&gt;=$T69),$W69,IF(AND($S69&lt;&gt;"",EDATE($D69,Milestones!$AA$30)&gt;=$S69),$V69,$U69)))=Milestones!$AB$30),UPPER(TEXT(EDATE($D69,Milestones!$AA$30),"dd mmm yy"))&amp;" "&amp;Milestones!$AB$30&amp;" "&amp;Milestones!$AC$30&amp;";  ","")&amp;IF(AND(EDATE($D69,Milestones!$AA$31)&lt;=AsOfDate,IF($R69=0,$X69,IF(AND($T69&lt;&gt;"",EDATE($D69,Milestones!$AA$31)&gt;=$T69),$W69,IF(AND($S69&lt;&gt;"",EDATE($D69,Milestones!$AA$31)&gt;=$S69),$V69,$U69)))=Milestones!$AB$31),UPPER(TEXT(EDATE($D69,Milestones!$AA$31),"dd mmm yy"))&amp;" "&amp;Milestones!$AB$31&amp;" "&amp;Milestones!$AC$31&amp;";  ","")&amp;IF(AND(EDATE($D69,Milestones!$AA$32)&lt;=AsOfDate,IF($R69=0,$X69,IF(AND($T69&lt;&gt;"",EDATE($D69,Milestones!$AA$32)&gt;=$T69),$W69,IF(AND($S69&lt;&gt;"",EDATE($D69,Milestones!$AA$32)&gt;=$S69),$V69,$U69)))=Milestones!$AB$32),UPPER(TEXT(EDATE($D69,Milestones!$AA$32),"dd mmm yy"))&amp;" "&amp;Milestones!$AB$32&amp;" "&amp;Milestones!$AC$32&amp;";  ","")&amp;IF(AND(EDATE($D69,Milestones!$AA$33)&lt;=AsOfDate,IF($R69=0,$X69,IF(AND($T69&lt;&gt;"",EDATE($D69,Milestones!$AA$33)&gt;=$T69),$W69,IF(AND($S69&lt;&gt;"",EDATE($D69,Milestones!$AA$33)&gt;=$S69),$V69,$U69)))=Milestones!$AB$33),UPPER(TEXT(EDATE($D69,Milestones!$AA$33),"dd mmm yy"))&amp;" "&amp;Milestones!$AB$33&amp;" "&amp;Milestones!$AC$33&amp;";  ","")&amp;IF(AND(EDATE($D69,Milestones!$AA$34)&lt;=AsOfDate,IF($R69=0,$X69,IF(AND($T69&lt;&gt;"",EDATE($D69,Milestones!$AA$34)&gt;=$T69),$W69,IF(AND($S69&lt;&gt;"",EDATE($D69,Milestones!$AA$34)&gt;=$S69),$V69,$U69)))=Milestones!$AB$34),UPPER(TEXT(EDATE($D69,Milestones!$AA$34),"dd mmm yy"))&amp;" "&amp;Milestones!$AB$34&amp;" "&amp;Milestones!$AC$34&amp;";  ","")&amp;IF(AND(EDATE($D69,Milestones!$AA$35)&lt;=AsOfDate,IF($R69=0,$X69,IF(AND($T69&lt;&gt;"",EDATE($D69,Milestones!$AA$35)&gt;=$T69),$W69,IF(AND($S69&lt;&gt;"",EDATE($D69,Milestones!$AA$35)&gt;=$S69),$V69,$U69)))=Milestones!$AB$35),UPPER(TEXT(EDATE($D69,Milestones!$AA$35),"dd mmm yy"))&amp;" "&amp;Milestones!$AB$35&amp;" "&amp;Milestones!$AC$35&amp;";  ","")&amp;IF(AND(EDATE($D69,Milestones!$AA$36)&lt;=AsOfDate,IF($R69=0,$X69,IF(AND($T69&lt;&gt;"",EDATE($D69,Milestones!$AA$36)&gt;=$T69),$W69,IF(AND($S69&lt;&gt;"",EDATE($D69,Milestones!$AA$36)&gt;=$S69),$V69,$U69)))=Milestones!$AB$36),UPPER(TEXT(EDATE($D69,Milestones!$AA$36),"dd mmm yy"))&amp;" "&amp;Milestones!$AB$36&amp;" "&amp;Milestones!$AC$36&amp;";  ","")&amp;IF(AND(EDATE($D69,Milestones!$AA$37)&lt;=AsOfDate,IF($R69=0,$X69,IF(AND($T69&lt;&gt;"",EDATE($D69,Milestones!$AA$37)&gt;=$T69),$W69,IF(AND($S69&lt;&gt;"",EDATE($D69,Milestones!$AA$37)&gt;=$S69),$V69,$U69)))=Milestones!$AB$37),UPPER(TEXT(EDATE($D69,Milestones!$AA$37),"dd mmm yy"))&amp;" "&amp;Milestones!$AB$37&amp;" "&amp;Milestones!$AC$37&amp;";  ","")&amp;IF(AND(EDATE($D69,Milestones!$AA$38)&lt;=AsOfDate,IF($R69=0,$X69,IF(AND($T69&lt;&gt;"",EDATE($D69,Milestones!$AA$38)&gt;=$T69),$W69,IF(AND($S69&lt;&gt;"",EDATE($D69,Milestones!$AA$38)&gt;=$S69),$V69,$U69)))=Milestones!$AB$38),UPPER(TEXT(EDATE($D69,Milestones!$AA$38),"dd mmm yy"))&amp;" "&amp;Milestones!$AB$38&amp;" "&amp;Milestones!$AC$38&amp;";  ","")&amp;IF(AND(EDATE($D69,Milestones!$AA$39)&lt;=AsOfDate,IF($R69=0,$X69,IF(AND($T69&lt;&gt;"",EDATE($D69,Milestones!$AA$39)&gt;=$T69),$W69,IF(AND($S69&lt;&gt;"",EDATE($D69,Milestones!$AA$39)&gt;=$S69),$V69,$U69)))=Milestones!$AB$39),UPPER(TEXT(EDATE($D69,Milestones!$AA$39),"dd mmm yy"))&amp;" "&amp;Milestones!$AB$39&amp;" "&amp;Milestones!$AC$39&amp;";  ",""))</f>
        <v>03 JUL 20 FT 1;  03 NOV 20 FT 1;  03 MAR 21 FT 1;  03 JUL 21 FT 1;  03 NOV 21 FT 1;  03 MAR 22 FT 1;  03 JUL 22 FT 2;  03 OCT 22 FT 1;  03 JAN 23 FT 1;  03 APR 23 FT 1;  03 JUL 23 FT 2;  03 OCT 23 FT 1;  03 JAN 24 FT 1;  03 APR 24 FT 1;  </v>
      </c>
      <c r="J69" s="0" t="str">
        <f aca="false">IF(OR($A69="",$D69=""),"",IF(AND(EDATE($D69,Milestones!$AA$40)&lt;=AsOfDate,IF($R69=0,$X69,IF(AND($T69&lt;&gt;"",EDATE($D69,Milestones!$AA$40)&gt;=$T69),$W69,IF(AND($S69&lt;&gt;"",EDATE($D69,Milestones!$AA$40)&gt;=$S69),$V69,$U69)))=Milestones!$AB$40),UPPER(TEXT(EDATE($D69,Milestones!$AA$40),"dd mmm yy"))&amp;" "&amp;Milestones!$AB$40&amp;" "&amp;Milestones!$AC$40&amp;";  ","")&amp;IF(AND(EDATE($D69,Milestones!$AA$41)&lt;=AsOfDate,IF($R69=0,$X69,IF(AND($T69&lt;&gt;"",EDATE($D69,Milestones!$AA$41)&gt;=$T69),$W69,IF(AND($S69&lt;&gt;"",EDATE($D69,Milestones!$AA$41)&gt;=$S69),$V69,$U69)))=Milestones!$AB$41),UPPER(TEXT(EDATE($D69,Milestones!$AA$41),"dd mmm yy"))&amp;" "&amp;Milestones!$AB$41&amp;" "&amp;Milestones!$AC$41&amp;";  ","")&amp;IF(AND(EDATE($D69,Milestones!$AA$42)&lt;=AsOfDate,IF($R69=0,$X69,IF(AND($T69&lt;&gt;"",EDATE($D69,Milestones!$AA$42)&gt;=$T69),$W69,IF(AND($S69&lt;&gt;"",EDATE($D69,Milestones!$AA$42)&gt;=$S69),$V69,$U69)))=Milestones!$AB$42),UPPER(TEXT(EDATE($D69,Milestones!$AA$42),"dd mmm yy"))&amp;" "&amp;Milestones!$AB$42&amp;" "&amp;Milestones!$AC$42&amp;";  ","")&amp;IF(AND(EDATE($D69,Milestones!$AA$43)&lt;=AsOfDate,IF($R69=0,$X69,IF(AND($T69&lt;&gt;"",EDATE($D69,Milestones!$AA$43)&gt;=$T69),$W69,IF(AND($S69&lt;&gt;"",EDATE($D69,Milestones!$AA$43)&gt;=$S69),$V69,$U69)))=Milestones!$AB$43),UPPER(TEXT(EDATE($D69,Milestones!$AA$43),"dd mmm yy"))&amp;" "&amp;Milestones!$AB$43&amp;" "&amp;Milestones!$AC$43&amp;";  ","")&amp;IF(AND(EDATE($D69,Milestones!$AA$44)&lt;=AsOfDate,IF($R69=0,$X69,IF(AND($T69&lt;&gt;"",EDATE($D69,Milestones!$AA$44)&gt;=$T69),$W69,IF(AND($S69&lt;&gt;"",EDATE($D69,Milestones!$AA$44)&gt;=$S69),$V69,$U69)))=Milestones!$AB$44),UPPER(TEXT(EDATE($D69,Milestones!$AA$44),"dd mmm yy"))&amp;" "&amp;Milestones!$AB$44&amp;" "&amp;Milestones!$AC$44&amp;";  ","")&amp;IF(AND(EDATE($D69,Milestones!$AA$45)&lt;=AsOfDate,IF($R69=0,$X69,IF(AND($T69&lt;&gt;"",EDATE($D69,Milestones!$AA$45)&gt;=$T69),$W69,IF(AND($S69&lt;&gt;"",EDATE($D69,Milestones!$AA$45)&gt;=$S69),$V69,$U69)))=Milestones!$AB$45),UPPER(TEXT(EDATE($D69,Milestones!$AA$45),"dd mmm yy"))&amp;" "&amp;Milestones!$AB$45&amp;" "&amp;Milestones!$AC$45&amp;";  ","")&amp;IF(AND(EDATE($D69,Milestones!$AA$46)&lt;=AsOfDate,IF($R69=0,$X69,IF(AND($T69&lt;&gt;"",EDATE($D69,Milestones!$AA$46)&gt;=$T69),$W69,IF(AND($S69&lt;&gt;"",EDATE($D69,Milestones!$AA$46)&gt;=$S69),$V69,$U69)))=Milestones!$AB$46),UPPER(TEXT(EDATE($D69,Milestones!$AA$46),"dd mmm yy"))&amp;" "&amp;Milestones!$AB$46&amp;" "&amp;Milestones!$AC$46&amp;";  ","")&amp;IF(AND(EDATE($D69,Milestones!$AA$47)&lt;=AsOfDate,IF($R69=0,$X69,IF(AND($T69&lt;&gt;"",EDATE($D69,Milestones!$AA$47)&gt;=$T69),$W69,IF(AND($S69&lt;&gt;"",EDATE($D69,Milestones!$AA$47)&gt;=$S69),$V69,$U69)))=Milestones!$AB$47),UPPER(TEXT(EDATE($D69,Milestones!$AA$47),"dd mmm yy"))&amp;" "&amp;Milestones!$AB$47&amp;" "&amp;Milestones!$AC$47&amp;";  ","")&amp;IF(AND(EDATE($D69,Milestones!$AA$48)&lt;=AsOfDate,IF($R69=0,$X69,IF(AND($T69&lt;&gt;"",EDATE($D69,Milestones!$AA$48)&gt;=$T69),$W69,IF(AND($S69&lt;&gt;"",EDATE($D69,Milestones!$AA$48)&gt;=$S69),$V69,$U69)))=Milestones!$AB$48),UPPER(TEXT(EDATE($D69,Milestones!$AA$48),"dd mmm yy"))&amp;" "&amp;Milestones!$AB$48&amp;" "&amp;Milestones!$AC$48&amp;";  ","")&amp;IF(AND(EDATE($D69,Milestones!$AA$49)&lt;=AsOfDate,IF($R69=0,$X69,IF(AND($T69&lt;&gt;"",EDATE($D69,Milestones!$AA$49)&gt;=$T69),$W69,IF(AND($S69&lt;&gt;"",EDATE($D69,Milestones!$AA$49)&gt;=$S69),$V69,$U69)))=Milestones!$AB$49),UPPER(TEXT(EDATE($D69,Milestones!$AA$49),"dd mmm yy"))&amp;" "&amp;Milestones!$AB$49&amp;" "&amp;Milestones!$AC$49&amp;";  ","")&amp;IF(AND(EDATE($D69,Milestones!$AA$50)&lt;=AsOfDate,IF($R69=0,$X69,IF(AND($T69&lt;&gt;"",EDATE($D69,Milestones!$AA$50)&gt;=$T69),$W69,IF(AND($S69&lt;&gt;"",EDATE($D69,Milestones!$AA$50)&gt;=$S69),$V69,$U69)))=Milestones!$AB$50),UPPER(TEXT(EDATE($D69,Milestones!$AA$50),"dd mmm yy"))&amp;" "&amp;Milestones!$AB$50&amp;" "&amp;Milestones!$AC$50&amp;";  ","")&amp;IF(AND(EDATE($D69,Milestones!$AA$51)&lt;=AsOfDate,IF($R69=0,$X69,IF(AND($T69&lt;&gt;"",EDATE($D69,Milestones!$AA$51)&gt;=$T69),$W69,IF(AND($S69&lt;&gt;"",EDATE($D69,Milestones!$AA$51)&gt;=$S69),$V69,$U69)))=Milestones!$AB$51),UPPER(TEXT(EDATE($D69,Milestones!$AA$51),"dd mmm yy"))&amp;" "&amp;Milestones!$AB$51&amp;" "&amp;Milestones!$AC$51&amp;";  ","")&amp;IF(AND(EDATE($D69,Milestones!$AA$52)&lt;=AsOfDate,IF($R69=0,$X69,IF(AND($T69&lt;&gt;"",EDATE($D69,Milestones!$AA$52)&gt;=$T69),$W69,IF(AND($S69&lt;&gt;"",EDATE($D69,Milestones!$AA$52)&gt;=$S69),$V69,$U69)))=Milestones!$AB$52),UPPER(TEXT(EDATE($D69,Milestones!$AA$52),"dd mmm yy"))&amp;" "&amp;Milestones!$AB$52&amp;" "&amp;Milestones!$AC$52&amp;";  ","")&amp;IF(AND(EDATE($D69,Milestones!$AA$53)&lt;=AsOfDate,IF($R69=0,$X69,IF(AND($T69&lt;&gt;"",EDATE($D69,Milestones!$AA$53)&gt;=$T69),$W69,IF(AND($S69&lt;&gt;"",EDATE($D69,Milestones!$AA$53)&gt;=$S69),$V69,$U69)))=Milestones!$AB$53),UPPER(TEXT(EDATE($D69,Milestones!$AA$53),"dd mmm yy"))&amp;" "&amp;Milestones!$AB$53&amp;" "&amp;Milestones!$AC$53&amp;";  ","")&amp;IF(AND(EDATE($D69,Milestones!$AA$54)&lt;=AsOfDate,IF($R69=0,$X69,IF(AND($T69&lt;&gt;"",EDATE($D69,Milestones!$AA$54)&gt;=$T69),$W69,IF(AND($S69&lt;&gt;"",EDATE($D69,Milestones!$AA$54)&gt;=$S69),$V69,$U69)))=Milestones!$AB$54),UPPER(TEXT(EDATE($D69,Milestones!$AA$54),"dd mmm yy"))&amp;" "&amp;Milestones!$AB$54&amp;" "&amp;Milestones!$AC$54&amp;";  ","")&amp;IF(AND(EDATE($D69,Milestones!$AA$55)&lt;=AsOfDate,IF($R69=0,$X69,IF(AND($T69&lt;&gt;"",EDATE($D69,Milestones!$AA$55)&gt;=$T69),$W69,IF(AND($S69&lt;&gt;"",EDATE($D69,Milestones!$AA$55)&gt;=$S69),$V69,$U69)))=Milestones!$AB$55),UPPER(TEXT(EDATE($D69,Milestones!$AA$55),"dd mmm yy"))&amp;" "&amp;Milestones!$AB$55&amp;" "&amp;Milestones!$AC$55&amp;";  ","")&amp;IF(AND(EDATE($D69,Milestones!$AA$56)&lt;=AsOfDate,IF($R69=0,$X69,IF(AND($T69&lt;&gt;"",EDATE($D69,Milestones!$AA$56)&gt;=$T69),$W69,IF(AND($S69&lt;&gt;"",EDATE($D69,Milestones!$AA$56)&gt;=$S69),$V69,$U69)))=Milestones!$AB$56),UPPER(TEXT(EDATE($D69,Milestones!$AA$56),"dd mmm yy"))&amp;" "&amp;Milestones!$AB$56&amp;" "&amp;Milestones!$AC$56&amp;";  ","")&amp;IF(AND(EDATE($D69,Milestones!$AA$57)&lt;=AsOfDate,IF($R69=0,$X69,IF(AND($T69&lt;&gt;"",EDATE($D69,Milestones!$AA$57)&gt;=$T69),$W69,IF(AND($S69&lt;&gt;"",EDATE($D69,Milestones!$AA$57)&gt;=$S69),$V69,$U69)))=Milestones!$AB$57),UPPER(TEXT(EDATE($D69,Milestones!$AA$57),"dd mmm yy"))&amp;" "&amp;Milestones!$AB$57&amp;" "&amp;Milestones!$AC$57&amp;";  ","")&amp;IF(AND(EDATE($D69,Milestones!$AA$58)&lt;=AsOfDate,IF($R69=0,$X69,IF(AND($T69&lt;&gt;"",EDATE($D69,Milestones!$AA$58)&gt;=$T69),$W69,IF(AND($S69&lt;&gt;"",EDATE($D69,Milestones!$AA$58)&gt;=$S69),$V69,$U69)))=Milestones!$AB$58),UPPER(TEXT(EDATE($D69,Milestones!$AA$58),"dd mmm yy"))&amp;" "&amp;Milestones!$AB$58&amp;" "&amp;Milestones!$AC$58&amp;";  ","")&amp;IF(AND(EDATE($D69,Milestones!$AA$59)&lt;=AsOfDate,IF($R69=0,$X69,IF(AND($T69&lt;&gt;"",EDATE($D69,Milestones!$AA$59)&gt;=$T69),$W69,IF(AND($S69&lt;&gt;"",EDATE($D69,Milestones!$AA$59)&gt;=$S69),$V69,$U69)))=Milestones!$AB$59),UPPER(TEXT(EDATE($D69,Milestones!$AA$59),"dd mmm yy"))&amp;" "&amp;Milestones!$AB$59&amp;" "&amp;Milestones!$AC$59&amp;";  ",""))</f>
        <v>03 JUL 24 FT 2;  03 OCT 24 FT 1;  03 JAN 25 FT 1;  03 APR 25 FT 1;  03 JUL 25 FT 2;  03 OCT 25 FT 1;  03 JAN 26 FT 1;  03 APR 26 FT 1;  03 JUL 26 FT 2;  03 OCT 26 FT 1;  </v>
      </c>
      <c r="K69" s="0" t="str">
        <f aca="false">IF(OR($A69="",$D69=""),"",IF(AND(EDATE($D69,Milestones!$AA$60)&lt;=AsOfDate,IF($R69=0,$X69,IF(AND($T69&lt;&gt;"",EDATE($D69,Milestones!$AA$60)&gt;=$T69),$W69,IF(AND($S69&lt;&gt;"",EDATE($D69,Milestones!$AA$60)&gt;=$S69),$V69,$U69)))=Milestones!$AB$60),UPPER(TEXT(EDATE($D69,Milestones!$AA$60),"dd mmm yy"))&amp;" "&amp;Milestones!$AB$60&amp;" "&amp;Milestones!$AC$60&amp;";  ","")&amp;IF(AND(EDATE($D69,Milestones!$AA$61)&lt;=AsOfDate,IF($R69=0,$X69,IF(AND($T69&lt;&gt;"",EDATE($D69,Milestones!$AA$61)&gt;=$T69),$W69,IF(AND($S69&lt;&gt;"",EDATE($D69,Milestones!$AA$61)&gt;=$S69),$V69,$U69)))=Milestones!$AB$61),UPPER(TEXT(EDATE($D69,Milestones!$AA$61),"dd mmm yy"))&amp;" "&amp;Milestones!$AB$61&amp;" "&amp;Milestones!$AC$61&amp;";  ","")&amp;IF(AND(EDATE($D69,Milestones!$AA$62)&lt;=AsOfDate,IF($R69=0,$X69,IF(AND($T69&lt;&gt;"",EDATE($D69,Milestones!$AA$62)&gt;=$T69),$W69,IF(AND($S69&lt;&gt;"",EDATE($D69,Milestones!$AA$62)&gt;=$S69),$V69,$U69)))=Milestones!$AB$62),UPPER(TEXT(EDATE($D69,Milestones!$AA$62),"dd mmm yy"))&amp;" "&amp;Milestones!$AB$62&amp;" "&amp;Milestones!$AC$62&amp;";  ","")&amp;IF(AND(EDATE($D69,Milestones!$AA$63)&lt;=AsOfDate,IF($R69=0,$X69,IF(AND($T69&lt;&gt;"",EDATE($D69,Milestones!$AA$63)&gt;=$T69),$W69,IF(AND($S69&lt;&gt;"",EDATE($D69,Milestones!$AA$63)&gt;=$S69),$V69,$U69)))=Milestones!$AB$63),UPPER(TEXT(EDATE($D69,Milestones!$AA$63),"dd mmm yy"))&amp;" "&amp;Milestones!$AB$63&amp;" "&amp;Milestones!$AC$63&amp;";  ","")&amp;IF(AND(EDATE($D69,Milestones!$AA$64)&lt;=AsOfDate,IF($R69=0,$X69,IF(AND($T69&lt;&gt;"",EDATE($D69,Milestones!$AA$64)&gt;=$T69),$W69,IF(AND($S69&lt;&gt;"",EDATE($D69,Milestones!$AA$64)&gt;=$S69),$V69,$U69)))=Milestones!$AB$64),UPPER(TEXT(EDATE($D69,Milestones!$AA$64),"dd mmm yy"))&amp;" "&amp;Milestones!$AB$64&amp;" "&amp;Milestones!$AC$64&amp;";  ","")&amp;IF(AND(EDATE($D69,Milestones!$AA$65)&lt;=AsOfDate,IF($R69=0,$X69,IF(AND($T69&lt;&gt;"",EDATE($D69,Milestones!$AA$65)&gt;=$T69),$W69,IF(AND($S69&lt;&gt;"",EDATE($D69,Milestones!$AA$65)&gt;=$S69),$V69,$U69)))=Milestones!$AB$65),UPPER(TEXT(EDATE($D69,Milestones!$AA$65),"dd mmm yy"))&amp;" "&amp;Milestones!$AB$65&amp;" "&amp;Milestones!$AC$65&amp;";  ","")&amp;IF(AND(EDATE($D69,Milestones!$AA$66)&lt;=AsOfDate,IF($R69=0,$X69,IF(AND($T69&lt;&gt;"",EDATE($D69,Milestones!$AA$66)&gt;=$T69),$W69,IF(AND($S69&lt;&gt;"",EDATE($D69,Milestones!$AA$66)&gt;=$S69),$V69,$U69)))=Milestones!$AB$66),UPPER(TEXT(EDATE($D69,Milestones!$AA$66),"dd mmm yy"))&amp;" "&amp;Milestones!$AB$66&amp;" "&amp;Milestones!$AC$66&amp;";  ","")&amp;IF(AND(EDATE($D69,Milestones!$AA$67)&lt;=AsOfDate,IF($R69=0,$X69,IF(AND($T69&lt;&gt;"",EDATE($D69,Milestones!$AA$67)&gt;=$T69),$W69,IF(AND($S69&lt;&gt;"",EDATE($D69,Milestones!$AA$67)&gt;=$S69),$V69,$U69)))=Milestones!$AB$67),UPPER(TEXT(EDATE($D69,Milestones!$AA$67),"dd mmm yy"))&amp;" "&amp;Milestones!$AB$67&amp;" "&amp;Milestones!$AC$67&amp;";  ","")&amp;IF(AND(EDATE($D69,Milestones!$AA$68)&lt;=AsOfDate,IF($R69=0,$X69,IF(AND($T69&lt;&gt;"",EDATE($D69,Milestones!$AA$68)&gt;=$T69),$W69,IF(AND($S69&lt;&gt;"",EDATE($D69,Milestones!$AA$68)&gt;=$S69),$V69,$U69)))=Milestones!$AB$68),UPPER(TEXT(EDATE($D69,Milestones!$AA$68),"dd mmm yy"))&amp;" "&amp;Milestones!$AB$68&amp;" "&amp;Milestones!$AC$68&amp;";  ","")&amp;IF(AND(EDATE($D69,Milestones!$AA$69)&lt;=AsOfDate,IF($R69=0,$X69,IF(AND($T69&lt;&gt;"",EDATE($D69,Milestones!$AA$69)&gt;=$T69),$W69,IF(AND($S69&lt;&gt;"",EDATE($D69,Milestones!$AA$69)&gt;=$S69),$V69,$U69)))=Milestones!$AB$69),UPPER(TEXT(EDATE($D69,Milestones!$AA$69),"dd mmm yy"))&amp;" "&amp;Milestones!$AB$69&amp;" "&amp;Milestones!$AC$69&amp;";  ","")&amp;IF(AND(EDATE($D69,Milestones!$AA$70)&lt;=AsOfDate,IF($R69=0,$X69,IF(AND($T69&lt;&gt;"",EDATE($D69,Milestones!$AA$70)&gt;=$T69),$W69,IF(AND($S69&lt;&gt;"",EDATE($D69,Milestones!$AA$70)&gt;=$S69),$V69,$U69)))=Milestones!$AB$70),UPPER(TEXT(EDATE($D69,Milestones!$AA$70),"dd mmm yy"))&amp;" "&amp;Milestones!$AB$70&amp;" "&amp;Milestones!$AC$70&amp;";  ","")&amp;IF(AND(EDATE($D69,Milestones!$AA$71)&lt;=AsOfDate,IF($R69=0,$X69,IF(AND($T69&lt;&gt;"",EDATE($D69,Milestones!$AA$71)&gt;=$T69),$W69,IF(AND($S69&lt;&gt;"",EDATE($D69,Milestones!$AA$71)&gt;=$S69),$V69,$U69)))=Milestones!$AB$71),UPPER(TEXT(EDATE($D69,Milestones!$AA$71),"dd mmm yy"))&amp;" "&amp;Milestones!$AB$71&amp;" "&amp;Milestones!$AC$71&amp;";  ","")&amp;IF(AND(EDATE($D69,Milestones!$AA$72)&lt;=AsOfDate,IF($R69=0,$X69,IF(AND($T69&lt;&gt;"",EDATE($D69,Milestones!$AA$72)&gt;=$T69),$W69,IF(AND($S69&lt;&gt;"",EDATE($D69,Milestones!$AA$72)&gt;=$S69),$V69,$U69)))=Milestones!$AB$72),UPPER(TEXT(EDATE($D69,Milestones!$AA$72),"dd mmm yy"))&amp;" "&amp;Milestones!$AB$72&amp;" "&amp;Milestones!$AC$72&amp;";  ","")&amp;IF(AND(EDATE($D69,Milestones!$AA$73)&lt;=AsOfDate,IF($R69=0,$X69,IF(AND($T69&lt;&gt;"",EDATE($D69,Milestones!$AA$73)&gt;=$T69),$W69,IF(AND($S69&lt;&gt;"",EDATE($D69,Milestones!$AA$73)&gt;=$S69),$V69,$U69)))=Milestones!$AB$73),UPPER(TEXT(EDATE($D69,Milestones!$AA$73),"dd mmm yy"))&amp;" "&amp;Milestones!$AB$73&amp;" "&amp;Milestones!$AC$73&amp;";  ","")&amp;IF(AND(EDATE($D69,Milestones!$AA$74)&lt;=AsOfDate,IF($R69=0,$X69,IF(AND($T69&lt;&gt;"",EDATE($D69,Milestones!$AA$74)&gt;=$T69),$W69,IF(AND($S69&lt;&gt;"",EDATE($D69,Milestones!$AA$74)&gt;=$S69),$V69,$U69)))=Milestones!$AB$74),UPPER(TEXT(EDATE($D69,Milestones!$AA$74),"dd mmm yy"))&amp;" "&amp;Milestones!$AB$74&amp;" "&amp;Milestones!$AC$74&amp;";  ","")&amp;IF(AND(EDATE($D69,Milestones!$AA$75)&lt;=AsOfDate,IF($R69=0,$X69,IF(AND($T69&lt;&gt;"",EDATE($D69,Milestones!$AA$75)&gt;=$T69),$W69,IF(AND($S69&lt;&gt;"",EDATE($D69,Milestones!$AA$75)&gt;=$S69),$V69,$U69)))=Milestones!$AB$75),UPPER(TEXT(EDATE($D69,Milestones!$AA$75),"dd mmm yy"))&amp;" "&amp;Milestones!$AB$75&amp;" "&amp;Milestones!$AC$75&amp;";  ","")&amp;IF(AND(EDATE($D69,Milestones!$AA$76)&lt;=AsOfDate,IF($R69=0,$X69,IF(AND($T69&lt;&gt;"",EDATE($D69,Milestones!$AA$76)&gt;=$T69),$W69,IF(AND($S69&lt;&gt;"",EDATE($D69,Milestones!$AA$76)&gt;=$S69),$V69,$U69)))=Milestones!$AB$76),UPPER(TEXT(EDATE($D69,Milestones!$AA$76),"dd mmm yy"))&amp;" "&amp;Milestones!$AB$76&amp;" "&amp;Milestones!$AC$76&amp;";  ","")&amp;IF(AND(EDATE($D69,Milestones!$AA$77)&lt;=AsOfDate,IF($R69=0,$X69,IF(AND($T69&lt;&gt;"",EDATE($D69,Milestones!$AA$77)&gt;=$T69),$W69,IF(AND($S69&lt;&gt;"",EDATE($D69,Milestones!$AA$77)&gt;=$S69),$V69,$U69)))=Milestones!$AB$77),UPPER(TEXT(EDATE($D69,Milestones!$AA$77),"dd mmm yy"))&amp;" "&amp;Milestones!$AB$77&amp;" "&amp;Milestones!$AC$77&amp;";  ","")&amp;IF(AND(EDATE($D69,Milestones!$AA$78)&lt;=AsOfDate,IF($R69=0,$X69,IF(AND($T69&lt;&gt;"",EDATE($D69,Milestones!$AA$78)&gt;=$T69),$W69,IF(AND($S69&lt;&gt;"",EDATE($D69,Milestones!$AA$78)&gt;=$S69),$V69,$U69)))=Milestones!$AB$78),UPPER(TEXT(EDATE($D69,Milestones!$AA$78),"dd mmm yy"))&amp;" "&amp;Milestones!$AB$78&amp;" "&amp;Milestones!$AC$78&amp;";  ","")&amp;IF(AND(EDATE($D69,Milestones!$AA$79)&lt;=AsOfDate,IF($R69=0,$X69,IF(AND($T69&lt;&gt;"",EDATE($D69,Milestones!$AA$79)&gt;=$T69),$W69,IF(AND($S69&lt;&gt;"",EDATE($D69,Milestones!$AA$79)&gt;=$S69),$V69,$U69)))=Milestones!$AB$79),UPPER(TEXT(EDATE($D69,Milestones!$AA$79),"dd mmm yy"))&amp;" "&amp;Milestones!$AB$79&amp;" "&amp;Milestones!$AC$79&amp;";  ",""))</f>
        <v/>
      </c>
      <c r="L69" s="0" t="str">
        <f aca="false">IF(OR($A69="",$D69=""),"",IF(AND(EDATE($D69,Milestones!$AA$80)&lt;=AsOfDate,IF($R69=0,$X69,IF(AND($T69&lt;&gt;"",EDATE($D69,Milestones!$AA$80)&gt;=$T69),$W69,IF(AND($S69&lt;&gt;"",EDATE($D69,Milestones!$AA$80)&gt;=$S69),$V69,$U69)))=Milestones!$AB$80),UPPER(TEXT(EDATE($D69,Milestones!$AA$80),"dd mmm yy"))&amp;" "&amp;Milestones!$AB$80&amp;" "&amp;Milestones!$AC$80&amp;";  ","")&amp;IF(AND(EDATE($D69,Milestones!$AA$81)&lt;=AsOfDate,IF($R69=0,$X69,IF(AND($T69&lt;&gt;"",EDATE($D69,Milestones!$AA$81)&gt;=$T69),$W69,IF(AND($S69&lt;&gt;"",EDATE($D69,Milestones!$AA$81)&gt;=$S69),$V69,$U69)))=Milestones!$AB$81),UPPER(TEXT(EDATE($D69,Milestones!$AA$81),"dd mmm yy"))&amp;" "&amp;Milestones!$AB$81&amp;" "&amp;Milestones!$AC$81&amp;";  ","")&amp;IF(AND(EDATE($D69,Milestones!$AA$82)&lt;=AsOfDate,IF($R69=0,$X69,IF(AND($T69&lt;&gt;"",EDATE($D69,Milestones!$AA$82)&gt;=$T69),$W69,IF(AND($S69&lt;&gt;"",EDATE($D69,Milestones!$AA$82)&gt;=$S69),$V69,$U69)))=Milestones!$AB$82),UPPER(TEXT(EDATE($D69,Milestones!$AA$82),"dd mmm yy"))&amp;" "&amp;Milestones!$AB$82&amp;" "&amp;Milestones!$AC$82&amp;";  ","")&amp;IF(AND(EDATE($D69,Milestones!$AA$83)&lt;=AsOfDate,IF($R69=0,$X69,IF(AND($T69&lt;&gt;"",EDATE($D69,Milestones!$AA$83)&gt;=$T69),$W69,IF(AND($S69&lt;&gt;"",EDATE($D69,Milestones!$AA$83)&gt;=$S69),$V69,$U69)))=Milestones!$AB$83),UPPER(TEXT(EDATE($D69,Milestones!$AA$83),"dd mmm yy"))&amp;" "&amp;Milestones!$AB$83&amp;" "&amp;Milestones!$AC$83&amp;";  ","")&amp;IF(AND(EDATE($D69,Milestones!$AA$84)&lt;=AsOfDate,IF($R69=0,$X69,IF(AND($T69&lt;&gt;"",EDATE($D69,Milestones!$AA$84)&gt;=$T69),$W69,IF(AND($S69&lt;&gt;"",EDATE($D69,Milestones!$AA$84)&gt;=$S69),$V69,$U69)))=Milestones!$AB$84),UPPER(TEXT(EDATE($D69,Milestones!$AA$84),"dd mmm yy"))&amp;" "&amp;Milestones!$AB$84&amp;" "&amp;Milestones!$AC$84&amp;";  ","")&amp;IF(AND(EDATE($D69,Milestones!$AA$85)&lt;=AsOfDate,IF($R69=0,$X69,IF(AND($T69&lt;&gt;"",EDATE($D69,Milestones!$AA$85)&gt;=$T69),$W69,IF(AND($S69&lt;&gt;"",EDATE($D69,Milestones!$AA$85)&gt;=$S69),$V69,$U69)))=Milestones!$AB$85),UPPER(TEXT(EDATE($D69,Milestones!$AA$85),"dd mmm yy"))&amp;" "&amp;Milestones!$AB$85&amp;" "&amp;Milestones!$AC$85&amp;";  ","")&amp;IF(AND(EDATE($D69,Milestones!$AA$86)&lt;=AsOfDate,IF($R69=0,$X69,IF(AND($T69&lt;&gt;"",EDATE($D69,Milestones!$AA$86)&gt;=$T69),$W69,IF(AND($S69&lt;&gt;"",EDATE($D69,Milestones!$AA$86)&gt;=$S69),$V69,$U69)))=Milestones!$AB$86),UPPER(TEXT(EDATE($D69,Milestones!$AA$86),"dd mmm yy"))&amp;" "&amp;Milestones!$AB$86&amp;" "&amp;Milestones!$AC$86&amp;";  ","")&amp;IF(AND(EDATE($D69,Milestones!$AA$87)&lt;=AsOfDate,IF($R69=0,$X69,IF(AND($T69&lt;&gt;"",EDATE($D69,Milestones!$AA$87)&gt;=$T69),$W69,IF(AND($S69&lt;&gt;"",EDATE($D69,Milestones!$AA$87)&gt;=$S69),$V69,$U69)))=Milestones!$AB$87),UPPER(TEXT(EDATE($D69,Milestones!$AA$87),"dd mmm yy"))&amp;" "&amp;Milestones!$AB$87&amp;" "&amp;Milestones!$AC$87&amp;";  ","")&amp;IF(AND(EDATE($D69,Milestones!$AA$88)&lt;=AsOfDate,IF($R69=0,$X69,IF(AND($T69&lt;&gt;"",EDATE($D69,Milestones!$AA$88)&gt;=$T69),$W69,IF(AND($S69&lt;&gt;"",EDATE($D69,Milestones!$AA$88)&gt;=$S69),$V69,$U69)))=Milestones!$AB$88),UPPER(TEXT(EDATE($D69,Milestones!$AA$88),"dd mmm yy"))&amp;" "&amp;Milestones!$AB$88&amp;" "&amp;Milestones!$AC$88&amp;";  ","")&amp;IF(AND(EDATE($D69,Milestones!$AA$89)&lt;=AsOfDate,IF($R69=0,$X69,IF(AND($T69&lt;&gt;"",EDATE($D69,Milestones!$AA$89)&gt;=$T69),$W69,IF(AND($S69&lt;&gt;"",EDATE($D69,Milestones!$AA$89)&gt;=$S69),$V69,$U69)))=Milestones!$AB$89),UPPER(TEXT(EDATE($D69,Milestones!$AA$89),"dd mmm yy"))&amp;" "&amp;Milestones!$AB$89&amp;" "&amp;Milestones!$AC$89&amp;";  ","")&amp;IF(AND(EDATE($D69,Milestones!$AA$90)&lt;=AsOfDate,IF($R69=0,$X69,IF(AND($T69&lt;&gt;"",EDATE($D69,Milestones!$AA$90)&gt;=$T69),$W69,IF(AND($S69&lt;&gt;"",EDATE($D69,Milestones!$AA$90)&gt;=$S69),$V69,$U69)))=Milestones!$AB$90),UPPER(TEXT(EDATE($D69,Milestones!$AA$90),"dd mmm yy"))&amp;" "&amp;Milestones!$AB$90&amp;" "&amp;Milestones!$AC$90&amp;";  ","")&amp;IF(AND(EDATE($D69,Milestones!$AA$91)&lt;=AsOfDate,IF($R69=0,$X69,IF(AND($T69&lt;&gt;"",EDATE($D69,Milestones!$AA$91)&gt;=$T69),$W69,IF(AND($S69&lt;&gt;"",EDATE($D69,Milestones!$AA$91)&gt;=$S69),$V69,$U69)))=Milestones!$AB$91),UPPER(TEXT(EDATE($D69,Milestones!$AA$91),"dd mmm yy"))&amp;" "&amp;Milestones!$AB$91&amp;" "&amp;Milestones!$AC$91&amp;";  ","")&amp;IF(AND(EDATE($D69,Milestones!$AA$92)&lt;=AsOfDate,IF($R69=0,$X69,IF(AND($T69&lt;&gt;"",EDATE($D69,Milestones!$AA$92)&gt;=$T69),$W69,IF(AND($S69&lt;&gt;"",EDATE($D69,Milestones!$AA$92)&gt;=$S69),$V69,$U69)))=Milestones!$AB$92),UPPER(TEXT(EDATE($D69,Milestones!$AA$92),"dd mmm yy"))&amp;" "&amp;Milestones!$AB$92&amp;" "&amp;Milestones!$AC$92&amp;";  ","")&amp;IF(AND(EDATE($D69,Milestones!$AA$93)&lt;=AsOfDate,IF($R69=0,$X69,IF(AND($T69&lt;&gt;"",EDATE($D69,Milestones!$AA$93)&gt;=$T69),$W69,IF(AND($S69&lt;&gt;"",EDATE($D69,Milestones!$AA$93)&gt;=$S69),$V69,$U69)))=Milestones!$AB$93),UPPER(TEXT(EDATE($D69,Milestones!$AA$93),"dd mmm yy"))&amp;" "&amp;Milestones!$AB$93&amp;" "&amp;Milestones!$AC$93&amp;";  ","")&amp;IF(AND(EDATE($D69,Milestones!$AA$94)&lt;=AsOfDate,IF($R69=0,$X69,IF(AND($T69&lt;&gt;"",EDATE($D69,Milestones!$AA$94)&gt;=$T69),$W69,IF(AND($S69&lt;&gt;"",EDATE($D69,Milestones!$AA$94)&gt;=$S69),$V69,$U69)))=Milestones!$AB$94),UPPER(TEXT(EDATE($D69,Milestones!$AA$94),"dd mmm yy"))&amp;" "&amp;Milestones!$AB$94&amp;" "&amp;Milestones!$AC$94&amp;";  ","")&amp;IF(AND(EDATE($D69,Milestones!$AA$95)&lt;=AsOfDate,IF($R69=0,$X69,IF(AND($T69&lt;&gt;"",EDATE($D69,Milestones!$AA$95)&gt;=$T69),$W69,IF(AND($S69&lt;&gt;"",EDATE($D69,Milestones!$AA$95)&gt;=$S69),$V69,$U69)))=Milestones!$AB$95),UPPER(TEXT(EDATE($D69,Milestones!$AA$95),"dd mmm yy"))&amp;" "&amp;Milestones!$AB$95&amp;" "&amp;Milestones!$AC$95&amp;";  ","")&amp;IF(AND(EDATE($D69,Milestones!$AA$96)&lt;=AsOfDate,IF($R69=0,$X69,IF(AND($T69&lt;&gt;"",EDATE($D69,Milestones!$AA$96)&gt;=$T69),$W69,IF(AND($S69&lt;&gt;"",EDATE($D69,Milestones!$AA$96)&gt;=$S69),$V69,$U69)))=Milestones!$AB$96),UPPER(TEXT(EDATE($D69,Milestones!$AA$96),"dd mmm yy"))&amp;" "&amp;Milestones!$AB$96&amp;" "&amp;Milestones!$AC$96&amp;";  ","")&amp;IF(AND(EDATE($D69,Milestones!$AA$97)&lt;=AsOfDate,IF($R69=0,$X69,IF(AND($T69&lt;&gt;"",EDATE($D69,Milestones!$AA$97)&gt;=$T69),$W69,IF(AND($S69&lt;&gt;"",EDATE($D69,Milestones!$AA$97)&gt;=$S69),$V69,$U69)))=Milestones!$AB$97),UPPER(TEXT(EDATE($D69,Milestones!$AA$97),"dd mmm yy"))&amp;" "&amp;Milestones!$AB$97&amp;" "&amp;Milestones!$AC$97&amp;";  ","")&amp;IF(AND(EDATE($D69,Milestones!$AA$98)&lt;=AsOfDate,IF($R69=0,$X69,IF(AND($T69&lt;&gt;"",EDATE($D69,Milestones!$AA$98)&gt;=$T69),$W69,IF(AND($S69&lt;&gt;"",EDATE($D69,Milestones!$AA$98)&gt;=$S69),$V69,$U69)))=Milestones!$AB$98),UPPER(TEXT(EDATE($D69,Milestones!$AA$98),"dd mmm yy"))&amp;" "&amp;Milestones!$AB$98&amp;" "&amp;Milestones!$AC$98&amp;";  ","")&amp;IF(AND(EDATE($D69,Milestones!$AA$99)&lt;=AsOfDate,IF($R69=0,$X69,IF(AND($T69&lt;&gt;"",EDATE($D69,Milestones!$AA$99)&gt;=$T69),$W69,IF(AND($S69&lt;&gt;"",EDATE($D69,Milestones!$AA$99)&gt;=$S69),$V69,$U69)))=Milestones!$AB$99),UPPER(TEXT(EDATE($D69,Milestones!$AA$99),"dd mmm yy"))&amp;" "&amp;Milestones!$AB$99&amp;" "&amp;Milestones!$AC$99&amp;";  ",""))</f>
        <v/>
      </c>
      <c r="M69" s="0" t="str">
        <f aca="false">IF(OR($A69="",$D69=""),"",IF(AND(EDATE($D69,Milestones!$AA$100)&lt;=AsOfDate,IF($R69=0,$X69,IF(AND($T69&lt;&gt;"",EDATE($D69,Milestones!$AA$100)&gt;=$T69),$W69,IF(AND($S69&lt;&gt;"",EDATE($D69,Milestones!$AA$100)&gt;=$S69),$V69,$U69)))=Milestones!$AB$100),UPPER(TEXT(EDATE($D69,Milestones!$AA$100),"dd mmm yy"))&amp;" "&amp;Milestones!$AB$100&amp;" "&amp;Milestones!$AC$100&amp;";  ","")&amp;IF(AND(EDATE($D69,Milestones!$AA$101)&lt;=AsOfDate,IF($R69=0,$X69,IF(AND($T69&lt;&gt;"",EDATE($D69,Milestones!$AA$101)&gt;=$T69),$W69,IF(AND($S69&lt;&gt;"",EDATE($D69,Milestones!$AA$101)&gt;=$S69),$V69,$U69)))=Milestones!$AB$101),UPPER(TEXT(EDATE($D69,Milestones!$AA$101),"dd mmm yy"))&amp;" "&amp;Milestones!$AB$101&amp;" "&amp;Milestones!$AC$101&amp;";  ","")&amp;IF(AND(EDATE($D69,Milestones!$AA$102)&lt;=AsOfDate,IF($R69=0,$X69,IF(AND($T69&lt;&gt;"",EDATE($D69,Milestones!$AA$102)&gt;=$T69),$W69,IF(AND($S69&lt;&gt;"",EDATE($D69,Milestones!$AA$102)&gt;=$S69),$V69,$U69)))=Milestones!$AB$102),UPPER(TEXT(EDATE($D69,Milestones!$AA$102),"dd mmm yy"))&amp;" "&amp;Milestones!$AB$102&amp;" "&amp;Milestones!$AC$102&amp;";  ","")&amp;IF(AND(EDATE($D69,Milestones!$AA$103)&lt;=AsOfDate,IF($R69=0,$X69,IF(AND($T69&lt;&gt;"",EDATE($D69,Milestones!$AA$103)&gt;=$T69),$W69,IF(AND($S69&lt;&gt;"",EDATE($D69,Milestones!$AA$103)&gt;=$S69),$V69,$U69)))=Milestones!$AB$103),UPPER(TEXT(EDATE($D69,Milestones!$AA$103),"dd mmm yy"))&amp;" "&amp;Milestones!$AB$103&amp;" "&amp;Milestones!$AC$103&amp;";  ","")&amp;IF(AND(EDATE($D69,Milestones!$AA$104)&lt;=AsOfDate,IF($R69=0,$X69,IF(AND($T69&lt;&gt;"",EDATE($D69,Milestones!$AA$104)&gt;=$T69),$W69,IF(AND($S69&lt;&gt;"",EDATE($D69,Milestones!$AA$104)&gt;=$S69),$V69,$U69)))=Milestones!$AB$104),UPPER(TEXT(EDATE($D69,Milestones!$AA$104),"dd mmm yy"))&amp;" "&amp;Milestones!$AB$104&amp;" "&amp;Milestones!$AC$104&amp;";  ","")&amp;IF(AND(EDATE($D69,Milestones!$AA$105)&lt;=AsOfDate,IF($R69=0,$X69,IF(AND($T69&lt;&gt;"",EDATE($D69,Milestones!$AA$105)&gt;=$T69),$W69,IF(AND($S69&lt;&gt;"",EDATE($D69,Milestones!$AA$105)&gt;=$S69),$V69,$U69)))=Milestones!$AB$105),UPPER(TEXT(EDATE($D69,Milestones!$AA$105),"dd mmm yy"))&amp;" "&amp;Milestones!$AB$105&amp;" "&amp;Milestones!$AC$105&amp;";  ","")&amp;IF(AND(EDATE($D69,Milestones!$AA$106)&lt;=AsOfDate,IF($R69=0,$X69,IF(AND($T69&lt;&gt;"",EDATE($D69,Milestones!$AA$106)&gt;=$T69),$W69,IF(AND($S69&lt;&gt;"",EDATE($D69,Milestones!$AA$106)&gt;=$S69),$V69,$U69)))=Milestones!$AB$106),UPPER(TEXT(EDATE($D69,Milestones!$AA$106),"dd mmm yy"))&amp;" "&amp;Milestones!$AB$106&amp;" "&amp;Milestones!$AC$106&amp;";  ","")&amp;IF(AND(EDATE($D69,Milestones!$AA$107)&lt;=AsOfDate,IF($R69=0,$X69,IF(AND($T69&lt;&gt;"",EDATE($D69,Milestones!$AA$107)&gt;=$T69),$W69,IF(AND($S69&lt;&gt;"",EDATE($D69,Milestones!$AA$107)&gt;=$S69),$V69,$U69)))=Milestones!$AB$107),UPPER(TEXT(EDATE($D69,Milestones!$AA$107),"dd mmm yy"))&amp;" "&amp;Milestones!$AB$107&amp;" "&amp;Milestones!$AC$107&amp;";  ","")&amp;IF(AND(EDATE($D69,Milestones!$AA$108)&lt;=AsOfDate,IF($R69=0,$X69,IF(AND($T69&lt;&gt;"",EDATE($D69,Milestones!$AA$108)&gt;=$T69),$W69,IF(AND($S69&lt;&gt;"",EDATE($D69,Milestones!$AA$108)&gt;=$S69),$V69,$U69)))=Milestones!$AB$108),UPPER(TEXT(EDATE($D69,Milestones!$AA$108),"dd mmm yy"))&amp;" "&amp;Milestones!$AB$108&amp;" "&amp;Milestones!$AC$108&amp;";  ","")&amp;IF(AND(EDATE($D69,Milestones!$AA$109)&lt;=AsOfDate,IF($R69=0,$X69,IF(AND($T69&lt;&gt;"",EDATE($D69,Milestones!$AA$109)&gt;=$T69),$W69,IF(AND($S69&lt;&gt;"",EDATE($D69,Milestones!$AA$109)&gt;=$S69),$V69,$U69)))=Milestones!$AB$109),UPPER(TEXT(EDATE($D69,Milestones!$AA$109),"dd mmm yy"))&amp;" "&amp;Milestones!$AB$109&amp;" "&amp;Milestones!$AC$109&amp;";  ","")&amp;IF(AND(EDATE($D69,Milestones!$AA$110)&lt;=AsOfDate,IF($R69=0,$X69,IF(AND($T69&lt;&gt;"",EDATE($D69,Milestones!$AA$110)&gt;=$T69),$W69,IF(AND($S69&lt;&gt;"",EDATE($D69,Milestones!$AA$110)&gt;=$S69),$V69,$U69)))=Milestones!$AB$110),UPPER(TEXT(EDATE($D69,Milestones!$AA$110),"dd mmm yy"))&amp;" "&amp;Milestones!$AB$110&amp;" "&amp;Milestones!$AC$110&amp;";  ","")&amp;IF(AND(EDATE($D69,Milestones!$AA$111)&lt;=AsOfDate,IF($R69=0,$X69,IF(AND($T69&lt;&gt;"",EDATE($D69,Milestones!$AA$111)&gt;=$T69),$W69,IF(AND($S69&lt;&gt;"",EDATE($D69,Milestones!$AA$111)&gt;=$S69),$V69,$U69)))=Milestones!$AB$111),UPPER(TEXT(EDATE($D69,Milestones!$AA$111),"dd mmm yy"))&amp;" "&amp;Milestones!$AB$111&amp;" "&amp;Milestones!$AC$111&amp;";  ","")&amp;IF(AND(EDATE($D69,Milestones!$AA$112)&lt;=AsOfDate,IF($R69=0,$X69,IF(AND($T69&lt;&gt;"",EDATE($D69,Milestones!$AA$112)&gt;=$T69),$W69,IF(AND($S69&lt;&gt;"",EDATE($D69,Milestones!$AA$112)&gt;=$S69),$V69,$U69)))=Milestones!$AB$112),UPPER(TEXT(EDATE($D69,Milestones!$AA$112),"dd mmm yy"))&amp;" "&amp;Milestones!$AB$112&amp;" "&amp;Milestones!$AC$112&amp;";  ","")&amp;IF(AND(EDATE($D69,Milestones!$AA$113)&lt;=AsOfDate,IF($R69=0,$X69,IF(AND($T69&lt;&gt;"",EDATE($D69,Milestones!$AA$113)&gt;=$T69),$W69,IF(AND($S69&lt;&gt;"",EDATE($D69,Milestones!$AA$113)&gt;=$S69),$V69,$U69)))=Milestones!$AB$113),UPPER(TEXT(EDATE($D69,Milestones!$AA$113),"dd mmm yy"))&amp;" "&amp;Milestones!$AB$113&amp;" "&amp;Milestones!$AC$113&amp;";  ","")&amp;IF(AND(EDATE($D69,Milestones!$AA$114)&lt;=AsOfDate,IF($R69=0,$X69,IF(AND($T69&lt;&gt;"",EDATE($D69,Milestones!$AA$114)&gt;=$T69),$W69,IF(AND($S69&lt;&gt;"",EDATE($D69,Milestones!$AA$114)&gt;=$S69),$V69,$U69)))=Milestones!$AB$114),UPPER(TEXT(EDATE($D69,Milestones!$AA$114),"dd mmm yy"))&amp;" "&amp;Milestones!$AB$114&amp;" "&amp;Milestones!$AC$114&amp;";  ","")&amp;IF(AND(EDATE($D69,Milestones!$AA$115)&lt;=AsOfDate,IF($R69=0,$X69,IF(AND($T69&lt;&gt;"",EDATE($D69,Milestones!$AA$115)&gt;=$T69),$W69,IF(AND($S69&lt;&gt;"",EDATE($D69,Milestones!$AA$115)&gt;=$S69),$V69,$U69)))=Milestones!$AB$115),UPPER(TEXT(EDATE($D69,Milestones!$AA$115),"dd mmm yy"))&amp;" "&amp;Milestones!$AB$115&amp;" "&amp;Milestones!$AC$115&amp;";  ","")&amp;IF(AND(EDATE($D69,Milestones!$AA$116)&lt;=AsOfDate,IF($R69=0,$X69,IF(AND($T69&lt;&gt;"",EDATE($D69,Milestones!$AA$116)&gt;=$T69),$W69,IF(AND($S69&lt;&gt;"",EDATE($D69,Milestones!$AA$116)&gt;=$S69),$V69,$U69)))=Milestones!$AB$116),UPPER(TEXT(EDATE($D69,Milestones!$AA$116),"dd mmm yy"))&amp;" "&amp;Milestones!$AB$116&amp;" "&amp;Milestones!$AC$116&amp;";  ","")&amp;IF(AND(EDATE($D69,Milestones!$AA$117)&lt;=AsOfDate,IF($R69=0,$X69,IF(AND($T69&lt;&gt;"",EDATE($D69,Milestones!$AA$117)&gt;=$T69),$W69,IF(AND($S69&lt;&gt;"",EDATE($D69,Milestones!$AA$117)&gt;=$S69),$V69,$U69)))=Milestones!$AB$117),UPPER(TEXT(EDATE($D69,Milestones!$AA$117),"dd mmm yy"))&amp;" "&amp;Milestones!$AB$117&amp;" "&amp;Milestones!$AC$117&amp;";  ","")&amp;IF(AND(EDATE($D69,Milestones!$AA$118)&lt;=AsOfDate,IF($R69=0,$X69,IF(AND($T69&lt;&gt;"",EDATE($D69,Milestones!$AA$118)&gt;=$T69),$W69,IF(AND($S69&lt;&gt;"",EDATE($D69,Milestones!$AA$118)&gt;=$S69),$V69,$U69)))=Milestones!$AB$118),UPPER(TEXT(EDATE($D69,Milestones!$AA$118),"dd mmm yy"))&amp;" "&amp;Milestones!$AB$118&amp;" "&amp;Milestones!$AC$118&amp;";  ","")&amp;IF(AND(EDATE($D69,Milestones!$AA$119)&lt;=AsOfDate,IF($R69=0,$X69,IF(AND($T69&lt;&gt;"",EDATE($D69,Milestones!$AA$119)&gt;=$T69),$W69,IF(AND($S69&lt;&gt;"",EDATE($D69,Milestones!$AA$119)&gt;=$S69),$V69,$U69)))=Milestones!$AB$119),UPPER(TEXT(EDATE($D69,Milestones!$AA$119),"dd mmm yy"))&amp;" "&amp;Milestones!$AB$119&amp;" "&amp;Milestones!$AC$119&amp;";  ",""))</f>
        <v/>
      </c>
      <c r="N69" s="0" t="str">
        <f aca="false">IF(OR($A69="",$D69=""),"",IF(AND(EDATE($D69,Milestones!$AA$120)&lt;=AsOfDate,IF($R69=0,$X69,IF(AND($T69&lt;&gt;"",EDATE($D69,Milestones!$AA$120)&gt;=$T69),$W69,IF(AND($S69&lt;&gt;"",EDATE($D69,Milestones!$AA$120)&gt;=$S69),$V69,$U69)))=Milestones!$AB$120),UPPER(TEXT(EDATE($D69,Milestones!$AA$120),"dd mmm yy"))&amp;" "&amp;Milestones!$AB$120&amp;" "&amp;Milestones!$AC$120&amp;";  ","")&amp;IF(AND(EDATE($D69,Milestones!$AA$121)&lt;=AsOfDate,IF($R69=0,$X69,IF(AND($T69&lt;&gt;"",EDATE($D69,Milestones!$AA$121)&gt;=$T69),$W69,IF(AND($S69&lt;&gt;"",EDATE($D69,Milestones!$AA$121)&gt;=$S69),$V69,$U69)))=Milestones!$AB$121),UPPER(TEXT(EDATE($D69,Milestones!$AA$121),"dd mmm yy"))&amp;" "&amp;Milestones!$AB$121&amp;" "&amp;Milestones!$AC$121&amp;";  ","")&amp;IF(AND(EDATE($D69,Milestones!$AA$122)&lt;=AsOfDate,IF($R69=0,$X69,IF(AND($T69&lt;&gt;"",EDATE($D69,Milestones!$AA$122)&gt;=$T69),$W69,IF(AND($S69&lt;&gt;"",EDATE($D69,Milestones!$AA$122)&gt;=$S69),$V69,$U69)))=Milestones!$AB$122),UPPER(TEXT(EDATE($D69,Milestones!$AA$122),"dd mmm yy"))&amp;" "&amp;Milestones!$AB$122&amp;" "&amp;Milestones!$AC$122&amp;";  ","")&amp;IF(AND(EDATE($D69,Milestones!$AA$123)&lt;=AsOfDate,IF($R69=0,$X69,IF(AND($T69&lt;&gt;"",EDATE($D69,Milestones!$AA$123)&gt;=$T69),$W69,IF(AND($S69&lt;&gt;"",EDATE($D69,Milestones!$AA$123)&gt;=$S69),$V69,$U69)))=Milestones!$AB$123),UPPER(TEXT(EDATE($D69,Milestones!$AA$123),"dd mmm yy"))&amp;" "&amp;Milestones!$AB$123&amp;" "&amp;Milestones!$AC$123&amp;";  ","")&amp;IF(AND(EDATE($D69,Milestones!$AA$124)&lt;=AsOfDate,IF($R69=0,$X69,IF(AND($T69&lt;&gt;"",EDATE($D69,Milestones!$AA$124)&gt;=$T69),$W69,IF(AND($S69&lt;&gt;"",EDATE($D69,Milestones!$AA$124)&gt;=$S69),$V69,$U69)))=Milestones!$AB$124),UPPER(TEXT(EDATE($D69,Milestones!$AA$124),"dd mmm yy"))&amp;" "&amp;Milestones!$AB$124&amp;" "&amp;Milestones!$AC$124&amp;";  ","")&amp;IF(AND(EDATE($D69,Milestones!$AA$125)&lt;=AsOfDate,IF($R69=0,$X69,IF(AND($T69&lt;&gt;"",EDATE($D69,Milestones!$AA$125)&gt;=$T69),$W69,IF(AND($S69&lt;&gt;"",EDATE($D69,Milestones!$AA$125)&gt;=$S69),$V69,$U69)))=Milestones!$AB$125),UPPER(TEXT(EDATE($D69,Milestones!$AA$125),"dd mmm yy"))&amp;" "&amp;Milestones!$AB$125&amp;" "&amp;Milestones!$AC$125&amp;";  ","")&amp;IF(AND(EDATE($D69,Milestones!$AA$126)&lt;=AsOfDate,IF($R69=0,$X69,IF(AND($T69&lt;&gt;"",EDATE($D69,Milestones!$AA$126)&gt;=$T69),$W69,IF(AND($S69&lt;&gt;"",EDATE($D69,Milestones!$AA$126)&gt;=$S69),$V69,$U69)))=Milestones!$AB$126),UPPER(TEXT(EDATE($D69,Milestones!$AA$126),"dd mmm yy"))&amp;" "&amp;Milestones!$AB$126&amp;" "&amp;Milestones!$AC$126&amp;";  ","")&amp;IF(AND(EDATE($D69,Milestones!$AA$127)&lt;=AsOfDate,IF($R69=0,$X69,IF(AND($T69&lt;&gt;"",EDATE($D69,Milestones!$AA$127)&gt;=$T69),$W69,IF(AND($S69&lt;&gt;"",EDATE($D69,Milestones!$AA$127)&gt;=$S69),$V69,$U69)))=Milestones!$AB$127),UPPER(TEXT(EDATE($D69,Milestones!$AA$127),"dd mmm yy"))&amp;" "&amp;Milestones!$AB$127&amp;" "&amp;Milestones!$AC$127&amp;";  ","")&amp;IF(AND(EDATE($D69,Milestones!$AA$128)&lt;=AsOfDate,IF($R69=0,$X69,IF(AND($T69&lt;&gt;"",EDATE($D69,Milestones!$AA$128)&gt;=$T69),$W69,IF(AND($S69&lt;&gt;"",EDATE($D69,Milestones!$AA$128)&gt;=$S69),$V69,$U69)))=Milestones!$AB$128),UPPER(TEXT(EDATE($D69,Milestones!$AA$128),"dd mmm yy"))&amp;" "&amp;Milestones!$AB$128&amp;" "&amp;Milestones!$AC$128&amp;";  ","")&amp;IF(AND(EDATE($D69,Milestones!$AA$129)&lt;=AsOfDate,IF($R69=0,$X69,IF(AND($T69&lt;&gt;"",EDATE($D69,Milestones!$AA$129)&gt;=$T69),$W69,IF(AND($S69&lt;&gt;"",EDATE($D69,Milestones!$AA$129)&gt;=$S69),$V69,$U69)))=Milestones!$AB$129),UPPER(TEXT(EDATE($D69,Milestones!$AA$129),"dd mmm yy"))&amp;" "&amp;Milestones!$AB$129&amp;" "&amp;Milestones!$AC$129&amp;";  ","")&amp;IF(AND(EDATE($D69,Milestones!$AA$130)&lt;=AsOfDate,IF($R69=0,$X69,IF(AND($T69&lt;&gt;"",EDATE($D69,Milestones!$AA$130)&gt;=$T69),$W69,IF(AND($S69&lt;&gt;"",EDATE($D69,Milestones!$AA$130)&gt;=$S69),$V69,$U69)))=Milestones!$AB$130),UPPER(TEXT(EDATE($D69,Milestones!$AA$130),"dd mmm yy"))&amp;" "&amp;Milestones!$AB$130&amp;" "&amp;Milestones!$AC$130&amp;";  ","")&amp;IF(AND(EDATE($D69,Milestones!$AA$131)&lt;=AsOfDate,IF($R69=0,$X69,IF(AND($T69&lt;&gt;"",EDATE($D69,Milestones!$AA$131)&gt;=$T69),$W69,IF(AND($S69&lt;&gt;"",EDATE($D69,Milestones!$AA$131)&gt;=$S69),$V69,$U69)))=Milestones!$AB$131),UPPER(TEXT(EDATE($D69,Milestones!$AA$131),"dd mmm yy"))&amp;" "&amp;Milestones!$AB$131&amp;" "&amp;Milestones!$AC$131&amp;";  ","")&amp;IF(AND(EDATE($D69,Milestones!$AA$132)&lt;=AsOfDate,IF($R69=0,$X69,IF(AND($T69&lt;&gt;"",EDATE($D69,Milestones!$AA$132)&gt;=$T69),$W69,IF(AND($S69&lt;&gt;"",EDATE($D69,Milestones!$AA$132)&gt;=$S69),$V69,$U69)))=Milestones!$AB$132),UPPER(TEXT(EDATE($D69,Milestones!$AA$132),"dd mmm yy"))&amp;" "&amp;Milestones!$AB$132&amp;" "&amp;Milestones!$AC$132&amp;";  ","")&amp;IF(AND(EDATE($D69,Milestones!$AA$133)&lt;=AsOfDate,IF($R69=0,$X69,IF(AND($T69&lt;&gt;"",EDATE($D69,Milestones!$AA$133)&gt;=$T69),$W69,IF(AND($S69&lt;&gt;"",EDATE($D69,Milestones!$AA$133)&gt;=$S69),$V69,$U69)))=Milestones!$AB$133),UPPER(TEXT(EDATE($D69,Milestones!$AA$133),"dd mmm yy"))&amp;" "&amp;Milestones!$AB$133&amp;" "&amp;Milestones!$AC$133&amp;";  ","")&amp;IF(AND(EDATE($D69,Milestones!$AA$134)&lt;=AsOfDate,IF($R69=0,$X69,IF(AND($T69&lt;&gt;"",EDATE($D69,Milestones!$AA$134)&gt;=$T69),$W69,IF(AND($S69&lt;&gt;"",EDATE($D69,Milestones!$AA$134)&gt;=$S69),$V69,$U69)))=Milestones!$AB$134),UPPER(TEXT(EDATE($D69,Milestones!$AA$134),"dd mmm yy"))&amp;" "&amp;Milestones!$AB$134&amp;" "&amp;Milestones!$AC$134&amp;";  ","")&amp;IF(AND(EDATE($D69,Milestones!$AA$135)&lt;=AsOfDate,IF($R69=0,$X69,IF(AND($T69&lt;&gt;"",EDATE($D69,Milestones!$AA$135)&gt;=$T69),$W69,IF(AND($S69&lt;&gt;"",EDATE($D69,Milestones!$AA$135)&gt;=$S69),$V69,$U69)))=Milestones!$AB$135),UPPER(TEXT(EDATE($D69,Milestones!$AA$135),"dd mmm yy"))&amp;" "&amp;Milestones!$AB$135&amp;" "&amp;Milestones!$AC$135&amp;";  ","")&amp;IF(AND(EDATE($D69,Milestones!$AA$136)&lt;=AsOfDate,IF($R69=0,$X69,IF(AND($T69&lt;&gt;"",EDATE($D69,Milestones!$AA$136)&gt;=$T69),$W69,IF(AND($S69&lt;&gt;"",EDATE($D69,Milestones!$AA$136)&gt;=$S69),$V69,$U69)))=Milestones!$AB$136),UPPER(TEXT(EDATE($D69,Milestones!$AA$136),"dd mmm yy"))&amp;" "&amp;Milestones!$AB$136&amp;" "&amp;Milestones!$AC$136&amp;";  ","")&amp;IF(AND(EDATE($D69,Milestones!$AA$137)&lt;=AsOfDate,IF($R69=0,$X69,IF(AND($T69&lt;&gt;"",EDATE($D69,Milestones!$AA$137)&gt;=$T69),$W69,IF(AND($S69&lt;&gt;"",EDATE($D69,Milestones!$AA$137)&gt;=$S69),$V69,$U69)))=Milestones!$AB$137),UPPER(TEXT(EDATE($D69,Milestones!$AA$137),"dd mmm yy"))&amp;" "&amp;Milestones!$AB$137&amp;" "&amp;Milestones!$AC$137&amp;";  ","")&amp;IF(AND(EDATE($D69,Milestones!$AA$138)&lt;=AsOfDate,IF($R69=0,$X69,IF(AND($T69&lt;&gt;"",EDATE($D69,Milestones!$AA$138)&gt;=$T69),$W69,IF(AND($S69&lt;&gt;"",EDATE($D69,Milestones!$AA$138)&gt;=$S69),$V69,$U69)))=Milestones!$AB$138),UPPER(TEXT(EDATE($D69,Milestones!$AA$138),"dd mmm yy"))&amp;" "&amp;Milestones!$AB$138&amp;" "&amp;Milestones!$AC$138&amp;";  ","")&amp;IF(AND(EDATE($D69,Milestones!$AA$139)&lt;=AsOfDate,IF($R69=0,$X69,IF(AND($T69&lt;&gt;"",EDATE($D69,Milestones!$AA$139)&gt;=$T69),$W69,IF(AND($S69&lt;&gt;"",EDATE($D69,Milestones!$AA$139)&gt;=$S69),$V69,$U69)))=Milestones!$AB$139),UPPER(TEXT(EDATE($D69,Milestones!$AA$139),"dd mmm yy"))&amp;" "&amp;Milestones!$AB$139&amp;" "&amp;Milestones!$AC$139&amp;";  ",""))</f>
        <v/>
      </c>
      <c r="O69" s="0" t="str">
        <f aca="false">IF(OR($A69="",$D69=""),"",IF(AND(EDATE($D69,Milestones!$AA$140)&lt;=AsOfDate,IF($R69=0,$X69,IF(AND($T69&lt;&gt;"",EDATE($D69,Milestones!$AA$140)&gt;=$T69),$W69,IF(AND($S69&lt;&gt;"",EDATE($D69,Milestones!$AA$140)&gt;=$S69),$V69,$U69)))=Milestones!$AB$140),UPPER(TEXT(EDATE($D69,Milestones!$AA$140),"dd mmm yy"))&amp;" "&amp;Milestones!$AB$140&amp;" "&amp;Milestones!$AC$140&amp;";  ","")&amp;IF(AND(EDATE($D69,Milestones!$AA$141)&lt;=AsOfDate,IF($R69=0,$X69,IF(AND($T69&lt;&gt;"",EDATE($D69,Milestones!$AA$141)&gt;=$T69),$W69,IF(AND($S69&lt;&gt;"",EDATE($D69,Milestones!$AA$141)&gt;=$S69),$V69,$U69)))=Milestones!$AB$141),UPPER(TEXT(EDATE($D69,Milestones!$AA$141),"dd mmm yy"))&amp;" "&amp;Milestones!$AB$141&amp;" "&amp;Milestones!$AC$141&amp;";  ","")&amp;IF(AND(EDATE($D69,Milestones!$AA$142)&lt;=AsOfDate,IF($R69=0,$X69,IF(AND($T69&lt;&gt;"",EDATE($D69,Milestones!$AA$142)&gt;=$T69),$W69,IF(AND($S69&lt;&gt;"",EDATE($D69,Milestones!$AA$142)&gt;=$S69),$V69,$U69)))=Milestones!$AB$142),UPPER(TEXT(EDATE($D69,Milestones!$AA$142),"dd mmm yy"))&amp;" "&amp;Milestones!$AB$142&amp;" "&amp;Milestones!$AC$142&amp;";  ","")&amp;IF(AND(EDATE($D69,Milestones!$AA$143)&lt;=AsOfDate,IF($R69=0,$X69,IF(AND($T69&lt;&gt;"",EDATE($D69,Milestones!$AA$143)&gt;=$T69),$W69,IF(AND($S69&lt;&gt;"",EDATE($D69,Milestones!$AA$143)&gt;=$S69),$V69,$U69)))=Milestones!$AB$143),UPPER(TEXT(EDATE($D69,Milestones!$AA$143),"dd mmm yy"))&amp;" "&amp;Milestones!$AB$143&amp;" "&amp;Milestones!$AC$143&amp;";  ","")&amp;IF(AND(EDATE($D69,Milestones!$AA$144)&lt;=AsOfDate,IF($R69=0,$X69,IF(AND($T69&lt;&gt;"",EDATE($D69,Milestones!$AA$144)&gt;=$T69),$W69,IF(AND($S69&lt;&gt;"",EDATE($D69,Milestones!$AA$144)&gt;=$S69),$V69,$U69)))=Milestones!$AB$144),UPPER(TEXT(EDATE($D69,Milestones!$AA$144),"dd mmm yy"))&amp;" "&amp;Milestones!$AB$144&amp;" "&amp;Milestones!$AC$144&amp;";  ","")&amp;IF(AND(EDATE($D69,Milestones!$AA$145)&lt;=AsOfDate,IF($R69=0,$X69,IF(AND($T69&lt;&gt;"",EDATE($D69,Milestones!$AA$145)&gt;=$T69),$W69,IF(AND($S69&lt;&gt;"",EDATE($D69,Milestones!$AA$145)&gt;=$S69),$V69,$U69)))=Milestones!$AB$145),UPPER(TEXT(EDATE($D69,Milestones!$AA$145),"dd mmm yy"))&amp;" "&amp;Milestones!$AB$145&amp;" "&amp;Milestones!$AC$145&amp;";  ","")&amp;IF(AND(EDATE($D69,Milestones!$AA$146)&lt;=AsOfDate,IF($R69=0,$X69,IF(AND($T69&lt;&gt;"",EDATE($D69,Milestones!$AA$146)&gt;=$T69),$W69,IF(AND($S69&lt;&gt;"",EDATE($D69,Milestones!$AA$146)&gt;=$S69),$V69,$U69)))=Milestones!$AB$146),UPPER(TEXT(EDATE($D69,Milestones!$AA$146),"dd mmm yy"))&amp;" "&amp;Milestones!$AB$146&amp;" "&amp;Milestones!$AC$146&amp;";  ","")&amp;IF(AND(EDATE($D69,Milestones!$AA$147)&lt;=AsOfDate,IF($R69=0,$X69,IF(AND($T69&lt;&gt;"",EDATE($D69,Milestones!$AA$147)&gt;=$T69),$W69,IF(AND($S69&lt;&gt;"",EDATE($D69,Milestones!$AA$147)&gt;=$S69),$V69,$U69)))=Milestones!$AB$147),UPPER(TEXT(EDATE($D69,Milestones!$AA$147),"dd mmm yy"))&amp;" "&amp;Milestones!$AB$147&amp;" "&amp;Milestones!$AC$147&amp;";  ","")&amp;IF(AND(EDATE($D69,Milestones!$AA$148)&lt;=AsOfDate,IF($R69=0,$X69,IF(AND($T69&lt;&gt;"",EDATE($D69,Milestones!$AA$148)&gt;=$T69),$W69,IF(AND($S69&lt;&gt;"",EDATE($D69,Milestones!$AA$148)&gt;=$S69),$V69,$U69)))=Milestones!$AB$148),UPPER(TEXT(EDATE($D69,Milestones!$AA$148),"dd mmm yy"))&amp;" "&amp;Milestones!$AB$148&amp;" "&amp;Milestones!$AC$148&amp;";  ","")&amp;IF(AND(EDATE($D69,Milestones!$AA$149)&lt;=AsOfDate,IF($R69=0,$X69,IF(AND($T69&lt;&gt;"",EDATE($D69,Milestones!$AA$149)&gt;=$T69),$W69,IF(AND($S69&lt;&gt;"",EDATE($D69,Milestones!$AA$149)&gt;=$S69),$V69,$U69)))=Milestones!$AB$149),UPPER(TEXT(EDATE($D69,Milestones!$AA$149),"dd mmm yy"))&amp;" "&amp;Milestones!$AB$149&amp;" "&amp;Milestones!$AC$149&amp;";  ","")&amp;IF(AND(EDATE($D69,Milestones!$AA$150)&lt;=AsOfDate,IF($R69=0,$X69,IF(AND($T69&lt;&gt;"",EDATE($D69,Milestones!$AA$150)&gt;=$T69),$W69,IF(AND($S69&lt;&gt;"",EDATE($D69,Milestones!$AA$150)&gt;=$S69),$V69,$U69)))=Milestones!$AB$150),UPPER(TEXT(EDATE($D69,Milestones!$AA$150),"dd mmm yy"))&amp;" "&amp;Milestones!$AB$150&amp;" "&amp;Milestones!$AC$150&amp;";  ","")&amp;IF(AND(EDATE($D69,Milestones!$AA$151)&lt;=AsOfDate,IF($R69=0,$X69,IF(AND($T69&lt;&gt;"",EDATE($D69,Milestones!$AA$151)&gt;=$T69),$W69,IF(AND($S69&lt;&gt;"",EDATE($D69,Milestones!$AA$151)&gt;=$S69),$V69,$U69)))=Milestones!$AB$151),UPPER(TEXT(EDATE($D69,Milestones!$AA$151),"dd mmm yy"))&amp;" "&amp;Milestones!$AB$151&amp;" "&amp;Milestones!$AC$151&amp;";  ","")&amp;IF(AND(EDATE($D69,Milestones!$AA$152)&lt;=AsOfDate,IF($R69=0,$X69,IF(AND($T69&lt;&gt;"",EDATE($D69,Milestones!$AA$152)&gt;=$T69),$W69,IF(AND($S69&lt;&gt;"",EDATE($D69,Milestones!$AA$152)&gt;=$S69),$V69,$U69)))=Milestones!$AB$152),UPPER(TEXT(EDATE($D69,Milestones!$AA$152),"dd mmm yy"))&amp;" "&amp;Milestones!$AB$152&amp;" "&amp;Milestones!$AC$152&amp;";  ","")&amp;IF(AND(EDATE($D69,Milestones!$AA$153)&lt;=AsOfDate,IF($R69=0,$X69,IF(AND($T69&lt;&gt;"",EDATE($D69,Milestones!$AA$153)&gt;=$T69),$W69,IF(AND($S69&lt;&gt;"",EDATE($D69,Milestones!$AA$153)&gt;=$S69),$V69,$U69)))=Milestones!$AB$153),UPPER(TEXT(EDATE($D69,Milestones!$AA$153),"dd mmm yy"))&amp;" "&amp;Milestones!$AB$153&amp;" "&amp;Milestones!$AC$153&amp;";  ","")&amp;IF(AND(EDATE($D69,Milestones!$AA$154)&lt;=AsOfDate,IF($R69=0,$X69,IF(AND($T69&lt;&gt;"",EDATE($D69,Milestones!$AA$154)&gt;=$T69),$W69,IF(AND($S69&lt;&gt;"",EDATE($D69,Milestones!$AA$154)&gt;=$S69),$V69,$U69)))=Milestones!$AB$154),UPPER(TEXT(EDATE($D69,Milestones!$AA$154),"dd mmm yy"))&amp;" "&amp;Milestones!$AB$154&amp;" "&amp;Milestones!$AC$154&amp;";  ","")&amp;IF(AND(EDATE($D69,Milestones!$AA$155)&lt;=AsOfDate,IF($R69=0,$X69,IF(AND($T69&lt;&gt;"",EDATE($D69,Milestones!$AA$155)&gt;=$T69),$W69,IF(AND($S69&lt;&gt;"",EDATE($D69,Milestones!$AA$155)&gt;=$S69),$V69,$U69)))=Milestones!$AB$155),UPPER(TEXT(EDATE($D69,Milestones!$AA$155),"dd mmm yy"))&amp;" "&amp;Milestones!$AB$155&amp;" "&amp;Milestones!$AC$155&amp;";  ","")&amp;IF(AND(EDATE($D69,Milestones!$AA$156)&lt;=AsOfDate,IF($R69=0,$X69,IF(AND($T69&lt;&gt;"",EDATE($D69,Milestones!$AA$156)&gt;=$T69),$W69,IF(AND($S69&lt;&gt;"",EDATE($D69,Milestones!$AA$156)&gt;=$S69),$V69,$U69)))=Milestones!$AB$156),UPPER(TEXT(EDATE($D69,Milestones!$AA$156),"dd mmm yy"))&amp;" "&amp;Milestones!$AB$156&amp;" "&amp;Milestones!$AC$156&amp;";  ","")&amp;IF(AND(EDATE($D69,Milestones!$AA$157)&lt;=AsOfDate,IF($R69=0,$X69,IF(AND($T69&lt;&gt;"",EDATE($D69,Milestones!$AA$157)&gt;=$T69),$W69,IF(AND($S69&lt;&gt;"",EDATE($D69,Milestones!$AA$157)&gt;=$S69),$V69,$U69)))=Milestones!$AB$157),UPPER(TEXT(EDATE($D69,Milestones!$AA$157),"dd mmm yy"))&amp;" "&amp;Milestones!$AB$157&amp;" "&amp;Milestones!$AC$157&amp;";  ","")&amp;IF(AND(EDATE($D69,Milestones!$AA$158)&lt;=AsOfDate,IF($R69=0,$X69,IF(AND($T69&lt;&gt;"",EDATE($D69,Milestones!$AA$158)&gt;=$T69),$W69,IF(AND($S69&lt;&gt;"",EDATE($D69,Milestones!$AA$158)&gt;=$S69),$V69,$U69)))=Milestones!$AB$158),UPPER(TEXT(EDATE($D69,Milestones!$AA$158),"dd mmm yy"))&amp;" "&amp;Milestones!$AB$158&amp;" "&amp;Milestones!$AC$158&amp;";  ","")&amp;IF(AND(EDATE($D69,Milestones!$AA$159)&lt;=AsOfDate,IF($R69=0,$X69,IF(AND($T69&lt;&gt;"",EDATE($D69,Milestones!$AA$159)&gt;=$T69),$W69,IF(AND($S69&lt;&gt;"",EDATE($D69,Milestones!$AA$159)&gt;=$S69),$V69,$U69)))=Milestones!$AB$159),UPPER(TEXT(EDATE($D69,Milestones!$AA$159),"dd mmm yy"))&amp;" "&amp;Milestones!$AB$159&amp;" "&amp;Milestones!$AC$159&amp;";  ",""))</f>
        <v/>
      </c>
      <c r="P69" s="0" t="str">
        <f aca="false">IF(OR($A69="",$D69=""),"",IF(AND(EDATE($D69,Milestones!$AA$160)&lt;=AsOfDate,IF($R69=0,$X69,IF(AND($T69&lt;&gt;"",EDATE($D69,Milestones!$AA$160)&gt;=$T69),$W69,IF(AND($S69&lt;&gt;"",EDATE($D69,Milestones!$AA$160)&gt;=$S69),$V69,$U69)))=Milestones!$AB$160),UPPER(TEXT(EDATE($D69,Milestones!$AA$160),"dd mmm yy"))&amp;" "&amp;Milestones!$AB$160&amp;" "&amp;Milestones!$AC$160&amp;";  ","")&amp;IF(AND(EDATE($D69,Milestones!$AA$161)&lt;=AsOfDate,IF($R69=0,$X69,IF(AND($T69&lt;&gt;"",EDATE($D69,Milestones!$AA$161)&gt;=$T69),$W69,IF(AND($S69&lt;&gt;"",EDATE($D69,Milestones!$AA$161)&gt;=$S69),$V69,$U69)))=Milestones!$AB$161),UPPER(TEXT(EDATE($D69,Milestones!$AA$161),"dd mmm yy"))&amp;" "&amp;Milestones!$AB$161&amp;" "&amp;Milestones!$AC$161&amp;";  ","")&amp;IF(AND(EDATE($D69,Milestones!$AA$162)&lt;=AsOfDate,IF($R69=0,$X69,IF(AND($T69&lt;&gt;"",EDATE($D69,Milestones!$AA$162)&gt;=$T69),$W69,IF(AND($S69&lt;&gt;"",EDATE($D69,Milestones!$AA$162)&gt;=$S69),$V69,$U69)))=Milestones!$AB$162),UPPER(TEXT(EDATE($D69,Milestones!$AA$162),"dd mmm yy"))&amp;" "&amp;Milestones!$AB$162&amp;" "&amp;Milestones!$AC$162&amp;";  ","")&amp;IF(AND(EDATE($D69,Milestones!$AA$163)&lt;=AsOfDate,IF($R69=0,$X69,IF(AND($T69&lt;&gt;"",EDATE($D69,Milestones!$AA$163)&gt;=$T69),$W69,IF(AND($S69&lt;&gt;"",EDATE($D69,Milestones!$AA$163)&gt;=$S69),$V69,$U69)))=Milestones!$AB$163),UPPER(TEXT(EDATE($D69,Milestones!$AA$163),"dd mmm yy"))&amp;" "&amp;Milestones!$AB$163&amp;" "&amp;Milestones!$AC$163&amp;";  ","")&amp;IF(AND(EDATE($D69,Milestones!$AA$164)&lt;=AsOfDate,IF($R69=0,$X69,IF(AND($T69&lt;&gt;"",EDATE($D69,Milestones!$AA$164)&gt;=$T69),$W69,IF(AND($S69&lt;&gt;"",EDATE($D69,Milestones!$AA$164)&gt;=$S69),$V69,$U69)))=Milestones!$AB$164),UPPER(TEXT(EDATE($D69,Milestones!$AA$164),"dd mmm yy"))&amp;" "&amp;Milestones!$AB$164&amp;" "&amp;Milestones!$AC$164&amp;";  ","")&amp;IF(AND(EDATE($D69,Milestones!$AA$165)&lt;=AsOfDate,IF($R69=0,$X69,IF(AND($T69&lt;&gt;"",EDATE($D69,Milestones!$AA$165)&gt;=$T69),$W69,IF(AND($S69&lt;&gt;"",EDATE($D69,Milestones!$AA$165)&gt;=$S69),$V69,$U69)))=Milestones!$AB$165),UPPER(TEXT(EDATE($D69,Milestones!$AA$165),"dd mmm yy"))&amp;" "&amp;Milestones!$AB$165&amp;" "&amp;Milestones!$AC$165&amp;";  ","")&amp;IF(AND(EDATE($D69,Milestones!$AA$166)&lt;=AsOfDate,IF($R69=0,$X69,IF(AND($T69&lt;&gt;"",EDATE($D69,Milestones!$AA$166)&gt;=$T69),$W69,IF(AND($S69&lt;&gt;"",EDATE($D69,Milestones!$AA$166)&gt;=$S69),$V69,$U69)))=Milestones!$AB$166),UPPER(TEXT(EDATE($D69,Milestones!$AA$166),"dd mmm yy"))&amp;" "&amp;Milestones!$AB$166&amp;" "&amp;Milestones!$AC$166&amp;";  ","")&amp;IF(AND(EDATE($D69,Milestones!$AA$167)&lt;=AsOfDate,IF($R69=0,$X69,IF(AND($T69&lt;&gt;"",EDATE($D69,Milestones!$AA$167)&gt;=$T69),$W69,IF(AND($S69&lt;&gt;"",EDATE($D69,Milestones!$AA$167)&gt;=$S69),$V69,$U69)))=Milestones!$AB$167),UPPER(TEXT(EDATE($D69,Milestones!$AA$167),"dd mmm yy"))&amp;" "&amp;Milestones!$AB$167&amp;" "&amp;Milestones!$AC$167&amp;";  ","")&amp;IF(AND(EDATE($D69,Milestones!$AA$168)&lt;=AsOfDate,IF($R69=0,$X69,IF(AND($T69&lt;&gt;"",EDATE($D69,Milestones!$AA$168)&gt;=$T69),$W69,IF(AND($S69&lt;&gt;"",EDATE($D69,Milestones!$AA$168)&gt;=$S69),$V69,$U69)))=Milestones!$AB$168),UPPER(TEXT(EDATE($D69,Milestones!$AA$168),"dd mmm yy"))&amp;" "&amp;Milestones!$AB$168&amp;" "&amp;Milestones!$AC$168&amp;";  ","")&amp;IF(AND(EDATE($D69,Milestones!$AA$169)&lt;=AsOfDate,IF($R69=0,$X69,IF(AND($T69&lt;&gt;"",EDATE($D69,Milestones!$AA$169)&gt;=$T69),$W69,IF(AND($S69&lt;&gt;"",EDATE($D69,Milestones!$AA$169)&gt;=$S69),$V69,$U69)))=Milestones!$AB$169),UPPER(TEXT(EDATE($D69,Milestones!$AA$169),"dd mmm yy"))&amp;" "&amp;Milestones!$AB$169&amp;" "&amp;Milestones!$AC$169&amp;";  ","")&amp;IF(AND(EDATE($D69,Milestones!$AA$170)&lt;=AsOfDate,IF($R69=0,$X69,IF(AND($T69&lt;&gt;"",EDATE($D69,Milestones!$AA$170)&gt;=$T69),$W69,IF(AND($S69&lt;&gt;"",EDATE($D69,Milestones!$AA$170)&gt;=$S69),$V69,$U69)))=Milestones!$AB$170),UPPER(TEXT(EDATE($D69,Milestones!$AA$170),"dd mmm yy"))&amp;" "&amp;Milestones!$AB$170&amp;" "&amp;Milestones!$AC$170&amp;";  ","")&amp;IF(AND(EDATE($D69,Milestones!$AA$171)&lt;=AsOfDate,IF($R69=0,$X69,IF(AND($T69&lt;&gt;"",EDATE($D69,Milestones!$AA$171)&gt;=$T69),$W69,IF(AND($S69&lt;&gt;"",EDATE($D69,Milestones!$AA$171)&gt;=$S69),$V69,$U69)))=Milestones!$AB$171),UPPER(TEXT(EDATE($D69,Milestones!$AA$171),"dd mmm yy"))&amp;" "&amp;Milestones!$AB$171&amp;" "&amp;Milestones!$AC$171&amp;";  ","")&amp;IF(AND(EDATE($D69,Milestones!$AA$172)&lt;=AsOfDate,IF($R69=0,$X69,IF(AND($T69&lt;&gt;"",EDATE($D69,Milestones!$AA$172)&gt;=$T69),$W69,IF(AND($S69&lt;&gt;"",EDATE($D69,Milestones!$AA$172)&gt;=$S69),$V69,$U69)))=Milestones!$AB$172),UPPER(TEXT(EDATE($D69,Milestones!$AA$172),"dd mmm yy"))&amp;" "&amp;Milestones!$AB$172&amp;" "&amp;Milestones!$AC$172&amp;";  ","")&amp;IF(AND(EDATE($D69,Milestones!$AA$173)&lt;=AsOfDate,IF($R69=0,$X69,IF(AND($T69&lt;&gt;"",EDATE($D69,Milestones!$AA$173)&gt;=$T69),$W69,IF(AND($S69&lt;&gt;"",EDATE($D69,Milestones!$AA$173)&gt;=$S69),$V69,$U69)))=Milestones!$AB$173),UPPER(TEXT(EDATE($D69,Milestones!$AA$173),"dd mmm yy"))&amp;" "&amp;Milestones!$AB$173&amp;" "&amp;Milestones!$AC$173&amp;";  ","")&amp;IF(AND(EDATE($D69,Milestones!$AA$174)&lt;=AsOfDate,IF($R69=0,$X69,IF(AND($T69&lt;&gt;"",EDATE($D69,Milestones!$AA$174)&gt;=$T69),$W69,IF(AND($S69&lt;&gt;"",EDATE($D69,Milestones!$AA$174)&gt;=$S69),$V69,$U69)))=Milestones!$AB$174),UPPER(TEXT(EDATE($D69,Milestones!$AA$174),"dd mmm yy"))&amp;" "&amp;Milestones!$AB$174&amp;" "&amp;Milestones!$AC$174&amp;";  ","")&amp;IF(AND(EDATE($D69,Milestones!$AA$175)&lt;=AsOfDate,IF($R69=0,$X69,IF(AND($T69&lt;&gt;"",EDATE($D69,Milestones!$AA$175)&gt;=$T69),$W69,IF(AND($S69&lt;&gt;"",EDATE($D69,Milestones!$AA$175)&gt;=$S69),$V69,$U69)))=Milestones!$AB$175),UPPER(TEXT(EDATE($D69,Milestones!$AA$175),"dd mmm yy"))&amp;" "&amp;Milestones!$AB$175&amp;" "&amp;Milestones!$AC$175&amp;";  ","")&amp;IF(AND(EDATE($D69,Milestones!$AA$176)&lt;=AsOfDate,IF($R69=0,$X69,IF(AND($T69&lt;&gt;"",EDATE($D69,Milestones!$AA$176)&gt;=$T69),$W69,IF(AND($S69&lt;&gt;"",EDATE($D69,Milestones!$AA$176)&gt;=$S69),$V69,$U69)))=Milestones!$AB$176),UPPER(TEXT(EDATE($D69,Milestones!$AA$176),"dd mmm yy"))&amp;" "&amp;Milestones!$AB$176&amp;" "&amp;Milestones!$AC$176&amp;";  ","")&amp;IF(AND(EDATE($D69,Milestones!$AA$177)&lt;=AsOfDate,IF($R69=0,$X69,IF(AND($T69&lt;&gt;"",EDATE($D69,Milestones!$AA$177)&gt;=$T69),$W69,IF(AND($S69&lt;&gt;"",EDATE($D69,Milestones!$AA$177)&gt;=$S69),$V69,$U69)))=Milestones!$AB$177),UPPER(TEXT(EDATE($D69,Milestones!$AA$177),"dd mmm yy"))&amp;" "&amp;Milestones!$AB$177&amp;" "&amp;Milestones!$AC$177&amp;";  ","")&amp;IF(AND(EDATE($D69,Milestones!$AA$178)&lt;=AsOfDate,IF($R69=0,$X69,IF(AND($T69&lt;&gt;"",EDATE($D69,Milestones!$AA$178)&gt;=$T69),$W69,IF(AND($S69&lt;&gt;"",EDATE($D69,Milestones!$AA$178)&gt;=$S69),$V69,$U69)))=Milestones!$AB$178),UPPER(TEXT(EDATE($D69,Milestones!$AA$178),"dd mmm yy"))&amp;" "&amp;Milestones!$AB$178&amp;" "&amp;Milestones!$AC$178&amp;";  ","")&amp;IF(AND(EDATE($D69,Milestones!$AA$179)&lt;=AsOfDate,IF($R69=0,$X69,IF(AND($T69&lt;&gt;"",EDATE($D69,Milestones!$AA$179)&gt;=$T69),$W69,IF(AND($S69&lt;&gt;"",EDATE($D69,Milestones!$AA$179)&gt;=$S69),$V69,$U69)))=Milestones!$AB$179),UPPER(TEXT(EDATE($D69,Milestones!$AA$179),"dd mmm yy"))&amp;" "&amp;Milestones!$AB$179&amp;" "&amp;Milestones!$AC$179&amp;";  ",""))</f>
        <v/>
      </c>
      <c r="Q69" s="0" t="str">
        <f aca="false">IF(OR($A69="",$D69=""),"",IF(AND(EDATE($D69,Milestones!$AA$180)&lt;=AsOfDate,IF($R69=0,$X69,IF(AND($T69&lt;&gt;"",EDATE($D69,Milestones!$AA$180)&gt;=$T69),$W69,IF(AND($S69&lt;&gt;"",EDATE($D69,Milestones!$AA$180)&gt;=$S69),$V69,$U69)))=Milestones!$AB$180),UPPER(TEXT(EDATE($D69,Milestones!$AA$180),"dd mmm yy"))&amp;" "&amp;Milestones!$AB$180&amp;" "&amp;Milestones!$AC$180&amp;";  ","")&amp;IF(AND(EDATE($D69,Milestones!$AA$181)&lt;=AsOfDate,IF($R69=0,$X69,IF(AND($T69&lt;&gt;"",EDATE($D69,Milestones!$AA$181)&gt;=$T69),$W69,IF(AND($S69&lt;&gt;"",EDATE($D69,Milestones!$AA$181)&gt;=$S69),$V69,$U69)))=Milestones!$AB$181),UPPER(TEXT(EDATE($D69,Milestones!$AA$181),"dd mmm yy"))&amp;" "&amp;Milestones!$AB$181&amp;" "&amp;Milestones!$AC$181&amp;";  ","")&amp;IF(AND(EDATE($D69,Milestones!$AA$182)&lt;=AsOfDate,IF($R69=0,$X69,IF(AND($T69&lt;&gt;"",EDATE($D69,Milestones!$AA$182)&gt;=$T69),$W69,IF(AND($S69&lt;&gt;"",EDATE($D69,Milestones!$AA$182)&gt;=$S69),$V69,$U69)))=Milestones!$AB$182),UPPER(TEXT(EDATE($D69,Milestones!$AA$182),"dd mmm yy"))&amp;" "&amp;Milestones!$AB$182&amp;" "&amp;Milestones!$AC$182&amp;";  ","")&amp;IF(AND(EDATE($D69,Milestones!$AA$183)&lt;=AsOfDate,IF($R69=0,$X69,IF(AND($T69&lt;&gt;"",EDATE($D69,Milestones!$AA$183)&gt;=$T69),$W69,IF(AND($S69&lt;&gt;"",EDATE($D69,Milestones!$AA$183)&gt;=$S69),$V69,$U69)))=Milestones!$AB$183),UPPER(TEXT(EDATE($D69,Milestones!$AA$183),"dd mmm yy"))&amp;" "&amp;Milestones!$AB$183&amp;" "&amp;Milestones!$AC$183&amp;";  ","")&amp;IF(AND(EDATE($D69,Milestones!$AA$184)&lt;=AsOfDate,IF($R69=0,$X69,IF(AND($T69&lt;&gt;"",EDATE($D69,Milestones!$AA$184)&gt;=$T69),$W69,IF(AND($S69&lt;&gt;"",EDATE($D69,Milestones!$AA$184)&gt;=$S69),$V69,$U69)))=Milestones!$AB$184),UPPER(TEXT(EDATE($D69,Milestones!$AA$184),"dd mmm yy"))&amp;" "&amp;Milestones!$AB$184&amp;" "&amp;Milestones!$AC$184&amp;";  ","")&amp;IF(AND(EDATE($D69,Milestones!$AA$185)&lt;=AsOfDate,IF($R69=0,$X69,IF(AND($T69&lt;&gt;"",EDATE($D69,Milestones!$AA$185)&gt;=$T69),$W69,IF(AND($S69&lt;&gt;"",EDATE($D69,Milestones!$AA$185)&gt;=$S69),$V69,$U69)))=Milestones!$AB$185),UPPER(TEXT(EDATE($D69,Milestones!$AA$185),"dd mmm yy"))&amp;" "&amp;Milestones!$AB$185&amp;" "&amp;Milestones!$AC$185&amp;";  ","")&amp;IF(AND(EDATE($D69,Milestones!$AA$186)&lt;=AsOfDate,IF($R69=0,$X69,IF(AND($T69&lt;&gt;"",EDATE($D69,Milestones!$AA$186)&gt;=$T69),$W69,IF(AND($S69&lt;&gt;"",EDATE($D69,Milestones!$AA$186)&gt;=$S69),$V69,$U69)))=Milestones!$AB$186),UPPER(TEXT(EDATE($D69,Milestones!$AA$186),"dd mmm yy"))&amp;" "&amp;Milestones!$AB$186&amp;" "&amp;Milestones!$AC$186&amp;";  ","")&amp;IF(AND(EDATE($D69,Milestones!$AA$187)&lt;=AsOfDate,IF($R69=0,$X69,IF(AND($T69&lt;&gt;"",EDATE($D69,Milestones!$AA$187)&gt;=$T69),$W69,IF(AND($S69&lt;&gt;"",EDATE($D69,Milestones!$AA$187)&gt;=$S69),$V69,$U69)))=Milestones!$AB$187),UPPER(TEXT(EDATE($D69,Milestones!$AA$187),"dd mmm yy"))&amp;" "&amp;Milestones!$AB$187&amp;" "&amp;Milestones!$AC$187&amp;";  ","")&amp;IF(AND(EDATE($D69,Milestones!$AA$188)&lt;=AsOfDate,IF($R69=0,$X69,IF(AND($T69&lt;&gt;"",EDATE($D69,Milestones!$AA$188)&gt;=$T69),$W69,IF(AND($S69&lt;&gt;"",EDATE($D69,Milestones!$AA$188)&gt;=$S69),$V69,$U69)))=Milestones!$AB$188),UPPER(TEXT(EDATE($D69,Milestones!$AA$188),"dd mmm yy"))&amp;" "&amp;Milestones!$AB$188&amp;" "&amp;Milestones!$AC$188&amp;";  ","")&amp;IF(AND(EDATE($D69,Milestones!$AA$189)&lt;=AsOfDate,IF($R69=0,$X69,IF(AND($T69&lt;&gt;"",EDATE($D69,Milestones!$AA$189)&gt;=$T69),$W69,IF(AND($S69&lt;&gt;"",EDATE($D69,Milestones!$AA$189)&gt;=$S69),$V69,$U69)))=Milestones!$AB$189),UPPER(TEXT(EDATE($D69,Milestones!$AA$189),"dd mmm yy"))&amp;" "&amp;Milestones!$AB$189&amp;" "&amp;Milestones!$AC$189&amp;";  ","")&amp;IF(AND(EDATE($D69,Milestones!$AA$190)&lt;=AsOfDate,IF($R69=0,$X69,IF(AND($T69&lt;&gt;"",EDATE($D69,Milestones!$AA$190)&gt;=$T69),$W69,IF(AND($S69&lt;&gt;"",EDATE($D69,Milestones!$AA$190)&gt;=$S69),$V69,$U69)))=Milestones!$AB$190),UPPER(TEXT(EDATE($D69,Milestones!$AA$190),"dd mmm yy"))&amp;" "&amp;Milestones!$AB$190&amp;" "&amp;Milestones!$AC$190&amp;";  ","")&amp;IF(AND(EDATE($D69,Milestones!$AA$191)&lt;=AsOfDate,IF($R69=0,$X69,IF(AND($T69&lt;&gt;"",EDATE($D69,Milestones!$AA$191)&gt;=$T69),$W69,IF(AND($S69&lt;&gt;"",EDATE($D69,Milestones!$AA$191)&gt;=$S69),$V69,$U69)))=Milestones!$AB$191),UPPER(TEXT(EDATE($D69,Milestones!$AA$191),"dd mmm yy"))&amp;" "&amp;Milestones!$AB$191&amp;" "&amp;Milestones!$AC$191&amp;";  ","")&amp;IF(AND(EDATE($D69,Milestones!$AA$192)&lt;=AsOfDate,IF($R69=0,$X69,IF(AND($T69&lt;&gt;"",EDATE($D69,Milestones!$AA$192)&gt;=$T69),$W69,IF(AND($S69&lt;&gt;"",EDATE($D69,Milestones!$AA$192)&gt;=$S69),$V69,$U69)))=Milestones!$AB$192),UPPER(TEXT(EDATE($D69,Milestones!$AA$192),"dd mmm yy"))&amp;" "&amp;Milestones!$AB$192&amp;" "&amp;Milestones!$AC$192&amp;";  ","")&amp;IF(AND(EDATE($D69,Milestones!$AA$193)&lt;=AsOfDate,IF($R69=0,$X69,IF(AND($T69&lt;&gt;"",EDATE($D69,Milestones!$AA$193)&gt;=$T69),$W69,IF(AND($S69&lt;&gt;"",EDATE($D69,Milestones!$AA$193)&gt;=$S69),$V69,$U69)))=Milestones!$AB$193),UPPER(TEXT(EDATE($D69,Milestones!$AA$193),"dd mmm yy"))&amp;" "&amp;Milestones!$AB$193&amp;" "&amp;Milestones!$AC$193&amp;";  ","")&amp;IF(AND(EDATE($D69,Milestones!$AA$194)&lt;=AsOfDate,IF($R69=0,$X69,IF(AND($T69&lt;&gt;"",EDATE($D69,Milestones!$AA$194)&gt;=$T69),$W69,IF(AND($S69&lt;&gt;"",EDATE($D69,Milestones!$AA$194)&gt;=$S69),$V69,$U69)))=Milestones!$AB$194),UPPER(TEXT(EDATE($D69,Milestones!$AA$194),"dd mmm yy"))&amp;" "&amp;Milestones!$AB$194&amp;" "&amp;Milestones!$AC$194&amp;";  ","")&amp;IF(AND(EDATE($D69,Milestones!$AA$195)&lt;=AsOfDate,IF($R69=0,$X69,IF(AND($T69&lt;&gt;"",EDATE($D69,Milestones!$AA$195)&gt;=$T69),$W69,IF(AND($S69&lt;&gt;"",EDATE($D69,Milestones!$AA$195)&gt;=$S69),$V69,$U69)))=Milestones!$AB$195),UPPER(TEXT(EDATE($D69,Milestones!$AA$195),"dd mmm yy"))&amp;" "&amp;Milestones!$AB$195&amp;" "&amp;Milestones!$AC$195&amp;";  ","")&amp;IF(AND(EDATE($D69,Milestones!$AA$196)&lt;=AsOfDate,IF($R69=0,$X69,IF(AND($T69&lt;&gt;"",EDATE($D69,Milestones!$AA$196)&gt;=$T69),$W69,IF(AND($S69&lt;&gt;"",EDATE($D69,Milestones!$AA$196)&gt;=$S69),$V69,$U69)))=Milestones!$AB$196),UPPER(TEXT(EDATE($D69,Milestones!$AA$196),"dd mmm yy"))&amp;" "&amp;Milestones!$AB$196&amp;" "&amp;Milestones!$AC$196&amp;";  ","")&amp;IF(AND(EDATE($D69,Milestones!$AA$197)&lt;=AsOfDate,IF($R69=0,$X69,IF(AND($T69&lt;&gt;"",EDATE($D69,Milestones!$AA$197)&gt;=$T69),$W69,IF(AND($S69&lt;&gt;"",EDATE($D69,Milestones!$AA$197)&gt;=$S69),$V69,$U69)))=Milestones!$AB$197),UPPER(TEXT(EDATE($D69,Milestones!$AA$197),"dd mmm yy"))&amp;" "&amp;Milestones!$AB$197&amp;" "&amp;Milestones!$AC$197&amp;";  ","")&amp;IF(AND(EDATE($D69,Milestones!$AA$198)&lt;=AsOfDate,IF($R69=0,$X69,IF(AND($T69&lt;&gt;"",EDATE($D69,Milestones!$AA$198)&gt;=$T69),$W69,IF(AND($S69&lt;&gt;"",EDATE($D69,Milestones!$AA$198)&gt;=$S69),$V69,$U69)))=Milestones!$AB$198),UPPER(TEXT(EDATE($D69,Milestones!$AA$198),"dd mmm yy"))&amp;" "&amp;Milestones!$AB$198&amp;" "&amp;Milestones!$AC$198&amp;";  ","")&amp;IF(AND(EDATE($D69,Milestones!$AA$199)&lt;=AsOfDate,IF($R69=0,$X69,IF(AND($T69&lt;&gt;"",EDATE($D69,Milestones!$AA$199)&gt;=$T69),$W69,IF(AND($S69&lt;&gt;"",EDATE($D69,Milestones!$AA$199)&gt;=$S69),$V69,$U69)))=Milestones!$AB$199),UPPER(TEXT(EDATE($D69,Milestones!$AA$199),"dd mmm yy"))&amp;" "&amp;Milestones!$AB$199&amp;" "&amp;Milestones!$AC$199&amp;";  ",""))</f>
        <v/>
      </c>
      <c r="R69" s="33" t="n">
        <f aca="false">IF(Staff!$A69="","",Staff!$AI69)</f>
        <v>1</v>
      </c>
      <c r="S69" s="0" t="str">
        <f aca="false">IF(Staff!$A69="","",Staff!$AK69)</f>
        <v/>
      </c>
      <c r="T69" s="0" t="str">
        <f aca="false">IF(Staff!$A69="","",Staff!$AL69)</f>
        <v/>
      </c>
      <c r="U69" s="0" t="str">
        <f aca="false">IF(Staff!$A69="","",Staff!$AP69)</f>
        <v>FT</v>
      </c>
      <c r="V69" s="0" t="str">
        <f aca="false">IF(Staff!$A69="","",Staff!$AQ69)</f>
        <v/>
      </c>
      <c r="W69" s="0" t="str">
        <f aca="false">IF(Staff!$A69="","",Staff!$AR69)</f>
        <v/>
      </c>
      <c r="X69" s="0" t="str">
        <f aca="false">IF(Staff!$A69="","",Staff!$AS69)</f>
        <v>FT</v>
      </c>
    </row>
    <row r="70" customFormat="false" ht="15" hidden="false" customHeight="false" outlineLevel="0" collapsed="false">
      <c r="A70" s="19" t="str">
        <f aca="false">IF(Staff!$A70="","",Staff!$A70)</f>
        <v>Tyrell</v>
      </c>
      <c r="B70" s="19" t="str">
        <f aca="false">IF(Staff!$A70="","",Staff!$B70)</f>
        <v>SHORTT</v>
      </c>
      <c r="C70" s="19" t="str">
        <f aca="false">IF(Staff!$A70="","",Staff!$C70)</f>
        <v>Part-Time</v>
      </c>
      <c r="D70" s="17" t="n">
        <f aca="false">IF(Staff!$A70="","",Staff!$AH70)</f>
        <v>44439</v>
      </c>
      <c r="E70" s="20" t="n">
        <f aca="false">IF(Staff!$A70="","",Staff!$O70)</f>
        <v>1</v>
      </c>
      <c r="F70" s="19" t="n">
        <f aca="false">IF(E70="","",E70*HoursPerDay)</f>
        <v>8</v>
      </c>
      <c r="G70" s="20" t="n">
        <f aca="false">IF(Staff!$A70="","",Staff!$AE70)</f>
        <v>0</v>
      </c>
      <c r="H70" s="32" t="str">
        <f aca="false">IF($A70="","",I70&amp;J70&amp;K70&amp;L70&amp;M70&amp;N70&amp;O70&amp;P70&amp;Q70)</f>
        <v>31 AUG 26 PT 1;  </v>
      </c>
      <c r="I70" s="0" t="str">
        <f aca="false">IF(OR($A70="",$D70=""),"",IF(AND(EDATE($D70,Milestones!$AA$20)&lt;=AsOfDate,IF($R70=0,$X70,IF(AND($T70&lt;&gt;"",EDATE($D70,Milestones!$AA$20)&gt;=$T70),$W70,IF(AND($S70&lt;&gt;"",EDATE($D70,Milestones!$AA$20)&gt;=$S70),$V70,$U70)))=Milestones!$AB$20),UPPER(TEXT(EDATE($D70,Milestones!$AA$20),"dd mmm yy"))&amp;" "&amp;Milestones!$AB$20&amp;" "&amp;Milestones!$AC$20&amp;";  ","")&amp;IF(AND(EDATE($D70,Milestones!$AA$21)&lt;=AsOfDate,IF($R70=0,$X70,IF(AND($T70&lt;&gt;"",EDATE($D70,Milestones!$AA$21)&gt;=$T70),$W70,IF(AND($S70&lt;&gt;"",EDATE($D70,Milestones!$AA$21)&gt;=$S70),$V70,$U70)))=Milestones!$AB$21),UPPER(TEXT(EDATE($D70,Milestones!$AA$21),"dd mmm yy"))&amp;" "&amp;Milestones!$AB$21&amp;" "&amp;Milestones!$AC$21&amp;";  ","")&amp;IF(AND(EDATE($D70,Milestones!$AA$22)&lt;=AsOfDate,IF($R70=0,$X70,IF(AND($T70&lt;&gt;"",EDATE($D70,Milestones!$AA$22)&gt;=$T70),$W70,IF(AND($S70&lt;&gt;"",EDATE($D70,Milestones!$AA$22)&gt;=$S70),$V70,$U70)))=Milestones!$AB$22),UPPER(TEXT(EDATE($D70,Milestones!$AA$22),"dd mmm yy"))&amp;" "&amp;Milestones!$AB$22&amp;" "&amp;Milestones!$AC$22&amp;";  ","")&amp;IF(AND(EDATE($D70,Milestones!$AA$23)&lt;=AsOfDate,IF($R70=0,$X70,IF(AND($T70&lt;&gt;"",EDATE($D70,Milestones!$AA$23)&gt;=$T70),$W70,IF(AND($S70&lt;&gt;"",EDATE($D70,Milestones!$AA$23)&gt;=$S70),$V70,$U70)))=Milestones!$AB$23),UPPER(TEXT(EDATE($D70,Milestones!$AA$23),"dd mmm yy"))&amp;" "&amp;Milestones!$AB$23&amp;" "&amp;Milestones!$AC$23&amp;";  ","")&amp;IF(AND(EDATE($D70,Milestones!$AA$24)&lt;=AsOfDate,IF($R70=0,$X70,IF(AND($T70&lt;&gt;"",EDATE($D70,Milestones!$AA$24)&gt;=$T70),$W70,IF(AND($S70&lt;&gt;"",EDATE($D70,Milestones!$AA$24)&gt;=$S70),$V70,$U70)))=Milestones!$AB$24),UPPER(TEXT(EDATE($D70,Milestones!$AA$24),"dd mmm yy"))&amp;" "&amp;Milestones!$AB$24&amp;" "&amp;Milestones!$AC$24&amp;";  ","")&amp;IF(AND(EDATE($D70,Milestones!$AA$25)&lt;=AsOfDate,IF($R70=0,$X70,IF(AND($T70&lt;&gt;"",EDATE($D70,Milestones!$AA$25)&gt;=$T70),$W70,IF(AND($S70&lt;&gt;"",EDATE($D70,Milestones!$AA$25)&gt;=$S70),$V70,$U70)))=Milestones!$AB$25),UPPER(TEXT(EDATE($D70,Milestones!$AA$25),"dd mmm yy"))&amp;" "&amp;Milestones!$AB$25&amp;" "&amp;Milestones!$AC$25&amp;";  ","")&amp;IF(AND(EDATE($D70,Milestones!$AA$26)&lt;=AsOfDate,IF($R70=0,$X70,IF(AND($T70&lt;&gt;"",EDATE($D70,Milestones!$AA$26)&gt;=$T70),$W70,IF(AND($S70&lt;&gt;"",EDATE($D70,Milestones!$AA$26)&gt;=$S70),$V70,$U70)))=Milestones!$AB$26),UPPER(TEXT(EDATE($D70,Milestones!$AA$26),"dd mmm yy"))&amp;" "&amp;Milestones!$AB$26&amp;" "&amp;Milestones!$AC$26&amp;";  ","")&amp;IF(AND(EDATE($D70,Milestones!$AA$27)&lt;=AsOfDate,IF($R70=0,$X70,IF(AND($T70&lt;&gt;"",EDATE($D70,Milestones!$AA$27)&gt;=$T70),$W70,IF(AND($S70&lt;&gt;"",EDATE($D70,Milestones!$AA$27)&gt;=$S70),$V70,$U70)))=Milestones!$AB$27),UPPER(TEXT(EDATE($D70,Milestones!$AA$27),"dd mmm yy"))&amp;" "&amp;Milestones!$AB$27&amp;" "&amp;Milestones!$AC$27&amp;";  ","")&amp;IF(AND(EDATE($D70,Milestones!$AA$28)&lt;=AsOfDate,IF($R70=0,$X70,IF(AND($T70&lt;&gt;"",EDATE($D70,Milestones!$AA$28)&gt;=$T70),$W70,IF(AND($S70&lt;&gt;"",EDATE($D70,Milestones!$AA$28)&gt;=$S70),$V70,$U70)))=Milestones!$AB$28),UPPER(TEXT(EDATE($D70,Milestones!$AA$28),"dd mmm yy"))&amp;" "&amp;Milestones!$AB$28&amp;" "&amp;Milestones!$AC$28&amp;";  ","")&amp;IF(AND(EDATE($D70,Milestones!$AA$29)&lt;=AsOfDate,IF($R70=0,$X70,IF(AND($T70&lt;&gt;"",EDATE($D70,Milestones!$AA$29)&gt;=$T70),$W70,IF(AND($S70&lt;&gt;"",EDATE($D70,Milestones!$AA$29)&gt;=$S70),$V70,$U70)))=Milestones!$AB$29),UPPER(TEXT(EDATE($D70,Milestones!$AA$29),"dd mmm yy"))&amp;" "&amp;Milestones!$AB$29&amp;" "&amp;Milestones!$AC$29&amp;";  ","")&amp;IF(AND(EDATE($D70,Milestones!$AA$30)&lt;=AsOfDate,IF($R70=0,$X70,IF(AND($T70&lt;&gt;"",EDATE($D70,Milestones!$AA$30)&gt;=$T70),$W70,IF(AND($S70&lt;&gt;"",EDATE($D70,Milestones!$AA$30)&gt;=$S70),$V70,$U70)))=Milestones!$AB$30),UPPER(TEXT(EDATE($D70,Milestones!$AA$30),"dd mmm yy"))&amp;" "&amp;Milestones!$AB$30&amp;" "&amp;Milestones!$AC$30&amp;";  ","")&amp;IF(AND(EDATE($D70,Milestones!$AA$31)&lt;=AsOfDate,IF($R70=0,$X70,IF(AND($T70&lt;&gt;"",EDATE($D70,Milestones!$AA$31)&gt;=$T70),$W70,IF(AND($S70&lt;&gt;"",EDATE($D70,Milestones!$AA$31)&gt;=$S70),$V70,$U70)))=Milestones!$AB$31),UPPER(TEXT(EDATE($D70,Milestones!$AA$31),"dd mmm yy"))&amp;" "&amp;Milestones!$AB$31&amp;" "&amp;Milestones!$AC$31&amp;";  ","")&amp;IF(AND(EDATE($D70,Milestones!$AA$32)&lt;=AsOfDate,IF($R70=0,$X70,IF(AND($T70&lt;&gt;"",EDATE($D70,Milestones!$AA$32)&gt;=$T70),$W70,IF(AND($S70&lt;&gt;"",EDATE($D70,Milestones!$AA$32)&gt;=$S70),$V70,$U70)))=Milestones!$AB$32),UPPER(TEXT(EDATE($D70,Milestones!$AA$32),"dd mmm yy"))&amp;" "&amp;Milestones!$AB$32&amp;" "&amp;Milestones!$AC$32&amp;";  ","")&amp;IF(AND(EDATE($D70,Milestones!$AA$33)&lt;=AsOfDate,IF($R70=0,$X70,IF(AND($T70&lt;&gt;"",EDATE($D70,Milestones!$AA$33)&gt;=$T70),$W70,IF(AND($S70&lt;&gt;"",EDATE($D70,Milestones!$AA$33)&gt;=$S70),$V70,$U70)))=Milestones!$AB$33),UPPER(TEXT(EDATE($D70,Milestones!$AA$33),"dd mmm yy"))&amp;" "&amp;Milestones!$AB$33&amp;" "&amp;Milestones!$AC$33&amp;";  ","")&amp;IF(AND(EDATE($D70,Milestones!$AA$34)&lt;=AsOfDate,IF($R70=0,$X70,IF(AND($T70&lt;&gt;"",EDATE($D70,Milestones!$AA$34)&gt;=$T70),$W70,IF(AND($S70&lt;&gt;"",EDATE($D70,Milestones!$AA$34)&gt;=$S70),$V70,$U70)))=Milestones!$AB$34),UPPER(TEXT(EDATE($D70,Milestones!$AA$34),"dd mmm yy"))&amp;" "&amp;Milestones!$AB$34&amp;" "&amp;Milestones!$AC$34&amp;";  ","")&amp;IF(AND(EDATE($D70,Milestones!$AA$35)&lt;=AsOfDate,IF($R70=0,$X70,IF(AND($T70&lt;&gt;"",EDATE($D70,Milestones!$AA$35)&gt;=$T70),$W70,IF(AND($S70&lt;&gt;"",EDATE($D70,Milestones!$AA$35)&gt;=$S70),$V70,$U70)))=Milestones!$AB$35),UPPER(TEXT(EDATE($D70,Milestones!$AA$35),"dd mmm yy"))&amp;" "&amp;Milestones!$AB$35&amp;" "&amp;Milestones!$AC$35&amp;";  ","")&amp;IF(AND(EDATE($D70,Milestones!$AA$36)&lt;=AsOfDate,IF($R70=0,$X70,IF(AND($T70&lt;&gt;"",EDATE($D70,Milestones!$AA$36)&gt;=$T70),$W70,IF(AND($S70&lt;&gt;"",EDATE($D70,Milestones!$AA$36)&gt;=$S70),$V70,$U70)))=Milestones!$AB$36),UPPER(TEXT(EDATE($D70,Milestones!$AA$36),"dd mmm yy"))&amp;" "&amp;Milestones!$AB$36&amp;" "&amp;Milestones!$AC$36&amp;";  ","")&amp;IF(AND(EDATE($D70,Milestones!$AA$37)&lt;=AsOfDate,IF($R70=0,$X70,IF(AND($T70&lt;&gt;"",EDATE($D70,Milestones!$AA$37)&gt;=$T70),$W70,IF(AND($S70&lt;&gt;"",EDATE($D70,Milestones!$AA$37)&gt;=$S70),$V70,$U70)))=Milestones!$AB$37),UPPER(TEXT(EDATE($D70,Milestones!$AA$37),"dd mmm yy"))&amp;" "&amp;Milestones!$AB$37&amp;" "&amp;Milestones!$AC$37&amp;";  ","")&amp;IF(AND(EDATE($D70,Milestones!$AA$38)&lt;=AsOfDate,IF($R70=0,$X70,IF(AND($T70&lt;&gt;"",EDATE($D70,Milestones!$AA$38)&gt;=$T70),$W70,IF(AND($S70&lt;&gt;"",EDATE($D70,Milestones!$AA$38)&gt;=$S70),$V70,$U70)))=Milestones!$AB$38),UPPER(TEXT(EDATE($D70,Milestones!$AA$38),"dd mmm yy"))&amp;" "&amp;Milestones!$AB$38&amp;" "&amp;Milestones!$AC$38&amp;";  ","")&amp;IF(AND(EDATE($D70,Milestones!$AA$39)&lt;=AsOfDate,IF($R70=0,$X70,IF(AND($T70&lt;&gt;"",EDATE($D70,Milestones!$AA$39)&gt;=$T70),$W70,IF(AND($S70&lt;&gt;"",EDATE($D70,Milestones!$AA$39)&gt;=$S70),$V70,$U70)))=Milestones!$AB$39),UPPER(TEXT(EDATE($D70,Milestones!$AA$39),"dd mmm yy"))&amp;" "&amp;Milestones!$AB$39&amp;" "&amp;Milestones!$AC$39&amp;";  ",""))</f>
        <v>31 AUG 26 PT 1;  </v>
      </c>
      <c r="J70" s="0" t="str">
        <f aca="false">IF(OR($A70="",$D70=""),"",IF(AND(EDATE($D70,Milestones!$AA$40)&lt;=AsOfDate,IF($R70=0,$X70,IF(AND($T70&lt;&gt;"",EDATE($D70,Milestones!$AA$40)&gt;=$T70),$W70,IF(AND($S70&lt;&gt;"",EDATE($D70,Milestones!$AA$40)&gt;=$S70),$V70,$U70)))=Milestones!$AB$40),UPPER(TEXT(EDATE($D70,Milestones!$AA$40),"dd mmm yy"))&amp;" "&amp;Milestones!$AB$40&amp;" "&amp;Milestones!$AC$40&amp;";  ","")&amp;IF(AND(EDATE($D70,Milestones!$AA$41)&lt;=AsOfDate,IF($R70=0,$X70,IF(AND($T70&lt;&gt;"",EDATE($D70,Milestones!$AA$41)&gt;=$T70),$W70,IF(AND($S70&lt;&gt;"",EDATE($D70,Milestones!$AA$41)&gt;=$S70),$V70,$U70)))=Milestones!$AB$41),UPPER(TEXT(EDATE($D70,Milestones!$AA$41),"dd mmm yy"))&amp;" "&amp;Milestones!$AB$41&amp;" "&amp;Milestones!$AC$41&amp;";  ","")&amp;IF(AND(EDATE($D70,Milestones!$AA$42)&lt;=AsOfDate,IF($R70=0,$X70,IF(AND($T70&lt;&gt;"",EDATE($D70,Milestones!$AA$42)&gt;=$T70),$W70,IF(AND($S70&lt;&gt;"",EDATE($D70,Milestones!$AA$42)&gt;=$S70),$V70,$U70)))=Milestones!$AB$42),UPPER(TEXT(EDATE($D70,Milestones!$AA$42),"dd mmm yy"))&amp;" "&amp;Milestones!$AB$42&amp;" "&amp;Milestones!$AC$42&amp;";  ","")&amp;IF(AND(EDATE($D70,Milestones!$AA$43)&lt;=AsOfDate,IF($R70=0,$X70,IF(AND($T70&lt;&gt;"",EDATE($D70,Milestones!$AA$43)&gt;=$T70),$W70,IF(AND($S70&lt;&gt;"",EDATE($D70,Milestones!$AA$43)&gt;=$S70),$V70,$U70)))=Milestones!$AB$43),UPPER(TEXT(EDATE($D70,Milestones!$AA$43),"dd mmm yy"))&amp;" "&amp;Milestones!$AB$43&amp;" "&amp;Milestones!$AC$43&amp;";  ","")&amp;IF(AND(EDATE($D70,Milestones!$AA$44)&lt;=AsOfDate,IF($R70=0,$X70,IF(AND($T70&lt;&gt;"",EDATE($D70,Milestones!$AA$44)&gt;=$T70),$W70,IF(AND($S70&lt;&gt;"",EDATE($D70,Milestones!$AA$44)&gt;=$S70),$V70,$U70)))=Milestones!$AB$44),UPPER(TEXT(EDATE($D70,Milestones!$AA$44),"dd mmm yy"))&amp;" "&amp;Milestones!$AB$44&amp;" "&amp;Milestones!$AC$44&amp;";  ","")&amp;IF(AND(EDATE($D70,Milestones!$AA$45)&lt;=AsOfDate,IF($R70=0,$X70,IF(AND($T70&lt;&gt;"",EDATE($D70,Milestones!$AA$45)&gt;=$T70),$W70,IF(AND($S70&lt;&gt;"",EDATE($D70,Milestones!$AA$45)&gt;=$S70),$V70,$U70)))=Milestones!$AB$45),UPPER(TEXT(EDATE($D70,Milestones!$AA$45),"dd mmm yy"))&amp;" "&amp;Milestones!$AB$45&amp;" "&amp;Milestones!$AC$45&amp;";  ","")&amp;IF(AND(EDATE($D70,Milestones!$AA$46)&lt;=AsOfDate,IF($R70=0,$X70,IF(AND($T70&lt;&gt;"",EDATE($D70,Milestones!$AA$46)&gt;=$T70),$W70,IF(AND($S70&lt;&gt;"",EDATE($D70,Milestones!$AA$46)&gt;=$S70),$V70,$U70)))=Milestones!$AB$46),UPPER(TEXT(EDATE($D70,Milestones!$AA$46),"dd mmm yy"))&amp;" "&amp;Milestones!$AB$46&amp;" "&amp;Milestones!$AC$46&amp;";  ","")&amp;IF(AND(EDATE($D70,Milestones!$AA$47)&lt;=AsOfDate,IF($R70=0,$X70,IF(AND($T70&lt;&gt;"",EDATE($D70,Milestones!$AA$47)&gt;=$T70),$W70,IF(AND($S70&lt;&gt;"",EDATE($D70,Milestones!$AA$47)&gt;=$S70),$V70,$U70)))=Milestones!$AB$47),UPPER(TEXT(EDATE($D70,Milestones!$AA$47),"dd mmm yy"))&amp;" "&amp;Milestones!$AB$47&amp;" "&amp;Milestones!$AC$47&amp;";  ","")&amp;IF(AND(EDATE($D70,Milestones!$AA$48)&lt;=AsOfDate,IF($R70=0,$X70,IF(AND($T70&lt;&gt;"",EDATE($D70,Milestones!$AA$48)&gt;=$T70),$W70,IF(AND($S70&lt;&gt;"",EDATE($D70,Milestones!$AA$48)&gt;=$S70),$V70,$U70)))=Milestones!$AB$48),UPPER(TEXT(EDATE($D70,Milestones!$AA$48),"dd mmm yy"))&amp;" "&amp;Milestones!$AB$48&amp;" "&amp;Milestones!$AC$48&amp;";  ","")&amp;IF(AND(EDATE($D70,Milestones!$AA$49)&lt;=AsOfDate,IF($R70=0,$X70,IF(AND($T70&lt;&gt;"",EDATE($D70,Milestones!$AA$49)&gt;=$T70),$W70,IF(AND($S70&lt;&gt;"",EDATE($D70,Milestones!$AA$49)&gt;=$S70),$V70,$U70)))=Milestones!$AB$49),UPPER(TEXT(EDATE($D70,Milestones!$AA$49),"dd mmm yy"))&amp;" "&amp;Milestones!$AB$49&amp;" "&amp;Milestones!$AC$49&amp;";  ","")&amp;IF(AND(EDATE($D70,Milestones!$AA$50)&lt;=AsOfDate,IF($R70=0,$X70,IF(AND($T70&lt;&gt;"",EDATE($D70,Milestones!$AA$50)&gt;=$T70),$W70,IF(AND($S70&lt;&gt;"",EDATE($D70,Milestones!$AA$50)&gt;=$S70),$V70,$U70)))=Milestones!$AB$50),UPPER(TEXT(EDATE($D70,Milestones!$AA$50),"dd mmm yy"))&amp;" "&amp;Milestones!$AB$50&amp;" "&amp;Milestones!$AC$50&amp;";  ","")&amp;IF(AND(EDATE($D70,Milestones!$AA$51)&lt;=AsOfDate,IF($R70=0,$X70,IF(AND($T70&lt;&gt;"",EDATE($D70,Milestones!$AA$51)&gt;=$T70),$W70,IF(AND($S70&lt;&gt;"",EDATE($D70,Milestones!$AA$51)&gt;=$S70),$V70,$U70)))=Milestones!$AB$51),UPPER(TEXT(EDATE($D70,Milestones!$AA$51),"dd mmm yy"))&amp;" "&amp;Milestones!$AB$51&amp;" "&amp;Milestones!$AC$51&amp;";  ","")&amp;IF(AND(EDATE($D70,Milestones!$AA$52)&lt;=AsOfDate,IF($R70=0,$X70,IF(AND($T70&lt;&gt;"",EDATE($D70,Milestones!$AA$52)&gt;=$T70),$W70,IF(AND($S70&lt;&gt;"",EDATE($D70,Milestones!$AA$52)&gt;=$S70),$V70,$U70)))=Milestones!$AB$52),UPPER(TEXT(EDATE($D70,Milestones!$AA$52),"dd mmm yy"))&amp;" "&amp;Milestones!$AB$52&amp;" "&amp;Milestones!$AC$52&amp;";  ","")&amp;IF(AND(EDATE($D70,Milestones!$AA$53)&lt;=AsOfDate,IF($R70=0,$X70,IF(AND($T70&lt;&gt;"",EDATE($D70,Milestones!$AA$53)&gt;=$T70),$W70,IF(AND($S70&lt;&gt;"",EDATE($D70,Milestones!$AA$53)&gt;=$S70),$V70,$U70)))=Milestones!$AB$53),UPPER(TEXT(EDATE($D70,Milestones!$AA$53),"dd mmm yy"))&amp;" "&amp;Milestones!$AB$53&amp;" "&amp;Milestones!$AC$53&amp;";  ","")&amp;IF(AND(EDATE($D70,Milestones!$AA$54)&lt;=AsOfDate,IF($R70=0,$X70,IF(AND($T70&lt;&gt;"",EDATE($D70,Milestones!$AA$54)&gt;=$T70),$W70,IF(AND($S70&lt;&gt;"",EDATE($D70,Milestones!$AA$54)&gt;=$S70),$V70,$U70)))=Milestones!$AB$54),UPPER(TEXT(EDATE($D70,Milestones!$AA$54),"dd mmm yy"))&amp;" "&amp;Milestones!$AB$54&amp;" "&amp;Milestones!$AC$54&amp;";  ","")&amp;IF(AND(EDATE($D70,Milestones!$AA$55)&lt;=AsOfDate,IF($R70=0,$X70,IF(AND($T70&lt;&gt;"",EDATE($D70,Milestones!$AA$55)&gt;=$T70),$W70,IF(AND($S70&lt;&gt;"",EDATE($D70,Milestones!$AA$55)&gt;=$S70),$V70,$U70)))=Milestones!$AB$55),UPPER(TEXT(EDATE($D70,Milestones!$AA$55),"dd mmm yy"))&amp;" "&amp;Milestones!$AB$55&amp;" "&amp;Milestones!$AC$55&amp;";  ","")&amp;IF(AND(EDATE($D70,Milestones!$AA$56)&lt;=AsOfDate,IF($R70=0,$X70,IF(AND($T70&lt;&gt;"",EDATE($D70,Milestones!$AA$56)&gt;=$T70),$W70,IF(AND($S70&lt;&gt;"",EDATE($D70,Milestones!$AA$56)&gt;=$S70),$V70,$U70)))=Milestones!$AB$56),UPPER(TEXT(EDATE($D70,Milestones!$AA$56),"dd mmm yy"))&amp;" "&amp;Milestones!$AB$56&amp;" "&amp;Milestones!$AC$56&amp;";  ","")&amp;IF(AND(EDATE($D70,Milestones!$AA$57)&lt;=AsOfDate,IF($R70=0,$X70,IF(AND($T70&lt;&gt;"",EDATE($D70,Milestones!$AA$57)&gt;=$T70),$W70,IF(AND($S70&lt;&gt;"",EDATE($D70,Milestones!$AA$57)&gt;=$S70),$V70,$U70)))=Milestones!$AB$57),UPPER(TEXT(EDATE($D70,Milestones!$AA$57),"dd mmm yy"))&amp;" "&amp;Milestones!$AB$57&amp;" "&amp;Milestones!$AC$57&amp;";  ","")&amp;IF(AND(EDATE($D70,Milestones!$AA$58)&lt;=AsOfDate,IF($R70=0,$X70,IF(AND($T70&lt;&gt;"",EDATE($D70,Milestones!$AA$58)&gt;=$T70),$W70,IF(AND($S70&lt;&gt;"",EDATE($D70,Milestones!$AA$58)&gt;=$S70),$V70,$U70)))=Milestones!$AB$58),UPPER(TEXT(EDATE($D70,Milestones!$AA$58),"dd mmm yy"))&amp;" "&amp;Milestones!$AB$58&amp;" "&amp;Milestones!$AC$58&amp;";  ","")&amp;IF(AND(EDATE($D70,Milestones!$AA$59)&lt;=AsOfDate,IF($R70=0,$X70,IF(AND($T70&lt;&gt;"",EDATE($D70,Milestones!$AA$59)&gt;=$T70),$W70,IF(AND($S70&lt;&gt;"",EDATE($D70,Milestones!$AA$59)&gt;=$S70),$V70,$U70)))=Milestones!$AB$59),UPPER(TEXT(EDATE($D70,Milestones!$AA$59),"dd mmm yy"))&amp;" "&amp;Milestones!$AB$59&amp;" "&amp;Milestones!$AC$59&amp;";  ",""))</f>
        <v/>
      </c>
      <c r="K70" s="0" t="str">
        <f aca="false">IF(OR($A70="",$D70=""),"",IF(AND(EDATE($D70,Milestones!$AA$60)&lt;=AsOfDate,IF($R70=0,$X70,IF(AND($T70&lt;&gt;"",EDATE($D70,Milestones!$AA$60)&gt;=$T70),$W70,IF(AND($S70&lt;&gt;"",EDATE($D70,Milestones!$AA$60)&gt;=$S70),$V70,$U70)))=Milestones!$AB$60),UPPER(TEXT(EDATE($D70,Milestones!$AA$60),"dd mmm yy"))&amp;" "&amp;Milestones!$AB$60&amp;" "&amp;Milestones!$AC$60&amp;";  ","")&amp;IF(AND(EDATE($D70,Milestones!$AA$61)&lt;=AsOfDate,IF($R70=0,$X70,IF(AND($T70&lt;&gt;"",EDATE($D70,Milestones!$AA$61)&gt;=$T70),$W70,IF(AND($S70&lt;&gt;"",EDATE($D70,Milestones!$AA$61)&gt;=$S70),$V70,$U70)))=Milestones!$AB$61),UPPER(TEXT(EDATE($D70,Milestones!$AA$61),"dd mmm yy"))&amp;" "&amp;Milestones!$AB$61&amp;" "&amp;Milestones!$AC$61&amp;";  ","")&amp;IF(AND(EDATE($D70,Milestones!$AA$62)&lt;=AsOfDate,IF($R70=0,$X70,IF(AND($T70&lt;&gt;"",EDATE($D70,Milestones!$AA$62)&gt;=$T70),$W70,IF(AND($S70&lt;&gt;"",EDATE($D70,Milestones!$AA$62)&gt;=$S70),$V70,$U70)))=Milestones!$AB$62),UPPER(TEXT(EDATE($D70,Milestones!$AA$62),"dd mmm yy"))&amp;" "&amp;Milestones!$AB$62&amp;" "&amp;Milestones!$AC$62&amp;";  ","")&amp;IF(AND(EDATE($D70,Milestones!$AA$63)&lt;=AsOfDate,IF($R70=0,$X70,IF(AND($T70&lt;&gt;"",EDATE($D70,Milestones!$AA$63)&gt;=$T70),$W70,IF(AND($S70&lt;&gt;"",EDATE($D70,Milestones!$AA$63)&gt;=$S70),$V70,$U70)))=Milestones!$AB$63),UPPER(TEXT(EDATE($D70,Milestones!$AA$63),"dd mmm yy"))&amp;" "&amp;Milestones!$AB$63&amp;" "&amp;Milestones!$AC$63&amp;";  ","")&amp;IF(AND(EDATE($D70,Milestones!$AA$64)&lt;=AsOfDate,IF($R70=0,$X70,IF(AND($T70&lt;&gt;"",EDATE($D70,Milestones!$AA$64)&gt;=$T70),$W70,IF(AND($S70&lt;&gt;"",EDATE($D70,Milestones!$AA$64)&gt;=$S70),$V70,$U70)))=Milestones!$AB$64),UPPER(TEXT(EDATE($D70,Milestones!$AA$64),"dd mmm yy"))&amp;" "&amp;Milestones!$AB$64&amp;" "&amp;Milestones!$AC$64&amp;";  ","")&amp;IF(AND(EDATE($D70,Milestones!$AA$65)&lt;=AsOfDate,IF($R70=0,$X70,IF(AND($T70&lt;&gt;"",EDATE($D70,Milestones!$AA$65)&gt;=$T70),$W70,IF(AND($S70&lt;&gt;"",EDATE($D70,Milestones!$AA$65)&gt;=$S70),$V70,$U70)))=Milestones!$AB$65),UPPER(TEXT(EDATE($D70,Milestones!$AA$65),"dd mmm yy"))&amp;" "&amp;Milestones!$AB$65&amp;" "&amp;Milestones!$AC$65&amp;";  ","")&amp;IF(AND(EDATE($D70,Milestones!$AA$66)&lt;=AsOfDate,IF($R70=0,$X70,IF(AND($T70&lt;&gt;"",EDATE($D70,Milestones!$AA$66)&gt;=$T70),$W70,IF(AND($S70&lt;&gt;"",EDATE($D70,Milestones!$AA$66)&gt;=$S70),$V70,$U70)))=Milestones!$AB$66),UPPER(TEXT(EDATE($D70,Milestones!$AA$66),"dd mmm yy"))&amp;" "&amp;Milestones!$AB$66&amp;" "&amp;Milestones!$AC$66&amp;";  ","")&amp;IF(AND(EDATE($D70,Milestones!$AA$67)&lt;=AsOfDate,IF($R70=0,$X70,IF(AND($T70&lt;&gt;"",EDATE($D70,Milestones!$AA$67)&gt;=$T70),$W70,IF(AND($S70&lt;&gt;"",EDATE($D70,Milestones!$AA$67)&gt;=$S70),$V70,$U70)))=Milestones!$AB$67),UPPER(TEXT(EDATE($D70,Milestones!$AA$67),"dd mmm yy"))&amp;" "&amp;Milestones!$AB$67&amp;" "&amp;Milestones!$AC$67&amp;";  ","")&amp;IF(AND(EDATE($D70,Milestones!$AA$68)&lt;=AsOfDate,IF($R70=0,$X70,IF(AND($T70&lt;&gt;"",EDATE($D70,Milestones!$AA$68)&gt;=$T70),$W70,IF(AND($S70&lt;&gt;"",EDATE($D70,Milestones!$AA$68)&gt;=$S70),$V70,$U70)))=Milestones!$AB$68),UPPER(TEXT(EDATE($D70,Milestones!$AA$68),"dd mmm yy"))&amp;" "&amp;Milestones!$AB$68&amp;" "&amp;Milestones!$AC$68&amp;";  ","")&amp;IF(AND(EDATE($D70,Milestones!$AA$69)&lt;=AsOfDate,IF($R70=0,$X70,IF(AND($T70&lt;&gt;"",EDATE($D70,Milestones!$AA$69)&gt;=$T70),$W70,IF(AND($S70&lt;&gt;"",EDATE($D70,Milestones!$AA$69)&gt;=$S70),$V70,$U70)))=Milestones!$AB$69),UPPER(TEXT(EDATE($D70,Milestones!$AA$69),"dd mmm yy"))&amp;" "&amp;Milestones!$AB$69&amp;" "&amp;Milestones!$AC$69&amp;";  ","")&amp;IF(AND(EDATE($D70,Milestones!$AA$70)&lt;=AsOfDate,IF($R70=0,$X70,IF(AND($T70&lt;&gt;"",EDATE($D70,Milestones!$AA$70)&gt;=$T70),$W70,IF(AND($S70&lt;&gt;"",EDATE($D70,Milestones!$AA$70)&gt;=$S70),$V70,$U70)))=Milestones!$AB$70),UPPER(TEXT(EDATE($D70,Milestones!$AA$70),"dd mmm yy"))&amp;" "&amp;Milestones!$AB$70&amp;" "&amp;Milestones!$AC$70&amp;";  ","")&amp;IF(AND(EDATE($D70,Milestones!$AA$71)&lt;=AsOfDate,IF($R70=0,$X70,IF(AND($T70&lt;&gt;"",EDATE($D70,Milestones!$AA$71)&gt;=$T70),$W70,IF(AND($S70&lt;&gt;"",EDATE($D70,Milestones!$AA$71)&gt;=$S70),$V70,$U70)))=Milestones!$AB$71),UPPER(TEXT(EDATE($D70,Milestones!$AA$71),"dd mmm yy"))&amp;" "&amp;Milestones!$AB$71&amp;" "&amp;Milestones!$AC$71&amp;";  ","")&amp;IF(AND(EDATE($D70,Milestones!$AA$72)&lt;=AsOfDate,IF($R70=0,$X70,IF(AND($T70&lt;&gt;"",EDATE($D70,Milestones!$AA$72)&gt;=$T70),$W70,IF(AND($S70&lt;&gt;"",EDATE($D70,Milestones!$AA$72)&gt;=$S70),$V70,$U70)))=Milestones!$AB$72),UPPER(TEXT(EDATE($D70,Milestones!$AA$72),"dd mmm yy"))&amp;" "&amp;Milestones!$AB$72&amp;" "&amp;Milestones!$AC$72&amp;";  ","")&amp;IF(AND(EDATE($D70,Milestones!$AA$73)&lt;=AsOfDate,IF($R70=0,$X70,IF(AND($T70&lt;&gt;"",EDATE($D70,Milestones!$AA$73)&gt;=$T70),$W70,IF(AND($S70&lt;&gt;"",EDATE($D70,Milestones!$AA$73)&gt;=$S70),$V70,$U70)))=Milestones!$AB$73),UPPER(TEXT(EDATE($D70,Milestones!$AA$73),"dd mmm yy"))&amp;" "&amp;Milestones!$AB$73&amp;" "&amp;Milestones!$AC$73&amp;";  ","")&amp;IF(AND(EDATE($D70,Milestones!$AA$74)&lt;=AsOfDate,IF($R70=0,$X70,IF(AND($T70&lt;&gt;"",EDATE($D70,Milestones!$AA$74)&gt;=$T70),$W70,IF(AND($S70&lt;&gt;"",EDATE($D70,Milestones!$AA$74)&gt;=$S70),$V70,$U70)))=Milestones!$AB$74),UPPER(TEXT(EDATE($D70,Milestones!$AA$74),"dd mmm yy"))&amp;" "&amp;Milestones!$AB$74&amp;" "&amp;Milestones!$AC$74&amp;";  ","")&amp;IF(AND(EDATE($D70,Milestones!$AA$75)&lt;=AsOfDate,IF($R70=0,$X70,IF(AND($T70&lt;&gt;"",EDATE($D70,Milestones!$AA$75)&gt;=$T70),$W70,IF(AND($S70&lt;&gt;"",EDATE($D70,Milestones!$AA$75)&gt;=$S70),$V70,$U70)))=Milestones!$AB$75),UPPER(TEXT(EDATE($D70,Milestones!$AA$75),"dd mmm yy"))&amp;" "&amp;Milestones!$AB$75&amp;" "&amp;Milestones!$AC$75&amp;";  ","")&amp;IF(AND(EDATE($D70,Milestones!$AA$76)&lt;=AsOfDate,IF($R70=0,$X70,IF(AND($T70&lt;&gt;"",EDATE($D70,Milestones!$AA$76)&gt;=$T70),$W70,IF(AND($S70&lt;&gt;"",EDATE($D70,Milestones!$AA$76)&gt;=$S70),$V70,$U70)))=Milestones!$AB$76),UPPER(TEXT(EDATE($D70,Milestones!$AA$76),"dd mmm yy"))&amp;" "&amp;Milestones!$AB$76&amp;" "&amp;Milestones!$AC$76&amp;";  ","")&amp;IF(AND(EDATE($D70,Milestones!$AA$77)&lt;=AsOfDate,IF($R70=0,$X70,IF(AND($T70&lt;&gt;"",EDATE($D70,Milestones!$AA$77)&gt;=$T70),$W70,IF(AND($S70&lt;&gt;"",EDATE($D70,Milestones!$AA$77)&gt;=$S70),$V70,$U70)))=Milestones!$AB$77),UPPER(TEXT(EDATE($D70,Milestones!$AA$77),"dd mmm yy"))&amp;" "&amp;Milestones!$AB$77&amp;" "&amp;Milestones!$AC$77&amp;";  ","")&amp;IF(AND(EDATE($D70,Milestones!$AA$78)&lt;=AsOfDate,IF($R70=0,$X70,IF(AND($T70&lt;&gt;"",EDATE($D70,Milestones!$AA$78)&gt;=$T70),$W70,IF(AND($S70&lt;&gt;"",EDATE($D70,Milestones!$AA$78)&gt;=$S70),$V70,$U70)))=Milestones!$AB$78),UPPER(TEXT(EDATE($D70,Milestones!$AA$78),"dd mmm yy"))&amp;" "&amp;Milestones!$AB$78&amp;" "&amp;Milestones!$AC$78&amp;";  ","")&amp;IF(AND(EDATE($D70,Milestones!$AA$79)&lt;=AsOfDate,IF($R70=0,$X70,IF(AND($T70&lt;&gt;"",EDATE($D70,Milestones!$AA$79)&gt;=$T70),$W70,IF(AND($S70&lt;&gt;"",EDATE($D70,Milestones!$AA$79)&gt;=$S70),$V70,$U70)))=Milestones!$AB$79),UPPER(TEXT(EDATE($D70,Milestones!$AA$79),"dd mmm yy"))&amp;" "&amp;Milestones!$AB$79&amp;" "&amp;Milestones!$AC$79&amp;";  ",""))</f>
        <v/>
      </c>
      <c r="L70" s="0" t="str">
        <f aca="false">IF(OR($A70="",$D70=""),"",IF(AND(EDATE($D70,Milestones!$AA$80)&lt;=AsOfDate,IF($R70=0,$X70,IF(AND($T70&lt;&gt;"",EDATE($D70,Milestones!$AA$80)&gt;=$T70),$W70,IF(AND($S70&lt;&gt;"",EDATE($D70,Milestones!$AA$80)&gt;=$S70),$V70,$U70)))=Milestones!$AB$80),UPPER(TEXT(EDATE($D70,Milestones!$AA$80),"dd mmm yy"))&amp;" "&amp;Milestones!$AB$80&amp;" "&amp;Milestones!$AC$80&amp;";  ","")&amp;IF(AND(EDATE($D70,Milestones!$AA$81)&lt;=AsOfDate,IF($R70=0,$X70,IF(AND($T70&lt;&gt;"",EDATE($D70,Milestones!$AA$81)&gt;=$T70),$W70,IF(AND($S70&lt;&gt;"",EDATE($D70,Milestones!$AA$81)&gt;=$S70),$V70,$U70)))=Milestones!$AB$81),UPPER(TEXT(EDATE($D70,Milestones!$AA$81),"dd mmm yy"))&amp;" "&amp;Milestones!$AB$81&amp;" "&amp;Milestones!$AC$81&amp;";  ","")&amp;IF(AND(EDATE($D70,Milestones!$AA$82)&lt;=AsOfDate,IF($R70=0,$X70,IF(AND($T70&lt;&gt;"",EDATE($D70,Milestones!$AA$82)&gt;=$T70),$W70,IF(AND($S70&lt;&gt;"",EDATE($D70,Milestones!$AA$82)&gt;=$S70),$V70,$U70)))=Milestones!$AB$82),UPPER(TEXT(EDATE($D70,Milestones!$AA$82),"dd mmm yy"))&amp;" "&amp;Milestones!$AB$82&amp;" "&amp;Milestones!$AC$82&amp;";  ","")&amp;IF(AND(EDATE($D70,Milestones!$AA$83)&lt;=AsOfDate,IF($R70=0,$X70,IF(AND($T70&lt;&gt;"",EDATE($D70,Milestones!$AA$83)&gt;=$T70),$W70,IF(AND($S70&lt;&gt;"",EDATE($D70,Milestones!$AA$83)&gt;=$S70),$V70,$U70)))=Milestones!$AB$83),UPPER(TEXT(EDATE($D70,Milestones!$AA$83),"dd mmm yy"))&amp;" "&amp;Milestones!$AB$83&amp;" "&amp;Milestones!$AC$83&amp;";  ","")&amp;IF(AND(EDATE($D70,Milestones!$AA$84)&lt;=AsOfDate,IF($R70=0,$X70,IF(AND($T70&lt;&gt;"",EDATE($D70,Milestones!$AA$84)&gt;=$T70),$W70,IF(AND($S70&lt;&gt;"",EDATE($D70,Milestones!$AA$84)&gt;=$S70),$V70,$U70)))=Milestones!$AB$84),UPPER(TEXT(EDATE($D70,Milestones!$AA$84),"dd mmm yy"))&amp;" "&amp;Milestones!$AB$84&amp;" "&amp;Milestones!$AC$84&amp;";  ","")&amp;IF(AND(EDATE($D70,Milestones!$AA$85)&lt;=AsOfDate,IF($R70=0,$X70,IF(AND($T70&lt;&gt;"",EDATE($D70,Milestones!$AA$85)&gt;=$T70),$W70,IF(AND($S70&lt;&gt;"",EDATE($D70,Milestones!$AA$85)&gt;=$S70),$V70,$U70)))=Milestones!$AB$85),UPPER(TEXT(EDATE($D70,Milestones!$AA$85),"dd mmm yy"))&amp;" "&amp;Milestones!$AB$85&amp;" "&amp;Milestones!$AC$85&amp;";  ","")&amp;IF(AND(EDATE($D70,Milestones!$AA$86)&lt;=AsOfDate,IF($R70=0,$X70,IF(AND($T70&lt;&gt;"",EDATE($D70,Milestones!$AA$86)&gt;=$T70),$W70,IF(AND($S70&lt;&gt;"",EDATE($D70,Milestones!$AA$86)&gt;=$S70),$V70,$U70)))=Milestones!$AB$86),UPPER(TEXT(EDATE($D70,Milestones!$AA$86),"dd mmm yy"))&amp;" "&amp;Milestones!$AB$86&amp;" "&amp;Milestones!$AC$86&amp;";  ","")&amp;IF(AND(EDATE($D70,Milestones!$AA$87)&lt;=AsOfDate,IF($R70=0,$X70,IF(AND($T70&lt;&gt;"",EDATE($D70,Milestones!$AA$87)&gt;=$T70),$W70,IF(AND($S70&lt;&gt;"",EDATE($D70,Milestones!$AA$87)&gt;=$S70),$V70,$U70)))=Milestones!$AB$87),UPPER(TEXT(EDATE($D70,Milestones!$AA$87),"dd mmm yy"))&amp;" "&amp;Milestones!$AB$87&amp;" "&amp;Milestones!$AC$87&amp;";  ","")&amp;IF(AND(EDATE($D70,Milestones!$AA$88)&lt;=AsOfDate,IF($R70=0,$X70,IF(AND($T70&lt;&gt;"",EDATE($D70,Milestones!$AA$88)&gt;=$T70),$W70,IF(AND($S70&lt;&gt;"",EDATE($D70,Milestones!$AA$88)&gt;=$S70),$V70,$U70)))=Milestones!$AB$88),UPPER(TEXT(EDATE($D70,Milestones!$AA$88),"dd mmm yy"))&amp;" "&amp;Milestones!$AB$88&amp;" "&amp;Milestones!$AC$88&amp;";  ","")&amp;IF(AND(EDATE($D70,Milestones!$AA$89)&lt;=AsOfDate,IF($R70=0,$X70,IF(AND($T70&lt;&gt;"",EDATE($D70,Milestones!$AA$89)&gt;=$T70),$W70,IF(AND($S70&lt;&gt;"",EDATE($D70,Milestones!$AA$89)&gt;=$S70),$V70,$U70)))=Milestones!$AB$89),UPPER(TEXT(EDATE($D70,Milestones!$AA$89),"dd mmm yy"))&amp;" "&amp;Milestones!$AB$89&amp;" "&amp;Milestones!$AC$89&amp;";  ","")&amp;IF(AND(EDATE($D70,Milestones!$AA$90)&lt;=AsOfDate,IF($R70=0,$X70,IF(AND($T70&lt;&gt;"",EDATE($D70,Milestones!$AA$90)&gt;=$T70),$W70,IF(AND($S70&lt;&gt;"",EDATE($D70,Milestones!$AA$90)&gt;=$S70),$V70,$U70)))=Milestones!$AB$90),UPPER(TEXT(EDATE($D70,Milestones!$AA$90),"dd mmm yy"))&amp;" "&amp;Milestones!$AB$90&amp;" "&amp;Milestones!$AC$90&amp;";  ","")&amp;IF(AND(EDATE($D70,Milestones!$AA$91)&lt;=AsOfDate,IF($R70=0,$X70,IF(AND($T70&lt;&gt;"",EDATE($D70,Milestones!$AA$91)&gt;=$T70),$W70,IF(AND($S70&lt;&gt;"",EDATE($D70,Milestones!$AA$91)&gt;=$S70),$V70,$U70)))=Milestones!$AB$91),UPPER(TEXT(EDATE($D70,Milestones!$AA$91),"dd mmm yy"))&amp;" "&amp;Milestones!$AB$91&amp;" "&amp;Milestones!$AC$91&amp;";  ","")&amp;IF(AND(EDATE($D70,Milestones!$AA$92)&lt;=AsOfDate,IF($R70=0,$X70,IF(AND($T70&lt;&gt;"",EDATE($D70,Milestones!$AA$92)&gt;=$T70),$W70,IF(AND($S70&lt;&gt;"",EDATE($D70,Milestones!$AA$92)&gt;=$S70),$V70,$U70)))=Milestones!$AB$92),UPPER(TEXT(EDATE($D70,Milestones!$AA$92),"dd mmm yy"))&amp;" "&amp;Milestones!$AB$92&amp;" "&amp;Milestones!$AC$92&amp;";  ","")&amp;IF(AND(EDATE($D70,Milestones!$AA$93)&lt;=AsOfDate,IF($R70=0,$X70,IF(AND($T70&lt;&gt;"",EDATE($D70,Milestones!$AA$93)&gt;=$T70),$W70,IF(AND($S70&lt;&gt;"",EDATE($D70,Milestones!$AA$93)&gt;=$S70),$V70,$U70)))=Milestones!$AB$93),UPPER(TEXT(EDATE($D70,Milestones!$AA$93),"dd mmm yy"))&amp;" "&amp;Milestones!$AB$93&amp;" "&amp;Milestones!$AC$93&amp;";  ","")&amp;IF(AND(EDATE($D70,Milestones!$AA$94)&lt;=AsOfDate,IF($R70=0,$X70,IF(AND($T70&lt;&gt;"",EDATE($D70,Milestones!$AA$94)&gt;=$T70),$W70,IF(AND($S70&lt;&gt;"",EDATE($D70,Milestones!$AA$94)&gt;=$S70),$V70,$U70)))=Milestones!$AB$94),UPPER(TEXT(EDATE($D70,Milestones!$AA$94),"dd mmm yy"))&amp;" "&amp;Milestones!$AB$94&amp;" "&amp;Milestones!$AC$94&amp;";  ","")&amp;IF(AND(EDATE($D70,Milestones!$AA$95)&lt;=AsOfDate,IF($R70=0,$X70,IF(AND($T70&lt;&gt;"",EDATE($D70,Milestones!$AA$95)&gt;=$T70),$W70,IF(AND($S70&lt;&gt;"",EDATE($D70,Milestones!$AA$95)&gt;=$S70),$V70,$U70)))=Milestones!$AB$95),UPPER(TEXT(EDATE($D70,Milestones!$AA$95),"dd mmm yy"))&amp;" "&amp;Milestones!$AB$95&amp;" "&amp;Milestones!$AC$95&amp;";  ","")&amp;IF(AND(EDATE($D70,Milestones!$AA$96)&lt;=AsOfDate,IF($R70=0,$X70,IF(AND($T70&lt;&gt;"",EDATE($D70,Milestones!$AA$96)&gt;=$T70),$W70,IF(AND($S70&lt;&gt;"",EDATE($D70,Milestones!$AA$96)&gt;=$S70),$V70,$U70)))=Milestones!$AB$96),UPPER(TEXT(EDATE($D70,Milestones!$AA$96),"dd mmm yy"))&amp;" "&amp;Milestones!$AB$96&amp;" "&amp;Milestones!$AC$96&amp;";  ","")&amp;IF(AND(EDATE($D70,Milestones!$AA$97)&lt;=AsOfDate,IF($R70=0,$X70,IF(AND($T70&lt;&gt;"",EDATE($D70,Milestones!$AA$97)&gt;=$T70),$W70,IF(AND($S70&lt;&gt;"",EDATE($D70,Milestones!$AA$97)&gt;=$S70),$V70,$U70)))=Milestones!$AB$97),UPPER(TEXT(EDATE($D70,Milestones!$AA$97),"dd mmm yy"))&amp;" "&amp;Milestones!$AB$97&amp;" "&amp;Milestones!$AC$97&amp;";  ","")&amp;IF(AND(EDATE($D70,Milestones!$AA$98)&lt;=AsOfDate,IF($R70=0,$X70,IF(AND($T70&lt;&gt;"",EDATE($D70,Milestones!$AA$98)&gt;=$T70),$W70,IF(AND($S70&lt;&gt;"",EDATE($D70,Milestones!$AA$98)&gt;=$S70),$V70,$U70)))=Milestones!$AB$98),UPPER(TEXT(EDATE($D70,Milestones!$AA$98),"dd mmm yy"))&amp;" "&amp;Milestones!$AB$98&amp;" "&amp;Milestones!$AC$98&amp;";  ","")&amp;IF(AND(EDATE($D70,Milestones!$AA$99)&lt;=AsOfDate,IF($R70=0,$X70,IF(AND($T70&lt;&gt;"",EDATE($D70,Milestones!$AA$99)&gt;=$T70),$W70,IF(AND($S70&lt;&gt;"",EDATE($D70,Milestones!$AA$99)&gt;=$S70),$V70,$U70)))=Milestones!$AB$99),UPPER(TEXT(EDATE($D70,Milestones!$AA$99),"dd mmm yy"))&amp;" "&amp;Milestones!$AB$99&amp;" "&amp;Milestones!$AC$99&amp;";  ",""))</f>
        <v/>
      </c>
      <c r="M70" s="0" t="str">
        <f aca="false">IF(OR($A70="",$D70=""),"",IF(AND(EDATE($D70,Milestones!$AA$100)&lt;=AsOfDate,IF($R70=0,$X70,IF(AND($T70&lt;&gt;"",EDATE($D70,Milestones!$AA$100)&gt;=$T70),$W70,IF(AND($S70&lt;&gt;"",EDATE($D70,Milestones!$AA$100)&gt;=$S70),$V70,$U70)))=Milestones!$AB$100),UPPER(TEXT(EDATE($D70,Milestones!$AA$100),"dd mmm yy"))&amp;" "&amp;Milestones!$AB$100&amp;" "&amp;Milestones!$AC$100&amp;";  ","")&amp;IF(AND(EDATE($D70,Milestones!$AA$101)&lt;=AsOfDate,IF($R70=0,$X70,IF(AND($T70&lt;&gt;"",EDATE($D70,Milestones!$AA$101)&gt;=$T70),$W70,IF(AND($S70&lt;&gt;"",EDATE($D70,Milestones!$AA$101)&gt;=$S70),$V70,$U70)))=Milestones!$AB$101),UPPER(TEXT(EDATE($D70,Milestones!$AA$101),"dd mmm yy"))&amp;" "&amp;Milestones!$AB$101&amp;" "&amp;Milestones!$AC$101&amp;";  ","")&amp;IF(AND(EDATE($D70,Milestones!$AA$102)&lt;=AsOfDate,IF($R70=0,$X70,IF(AND($T70&lt;&gt;"",EDATE($D70,Milestones!$AA$102)&gt;=$T70),$W70,IF(AND($S70&lt;&gt;"",EDATE($D70,Milestones!$AA$102)&gt;=$S70),$V70,$U70)))=Milestones!$AB$102),UPPER(TEXT(EDATE($D70,Milestones!$AA$102),"dd mmm yy"))&amp;" "&amp;Milestones!$AB$102&amp;" "&amp;Milestones!$AC$102&amp;";  ","")&amp;IF(AND(EDATE($D70,Milestones!$AA$103)&lt;=AsOfDate,IF($R70=0,$X70,IF(AND($T70&lt;&gt;"",EDATE($D70,Milestones!$AA$103)&gt;=$T70),$W70,IF(AND($S70&lt;&gt;"",EDATE($D70,Milestones!$AA$103)&gt;=$S70),$V70,$U70)))=Milestones!$AB$103),UPPER(TEXT(EDATE($D70,Milestones!$AA$103),"dd mmm yy"))&amp;" "&amp;Milestones!$AB$103&amp;" "&amp;Milestones!$AC$103&amp;";  ","")&amp;IF(AND(EDATE($D70,Milestones!$AA$104)&lt;=AsOfDate,IF($R70=0,$X70,IF(AND($T70&lt;&gt;"",EDATE($D70,Milestones!$AA$104)&gt;=$T70),$W70,IF(AND($S70&lt;&gt;"",EDATE($D70,Milestones!$AA$104)&gt;=$S70),$V70,$U70)))=Milestones!$AB$104),UPPER(TEXT(EDATE($D70,Milestones!$AA$104),"dd mmm yy"))&amp;" "&amp;Milestones!$AB$104&amp;" "&amp;Milestones!$AC$104&amp;";  ","")&amp;IF(AND(EDATE($D70,Milestones!$AA$105)&lt;=AsOfDate,IF($R70=0,$X70,IF(AND($T70&lt;&gt;"",EDATE($D70,Milestones!$AA$105)&gt;=$T70),$W70,IF(AND($S70&lt;&gt;"",EDATE($D70,Milestones!$AA$105)&gt;=$S70),$V70,$U70)))=Milestones!$AB$105),UPPER(TEXT(EDATE($D70,Milestones!$AA$105),"dd mmm yy"))&amp;" "&amp;Milestones!$AB$105&amp;" "&amp;Milestones!$AC$105&amp;";  ","")&amp;IF(AND(EDATE($D70,Milestones!$AA$106)&lt;=AsOfDate,IF($R70=0,$X70,IF(AND($T70&lt;&gt;"",EDATE($D70,Milestones!$AA$106)&gt;=$T70),$W70,IF(AND($S70&lt;&gt;"",EDATE($D70,Milestones!$AA$106)&gt;=$S70),$V70,$U70)))=Milestones!$AB$106),UPPER(TEXT(EDATE($D70,Milestones!$AA$106),"dd mmm yy"))&amp;" "&amp;Milestones!$AB$106&amp;" "&amp;Milestones!$AC$106&amp;";  ","")&amp;IF(AND(EDATE($D70,Milestones!$AA$107)&lt;=AsOfDate,IF($R70=0,$X70,IF(AND($T70&lt;&gt;"",EDATE($D70,Milestones!$AA$107)&gt;=$T70),$W70,IF(AND($S70&lt;&gt;"",EDATE($D70,Milestones!$AA$107)&gt;=$S70),$V70,$U70)))=Milestones!$AB$107),UPPER(TEXT(EDATE($D70,Milestones!$AA$107),"dd mmm yy"))&amp;" "&amp;Milestones!$AB$107&amp;" "&amp;Milestones!$AC$107&amp;";  ","")&amp;IF(AND(EDATE($D70,Milestones!$AA$108)&lt;=AsOfDate,IF($R70=0,$X70,IF(AND($T70&lt;&gt;"",EDATE($D70,Milestones!$AA$108)&gt;=$T70),$W70,IF(AND($S70&lt;&gt;"",EDATE($D70,Milestones!$AA$108)&gt;=$S70),$V70,$U70)))=Milestones!$AB$108),UPPER(TEXT(EDATE($D70,Milestones!$AA$108),"dd mmm yy"))&amp;" "&amp;Milestones!$AB$108&amp;" "&amp;Milestones!$AC$108&amp;";  ","")&amp;IF(AND(EDATE($D70,Milestones!$AA$109)&lt;=AsOfDate,IF($R70=0,$X70,IF(AND($T70&lt;&gt;"",EDATE($D70,Milestones!$AA$109)&gt;=$T70),$W70,IF(AND($S70&lt;&gt;"",EDATE($D70,Milestones!$AA$109)&gt;=$S70),$V70,$U70)))=Milestones!$AB$109),UPPER(TEXT(EDATE($D70,Milestones!$AA$109),"dd mmm yy"))&amp;" "&amp;Milestones!$AB$109&amp;" "&amp;Milestones!$AC$109&amp;";  ","")&amp;IF(AND(EDATE($D70,Milestones!$AA$110)&lt;=AsOfDate,IF($R70=0,$X70,IF(AND($T70&lt;&gt;"",EDATE($D70,Milestones!$AA$110)&gt;=$T70),$W70,IF(AND($S70&lt;&gt;"",EDATE($D70,Milestones!$AA$110)&gt;=$S70),$V70,$U70)))=Milestones!$AB$110),UPPER(TEXT(EDATE($D70,Milestones!$AA$110),"dd mmm yy"))&amp;" "&amp;Milestones!$AB$110&amp;" "&amp;Milestones!$AC$110&amp;";  ","")&amp;IF(AND(EDATE($D70,Milestones!$AA$111)&lt;=AsOfDate,IF($R70=0,$X70,IF(AND($T70&lt;&gt;"",EDATE($D70,Milestones!$AA$111)&gt;=$T70),$W70,IF(AND($S70&lt;&gt;"",EDATE($D70,Milestones!$AA$111)&gt;=$S70),$V70,$U70)))=Milestones!$AB$111),UPPER(TEXT(EDATE($D70,Milestones!$AA$111),"dd mmm yy"))&amp;" "&amp;Milestones!$AB$111&amp;" "&amp;Milestones!$AC$111&amp;";  ","")&amp;IF(AND(EDATE($D70,Milestones!$AA$112)&lt;=AsOfDate,IF($R70=0,$X70,IF(AND($T70&lt;&gt;"",EDATE($D70,Milestones!$AA$112)&gt;=$T70),$W70,IF(AND($S70&lt;&gt;"",EDATE($D70,Milestones!$AA$112)&gt;=$S70),$V70,$U70)))=Milestones!$AB$112),UPPER(TEXT(EDATE($D70,Milestones!$AA$112),"dd mmm yy"))&amp;" "&amp;Milestones!$AB$112&amp;" "&amp;Milestones!$AC$112&amp;";  ","")&amp;IF(AND(EDATE($D70,Milestones!$AA$113)&lt;=AsOfDate,IF($R70=0,$X70,IF(AND($T70&lt;&gt;"",EDATE($D70,Milestones!$AA$113)&gt;=$T70),$W70,IF(AND($S70&lt;&gt;"",EDATE($D70,Milestones!$AA$113)&gt;=$S70),$V70,$U70)))=Milestones!$AB$113),UPPER(TEXT(EDATE($D70,Milestones!$AA$113),"dd mmm yy"))&amp;" "&amp;Milestones!$AB$113&amp;" "&amp;Milestones!$AC$113&amp;";  ","")&amp;IF(AND(EDATE($D70,Milestones!$AA$114)&lt;=AsOfDate,IF($R70=0,$X70,IF(AND($T70&lt;&gt;"",EDATE($D70,Milestones!$AA$114)&gt;=$T70),$W70,IF(AND($S70&lt;&gt;"",EDATE($D70,Milestones!$AA$114)&gt;=$S70),$V70,$U70)))=Milestones!$AB$114),UPPER(TEXT(EDATE($D70,Milestones!$AA$114),"dd mmm yy"))&amp;" "&amp;Milestones!$AB$114&amp;" "&amp;Milestones!$AC$114&amp;";  ","")&amp;IF(AND(EDATE($D70,Milestones!$AA$115)&lt;=AsOfDate,IF($R70=0,$X70,IF(AND($T70&lt;&gt;"",EDATE($D70,Milestones!$AA$115)&gt;=$T70),$W70,IF(AND($S70&lt;&gt;"",EDATE($D70,Milestones!$AA$115)&gt;=$S70),$V70,$U70)))=Milestones!$AB$115),UPPER(TEXT(EDATE($D70,Milestones!$AA$115),"dd mmm yy"))&amp;" "&amp;Milestones!$AB$115&amp;" "&amp;Milestones!$AC$115&amp;";  ","")&amp;IF(AND(EDATE($D70,Milestones!$AA$116)&lt;=AsOfDate,IF($R70=0,$X70,IF(AND($T70&lt;&gt;"",EDATE($D70,Milestones!$AA$116)&gt;=$T70),$W70,IF(AND($S70&lt;&gt;"",EDATE($D70,Milestones!$AA$116)&gt;=$S70),$V70,$U70)))=Milestones!$AB$116),UPPER(TEXT(EDATE($D70,Milestones!$AA$116),"dd mmm yy"))&amp;" "&amp;Milestones!$AB$116&amp;" "&amp;Milestones!$AC$116&amp;";  ","")&amp;IF(AND(EDATE($D70,Milestones!$AA$117)&lt;=AsOfDate,IF($R70=0,$X70,IF(AND($T70&lt;&gt;"",EDATE($D70,Milestones!$AA$117)&gt;=$T70),$W70,IF(AND($S70&lt;&gt;"",EDATE($D70,Milestones!$AA$117)&gt;=$S70),$V70,$U70)))=Milestones!$AB$117),UPPER(TEXT(EDATE($D70,Milestones!$AA$117),"dd mmm yy"))&amp;" "&amp;Milestones!$AB$117&amp;" "&amp;Milestones!$AC$117&amp;";  ","")&amp;IF(AND(EDATE($D70,Milestones!$AA$118)&lt;=AsOfDate,IF($R70=0,$X70,IF(AND($T70&lt;&gt;"",EDATE($D70,Milestones!$AA$118)&gt;=$T70),$W70,IF(AND($S70&lt;&gt;"",EDATE($D70,Milestones!$AA$118)&gt;=$S70),$V70,$U70)))=Milestones!$AB$118),UPPER(TEXT(EDATE($D70,Milestones!$AA$118),"dd mmm yy"))&amp;" "&amp;Milestones!$AB$118&amp;" "&amp;Milestones!$AC$118&amp;";  ","")&amp;IF(AND(EDATE($D70,Milestones!$AA$119)&lt;=AsOfDate,IF($R70=0,$X70,IF(AND($T70&lt;&gt;"",EDATE($D70,Milestones!$AA$119)&gt;=$T70),$W70,IF(AND($S70&lt;&gt;"",EDATE($D70,Milestones!$AA$119)&gt;=$S70),$V70,$U70)))=Milestones!$AB$119),UPPER(TEXT(EDATE($D70,Milestones!$AA$119),"dd mmm yy"))&amp;" "&amp;Milestones!$AB$119&amp;" "&amp;Milestones!$AC$119&amp;";  ",""))</f>
        <v/>
      </c>
      <c r="N70" s="0" t="str">
        <f aca="false">IF(OR($A70="",$D70=""),"",IF(AND(EDATE($D70,Milestones!$AA$120)&lt;=AsOfDate,IF($R70=0,$X70,IF(AND($T70&lt;&gt;"",EDATE($D70,Milestones!$AA$120)&gt;=$T70),$W70,IF(AND($S70&lt;&gt;"",EDATE($D70,Milestones!$AA$120)&gt;=$S70),$V70,$U70)))=Milestones!$AB$120),UPPER(TEXT(EDATE($D70,Milestones!$AA$120),"dd mmm yy"))&amp;" "&amp;Milestones!$AB$120&amp;" "&amp;Milestones!$AC$120&amp;";  ","")&amp;IF(AND(EDATE($D70,Milestones!$AA$121)&lt;=AsOfDate,IF($R70=0,$X70,IF(AND($T70&lt;&gt;"",EDATE($D70,Milestones!$AA$121)&gt;=$T70),$W70,IF(AND($S70&lt;&gt;"",EDATE($D70,Milestones!$AA$121)&gt;=$S70),$V70,$U70)))=Milestones!$AB$121),UPPER(TEXT(EDATE($D70,Milestones!$AA$121),"dd mmm yy"))&amp;" "&amp;Milestones!$AB$121&amp;" "&amp;Milestones!$AC$121&amp;";  ","")&amp;IF(AND(EDATE($D70,Milestones!$AA$122)&lt;=AsOfDate,IF($R70=0,$X70,IF(AND($T70&lt;&gt;"",EDATE($D70,Milestones!$AA$122)&gt;=$T70),$W70,IF(AND($S70&lt;&gt;"",EDATE($D70,Milestones!$AA$122)&gt;=$S70),$V70,$U70)))=Milestones!$AB$122),UPPER(TEXT(EDATE($D70,Milestones!$AA$122),"dd mmm yy"))&amp;" "&amp;Milestones!$AB$122&amp;" "&amp;Milestones!$AC$122&amp;";  ","")&amp;IF(AND(EDATE($D70,Milestones!$AA$123)&lt;=AsOfDate,IF($R70=0,$X70,IF(AND($T70&lt;&gt;"",EDATE($D70,Milestones!$AA$123)&gt;=$T70),$W70,IF(AND($S70&lt;&gt;"",EDATE($D70,Milestones!$AA$123)&gt;=$S70),$V70,$U70)))=Milestones!$AB$123),UPPER(TEXT(EDATE($D70,Milestones!$AA$123),"dd mmm yy"))&amp;" "&amp;Milestones!$AB$123&amp;" "&amp;Milestones!$AC$123&amp;";  ","")&amp;IF(AND(EDATE($D70,Milestones!$AA$124)&lt;=AsOfDate,IF($R70=0,$X70,IF(AND($T70&lt;&gt;"",EDATE($D70,Milestones!$AA$124)&gt;=$T70),$W70,IF(AND($S70&lt;&gt;"",EDATE($D70,Milestones!$AA$124)&gt;=$S70),$V70,$U70)))=Milestones!$AB$124),UPPER(TEXT(EDATE($D70,Milestones!$AA$124),"dd mmm yy"))&amp;" "&amp;Milestones!$AB$124&amp;" "&amp;Milestones!$AC$124&amp;";  ","")&amp;IF(AND(EDATE($D70,Milestones!$AA$125)&lt;=AsOfDate,IF($R70=0,$X70,IF(AND($T70&lt;&gt;"",EDATE($D70,Milestones!$AA$125)&gt;=$T70),$W70,IF(AND($S70&lt;&gt;"",EDATE($D70,Milestones!$AA$125)&gt;=$S70),$V70,$U70)))=Milestones!$AB$125),UPPER(TEXT(EDATE($D70,Milestones!$AA$125),"dd mmm yy"))&amp;" "&amp;Milestones!$AB$125&amp;" "&amp;Milestones!$AC$125&amp;";  ","")&amp;IF(AND(EDATE($D70,Milestones!$AA$126)&lt;=AsOfDate,IF($R70=0,$X70,IF(AND($T70&lt;&gt;"",EDATE($D70,Milestones!$AA$126)&gt;=$T70),$W70,IF(AND($S70&lt;&gt;"",EDATE($D70,Milestones!$AA$126)&gt;=$S70),$V70,$U70)))=Milestones!$AB$126),UPPER(TEXT(EDATE($D70,Milestones!$AA$126),"dd mmm yy"))&amp;" "&amp;Milestones!$AB$126&amp;" "&amp;Milestones!$AC$126&amp;";  ","")&amp;IF(AND(EDATE($D70,Milestones!$AA$127)&lt;=AsOfDate,IF($R70=0,$X70,IF(AND($T70&lt;&gt;"",EDATE($D70,Milestones!$AA$127)&gt;=$T70),$W70,IF(AND($S70&lt;&gt;"",EDATE($D70,Milestones!$AA$127)&gt;=$S70),$V70,$U70)))=Milestones!$AB$127),UPPER(TEXT(EDATE($D70,Milestones!$AA$127),"dd mmm yy"))&amp;" "&amp;Milestones!$AB$127&amp;" "&amp;Milestones!$AC$127&amp;";  ","")&amp;IF(AND(EDATE($D70,Milestones!$AA$128)&lt;=AsOfDate,IF($R70=0,$X70,IF(AND($T70&lt;&gt;"",EDATE($D70,Milestones!$AA$128)&gt;=$T70),$W70,IF(AND($S70&lt;&gt;"",EDATE($D70,Milestones!$AA$128)&gt;=$S70),$V70,$U70)))=Milestones!$AB$128),UPPER(TEXT(EDATE($D70,Milestones!$AA$128),"dd mmm yy"))&amp;" "&amp;Milestones!$AB$128&amp;" "&amp;Milestones!$AC$128&amp;";  ","")&amp;IF(AND(EDATE($D70,Milestones!$AA$129)&lt;=AsOfDate,IF($R70=0,$X70,IF(AND($T70&lt;&gt;"",EDATE($D70,Milestones!$AA$129)&gt;=$T70),$W70,IF(AND($S70&lt;&gt;"",EDATE($D70,Milestones!$AA$129)&gt;=$S70),$V70,$U70)))=Milestones!$AB$129),UPPER(TEXT(EDATE($D70,Milestones!$AA$129),"dd mmm yy"))&amp;" "&amp;Milestones!$AB$129&amp;" "&amp;Milestones!$AC$129&amp;";  ","")&amp;IF(AND(EDATE($D70,Milestones!$AA$130)&lt;=AsOfDate,IF($R70=0,$X70,IF(AND($T70&lt;&gt;"",EDATE($D70,Milestones!$AA$130)&gt;=$T70),$W70,IF(AND($S70&lt;&gt;"",EDATE($D70,Milestones!$AA$130)&gt;=$S70),$V70,$U70)))=Milestones!$AB$130),UPPER(TEXT(EDATE($D70,Milestones!$AA$130),"dd mmm yy"))&amp;" "&amp;Milestones!$AB$130&amp;" "&amp;Milestones!$AC$130&amp;";  ","")&amp;IF(AND(EDATE($D70,Milestones!$AA$131)&lt;=AsOfDate,IF($R70=0,$X70,IF(AND($T70&lt;&gt;"",EDATE($D70,Milestones!$AA$131)&gt;=$T70),$W70,IF(AND($S70&lt;&gt;"",EDATE($D70,Milestones!$AA$131)&gt;=$S70),$V70,$U70)))=Milestones!$AB$131),UPPER(TEXT(EDATE($D70,Milestones!$AA$131),"dd mmm yy"))&amp;" "&amp;Milestones!$AB$131&amp;" "&amp;Milestones!$AC$131&amp;";  ","")&amp;IF(AND(EDATE($D70,Milestones!$AA$132)&lt;=AsOfDate,IF($R70=0,$X70,IF(AND($T70&lt;&gt;"",EDATE($D70,Milestones!$AA$132)&gt;=$T70),$W70,IF(AND($S70&lt;&gt;"",EDATE($D70,Milestones!$AA$132)&gt;=$S70),$V70,$U70)))=Milestones!$AB$132),UPPER(TEXT(EDATE($D70,Milestones!$AA$132),"dd mmm yy"))&amp;" "&amp;Milestones!$AB$132&amp;" "&amp;Milestones!$AC$132&amp;";  ","")&amp;IF(AND(EDATE($D70,Milestones!$AA$133)&lt;=AsOfDate,IF($R70=0,$X70,IF(AND($T70&lt;&gt;"",EDATE($D70,Milestones!$AA$133)&gt;=$T70),$W70,IF(AND($S70&lt;&gt;"",EDATE($D70,Milestones!$AA$133)&gt;=$S70),$V70,$U70)))=Milestones!$AB$133),UPPER(TEXT(EDATE($D70,Milestones!$AA$133),"dd mmm yy"))&amp;" "&amp;Milestones!$AB$133&amp;" "&amp;Milestones!$AC$133&amp;";  ","")&amp;IF(AND(EDATE($D70,Milestones!$AA$134)&lt;=AsOfDate,IF($R70=0,$X70,IF(AND($T70&lt;&gt;"",EDATE($D70,Milestones!$AA$134)&gt;=$T70),$W70,IF(AND($S70&lt;&gt;"",EDATE($D70,Milestones!$AA$134)&gt;=$S70),$V70,$U70)))=Milestones!$AB$134),UPPER(TEXT(EDATE($D70,Milestones!$AA$134),"dd mmm yy"))&amp;" "&amp;Milestones!$AB$134&amp;" "&amp;Milestones!$AC$134&amp;";  ","")&amp;IF(AND(EDATE($D70,Milestones!$AA$135)&lt;=AsOfDate,IF($R70=0,$X70,IF(AND($T70&lt;&gt;"",EDATE($D70,Milestones!$AA$135)&gt;=$T70),$W70,IF(AND($S70&lt;&gt;"",EDATE($D70,Milestones!$AA$135)&gt;=$S70),$V70,$U70)))=Milestones!$AB$135),UPPER(TEXT(EDATE($D70,Milestones!$AA$135),"dd mmm yy"))&amp;" "&amp;Milestones!$AB$135&amp;" "&amp;Milestones!$AC$135&amp;";  ","")&amp;IF(AND(EDATE($D70,Milestones!$AA$136)&lt;=AsOfDate,IF($R70=0,$X70,IF(AND($T70&lt;&gt;"",EDATE($D70,Milestones!$AA$136)&gt;=$T70),$W70,IF(AND($S70&lt;&gt;"",EDATE($D70,Milestones!$AA$136)&gt;=$S70),$V70,$U70)))=Milestones!$AB$136),UPPER(TEXT(EDATE($D70,Milestones!$AA$136),"dd mmm yy"))&amp;" "&amp;Milestones!$AB$136&amp;" "&amp;Milestones!$AC$136&amp;";  ","")&amp;IF(AND(EDATE($D70,Milestones!$AA$137)&lt;=AsOfDate,IF($R70=0,$X70,IF(AND($T70&lt;&gt;"",EDATE($D70,Milestones!$AA$137)&gt;=$T70),$W70,IF(AND($S70&lt;&gt;"",EDATE($D70,Milestones!$AA$137)&gt;=$S70),$V70,$U70)))=Milestones!$AB$137),UPPER(TEXT(EDATE($D70,Milestones!$AA$137),"dd mmm yy"))&amp;" "&amp;Milestones!$AB$137&amp;" "&amp;Milestones!$AC$137&amp;";  ","")&amp;IF(AND(EDATE($D70,Milestones!$AA$138)&lt;=AsOfDate,IF($R70=0,$X70,IF(AND($T70&lt;&gt;"",EDATE($D70,Milestones!$AA$138)&gt;=$T70),$W70,IF(AND($S70&lt;&gt;"",EDATE($D70,Milestones!$AA$138)&gt;=$S70),$V70,$U70)))=Milestones!$AB$138),UPPER(TEXT(EDATE($D70,Milestones!$AA$138),"dd mmm yy"))&amp;" "&amp;Milestones!$AB$138&amp;" "&amp;Milestones!$AC$138&amp;";  ","")&amp;IF(AND(EDATE($D70,Milestones!$AA$139)&lt;=AsOfDate,IF($R70=0,$X70,IF(AND($T70&lt;&gt;"",EDATE($D70,Milestones!$AA$139)&gt;=$T70),$W70,IF(AND($S70&lt;&gt;"",EDATE($D70,Milestones!$AA$139)&gt;=$S70),$V70,$U70)))=Milestones!$AB$139),UPPER(TEXT(EDATE($D70,Milestones!$AA$139),"dd mmm yy"))&amp;" "&amp;Milestones!$AB$139&amp;" "&amp;Milestones!$AC$139&amp;";  ",""))</f>
        <v/>
      </c>
      <c r="O70" s="0" t="str">
        <f aca="false">IF(OR($A70="",$D70=""),"",IF(AND(EDATE($D70,Milestones!$AA$140)&lt;=AsOfDate,IF($R70=0,$X70,IF(AND($T70&lt;&gt;"",EDATE($D70,Milestones!$AA$140)&gt;=$T70),$W70,IF(AND($S70&lt;&gt;"",EDATE($D70,Milestones!$AA$140)&gt;=$S70),$V70,$U70)))=Milestones!$AB$140),UPPER(TEXT(EDATE($D70,Milestones!$AA$140),"dd mmm yy"))&amp;" "&amp;Milestones!$AB$140&amp;" "&amp;Milestones!$AC$140&amp;";  ","")&amp;IF(AND(EDATE($D70,Milestones!$AA$141)&lt;=AsOfDate,IF($R70=0,$X70,IF(AND($T70&lt;&gt;"",EDATE($D70,Milestones!$AA$141)&gt;=$T70),$W70,IF(AND($S70&lt;&gt;"",EDATE($D70,Milestones!$AA$141)&gt;=$S70),$V70,$U70)))=Milestones!$AB$141),UPPER(TEXT(EDATE($D70,Milestones!$AA$141),"dd mmm yy"))&amp;" "&amp;Milestones!$AB$141&amp;" "&amp;Milestones!$AC$141&amp;";  ","")&amp;IF(AND(EDATE($D70,Milestones!$AA$142)&lt;=AsOfDate,IF($R70=0,$X70,IF(AND($T70&lt;&gt;"",EDATE($D70,Milestones!$AA$142)&gt;=$T70),$W70,IF(AND($S70&lt;&gt;"",EDATE($D70,Milestones!$AA$142)&gt;=$S70),$V70,$U70)))=Milestones!$AB$142),UPPER(TEXT(EDATE($D70,Milestones!$AA$142),"dd mmm yy"))&amp;" "&amp;Milestones!$AB$142&amp;" "&amp;Milestones!$AC$142&amp;";  ","")&amp;IF(AND(EDATE($D70,Milestones!$AA$143)&lt;=AsOfDate,IF($R70=0,$X70,IF(AND($T70&lt;&gt;"",EDATE($D70,Milestones!$AA$143)&gt;=$T70),$W70,IF(AND($S70&lt;&gt;"",EDATE($D70,Milestones!$AA$143)&gt;=$S70),$V70,$U70)))=Milestones!$AB$143),UPPER(TEXT(EDATE($D70,Milestones!$AA$143),"dd mmm yy"))&amp;" "&amp;Milestones!$AB$143&amp;" "&amp;Milestones!$AC$143&amp;";  ","")&amp;IF(AND(EDATE($D70,Milestones!$AA$144)&lt;=AsOfDate,IF($R70=0,$X70,IF(AND($T70&lt;&gt;"",EDATE($D70,Milestones!$AA$144)&gt;=$T70),$W70,IF(AND($S70&lt;&gt;"",EDATE($D70,Milestones!$AA$144)&gt;=$S70),$V70,$U70)))=Milestones!$AB$144),UPPER(TEXT(EDATE($D70,Milestones!$AA$144),"dd mmm yy"))&amp;" "&amp;Milestones!$AB$144&amp;" "&amp;Milestones!$AC$144&amp;";  ","")&amp;IF(AND(EDATE($D70,Milestones!$AA$145)&lt;=AsOfDate,IF($R70=0,$X70,IF(AND($T70&lt;&gt;"",EDATE($D70,Milestones!$AA$145)&gt;=$T70),$W70,IF(AND($S70&lt;&gt;"",EDATE($D70,Milestones!$AA$145)&gt;=$S70),$V70,$U70)))=Milestones!$AB$145),UPPER(TEXT(EDATE($D70,Milestones!$AA$145),"dd mmm yy"))&amp;" "&amp;Milestones!$AB$145&amp;" "&amp;Milestones!$AC$145&amp;";  ","")&amp;IF(AND(EDATE($D70,Milestones!$AA$146)&lt;=AsOfDate,IF($R70=0,$X70,IF(AND($T70&lt;&gt;"",EDATE($D70,Milestones!$AA$146)&gt;=$T70),$W70,IF(AND($S70&lt;&gt;"",EDATE($D70,Milestones!$AA$146)&gt;=$S70),$V70,$U70)))=Milestones!$AB$146),UPPER(TEXT(EDATE($D70,Milestones!$AA$146),"dd mmm yy"))&amp;" "&amp;Milestones!$AB$146&amp;" "&amp;Milestones!$AC$146&amp;";  ","")&amp;IF(AND(EDATE($D70,Milestones!$AA$147)&lt;=AsOfDate,IF($R70=0,$X70,IF(AND($T70&lt;&gt;"",EDATE($D70,Milestones!$AA$147)&gt;=$T70),$W70,IF(AND($S70&lt;&gt;"",EDATE($D70,Milestones!$AA$147)&gt;=$S70),$V70,$U70)))=Milestones!$AB$147),UPPER(TEXT(EDATE($D70,Milestones!$AA$147),"dd mmm yy"))&amp;" "&amp;Milestones!$AB$147&amp;" "&amp;Milestones!$AC$147&amp;";  ","")&amp;IF(AND(EDATE($D70,Milestones!$AA$148)&lt;=AsOfDate,IF($R70=0,$X70,IF(AND($T70&lt;&gt;"",EDATE($D70,Milestones!$AA$148)&gt;=$T70),$W70,IF(AND($S70&lt;&gt;"",EDATE($D70,Milestones!$AA$148)&gt;=$S70),$V70,$U70)))=Milestones!$AB$148),UPPER(TEXT(EDATE($D70,Milestones!$AA$148),"dd mmm yy"))&amp;" "&amp;Milestones!$AB$148&amp;" "&amp;Milestones!$AC$148&amp;";  ","")&amp;IF(AND(EDATE($D70,Milestones!$AA$149)&lt;=AsOfDate,IF($R70=0,$X70,IF(AND($T70&lt;&gt;"",EDATE($D70,Milestones!$AA$149)&gt;=$T70),$W70,IF(AND($S70&lt;&gt;"",EDATE($D70,Milestones!$AA$149)&gt;=$S70),$V70,$U70)))=Milestones!$AB$149),UPPER(TEXT(EDATE($D70,Milestones!$AA$149),"dd mmm yy"))&amp;" "&amp;Milestones!$AB$149&amp;" "&amp;Milestones!$AC$149&amp;";  ","")&amp;IF(AND(EDATE($D70,Milestones!$AA$150)&lt;=AsOfDate,IF($R70=0,$X70,IF(AND($T70&lt;&gt;"",EDATE($D70,Milestones!$AA$150)&gt;=$T70),$W70,IF(AND($S70&lt;&gt;"",EDATE($D70,Milestones!$AA$150)&gt;=$S70),$V70,$U70)))=Milestones!$AB$150),UPPER(TEXT(EDATE($D70,Milestones!$AA$150),"dd mmm yy"))&amp;" "&amp;Milestones!$AB$150&amp;" "&amp;Milestones!$AC$150&amp;";  ","")&amp;IF(AND(EDATE($D70,Milestones!$AA$151)&lt;=AsOfDate,IF($R70=0,$X70,IF(AND($T70&lt;&gt;"",EDATE($D70,Milestones!$AA$151)&gt;=$T70),$W70,IF(AND($S70&lt;&gt;"",EDATE($D70,Milestones!$AA$151)&gt;=$S70),$V70,$U70)))=Milestones!$AB$151),UPPER(TEXT(EDATE($D70,Milestones!$AA$151),"dd mmm yy"))&amp;" "&amp;Milestones!$AB$151&amp;" "&amp;Milestones!$AC$151&amp;";  ","")&amp;IF(AND(EDATE($D70,Milestones!$AA$152)&lt;=AsOfDate,IF($R70=0,$X70,IF(AND($T70&lt;&gt;"",EDATE($D70,Milestones!$AA$152)&gt;=$T70),$W70,IF(AND($S70&lt;&gt;"",EDATE($D70,Milestones!$AA$152)&gt;=$S70),$V70,$U70)))=Milestones!$AB$152),UPPER(TEXT(EDATE($D70,Milestones!$AA$152),"dd mmm yy"))&amp;" "&amp;Milestones!$AB$152&amp;" "&amp;Milestones!$AC$152&amp;";  ","")&amp;IF(AND(EDATE($D70,Milestones!$AA$153)&lt;=AsOfDate,IF($R70=0,$X70,IF(AND($T70&lt;&gt;"",EDATE($D70,Milestones!$AA$153)&gt;=$T70),$W70,IF(AND($S70&lt;&gt;"",EDATE($D70,Milestones!$AA$153)&gt;=$S70),$V70,$U70)))=Milestones!$AB$153),UPPER(TEXT(EDATE($D70,Milestones!$AA$153),"dd mmm yy"))&amp;" "&amp;Milestones!$AB$153&amp;" "&amp;Milestones!$AC$153&amp;";  ","")&amp;IF(AND(EDATE($D70,Milestones!$AA$154)&lt;=AsOfDate,IF($R70=0,$X70,IF(AND($T70&lt;&gt;"",EDATE($D70,Milestones!$AA$154)&gt;=$T70),$W70,IF(AND($S70&lt;&gt;"",EDATE($D70,Milestones!$AA$154)&gt;=$S70),$V70,$U70)))=Milestones!$AB$154),UPPER(TEXT(EDATE($D70,Milestones!$AA$154),"dd mmm yy"))&amp;" "&amp;Milestones!$AB$154&amp;" "&amp;Milestones!$AC$154&amp;";  ","")&amp;IF(AND(EDATE($D70,Milestones!$AA$155)&lt;=AsOfDate,IF($R70=0,$X70,IF(AND($T70&lt;&gt;"",EDATE($D70,Milestones!$AA$155)&gt;=$T70),$W70,IF(AND($S70&lt;&gt;"",EDATE($D70,Milestones!$AA$155)&gt;=$S70),$V70,$U70)))=Milestones!$AB$155),UPPER(TEXT(EDATE($D70,Milestones!$AA$155),"dd mmm yy"))&amp;" "&amp;Milestones!$AB$155&amp;" "&amp;Milestones!$AC$155&amp;";  ","")&amp;IF(AND(EDATE($D70,Milestones!$AA$156)&lt;=AsOfDate,IF($R70=0,$X70,IF(AND($T70&lt;&gt;"",EDATE($D70,Milestones!$AA$156)&gt;=$T70),$W70,IF(AND($S70&lt;&gt;"",EDATE($D70,Milestones!$AA$156)&gt;=$S70),$V70,$U70)))=Milestones!$AB$156),UPPER(TEXT(EDATE($D70,Milestones!$AA$156),"dd mmm yy"))&amp;" "&amp;Milestones!$AB$156&amp;" "&amp;Milestones!$AC$156&amp;";  ","")&amp;IF(AND(EDATE($D70,Milestones!$AA$157)&lt;=AsOfDate,IF($R70=0,$X70,IF(AND($T70&lt;&gt;"",EDATE($D70,Milestones!$AA$157)&gt;=$T70),$W70,IF(AND($S70&lt;&gt;"",EDATE($D70,Milestones!$AA$157)&gt;=$S70),$V70,$U70)))=Milestones!$AB$157),UPPER(TEXT(EDATE($D70,Milestones!$AA$157),"dd mmm yy"))&amp;" "&amp;Milestones!$AB$157&amp;" "&amp;Milestones!$AC$157&amp;";  ","")&amp;IF(AND(EDATE($D70,Milestones!$AA$158)&lt;=AsOfDate,IF($R70=0,$X70,IF(AND($T70&lt;&gt;"",EDATE($D70,Milestones!$AA$158)&gt;=$T70),$W70,IF(AND($S70&lt;&gt;"",EDATE($D70,Milestones!$AA$158)&gt;=$S70),$V70,$U70)))=Milestones!$AB$158),UPPER(TEXT(EDATE($D70,Milestones!$AA$158),"dd mmm yy"))&amp;" "&amp;Milestones!$AB$158&amp;" "&amp;Milestones!$AC$158&amp;";  ","")&amp;IF(AND(EDATE($D70,Milestones!$AA$159)&lt;=AsOfDate,IF($R70=0,$X70,IF(AND($T70&lt;&gt;"",EDATE($D70,Milestones!$AA$159)&gt;=$T70),$W70,IF(AND($S70&lt;&gt;"",EDATE($D70,Milestones!$AA$159)&gt;=$S70),$V70,$U70)))=Milestones!$AB$159),UPPER(TEXT(EDATE($D70,Milestones!$AA$159),"dd mmm yy"))&amp;" "&amp;Milestones!$AB$159&amp;" "&amp;Milestones!$AC$159&amp;";  ",""))</f>
        <v/>
      </c>
      <c r="P70" s="0" t="str">
        <f aca="false">IF(OR($A70="",$D70=""),"",IF(AND(EDATE($D70,Milestones!$AA$160)&lt;=AsOfDate,IF($R70=0,$X70,IF(AND($T70&lt;&gt;"",EDATE($D70,Milestones!$AA$160)&gt;=$T70),$W70,IF(AND($S70&lt;&gt;"",EDATE($D70,Milestones!$AA$160)&gt;=$S70),$V70,$U70)))=Milestones!$AB$160),UPPER(TEXT(EDATE($D70,Milestones!$AA$160),"dd mmm yy"))&amp;" "&amp;Milestones!$AB$160&amp;" "&amp;Milestones!$AC$160&amp;";  ","")&amp;IF(AND(EDATE($D70,Milestones!$AA$161)&lt;=AsOfDate,IF($R70=0,$X70,IF(AND($T70&lt;&gt;"",EDATE($D70,Milestones!$AA$161)&gt;=$T70),$W70,IF(AND($S70&lt;&gt;"",EDATE($D70,Milestones!$AA$161)&gt;=$S70),$V70,$U70)))=Milestones!$AB$161),UPPER(TEXT(EDATE($D70,Milestones!$AA$161),"dd mmm yy"))&amp;" "&amp;Milestones!$AB$161&amp;" "&amp;Milestones!$AC$161&amp;";  ","")&amp;IF(AND(EDATE($D70,Milestones!$AA$162)&lt;=AsOfDate,IF($R70=0,$X70,IF(AND($T70&lt;&gt;"",EDATE($D70,Milestones!$AA$162)&gt;=$T70),$W70,IF(AND($S70&lt;&gt;"",EDATE($D70,Milestones!$AA$162)&gt;=$S70),$V70,$U70)))=Milestones!$AB$162),UPPER(TEXT(EDATE($D70,Milestones!$AA$162),"dd mmm yy"))&amp;" "&amp;Milestones!$AB$162&amp;" "&amp;Milestones!$AC$162&amp;";  ","")&amp;IF(AND(EDATE($D70,Milestones!$AA$163)&lt;=AsOfDate,IF($R70=0,$X70,IF(AND($T70&lt;&gt;"",EDATE($D70,Milestones!$AA$163)&gt;=$T70),$W70,IF(AND($S70&lt;&gt;"",EDATE($D70,Milestones!$AA$163)&gt;=$S70),$V70,$U70)))=Milestones!$AB$163),UPPER(TEXT(EDATE($D70,Milestones!$AA$163),"dd mmm yy"))&amp;" "&amp;Milestones!$AB$163&amp;" "&amp;Milestones!$AC$163&amp;";  ","")&amp;IF(AND(EDATE($D70,Milestones!$AA$164)&lt;=AsOfDate,IF($R70=0,$X70,IF(AND($T70&lt;&gt;"",EDATE($D70,Milestones!$AA$164)&gt;=$T70),$W70,IF(AND($S70&lt;&gt;"",EDATE($D70,Milestones!$AA$164)&gt;=$S70),$V70,$U70)))=Milestones!$AB$164),UPPER(TEXT(EDATE($D70,Milestones!$AA$164),"dd mmm yy"))&amp;" "&amp;Milestones!$AB$164&amp;" "&amp;Milestones!$AC$164&amp;";  ","")&amp;IF(AND(EDATE($D70,Milestones!$AA$165)&lt;=AsOfDate,IF($R70=0,$X70,IF(AND($T70&lt;&gt;"",EDATE($D70,Milestones!$AA$165)&gt;=$T70),$W70,IF(AND($S70&lt;&gt;"",EDATE($D70,Milestones!$AA$165)&gt;=$S70),$V70,$U70)))=Milestones!$AB$165),UPPER(TEXT(EDATE($D70,Milestones!$AA$165),"dd mmm yy"))&amp;" "&amp;Milestones!$AB$165&amp;" "&amp;Milestones!$AC$165&amp;";  ","")&amp;IF(AND(EDATE($D70,Milestones!$AA$166)&lt;=AsOfDate,IF($R70=0,$X70,IF(AND($T70&lt;&gt;"",EDATE($D70,Milestones!$AA$166)&gt;=$T70),$W70,IF(AND($S70&lt;&gt;"",EDATE($D70,Milestones!$AA$166)&gt;=$S70),$V70,$U70)))=Milestones!$AB$166),UPPER(TEXT(EDATE($D70,Milestones!$AA$166),"dd mmm yy"))&amp;" "&amp;Milestones!$AB$166&amp;" "&amp;Milestones!$AC$166&amp;";  ","")&amp;IF(AND(EDATE($D70,Milestones!$AA$167)&lt;=AsOfDate,IF($R70=0,$X70,IF(AND($T70&lt;&gt;"",EDATE($D70,Milestones!$AA$167)&gt;=$T70),$W70,IF(AND($S70&lt;&gt;"",EDATE($D70,Milestones!$AA$167)&gt;=$S70),$V70,$U70)))=Milestones!$AB$167),UPPER(TEXT(EDATE($D70,Milestones!$AA$167),"dd mmm yy"))&amp;" "&amp;Milestones!$AB$167&amp;" "&amp;Milestones!$AC$167&amp;";  ","")&amp;IF(AND(EDATE($D70,Milestones!$AA$168)&lt;=AsOfDate,IF($R70=0,$X70,IF(AND($T70&lt;&gt;"",EDATE($D70,Milestones!$AA$168)&gt;=$T70),$W70,IF(AND($S70&lt;&gt;"",EDATE($D70,Milestones!$AA$168)&gt;=$S70),$V70,$U70)))=Milestones!$AB$168),UPPER(TEXT(EDATE($D70,Milestones!$AA$168),"dd mmm yy"))&amp;" "&amp;Milestones!$AB$168&amp;" "&amp;Milestones!$AC$168&amp;";  ","")&amp;IF(AND(EDATE($D70,Milestones!$AA$169)&lt;=AsOfDate,IF($R70=0,$X70,IF(AND($T70&lt;&gt;"",EDATE($D70,Milestones!$AA$169)&gt;=$T70),$W70,IF(AND($S70&lt;&gt;"",EDATE($D70,Milestones!$AA$169)&gt;=$S70),$V70,$U70)))=Milestones!$AB$169),UPPER(TEXT(EDATE($D70,Milestones!$AA$169),"dd mmm yy"))&amp;" "&amp;Milestones!$AB$169&amp;" "&amp;Milestones!$AC$169&amp;";  ","")&amp;IF(AND(EDATE($D70,Milestones!$AA$170)&lt;=AsOfDate,IF($R70=0,$X70,IF(AND($T70&lt;&gt;"",EDATE($D70,Milestones!$AA$170)&gt;=$T70),$W70,IF(AND($S70&lt;&gt;"",EDATE($D70,Milestones!$AA$170)&gt;=$S70),$V70,$U70)))=Milestones!$AB$170),UPPER(TEXT(EDATE($D70,Milestones!$AA$170),"dd mmm yy"))&amp;" "&amp;Milestones!$AB$170&amp;" "&amp;Milestones!$AC$170&amp;";  ","")&amp;IF(AND(EDATE($D70,Milestones!$AA$171)&lt;=AsOfDate,IF($R70=0,$X70,IF(AND($T70&lt;&gt;"",EDATE($D70,Milestones!$AA$171)&gt;=$T70),$W70,IF(AND($S70&lt;&gt;"",EDATE($D70,Milestones!$AA$171)&gt;=$S70),$V70,$U70)))=Milestones!$AB$171),UPPER(TEXT(EDATE($D70,Milestones!$AA$171),"dd mmm yy"))&amp;" "&amp;Milestones!$AB$171&amp;" "&amp;Milestones!$AC$171&amp;";  ","")&amp;IF(AND(EDATE($D70,Milestones!$AA$172)&lt;=AsOfDate,IF($R70=0,$X70,IF(AND($T70&lt;&gt;"",EDATE($D70,Milestones!$AA$172)&gt;=$T70),$W70,IF(AND($S70&lt;&gt;"",EDATE($D70,Milestones!$AA$172)&gt;=$S70),$V70,$U70)))=Milestones!$AB$172),UPPER(TEXT(EDATE($D70,Milestones!$AA$172),"dd mmm yy"))&amp;" "&amp;Milestones!$AB$172&amp;" "&amp;Milestones!$AC$172&amp;";  ","")&amp;IF(AND(EDATE($D70,Milestones!$AA$173)&lt;=AsOfDate,IF($R70=0,$X70,IF(AND($T70&lt;&gt;"",EDATE($D70,Milestones!$AA$173)&gt;=$T70),$W70,IF(AND($S70&lt;&gt;"",EDATE($D70,Milestones!$AA$173)&gt;=$S70),$V70,$U70)))=Milestones!$AB$173),UPPER(TEXT(EDATE($D70,Milestones!$AA$173),"dd mmm yy"))&amp;" "&amp;Milestones!$AB$173&amp;" "&amp;Milestones!$AC$173&amp;";  ","")&amp;IF(AND(EDATE($D70,Milestones!$AA$174)&lt;=AsOfDate,IF($R70=0,$X70,IF(AND($T70&lt;&gt;"",EDATE($D70,Milestones!$AA$174)&gt;=$T70),$W70,IF(AND($S70&lt;&gt;"",EDATE($D70,Milestones!$AA$174)&gt;=$S70),$V70,$U70)))=Milestones!$AB$174),UPPER(TEXT(EDATE($D70,Milestones!$AA$174),"dd mmm yy"))&amp;" "&amp;Milestones!$AB$174&amp;" "&amp;Milestones!$AC$174&amp;";  ","")&amp;IF(AND(EDATE($D70,Milestones!$AA$175)&lt;=AsOfDate,IF($R70=0,$X70,IF(AND($T70&lt;&gt;"",EDATE($D70,Milestones!$AA$175)&gt;=$T70),$W70,IF(AND($S70&lt;&gt;"",EDATE($D70,Milestones!$AA$175)&gt;=$S70),$V70,$U70)))=Milestones!$AB$175),UPPER(TEXT(EDATE($D70,Milestones!$AA$175),"dd mmm yy"))&amp;" "&amp;Milestones!$AB$175&amp;" "&amp;Milestones!$AC$175&amp;";  ","")&amp;IF(AND(EDATE($D70,Milestones!$AA$176)&lt;=AsOfDate,IF($R70=0,$X70,IF(AND($T70&lt;&gt;"",EDATE($D70,Milestones!$AA$176)&gt;=$T70),$W70,IF(AND($S70&lt;&gt;"",EDATE($D70,Milestones!$AA$176)&gt;=$S70),$V70,$U70)))=Milestones!$AB$176),UPPER(TEXT(EDATE($D70,Milestones!$AA$176),"dd mmm yy"))&amp;" "&amp;Milestones!$AB$176&amp;" "&amp;Milestones!$AC$176&amp;";  ","")&amp;IF(AND(EDATE($D70,Milestones!$AA$177)&lt;=AsOfDate,IF($R70=0,$X70,IF(AND($T70&lt;&gt;"",EDATE($D70,Milestones!$AA$177)&gt;=$T70),$W70,IF(AND($S70&lt;&gt;"",EDATE($D70,Milestones!$AA$177)&gt;=$S70),$V70,$U70)))=Milestones!$AB$177),UPPER(TEXT(EDATE($D70,Milestones!$AA$177),"dd mmm yy"))&amp;" "&amp;Milestones!$AB$177&amp;" "&amp;Milestones!$AC$177&amp;";  ","")&amp;IF(AND(EDATE($D70,Milestones!$AA$178)&lt;=AsOfDate,IF($R70=0,$X70,IF(AND($T70&lt;&gt;"",EDATE($D70,Milestones!$AA$178)&gt;=$T70),$W70,IF(AND($S70&lt;&gt;"",EDATE($D70,Milestones!$AA$178)&gt;=$S70),$V70,$U70)))=Milestones!$AB$178),UPPER(TEXT(EDATE($D70,Milestones!$AA$178),"dd mmm yy"))&amp;" "&amp;Milestones!$AB$178&amp;" "&amp;Milestones!$AC$178&amp;";  ","")&amp;IF(AND(EDATE($D70,Milestones!$AA$179)&lt;=AsOfDate,IF($R70=0,$X70,IF(AND($T70&lt;&gt;"",EDATE($D70,Milestones!$AA$179)&gt;=$T70),$W70,IF(AND($S70&lt;&gt;"",EDATE($D70,Milestones!$AA$179)&gt;=$S70),$V70,$U70)))=Milestones!$AB$179),UPPER(TEXT(EDATE($D70,Milestones!$AA$179),"dd mmm yy"))&amp;" "&amp;Milestones!$AB$179&amp;" "&amp;Milestones!$AC$179&amp;";  ",""))</f>
        <v/>
      </c>
      <c r="Q70" s="0" t="str">
        <f aca="false">IF(OR($A70="",$D70=""),"",IF(AND(EDATE($D70,Milestones!$AA$180)&lt;=AsOfDate,IF($R70=0,$X70,IF(AND($T70&lt;&gt;"",EDATE($D70,Milestones!$AA$180)&gt;=$T70),$W70,IF(AND($S70&lt;&gt;"",EDATE($D70,Milestones!$AA$180)&gt;=$S70),$V70,$U70)))=Milestones!$AB$180),UPPER(TEXT(EDATE($D70,Milestones!$AA$180),"dd mmm yy"))&amp;" "&amp;Milestones!$AB$180&amp;" "&amp;Milestones!$AC$180&amp;";  ","")&amp;IF(AND(EDATE($D70,Milestones!$AA$181)&lt;=AsOfDate,IF($R70=0,$X70,IF(AND($T70&lt;&gt;"",EDATE($D70,Milestones!$AA$181)&gt;=$T70),$W70,IF(AND($S70&lt;&gt;"",EDATE($D70,Milestones!$AA$181)&gt;=$S70),$V70,$U70)))=Milestones!$AB$181),UPPER(TEXT(EDATE($D70,Milestones!$AA$181),"dd mmm yy"))&amp;" "&amp;Milestones!$AB$181&amp;" "&amp;Milestones!$AC$181&amp;";  ","")&amp;IF(AND(EDATE($D70,Milestones!$AA$182)&lt;=AsOfDate,IF($R70=0,$X70,IF(AND($T70&lt;&gt;"",EDATE($D70,Milestones!$AA$182)&gt;=$T70),$W70,IF(AND($S70&lt;&gt;"",EDATE($D70,Milestones!$AA$182)&gt;=$S70),$V70,$U70)))=Milestones!$AB$182),UPPER(TEXT(EDATE($D70,Milestones!$AA$182),"dd mmm yy"))&amp;" "&amp;Milestones!$AB$182&amp;" "&amp;Milestones!$AC$182&amp;";  ","")&amp;IF(AND(EDATE($D70,Milestones!$AA$183)&lt;=AsOfDate,IF($R70=0,$X70,IF(AND($T70&lt;&gt;"",EDATE($D70,Milestones!$AA$183)&gt;=$T70),$W70,IF(AND($S70&lt;&gt;"",EDATE($D70,Milestones!$AA$183)&gt;=$S70),$V70,$U70)))=Milestones!$AB$183),UPPER(TEXT(EDATE($D70,Milestones!$AA$183),"dd mmm yy"))&amp;" "&amp;Milestones!$AB$183&amp;" "&amp;Milestones!$AC$183&amp;";  ","")&amp;IF(AND(EDATE($D70,Milestones!$AA$184)&lt;=AsOfDate,IF($R70=0,$X70,IF(AND($T70&lt;&gt;"",EDATE($D70,Milestones!$AA$184)&gt;=$T70),$W70,IF(AND($S70&lt;&gt;"",EDATE($D70,Milestones!$AA$184)&gt;=$S70),$V70,$U70)))=Milestones!$AB$184),UPPER(TEXT(EDATE($D70,Milestones!$AA$184),"dd mmm yy"))&amp;" "&amp;Milestones!$AB$184&amp;" "&amp;Milestones!$AC$184&amp;";  ","")&amp;IF(AND(EDATE($D70,Milestones!$AA$185)&lt;=AsOfDate,IF($R70=0,$X70,IF(AND($T70&lt;&gt;"",EDATE($D70,Milestones!$AA$185)&gt;=$T70),$W70,IF(AND($S70&lt;&gt;"",EDATE($D70,Milestones!$AA$185)&gt;=$S70),$V70,$U70)))=Milestones!$AB$185),UPPER(TEXT(EDATE($D70,Milestones!$AA$185),"dd mmm yy"))&amp;" "&amp;Milestones!$AB$185&amp;" "&amp;Milestones!$AC$185&amp;";  ","")&amp;IF(AND(EDATE($D70,Milestones!$AA$186)&lt;=AsOfDate,IF($R70=0,$X70,IF(AND($T70&lt;&gt;"",EDATE($D70,Milestones!$AA$186)&gt;=$T70),$W70,IF(AND($S70&lt;&gt;"",EDATE($D70,Milestones!$AA$186)&gt;=$S70),$V70,$U70)))=Milestones!$AB$186),UPPER(TEXT(EDATE($D70,Milestones!$AA$186),"dd mmm yy"))&amp;" "&amp;Milestones!$AB$186&amp;" "&amp;Milestones!$AC$186&amp;";  ","")&amp;IF(AND(EDATE($D70,Milestones!$AA$187)&lt;=AsOfDate,IF($R70=0,$X70,IF(AND($T70&lt;&gt;"",EDATE($D70,Milestones!$AA$187)&gt;=$T70),$W70,IF(AND($S70&lt;&gt;"",EDATE($D70,Milestones!$AA$187)&gt;=$S70),$V70,$U70)))=Milestones!$AB$187),UPPER(TEXT(EDATE($D70,Milestones!$AA$187),"dd mmm yy"))&amp;" "&amp;Milestones!$AB$187&amp;" "&amp;Milestones!$AC$187&amp;";  ","")&amp;IF(AND(EDATE($D70,Milestones!$AA$188)&lt;=AsOfDate,IF($R70=0,$X70,IF(AND($T70&lt;&gt;"",EDATE($D70,Milestones!$AA$188)&gt;=$T70),$W70,IF(AND($S70&lt;&gt;"",EDATE($D70,Milestones!$AA$188)&gt;=$S70),$V70,$U70)))=Milestones!$AB$188),UPPER(TEXT(EDATE($D70,Milestones!$AA$188),"dd mmm yy"))&amp;" "&amp;Milestones!$AB$188&amp;" "&amp;Milestones!$AC$188&amp;";  ","")&amp;IF(AND(EDATE($D70,Milestones!$AA$189)&lt;=AsOfDate,IF($R70=0,$X70,IF(AND($T70&lt;&gt;"",EDATE($D70,Milestones!$AA$189)&gt;=$T70),$W70,IF(AND($S70&lt;&gt;"",EDATE($D70,Milestones!$AA$189)&gt;=$S70),$V70,$U70)))=Milestones!$AB$189),UPPER(TEXT(EDATE($D70,Milestones!$AA$189),"dd mmm yy"))&amp;" "&amp;Milestones!$AB$189&amp;" "&amp;Milestones!$AC$189&amp;";  ","")&amp;IF(AND(EDATE($D70,Milestones!$AA$190)&lt;=AsOfDate,IF($R70=0,$X70,IF(AND($T70&lt;&gt;"",EDATE($D70,Milestones!$AA$190)&gt;=$T70),$W70,IF(AND($S70&lt;&gt;"",EDATE($D70,Milestones!$AA$190)&gt;=$S70),$V70,$U70)))=Milestones!$AB$190),UPPER(TEXT(EDATE($D70,Milestones!$AA$190),"dd mmm yy"))&amp;" "&amp;Milestones!$AB$190&amp;" "&amp;Milestones!$AC$190&amp;";  ","")&amp;IF(AND(EDATE($D70,Milestones!$AA$191)&lt;=AsOfDate,IF($R70=0,$X70,IF(AND($T70&lt;&gt;"",EDATE($D70,Milestones!$AA$191)&gt;=$T70),$W70,IF(AND($S70&lt;&gt;"",EDATE($D70,Milestones!$AA$191)&gt;=$S70),$V70,$U70)))=Milestones!$AB$191),UPPER(TEXT(EDATE($D70,Milestones!$AA$191),"dd mmm yy"))&amp;" "&amp;Milestones!$AB$191&amp;" "&amp;Milestones!$AC$191&amp;";  ","")&amp;IF(AND(EDATE($D70,Milestones!$AA$192)&lt;=AsOfDate,IF($R70=0,$X70,IF(AND($T70&lt;&gt;"",EDATE($D70,Milestones!$AA$192)&gt;=$T70),$W70,IF(AND($S70&lt;&gt;"",EDATE($D70,Milestones!$AA$192)&gt;=$S70),$V70,$U70)))=Milestones!$AB$192),UPPER(TEXT(EDATE($D70,Milestones!$AA$192),"dd mmm yy"))&amp;" "&amp;Milestones!$AB$192&amp;" "&amp;Milestones!$AC$192&amp;";  ","")&amp;IF(AND(EDATE($D70,Milestones!$AA$193)&lt;=AsOfDate,IF($R70=0,$X70,IF(AND($T70&lt;&gt;"",EDATE($D70,Milestones!$AA$193)&gt;=$T70),$W70,IF(AND($S70&lt;&gt;"",EDATE($D70,Milestones!$AA$193)&gt;=$S70),$V70,$U70)))=Milestones!$AB$193),UPPER(TEXT(EDATE($D70,Milestones!$AA$193),"dd mmm yy"))&amp;" "&amp;Milestones!$AB$193&amp;" "&amp;Milestones!$AC$193&amp;";  ","")&amp;IF(AND(EDATE($D70,Milestones!$AA$194)&lt;=AsOfDate,IF($R70=0,$X70,IF(AND($T70&lt;&gt;"",EDATE($D70,Milestones!$AA$194)&gt;=$T70),$W70,IF(AND($S70&lt;&gt;"",EDATE($D70,Milestones!$AA$194)&gt;=$S70),$V70,$U70)))=Milestones!$AB$194),UPPER(TEXT(EDATE($D70,Milestones!$AA$194),"dd mmm yy"))&amp;" "&amp;Milestones!$AB$194&amp;" "&amp;Milestones!$AC$194&amp;";  ","")&amp;IF(AND(EDATE($D70,Milestones!$AA$195)&lt;=AsOfDate,IF($R70=0,$X70,IF(AND($T70&lt;&gt;"",EDATE($D70,Milestones!$AA$195)&gt;=$T70),$W70,IF(AND($S70&lt;&gt;"",EDATE($D70,Milestones!$AA$195)&gt;=$S70),$V70,$U70)))=Milestones!$AB$195),UPPER(TEXT(EDATE($D70,Milestones!$AA$195),"dd mmm yy"))&amp;" "&amp;Milestones!$AB$195&amp;" "&amp;Milestones!$AC$195&amp;";  ","")&amp;IF(AND(EDATE($D70,Milestones!$AA$196)&lt;=AsOfDate,IF($R70=0,$X70,IF(AND($T70&lt;&gt;"",EDATE($D70,Milestones!$AA$196)&gt;=$T70),$W70,IF(AND($S70&lt;&gt;"",EDATE($D70,Milestones!$AA$196)&gt;=$S70),$V70,$U70)))=Milestones!$AB$196),UPPER(TEXT(EDATE($D70,Milestones!$AA$196),"dd mmm yy"))&amp;" "&amp;Milestones!$AB$196&amp;" "&amp;Milestones!$AC$196&amp;";  ","")&amp;IF(AND(EDATE($D70,Milestones!$AA$197)&lt;=AsOfDate,IF($R70=0,$X70,IF(AND($T70&lt;&gt;"",EDATE($D70,Milestones!$AA$197)&gt;=$T70),$W70,IF(AND($S70&lt;&gt;"",EDATE($D70,Milestones!$AA$197)&gt;=$S70),$V70,$U70)))=Milestones!$AB$197),UPPER(TEXT(EDATE($D70,Milestones!$AA$197),"dd mmm yy"))&amp;" "&amp;Milestones!$AB$197&amp;" "&amp;Milestones!$AC$197&amp;";  ","")&amp;IF(AND(EDATE($D70,Milestones!$AA$198)&lt;=AsOfDate,IF($R70=0,$X70,IF(AND($T70&lt;&gt;"",EDATE($D70,Milestones!$AA$198)&gt;=$T70),$W70,IF(AND($S70&lt;&gt;"",EDATE($D70,Milestones!$AA$198)&gt;=$S70),$V70,$U70)))=Milestones!$AB$198),UPPER(TEXT(EDATE($D70,Milestones!$AA$198),"dd mmm yy"))&amp;" "&amp;Milestones!$AB$198&amp;" "&amp;Milestones!$AC$198&amp;";  ","")&amp;IF(AND(EDATE($D70,Milestones!$AA$199)&lt;=AsOfDate,IF($R70=0,$X70,IF(AND($T70&lt;&gt;"",EDATE($D70,Milestones!$AA$199)&gt;=$T70),$W70,IF(AND($S70&lt;&gt;"",EDATE($D70,Milestones!$AA$199)&gt;=$S70),$V70,$U70)))=Milestones!$AB$199),UPPER(TEXT(EDATE($D70,Milestones!$AA$199),"dd mmm yy"))&amp;" "&amp;Milestones!$AB$199&amp;" "&amp;Milestones!$AC$199&amp;";  ",""))</f>
        <v/>
      </c>
      <c r="R70" s="33" t="n">
        <f aca="false">IF(Staff!$A70="","",Staff!$AI70)</f>
        <v>1</v>
      </c>
      <c r="S70" s="0" t="str">
        <f aca="false">IF(Staff!$A70="","",Staff!$AK70)</f>
        <v/>
      </c>
      <c r="T70" s="0" t="str">
        <f aca="false">IF(Staff!$A70="","",Staff!$AL70)</f>
        <v/>
      </c>
      <c r="U70" s="0" t="str">
        <f aca="false">IF(Staff!$A70="","",Staff!$AP70)</f>
        <v>PT</v>
      </c>
      <c r="V70" s="0" t="str">
        <f aca="false">IF(Staff!$A70="","",Staff!$AQ70)</f>
        <v/>
      </c>
      <c r="W70" s="0" t="str">
        <f aca="false">IF(Staff!$A70="","",Staff!$AR70)</f>
        <v/>
      </c>
      <c r="X70" s="0" t="str">
        <f aca="false">IF(Staff!$A70="","",Staff!$AS70)</f>
        <v>PT</v>
      </c>
    </row>
    <row r="71" customFormat="false" ht="23.85" hidden="false" customHeight="false" outlineLevel="0" collapsed="false">
      <c r="A71" s="19" t="str">
        <f aca="false">IF(Staff!$A71="","",Staff!$A71)</f>
        <v>Wade</v>
      </c>
      <c r="B71" s="19" t="str">
        <f aca="false">IF(Staff!$A71="","",Staff!$B71)</f>
        <v>TONNA</v>
      </c>
      <c r="C71" s="19" t="str">
        <f aca="false">IF(Staff!$A71="","",Staff!$C71)</f>
        <v>Full-Time</v>
      </c>
      <c r="D71" s="17" t="n">
        <f aca="false">IF(Staff!$A71="","",Staff!$AH71)</f>
        <v>43255</v>
      </c>
      <c r="E71" s="20" t="n">
        <f aca="false">IF(Staff!$A71="","",Staff!$O71)</f>
        <v>24</v>
      </c>
      <c r="F71" s="19" t="n">
        <f aca="false">IF(E71="","",E71*HoursPerDay)</f>
        <v>192</v>
      </c>
      <c r="G71" s="20" t="n">
        <f aca="false">IF(Staff!$A71="","",Staff!$AE71)</f>
        <v>0</v>
      </c>
      <c r="H71" s="32" t="str">
        <f aca="false">IF($A71="","",I71&amp;J71&amp;K71&amp;L71&amp;M71&amp;N71&amp;O71&amp;P71&amp;Q71)</f>
        <v>04 JUN 21 FT 1;  04 OCT 21 FT 1;  04 FEB 22 FT 1;  04 JUN 22 FT 1;  04 OCT 22 FT 1;  04 FEB 23 FT 1;  04 JUN 23 FT 2;  04 SEP 23 FT 1;  04 DEC 23 FT 1;  04 MAR 24 FT 1;  04 JUN 24 FT 2;  04 SEP 24 FT 1;  04 DEC 24 FT 1;  04 MAR 25 FT 1;  04 JUN 25 FT 2;  04 SEP 25 FT 1;  04 DEC 25 FT 1;  04 MAR 26 FT 1;  04 JUN 26 FT 2;  04 SEP 26 FT 1;  </v>
      </c>
      <c r="I71" s="0" t="str">
        <f aca="false">IF(OR($A71="",$D71=""),"",IF(AND(EDATE($D71,Milestones!$AA$20)&lt;=AsOfDate,IF($R71=0,$X71,IF(AND($T71&lt;&gt;"",EDATE($D71,Milestones!$AA$20)&gt;=$T71),$W71,IF(AND($S71&lt;&gt;"",EDATE($D71,Milestones!$AA$20)&gt;=$S71),$V71,$U71)))=Milestones!$AB$20),UPPER(TEXT(EDATE($D71,Milestones!$AA$20),"dd mmm yy"))&amp;" "&amp;Milestones!$AB$20&amp;" "&amp;Milestones!$AC$20&amp;";  ","")&amp;IF(AND(EDATE($D71,Milestones!$AA$21)&lt;=AsOfDate,IF($R71=0,$X71,IF(AND($T71&lt;&gt;"",EDATE($D71,Milestones!$AA$21)&gt;=$T71),$W71,IF(AND($S71&lt;&gt;"",EDATE($D71,Milestones!$AA$21)&gt;=$S71),$V71,$U71)))=Milestones!$AB$21),UPPER(TEXT(EDATE($D71,Milestones!$AA$21),"dd mmm yy"))&amp;" "&amp;Milestones!$AB$21&amp;" "&amp;Milestones!$AC$21&amp;";  ","")&amp;IF(AND(EDATE($D71,Milestones!$AA$22)&lt;=AsOfDate,IF($R71=0,$X71,IF(AND($T71&lt;&gt;"",EDATE($D71,Milestones!$AA$22)&gt;=$T71),$W71,IF(AND($S71&lt;&gt;"",EDATE($D71,Milestones!$AA$22)&gt;=$S71),$V71,$U71)))=Milestones!$AB$22),UPPER(TEXT(EDATE($D71,Milestones!$AA$22),"dd mmm yy"))&amp;" "&amp;Milestones!$AB$22&amp;" "&amp;Milestones!$AC$22&amp;";  ","")&amp;IF(AND(EDATE($D71,Milestones!$AA$23)&lt;=AsOfDate,IF($R71=0,$X71,IF(AND($T71&lt;&gt;"",EDATE($D71,Milestones!$AA$23)&gt;=$T71),$W71,IF(AND($S71&lt;&gt;"",EDATE($D71,Milestones!$AA$23)&gt;=$S71),$V71,$U71)))=Milestones!$AB$23),UPPER(TEXT(EDATE($D71,Milestones!$AA$23),"dd mmm yy"))&amp;" "&amp;Milestones!$AB$23&amp;" "&amp;Milestones!$AC$23&amp;";  ","")&amp;IF(AND(EDATE($D71,Milestones!$AA$24)&lt;=AsOfDate,IF($R71=0,$X71,IF(AND($T71&lt;&gt;"",EDATE($D71,Milestones!$AA$24)&gt;=$T71),$W71,IF(AND($S71&lt;&gt;"",EDATE($D71,Milestones!$AA$24)&gt;=$S71),$V71,$U71)))=Milestones!$AB$24),UPPER(TEXT(EDATE($D71,Milestones!$AA$24),"dd mmm yy"))&amp;" "&amp;Milestones!$AB$24&amp;" "&amp;Milestones!$AC$24&amp;";  ","")&amp;IF(AND(EDATE($D71,Milestones!$AA$25)&lt;=AsOfDate,IF($R71=0,$X71,IF(AND($T71&lt;&gt;"",EDATE($D71,Milestones!$AA$25)&gt;=$T71),$W71,IF(AND($S71&lt;&gt;"",EDATE($D71,Milestones!$AA$25)&gt;=$S71),$V71,$U71)))=Milestones!$AB$25),UPPER(TEXT(EDATE($D71,Milestones!$AA$25),"dd mmm yy"))&amp;" "&amp;Milestones!$AB$25&amp;" "&amp;Milestones!$AC$25&amp;";  ","")&amp;IF(AND(EDATE($D71,Milestones!$AA$26)&lt;=AsOfDate,IF($R71=0,$X71,IF(AND($T71&lt;&gt;"",EDATE($D71,Milestones!$AA$26)&gt;=$T71),$W71,IF(AND($S71&lt;&gt;"",EDATE($D71,Milestones!$AA$26)&gt;=$S71),$V71,$U71)))=Milestones!$AB$26),UPPER(TEXT(EDATE($D71,Milestones!$AA$26),"dd mmm yy"))&amp;" "&amp;Milestones!$AB$26&amp;" "&amp;Milestones!$AC$26&amp;";  ","")&amp;IF(AND(EDATE($D71,Milestones!$AA$27)&lt;=AsOfDate,IF($R71=0,$X71,IF(AND($T71&lt;&gt;"",EDATE($D71,Milestones!$AA$27)&gt;=$T71),$W71,IF(AND($S71&lt;&gt;"",EDATE($D71,Milestones!$AA$27)&gt;=$S71),$V71,$U71)))=Milestones!$AB$27),UPPER(TEXT(EDATE($D71,Milestones!$AA$27),"dd mmm yy"))&amp;" "&amp;Milestones!$AB$27&amp;" "&amp;Milestones!$AC$27&amp;";  ","")&amp;IF(AND(EDATE($D71,Milestones!$AA$28)&lt;=AsOfDate,IF($R71=0,$X71,IF(AND($T71&lt;&gt;"",EDATE($D71,Milestones!$AA$28)&gt;=$T71),$W71,IF(AND($S71&lt;&gt;"",EDATE($D71,Milestones!$AA$28)&gt;=$S71),$V71,$U71)))=Milestones!$AB$28),UPPER(TEXT(EDATE($D71,Milestones!$AA$28),"dd mmm yy"))&amp;" "&amp;Milestones!$AB$28&amp;" "&amp;Milestones!$AC$28&amp;";  ","")&amp;IF(AND(EDATE($D71,Milestones!$AA$29)&lt;=AsOfDate,IF($R71=0,$X71,IF(AND($T71&lt;&gt;"",EDATE($D71,Milestones!$AA$29)&gt;=$T71),$W71,IF(AND($S71&lt;&gt;"",EDATE($D71,Milestones!$AA$29)&gt;=$S71),$V71,$U71)))=Milestones!$AB$29),UPPER(TEXT(EDATE($D71,Milestones!$AA$29),"dd mmm yy"))&amp;" "&amp;Milestones!$AB$29&amp;" "&amp;Milestones!$AC$29&amp;";  ","")&amp;IF(AND(EDATE($D71,Milestones!$AA$30)&lt;=AsOfDate,IF($R71=0,$X71,IF(AND($T71&lt;&gt;"",EDATE($D71,Milestones!$AA$30)&gt;=$T71),$W71,IF(AND($S71&lt;&gt;"",EDATE($D71,Milestones!$AA$30)&gt;=$S71),$V71,$U71)))=Milestones!$AB$30),UPPER(TEXT(EDATE($D71,Milestones!$AA$30),"dd mmm yy"))&amp;" "&amp;Milestones!$AB$30&amp;" "&amp;Milestones!$AC$30&amp;";  ","")&amp;IF(AND(EDATE($D71,Milestones!$AA$31)&lt;=AsOfDate,IF($R71=0,$X71,IF(AND($T71&lt;&gt;"",EDATE($D71,Milestones!$AA$31)&gt;=$T71),$W71,IF(AND($S71&lt;&gt;"",EDATE($D71,Milestones!$AA$31)&gt;=$S71),$V71,$U71)))=Milestones!$AB$31),UPPER(TEXT(EDATE($D71,Milestones!$AA$31),"dd mmm yy"))&amp;" "&amp;Milestones!$AB$31&amp;" "&amp;Milestones!$AC$31&amp;";  ","")&amp;IF(AND(EDATE($D71,Milestones!$AA$32)&lt;=AsOfDate,IF($R71=0,$X71,IF(AND($T71&lt;&gt;"",EDATE($D71,Milestones!$AA$32)&gt;=$T71),$W71,IF(AND($S71&lt;&gt;"",EDATE($D71,Milestones!$AA$32)&gt;=$S71),$V71,$U71)))=Milestones!$AB$32),UPPER(TEXT(EDATE($D71,Milestones!$AA$32),"dd mmm yy"))&amp;" "&amp;Milestones!$AB$32&amp;" "&amp;Milestones!$AC$32&amp;";  ","")&amp;IF(AND(EDATE($D71,Milestones!$AA$33)&lt;=AsOfDate,IF($R71=0,$X71,IF(AND($T71&lt;&gt;"",EDATE($D71,Milestones!$AA$33)&gt;=$T71),$W71,IF(AND($S71&lt;&gt;"",EDATE($D71,Milestones!$AA$33)&gt;=$S71),$V71,$U71)))=Milestones!$AB$33),UPPER(TEXT(EDATE($D71,Milestones!$AA$33),"dd mmm yy"))&amp;" "&amp;Milestones!$AB$33&amp;" "&amp;Milestones!$AC$33&amp;";  ","")&amp;IF(AND(EDATE($D71,Milestones!$AA$34)&lt;=AsOfDate,IF($R71=0,$X71,IF(AND($T71&lt;&gt;"",EDATE($D71,Milestones!$AA$34)&gt;=$T71),$W71,IF(AND($S71&lt;&gt;"",EDATE($D71,Milestones!$AA$34)&gt;=$S71),$V71,$U71)))=Milestones!$AB$34),UPPER(TEXT(EDATE($D71,Milestones!$AA$34),"dd mmm yy"))&amp;" "&amp;Milestones!$AB$34&amp;" "&amp;Milestones!$AC$34&amp;";  ","")&amp;IF(AND(EDATE($D71,Milestones!$AA$35)&lt;=AsOfDate,IF($R71=0,$X71,IF(AND($T71&lt;&gt;"",EDATE($D71,Milestones!$AA$35)&gt;=$T71),$W71,IF(AND($S71&lt;&gt;"",EDATE($D71,Milestones!$AA$35)&gt;=$S71),$V71,$U71)))=Milestones!$AB$35),UPPER(TEXT(EDATE($D71,Milestones!$AA$35),"dd mmm yy"))&amp;" "&amp;Milestones!$AB$35&amp;" "&amp;Milestones!$AC$35&amp;";  ","")&amp;IF(AND(EDATE($D71,Milestones!$AA$36)&lt;=AsOfDate,IF($R71=0,$X71,IF(AND($T71&lt;&gt;"",EDATE($D71,Milestones!$AA$36)&gt;=$T71),$W71,IF(AND($S71&lt;&gt;"",EDATE($D71,Milestones!$AA$36)&gt;=$S71),$V71,$U71)))=Milestones!$AB$36),UPPER(TEXT(EDATE($D71,Milestones!$AA$36),"dd mmm yy"))&amp;" "&amp;Milestones!$AB$36&amp;" "&amp;Milestones!$AC$36&amp;";  ","")&amp;IF(AND(EDATE($D71,Milestones!$AA$37)&lt;=AsOfDate,IF($R71=0,$X71,IF(AND($T71&lt;&gt;"",EDATE($D71,Milestones!$AA$37)&gt;=$T71),$W71,IF(AND($S71&lt;&gt;"",EDATE($D71,Milestones!$AA$37)&gt;=$S71),$V71,$U71)))=Milestones!$AB$37),UPPER(TEXT(EDATE($D71,Milestones!$AA$37),"dd mmm yy"))&amp;" "&amp;Milestones!$AB$37&amp;" "&amp;Milestones!$AC$37&amp;";  ","")&amp;IF(AND(EDATE($D71,Milestones!$AA$38)&lt;=AsOfDate,IF($R71=0,$X71,IF(AND($T71&lt;&gt;"",EDATE($D71,Milestones!$AA$38)&gt;=$T71),$W71,IF(AND($S71&lt;&gt;"",EDATE($D71,Milestones!$AA$38)&gt;=$S71),$V71,$U71)))=Milestones!$AB$38),UPPER(TEXT(EDATE($D71,Milestones!$AA$38),"dd mmm yy"))&amp;" "&amp;Milestones!$AB$38&amp;" "&amp;Milestones!$AC$38&amp;";  ","")&amp;IF(AND(EDATE($D71,Milestones!$AA$39)&lt;=AsOfDate,IF($R71=0,$X71,IF(AND($T71&lt;&gt;"",EDATE($D71,Milestones!$AA$39)&gt;=$T71),$W71,IF(AND($S71&lt;&gt;"",EDATE($D71,Milestones!$AA$39)&gt;=$S71),$V71,$U71)))=Milestones!$AB$39),UPPER(TEXT(EDATE($D71,Milestones!$AA$39),"dd mmm yy"))&amp;" "&amp;Milestones!$AB$39&amp;" "&amp;Milestones!$AC$39&amp;";  ",""))</f>
        <v>04 JUN 21 FT 1;  04 OCT 21 FT 1;  04 FEB 22 FT 1;  04 JUN 22 FT 1;  04 OCT 22 FT 1;  04 FEB 23 FT 1;  04 JUN 23 FT 2;  04 SEP 23 FT 1;  04 DEC 23 FT 1;  04 MAR 24 FT 1;  04 JUN 24 FT 2;  04 SEP 24 FT 1;  04 DEC 24 FT 1;  04 MAR 25 FT 1;  </v>
      </c>
      <c r="J71" s="0" t="str">
        <f aca="false">IF(OR($A71="",$D71=""),"",IF(AND(EDATE($D71,Milestones!$AA$40)&lt;=AsOfDate,IF($R71=0,$X71,IF(AND($T71&lt;&gt;"",EDATE($D71,Milestones!$AA$40)&gt;=$T71),$W71,IF(AND($S71&lt;&gt;"",EDATE($D71,Milestones!$AA$40)&gt;=$S71),$V71,$U71)))=Milestones!$AB$40),UPPER(TEXT(EDATE($D71,Milestones!$AA$40),"dd mmm yy"))&amp;" "&amp;Milestones!$AB$40&amp;" "&amp;Milestones!$AC$40&amp;";  ","")&amp;IF(AND(EDATE($D71,Milestones!$AA$41)&lt;=AsOfDate,IF($R71=0,$X71,IF(AND($T71&lt;&gt;"",EDATE($D71,Milestones!$AA$41)&gt;=$T71),$W71,IF(AND($S71&lt;&gt;"",EDATE($D71,Milestones!$AA$41)&gt;=$S71),$V71,$U71)))=Milestones!$AB$41),UPPER(TEXT(EDATE($D71,Milestones!$AA$41),"dd mmm yy"))&amp;" "&amp;Milestones!$AB$41&amp;" "&amp;Milestones!$AC$41&amp;";  ","")&amp;IF(AND(EDATE($D71,Milestones!$AA$42)&lt;=AsOfDate,IF($R71=0,$X71,IF(AND($T71&lt;&gt;"",EDATE($D71,Milestones!$AA$42)&gt;=$T71),$W71,IF(AND($S71&lt;&gt;"",EDATE($D71,Milestones!$AA$42)&gt;=$S71),$V71,$U71)))=Milestones!$AB$42),UPPER(TEXT(EDATE($D71,Milestones!$AA$42),"dd mmm yy"))&amp;" "&amp;Milestones!$AB$42&amp;" "&amp;Milestones!$AC$42&amp;";  ","")&amp;IF(AND(EDATE($D71,Milestones!$AA$43)&lt;=AsOfDate,IF($R71=0,$X71,IF(AND($T71&lt;&gt;"",EDATE($D71,Milestones!$AA$43)&gt;=$T71),$W71,IF(AND($S71&lt;&gt;"",EDATE($D71,Milestones!$AA$43)&gt;=$S71),$V71,$U71)))=Milestones!$AB$43),UPPER(TEXT(EDATE($D71,Milestones!$AA$43),"dd mmm yy"))&amp;" "&amp;Milestones!$AB$43&amp;" "&amp;Milestones!$AC$43&amp;";  ","")&amp;IF(AND(EDATE($D71,Milestones!$AA$44)&lt;=AsOfDate,IF($R71=0,$X71,IF(AND($T71&lt;&gt;"",EDATE($D71,Milestones!$AA$44)&gt;=$T71),$W71,IF(AND($S71&lt;&gt;"",EDATE($D71,Milestones!$AA$44)&gt;=$S71),$V71,$U71)))=Milestones!$AB$44),UPPER(TEXT(EDATE($D71,Milestones!$AA$44),"dd mmm yy"))&amp;" "&amp;Milestones!$AB$44&amp;" "&amp;Milestones!$AC$44&amp;";  ","")&amp;IF(AND(EDATE($D71,Milestones!$AA$45)&lt;=AsOfDate,IF($R71=0,$X71,IF(AND($T71&lt;&gt;"",EDATE($D71,Milestones!$AA$45)&gt;=$T71),$W71,IF(AND($S71&lt;&gt;"",EDATE($D71,Milestones!$AA$45)&gt;=$S71),$V71,$U71)))=Milestones!$AB$45),UPPER(TEXT(EDATE($D71,Milestones!$AA$45),"dd mmm yy"))&amp;" "&amp;Milestones!$AB$45&amp;" "&amp;Milestones!$AC$45&amp;";  ","")&amp;IF(AND(EDATE($D71,Milestones!$AA$46)&lt;=AsOfDate,IF($R71=0,$X71,IF(AND($T71&lt;&gt;"",EDATE($D71,Milestones!$AA$46)&gt;=$T71),$W71,IF(AND($S71&lt;&gt;"",EDATE($D71,Milestones!$AA$46)&gt;=$S71),$V71,$U71)))=Milestones!$AB$46),UPPER(TEXT(EDATE($D71,Milestones!$AA$46),"dd mmm yy"))&amp;" "&amp;Milestones!$AB$46&amp;" "&amp;Milestones!$AC$46&amp;";  ","")&amp;IF(AND(EDATE($D71,Milestones!$AA$47)&lt;=AsOfDate,IF($R71=0,$X71,IF(AND($T71&lt;&gt;"",EDATE($D71,Milestones!$AA$47)&gt;=$T71),$W71,IF(AND($S71&lt;&gt;"",EDATE($D71,Milestones!$AA$47)&gt;=$S71),$V71,$U71)))=Milestones!$AB$47),UPPER(TEXT(EDATE($D71,Milestones!$AA$47),"dd mmm yy"))&amp;" "&amp;Milestones!$AB$47&amp;" "&amp;Milestones!$AC$47&amp;";  ","")&amp;IF(AND(EDATE($D71,Milestones!$AA$48)&lt;=AsOfDate,IF($R71=0,$X71,IF(AND($T71&lt;&gt;"",EDATE($D71,Milestones!$AA$48)&gt;=$T71),$W71,IF(AND($S71&lt;&gt;"",EDATE($D71,Milestones!$AA$48)&gt;=$S71),$V71,$U71)))=Milestones!$AB$48),UPPER(TEXT(EDATE($D71,Milestones!$AA$48),"dd mmm yy"))&amp;" "&amp;Milestones!$AB$48&amp;" "&amp;Milestones!$AC$48&amp;";  ","")&amp;IF(AND(EDATE($D71,Milestones!$AA$49)&lt;=AsOfDate,IF($R71=0,$X71,IF(AND($T71&lt;&gt;"",EDATE($D71,Milestones!$AA$49)&gt;=$T71),$W71,IF(AND($S71&lt;&gt;"",EDATE($D71,Milestones!$AA$49)&gt;=$S71),$V71,$U71)))=Milestones!$AB$49),UPPER(TEXT(EDATE($D71,Milestones!$AA$49),"dd mmm yy"))&amp;" "&amp;Milestones!$AB$49&amp;" "&amp;Milestones!$AC$49&amp;";  ","")&amp;IF(AND(EDATE($D71,Milestones!$AA$50)&lt;=AsOfDate,IF($R71=0,$X71,IF(AND($T71&lt;&gt;"",EDATE($D71,Milestones!$AA$50)&gt;=$T71),$W71,IF(AND($S71&lt;&gt;"",EDATE($D71,Milestones!$AA$50)&gt;=$S71),$V71,$U71)))=Milestones!$AB$50),UPPER(TEXT(EDATE($D71,Milestones!$AA$50),"dd mmm yy"))&amp;" "&amp;Milestones!$AB$50&amp;" "&amp;Milestones!$AC$50&amp;";  ","")&amp;IF(AND(EDATE($D71,Milestones!$AA$51)&lt;=AsOfDate,IF($R71=0,$X71,IF(AND($T71&lt;&gt;"",EDATE($D71,Milestones!$AA$51)&gt;=$T71),$W71,IF(AND($S71&lt;&gt;"",EDATE($D71,Milestones!$AA$51)&gt;=$S71),$V71,$U71)))=Milestones!$AB$51),UPPER(TEXT(EDATE($D71,Milestones!$AA$51),"dd mmm yy"))&amp;" "&amp;Milestones!$AB$51&amp;" "&amp;Milestones!$AC$51&amp;";  ","")&amp;IF(AND(EDATE($D71,Milestones!$AA$52)&lt;=AsOfDate,IF($R71=0,$X71,IF(AND($T71&lt;&gt;"",EDATE($D71,Milestones!$AA$52)&gt;=$T71),$W71,IF(AND($S71&lt;&gt;"",EDATE($D71,Milestones!$AA$52)&gt;=$S71),$V71,$U71)))=Milestones!$AB$52),UPPER(TEXT(EDATE($D71,Milestones!$AA$52),"dd mmm yy"))&amp;" "&amp;Milestones!$AB$52&amp;" "&amp;Milestones!$AC$52&amp;";  ","")&amp;IF(AND(EDATE($D71,Milestones!$AA$53)&lt;=AsOfDate,IF($R71=0,$X71,IF(AND($T71&lt;&gt;"",EDATE($D71,Milestones!$AA$53)&gt;=$T71),$W71,IF(AND($S71&lt;&gt;"",EDATE($D71,Milestones!$AA$53)&gt;=$S71),$V71,$U71)))=Milestones!$AB$53),UPPER(TEXT(EDATE($D71,Milestones!$AA$53),"dd mmm yy"))&amp;" "&amp;Milestones!$AB$53&amp;" "&amp;Milestones!$AC$53&amp;";  ","")&amp;IF(AND(EDATE($D71,Milestones!$AA$54)&lt;=AsOfDate,IF($R71=0,$X71,IF(AND($T71&lt;&gt;"",EDATE($D71,Milestones!$AA$54)&gt;=$T71),$W71,IF(AND($S71&lt;&gt;"",EDATE($D71,Milestones!$AA$54)&gt;=$S71),$V71,$U71)))=Milestones!$AB$54),UPPER(TEXT(EDATE($D71,Milestones!$AA$54),"dd mmm yy"))&amp;" "&amp;Milestones!$AB$54&amp;" "&amp;Milestones!$AC$54&amp;";  ","")&amp;IF(AND(EDATE($D71,Milestones!$AA$55)&lt;=AsOfDate,IF($R71=0,$X71,IF(AND($T71&lt;&gt;"",EDATE($D71,Milestones!$AA$55)&gt;=$T71),$W71,IF(AND($S71&lt;&gt;"",EDATE($D71,Milestones!$AA$55)&gt;=$S71),$V71,$U71)))=Milestones!$AB$55),UPPER(TEXT(EDATE($D71,Milestones!$AA$55),"dd mmm yy"))&amp;" "&amp;Milestones!$AB$55&amp;" "&amp;Milestones!$AC$55&amp;";  ","")&amp;IF(AND(EDATE($D71,Milestones!$AA$56)&lt;=AsOfDate,IF($R71=0,$X71,IF(AND($T71&lt;&gt;"",EDATE($D71,Milestones!$AA$56)&gt;=$T71),$W71,IF(AND($S71&lt;&gt;"",EDATE($D71,Milestones!$AA$56)&gt;=$S71),$V71,$U71)))=Milestones!$AB$56),UPPER(TEXT(EDATE($D71,Milestones!$AA$56),"dd mmm yy"))&amp;" "&amp;Milestones!$AB$56&amp;" "&amp;Milestones!$AC$56&amp;";  ","")&amp;IF(AND(EDATE($D71,Milestones!$AA$57)&lt;=AsOfDate,IF($R71=0,$X71,IF(AND($T71&lt;&gt;"",EDATE($D71,Milestones!$AA$57)&gt;=$T71),$W71,IF(AND($S71&lt;&gt;"",EDATE($D71,Milestones!$AA$57)&gt;=$S71),$V71,$U71)))=Milestones!$AB$57),UPPER(TEXT(EDATE($D71,Milestones!$AA$57),"dd mmm yy"))&amp;" "&amp;Milestones!$AB$57&amp;" "&amp;Milestones!$AC$57&amp;";  ","")&amp;IF(AND(EDATE($D71,Milestones!$AA$58)&lt;=AsOfDate,IF($R71=0,$X71,IF(AND($T71&lt;&gt;"",EDATE($D71,Milestones!$AA$58)&gt;=$T71),$W71,IF(AND($S71&lt;&gt;"",EDATE($D71,Milestones!$AA$58)&gt;=$S71),$V71,$U71)))=Milestones!$AB$58),UPPER(TEXT(EDATE($D71,Milestones!$AA$58),"dd mmm yy"))&amp;" "&amp;Milestones!$AB$58&amp;" "&amp;Milestones!$AC$58&amp;";  ","")&amp;IF(AND(EDATE($D71,Milestones!$AA$59)&lt;=AsOfDate,IF($R71=0,$X71,IF(AND($T71&lt;&gt;"",EDATE($D71,Milestones!$AA$59)&gt;=$T71),$W71,IF(AND($S71&lt;&gt;"",EDATE($D71,Milestones!$AA$59)&gt;=$S71),$V71,$U71)))=Milestones!$AB$59),UPPER(TEXT(EDATE($D71,Milestones!$AA$59),"dd mmm yy"))&amp;" "&amp;Milestones!$AB$59&amp;" "&amp;Milestones!$AC$59&amp;";  ",""))</f>
        <v>04 JUN 25 FT 2;  04 SEP 25 FT 1;  04 DEC 25 FT 1;  04 MAR 26 FT 1;  04 JUN 26 FT 2;  04 SEP 26 FT 1;  </v>
      </c>
      <c r="K71" s="0" t="str">
        <f aca="false">IF(OR($A71="",$D71=""),"",IF(AND(EDATE($D71,Milestones!$AA$60)&lt;=AsOfDate,IF($R71=0,$X71,IF(AND($T71&lt;&gt;"",EDATE($D71,Milestones!$AA$60)&gt;=$T71),$W71,IF(AND($S71&lt;&gt;"",EDATE($D71,Milestones!$AA$60)&gt;=$S71),$V71,$U71)))=Milestones!$AB$60),UPPER(TEXT(EDATE($D71,Milestones!$AA$60),"dd mmm yy"))&amp;" "&amp;Milestones!$AB$60&amp;" "&amp;Milestones!$AC$60&amp;";  ","")&amp;IF(AND(EDATE($D71,Milestones!$AA$61)&lt;=AsOfDate,IF($R71=0,$X71,IF(AND($T71&lt;&gt;"",EDATE($D71,Milestones!$AA$61)&gt;=$T71),$W71,IF(AND($S71&lt;&gt;"",EDATE($D71,Milestones!$AA$61)&gt;=$S71),$V71,$U71)))=Milestones!$AB$61),UPPER(TEXT(EDATE($D71,Milestones!$AA$61),"dd mmm yy"))&amp;" "&amp;Milestones!$AB$61&amp;" "&amp;Milestones!$AC$61&amp;";  ","")&amp;IF(AND(EDATE($D71,Milestones!$AA$62)&lt;=AsOfDate,IF($R71=0,$X71,IF(AND($T71&lt;&gt;"",EDATE($D71,Milestones!$AA$62)&gt;=$T71),$W71,IF(AND($S71&lt;&gt;"",EDATE($D71,Milestones!$AA$62)&gt;=$S71),$V71,$U71)))=Milestones!$AB$62),UPPER(TEXT(EDATE($D71,Milestones!$AA$62),"dd mmm yy"))&amp;" "&amp;Milestones!$AB$62&amp;" "&amp;Milestones!$AC$62&amp;";  ","")&amp;IF(AND(EDATE($D71,Milestones!$AA$63)&lt;=AsOfDate,IF($R71=0,$X71,IF(AND($T71&lt;&gt;"",EDATE($D71,Milestones!$AA$63)&gt;=$T71),$W71,IF(AND($S71&lt;&gt;"",EDATE($D71,Milestones!$AA$63)&gt;=$S71),$V71,$U71)))=Milestones!$AB$63),UPPER(TEXT(EDATE($D71,Milestones!$AA$63),"dd mmm yy"))&amp;" "&amp;Milestones!$AB$63&amp;" "&amp;Milestones!$AC$63&amp;";  ","")&amp;IF(AND(EDATE($D71,Milestones!$AA$64)&lt;=AsOfDate,IF($R71=0,$X71,IF(AND($T71&lt;&gt;"",EDATE($D71,Milestones!$AA$64)&gt;=$T71),$W71,IF(AND($S71&lt;&gt;"",EDATE($D71,Milestones!$AA$64)&gt;=$S71),$V71,$U71)))=Milestones!$AB$64),UPPER(TEXT(EDATE($D71,Milestones!$AA$64),"dd mmm yy"))&amp;" "&amp;Milestones!$AB$64&amp;" "&amp;Milestones!$AC$64&amp;";  ","")&amp;IF(AND(EDATE($D71,Milestones!$AA$65)&lt;=AsOfDate,IF($R71=0,$X71,IF(AND($T71&lt;&gt;"",EDATE($D71,Milestones!$AA$65)&gt;=$T71),$W71,IF(AND($S71&lt;&gt;"",EDATE($D71,Milestones!$AA$65)&gt;=$S71),$V71,$U71)))=Milestones!$AB$65),UPPER(TEXT(EDATE($D71,Milestones!$AA$65),"dd mmm yy"))&amp;" "&amp;Milestones!$AB$65&amp;" "&amp;Milestones!$AC$65&amp;";  ","")&amp;IF(AND(EDATE($D71,Milestones!$AA$66)&lt;=AsOfDate,IF($R71=0,$X71,IF(AND($T71&lt;&gt;"",EDATE($D71,Milestones!$AA$66)&gt;=$T71),$W71,IF(AND($S71&lt;&gt;"",EDATE($D71,Milestones!$AA$66)&gt;=$S71),$V71,$U71)))=Milestones!$AB$66),UPPER(TEXT(EDATE($D71,Milestones!$AA$66),"dd mmm yy"))&amp;" "&amp;Milestones!$AB$66&amp;" "&amp;Milestones!$AC$66&amp;";  ","")&amp;IF(AND(EDATE($D71,Milestones!$AA$67)&lt;=AsOfDate,IF($R71=0,$X71,IF(AND($T71&lt;&gt;"",EDATE($D71,Milestones!$AA$67)&gt;=$T71),$W71,IF(AND($S71&lt;&gt;"",EDATE($D71,Milestones!$AA$67)&gt;=$S71),$V71,$U71)))=Milestones!$AB$67),UPPER(TEXT(EDATE($D71,Milestones!$AA$67),"dd mmm yy"))&amp;" "&amp;Milestones!$AB$67&amp;" "&amp;Milestones!$AC$67&amp;";  ","")&amp;IF(AND(EDATE($D71,Milestones!$AA$68)&lt;=AsOfDate,IF($R71=0,$X71,IF(AND($T71&lt;&gt;"",EDATE($D71,Milestones!$AA$68)&gt;=$T71),$W71,IF(AND($S71&lt;&gt;"",EDATE($D71,Milestones!$AA$68)&gt;=$S71),$V71,$U71)))=Milestones!$AB$68),UPPER(TEXT(EDATE($D71,Milestones!$AA$68),"dd mmm yy"))&amp;" "&amp;Milestones!$AB$68&amp;" "&amp;Milestones!$AC$68&amp;";  ","")&amp;IF(AND(EDATE($D71,Milestones!$AA$69)&lt;=AsOfDate,IF($R71=0,$X71,IF(AND($T71&lt;&gt;"",EDATE($D71,Milestones!$AA$69)&gt;=$T71),$W71,IF(AND($S71&lt;&gt;"",EDATE($D71,Milestones!$AA$69)&gt;=$S71),$V71,$U71)))=Milestones!$AB$69),UPPER(TEXT(EDATE($D71,Milestones!$AA$69),"dd mmm yy"))&amp;" "&amp;Milestones!$AB$69&amp;" "&amp;Milestones!$AC$69&amp;";  ","")&amp;IF(AND(EDATE($D71,Milestones!$AA$70)&lt;=AsOfDate,IF($R71=0,$X71,IF(AND($T71&lt;&gt;"",EDATE($D71,Milestones!$AA$70)&gt;=$T71),$W71,IF(AND($S71&lt;&gt;"",EDATE($D71,Milestones!$AA$70)&gt;=$S71),$V71,$U71)))=Milestones!$AB$70),UPPER(TEXT(EDATE($D71,Milestones!$AA$70),"dd mmm yy"))&amp;" "&amp;Milestones!$AB$70&amp;" "&amp;Milestones!$AC$70&amp;";  ","")&amp;IF(AND(EDATE($D71,Milestones!$AA$71)&lt;=AsOfDate,IF($R71=0,$X71,IF(AND($T71&lt;&gt;"",EDATE($D71,Milestones!$AA$71)&gt;=$T71),$W71,IF(AND($S71&lt;&gt;"",EDATE($D71,Milestones!$AA$71)&gt;=$S71),$V71,$U71)))=Milestones!$AB$71),UPPER(TEXT(EDATE($D71,Milestones!$AA$71),"dd mmm yy"))&amp;" "&amp;Milestones!$AB$71&amp;" "&amp;Milestones!$AC$71&amp;";  ","")&amp;IF(AND(EDATE($D71,Milestones!$AA$72)&lt;=AsOfDate,IF($R71=0,$X71,IF(AND($T71&lt;&gt;"",EDATE($D71,Milestones!$AA$72)&gt;=$T71),$W71,IF(AND($S71&lt;&gt;"",EDATE($D71,Milestones!$AA$72)&gt;=$S71),$V71,$U71)))=Milestones!$AB$72),UPPER(TEXT(EDATE($D71,Milestones!$AA$72),"dd mmm yy"))&amp;" "&amp;Milestones!$AB$72&amp;" "&amp;Milestones!$AC$72&amp;";  ","")&amp;IF(AND(EDATE($D71,Milestones!$AA$73)&lt;=AsOfDate,IF($R71=0,$X71,IF(AND($T71&lt;&gt;"",EDATE($D71,Milestones!$AA$73)&gt;=$T71),$W71,IF(AND($S71&lt;&gt;"",EDATE($D71,Milestones!$AA$73)&gt;=$S71),$V71,$U71)))=Milestones!$AB$73),UPPER(TEXT(EDATE($D71,Milestones!$AA$73),"dd mmm yy"))&amp;" "&amp;Milestones!$AB$73&amp;" "&amp;Milestones!$AC$73&amp;";  ","")&amp;IF(AND(EDATE($D71,Milestones!$AA$74)&lt;=AsOfDate,IF($R71=0,$X71,IF(AND($T71&lt;&gt;"",EDATE($D71,Milestones!$AA$74)&gt;=$T71),$W71,IF(AND($S71&lt;&gt;"",EDATE($D71,Milestones!$AA$74)&gt;=$S71),$V71,$U71)))=Milestones!$AB$74),UPPER(TEXT(EDATE($D71,Milestones!$AA$74),"dd mmm yy"))&amp;" "&amp;Milestones!$AB$74&amp;" "&amp;Milestones!$AC$74&amp;";  ","")&amp;IF(AND(EDATE($D71,Milestones!$AA$75)&lt;=AsOfDate,IF($R71=0,$X71,IF(AND($T71&lt;&gt;"",EDATE($D71,Milestones!$AA$75)&gt;=$T71),$W71,IF(AND($S71&lt;&gt;"",EDATE($D71,Milestones!$AA$75)&gt;=$S71),$V71,$U71)))=Milestones!$AB$75),UPPER(TEXT(EDATE($D71,Milestones!$AA$75),"dd mmm yy"))&amp;" "&amp;Milestones!$AB$75&amp;" "&amp;Milestones!$AC$75&amp;";  ","")&amp;IF(AND(EDATE($D71,Milestones!$AA$76)&lt;=AsOfDate,IF($R71=0,$X71,IF(AND($T71&lt;&gt;"",EDATE($D71,Milestones!$AA$76)&gt;=$T71),$W71,IF(AND($S71&lt;&gt;"",EDATE($D71,Milestones!$AA$76)&gt;=$S71),$V71,$U71)))=Milestones!$AB$76),UPPER(TEXT(EDATE($D71,Milestones!$AA$76),"dd mmm yy"))&amp;" "&amp;Milestones!$AB$76&amp;" "&amp;Milestones!$AC$76&amp;";  ","")&amp;IF(AND(EDATE($D71,Milestones!$AA$77)&lt;=AsOfDate,IF($R71=0,$X71,IF(AND($T71&lt;&gt;"",EDATE($D71,Milestones!$AA$77)&gt;=$T71),$W71,IF(AND($S71&lt;&gt;"",EDATE($D71,Milestones!$AA$77)&gt;=$S71),$V71,$U71)))=Milestones!$AB$77),UPPER(TEXT(EDATE($D71,Milestones!$AA$77),"dd mmm yy"))&amp;" "&amp;Milestones!$AB$77&amp;" "&amp;Milestones!$AC$77&amp;";  ","")&amp;IF(AND(EDATE($D71,Milestones!$AA$78)&lt;=AsOfDate,IF($R71=0,$X71,IF(AND($T71&lt;&gt;"",EDATE($D71,Milestones!$AA$78)&gt;=$T71),$W71,IF(AND($S71&lt;&gt;"",EDATE($D71,Milestones!$AA$78)&gt;=$S71),$V71,$U71)))=Milestones!$AB$78),UPPER(TEXT(EDATE($D71,Milestones!$AA$78),"dd mmm yy"))&amp;" "&amp;Milestones!$AB$78&amp;" "&amp;Milestones!$AC$78&amp;";  ","")&amp;IF(AND(EDATE($D71,Milestones!$AA$79)&lt;=AsOfDate,IF($R71=0,$X71,IF(AND($T71&lt;&gt;"",EDATE($D71,Milestones!$AA$79)&gt;=$T71),$W71,IF(AND($S71&lt;&gt;"",EDATE($D71,Milestones!$AA$79)&gt;=$S71),$V71,$U71)))=Milestones!$AB$79),UPPER(TEXT(EDATE($D71,Milestones!$AA$79),"dd mmm yy"))&amp;" "&amp;Milestones!$AB$79&amp;" "&amp;Milestones!$AC$79&amp;";  ",""))</f>
        <v/>
      </c>
      <c r="L71" s="0" t="str">
        <f aca="false">IF(OR($A71="",$D71=""),"",IF(AND(EDATE($D71,Milestones!$AA$80)&lt;=AsOfDate,IF($R71=0,$X71,IF(AND($T71&lt;&gt;"",EDATE($D71,Milestones!$AA$80)&gt;=$T71),$W71,IF(AND($S71&lt;&gt;"",EDATE($D71,Milestones!$AA$80)&gt;=$S71),$V71,$U71)))=Milestones!$AB$80),UPPER(TEXT(EDATE($D71,Milestones!$AA$80),"dd mmm yy"))&amp;" "&amp;Milestones!$AB$80&amp;" "&amp;Milestones!$AC$80&amp;";  ","")&amp;IF(AND(EDATE($D71,Milestones!$AA$81)&lt;=AsOfDate,IF($R71=0,$X71,IF(AND($T71&lt;&gt;"",EDATE($D71,Milestones!$AA$81)&gt;=$T71),$W71,IF(AND($S71&lt;&gt;"",EDATE($D71,Milestones!$AA$81)&gt;=$S71),$V71,$U71)))=Milestones!$AB$81),UPPER(TEXT(EDATE($D71,Milestones!$AA$81),"dd mmm yy"))&amp;" "&amp;Milestones!$AB$81&amp;" "&amp;Milestones!$AC$81&amp;";  ","")&amp;IF(AND(EDATE($D71,Milestones!$AA$82)&lt;=AsOfDate,IF($R71=0,$X71,IF(AND($T71&lt;&gt;"",EDATE($D71,Milestones!$AA$82)&gt;=$T71),$W71,IF(AND($S71&lt;&gt;"",EDATE($D71,Milestones!$AA$82)&gt;=$S71),$V71,$U71)))=Milestones!$AB$82),UPPER(TEXT(EDATE($D71,Milestones!$AA$82),"dd mmm yy"))&amp;" "&amp;Milestones!$AB$82&amp;" "&amp;Milestones!$AC$82&amp;";  ","")&amp;IF(AND(EDATE($D71,Milestones!$AA$83)&lt;=AsOfDate,IF($R71=0,$X71,IF(AND($T71&lt;&gt;"",EDATE($D71,Milestones!$AA$83)&gt;=$T71),$W71,IF(AND($S71&lt;&gt;"",EDATE($D71,Milestones!$AA$83)&gt;=$S71),$V71,$U71)))=Milestones!$AB$83),UPPER(TEXT(EDATE($D71,Milestones!$AA$83),"dd mmm yy"))&amp;" "&amp;Milestones!$AB$83&amp;" "&amp;Milestones!$AC$83&amp;";  ","")&amp;IF(AND(EDATE($D71,Milestones!$AA$84)&lt;=AsOfDate,IF($R71=0,$X71,IF(AND($T71&lt;&gt;"",EDATE($D71,Milestones!$AA$84)&gt;=$T71),$W71,IF(AND($S71&lt;&gt;"",EDATE($D71,Milestones!$AA$84)&gt;=$S71),$V71,$U71)))=Milestones!$AB$84),UPPER(TEXT(EDATE($D71,Milestones!$AA$84),"dd mmm yy"))&amp;" "&amp;Milestones!$AB$84&amp;" "&amp;Milestones!$AC$84&amp;";  ","")&amp;IF(AND(EDATE($D71,Milestones!$AA$85)&lt;=AsOfDate,IF($R71=0,$X71,IF(AND($T71&lt;&gt;"",EDATE($D71,Milestones!$AA$85)&gt;=$T71),$W71,IF(AND($S71&lt;&gt;"",EDATE($D71,Milestones!$AA$85)&gt;=$S71),$V71,$U71)))=Milestones!$AB$85),UPPER(TEXT(EDATE($D71,Milestones!$AA$85),"dd mmm yy"))&amp;" "&amp;Milestones!$AB$85&amp;" "&amp;Milestones!$AC$85&amp;";  ","")&amp;IF(AND(EDATE($D71,Milestones!$AA$86)&lt;=AsOfDate,IF($R71=0,$X71,IF(AND($T71&lt;&gt;"",EDATE($D71,Milestones!$AA$86)&gt;=$T71),$W71,IF(AND($S71&lt;&gt;"",EDATE($D71,Milestones!$AA$86)&gt;=$S71),$V71,$U71)))=Milestones!$AB$86),UPPER(TEXT(EDATE($D71,Milestones!$AA$86),"dd mmm yy"))&amp;" "&amp;Milestones!$AB$86&amp;" "&amp;Milestones!$AC$86&amp;";  ","")&amp;IF(AND(EDATE($D71,Milestones!$AA$87)&lt;=AsOfDate,IF($R71=0,$X71,IF(AND($T71&lt;&gt;"",EDATE($D71,Milestones!$AA$87)&gt;=$T71),$W71,IF(AND($S71&lt;&gt;"",EDATE($D71,Milestones!$AA$87)&gt;=$S71),$V71,$U71)))=Milestones!$AB$87),UPPER(TEXT(EDATE($D71,Milestones!$AA$87),"dd mmm yy"))&amp;" "&amp;Milestones!$AB$87&amp;" "&amp;Milestones!$AC$87&amp;";  ","")&amp;IF(AND(EDATE($D71,Milestones!$AA$88)&lt;=AsOfDate,IF($R71=0,$X71,IF(AND($T71&lt;&gt;"",EDATE($D71,Milestones!$AA$88)&gt;=$T71),$W71,IF(AND($S71&lt;&gt;"",EDATE($D71,Milestones!$AA$88)&gt;=$S71),$V71,$U71)))=Milestones!$AB$88),UPPER(TEXT(EDATE($D71,Milestones!$AA$88),"dd mmm yy"))&amp;" "&amp;Milestones!$AB$88&amp;" "&amp;Milestones!$AC$88&amp;";  ","")&amp;IF(AND(EDATE($D71,Milestones!$AA$89)&lt;=AsOfDate,IF($R71=0,$X71,IF(AND($T71&lt;&gt;"",EDATE($D71,Milestones!$AA$89)&gt;=$T71),$W71,IF(AND($S71&lt;&gt;"",EDATE($D71,Milestones!$AA$89)&gt;=$S71),$V71,$U71)))=Milestones!$AB$89),UPPER(TEXT(EDATE($D71,Milestones!$AA$89),"dd mmm yy"))&amp;" "&amp;Milestones!$AB$89&amp;" "&amp;Milestones!$AC$89&amp;";  ","")&amp;IF(AND(EDATE($D71,Milestones!$AA$90)&lt;=AsOfDate,IF($R71=0,$X71,IF(AND($T71&lt;&gt;"",EDATE($D71,Milestones!$AA$90)&gt;=$T71),$W71,IF(AND($S71&lt;&gt;"",EDATE($D71,Milestones!$AA$90)&gt;=$S71),$V71,$U71)))=Milestones!$AB$90),UPPER(TEXT(EDATE($D71,Milestones!$AA$90),"dd mmm yy"))&amp;" "&amp;Milestones!$AB$90&amp;" "&amp;Milestones!$AC$90&amp;";  ","")&amp;IF(AND(EDATE($D71,Milestones!$AA$91)&lt;=AsOfDate,IF($R71=0,$X71,IF(AND($T71&lt;&gt;"",EDATE($D71,Milestones!$AA$91)&gt;=$T71),$W71,IF(AND($S71&lt;&gt;"",EDATE($D71,Milestones!$AA$91)&gt;=$S71),$V71,$U71)))=Milestones!$AB$91),UPPER(TEXT(EDATE($D71,Milestones!$AA$91),"dd mmm yy"))&amp;" "&amp;Milestones!$AB$91&amp;" "&amp;Milestones!$AC$91&amp;";  ","")&amp;IF(AND(EDATE($D71,Milestones!$AA$92)&lt;=AsOfDate,IF($R71=0,$X71,IF(AND($T71&lt;&gt;"",EDATE($D71,Milestones!$AA$92)&gt;=$T71),$W71,IF(AND($S71&lt;&gt;"",EDATE($D71,Milestones!$AA$92)&gt;=$S71),$V71,$U71)))=Milestones!$AB$92),UPPER(TEXT(EDATE($D71,Milestones!$AA$92),"dd mmm yy"))&amp;" "&amp;Milestones!$AB$92&amp;" "&amp;Milestones!$AC$92&amp;";  ","")&amp;IF(AND(EDATE($D71,Milestones!$AA$93)&lt;=AsOfDate,IF($R71=0,$X71,IF(AND($T71&lt;&gt;"",EDATE($D71,Milestones!$AA$93)&gt;=$T71),$W71,IF(AND($S71&lt;&gt;"",EDATE($D71,Milestones!$AA$93)&gt;=$S71),$V71,$U71)))=Milestones!$AB$93),UPPER(TEXT(EDATE($D71,Milestones!$AA$93),"dd mmm yy"))&amp;" "&amp;Milestones!$AB$93&amp;" "&amp;Milestones!$AC$93&amp;";  ","")&amp;IF(AND(EDATE($D71,Milestones!$AA$94)&lt;=AsOfDate,IF($R71=0,$X71,IF(AND($T71&lt;&gt;"",EDATE($D71,Milestones!$AA$94)&gt;=$T71),$W71,IF(AND($S71&lt;&gt;"",EDATE($D71,Milestones!$AA$94)&gt;=$S71),$V71,$U71)))=Milestones!$AB$94),UPPER(TEXT(EDATE($D71,Milestones!$AA$94),"dd mmm yy"))&amp;" "&amp;Milestones!$AB$94&amp;" "&amp;Milestones!$AC$94&amp;";  ","")&amp;IF(AND(EDATE($D71,Milestones!$AA$95)&lt;=AsOfDate,IF($R71=0,$X71,IF(AND($T71&lt;&gt;"",EDATE($D71,Milestones!$AA$95)&gt;=$T71),$W71,IF(AND($S71&lt;&gt;"",EDATE($D71,Milestones!$AA$95)&gt;=$S71),$V71,$U71)))=Milestones!$AB$95),UPPER(TEXT(EDATE($D71,Milestones!$AA$95),"dd mmm yy"))&amp;" "&amp;Milestones!$AB$95&amp;" "&amp;Milestones!$AC$95&amp;";  ","")&amp;IF(AND(EDATE($D71,Milestones!$AA$96)&lt;=AsOfDate,IF($R71=0,$X71,IF(AND($T71&lt;&gt;"",EDATE($D71,Milestones!$AA$96)&gt;=$T71),$W71,IF(AND($S71&lt;&gt;"",EDATE($D71,Milestones!$AA$96)&gt;=$S71),$V71,$U71)))=Milestones!$AB$96),UPPER(TEXT(EDATE($D71,Milestones!$AA$96),"dd mmm yy"))&amp;" "&amp;Milestones!$AB$96&amp;" "&amp;Milestones!$AC$96&amp;";  ","")&amp;IF(AND(EDATE($D71,Milestones!$AA$97)&lt;=AsOfDate,IF($R71=0,$X71,IF(AND($T71&lt;&gt;"",EDATE($D71,Milestones!$AA$97)&gt;=$T71),$W71,IF(AND($S71&lt;&gt;"",EDATE($D71,Milestones!$AA$97)&gt;=$S71),$V71,$U71)))=Milestones!$AB$97),UPPER(TEXT(EDATE($D71,Milestones!$AA$97),"dd mmm yy"))&amp;" "&amp;Milestones!$AB$97&amp;" "&amp;Milestones!$AC$97&amp;";  ","")&amp;IF(AND(EDATE($D71,Milestones!$AA$98)&lt;=AsOfDate,IF($R71=0,$X71,IF(AND($T71&lt;&gt;"",EDATE($D71,Milestones!$AA$98)&gt;=$T71),$W71,IF(AND($S71&lt;&gt;"",EDATE($D71,Milestones!$AA$98)&gt;=$S71),$V71,$U71)))=Milestones!$AB$98),UPPER(TEXT(EDATE($D71,Milestones!$AA$98),"dd mmm yy"))&amp;" "&amp;Milestones!$AB$98&amp;" "&amp;Milestones!$AC$98&amp;";  ","")&amp;IF(AND(EDATE($D71,Milestones!$AA$99)&lt;=AsOfDate,IF($R71=0,$X71,IF(AND($T71&lt;&gt;"",EDATE($D71,Milestones!$AA$99)&gt;=$T71),$W71,IF(AND($S71&lt;&gt;"",EDATE($D71,Milestones!$AA$99)&gt;=$S71),$V71,$U71)))=Milestones!$AB$99),UPPER(TEXT(EDATE($D71,Milestones!$AA$99),"dd mmm yy"))&amp;" "&amp;Milestones!$AB$99&amp;" "&amp;Milestones!$AC$99&amp;";  ",""))</f>
        <v/>
      </c>
      <c r="M71" s="0" t="str">
        <f aca="false">IF(OR($A71="",$D71=""),"",IF(AND(EDATE($D71,Milestones!$AA$100)&lt;=AsOfDate,IF($R71=0,$X71,IF(AND($T71&lt;&gt;"",EDATE($D71,Milestones!$AA$100)&gt;=$T71),$W71,IF(AND($S71&lt;&gt;"",EDATE($D71,Milestones!$AA$100)&gt;=$S71),$V71,$U71)))=Milestones!$AB$100),UPPER(TEXT(EDATE($D71,Milestones!$AA$100),"dd mmm yy"))&amp;" "&amp;Milestones!$AB$100&amp;" "&amp;Milestones!$AC$100&amp;";  ","")&amp;IF(AND(EDATE($D71,Milestones!$AA$101)&lt;=AsOfDate,IF($R71=0,$X71,IF(AND($T71&lt;&gt;"",EDATE($D71,Milestones!$AA$101)&gt;=$T71),$W71,IF(AND($S71&lt;&gt;"",EDATE($D71,Milestones!$AA$101)&gt;=$S71),$V71,$U71)))=Milestones!$AB$101),UPPER(TEXT(EDATE($D71,Milestones!$AA$101),"dd mmm yy"))&amp;" "&amp;Milestones!$AB$101&amp;" "&amp;Milestones!$AC$101&amp;";  ","")&amp;IF(AND(EDATE($D71,Milestones!$AA$102)&lt;=AsOfDate,IF($R71=0,$X71,IF(AND($T71&lt;&gt;"",EDATE($D71,Milestones!$AA$102)&gt;=$T71),$W71,IF(AND($S71&lt;&gt;"",EDATE($D71,Milestones!$AA$102)&gt;=$S71),$V71,$U71)))=Milestones!$AB$102),UPPER(TEXT(EDATE($D71,Milestones!$AA$102),"dd mmm yy"))&amp;" "&amp;Milestones!$AB$102&amp;" "&amp;Milestones!$AC$102&amp;";  ","")&amp;IF(AND(EDATE($D71,Milestones!$AA$103)&lt;=AsOfDate,IF($R71=0,$X71,IF(AND($T71&lt;&gt;"",EDATE($D71,Milestones!$AA$103)&gt;=$T71),$W71,IF(AND($S71&lt;&gt;"",EDATE($D71,Milestones!$AA$103)&gt;=$S71),$V71,$U71)))=Milestones!$AB$103),UPPER(TEXT(EDATE($D71,Milestones!$AA$103),"dd mmm yy"))&amp;" "&amp;Milestones!$AB$103&amp;" "&amp;Milestones!$AC$103&amp;";  ","")&amp;IF(AND(EDATE($D71,Milestones!$AA$104)&lt;=AsOfDate,IF($R71=0,$X71,IF(AND($T71&lt;&gt;"",EDATE($D71,Milestones!$AA$104)&gt;=$T71),$W71,IF(AND($S71&lt;&gt;"",EDATE($D71,Milestones!$AA$104)&gt;=$S71),$V71,$U71)))=Milestones!$AB$104),UPPER(TEXT(EDATE($D71,Milestones!$AA$104),"dd mmm yy"))&amp;" "&amp;Milestones!$AB$104&amp;" "&amp;Milestones!$AC$104&amp;";  ","")&amp;IF(AND(EDATE($D71,Milestones!$AA$105)&lt;=AsOfDate,IF($R71=0,$X71,IF(AND($T71&lt;&gt;"",EDATE($D71,Milestones!$AA$105)&gt;=$T71),$W71,IF(AND($S71&lt;&gt;"",EDATE($D71,Milestones!$AA$105)&gt;=$S71),$V71,$U71)))=Milestones!$AB$105),UPPER(TEXT(EDATE($D71,Milestones!$AA$105),"dd mmm yy"))&amp;" "&amp;Milestones!$AB$105&amp;" "&amp;Milestones!$AC$105&amp;";  ","")&amp;IF(AND(EDATE($D71,Milestones!$AA$106)&lt;=AsOfDate,IF($R71=0,$X71,IF(AND($T71&lt;&gt;"",EDATE($D71,Milestones!$AA$106)&gt;=$T71),$W71,IF(AND($S71&lt;&gt;"",EDATE($D71,Milestones!$AA$106)&gt;=$S71),$V71,$U71)))=Milestones!$AB$106),UPPER(TEXT(EDATE($D71,Milestones!$AA$106),"dd mmm yy"))&amp;" "&amp;Milestones!$AB$106&amp;" "&amp;Milestones!$AC$106&amp;";  ","")&amp;IF(AND(EDATE($D71,Milestones!$AA$107)&lt;=AsOfDate,IF($R71=0,$X71,IF(AND($T71&lt;&gt;"",EDATE($D71,Milestones!$AA$107)&gt;=$T71),$W71,IF(AND($S71&lt;&gt;"",EDATE($D71,Milestones!$AA$107)&gt;=$S71),$V71,$U71)))=Milestones!$AB$107),UPPER(TEXT(EDATE($D71,Milestones!$AA$107),"dd mmm yy"))&amp;" "&amp;Milestones!$AB$107&amp;" "&amp;Milestones!$AC$107&amp;";  ","")&amp;IF(AND(EDATE($D71,Milestones!$AA$108)&lt;=AsOfDate,IF($R71=0,$X71,IF(AND($T71&lt;&gt;"",EDATE($D71,Milestones!$AA$108)&gt;=$T71),$W71,IF(AND($S71&lt;&gt;"",EDATE($D71,Milestones!$AA$108)&gt;=$S71),$V71,$U71)))=Milestones!$AB$108),UPPER(TEXT(EDATE($D71,Milestones!$AA$108),"dd mmm yy"))&amp;" "&amp;Milestones!$AB$108&amp;" "&amp;Milestones!$AC$108&amp;";  ","")&amp;IF(AND(EDATE($D71,Milestones!$AA$109)&lt;=AsOfDate,IF($R71=0,$X71,IF(AND($T71&lt;&gt;"",EDATE($D71,Milestones!$AA$109)&gt;=$T71),$W71,IF(AND($S71&lt;&gt;"",EDATE($D71,Milestones!$AA$109)&gt;=$S71),$V71,$U71)))=Milestones!$AB$109),UPPER(TEXT(EDATE($D71,Milestones!$AA$109),"dd mmm yy"))&amp;" "&amp;Milestones!$AB$109&amp;" "&amp;Milestones!$AC$109&amp;";  ","")&amp;IF(AND(EDATE($D71,Milestones!$AA$110)&lt;=AsOfDate,IF($R71=0,$X71,IF(AND($T71&lt;&gt;"",EDATE($D71,Milestones!$AA$110)&gt;=$T71),$W71,IF(AND($S71&lt;&gt;"",EDATE($D71,Milestones!$AA$110)&gt;=$S71),$V71,$U71)))=Milestones!$AB$110),UPPER(TEXT(EDATE($D71,Milestones!$AA$110),"dd mmm yy"))&amp;" "&amp;Milestones!$AB$110&amp;" "&amp;Milestones!$AC$110&amp;";  ","")&amp;IF(AND(EDATE($D71,Milestones!$AA$111)&lt;=AsOfDate,IF($R71=0,$X71,IF(AND($T71&lt;&gt;"",EDATE($D71,Milestones!$AA$111)&gt;=$T71),$W71,IF(AND($S71&lt;&gt;"",EDATE($D71,Milestones!$AA$111)&gt;=$S71),$V71,$U71)))=Milestones!$AB$111),UPPER(TEXT(EDATE($D71,Milestones!$AA$111),"dd mmm yy"))&amp;" "&amp;Milestones!$AB$111&amp;" "&amp;Milestones!$AC$111&amp;";  ","")&amp;IF(AND(EDATE($D71,Milestones!$AA$112)&lt;=AsOfDate,IF($R71=0,$X71,IF(AND($T71&lt;&gt;"",EDATE($D71,Milestones!$AA$112)&gt;=$T71),$W71,IF(AND($S71&lt;&gt;"",EDATE($D71,Milestones!$AA$112)&gt;=$S71),$V71,$U71)))=Milestones!$AB$112),UPPER(TEXT(EDATE($D71,Milestones!$AA$112),"dd mmm yy"))&amp;" "&amp;Milestones!$AB$112&amp;" "&amp;Milestones!$AC$112&amp;";  ","")&amp;IF(AND(EDATE($D71,Milestones!$AA$113)&lt;=AsOfDate,IF($R71=0,$X71,IF(AND($T71&lt;&gt;"",EDATE($D71,Milestones!$AA$113)&gt;=$T71),$W71,IF(AND($S71&lt;&gt;"",EDATE($D71,Milestones!$AA$113)&gt;=$S71),$V71,$U71)))=Milestones!$AB$113),UPPER(TEXT(EDATE($D71,Milestones!$AA$113),"dd mmm yy"))&amp;" "&amp;Milestones!$AB$113&amp;" "&amp;Milestones!$AC$113&amp;";  ","")&amp;IF(AND(EDATE($D71,Milestones!$AA$114)&lt;=AsOfDate,IF($R71=0,$X71,IF(AND($T71&lt;&gt;"",EDATE($D71,Milestones!$AA$114)&gt;=$T71),$W71,IF(AND($S71&lt;&gt;"",EDATE($D71,Milestones!$AA$114)&gt;=$S71),$V71,$U71)))=Milestones!$AB$114),UPPER(TEXT(EDATE($D71,Milestones!$AA$114),"dd mmm yy"))&amp;" "&amp;Milestones!$AB$114&amp;" "&amp;Milestones!$AC$114&amp;";  ","")&amp;IF(AND(EDATE($D71,Milestones!$AA$115)&lt;=AsOfDate,IF($R71=0,$X71,IF(AND($T71&lt;&gt;"",EDATE($D71,Milestones!$AA$115)&gt;=$T71),$W71,IF(AND($S71&lt;&gt;"",EDATE($D71,Milestones!$AA$115)&gt;=$S71),$V71,$U71)))=Milestones!$AB$115),UPPER(TEXT(EDATE($D71,Milestones!$AA$115),"dd mmm yy"))&amp;" "&amp;Milestones!$AB$115&amp;" "&amp;Milestones!$AC$115&amp;";  ","")&amp;IF(AND(EDATE($D71,Milestones!$AA$116)&lt;=AsOfDate,IF($R71=0,$X71,IF(AND($T71&lt;&gt;"",EDATE($D71,Milestones!$AA$116)&gt;=$T71),$W71,IF(AND($S71&lt;&gt;"",EDATE($D71,Milestones!$AA$116)&gt;=$S71),$V71,$U71)))=Milestones!$AB$116),UPPER(TEXT(EDATE($D71,Milestones!$AA$116),"dd mmm yy"))&amp;" "&amp;Milestones!$AB$116&amp;" "&amp;Milestones!$AC$116&amp;";  ","")&amp;IF(AND(EDATE($D71,Milestones!$AA$117)&lt;=AsOfDate,IF($R71=0,$X71,IF(AND($T71&lt;&gt;"",EDATE($D71,Milestones!$AA$117)&gt;=$T71),$W71,IF(AND($S71&lt;&gt;"",EDATE($D71,Milestones!$AA$117)&gt;=$S71),$V71,$U71)))=Milestones!$AB$117),UPPER(TEXT(EDATE($D71,Milestones!$AA$117),"dd mmm yy"))&amp;" "&amp;Milestones!$AB$117&amp;" "&amp;Milestones!$AC$117&amp;";  ","")&amp;IF(AND(EDATE($D71,Milestones!$AA$118)&lt;=AsOfDate,IF($R71=0,$X71,IF(AND($T71&lt;&gt;"",EDATE($D71,Milestones!$AA$118)&gt;=$T71),$W71,IF(AND($S71&lt;&gt;"",EDATE($D71,Milestones!$AA$118)&gt;=$S71),$V71,$U71)))=Milestones!$AB$118),UPPER(TEXT(EDATE($D71,Milestones!$AA$118),"dd mmm yy"))&amp;" "&amp;Milestones!$AB$118&amp;" "&amp;Milestones!$AC$118&amp;";  ","")&amp;IF(AND(EDATE($D71,Milestones!$AA$119)&lt;=AsOfDate,IF($R71=0,$X71,IF(AND($T71&lt;&gt;"",EDATE($D71,Milestones!$AA$119)&gt;=$T71),$W71,IF(AND($S71&lt;&gt;"",EDATE($D71,Milestones!$AA$119)&gt;=$S71),$V71,$U71)))=Milestones!$AB$119),UPPER(TEXT(EDATE($D71,Milestones!$AA$119),"dd mmm yy"))&amp;" "&amp;Milestones!$AB$119&amp;" "&amp;Milestones!$AC$119&amp;";  ",""))</f>
        <v/>
      </c>
      <c r="N71" s="0" t="str">
        <f aca="false">IF(OR($A71="",$D71=""),"",IF(AND(EDATE($D71,Milestones!$AA$120)&lt;=AsOfDate,IF($R71=0,$X71,IF(AND($T71&lt;&gt;"",EDATE($D71,Milestones!$AA$120)&gt;=$T71),$W71,IF(AND($S71&lt;&gt;"",EDATE($D71,Milestones!$AA$120)&gt;=$S71),$V71,$U71)))=Milestones!$AB$120),UPPER(TEXT(EDATE($D71,Milestones!$AA$120),"dd mmm yy"))&amp;" "&amp;Milestones!$AB$120&amp;" "&amp;Milestones!$AC$120&amp;";  ","")&amp;IF(AND(EDATE($D71,Milestones!$AA$121)&lt;=AsOfDate,IF($R71=0,$X71,IF(AND($T71&lt;&gt;"",EDATE($D71,Milestones!$AA$121)&gt;=$T71),$W71,IF(AND($S71&lt;&gt;"",EDATE($D71,Milestones!$AA$121)&gt;=$S71),$V71,$U71)))=Milestones!$AB$121),UPPER(TEXT(EDATE($D71,Milestones!$AA$121),"dd mmm yy"))&amp;" "&amp;Milestones!$AB$121&amp;" "&amp;Milestones!$AC$121&amp;";  ","")&amp;IF(AND(EDATE($D71,Milestones!$AA$122)&lt;=AsOfDate,IF($R71=0,$X71,IF(AND($T71&lt;&gt;"",EDATE($D71,Milestones!$AA$122)&gt;=$T71),$W71,IF(AND($S71&lt;&gt;"",EDATE($D71,Milestones!$AA$122)&gt;=$S71),$V71,$U71)))=Milestones!$AB$122),UPPER(TEXT(EDATE($D71,Milestones!$AA$122),"dd mmm yy"))&amp;" "&amp;Milestones!$AB$122&amp;" "&amp;Milestones!$AC$122&amp;";  ","")&amp;IF(AND(EDATE($D71,Milestones!$AA$123)&lt;=AsOfDate,IF($R71=0,$X71,IF(AND($T71&lt;&gt;"",EDATE($D71,Milestones!$AA$123)&gt;=$T71),$W71,IF(AND($S71&lt;&gt;"",EDATE($D71,Milestones!$AA$123)&gt;=$S71),$V71,$U71)))=Milestones!$AB$123),UPPER(TEXT(EDATE($D71,Milestones!$AA$123),"dd mmm yy"))&amp;" "&amp;Milestones!$AB$123&amp;" "&amp;Milestones!$AC$123&amp;";  ","")&amp;IF(AND(EDATE($D71,Milestones!$AA$124)&lt;=AsOfDate,IF($R71=0,$X71,IF(AND($T71&lt;&gt;"",EDATE($D71,Milestones!$AA$124)&gt;=$T71),$W71,IF(AND($S71&lt;&gt;"",EDATE($D71,Milestones!$AA$124)&gt;=$S71),$V71,$U71)))=Milestones!$AB$124),UPPER(TEXT(EDATE($D71,Milestones!$AA$124),"dd mmm yy"))&amp;" "&amp;Milestones!$AB$124&amp;" "&amp;Milestones!$AC$124&amp;";  ","")&amp;IF(AND(EDATE($D71,Milestones!$AA$125)&lt;=AsOfDate,IF($R71=0,$X71,IF(AND($T71&lt;&gt;"",EDATE($D71,Milestones!$AA$125)&gt;=$T71),$W71,IF(AND($S71&lt;&gt;"",EDATE($D71,Milestones!$AA$125)&gt;=$S71),$V71,$U71)))=Milestones!$AB$125),UPPER(TEXT(EDATE($D71,Milestones!$AA$125),"dd mmm yy"))&amp;" "&amp;Milestones!$AB$125&amp;" "&amp;Milestones!$AC$125&amp;";  ","")&amp;IF(AND(EDATE($D71,Milestones!$AA$126)&lt;=AsOfDate,IF($R71=0,$X71,IF(AND($T71&lt;&gt;"",EDATE($D71,Milestones!$AA$126)&gt;=$T71),$W71,IF(AND($S71&lt;&gt;"",EDATE($D71,Milestones!$AA$126)&gt;=$S71),$V71,$U71)))=Milestones!$AB$126),UPPER(TEXT(EDATE($D71,Milestones!$AA$126),"dd mmm yy"))&amp;" "&amp;Milestones!$AB$126&amp;" "&amp;Milestones!$AC$126&amp;";  ","")&amp;IF(AND(EDATE($D71,Milestones!$AA$127)&lt;=AsOfDate,IF($R71=0,$X71,IF(AND($T71&lt;&gt;"",EDATE($D71,Milestones!$AA$127)&gt;=$T71),$W71,IF(AND($S71&lt;&gt;"",EDATE($D71,Milestones!$AA$127)&gt;=$S71),$V71,$U71)))=Milestones!$AB$127),UPPER(TEXT(EDATE($D71,Milestones!$AA$127),"dd mmm yy"))&amp;" "&amp;Milestones!$AB$127&amp;" "&amp;Milestones!$AC$127&amp;";  ","")&amp;IF(AND(EDATE($D71,Milestones!$AA$128)&lt;=AsOfDate,IF($R71=0,$X71,IF(AND($T71&lt;&gt;"",EDATE($D71,Milestones!$AA$128)&gt;=$T71),$W71,IF(AND($S71&lt;&gt;"",EDATE($D71,Milestones!$AA$128)&gt;=$S71),$V71,$U71)))=Milestones!$AB$128),UPPER(TEXT(EDATE($D71,Milestones!$AA$128),"dd mmm yy"))&amp;" "&amp;Milestones!$AB$128&amp;" "&amp;Milestones!$AC$128&amp;";  ","")&amp;IF(AND(EDATE($D71,Milestones!$AA$129)&lt;=AsOfDate,IF($R71=0,$X71,IF(AND($T71&lt;&gt;"",EDATE($D71,Milestones!$AA$129)&gt;=$T71),$W71,IF(AND($S71&lt;&gt;"",EDATE($D71,Milestones!$AA$129)&gt;=$S71),$V71,$U71)))=Milestones!$AB$129),UPPER(TEXT(EDATE($D71,Milestones!$AA$129),"dd mmm yy"))&amp;" "&amp;Milestones!$AB$129&amp;" "&amp;Milestones!$AC$129&amp;";  ","")&amp;IF(AND(EDATE($D71,Milestones!$AA$130)&lt;=AsOfDate,IF($R71=0,$X71,IF(AND($T71&lt;&gt;"",EDATE($D71,Milestones!$AA$130)&gt;=$T71),$W71,IF(AND($S71&lt;&gt;"",EDATE($D71,Milestones!$AA$130)&gt;=$S71),$V71,$U71)))=Milestones!$AB$130),UPPER(TEXT(EDATE($D71,Milestones!$AA$130),"dd mmm yy"))&amp;" "&amp;Milestones!$AB$130&amp;" "&amp;Milestones!$AC$130&amp;";  ","")&amp;IF(AND(EDATE($D71,Milestones!$AA$131)&lt;=AsOfDate,IF($R71=0,$X71,IF(AND($T71&lt;&gt;"",EDATE($D71,Milestones!$AA$131)&gt;=$T71),$W71,IF(AND($S71&lt;&gt;"",EDATE($D71,Milestones!$AA$131)&gt;=$S71),$V71,$U71)))=Milestones!$AB$131),UPPER(TEXT(EDATE($D71,Milestones!$AA$131),"dd mmm yy"))&amp;" "&amp;Milestones!$AB$131&amp;" "&amp;Milestones!$AC$131&amp;";  ","")&amp;IF(AND(EDATE($D71,Milestones!$AA$132)&lt;=AsOfDate,IF($R71=0,$X71,IF(AND($T71&lt;&gt;"",EDATE($D71,Milestones!$AA$132)&gt;=$T71),$W71,IF(AND($S71&lt;&gt;"",EDATE($D71,Milestones!$AA$132)&gt;=$S71),$V71,$U71)))=Milestones!$AB$132),UPPER(TEXT(EDATE($D71,Milestones!$AA$132),"dd mmm yy"))&amp;" "&amp;Milestones!$AB$132&amp;" "&amp;Milestones!$AC$132&amp;";  ","")&amp;IF(AND(EDATE($D71,Milestones!$AA$133)&lt;=AsOfDate,IF($R71=0,$X71,IF(AND($T71&lt;&gt;"",EDATE($D71,Milestones!$AA$133)&gt;=$T71),$W71,IF(AND($S71&lt;&gt;"",EDATE($D71,Milestones!$AA$133)&gt;=$S71),$V71,$U71)))=Milestones!$AB$133),UPPER(TEXT(EDATE($D71,Milestones!$AA$133),"dd mmm yy"))&amp;" "&amp;Milestones!$AB$133&amp;" "&amp;Milestones!$AC$133&amp;";  ","")&amp;IF(AND(EDATE($D71,Milestones!$AA$134)&lt;=AsOfDate,IF($R71=0,$X71,IF(AND($T71&lt;&gt;"",EDATE($D71,Milestones!$AA$134)&gt;=$T71),$W71,IF(AND($S71&lt;&gt;"",EDATE($D71,Milestones!$AA$134)&gt;=$S71),$V71,$U71)))=Milestones!$AB$134),UPPER(TEXT(EDATE($D71,Milestones!$AA$134),"dd mmm yy"))&amp;" "&amp;Milestones!$AB$134&amp;" "&amp;Milestones!$AC$134&amp;";  ","")&amp;IF(AND(EDATE($D71,Milestones!$AA$135)&lt;=AsOfDate,IF($R71=0,$X71,IF(AND($T71&lt;&gt;"",EDATE($D71,Milestones!$AA$135)&gt;=$T71),$W71,IF(AND($S71&lt;&gt;"",EDATE($D71,Milestones!$AA$135)&gt;=$S71),$V71,$U71)))=Milestones!$AB$135),UPPER(TEXT(EDATE($D71,Milestones!$AA$135),"dd mmm yy"))&amp;" "&amp;Milestones!$AB$135&amp;" "&amp;Milestones!$AC$135&amp;";  ","")&amp;IF(AND(EDATE($D71,Milestones!$AA$136)&lt;=AsOfDate,IF($R71=0,$X71,IF(AND($T71&lt;&gt;"",EDATE($D71,Milestones!$AA$136)&gt;=$T71),$W71,IF(AND($S71&lt;&gt;"",EDATE($D71,Milestones!$AA$136)&gt;=$S71),$V71,$U71)))=Milestones!$AB$136),UPPER(TEXT(EDATE($D71,Milestones!$AA$136),"dd mmm yy"))&amp;" "&amp;Milestones!$AB$136&amp;" "&amp;Milestones!$AC$136&amp;";  ","")&amp;IF(AND(EDATE($D71,Milestones!$AA$137)&lt;=AsOfDate,IF($R71=0,$X71,IF(AND($T71&lt;&gt;"",EDATE($D71,Milestones!$AA$137)&gt;=$T71),$W71,IF(AND($S71&lt;&gt;"",EDATE($D71,Milestones!$AA$137)&gt;=$S71),$V71,$U71)))=Milestones!$AB$137),UPPER(TEXT(EDATE($D71,Milestones!$AA$137),"dd mmm yy"))&amp;" "&amp;Milestones!$AB$137&amp;" "&amp;Milestones!$AC$137&amp;";  ","")&amp;IF(AND(EDATE($D71,Milestones!$AA$138)&lt;=AsOfDate,IF($R71=0,$X71,IF(AND($T71&lt;&gt;"",EDATE($D71,Milestones!$AA$138)&gt;=$T71),$W71,IF(AND($S71&lt;&gt;"",EDATE($D71,Milestones!$AA$138)&gt;=$S71),$V71,$U71)))=Milestones!$AB$138),UPPER(TEXT(EDATE($D71,Milestones!$AA$138),"dd mmm yy"))&amp;" "&amp;Milestones!$AB$138&amp;" "&amp;Milestones!$AC$138&amp;";  ","")&amp;IF(AND(EDATE($D71,Milestones!$AA$139)&lt;=AsOfDate,IF($R71=0,$X71,IF(AND($T71&lt;&gt;"",EDATE($D71,Milestones!$AA$139)&gt;=$T71),$W71,IF(AND($S71&lt;&gt;"",EDATE($D71,Milestones!$AA$139)&gt;=$S71),$V71,$U71)))=Milestones!$AB$139),UPPER(TEXT(EDATE($D71,Milestones!$AA$139),"dd mmm yy"))&amp;" "&amp;Milestones!$AB$139&amp;" "&amp;Milestones!$AC$139&amp;";  ",""))</f>
        <v/>
      </c>
      <c r="O71" s="0" t="str">
        <f aca="false">IF(OR($A71="",$D71=""),"",IF(AND(EDATE($D71,Milestones!$AA$140)&lt;=AsOfDate,IF($R71=0,$X71,IF(AND($T71&lt;&gt;"",EDATE($D71,Milestones!$AA$140)&gt;=$T71),$W71,IF(AND($S71&lt;&gt;"",EDATE($D71,Milestones!$AA$140)&gt;=$S71),$V71,$U71)))=Milestones!$AB$140),UPPER(TEXT(EDATE($D71,Milestones!$AA$140),"dd mmm yy"))&amp;" "&amp;Milestones!$AB$140&amp;" "&amp;Milestones!$AC$140&amp;";  ","")&amp;IF(AND(EDATE($D71,Milestones!$AA$141)&lt;=AsOfDate,IF($R71=0,$X71,IF(AND($T71&lt;&gt;"",EDATE($D71,Milestones!$AA$141)&gt;=$T71),$W71,IF(AND($S71&lt;&gt;"",EDATE($D71,Milestones!$AA$141)&gt;=$S71),$V71,$U71)))=Milestones!$AB$141),UPPER(TEXT(EDATE($D71,Milestones!$AA$141),"dd mmm yy"))&amp;" "&amp;Milestones!$AB$141&amp;" "&amp;Milestones!$AC$141&amp;";  ","")&amp;IF(AND(EDATE($D71,Milestones!$AA$142)&lt;=AsOfDate,IF($R71=0,$X71,IF(AND($T71&lt;&gt;"",EDATE($D71,Milestones!$AA$142)&gt;=$T71),$W71,IF(AND($S71&lt;&gt;"",EDATE($D71,Milestones!$AA$142)&gt;=$S71),$V71,$U71)))=Milestones!$AB$142),UPPER(TEXT(EDATE($D71,Milestones!$AA$142),"dd mmm yy"))&amp;" "&amp;Milestones!$AB$142&amp;" "&amp;Milestones!$AC$142&amp;";  ","")&amp;IF(AND(EDATE($D71,Milestones!$AA$143)&lt;=AsOfDate,IF($R71=0,$X71,IF(AND($T71&lt;&gt;"",EDATE($D71,Milestones!$AA$143)&gt;=$T71),$W71,IF(AND($S71&lt;&gt;"",EDATE($D71,Milestones!$AA$143)&gt;=$S71),$V71,$U71)))=Milestones!$AB$143),UPPER(TEXT(EDATE($D71,Milestones!$AA$143),"dd mmm yy"))&amp;" "&amp;Milestones!$AB$143&amp;" "&amp;Milestones!$AC$143&amp;";  ","")&amp;IF(AND(EDATE($D71,Milestones!$AA$144)&lt;=AsOfDate,IF($R71=0,$X71,IF(AND($T71&lt;&gt;"",EDATE($D71,Milestones!$AA$144)&gt;=$T71),$W71,IF(AND($S71&lt;&gt;"",EDATE($D71,Milestones!$AA$144)&gt;=$S71),$V71,$U71)))=Milestones!$AB$144),UPPER(TEXT(EDATE($D71,Milestones!$AA$144),"dd mmm yy"))&amp;" "&amp;Milestones!$AB$144&amp;" "&amp;Milestones!$AC$144&amp;";  ","")&amp;IF(AND(EDATE($D71,Milestones!$AA$145)&lt;=AsOfDate,IF($R71=0,$X71,IF(AND($T71&lt;&gt;"",EDATE($D71,Milestones!$AA$145)&gt;=$T71),$W71,IF(AND($S71&lt;&gt;"",EDATE($D71,Milestones!$AA$145)&gt;=$S71),$V71,$U71)))=Milestones!$AB$145),UPPER(TEXT(EDATE($D71,Milestones!$AA$145),"dd mmm yy"))&amp;" "&amp;Milestones!$AB$145&amp;" "&amp;Milestones!$AC$145&amp;";  ","")&amp;IF(AND(EDATE($D71,Milestones!$AA$146)&lt;=AsOfDate,IF($R71=0,$X71,IF(AND($T71&lt;&gt;"",EDATE($D71,Milestones!$AA$146)&gt;=$T71),$W71,IF(AND($S71&lt;&gt;"",EDATE($D71,Milestones!$AA$146)&gt;=$S71),$V71,$U71)))=Milestones!$AB$146),UPPER(TEXT(EDATE($D71,Milestones!$AA$146),"dd mmm yy"))&amp;" "&amp;Milestones!$AB$146&amp;" "&amp;Milestones!$AC$146&amp;";  ","")&amp;IF(AND(EDATE($D71,Milestones!$AA$147)&lt;=AsOfDate,IF($R71=0,$X71,IF(AND($T71&lt;&gt;"",EDATE($D71,Milestones!$AA$147)&gt;=$T71),$W71,IF(AND($S71&lt;&gt;"",EDATE($D71,Milestones!$AA$147)&gt;=$S71),$V71,$U71)))=Milestones!$AB$147),UPPER(TEXT(EDATE($D71,Milestones!$AA$147),"dd mmm yy"))&amp;" "&amp;Milestones!$AB$147&amp;" "&amp;Milestones!$AC$147&amp;";  ","")&amp;IF(AND(EDATE($D71,Milestones!$AA$148)&lt;=AsOfDate,IF($R71=0,$X71,IF(AND($T71&lt;&gt;"",EDATE($D71,Milestones!$AA$148)&gt;=$T71),$W71,IF(AND($S71&lt;&gt;"",EDATE($D71,Milestones!$AA$148)&gt;=$S71),$V71,$U71)))=Milestones!$AB$148),UPPER(TEXT(EDATE($D71,Milestones!$AA$148),"dd mmm yy"))&amp;" "&amp;Milestones!$AB$148&amp;" "&amp;Milestones!$AC$148&amp;";  ","")&amp;IF(AND(EDATE($D71,Milestones!$AA$149)&lt;=AsOfDate,IF($R71=0,$X71,IF(AND($T71&lt;&gt;"",EDATE($D71,Milestones!$AA$149)&gt;=$T71),$W71,IF(AND($S71&lt;&gt;"",EDATE($D71,Milestones!$AA$149)&gt;=$S71),$V71,$U71)))=Milestones!$AB$149),UPPER(TEXT(EDATE($D71,Milestones!$AA$149),"dd mmm yy"))&amp;" "&amp;Milestones!$AB$149&amp;" "&amp;Milestones!$AC$149&amp;";  ","")&amp;IF(AND(EDATE($D71,Milestones!$AA$150)&lt;=AsOfDate,IF($R71=0,$X71,IF(AND($T71&lt;&gt;"",EDATE($D71,Milestones!$AA$150)&gt;=$T71),$W71,IF(AND($S71&lt;&gt;"",EDATE($D71,Milestones!$AA$150)&gt;=$S71),$V71,$U71)))=Milestones!$AB$150),UPPER(TEXT(EDATE($D71,Milestones!$AA$150),"dd mmm yy"))&amp;" "&amp;Milestones!$AB$150&amp;" "&amp;Milestones!$AC$150&amp;";  ","")&amp;IF(AND(EDATE($D71,Milestones!$AA$151)&lt;=AsOfDate,IF($R71=0,$X71,IF(AND($T71&lt;&gt;"",EDATE($D71,Milestones!$AA$151)&gt;=$T71),$W71,IF(AND($S71&lt;&gt;"",EDATE($D71,Milestones!$AA$151)&gt;=$S71),$V71,$U71)))=Milestones!$AB$151),UPPER(TEXT(EDATE($D71,Milestones!$AA$151),"dd mmm yy"))&amp;" "&amp;Milestones!$AB$151&amp;" "&amp;Milestones!$AC$151&amp;";  ","")&amp;IF(AND(EDATE($D71,Milestones!$AA$152)&lt;=AsOfDate,IF($R71=0,$X71,IF(AND($T71&lt;&gt;"",EDATE($D71,Milestones!$AA$152)&gt;=$T71),$W71,IF(AND($S71&lt;&gt;"",EDATE($D71,Milestones!$AA$152)&gt;=$S71),$V71,$U71)))=Milestones!$AB$152),UPPER(TEXT(EDATE($D71,Milestones!$AA$152),"dd mmm yy"))&amp;" "&amp;Milestones!$AB$152&amp;" "&amp;Milestones!$AC$152&amp;";  ","")&amp;IF(AND(EDATE($D71,Milestones!$AA$153)&lt;=AsOfDate,IF($R71=0,$X71,IF(AND($T71&lt;&gt;"",EDATE($D71,Milestones!$AA$153)&gt;=$T71),$W71,IF(AND($S71&lt;&gt;"",EDATE($D71,Milestones!$AA$153)&gt;=$S71),$V71,$U71)))=Milestones!$AB$153),UPPER(TEXT(EDATE($D71,Milestones!$AA$153),"dd mmm yy"))&amp;" "&amp;Milestones!$AB$153&amp;" "&amp;Milestones!$AC$153&amp;";  ","")&amp;IF(AND(EDATE($D71,Milestones!$AA$154)&lt;=AsOfDate,IF($R71=0,$X71,IF(AND($T71&lt;&gt;"",EDATE($D71,Milestones!$AA$154)&gt;=$T71),$W71,IF(AND($S71&lt;&gt;"",EDATE($D71,Milestones!$AA$154)&gt;=$S71),$V71,$U71)))=Milestones!$AB$154),UPPER(TEXT(EDATE($D71,Milestones!$AA$154),"dd mmm yy"))&amp;" "&amp;Milestones!$AB$154&amp;" "&amp;Milestones!$AC$154&amp;";  ","")&amp;IF(AND(EDATE($D71,Milestones!$AA$155)&lt;=AsOfDate,IF($R71=0,$X71,IF(AND($T71&lt;&gt;"",EDATE($D71,Milestones!$AA$155)&gt;=$T71),$W71,IF(AND($S71&lt;&gt;"",EDATE($D71,Milestones!$AA$155)&gt;=$S71),$V71,$U71)))=Milestones!$AB$155),UPPER(TEXT(EDATE($D71,Milestones!$AA$155),"dd mmm yy"))&amp;" "&amp;Milestones!$AB$155&amp;" "&amp;Milestones!$AC$155&amp;";  ","")&amp;IF(AND(EDATE($D71,Milestones!$AA$156)&lt;=AsOfDate,IF($R71=0,$X71,IF(AND($T71&lt;&gt;"",EDATE($D71,Milestones!$AA$156)&gt;=$T71),$W71,IF(AND($S71&lt;&gt;"",EDATE($D71,Milestones!$AA$156)&gt;=$S71),$V71,$U71)))=Milestones!$AB$156),UPPER(TEXT(EDATE($D71,Milestones!$AA$156),"dd mmm yy"))&amp;" "&amp;Milestones!$AB$156&amp;" "&amp;Milestones!$AC$156&amp;";  ","")&amp;IF(AND(EDATE($D71,Milestones!$AA$157)&lt;=AsOfDate,IF($R71=0,$X71,IF(AND($T71&lt;&gt;"",EDATE($D71,Milestones!$AA$157)&gt;=$T71),$W71,IF(AND($S71&lt;&gt;"",EDATE($D71,Milestones!$AA$157)&gt;=$S71),$V71,$U71)))=Milestones!$AB$157),UPPER(TEXT(EDATE($D71,Milestones!$AA$157),"dd mmm yy"))&amp;" "&amp;Milestones!$AB$157&amp;" "&amp;Milestones!$AC$157&amp;";  ","")&amp;IF(AND(EDATE($D71,Milestones!$AA$158)&lt;=AsOfDate,IF($R71=0,$X71,IF(AND($T71&lt;&gt;"",EDATE($D71,Milestones!$AA$158)&gt;=$T71),$W71,IF(AND($S71&lt;&gt;"",EDATE($D71,Milestones!$AA$158)&gt;=$S71),$V71,$U71)))=Milestones!$AB$158),UPPER(TEXT(EDATE($D71,Milestones!$AA$158),"dd mmm yy"))&amp;" "&amp;Milestones!$AB$158&amp;" "&amp;Milestones!$AC$158&amp;";  ","")&amp;IF(AND(EDATE($D71,Milestones!$AA$159)&lt;=AsOfDate,IF($R71=0,$X71,IF(AND($T71&lt;&gt;"",EDATE($D71,Milestones!$AA$159)&gt;=$T71),$W71,IF(AND($S71&lt;&gt;"",EDATE($D71,Milestones!$AA$159)&gt;=$S71),$V71,$U71)))=Milestones!$AB$159),UPPER(TEXT(EDATE($D71,Milestones!$AA$159),"dd mmm yy"))&amp;" "&amp;Milestones!$AB$159&amp;" "&amp;Milestones!$AC$159&amp;";  ",""))</f>
        <v/>
      </c>
      <c r="P71" s="0" t="str">
        <f aca="false">IF(OR($A71="",$D71=""),"",IF(AND(EDATE($D71,Milestones!$AA$160)&lt;=AsOfDate,IF($R71=0,$X71,IF(AND($T71&lt;&gt;"",EDATE($D71,Milestones!$AA$160)&gt;=$T71),$W71,IF(AND($S71&lt;&gt;"",EDATE($D71,Milestones!$AA$160)&gt;=$S71),$V71,$U71)))=Milestones!$AB$160),UPPER(TEXT(EDATE($D71,Milestones!$AA$160),"dd mmm yy"))&amp;" "&amp;Milestones!$AB$160&amp;" "&amp;Milestones!$AC$160&amp;";  ","")&amp;IF(AND(EDATE($D71,Milestones!$AA$161)&lt;=AsOfDate,IF($R71=0,$X71,IF(AND($T71&lt;&gt;"",EDATE($D71,Milestones!$AA$161)&gt;=$T71),$W71,IF(AND($S71&lt;&gt;"",EDATE($D71,Milestones!$AA$161)&gt;=$S71),$V71,$U71)))=Milestones!$AB$161),UPPER(TEXT(EDATE($D71,Milestones!$AA$161),"dd mmm yy"))&amp;" "&amp;Milestones!$AB$161&amp;" "&amp;Milestones!$AC$161&amp;";  ","")&amp;IF(AND(EDATE($D71,Milestones!$AA$162)&lt;=AsOfDate,IF($R71=0,$X71,IF(AND($T71&lt;&gt;"",EDATE($D71,Milestones!$AA$162)&gt;=$T71),$W71,IF(AND($S71&lt;&gt;"",EDATE($D71,Milestones!$AA$162)&gt;=$S71),$V71,$U71)))=Milestones!$AB$162),UPPER(TEXT(EDATE($D71,Milestones!$AA$162),"dd mmm yy"))&amp;" "&amp;Milestones!$AB$162&amp;" "&amp;Milestones!$AC$162&amp;";  ","")&amp;IF(AND(EDATE($D71,Milestones!$AA$163)&lt;=AsOfDate,IF($R71=0,$X71,IF(AND($T71&lt;&gt;"",EDATE($D71,Milestones!$AA$163)&gt;=$T71),$W71,IF(AND($S71&lt;&gt;"",EDATE($D71,Milestones!$AA$163)&gt;=$S71),$V71,$U71)))=Milestones!$AB$163),UPPER(TEXT(EDATE($D71,Milestones!$AA$163),"dd mmm yy"))&amp;" "&amp;Milestones!$AB$163&amp;" "&amp;Milestones!$AC$163&amp;";  ","")&amp;IF(AND(EDATE($D71,Milestones!$AA$164)&lt;=AsOfDate,IF($R71=0,$X71,IF(AND($T71&lt;&gt;"",EDATE($D71,Milestones!$AA$164)&gt;=$T71),$W71,IF(AND($S71&lt;&gt;"",EDATE($D71,Milestones!$AA$164)&gt;=$S71),$V71,$U71)))=Milestones!$AB$164),UPPER(TEXT(EDATE($D71,Milestones!$AA$164),"dd mmm yy"))&amp;" "&amp;Milestones!$AB$164&amp;" "&amp;Milestones!$AC$164&amp;";  ","")&amp;IF(AND(EDATE($D71,Milestones!$AA$165)&lt;=AsOfDate,IF($R71=0,$X71,IF(AND($T71&lt;&gt;"",EDATE($D71,Milestones!$AA$165)&gt;=$T71),$W71,IF(AND($S71&lt;&gt;"",EDATE($D71,Milestones!$AA$165)&gt;=$S71),$V71,$U71)))=Milestones!$AB$165),UPPER(TEXT(EDATE($D71,Milestones!$AA$165),"dd mmm yy"))&amp;" "&amp;Milestones!$AB$165&amp;" "&amp;Milestones!$AC$165&amp;";  ","")&amp;IF(AND(EDATE($D71,Milestones!$AA$166)&lt;=AsOfDate,IF($R71=0,$X71,IF(AND($T71&lt;&gt;"",EDATE($D71,Milestones!$AA$166)&gt;=$T71),$W71,IF(AND($S71&lt;&gt;"",EDATE($D71,Milestones!$AA$166)&gt;=$S71),$V71,$U71)))=Milestones!$AB$166),UPPER(TEXT(EDATE($D71,Milestones!$AA$166),"dd mmm yy"))&amp;" "&amp;Milestones!$AB$166&amp;" "&amp;Milestones!$AC$166&amp;";  ","")&amp;IF(AND(EDATE($D71,Milestones!$AA$167)&lt;=AsOfDate,IF($R71=0,$X71,IF(AND($T71&lt;&gt;"",EDATE($D71,Milestones!$AA$167)&gt;=$T71),$W71,IF(AND($S71&lt;&gt;"",EDATE($D71,Milestones!$AA$167)&gt;=$S71),$V71,$U71)))=Milestones!$AB$167),UPPER(TEXT(EDATE($D71,Milestones!$AA$167),"dd mmm yy"))&amp;" "&amp;Milestones!$AB$167&amp;" "&amp;Milestones!$AC$167&amp;";  ","")&amp;IF(AND(EDATE($D71,Milestones!$AA$168)&lt;=AsOfDate,IF($R71=0,$X71,IF(AND($T71&lt;&gt;"",EDATE($D71,Milestones!$AA$168)&gt;=$T71),$W71,IF(AND($S71&lt;&gt;"",EDATE($D71,Milestones!$AA$168)&gt;=$S71),$V71,$U71)))=Milestones!$AB$168),UPPER(TEXT(EDATE($D71,Milestones!$AA$168),"dd mmm yy"))&amp;" "&amp;Milestones!$AB$168&amp;" "&amp;Milestones!$AC$168&amp;";  ","")&amp;IF(AND(EDATE($D71,Milestones!$AA$169)&lt;=AsOfDate,IF($R71=0,$X71,IF(AND($T71&lt;&gt;"",EDATE($D71,Milestones!$AA$169)&gt;=$T71),$W71,IF(AND($S71&lt;&gt;"",EDATE($D71,Milestones!$AA$169)&gt;=$S71),$V71,$U71)))=Milestones!$AB$169),UPPER(TEXT(EDATE($D71,Milestones!$AA$169),"dd mmm yy"))&amp;" "&amp;Milestones!$AB$169&amp;" "&amp;Milestones!$AC$169&amp;";  ","")&amp;IF(AND(EDATE($D71,Milestones!$AA$170)&lt;=AsOfDate,IF($R71=0,$X71,IF(AND($T71&lt;&gt;"",EDATE($D71,Milestones!$AA$170)&gt;=$T71),$W71,IF(AND($S71&lt;&gt;"",EDATE($D71,Milestones!$AA$170)&gt;=$S71),$V71,$U71)))=Milestones!$AB$170),UPPER(TEXT(EDATE($D71,Milestones!$AA$170),"dd mmm yy"))&amp;" "&amp;Milestones!$AB$170&amp;" "&amp;Milestones!$AC$170&amp;";  ","")&amp;IF(AND(EDATE($D71,Milestones!$AA$171)&lt;=AsOfDate,IF($R71=0,$X71,IF(AND($T71&lt;&gt;"",EDATE($D71,Milestones!$AA$171)&gt;=$T71),$W71,IF(AND($S71&lt;&gt;"",EDATE($D71,Milestones!$AA$171)&gt;=$S71),$V71,$U71)))=Milestones!$AB$171),UPPER(TEXT(EDATE($D71,Milestones!$AA$171),"dd mmm yy"))&amp;" "&amp;Milestones!$AB$171&amp;" "&amp;Milestones!$AC$171&amp;";  ","")&amp;IF(AND(EDATE($D71,Milestones!$AA$172)&lt;=AsOfDate,IF($R71=0,$X71,IF(AND($T71&lt;&gt;"",EDATE($D71,Milestones!$AA$172)&gt;=$T71),$W71,IF(AND($S71&lt;&gt;"",EDATE($D71,Milestones!$AA$172)&gt;=$S71),$V71,$U71)))=Milestones!$AB$172),UPPER(TEXT(EDATE($D71,Milestones!$AA$172),"dd mmm yy"))&amp;" "&amp;Milestones!$AB$172&amp;" "&amp;Milestones!$AC$172&amp;";  ","")&amp;IF(AND(EDATE($D71,Milestones!$AA$173)&lt;=AsOfDate,IF($R71=0,$X71,IF(AND($T71&lt;&gt;"",EDATE($D71,Milestones!$AA$173)&gt;=$T71),$W71,IF(AND($S71&lt;&gt;"",EDATE($D71,Milestones!$AA$173)&gt;=$S71),$V71,$U71)))=Milestones!$AB$173),UPPER(TEXT(EDATE($D71,Milestones!$AA$173),"dd mmm yy"))&amp;" "&amp;Milestones!$AB$173&amp;" "&amp;Milestones!$AC$173&amp;";  ","")&amp;IF(AND(EDATE($D71,Milestones!$AA$174)&lt;=AsOfDate,IF($R71=0,$X71,IF(AND($T71&lt;&gt;"",EDATE($D71,Milestones!$AA$174)&gt;=$T71),$W71,IF(AND($S71&lt;&gt;"",EDATE($D71,Milestones!$AA$174)&gt;=$S71),$V71,$U71)))=Milestones!$AB$174),UPPER(TEXT(EDATE($D71,Milestones!$AA$174),"dd mmm yy"))&amp;" "&amp;Milestones!$AB$174&amp;" "&amp;Milestones!$AC$174&amp;";  ","")&amp;IF(AND(EDATE($D71,Milestones!$AA$175)&lt;=AsOfDate,IF($R71=0,$X71,IF(AND($T71&lt;&gt;"",EDATE($D71,Milestones!$AA$175)&gt;=$T71),$W71,IF(AND($S71&lt;&gt;"",EDATE($D71,Milestones!$AA$175)&gt;=$S71),$V71,$U71)))=Milestones!$AB$175),UPPER(TEXT(EDATE($D71,Milestones!$AA$175),"dd mmm yy"))&amp;" "&amp;Milestones!$AB$175&amp;" "&amp;Milestones!$AC$175&amp;";  ","")&amp;IF(AND(EDATE($D71,Milestones!$AA$176)&lt;=AsOfDate,IF($R71=0,$X71,IF(AND($T71&lt;&gt;"",EDATE($D71,Milestones!$AA$176)&gt;=$T71),$W71,IF(AND($S71&lt;&gt;"",EDATE($D71,Milestones!$AA$176)&gt;=$S71),$V71,$U71)))=Milestones!$AB$176),UPPER(TEXT(EDATE($D71,Milestones!$AA$176),"dd mmm yy"))&amp;" "&amp;Milestones!$AB$176&amp;" "&amp;Milestones!$AC$176&amp;";  ","")&amp;IF(AND(EDATE($D71,Milestones!$AA$177)&lt;=AsOfDate,IF($R71=0,$X71,IF(AND($T71&lt;&gt;"",EDATE($D71,Milestones!$AA$177)&gt;=$T71),$W71,IF(AND($S71&lt;&gt;"",EDATE($D71,Milestones!$AA$177)&gt;=$S71),$V71,$U71)))=Milestones!$AB$177),UPPER(TEXT(EDATE($D71,Milestones!$AA$177),"dd mmm yy"))&amp;" "&amp;Milestones!$AB$177&amp;" "&amp;Milestones!$AC$177&amp;";  ","")&amp;IF(AND(EDATE($D71,Milestones!$AA$178)&lt;=AsOfDate,IF($R71=0,$X71,IF(AND($T71&lt;&gt;"",EDATE($D71,Milestones!$AA$178)&gt;=$T71),$W71,IF(AND($S71&lt;&gt;"",EDATE($D71,Milestones!$AA$178)&gt;=$S71),$V71,$U71)))=Milestones!$AB$178),UPPER(TEXT(EDATE($D71,Milestones!$AA$178),"dd mmm yy"))&amp;" "&amp;Milestones!$AB$178&amp;" "&amp;Milestones!$AC$178&amp;";  ","")&amp;IF(AND(EDATE($D71,Milestones!$AA$179)&lt;=AsOfDate,IF($R71=0,$X71,IF(AND($T71&lt;&gt;"",EDATE($D71,Milestones!$AA$179)&gt;=$T71),$W71,IF(AND($S71&lt;&gt;"",EDATE($D71,Milestones!$AA$179)&gt;=$S71),$V71,$U71)))=Milestones!$AB$179),UPPER(TEXT(EDATE($D71,Milestones!$AA$179),"dd mmm yy"))&amp;" "&amp;Milestones!$AB$179&amp;" "&amp;Milestones!$AC$179&amp;";  ",""))</f>
        <v/>
      </c>
      <c r="Q71" s="0" t="str">
        <f aca="false">IF(OR($A71="",$D71=""),"",IF(AND(EDATE($D71,Milestones!$AA$180)&lt;=AsOfDate,IF($R71=0,$X71,IF(AND($T71&lt;&gt;"",EDATE($D71,Milestones!$AA$180)&gt;=$T71),$W71,IF(AND($S71&lt;&gt;"",EDATE($D71,Milestones!$AA$180)&gt;=$S71),$V71,$U71)))=Milestones!$AB$180),UPPER(TEXT(EDATE($D71,Milestones!$AA$180),"dd mmm yy"))&amp;" "&amp;Milestones!$AB$180&amp;" "&amp;Milestones!$AC$180&amp;";  ","")&amp;IF(AND(EDATE($D71,Milestones!$AA$181)&lt;=AsOfDate,IF($R71=0,$X71,IF(AND($T71&lt;&gt;"",EDATE($D71,Milestones!$AA$181)&gt;=$T71),$W71,IF(AND($S71&lt;&gt;"",EDATE($D71,Milestones!$AA$181)&gt;=$S71),$V71,$U71)))=Milestones!$AB$181),UPPER(TEXT(EDATE($D71,Milestones!$AA$181),"dd mmm yy"))&amp;" "&amp;Milestones!$AB$181&amp;" "&amp;Milestones!$AC$181&amp;";  ","")&amp;IF(AND(EDATE($D71,Milestones!$AA$182)&lt;=AsOfDate,IF($R71=0,$X71,IF(AND($T71&lt;&gt;"",EDATE($D71,Milestones!$AA$182)&gt;=$T71),$W71,IF(AND($S71&lt;&gt;"",EDATE($D71,Milestones!$AA$182)&gt;=$S71),$V71,$U71)))=Milestones!$AB$182),UPPER(TEXT(EDATE($D71,Milestones!$AA$182),"dd mmm yy"))&amp;" "&amp;Milestones!$AB$182&amp;" "&amp;Milestones!$AC$182&amp;";  ","")&amp;IF(AND(EDATE($D71,Milestones!$AA$183)&lt;=AsOfDate,IF($R71=0,$X71,IF(AND($T71&lt;&gt;"",EDATE($D71,Milestones!$AA$183)&gt;=$T71),$W71,IF(AND($S71&lt;&gt;"",EDATE($D71,Milestones!$AA$183)&gt;=$S71),$V71,$U71)))=Milestones!$AB$183),UPPER(TEXT(EDATE($D71,Milestones!$AA$183),"dd mmm yy"))&amp;" "&amp;Milestones!$AB$183&amp;" "&amp;Milestones!$AC$183&amp;";  ","")&amp;IF(AND(EDATE($D71,Milestones!$AA$184)&lt;=AsOfDate,IF($R71=0,$X71,IF(AND($T71&lt;&gt;"",EDATE($D71,Milestones!$AA$184)&gt;=$T71),$W71,IF(AND($S71&lt;&gt;"",EDATE($D71,Milestones!$AA$184)&gt;=$S71),$V71,$U71)))=Milestones!$AB$184),UPPER(TEXT(EDATE($D71,Milestones!$AA$184),"dd mmm yy"))&amp;" "&amp;Milestones!$AB$184&amp;" "&amp;Milestones!$AC$184&amp;";  ","")&amp;IF(AND(EDATE($D71,Milestones!$AA$185)&lt;=AsOfDate,IF($R71=0,$X71,IF(AND($T71&lt;&gt;"",EDATE($D71,Milestones!$AA$185)&gt;=$T71),$W71,IF(AND($S71&lt;&gt;"",EDATE($D71,Milestones!$AA$185)&gt;=$S71),$V71,$U71)))=Milestones!$AB$185),UPPER(TEXT(EDATE($D71,Milestones!$AA$185),"dd mmm yy"))&amp;" "&amp;Milestones!$AB$185&amp;" "&amp;Milestones!$AC$185&amp;";  ","")&amp;IF(AND(EDATE($D71,Milestones!$AA$186)&lt;=AsOfDate,IF($R71=0,$X71,IF(AND($T71&lt;&gt;"",EDATE($D71,Milestones!$AA$186)&gt;=$T71),$W71,IF(AND($S71&lt;&gt;"",EDATE($D71,Milestones!$AA$186)&gt;=$S71),$V71,$U71)))=Milestones!$AB$186),UPPER(TEXT(EDATE($D71,Milestones!$AA$186),"dd mmm yy"))&amp;" "&amp;Milestones!$AB$186&amp;" "&amp;Milestones!$AC$186&amp;";  ","")&amp;IF(AND(EDATE($D71,Milestones!$AA$187)&lt;=AsOfDate,IF($R71=0,$X71,IF(AND($T71&lt;&gt;"",EDATE($D71,Milestones!$AA$187)&gt;=$T71),$W71,IF(AND($S71&lt;&gt;"",EDATE($D71,Milestones!$AA$187)&gt;=$S71),$V71,$U71)))=Milestones!$AB$187),UPPER(TEXT(EDATE($D71,Milestones!$AA$187),"dd mmm yy"))&amp;" "&amp;Milestones!$AB$187&amp;" "&amp;Milestones!$AC$187&amp;";  ","")&amp;IF(AND(EDATE($D71,Milestones!$AA$188)&lt;=AsOfDate,IF($R71=0,$X71,IF(AND($T71&lt;&gt;"",EDATE($D71,Milestones!$AA$188)&gt;=$T71),$W71,IF(AND($S71&lt;&gt;"",EDATE($D71,Milestones!$AA$188)&gt;=$S71),$V71,$U71)))=Milestones!$AB$188),UPPER(TEXT(EDATE($D71,Milestones!$AA$188),"dd mmm yy"))&amp;" "&amp;Milestones!$AB$188&amp;" "&amp;Milestones!$AC$188&amp;";  ","")&amp;IF(AND(EDATE($D71,Milestones!$AA$189)&lt;=AsOfDate,IF($R71=0,$X71,IF(AND($T71&lt;&gt;"",EDATE($D71,Milestones!$AA$189)&gt;=$T71),$W71,IF(AND($S71&lt;&gt;"",EDATE($D71,Milestones!$AA$189)&gt;=$S71),$V71,$U71)))=Milestones!$AB$189),UPPER(TEXT(EDATE($D71,Milestones!$AA$189),"dd mmm yy"))&amp;" "&amp;Milestones!$AB$189&amp;" "&amp;Milestones!$AC$189&amp;";  ","")&amp;IF(AND(EDATE($D71,Milestones!$AA$190)&lt;=AsOfDate,IF($R71=0,$X71,IF(AND($T71&lt;&gt;"",EDATE($D71,Milestones!$AA$190)&gt;=$T71),$W71,IF(AND($S71&lt;&gt;"",EDATE($D71,Milestones!$AA$190)&gt;=$S71),$V71,$U71)))=Milestones!$AB$190),UPPER(TEXT(EDATE($D71,Milestones!$AA$190),"dd mmm yy"))&amp;" "&amp;Milestones!$AB$190&amp;" "&amp;Milestones!$AC$190&amp;";  ","")&amp;IF(AND(EDATE($D71,Milestones!$AA$191)&lt;=AsOfDate,IF($R71=0,$X71,IF(AND($T71&lt;&gt;"",EDATE($D71,Milestones!$AA$191)&gt;=$T71),$W71,IF(AND($S71&lt;&gt;"",EDATE($D71,Milestones!$AA$191)&gt;=$S71),$V71,$U71)))=Milestones!$AB$191),UPPER(TEXT(EDATE($D71,Milestones!$AA$191),"dd mmm yy"))&amp;" "&amp;Milestones!$AB$191&amp;" "&amp;Milestones!$AC$191&amp;";  ","")&amp;IF(AND(EDATE($D71,Milestones!$AA$192)&lt;=AsOfDate,IF($R71=0,$X71,IF(AND($T71&lt;&gt;"",EDATE($D71,Milestones!$AA$192)&gt;=$T71),$W71,IF(AND($S71&lt;&gt;"",EDATE($D71,Milestones!$AA$192)&gt;=$S71),$V71,$U71)))=Milestones!$AB$192),UPPER(TEXT(EDATE($D71,Milestones!$AA$192),"dd mmm yy"))&amp;" "&amp;Milestones!$AB$192&amp;" "&amp;Milestones!$AC$192&amp;";  ","")&amp;IF(AND(EDATE($D71,Milestones!$AA$193)&lt;=AsOfDate,IF($R71=0,$X71,IF(AND($T71&lt;&gt;"",EDATE($D71,Milestones!$AA$193)&gt;=$T71),$W71,IF(AND($S71&lt;&gt;"",EDATE($D71,Milestones!$AA$193)&gt;=$S71),$V71,$U71)))=Milestones!$AB$193),UPPER(TEXT(EDATE($D71,Milestones!$AA$193),"dd mmm yy"))&amp;" "&amp;Milestones!$AB$193&amp;" "&amp;Milestones!$AC$193&amp;";  ","")&amp;IF(AND(EDATE($D71,Milestones!$AA$194)&lt;=AsOfDate,IF($R71=0,$X71,IF(AND($T71&lt;&gt;"",EDATE($D71,Milestones!$AA$194)&gt;=$T71),$W71,IF(AND($S71&lt;&gt;"",EDATE($D71,Milestones!$AA$194)&gt;=$S71),$V71,$U71)))=Milestones!$AB$194),UPPER(TEXT(EDATE($D71,Milestones!$AA$194),"dd mmm yy"))&amp;" "&amp;Milestones!$AB$194&amp;" "&amp;Milestones!$AC$194&amp;";  ","")&amp;IF(AND(EDATE($D71,Milestones!$AA$195)&lt;=AsOfDate,IF($R71=0,$X71,IF(AND($T71&lt;&gt;"",EDATE($D71,Milestones!$AA$195)&gt;=$T71),$W71,IF(AND($S71&lt;&gt;"",EDATE($D71,Milestones!$AA$195)&gt;=$S71),$V71,$U71)))=Milestones!$AB$195),UPPER(TEXT(EDATE($D71,Milestones!$AA$195),"dd mmm yy"))&amp;" "&amp;Milestones!$AB$195&amp;" "&amp;Milestones!$AC$195&amp;";  ","")&amp;IF(AND(EDATE($D71,Milestones!$AA$196)&lt;=AsOfDate,IF($R71=0,$X71,IF(AND($T71&lt;&gt;"",EDATE($D71,Milestones!$AA$196)&gt;=$T71),$W71,IF(AND($S71&lt;&gt;"",EDATE($D71,Milestones!$AA$196)&gt;=$S71),$V71,$U71)))=Milestones!$AB$196),UPPER(TEXT(EDATE($D71,Milestones!$AA$196),"dd mmm yy"))&amp;" "&amp;Milestones!$AB$196&amp;" "&amp;Milestones!$AC$196&amp;";  ","")&amp;IF(AND(EDATE($D71,Milestones!$AA$197)&lt;=AsOfDate,IF($R71=0,$X71,IF(AND($T71&lt;&gt;"",EDATE($D71,Milestones!$AA$197)&gt;=$T71),$W71,IF(AND($S71&lt;&gt;"",EDATE($D71,Milestones!$AA$197)&gt;=$S71),$V71,$U71)))=Milestones!$AB$197),UPPER(TEXT(EDATE($D71,Milestones!$AA$197),"dd mmm yy"))&amp;" "&amp;Milestones!$AB$197&amp;" "&amp;Milestones!$AC$197&amp;";  ","")&amp;IF(AND(EDATE($D71,Milestones!$AA$198)&lt;=AsOfDate,IF($R71=0,$X71,IF(AND($T71&lt;&gt;"",EDATE($D71,Milestones!$AA$198)&gt;=$T71),$W71,IF(AND($S71&lt;&gt;"",EDATE($D71,Milestones!$AA$198)&gt;=$S71),$V71,$U71)))=Milestones!$AB$198),UPPER(TEXT(EDATE($D71,Milestones!$AA$198),"dd mmm yy"))&amp;" "&amp;Milestones!$AB$198&amp;" "&amp;Milestones!$AC$198&amp;";  ","")&amp;IF(AND(EDATE($D71,Milestones!$AA$199)&lt;=AsOfDate,IF($R71=0,$X71,IF(AND($T71&lt;&gt;"",EDATE($D71,Milestones!$AA$199)&gt;=$T71),$W71,IF(AND($S71&lt;&gt;"",EDATE($D71,Milestones!$AA$199)&gt;=$S71),$V71,$U71)))=Milestones!$AB$199),UPPER(TEXT(EDATE($D71,Milestones!$AA$199),"dd mmm yy"))&amp;" "&amp;Milestones!$AB$199&amp;" "&amp;Milestones!$AC$199&amp;";  ",""))</f>
        <v/>
      </c>
      <c r="R71" s="33" t="n">
        <f aca="false">IF(Staff!$A71="","",Staff!$AI71)</f>
        <v>1</v>
      </c>
      <c r="S71" s="0" t="str">
        <f aca="false">IF(Staff!$A71="","",Staff!$AK71)</f>
        <v/>
      </c>
      <c r="T71" s="0" t="str">
        <f aca="false">IF(Staff!$A71="","",Staff!$AL71)</f>
        <v/>
      </c>
      <c r="U71" s="0" t="str">
        <f aca="false">IF(Staff!$A71="","",Staff!$AP71)</f>
        <v>FT</v>
      </c>
      <c r="V71" s="0" t="str">
        <f aca="false">IF(Staff!$A71="","",Staff!$AQ71)</f>
        <v/>
      </c>
      <c r="W71" s="0" t="str">
        <f aca="false">IF(Staff!$A71="","",Staff!$AR71)</f>
        <v/>
      </c>
      <c r="X71" s="0" t="str">
        <f aca="false">IF(Staff!$A71="","",Staff!$AS71)</f>
        <v>FT</v>
      </c>
    </row>
    <row r="72" customFormat="false" ht="15" hidden="false" customHeight="false" outlineLevel="0" collapsed="false">
      <c r="A72" s="19" t="str">
        <f aca="false">IF(Staff!$A72="","",Staff!$A72)</f>
        <v>Zach</v>
      </c>
      <c r="B72" s="19" t="str">
        <f aca="false">IF(Staff!$A72="","",Staff!$B72)</f>
        <v>Lecher</v>
      </c>
      <c r="C72" s="19" t="str">
        <f aca="false">IF(Staff!$A72="","",Staff!$C72)</f>
        <v>Casual</v>
      </c>
      <c r="D72" s="17" t="n">
        <f aca="false">IF(Staff!$A72="","",Staff!$AH72)</f>
        <v>45859</v>
      </c>
      <c r="E72" s="20" t="n">
        <f aca="false">IF(Staff!$A72="","",Staff!$O72)</f>
        <v>0</v>
      </c>
      <c r="F72" s="19" t="n">
        <f aca="false">IF(E72="","",E72*HoursPerDay)</f>
        <v>0</v>
      </c>
      <c r="G72" s="20" t="n">
        <f aca="false">IF(Staff!$A72="","",Staff!$AE72)</f>
        <v>0</v>
      </c>
      <c r="H72" s="32" t="str">
        <f aca="false">IF($A72="","",I72&amp;J72&amp;K72&amp;L72&amp;M72&amp;N72&amp;O72&amp;P72&amp;Q72)</f>
        <v/>
      </c>
      <c r="I72" s="0" t="str">
        <f aca="false">IF(OR($A72="",$D72=""),"",IF(AND(EDATE($D72,Milestones!$AA$20)&lt;=AsOfDate,IF($R72=0,$X72,IF(AND($T72&lt;&gt;"",EDATE($D72,Milestones!$AA$20)&gt;=$T72),$W72,IF(AND($S72&lt;&gt;"",EDATE($D72,Milestones!$AA$20)&gt;=$S72),$V72,$U72)))=Milestones!$AB$20),UPPER(TEXT(EDATE($D72,Milestones!$AA$20),"dd mmm yy"))&amp;" "&amp;Milestones!$AB$20&amp;" "&amp;Milestones!$AC$20&amp;";  ","")&amp;IF(AND(EDATE($D72,Milestones!$AA$21)&lt;=AsOfDate,IF($R72=0,$X72,IF(AND($T72&lt;&gt;"",EDATE($D72,Milestones!$AA$21)&gt;=$T72),$W72,IF(AND($S72&lt;&gt;"",EDATE($D72,Milestones!$AA$21)&gt;=$S72),$V72,$U72)))=Milestones!$AB$21),UPPER(TEXT(EDATE($D72,Milestones!$AA$21),"dd mmm yy"))&amp;" "&amp;Milestones!$AB$21&amp;" "&amp;Milestones!$AC$21&amp;";  ","")&amp;IF(AND(EDATE($D72,Milestones!$AA$22)&lt;=AsOfDate,IF($R72=0,$X72,IF(AND($T72&lt;&gt;"",EDATE($D72,Milestones!$AA$22)&gt;=$T72),$W72,IF(AND($S72&lt;&gt;"",EDATE($D72,Milestones!$AA$22)&gt;=$S72),$V72,$U72)))=Milestones!$AB$22),UPPER(TEXT(EDATE($D72,Milestones!$AA$22),"dd mmm yy"))&amp;" "&amp;Milestones!$AB$22&amp;" "&amp;Milestones!$AC$22&amp;";  ","")&amp;IF(AND(EDATE($D72,Milestones!$AA$23)&lt;=AsOfDate,IF($R72=0,$X72,IF(AND($T72&lt;&gt;"",EDATE($D72,Milestones!$AA$23)&gt;=$T72),$W72,IF(AND($S72&lt;&gt;"",EDATE($D72,Milestones!$AA$23)&gt;=$S72),$V72,$U72)))=Milestones!$AB$23),UPPER(TEXT(EDATE($D72,Milestones!$AA$23),"dd mmm yy"))&amp;" "&amp;Milestones!$AB$23&amp;" "&amp;Milestones!$AC$23&amp;";  ","")&amp;IF(AND(EDATE($D72,Milestones!$AA$24)&lt;=AsOfDate,IF($R72=0,$X72,IF(AND($T72&lt;&gt;"",EDATE($D72,Milestones!$AA$24)&gt;=$T72),$W72,IF(AND($S72&lt;&gt;"",EDATE($D72,Milestones!$AA$24)&gt;=$S72),$V72,$U72)))=Milestones!$AB$24),UPPER(TEXT(EDATE($D72,Milestones!$AA$24),"dd mmm yy"))&amp;" "&amp;Milestones!$AB$24&amp;" "&amp;Milestones!$AC$24&amp;";  ","")&amp;IF(AND(EDATE($D72,Milestones!$AA$25)&lt;=AsOfDate,IF($R72=0,$X72,IF(AND($T72&lt;&gt;"",EDATE($D72,Milestones!$AA$25)&gt;=$T72),$W72,IF(AND($S72&lt;&gt;"",EDATE($D72,Milestones!$AA$25)&gt;=$S72),$V72,$U72)))=Milestones!$AB$25),UPPER(TEXT(EDATE($D72,Milestones!$AA$25),"dd mmm yy"))&amp;" "&amp;Milestones!$AB$25&amp;" "&amp;Milestones!$AC$25&amp;";  ","")&amp;IF(AND(EDATE($D72,Milestones!$AA$26)&lt;=AsOfDate,IF($R72=0,$X72,IF(AND($T72&lt;&gt;"",EDATE($D72,Milestones!$AA$26)&gt;=$T72),$W72,IF(AND($S72&lt;&gt;"",EDATE($D72,Milestones!$AA$26)&gt;=$S72),$V72,$U72)))=Milestones!$AB$26),UPPER(TEXT(EDATE($D72,Milestones!$AA$26),"dd mmm yy"))&amp;" "&amp;Milestones!$AB$26&amp;" "&amp;Milestones!$AC$26&amp;";  ","")&amp;IF(AND(EDATE($D72,Milestones!$AA$27)&lt;=AsOfDate,IF($R72=0,$X72,IF(AND($T72&lt;&gt;"",EDATE($D72,Milestones!$AA$27)&gt;=$T72),$W72,IF(AND($S72&lt;&gt;"",EDATE($D72,Milestones!$AA$27)&gt;=$S72),$V72,$U72)))=Milestones!$AB$27),UPPER(TEXT(EDATE($D72,Milestones!$AA$27),"dd mmm yy"))&amp;" "&amp;Milestones!$AB$27&amp;" "&amp;Milestones!$AC$27&amp;";  ","")&amp;IF(AND(EDATE($D72,Milestones!$AA$28)&lt;=AsOfDate,IF($R72=0,$X72,IF(AND($T72&lt;&gt;"",EDATE($D72,Milestones!$AA$28)&gt;=$T72),$W72,IF(AND($S72&lt;&gt;"",EDATE($D72,Milestones!$AA$28)&gt;=$S72),$V72,$U72)))=Milestones!$AB$28),UPPER(TEXT(EDATE($D72,Milestones!$AA$28),"dd mmm yy"))&amp;" "&amp;Milestones!$AB$28&amp;" "&amp;Milestones!$AC$28&amp;";  ","")&amp;IF(AND(EDATE($D72,Milestones!$AA$29)&lt;=AsOfDate,IF($R72=0,$X72,IF(AND($T72&lt;&gt;"",EDATE($D72,Milestones!$AA$29)&gt;=$T72),$W72,IF(AND($S72&lt;&gt;"",EDATE($D72,Milestones!$AA$29)&gt;=$S72),$V72,$U72)))=Milestones!$AB$29),UPPER(TEXT(EDATE($D72,Milestones!$AA$29),"dd mmm yy"))&amp;" "&amp;Milestones!$AB$29&amp;" "&amp;Milestones!$AC$29&amp;";  ","")&amp;IF(AND(EDATE($D72,Milestones!$AA$30)&lt;=AsOfDate,IF($R72=0,$X72,IF(AND($T72&lt;&gt;"",EDATE($D72,Milestones!$AA$30)&gt;=$T72),$W72,IF(AND($S72&lt;&gt;"",EDATE($D72,Milestones!$AA$30)&gt;=$S72),$V72,$U72)))=Milestones!$AB$30),UPPER(TEXT(EDATE($D72,Milestones!$AA$30),"dd mmm yy"))&amp;" "&amp;Milestones!$AB$30&amp;" "&amp;Milestones!$AC$30&amp;";  ","")&amp;IF(AND(EDATE($D72,Milestones!$AA$31)&lt;=AsOfDate,IF($R72=0,$X72,IF(AND($T72&lt;&gt;"",EDATE($D72,Milestones!$AA$31)&gt;=$T72),$W72,IF(AND($S72&lt;&gt;"",EDATE($D72,Milestones!$AA$31)&gt;=$S72),$V72,$U72)))=Milestones!$AB$31),UPPER(TEXT(EDATE($D72,Milestones!$AA$31),"dd mmm yy"))&amp;" "&amp;Milestones!$AB$31&amp;" "&amp;Milestones!$AC$31&amp;";  ","")&amp;IF(AND(EDATE($D72,Milestones!$AA$32)&lt;=AsOfDate,IF($R72=0,$X72,IF(AND($T72&lt;&gt;"",EDATE($D72,Milestones!$AA$32)&gt;=$T72),$W72,IF(AND($S72&lt;&gt;"",EDATE($D72,Milestones!$AA$32)&gt;=$S72),$V72,$U72)))=Milestones!$AB$32),UPPER(TEXT(EDATE($D72,Milestones!$AA$32),"dd mmm yy"))&amp;" "&amp;Milestones!$AB$32&amp;" "&amp;Milestones!$AC$32&amp;";  ","")&amp;IF(AND(EDATE($D72,Milestones!$AA$33)&lt;=AsOfDate,IF($R72=0,$X72,IF(AND($T72&lt;&gt;"",EDATE($D72,Milestones!$AA$33)&gt;=$T72),$W72,IF(AND($S72&lt;&gt;"",EDATE($D72,Milestones!$AA$33)&gt;=$S72),$V72,$U72)))=Milestones!$AB$33),UPPER(TEXT(EDATE($D72,Milestones!$AA$33),"dd mmm yy"))&amp;" "&amp;Milestones!$AB$33&amp;" "&amp;Milestones!$AC$33&amp;";  ","")&amp;IF(AND(EDATE($D72,Milestones!$AA$34)&lt;=AsOfDate,IF($R72=0,$X72,IF(AND($T72&lt;&gt;"",EDATE($D72,Milestones!$AA$34)&gt;=$T72),$W72,IF(AND($S72&lt;&gt;"",EDATE($D72,Milestones!$AA$34)&gt;=$S72),$V72,$U72)))=Milestones!$AB$34),UPPER(TEXT(EDATE($D72,Milestones!$AA$34),"dd mmm yy"))&amp;" "&amp;Milestones!$AB$34&amp;" "&amp;Milestones!$AC$34&amp;";  ","")&amp;IF(AND(EDATE($D72,Milestones!$AA$35)&lt;=AsOfDate,IF($R72=0,$X72,IF(AND($T72&lt;&gt;"",EDATE($D72,Milestones!$AA$35)&gt;=$T72),$W72,IF(AND($S72&lt;&gt;"",EDATE($D72,Milestones!$AA$35)&gt;=$S72),$V72,$U72)))=Milestones!$AB$35),UPPER(TEXT(EDATE($D72,Milestones!$AA$35),"dd mmm yy"))&amp;" "&amp;Milestones!$AB$35&amp;" "&amp;Milestones!$AC$35&amp;";  ","")&amp;IF(AND(EDATE($D72,Milestones!$AA$36)&lt;=AsOfDate,IF($R72=0,$X72,IF(AND($T72&lt;&gt;"",EDATE($D72,Milestones!$AA$36)&gt;=$T72),$W72,IF(AND($S72&lt;&gt;"",EDATE($D72,Milestones!$AA$36)&gt;=$S72),$V72,$U72)))=Milestones!$AB$36),UPPER(TEXT(EDATE($D72,Milestones!$AA$36),"dd mmm yy"))&amp;" "&amp;Milestones!$AB$36&amp;" "&amp;Milestones!$AC$36&amp;";  ","")&amp;IF(AND(EDATE($D72,Milestones!$AA$37)&lt;=AsOfDate,IF($R72=0,$X72,IF(AND($T72&lt;&gt;"",EDATE($D72,Milestones!$AA$37)&gt;=$T72),$W72,IF(AND($S72&lt;&gt;"",EDATE($D72,Milestones!$AA$37)&gt;=$S72),$V72,$U72)))=Milestones!$AB$37),UPPER(TEXT(EDATE($D72,Milestones!$AA$37),"dd mmm yy"))&amp;" "&amp;Milestones!$AB$37&amp;" "&amp;Milestones!$AC$37&amp;";  ","")&amp;IF(AND(EDATE($D72,Milestones!$AA$38)&lt;=AsOfDate,IF($R72=0,$X72,IF(AND($T72&lt;&gt;"",EDATE($D72,Milestones!$AA$38)&gt;=$T72),$W72,IF(AND($S72&lt;&gt;"",EDATE($D72,Milestones!$AA$38)&gt;=$S72),$V72,$U72)))=Milestones!$AB$38),UPPER(TEXT(EDATE($D72,Milestones!$AA$38),"dd mmm yy"))&amp;" "&amp;Milestones!$AB$38&amp;" "&amp;Milestones!$AC$38&amp;";  ","")&amp;IF(AND(EDATE($D72,Milestones!$AA$39)&lt;=AsOfDate,IF($R72=0,$X72,IF(AND($T72&lt;&gt;"",EDATE($D72,Milestones!$AA$39)&gt;=$T72),$W72,IF(AND($S72&lt;&gt;"",EDATE($D72,Milestones!$AA$39)&gt;=$S72),$V72,$U72)))=Milestones!$AB$39),UPPER(TEXT(EDATE($D72,Milestones!$AA$39),"dd mmm yy"))&amp;" "&amp;Milestones!$AB$39&amp;" "&amp;Milestones!$AC$39&amp;";  ",""))</f>
        <v/>
      </c>
      <c r="J72" s="0" t="str">
        <f aca="false">IF(OR($A72="",$D72=""),"",IF(AND(EDATE($D72,Milestones!$AA$40)&lt;=AsOfDate,IF($R72=0,$X72,IF(AND($T72&lt;&gt;"",EDATE($D72,Milestones!$AA$40)&gt;=$T72),$W72,IF(AND($S72&lt;&gt;"",EDATE($D72,Milestones!$AA$40)&gt;=$S72),$V72,$U72)))=Milestones!$AB$40),UPPER(TEXT(EDATE($D72,Milestones!$AA$40),"dd mmm yy"))&amp;" "&amp;Milestones!$AB$40&amp;" "&amp;Milestones!$AC$40&amp;";  ","")&amp;IF(AND(EDATE($D72,Milestones!$AA$41)&lt;=AsOfDate,IF($R72=0,$X72,IF(AND($T72&lt;&gt;"",EDATE($D72,Milestones!$AA$41)&gt;=$T72),$W72,IF(AND($S72&lt;&gt;"",EDATE($D72,Milestones!$AA$41)&gt;=$S72),$V72,$U72)))=Milestones!$AB$41),UPPER(TEXT(EDATE($D72,Milestones!$AA$41),"dd mmm yy"))&amp;" "&amp;Milestones!$AB$41&amp;" "&amp;Milestones!$AC$41&amp;";  ","")&amp;IF(AND(EDATE($D72,Milestones!$AA$42)&lt;=AsOfDate,IF($R72=0,$X72,IF(AND($T72&lt;&gt;"",EDATE($D72,Milestones!$AA$42)&gt;=$T72),$W72,IF(AND($S72&lt;&gt;"",EDATE($D72,Milestones!$AA$42)&gt;=$S72),$V72,$U72)))=Milestones!$AB$42),UPPER(TEXT(EDATE($D72,Milestones!$AA$42),"dd mmm yy"))&amp;" "&amp;Milestones!$AB$42&amp;" "&amp;Milestones!$AC$42&amp;";  ","")&amp;IF(AND(EDATE($D72,Milestones!$AA$43)&lt;=AsOfDate,IF($R72=0,$X72,IF(AND($T72&lt;&gt;"",EDATE($D72,Milestones!$AA$43)&gt;=$T72),$W72,IF(AND($S72&lt;&gt;"",EDATE($D72,Milestones!$AA$43)&gt;=$S72),$V72,$U72)))=Milestones!$AB$43),UPPER(TEXT(EDATE($D72,Milestones!$AA$43),"dd mmm yy"))&amp;" "&amp;Milestones!$AB$43&amp;" "&amp;Milestones!$AC$43&amp;";  ","")&amp;IF(AND(EDATE($D72,Milestones!$AA$44)&lt;=AsOfDate,IF($R72=0,$X72,IF(AND($T72&lt;&gt;"",EDATE($D72,Milestones!$AA$44)&gt;=$T72),$W72,IF(AND($S72&lt;&gt;"",EDATE($D72,Milestones!$AA$44)&gt;=$S72),$V72,$U72)))=Milestones!$AB$44),UPPER(TEXT(EDATE($D72,Milestones!$AA$44),"dd mmm yy"))&amp;" "&amp;Milestones!$AB$44&amp;" "&amp;Milestones!$AC$44&amp;";  ","")&amp;IF(AND(EDATE($D72,Milestones!$AA$45)&lt;=AsOfDate,IF($R72=0,$X72,IF(AND($T72&lt;&gt;"",EDATE($D72,Milestones!$AA$45)&gt;=$T72),$W72,IF(AND($S72&lt;&gt;"",EDATE($D72,Milestones!$AA$45)&gt;=$S72),$V72,$U72)))=Milestones!$AB$45),UPPER(TEXT(EDATE($D72,Milestones!$AA$45),"dd mmm yy"))&amp;" "&amp;Milestones!$AB$45&amp;" "&amp;Milestones!$AC$45&amp;";  ","")&amp;IF(AND(EDATE($D72,Milestones!$AA$46)&lt;=AsOfDate,IF($R72=0,$X72,IF(AND($T72&lt;&gt;"",EDATE($D72,Milestones!$AA$46)&gt;=$T72),$W72,IF(AND($S72&lt;&gt;"",EDATE($D72,Milestones!$AA$46)&gt;=$S72),$V72,$U72)))=Milestones!$AB$46),UPPER(TEXT(EDATE($D72,Milestones!$AA$46),"dd mmm yy"))&amp;" "&amp;Milestones!$AB$46&amp;" "&amp;Milestones!$AC$46&amp;";  ","")&amp;IF(AND(EDATE($D72,Milestones!$AA$47)&lt;=AsOfDate,IF($R72=0,$X72,IF(AND($T72&lt;&gt;"",EDATE($D72,Milestones!$AA$47)&gt;=$T72),$W72,IF(AND($S72&lt;&gt;"",EDATE($D72,Milestones!$AA$47)&gt;=$S72),$V72,$U72)))=Milestones!$AB$47),UPPER(TEXT(EDATE($D72,Milestones!$AA$47),"dd mmm yy"))&amp;" "&amp;Milestones!$AB$47&amp;" "&amp;Milestones!$AC$47&amp;";  ","")&amp;IF(AND(EDATE($D72,Milestones!$AA$48)&lt;=AsOfDate,IF($R72=0,$X72,IF(AND($T72&lt;&gt;"",EDATE($D72,Milestones!$AA$48)&gt;=$T72),$W72,IF(AND($S72&lt;&gt;"",EDATE($D72,Milestones!$AA$48)&gt;=$S72),$V72,$U72)))=Milestones!$AB$48),UPPER(TEXT(EDATE($D72,Milestones!$AA$48),"dd mmm yy"))&amp;" "&amp;Milestones!$AB$48&amp;" "&amp;Milestones!$AC$48&amp;";  ","")&amp;IF(AND(EDATE($D72,Milestones!$AA$49)&lt;=AsOfDate,IF($R72=0,$X72,IF(AND($T72&lt;&gt;"",EDATE($D72,Milestones!$AA$49)&gt;=$T72),$W72,IF(AND($S72&lt;&gt;"",EDATE($D72,Milestones!$AA$49)&gt;=$S72),$V72,$U72)))=Milestones!$AB$49),UPPER(TEXT(EDATE($D72,Milestones!$AA$49),"dd mmm yy"))&amp;" "&amp;Milestones!$AB$49&amp;" "&amp;Milestones!$AC$49&amp;";  ","")&amp;IF(AND(EDATE($D72,Milestones!$AA$50)&lt;=AsOfDate,IF($R72=0,$X72,IF(AND($T72&lt;&gt;"",EDATE($D72,Milestones!$AA$50)&gt;=$T72),$W72,IF(AND($S72&lt;&gt;"",EDATE($D72,Milestones!$AA$50)&gt;=$S72),$V72,$U72)))=Milestones!$AB$50),UPPER(TEXT(EDATE($D72,Milestones!$AA$50),"dd mmm yy"))&amp;" "&amp;Milestones!$AB$50&amp;" "&amp;Milestones!$AC$50&amp;";  ","")&amp;IF(AND(EDATE($D72,Milestones!$AA$51)&lt;=AsOfDate,IF($R72=0,$X72,IF(AND($T72&lt;&gt;"",EDATE($D72,Milestones!$AA$51)&gt;=$T72),$W72,IF(AND($S72&lt;&gt;"",EDATE($D72,Milestones!$AA$51)&gt;=$S72),$V72,$U72)))=Milestones!$AB$51),UPPER(TEXT(EDATE($D72,Milestones!$AA$51),"dd mmm yy"))&amp;" "&amp;Milestones!$AB$51&amp;" "&amp;Milestones!$AC$51&amp;";  ","")&amp;IF(AND(EDATE($D72,Milestones!$AA$52)&lt;=AsOfDate,IF($R72=0,$X72,IF(AND($T72&lt;&gt;"",EDATE($D72,Milestones!$AA$52)&gt;=$T72),$W72,IF(AND($S72&lt;&gt;"",EDATE($D72,Milestones!$AA$52)&gt;=$S72),$V72,$U72)))=Milestones!$AB$52),UPPER(TEXT(EDATE($D72,Milestones!$AA$52),"dd mmm yy"))&amp;" "&amp;Milestones!$AB$52&amp;" "&amp;Milestones!$AC$52&amp;";  ","")&amp;IF(AND(EDATE($D72,Milestones!$AA$53)&lt;=AsOfDate,IF($R72=0,$X72,IF(AND($T72&lt;&gt;"",EDATE($D72,Milestones!$AA$53)&gt;=$T72),$W72,IF(AND($S72&lt;&gt;"",EDATE($D72,Milestones!$AA$53)&gt;=$S72),$V72,$U72)))=Milestones!$AB$53),UPPER(TEXT(EDATE($D72,Milestones!$AA$53),"dd mmm yy"))&amp;" "&amp;Milestones!$AB$53&amp;" "&amp;Milestones!$AC$53&amp;";  ","")&amp;IF(AND(EDATE($D72,Milestones!$AA$54)&lt;=AsOfDate,IF($R72=0,$X72,IF(AND($T72&lt;&gt;"",EDATE($D72,Milestones!$AA$54)&gt;=$T72),$W72,IF(AND($S72&lt;&gt;"",EDATE($D72,Milestones!$AA$54)&gt;=$S72),$V72,$U72)))=Milestones!$AB$54),UPPER(TEXT(EDATE($D72,Milestones!$AA$54),"dd mmm yy"))&amp;" "&amp;Milestones!$AB$54&amp;" "&amp;Milestones!$AC$54&amp;";  ","")&amp;IF(AND(EDATE($D72,Milestones!$AA$55)&lt;=AsOfDate,IF($R72=0,$X72,IF(AND($T72&lt;&gt;"",EDATE($D72,Milestones!$AA$55)&gt;=$T72),$W72,IF(AND($S72&lt;&gt;"",EDATE($D72,Milestones!$AA$55)&gt;=$S72),$V72,$U72)))=Milestones!$AB$55),UPPER(TEXT(EDATE($D72,Milestones!$AA$55),"dd mmm yy"))&amp;" "&amp;Milestones!$AB$55&amp;" "&amp;Milestones!$AC$55&amp;";  ","")&amp;IF(AND(EDATE($D72,Milestones!$AA$56)&lt;=AsOfDate,IF($R72=0,$X72,IF(AND($T72&lt;&gt;"",EDATE($D72,Milestones!$AA$56)&gt;=$T72),$W72,IF(AND($S72&lt;&gt;"",EDATE($D72,Milestones!$AA$56)&gt;=$S72),$V72,$U72)))=Milestones!$AB$56),UPPER(TEXT(EDATE($D72,Milestones!$AA$56),"dd mmm yy"))&amp;" "&amp;Milestones!$AB$56&amp;" "&amp;Milestones!$AC$56&amp;";  ","")&amp;IF(AND(EDATE($D72,Milestones!$AA$57)&lt;=AsOfDate,IF($R72=0,$X72,IF(AND($T72&lt;&gt;"",EDATE($D72,Milestones!$AA$57)&gt;=$T72),$W72,IF(AND($S72&lt;&gt;"",EDATE($D72,Milestones!$AA$57)&gt;=$S72),$V72,$U72)))=Milestones!$AB$57),UPPER(TEXT(EDATE($D72,Milestones!$AA$57),"dd mmm yy"))&amp;" "&amp;Milestones!$AB$57&amp;" "&amp;Milestones!$AC$57&amp;";  ","")&amp;IF(AND(EDATE($D72,Milestones!$AA$58)&lt;=AsOfDate,IF($R72=0,$X72,IF(AND($T72&lt;&gt;"",EDATE($D72,Milestones!$AA$58)&gt;=$T72),$W72,IF(AND($S72&lt;&gt;"",EDATE($D72,Milestones!$AA$58)&gt;=$S72),$V72,$U72)))=Milestones!$AB$58),UPPER(TEXT(EDATE($D72,Milestones!$AA$58),"dd mmm yy"))&amp;" "&amp;Milestones!$AB$58&amp;" "&amp;Milestones!$AC$58&amp;";  ","")&amp;IF(AND(EDATE($D72,Milestones!$AA$59)&lt;=AsOfDate,IF($R72=0,$X72,IF(AND($T72&lt;&gt;"",EDATE($D72,Milestones!$AA$59)&gt;=$T72),$W72,IF(AND($S72&lt;&gt;"",EDATE($D72,Milestones!$AA$59)&gt;=$S72),$V72,$U72)))=Milestones!$AB$59),UPPER(TEXT(EDATE($D72,Milestones!$AA$59),"dd mmm yy"))&amp;" "&amp;Milestones!$AB$59&amp;" "&amp;Milestones!$AC$59&amp;";  ",""))</f>
        <v/>
      </c>
      <c r="K72" s="0" t="str">
        <f aca="false">IF(OR($A72="",$D72=""),"",IF(AND(EDATE($D72,Milestones!$AA$60)&lt;=AsOfDate,IF($R72=0,$X72,IF(AND($T72&lt;&gt;"",EDATE($D72,Milestones!$AA$60)&gt;=$T72),$W72,IF(AND($S72&lt;&gt;"",EDATE($D72,Milestones!$AA$60)&gt;=$S72),$V72,$U72)))=Milestones!$AB$60),UPPER(TEXT(EDATE($D72,Milestones!$AA$60),"dd mmm yy"))&amp;" "&amp;Milestones!$AB$60&amp;" "&amp;Milestones!$AC$60&amp;";  ","")&amp;IF(AND(EDATE($D72,Milestones!$AA$61)&lt;=AsOfDate,IF($R72=0,$X72,IF(AND($T72&lt;&gt;"",EDATE($D72,Milestones!$AA$61)&gt;=$T72),$W72,IF(AND($S72&lt;&gt;"",EDATE($D72,Milestones!$AA$61)&gt;=$S72),$V72,$U72)))=Milestones!$AB$61),UPPER(TEXT(EDATE($D72,Milestones!$AA$61),"dd mmm yy"))&amp;" "&amp;Milestones!$AB$61&amp;" "&amp;Milestones!$AC$61&amp;";  ","")&amp;IF(AND(EDATE($D72,Milestones!$AA$62)&lt;=AsOfDate,IF($R72=0,$X72,IF(AND($T72&lt;&gt;"",EDATE($D72,Milestones!$AA$62)&gt;=$T72),$W72,IF(AND($S72&lt;&gt;"",EDATE($D72,Milestones!$AA$62)&gt;=$S72),$V72,$U72)))=Milestones!$AB$62),UPPER(TEXT(EDATE($D72,Milestones!$AA$62),"dd mmm yy"))&amp;" "&amp;Milestones!$AB$62&amp;" "&amp;Milestones!$AC$62&amp;";  ","")&amp;IF(AND(EDATE($D72,Milestones!$AA$63)&lt;=AsOfDate,IF($R72=0,$X72,IF(AND($T72&lt;&gt;"",EDATE($D72,Milestones!$AA$63)&gt;=$T72),$W72,IF(AND($S72&lt;&gt;"",EDATE($D72,Milestones!$AA$63)&gt;=$S72),$V72,$U72)))=Milestones!$AB$63),UPPER(TEXT(EDATE($D72,Milestones!$AA$63),"dd mmm yy"))&amp;" "&amp;Milestones!$AB$63&amp;" "&amp;Milestones!$AC$63&amp;";  ","")&amp;IF(AND(EDATE($D72,Milestones!$AA$64)&lt;=AsOfDate,IF($R72=0,$X72,IF(AND($T72&lt;&gt;"",EDATE($D72,Milestones!$AA$64)&gt;=$T72),$W72,IF(AND($S72&lt;&gt;"",EDATE($D72,Milestones!$AA$64)&gt;=$S72),$V72,$U72)))=Milestones!$AB$64),UPPER(TEXT(EDATE($D72,Milestones!$AA$64),"dd mmm yy"))&amp;" "&amp;Milestones!$AB$64&amp;" "&amp;Milestones!$AC$64&amp;";  ","")&amp;IF(AND(EDATE($D72,Milestones!$AA$65)&lt;=AsOfDate,IF($R72=0,$X72,IF(AND($T72&lt;&gt;"",EDATE($D72,Milestones!$AA$65)&gt;=$T72),$W72,IF(AND($S72&lt;&gt;"",EDATE($D72,Milestones!$AA$65)&gt;=$S72),$V72,$U72)))=Milestones!$AB$65),UPPER(TEXT(EDATE($D72,Milestones!$AA$65),"dd mmm yy"))&amp;" "&amp;Milestones!$AB$65&amp;" "&amp;Milestones!$AC$65&amp;";  ","")&amp;IF(AND(EDATE($D72,Milestones!$AA$66)&lt;=AsOfDate,IF($R72=0,$X72,IF(AND($T72&lt;&gt;"",EDATE($D72,Milestones!$AA$66)&gt;=$T72),$W72,IF(AND($S72&lt;&gt;"",EDATE($D72,Milestones!$AA$66)&gt;=$S72),$V72,$U72)))=Milestones!$AB$66),UPPER(TEXT(EDATE($D72,Milestones!$AA$66),"dd mmm yy"))&amp;" "&amp;Milestones!$AB$66&amp;" "&amp;Milestones!$AC$66&amp;";  ","")&amp;IF(AND(EDATE($D72,Milestones!$AA$67)&lt;=AsOfDate,IF($R72=0,$X72,IF(AND($T72&lt;&gt;"",EDATE($D72,Milestones!$AA$67)&gt;=$T72),$W72,IF(AND($S72&lt;&gt;"",EDATE($D72,Milestones!$AA$67)&gt;=$S72),$V72,$U72)))=Milestones!$AB$67),UPPER(TEXT(EDATE($D72,Milestones!$AA$67),"dd mmm yy"))&amp;" "&amp;Milestones!$AB$67&amp;" "&amp;Milestones!$AC$67&amp;";  ","")&amp;IF(AND(EDATE($D72,Milestones!$AA$68)&lt;=AsOfDate,IF($R72=0,$X72,IF(AND($T72&lt;&gt;"",EDATE($D72,Milestones!$AA$68)&gt;=$T72),$W72,IF(AND($S72&lt;&gt;"",EDATE($D72,Milestones!$AA$68)&gt;=$S72),$V72,$U72)))=Milestones!$AB$68),UPPER(TEXT(EDATE($D72,Milestones!$AA$68),"dd mmm yy"))&amp;" "&amp;Milestones!$AB$68&amp;" "&amp;Milestones!$AC$68&amp;";  ","")&amp;IF(AND(EDATE($D72,Milestones!$AA$69)&lt;=AsOfDate,IF($R72=0,$X72,IF(AND($T72&lt;&gt;"",EDATE($D72,Milestones!$AA$69)&gt;=$T72),$W72,IF(AND($S72&lt;&gt;"",EDATE($D72,Milestones!$AA$69)&gt;=$S72),$V72,$U72)))=Milestones!$AB$69),UPPER(TEXT(EDATE($D72,Milestones!$AA$69),"dd mmm yy"))&amp;" "&amp;Milestones!$AB$69&amp;" "&amp;Milestones!$AC$69&amp;";  ","")&amp;IF(AND(EDATE($D72,Milestones!$AA$70)&lt;=AsOfDate,IF($R72=0,$X72,IF(AND($T72&lt;&gt;"",EDATE($D72,Milestones!$AA$70)&gt;=$T72),$W72,IF(AND($S72&lt;&gt;"",EDATE($D72,Milestones!$AA$70)&gt;=$S72),$V72,$U72)))=Milestones!$AB$70),UPPER(TEXT(EDATE($D72,Milestones!$AA$70),"dd mmm yy"))&amp;" "&amp;Milestones!$AB$70&amp;" "&amp;Milestones!$AC$70&amp;";  ","")&amp;IF(AND(EDATE($D72,Milestones!$AA$71)&lt;=AsOfDate,IF($R72=0,$X72,IF(AND($T72&lt;&gt;"",EDATE($D72,Milestones!$AA$71)&gt;=$T72),$W72,IF(AND($S72&lt;&gt;"",EDATE($D72,Milestones!$AA$71)&gt;=$S72),$V72,$U72)))=Milestones!$AB$71),UPPER(TEXT(EDATE($D72,Milestones!$AA$71),"dd mmm yy"))&amp;" "&amp;Milestones!$AB$71&amp;" "&amp;Milestones!$AC$71&amp;";  ","")&amp;IF(AND(EDATE($D72,Milestones!$AA$72)&lt;=AsOfDate,IF($R72=0,$X72,IF(AND($T72&lt;&gt;"",EDATE($D72,Milestones!$AA$72)&gt;=$T72),$W72,IF(AND($S72&lt;&gt;"",EDATE($D72,Milestones!$AA$72)&gt;=$S72),$V72,$U72)))=Milestones!$AB$72),UPPER(TEXT(EDATE($D72,Milestones!$AA$72),"dd mmm yy"))&amp;" "&amp;Milestones!$AB$72&amp;" "&amp;Milestones!$AC$72&amp;";  ","")&amp;IF(AND(EDATE($D72,Milestones!$AA$73)&lt;=AsOfDate,IF($R72=0,$X72,IF(AND($T72&lt;&gt;"",EDATE($D72,Milestones!$AA$73)&gt;=$T72),$W72,IF(AND($S72&lt;&gt;"",EDATE($D72,Milestones!$AA$73)&gt;=$S72),$V72,$U72)))=Milestones!$AB$73),UPPER(TEXT(EDATE($D72,Milestones!$AA$73),"dd mmm yy"))&amp;" "&amp;Milestones!$AB$73&amp;" "&amp;Milestones!$AC$73&amp;";  ","")&amp;IF(AND(EDATE($D72,Milestones!$AA$74)&lt;=AsOfDate,IF($R72=0,$X72,IF(AND($T72&lt;&gt;"",EDATE($D72,Milestones!$AA$74)&gt;=$T72),$W72,IF(AND($S72&lt;&gt;"",EDATE($D72,Milestones!$AA$74)&gt;=$S72),$V72,$U72)))=Milestones!$AB$74),UPPER(TEXT(EDATE($D72,Milestones!$AA$74),"dd mmm yy"))&amp;" "&amp;Milestones!$AB$74&amp;" "&amp;Milestones!$AC$74&amp;";  ","")&amp;IF(AND(EDATE($D72,Milestones!$AA$75)&lt;=AsOfDate,IF($R72=0,$X72,IF(AND($T72&lt;&gt;"",EDATE($D72,Milestones!$AA$75)&gt;=$T72),$W72,IF(AND($S72&lt;&gt;"",EDATE($D72,Milestones!$AA$75)&gt;=$S72),$V72,$U72)))=Milestones!$AB$75),UPPER(TEXT(EDATE($D72,Milestones!$AA$75),"dd mmm yy"))&amp;" "&amp;Milestones!$AB$75&amp;" "&amp;Milestones!$AC$75&amp;";  ","")&amp;IF(AND(EDATE($D72,Milestones!$AA$76)&lt;=AsOfDate,IF($R72=0,$X72,IF(AND($T72&lt;&gt;"",EDATE($D72,Milestones!$AA$76)&gt;=$T72),$W72,IF(AND($S72&lt;&gt;"",EDATE($D72,Milestones!$AA$76)&gt;=$S72),$V72,$U72)))=Milestones!$AB$76),UPPER(TEXT(EDATE($D72,Milestones!$AA$76),"dd mmm yy"))&amp;" "&amp;Milestones!$AB$76&amp;" "&amp;Milestones!$AC$76&amp;";  ","")&amp;IF(AND(EDATE($D72,Milestones!$AA$77)&lt;=AsOfDate,IF($R72=0,$X72,IF(AND($T72&lt;&gt;"",EDATE($D72,Milestones!$AA$77)&gt;=$T72),$W72,IF(AND($S72&lt;&gt;"",EDATE($D72,Milestones!$AA$77)&gt;=$S72),$V72,$U72)))=Milestones!$AB$77),UPPER(TEXT(EDATE($D72,Milestones!$AA$77),"dd mmm yy"))&amp;" "&amp;Milestones!$AB$77&amp;" "&amp;Milestones!$AC$77&amp;";  ","")&amp;IF(AND(EDATE($D72,Milestones!$AA$78)&lt;=AsOfDate,IF($R72=0,$X72,IF(AND($T72&lt;&gt;"",EDATE($D72,Milestones!$AA$78)&gt;=$T72),$W72,IF(AND($S72&lt;&gt;"",EDATE($D72,Milestones!$AA$78)&gt;=$S72),$V72,$U72)))=Milestones!$AB$78),UPPER(TEXT(EDATE($D72,Milestones!$AA$78),"dd mmm yy"))&amp;" "&amp;Milestones!$AB$78&amp;" "&amp;Milestones!$AC$78&amp;";  ","")&amp;IF(AND(EDATE($D72,Milestones!$AA$79)&lt;=AsOfDate,IF($R72=0,$X72,IF(AND($T72&lt;&gt;"",EDATE($D72,Milestones!$AA$79)&gt;=$T72),$W72,IF(AND($S72&lt;&gt;"",EDATE($D72,Milestones!$AA$79)&gt;=$S72),$V72,$U72)))=Milestones!$AB$79),UPPER(TEXT(EDATE($D72,Milestones!$AA$79),"dd mmm yy"))&amp;" "&amp;Milestones!$AB$79&amp;" "&amp;Milestones!$AC$79&amp;";  ",""))</f>
        <v/>
      </c>
      <c r="L72" s="0" t="str">
        <f aca="false">IF(OR($A72="",$D72=""),"",IF(AND(EDATE($D72,Milestones!$AA$80)&lt;=AsOfDate,IF($R72=0,$X72,IF(AND($T72&lt;&gt;"",EDATE($D72,Milestones!$AA$80)&gt;=$T72),$W72,IF(AND($S72&lt;&gt;"",EDATE($D72,Milestones!$AA$80)&gt;=$S72),$V72,$U72)))=Milestones!$AB$80),UPPER(TEXT(EDATE($D72,Milestones!$AA$80),"dd mmm yy"))&amp;" "&amp;Milestones!$AB$80&amp;" "&amp;Milestones!$AC$80&amp;";  ","")&amp;IF(AND(EDATE($D72,Milestones!$AA$81)&lt;=AsOfDate,IF($R72=0,$X72,IF(AND($T72&lt;&gt;"",EDATE($D72,Milestones!$AA$81)&gt;=$T72),$W72,IF(AND($S72&lt;&gt;"",EDATE($D72,Milestones!$AA$81)&gt;=$S72),$V72,$U72)))=Milestones!$AB$81),UPPER(TEXT(EDATE($D72,Milestones!$AA$81),"dd mmm yy"))&amp;" "&amp;Milestones!$AB$81&amp;" "&amp;Milestones!$AC$81&amp;";  ","")&amp;IF(AND(EDATE($D72,Milestones!$AA$82)&lt;=AsOfDate,IF($R72=0,$X72,IF(AND($T72&lt;&gt;"",EDATE($D72,Milestones!$AA$82)&gt;=$T72),$W72,IF(AND($S72&lt;&gt;"",EDATE($D72,Milestones!$AA$82)&gt;=$S72),$V72,$U72)))=Milestones!$AB$82),UPPER(TEXT(EDATE($D72,Milestones!$AA$82),"dd mmm yy"))&amp;" "&amp;Milestones!$AB$82&amp;" "&amp;Milestones!$AC$82&amp;";  ","")&amp;IF(AND(EDATE($D72,Milestones!$AA$83)&lt;=AsOfDate,IF($R72=0,$X72,IF(AND($T72&lt;&gt;"",EDATE($D72,Milestones!$AA$83)&gt;=$T72),$W72,IF(AND($S72&lt;&gt;"",EDATE($D72,Milestones!$AA$83)&gt;=$S72),$V72,$U72)))=Milestones!$AB$83),UPPER(TEXT(EDATE($D72,Milestones!$AA$83),"dd mmm yy"))&amp;" "&amp;Milestones!$AB$83&amp;" "&amp;Milestones!$AC$83&amp;";  ","")&amp;IF(AND(EDATE($D72,Milestones!$AA$84)&lt;=AsOfDate,IF($R72=0,$X72,IF(AND($T72&lt;&gt;"",EDATE($D72,Milestones!$AA$84)&gt;=$T72),$W72,IF(AND($S72&lt;&gt;"",EDATE($D72,Milestones!$AA$84)&gt;=$S72),$V72,$U72)))=Milestones!$AB$84),UPPER(TEXT(EDATE($D72,Milestones!$AA$84),"dd mmm yy"))&amp;" "&amp;Milestones!$AB$84&amp;" "&amp;Milestones!$AC$84&amp;";  ","")&amp;IF(AND(EDATE($D72,Milestones!$AA$85)&lt;=AsOfDate,IF($R72=0,$X72,IF(AND($T72&lt;&gt;"",EDATE($D72,Milestones!$AA$85)&gt;=$T72),$W72,IF(AND($S72&lt;&gt;"",EDATE($D72,Milestones!$AA$85)&gt;=$S72),$V72,$U72)))=Milestones!$AB$85),UPPER(TEXT(EDATE($D72,Milestones!$AA$85),"dd mmm yy"))&amp;" "&amp;Milestones!$AB$85&amp;" "&amp;Milestones!$AC$85&amp;";  ","")&amp;IF(AND(EDATE($D72,Milestones!$AA$86)&lt;=AsOfDate,IF($R72=0,$X72,IF(AND($T72&lt;&gt;"",EDATE($D72,Milestones!$AA$86)&gt;=$T72),$W72,IF(AND($S72&lt;&gt;"",EDATE($D72,Milestones!$AA$86)&gt;=$S72),$V72,$U72)))=Milestones!$AB$86),UPPER(TEXT(EDATE($D72,Milestones!$AA$86),"dd mmm yy"))&amp;" "&amp;Milestones!$AB$86&amp;" "&amp;Milestones!$AC$86&amp;";  ","")&amp;IF(AND(EDATE($D72,Milestones!$AA$87)&lt;=AsOfDate,IF($R72=0,$X72,IF(AND($T72&lt;&gt;"",EDATE($D72,Milestones!$AA$87)&gt;=$T72),$W72,IF(AND($S72&lt;&gt;"",EDATE($D72,Milestones!$AA$87)&gt;=$S72),$V72,$U72)))=Milestones!$AB$87),UPPER(TEXT(EDATE($D72,Milestones!$AA$87),"dd mmm yy"))&amp;" "&amp;Milestones!$AB$87&amp;" "&amp;Milestones!$AC$87&amp;";  ","")&amp;IF(AND(EDATE($D72,Milestones!$AA$88)&lt;=AsOfDate,IF($R72=0,$X72,IF(AND($T72&lt;&gt;"",EDATE($D72,Milestones!$AA$88)&gt;=$T72),$W72,IF(AND($S72&lt;&gt;"",EDATE($D72,Milestones!$AA$88)&gt;=$S72),$V72,$U72)))=Milestones!$AB$88),UPPER(TEXT(EDATE($D72,Milestones!$AA$88),"dd mmm yy"))&amp;" "&amp;Milestones!$AB$88&amp;" "&amp;Milestones!$AC$88&amp;";  ","")&amp;IF(AND(EDATE($D72,Milestones!$AA$89)&lt;=AsOfDate,IF($R72=0,$X72,IF(AND($T72&lt;&gt;"",EDATE($D72,Milestones!$AA$89)&gt;=$T72),$W72,IF(AND($S72&lt;&gt;"",EDATE($D72,Milestones!$AA$89)&gt;=$S72),$V72,$U72)))=Milestones!$AB$89),UPPER(TEXT(EDATE($D72,Milestones!$AA$89),"dd mmm yy"))&amp;" "&amp;Milestones!$AB$89&amp;" "&amp;Milestones!$AC$89&amp;";  ","")&amp;IF(AND(EDATE($D72,Milestones!$AA$90)&lt;=AsOfDate,IF($R72=0,$X72,IF(AND($T72&lt;&gt;"",EDATE($D72,Milestones!$AA$90)&gt;=$T72),$W72,IF(AND($S72&lt;&gt;"",EDATE($D72,Milestones!$AA$90)&gt;=$S72),$V72,$U72)))=Milestones!$AB$90),UPPER(TEXT(EDATE($D72,Milestones!$AA$90),"dd mmm yy"))&amp;" "&amp;Milestones!$AB$90&amp;" "&amp;Milestones!$AC$90&amp;";  ","")&amp;IF(AND(EDATE($D72,Milestones!$AA$91)&lt;=AsOfDate,IF($R72=0,$X72,IF(AND($T72&lt;&gt;"",EDATE($D72,Milestones!$AA$91)&gt;=$T72),$W72,IF(AND($S72&lt;&gt;"",EDATE($D72,Milestones!$AA$91)&gt;=$S72),$V72,$U72)))=Milestones!$AB$91),UPPER(TEXT(EDATE($D72,Milestones!$AA$91),"dd mmm yy"))&amp;" "&amp;Milestones!$AB$91&amp;" "&amp;Milestones!$AC$91&amp;";  ","")&amp;IF(AND(EDATE($D72,Milestones!$AA$92)&lt;=AsOfDate,IF($R72=0,$X72,IF(AND($T72&lt;&gt;"",EDATE($D72,Milestones!$AA$92)&gt;=$T72),$W72,IF(AND($S72&lt;&gt;"",EDATE($D72,Milestones!$AA$92)&gt;=$S72),$V72,$U72)))=Milestones!$AB$92),UPPER(TEXT(EDATE($D72,Milestones!$AA$92),"dd mmm yy"))&amp;" "&amp;Milestones!$AB$92&amp;" "&amp;Milestones!$AC$92&amp;";  ","")&amp;IF(AND(EDATE($D72,Milestones!$AA$93)&lt;=AsOfDate,IF($R72=0,$X72,IF(AND($T72&lt;&gt;"",EDATE($D72,Milestones!$AA$93)&gt;=$T72),$W72,IF(AND($S72&lt;&gt;"",EDATE($D72,Milestones!$AA$93)&gt;=$S72),$V72,$U72)))=Milestones!$AB$93),UPPER(TEXT(EDATE($D72,Milestones!$AA$93),"dd mmm yy"))&amp;" "&amp;Milestones!$AB$93&amp;" "&amp;Milestones!$AC$93&amp;";  ","")&amp;IF(AND(EDATE($D72,Milestones!$AA$94)&lt;=AsOfDate,IF($R72=0,$X72,IF(AND($T72&lt;&gt;"",EDATE($D72,Milestones!$AA$94)&gt;=$T72),$W72,IF(AND($S72&lt;&gt;"",EDATE($D72,Milestones!$AA$94)&gt;=$S72),$V72,$U72)))=Milestones!$AB$94),UPPER(TEXT(EDATE($D72,Milestones!$AA$94),"dd mmm yy"))&amp;" "&amp;Milestones!$AB$94&amp;" "&amp;Milestones!$AC$94&amp;";  ","")&amp;IF(AND(EDATE($D72,Milestones!$AA$95)&lt;=AsOfDate,IF($R72=0,$X72,IF(AND($T72&lt;&gt;"",EDATE($D72,Milestones!$AA$95)&gt;=$T72),$W72,IF(AND($S72&lt;&gt;"",EDATE($D72,Milestones!$AA$95)&gt;=$S72),$V72,$U72)))=Milestones!$AB$95),UPPER(TEXT(EDATE($D72,Milestones!$AA$95),"dd mmm yy"))&amp;" "&amp;Milestones!$AB$95&amp;" "&amp;Milestones!$AC$95&amp;";  ","")&amp;IF(AND(EDATE($D72,Milestones!$AA$96)&lt;=AsOfDate,IF($R72=0,$X72,IF(AND($T72&lt;&gt;"",EDATE($D72,Milestones!$AA$96)&gt;=$T72),$W72,IF(AND($S72&lt;&gt;"",EDATE($D72,Milestones!$AA$96)&gt;=$S72),$V72,$U72)))=Milestones!$AB$96),UPPER(TEXT(EDATE($D72,Milestones!$AA$96),"dd mmm yy"))&amp;" "&amp;Milestones!$AB$96&amp;" "&amp;Milestones!$AC$96&amp;";  ","")&amp;IF(AND(EDATE($D72,Milestones!$AA$97)&lt;=AsOfDate,IF($R72=0,$X72,IF(AND($T72&lt;&gt;"",EDATE($D72,Milestones!$AA$97)&gt;=$T72),$W72,IF(AND($S72&lt;&gt;"",EDATE($D72,Milestones!$AA$97)&gt;=$S72),$V72,$U72)))=Milestones!$AB$97),UPPER(TEXT(EDATE($D72,Milestones!$AA$97),"dd mmm yy"))&amp;" "&amp;Milestones!$AB$97&amp;" "&amp;Milestones!$AC$97&amp;";  ","")&amp;IF(AND(EDATE($D72,Milestones!$AA$98)&lt;=AsOfDate,IF($R72=0,$X72,IF(AND($T72&lt;&gt;"",EDATE($D72,Milestones!$AA$98)&gt;=$T72),$W72,IF(AND($S72&lt;&gt;"",EDATE($D72,Milestones!$AA$98)&gt;=$S72),$V72,$U72)))=Milestones!$AB$98),UPPER(TEXT(EDATE($D72,Milestones!$AA$98),"dd mmm yy"))&amp;" "&amp;Milestones!$AB$98&amp;" "&amp;Milestones!$AC$98&amp;";  ","")&amp;IF(AND(EDATE($D72,Milestones!$AA$99)&lt;=AsOfDate,IF($R72=0,$X72,IF(AND($T72&lt;&gt;"",EDATE($D72,Milestones!$AA$99)&gt;=$T72),$W72,IF(AND($S72&lt;&gt;"",EDATE($D72,Milestones!$AA$99)&gt;=$S72),$V72,$U72)))=Milestones!$AB$99),UPPER(TEXT(EDATE($D72,Milestones!$AA$99),"dd mmm yy"))&amp;" "&amp;Milestones!$AB$99&amp;" "&amp;Milestones!$AC$99&amp;";  ",""))</f>
        <v/>
      </c>
      <c r="M72" s="0" t="str">
        <f aca="false">IF(OR($A72="",$D72=""),"",IF(AND(EDATE($D72,Milestones!$AA$100)&lt;=AsOfDate,IF($R72=0,$X72,IF(AND($T72&lt;&gt;"",EDATE($D72,Milestones!$AA$100)&gt;=$T72),$W72,IF(AND($S72&lt;&gt;"",EDATE($D72,Milestones!$AA$100)&gt;=$S72),$V72,$U72)))=Milestones!$AB$100),UPPER(TEXT(EDATE($D72,Milestones!$AA$100),"dd mmm yy"))&amp;" "&amp;Milestones!$AB$100&amp;" "&amp;Milestones!$AC$100&amp;";  ","")&amp;IF(AND(EDATE($D72,Milestones!$AA$101)&lt;=AsOfDate,IF($R72=0,$X72,IF(AND($T72&lt;&gt;"",EDATE($D72,Milestones!$AA$101)&gt;=$T72),$W72,IF(AND($S72&lt;&gt;"",EDATE($D72,Milestones!$AA$101)&gt;=$S72),$V72,$U72)))=Milestones!$AB$101),UPPER(TEXT(EDATE($D72,Milestones!$AA$101),"dd mmm yy"))&amp;" "&amp;Milestones!$AB$101&amp;" "&amp;Milestones!$AC$101&amp;";  ","")&amp;IF(AND(EDATE($D72,Milestones!$AA$102)&lt;=AsOfDate,IF($R72=0,$X72,IF(AND($T72&lt;&gt;"",EDATE($D72,Milestones!$AA$102)&gt;=$T72),$W72,IF(AND($S72&lt;&gt;"",EDATE($D72,Milestones!$AA$102)&gt;=$S72),$V72,$U72)))=Milestones!$AB$102),UPPER(TEXT(EDATE($D72,Milestones!$AA$102),"dd mmm yy"))&amp;" "&amp;Milestones!$AB$102&amp;" "&amp;Milestones!$AC$102&amp;";  ","")&amp;IF(AND(EDATE($D72,Milestones!$AA$103)&lt;=AsOfDate,IF($R72=0,$X72,IF(AND($T72&lt;&gt;"",EDATE($D72,Milestones!$AA$103)&gt;=$T72),$W72,IF(AND($S72&lt;&gt;"",EDATE($D72,Milestones!$AA$103)&gt;=$S72),$V72,$U72)))=Milestones!$AB$103),UPPER(TEXT(EDATE($D72,Milestones!$AA$103),"dd mmm yy"))&amp;" "&amp;Milestones!$AB$103&amp;" "&amp;Milestones!$AC$103&amp;";  ","")&amp;IF(AND(EDATE($D72,Milestones!$AA$104)&lt;=AsOfDate,IF($R72=0,$X72,IF(AND($T72&lt;&gt;"",EDATE($D72,Milestones!$AA$104)&gt;=$T72),$W72,IF(AND($S72&lt;&gt;"",EDATE($D72,Milestones!$AA$104)&gt;=$S72),$V72,$U72)))=Milestones!$AB$104),UPPER(TEXT(EDATE($D72,Milestones!$AA$104),"dd mmm yy"))&amp;" "&amp;Milestones!$AB$104&amp;" "&amp;Milestones!$AC$104&amp;";  ","")&amp;IF(AND(EDATE($D72,Milestones!$AA$105)&lt;=AsOfDate,IF($R72=0,$X72,IF(AND($T72&lt;&gt;"",EDATE($D72,Milestones!$AA$105)&gt;=$T72),$W72,IF(AND($S72&lt;&gt;"",EDATE($D72,Milestones!$AA$105)&gt;=$S72),$V72,$U72)))=Milestones!$AB$105),UPPER(TEXT(EDATE($D72,Milestones!$AA$105),"dd mmm yy"))&amp;" "&amp;Milestones!$AB$105&amp;" "&amp;Milestones!$AC$105&amp;";  ","")&amp;IF(AND(EDATE($D72,Milestones!$AA$106)&lt;=AsOfDate,IF($R72=0,$X72,IF(AND($T72&lt;&gt;"",EDATE($D72,Milestones!$AA$106)&gt;=$T72),$W72,IF(AND($S72&lt;&gt;"",EDATE($D72,Milestones!$AA$106)&gt;=$S72),$V72,$U72)))=Milestones!$AB$106),UPPER(TEXT(EDATE($D72,Milestones!$AA$106),"dd mmm yy"))&amp;" "&amp;Milestones!$AB$106&amp;" "&amp;Milestones!$AC$106&amp;";  ","")&amp;IF(AND(EDATE($D72,Milestones!$AA$107)&lt;=AsOfDate,IF($R72=0,$X72,IF(AND($T72&lt;&gt;"",EDATE($D72,Milestones!$AA$107)&gt;=$T72),$W72,IF(AND($S72&lt;&gt;"",EDATE($D72,Milestones!$AA$107)&gt;=$S72),$V72,$U72)))=Milestones!$AB$107),UPPER(TEXT(EDATE($D72,Milestones!$AA$107),"dd mmm yy"))&amp;" "&amp;Milestones!$AB$107&amp;" "&amp;Milestones!$AC$107&amp;";  ","")&amp;IF(AND(EDATE($D72,Milestones!$AA$108)&lt;=AsOfDate,IF($R72=0,$X72,IF(AND($T72&lt;&gt;"",EDATE($D72,Milestones!$AA$108)&gt;=$T72),$W72,IF(AND($S72&lt;&gt;"",EDATE($D72,Milestones!$AA$108)&gt;=$S72),$V72,$U72)))=Milestones!$AB$108),UPPER(TEXT(EDATE($D72,Milestones!$AA$108),"dd mmm yy"))&amp;" "&amp;Milestones!$AB$108&amp;" "&amp;Milestones!$AC$108&amp;";  ","")&amp;IF(AND(EDATE($D72,Milestones!$AA$109)&lt;=AsOfDate,IF($R72=0,$X72,IF(AND($T72&lt;&gt;"",EDATE($D72,Milestones!$AA$109)&gt;=$T72),$W72,IF(AND($S72&lt;&gt;"",EDATE($D72,Milestones!$AA$109)&gt;=$S72),$V72,$U72)))=Milestones!$AB$109),UPPER(TEXT(EDATE($D72,Milestones!$AA$109),"dd mmm yy"))&amp;" "&amp;Milestones!$AB$109&amp;" "&amp;Milestones!$AC$109&amp;";  ","")&amp;IF(AND(EDATE($D72,Milestones!$AA$110)&lt;=AsOfDate,IF($R72=0,$X72,IF(AND($T72&lt;&gt;"",EDATE($D72,Milestones!$AA$110)&gt;=$T72),$W72,IF(AND($S72&lt;&gt;"",EDATE($D72,Milestones!$AA$110)&gt;=$S72),$V72,$U72)))=Milestones!$AB$110),UPPER(TEXT(EDATE($D72,Milestones!$AA$110),"dd mmm yy"))&amp;" "&amp;Milestones!$AB$110&amp;" "&amp;Milestones!$AC$110&amp;";  ","")&amp;IF(AND(EDATE($D72,Milestones!$AA$111)&lt;=AsOfDate,IF($R72=0,$X72,IF(AND($T72&lt;&gt;"",EDATE($D72,Milestones!$AA$111)&gt;=$T72),$W72,IF(AND($S72&lt;&gt;"",EDATE($D72,Milestones!$AA$111)&gt;=$S72),$V72,$U72)))=Milestones!$AB$111),UPPER(TEXT(EDATE($D72,Milestones!$AA$111),"dd mmm yy"))&amp;" "&amp;Milestones!$AB$111&amp;" "&amp;Milestones!$AC$111&amp;";  ","")&amp;IF(AND(EDATE($D72,Milestones!$AA$112)&lt;=AsOfDate,IF($R72=0,$X72,IF(AND($T72&lt;&gt;"",EDATE($D72,Milestones!$AA$112)&gt;=$T72),$W72,IF(AND($S72&lt;&gt;"",EDATE($D72,Milestones!$AA$112)&gt;=$S72),$V72,$U72)))=Milestones!$AB$112),UPPER(TEXT(EDATE($D72,Milestones!$AA$112),"dd mmm yy"))&amp;" "&amp;Milestones!$AB$112&amp;" "&amp;Milestones!$AC$112&amp;";  ","")&amp;IF(AND(EDATE($D72,Milestones!$AA$113)&lt;=AsOfDate,IF($R72=0,$X72,IF(AND($T72&lt;&gt;"",EDATE($D72,Milestones!$AA$113)&gt;=$T72),$W72,IF(AND($S72&lt;&gt;"",EDATE($D72,Milestones!$AA$113)&gt;=$S72),$V72,$U72)))=Milestones!$AB$113),UPPER(TEXT(EDATE($D72,Milestones!$AA$113),"dd mmm yy"))&amp;" "&amp;Milestones!$AB$113&amp;" "&amp;Milestones!$AC$113&amp;";  ","")&amp;IF(AND(EDATE($D72,Milestones!$AA$114)&lt;=AsOfDate,IF($R72=0,$X72,IF(AND($T72&lt;&gt;"",EDATE($D72,Milestones!$AA$114)&gt;=$T72),$W72,IF(AND($S72&lt;&gt;"",EDATE($D72,Milestones!$AA$114)&gt;=$S72),$V72,$U72)))=Milestones!$AB$114),UPPER(TEXT(EDATE($D72,Milestones!$AA$114),"dd mmm yy"))&amp;" "&amp;Milestones!$AB$114&amp;" "&amp;Milestones!$AC$114&amp;";  ","")&amp;IF(AND(EDATE($D72,Milestones!$AA$115)&lt;=AsOfDate,IF($R72=0,$X72,IF(AND($T72&lt;&gt;"",EDATE($D72,Milestones!$AA$115)&gt;=$T72),$W72,IF(AND($S72&lt;&gt;"",EDATE($D72,Milestones!$AA$115)&gt;=$S72),$V72,$U72)))=Milestones!$AB$115),UPPER(TEXT(EDATE($D72,Milestones!$AA$115),"dd mmm yy"))&amp;" "&amp;Milestones!$AB$115&amp;" "&amp;Milestones!$AC$115&amp;";  ","")&amp;IF(AND(EDATE($D72,Milestones!$AA$116)&lt;=AsOfDate,IF($R72=0,$X72,IF(AND($T72&lt;&gt;"",EDATE($D72,Milestones!$AA$116)&gt;=$T72),$W72,IF(AND($S72&lt;&gt;"",EDATE($D72,Milestones!$AA$116)&gt;=$S72),$V72,$U72)))=Milestones!$AB$116),UPPER(TEXT(EDATE($D72,Milestones!$AA$116),"dd mmm yy"))&amp;" "&amp;Milestones!$AB$116&amp;" "&amp;Milestones!$AC$116&amp;";  ","")&amp;IF(AND(EDATE($D72,Milestones!$AA$117)&lt;=AsOfDate,IF($R72=0,$X72,IF(AND($T72&lt;&gt;"",EDATE($D72,Milestones!$AA$117)&gt;=$T72),$W72,IF(AND($S72&lt;&gt;"",EDATE($D72,Milestones!$AA$117)&gt;=$S72),$V72,$U72)))=Milestones!$AB$117),UPPER(TEXT(EDATE($D72,Milestones!$AA$117),"dd mmm yy"))&amp;" "&amp;Milestones!$AB$117&amp;" "&amp;Milestones!$AC$117&amp;";  ","")&amp;IF(AND(EDATE($D72,Milestones!$AA$118)&lt;=AsOfDate,IF($R72=0,$X72,IF(AND($T72&lt;&gt;"",EDATE($D72,Milestones!$AA$118)&gt;=$T72),$W72,IF(AND($S72&lt;&gt;"",EDATE($D72,Milestones!$AA$118)&gt;=$S72),$V72,$U72)))=Milestones!$AB$118),UPPER(TEXT(EDATE($D72,Milestones!$AA$118),"dd mmm yy"))&amp;" "&amp;Milestones!$AB$118&amp;" "&amp;Milestones!$AC$118&amp;";  ","")&amp;IF(AND(EDATE($D72,Milestones!$AA$119)&lt;=AsOfDate,IF($R72=0,$X72,IF(AND($T72&lt;&gt;"",EDATE($D72,Milestones!$AA$119)&gt;=$T72),$W72,IF(AND($S72&lt;&gt;"",EDATE($D72,Milestones!$AA$119)&gt;=$S72),$V72,$U72)))=Milestones!$AB$119),UPPER(TEXT(EDATE($D72,Milestones!$AA$119),"dd mmm yy"))&amp;" "&amp;Milestones!$AB$119&amp;" "&amp;Milestones!$AC$119&amp;";  ",""))</f>
        <v/>
      </c>
      <c r="N72" s="0" t="str">
        <f aca="false">IF(OR($A72="",$D72=""),"",IF(AND(EDATE($D72,Milestones!$AA$120)&lt;=AsOfDate,IF($R72=0,$X72,IF(AND($T72&lt;&gt;"",EDATE($D72,Milestones!$AA$120)&gt;=$T72),$W72,IF(AND($S72&lt;&gt;"",EDATE($D72,Milestones!$AA$120)&gt;=$S72),$V72,$U72)))=Milestones!$AB$120),UPPER(TEXT(EDATE($D72,Milestones!$AA$120),"dd mmm yy"))&amp;" "&amp;Milestones!$AB$120&amp;" "&amp;Milestones!$AC$120&amp;";  ","")&amp;IF(AND(EDATE($D72,Milestones!$AA$121)&lt;=AsOfDate,IF($R72=0,$X72,IF(AND($T72&lt;&gt;"",EDATE($D72,Milestones!$AA$121)&gt;=$T72),$W72,IF(AND($S72&lt;&gt;"",EDATE($D72,Milestones!$AA$121)&gt;=$S72),$V72,$U72)))=Milestones!$AB$121),UPPER(TEXT(EDATE($D72,Milestones!$AA$121),"dd mmm yy"))&amp;" "&amp;Milestones!$AB$121&amp;" "&amp;Milestones!$AC$121&amp;";  ","")&amp;IF(AND(EDATE($D72,Milestones!$AA$122)&lt;=AsOfDate,IF($R72=0,$X72,IF(AND($T72&lt;&gt;"",EDATE($D72,Milestones!$AA$122)&gt;=$T72),$W72,IF(AND($S72&lt;&gt;"",EDATE($D72,Milestones!$AA$122)&gt;=$S72),$V72,$U72)))=Milestones!$AB$122),UPPER(TEXT(EDATE($D72,Milestones!$AA$122),"dd mmm yy"))&amp;" "&amp;Milestones!$AB$122&amp;" "&amp;Milestones!$AC$122&amp;";  ","")&amp;IF(AND(EDATE($D72,Milestones!$AA$123)&lt;=AsOfDate,IF($R72=0,$X72,IF(AND($T72&lt;&gt;"",EDATE($D72,Milestones!$AA$123)&gt;=$T72),$W72,IF(AND($S72&lt;&gt;"",EDATE($D72,Milestones!$AA$123)&gt;=$S72),$V72,$U72)))=Milestones!$AB$123),UPPER(TEXT(EDATE($D72,Milestones!$AA$123),"dd mmm yy"))&amp;" "&amp;Milestones!$AB$123&amp;" "&amp;Milestones!$AC$123&amp;";  ","")&amp;IF(AND(EDATE($D72,Milestones!$AA$124)&lt;=AsOfDate,IF($R72=0,$X72,IF(AND($T72&lt;&gt;"",EDATE($D72,Milestones!$AA$124)&gt;=$T72),$W72,IF(AND($S72&lt;&gt;"",EDATE($D72,Milestones!$AA$124)&gt;=$S72),$V72,$U72)))=Milestones!$AB$124),UPPER(TEXT(EDATE($D72,Milestones!$AA$124),"dd mmm yy"))&amp;" "&amp;Milestones!$AB$124&amp;" "&amp;Milestones!$AC$124&amp;";  ","")&amp;IF(AND(EDATE($D72,Milestones!$AA$125)&lt;=AsOfDate,IF($R72=0,$X72,IF(AND($T72&lt;&gt;"",EDATE($D72,Milestones!$AA$125)&gt;=$T72),$W72,IF(AND($S72&lt;&gt;"",EDATE($D72,Milestones!$AA$125)&gt;=$S72),$V72,$U72)))=Milestones!$AB$125),UPPER(TEXT(EDATE($D72,Milestones!$AA$125),"dd mmm yy"))&amp;" "&amp;Milestones!$AB$125&amp;" "&amp;Milestones!$AC$125&amp;";  ","")&amp;IF(AND(EDATE($D72,Milestones!$AA$126)&lt;=AsOfDate,IF($R72=0,$X72,IF(AND($T72&lt;&gt;"",EDATE($D72,Milestones!$AA$126)&gt;=$T72),$W72,IF(AND($S72&lt;&gt;"",EDATE($D72,Milestones!$AA$126)&gt;=$S72),$V72,$U72)))=Milestones!$AB$126),UPPER(TEXT(EDATE($D72,Milestones!$AA$126),"dd mmm yy"))&amp;" "&amp;Milestones!$AB$126&amp;" "&amp;Milestones!$AC$126&amp;";  ","")&amp;IF(AND(EDATE($D72,Milestones!$AA$127)&lt;=AsOfDate,IF($R72=0,$X72,IF(AND($T72&lt;&gt;"",EDATE($D72,Milestones!$AA$127)&gt;=$T72),$W72,IF(AND($S72&lt;&gt;"",EDATE($D72,Milestones!$AA$127)&gt;=$S72),$V72,$U72)))=Milestones!$AB$127),UPPER(TEXT(EDATE($D72,Milestones!$AA$127),"dd mmm yy"))&amp;" "&amp;Milestones!$AB$127&amp;" "&amp;Milestones!$AC$127&amp;";  ","")&amp;IF(AND(EDATE($D72,Milestones!$AA$128)&lt;=AsOfDate,IF($R72=0,$X72,IF(AND($T72&lt;&gt;"",EDATE($D72,Milestones!$AA$128)&gt;=$T72),$W72,IF(AND($S72&lt;&gt;"",EDATE($D72,Milestones!$AA$128)&gt;=$S72),$V72,$U72)))=Milestones!$AB$128),UPPER(TEXT(EDATE($D72,Milestones!$AA$128),"dd mmm yy"))&amp;" "&amp;Milestones!$AB$128&amp;" "&amp;Milestones!$AC$128&amp;";  ","")&amp;IF(AND(EDATE($D72,Milestones!$AA$129)&lt;=AsOfDate,IF($R72=0,$X72,IF(AND($T72&lt;&gt;"",EDATE($D72,Milestones!$AA$129)&gt;=$T72),$W72,IF(AND($S72&lt;&gt;"",EDATE($D72,Milestones!$AA$129)&gt;=$S72),$V72,$U72)))=Milestones!$AB$129),UPPER(TEXT(EDATE($D72,Milestones!$AA$129),"dd mmm yy"))&amp;" "&amp;Milestones!$AB$129&amp;" "&amp;Milestones!$AC$129&amp;";  ","")&amp;IF(AND(EDATE($D72,Milestones!$AA$130)&lt;=AsOfDate,IF($R72=0,$X72,IF(AND($T72&lt;&gt;"",EDATE($D72,Milestones!$AA$130)&gt;=$T72),$W72,IF(AND($S72&lt;&gt;"",EDATE($D72,Milestones!$AA$130)&gt;=$S72),$V72,$U72)))=Milestones!$AB$130),UPPER(TEXT(EDATE($D72,Milestones!$AA$130),"dd mmm yy"))&amp;" "&amp;Milestones!$AB$130&amp;" "&amp;Milestones!$AC$130&amp;";  ","")&amp;IF(AND(EDATE($D72,Milestones!$AA$131)&lt;=AsOfDate,IF($R72=0,$X72,IF(AND($T72&lt;&gt;"",EDATE($D72,Milestones!$AA$131)&gt;=$T72),$W72,IF(AND($S72&lt;&gt;"",EDATE($D72,Milestones!$AA$131)&gt;=$S72),$V72,$U72)))=Milestones!$AB$131),UPPER(TEXT(EDATE($D72,Milestones!$AA$131),"dd mmm yy"))&amp;" "&amp;Milestones!$AB$131&amp;" "&amp;Milestones!$AC$131&amp;";  ","")&amp;IF(AND(EDATE($D72,Milestones!$AA$132)&lt;=AsOfDate,IF($R72=0,$X72,IF(AND($T72&lt;&gt;"",EDATE($D72,Milestones!$AA$132)&gt;=$T72),$W72,IF(AND($S72&lt;&gt;"",EDATE($D72,Milestones!$AA$132)&gt;=$S72),$V72,$U72)))=Milestones!$AB$132),UPPER(TEXT(EDATE($D72,Milestones!$AA$132),"dd mmm yy"))&amp;" "&amp;Milestones!$AB$132&amp;" "&amp;Milestones!$AC$132&amp;";  ","")&amp;IF(AND(EDATE($D72,Milestones!$AA$133)&lt;=AsOfDate,IF($R72=0,$X72,IF(AND($T72&lt;&gt;"",EDATE($D72,Milestones!$AA$133)&gt;=$T72),$W72,IF(AND($S72&lt;&gt;"",EDATE($D72,Milestones!$AA$133)&gt;=$S72),$V72,$U72)))=Milestones!$AB$133),UPPER(TEXT(EDATE($D72,Milestones!$AA$133),"dd mmm yy"))&amp;" "&amp;Milestones!$AB$133&amp;" "&amp;Milestones!$AC$133&amp;";  ","")&amp;IF(AND(EDATE($D72,Milestones!$AA$134)&lt;=AsOfDate,IF($R72=0,$X72,IF(AND($T72&lt;&gt;"",EDATE($D72,Milestones!$AA$134)&gt;=$T72),$W72,IF(AND($S72&lt;&gt;"",EDATE($D72,Milestones!$AA$134)&gt;=$S72),$V72,$U72)))=Milestones!$AB$134),UPPER(TEXT(EDATE($D72,Milestones!$AA$134),"dd mmm yy"))&amp;" "&amp;Milestones!$AB$134&amp;" "&amp;Milestones!$AC$134&amp;";  ","")&amp;IF(AND(EDATE($D72,Milestones!$AA$135)&lt;=AsOfDate,IF($R72=0,$X72,IF(AND($T72&lt;&gt;"",EDATE($D72,Milestones!$AA$135)&gt;=$T72),$W72,IF(AND($S72&lt;&gt;"",EDATE($D72,Milestones!$AA$135)&gt;=$S72),$V72,$U72)))=Milestones!$AB$135),UPPER(TEXT(EDATE($D72,Milestones!$AA$135),"dd mmm yy"))&amp;" "&amp;Milestones!$AB$135&amp;" "&amp;Milestones!$AC$135&amp;";  ","")&amp;IF(AND(EDATE($D72,Milestones!$AA$136)&lt;=AsOfDate,IF($R72=0,$X72,IF(AND($T72&lt;&gt;"",EDATE($D72,Milestones!$AA$136)&gt;=$T72),$W72,IF(AND($S72&lt;&gt;"",EDATE($D72,Milestones!$AA$136)&gt;=$S72),$V72,$U72)))=Milestones!$AB$136),UPPER(TEXT(EDATE($D72,Milestones!$AA$136),"dd mmm yy"))&amp;" "&amp;Milestones!$AB$136&amp;" "&amp;Milestones!$AC$136&amp;";  ","")&amp;IF(AND(EDATE($D72,Milestones!$AA$137)&lt;=AsOfDate,IF($R72=0,$X72,IF(AND($T72&lt;&gt;"",EDATE($D72,Milestones!$AA$137)&gt;=$T72),$W72,IF(AND($S72&lt;&gt;"",EDATE($D72,Milestones!$AA$137)&gt;=$S72),$V72,$U72)))=Milestones!$AB$137),UPPER(TEXT(EDATE($D72,Milestones!$AA$137),"dd mmm yy"))&amp;" "&amp;Milestones!$AB$137&amp;" "&amp;Milestones!$AC$137&amp;";  ","")&amp;IF(AND(EDATE($D72,Milestones!$AA$138)&lt;=AsOfDate,IF($R72=0,$X72,IF(AND($T72&lt;&gt;"",EDATE($D72,Milestones!$AA$138)&gt;=$T72),$W72,IF(AND($S72&lt;&gt;"",EDATE($D72,Milestones!$AA$138)&gt;=$S72),$V72,$U72)))=Milestones!$AB$138),UPPER(TEXT(EDATE($D72,Milestones!$AA$138),"dd mmm yy"))&amp;" "&amp;Milestones!$AB$138&amp;" "&amp;Milestones!$AC$138&amp;";  ","")&amp;IF(AND(EDATE($D72,Milestones!$AA$139)&lt;=AsOfDate,IF($R72=0,$X72,IF(AND($T72&lt;&gt;"",EDATE($D72,Milestones!$AA$139)&gt;=$T72),$W72,IF(AND($S72&lt;&gt;"",EDATE($D72,Milestones!$AA$139)&gt;=$S72),$V72,$U72)))=Milestones!$AB$139),UPPER(TEXT(EDATE($D72,Milestones!$AA$139),"dd mmm yy"))&amp;" "&amp;Milestones!$AB$139&amp;" "&amp;Milestones!$AC$139&amp;";  ",""))</f>
        <v/>
      </c>
      <c r="O72" s="0" t="str">
        <f aca="false">IF(OR($A72="",$D72=""),"",IF(AND(EDATE($D72,Milestones!$AA$140)&lt;=AsOfDate,IF($R72=0,$X72,IF(AND($T72&lt;&gt;"",EDATE($D72,Milestones!$AA$140)&gt;=$T72),$W72,IF(AND($S72&lt;&gt;"",EDATE($D72,Milestones!$AA$140)&gt;=$S72),$V72,$U72)))=Milestones!$AB$140),UPPER(TEXT(EDATE($D72,Milestones!$AA$140),"dd mmm yy"))&amp;" "&amp;Milestones!$AB$140&amp;" "&amp;Milestones!$AC$140&amp;";  ","")&amp;IF(AND(EDATE($D72,Milestones!$AA$141)&lt;=AsOfDate,IF($R72=0,$X72,IF(AND($T72&lt;&gt;"",EDATE($D72,Milestones!$AA$141)&gt;=$T72),$W72,IF(AND($S72&lt;&gt;"",EDATE($D72,Milestones!$AA$141)&gt;=$S72),$V72,$U72)))=Milestones!$AB$141),UPPER(TEXT(EDATE($D72,Milestones!$AA$141),"dd mmm yy"))&amp;" "&amp;Milestones!$AB$141&amp;" "&amp;Milestones!$AC$141&amp;";  ","")&amp;IF(AND(EDATE($D72,Milestones!$AA$142)&lt;=AsOfDate,IF($R72=0,$X72,IF(AND($T72&lt;&gt;"",EDATE($D72,Milestones!$AA$142)&gt;=$T72),$W72,IF(AND($S72&lt;&gt;"",EDATE($D72,Milestones!$AA$142)&gt;=$S72),$V72,$U72)))=Milestones!$AB$142),UPPER(TEXT(EDATE($D72,Milestones!$AA$142),"dd mmm yy"))&amp;" "&amp;Milestones!$AB$142&amp;" "&amp;Milestones!$AC$142&amp;";  ","")&amp;IF(AND(EDATE($D72,Milestones!$AA$143)&lt;=AsOfDate,IF($R72=0,$X72,IF(AND($T72&lt;&gt;"",EDATE($D72,Milestones!$AA$143)&gt;=$T72),$W72,IF(AND($S72&lt;&gt;"",EDATE($D72,Milestones!$AA$143)&gt;=$S72),$V72,$U72)))=Milestones!$AB$143),UPPER(TEXT(EDATE($D72,Milestones!$AA$143),"dd mmm yy"))&amp;" "&amp;Milestones!$AB$143&amp;" "&amp;Milestones!$AC$143&amp;";  ","")&amp;IF(AND(EDATE($D72,Milestones!$AA$144)&lt;=AsOfDate,IF($R72=0,$X72,IF(AND($T72&lt;&gt;"",EDATE($D72,Milestones!$AA$144)&gt;=$T72),$W72,IF(AND($S72&lt;&gt;"",EDATE($D72,Milestones!$AA$144)&gt;=$S72),$V72,$U72)))=Milestones!$AB$144),UPPER(TEXT(EDATE($D72,Milestones!$AA$144),"dd mmm yy"))&amp;" "&amp;Milestones!$AB$144&amp;" "&amp;Milestones!$AC$144&amp;";  ","")&amp;IF(AND(EDATE($D72,Milestones!$AA$145)&lt;=AsOfDate,IF($R72=0,$X72,IF(AND($T72&lt;&gt;"",EDATE($D72,Milestones!$AA$145)&gt;=$T72),$W72,IF(AND($S72&lt;&gt;"",EDATE($D72,Milestones!$AA$145)&gt;=$S72),$V72,$U72)))=Milestones!$AB$145),UPPER(TEXT(EDATE($D72,Milestones!$AA$145),"dd mmm yy"))&amp;" "&amp;Milestones!$AB$145&amp;" "&amp;Milestones!$AC$145&amp;";  ","")&amp;IF(AND(EDATE($D72,Milestones!$AA$146)&lt;=AsOfDate,IF($R72=0,$X72,IF(AND($T72&lt;&gt;"",EDATE($D72,Milestones!$AA$146)&gt;=$T72),$W72,IF(AND($S72&lt;&gt;"",EDATE($D72,Milestones!$AA$146)&gt;=$S72),$V72,$U72)))=Milestones!$AB$146),UPPER(TEXT(EDATE($D72,Milestones!$AA$146),"dd mmm yy"))&amp;" "&amp;Milestones!$AB$146&amp;" "&amp;Milestones!$AC$146&amp;";  ","")&amp;IF(AND(EDATE($D72,Milestones!$AA$147)&lt;=AsOfDate,IF($R72=0,$X72,IF(AND($T72&lt;&gt;"",EDATE($D72,Milestones!$AA$147)&gt;=$T72),$W72,IF(AND($S72&lt;&gt;"",EDATE($D72,Milestones!$AA$147)&gt;=$S72),$V72,$U72)))=Milestones!$AB$147),UPPER(TEXT(EDATE($D72,Milestones!$AA$147),"dd mmm yy"))&amp;" "&amp;Milestones!$AB$147&amp;" "&amp;Milestones!$AC$147&amp;";  ","")&amp;IF(AND(EDATE($D72,Milestones!$AA$148)&lt;=AsOfDate,IF($R72=0,$X72,IF(AND($T72&lt;&gt;"",EDATE($D72,Milestones!$AA$148)&gt;=$T72),$W72,IF(AND($S72&lt;&gt;"",EDATE($D72,Milestones!$AA$148)&gt;=$S72),$V72,$U72)))=Milestones!$AB$148),UPPER(TEXT(EDATE($D72,Milestones!$AA$148),"dd mmm yy"))&amp;" "&amp;Milestones!$AB$148&amp;" "&amp;Milestones!$AC$148&amp;";  ","")&amp;IF(AND(EDATE($D72,Milestones!$AA$149)&lt;=AsOfDate,IF($R72=0,$X72,IF(AND($T72&lt;&gt;"",EDATE($D72,Milestones!$AA$149)&gt;=$T72),$W72,IF(AND($S72&lt;&gt;"",EDATE($D72,Milestones!$AA$149)&gt;=$S72),$V72,$U72)))=Milestones!$AB$149),UPPER(TEXT(EDATE($D72,Milestones!$AA$149),"dd mmm yy"))&amp;" "&amp;Milestones!$AB$149&amp;" "&amp;Milestones!$AC$149&amp;";  ","")&amp;IF(AND(EDATE($D72,Milestones!$AA$150)&lt;=AsOfDate,IF($R72=0,$X72,IF(AND($T72&lt;&gt;"",EDATE($D72,Milestones!$AA$150)&gt;=$T72),$W72,IF(AND($S72&lt;&gt;"",EDATE($D72,Milestones!$AA$150)&gt;=$S72),$V72,$U72)))=Milestones!$AB$150),UPPER(TEXT(EDATE($D72,Milestones!$AA$150),"dd mmm yy"))&amp;" "&amp;Milestones!$AB$150&amp;" "&amp;Milestones!$AC$150&amp;";  ","")&amp;IF(AND(EDATE($D72,Milestones!$AA$151)&lt;=AsOfDate,IF($R72=0,$X72,IF(AND($T72&lt;&gt;"",EDATE($D72,Milestones!$AA$151)&gt;=$T72),$W72,IF(AND($S72&lt;&gt;"",EDATE($D72,Milestones!$AA$151)&gt;=$S72),$V72,$U72)))=Milestones!$AB$151),UPPER(TEXT(EDATE($D72,Milestones!$AA$151),"dd mmm yy"))&amp;" "&amp;Milestones!$AB$151&amp;" "&amp;Milestones!$AC$151&amp;";  ","")&amp;IF(AND(EDATE($D72,Milestones!$AA$152)&lt;=AsOfDate,IF($R72=0,$X72,IF(AND($T72&lt;&gt;"",EDATE($D72,Milestones!$AA$152)&gt;=$T72),$W72,IF(AND($S72&lt;&gt;"",EDATE($D72,Milestones!$AA$152)&gt;=$S72),$V72,$U72)))=Milestones!$AB$152),UPPER(TEXT(EDATE($D72,Milestones!$AA$152),"dd mmm yy"))&amp;" "&amp;Milestones!$AB$152&amp;" "&amp;Milestones!$AC$152&amp;";  ","")&amp;IF(AND(EDATE($D72,Milestones!$AA$153)&lt;=AsOfDate,IF($R72=0,$X72,IF(AND($T72&lt;&gt;"",EDATE($D72,Milestones!$AA$153)&gt;=$T72),$W72,IF(AND($S72&lt;&gt;"",EDATE($D72,Milestones!$AA$153)&gt;=$S72),$V72,$U72)))=Milestones!$AB$153),UPPER(TEXT(EDATE($D72,Milestones!$AA$153),"dd mmm yy"))&amp;" "&amp;Milestones!$AB$153&amp;" "&amp;Milestones!$AC$153&amp;";  ","")&amp;IF(AND(EDATE($D72,Milestones!$AA$154)&lt;=AsOfDate,IF($R72=0,$X72,IF(AND($T72&lt;&gt;"",EDATE($D72,Milestones!$AA$154)&gt;=$T72),$W72,IF(AND($S72&lt;&gt;"",EDATE($D72,Milestones!$AA$154)&gt;=$S72),$V72,$U72)))=Milestones!$AB$154),UPPER(TEXT(EDATE($D72,Milestones!$AA$154),"dd mmm yy"))&amp;" "&amp;Milestones!$AB$154&amp;" "&amp;Milestones!$AC$154&amp;";  ","")&amp;IF(AND(EDATE($D72,Milestones!$AA$155)&lt;=AsOfDate,IF($R72=0,$X72,IF(AND($T72&lt;&gt;"",EDATE($D72,Milestones!$AA$155)&gt;=$T72),$W72,IF(AND($S72&lt;&gt;"",EDATE($D72,Milestones!$AA$155)&gt;=$S72),$V72,$U72)))=Milestones!$AB$155),UPPER(TEXT(EDATE($D72,Milestones!$AA$155),"dd mmm yy"))&amp;" "&amp;Milestones!$AB$155&amp;" "&amp;Milestones!$AC$155&amp;";  ","")&amp;IF(AND(EDATE($D72,Milestones!$AA$156)&lt;=AsOfDate,IF($R72=0,$X72,IF(AND($T72&lt;&gt;"",EDATE($D72,Milestones!$AA$156)&gt;=$T72),$W72,IF(AND($S72&lt;&gt;"",EDATE($D72,Milestones!$AA$156)&gt;=$S72),$V72,$U72)))=Milestones!$AB$156),UPPER(TEXT(EDATE($D72,Milestones!$AA$156),"dd mmm yy"))&amp;" "&amp;Milestones!$AB$156&amp;" "&amp;Milestones!$AC$156&amp;";  ","")&amp;IF(AND(EDATE($D72,Milestones!$AA$157)&lt;=AsOfDate,IF($R72=0,$X72,IF(AND($T72&lt;&gt;"",EDATE($D72,Milestones!$AA$157)&gt;=$T72),$W72,IF(AND($S72&lt;&gt;"",EDATE($D72,Milestones!$AA$157)&gt;=$S72),$V72,$U72)))=Milestones!$AB$157),UPPER(TEXT(EDATE($D72,Milestones!$AA$157),"dd mmm yy"))&amp;" "&amp;Milestones!$AB$157&amp;" "&amp;Milestones!$AC$157&amp;";  ","")&amp;IF(AND(EDATE($D72,Milestones!$AA$158)&lt;=AsOfDate,IF($R72=0,$X72,IF(AND($T72&lt;&gt;"",EDATE($D72,Milestones!$AA$158)&gt;=$T72),$W72,IF(AND($S72&lt;&gt;"",EDATE($D72,Milestones!$AA$158)&gt;=$S72),$V72,$U72)))=Milestones!$AB$158),UPPER(TEXT(EDATE($D72,Milestones!$AA$158),"dd mmm yy"))&amp;" "&amp;Milestones!$AB$158&amp;" "&amp;Milestones!$AC$158&amp;";  ","")&amp;IF(AND(EDATE($D72,Milestones!$AA$159)&lt;=AsOfDate,IF($R72=0,$X72,IF(AND($T72&lt;&gt;"",EDATE($D72,Milestones!$AA$159)&gt;=$T72),$W72,IF(AND($S72&lt;&gt;"",EDATE($D72,Milestones!$AA$159)&gt;=$S72),$V72,$U72)))=Milestones!$AB$159),UPPER(TEXT(EDATE($D72,Milestones!$AA$159),"dd mmm yy"))&amp;" "&amp;Milestones!$AB$159&amp;" "&amp;Milestones!$AC$159&amp;";  ",""))</f>
        <v/>
      </c>
      <c r="P72" s="0" t="str">
        <f aca="false">IF(OR($A72="",$D72=""),"",IF(AND(EDATE($D72,Milestones!$AA$160)&lt;=AsOfDate,IF($R72=0,$X72,IF(AND($T72&lt;&gt;"",EDATE($D72,Milestones!$AA$160)&gt;=$T72),$W72,IF(AND($S72&lt;&gt;"",EDATE($D72,Milestones!$AA$160)&gt;=$S72),$V72,$U72)))=Milestones!$AB$160),UPPER(TEXT(EDATE($D72,Milestones!$AA$160),"dd mmm yy"))&amp;" "&amp;Milestones!$AB$160&amp;" "&amp;Milestones!$AC$160&amp;";  ","")&amp;IF(AND(EDATE($D72,Milestones!$AA$161)&lt;=AsOfDate,IF($R72=0,$X72,IF(AND($T72&lt;&gt;"",EDATE($D72,Milestones!$AA$161)&gt;=$T72),$W72,IF(AND($S72&lt;&gt;"",EDATE($D72,Milestones!$AA$161)&gt;=$S72),$V72,$U72)))=Milestones!$AB$161),UPPER(TEXT(EDATE($D72,Milestones!$AA$161),"dd mmm yy"))&amp;" "&amp;Milestones!$AB$161&amp;" "&amp;Milestones!$AC$161&amp;";  ","")&amp;IF(AND(EDATE($D72,Milestones!$AA$162)&lt;=AsOfDate,IF($R72=0,$X72,IF(AND($T72&lt;&gt;"",EDATE($D72,Milestones!$AA$162)&gt;=$T72),$W72,IF(AND($S72&lt;&gt;"",EDATE($D72,Milestones!$AA$162)&gt;=$S72),$V72,$U72)))=Milestones!$AB$162),UPPER(TEXT(EDATE($D72,Milestones!$AA$162),"dd mmm yy"))&amp;" "&amp;Milestones!$AB$162&amp;" "&amp;Milestones!$AC$162&amp;";  ","")&amp;IF(AND(EDATE($D72,Milestones!$AA$163)&lt;=AsOfDate,IF($R72=0,$X72,IF(AND($T72&lt;&gt;"",EDATE($D72,Milestones!$AA$163)&gt;=$T72),$W72,IF(AND($S72&lt;&gt;"",EDATE($D72,Milestones!$AA$163)&gt;=$S72),$V72,$U72)))=Milestones!$AB$163),UPPER(TEXT(EDATE($D72,Milestones!$AA$163),"dd mmm yy"))&amp;" "&amp;Milestones!$AB$163&amp;" "&amp;Milestones!$AC$163&amp;";  ","")&amp;IF(AND(EDATE($D72,Milestones!$AA$164)&lt;=AsOfDate,IF($R72=0,$X72,IF(AND($T72&lt;&gt;"",EDATE($D72,Milestones!$AA$164)&gt;=$T72),$W72,IF(AND($S72&lt;&gt;"",EDATE($D72,Milestones!$AA$164)&gt;=$S72),$V72,$U72)))=Milestones!$AB$164),UPPER(TEXT(EDATE($D72,Milestones!$AA$164),"dd mmm yy"))&amp;" "&amp;Milestones!$AB$164&amp;" "&amp;Milestones!$AC$164&amp;";  ","")&amp;IF(AND(EDATE($D72,Milestones!$AA$165)&lt;=AsOfDate,IF($R72=0,$X72,IF(AND($T72&lt;&gt;"",EDATE($D72,Milestones!$AA$165)&gt;=$T72),$W72,IF(AND($S72&lt;&gt;"",EDATE($D72,Milestones!$AA$165)&gt;=$S72),$V72,$U72)))=Milestones!$AB$165),UPPER(TEXT(EDATE($D72,Milestones!$AA$165),"dd mmm yy"))&amp;" "&amp;Milestones!$AB$165&amp;" "&amp;Milestones!$AC$165&amp;";  ","")&amp;IF(AND(EDATE($D72,Milestones!$AA$166)&lt;=AsOfDate,IF($R72=0,$X72,IF(AND($T72&lt;&gt;"",EDATE($D72,Milestones!$AA$166)&gt;=$T72),$W72,IF(AND($S72&lt;&gt;"",EDATE($D72,Milestones!$AA$166)&gt;=$S72),$V72,$U72)))=Milestones!$AB$166),UPPER(TEXT(EDATE($D72,Milestones!$AA$166),"dd mmm yy"))&amp;" "&amp;Milestones!$AB$166&amp;" "&amp;Milestones!$AC$166&amp;";  ","")&amp;IF(AND(EDATE($D72,Milestones!$AA$167)&lt;=AsOfDate,IF($R72=0,$X72,IF(AND($T72&lt;&gt;"",EDATE($D72,Milestones!$AA$167)&gt;=$T72),$W72,IF(AND($S72&lt;&gt;"",EDATE($D72,Milestones!$AA$167)&gt;=$S72),$V72,$U72)))=Milestones!$AB$167),UPPER(TEXT(EDATE($D72,Milestones!$AA$167),"dd mmm yy"))&amp;" "&amp;Milestones!$AB$167&amp;" "&amp;Milestones!$AC$167&amp;";  ","")&amp;IF(AND(EDATE($D72,Milestones!$AA$168)&lt;=AsOfDate,IF($R72=0,$X72,IF(AND($T72&lt;&gt;"",EDATE($D72,Milestones!$AA$168)&gt;=$T72),$W72,IF(AND($S72&lt;&gt;"",EDATE($D72,Milestones!$AA$168)&gt;=$S72),$V72,$U72)))=Milestones!$AB$168),UPPER(TEXT(EDATE($D72,Milestones!$AA$168),"dd mmm yy"))&amp;" "&amp;Milestones!$AB$168&amp;" "&amp;Milestones!$AC$168&amp;";  ","")&amp;IF(AND(EDATE($D72,Milestones!$AA$169)&lt;=AsOfDate,IF($R72=0,$X72,IF(AND($T72&lt;&gt;"",EDATE($D72,Milestones!$AA$169)&gt;=$T72),$W72,IF(AND($S72&lt;&gt;"",EDATE($D72,Milestones!$AA$169)&gt;=$S72),$V72,$U72)))=Milestones!$AB$169),UPPER(TEXT(EDATE($D72,Milestones!$AA$169),"dd mmm yy"))&amp;" "&amp;Milestones!$AB$169&amp;" "&amp;Milestones!$AC$169&amp;";  ","")&amp;IF(AND(EDATE($D72,Milestones!$AA$170)&lt;=AsOfDate,IF($R72=0,$X72,IF(AND($T72&lt;&gt;"",EDATE($D72,Milestones!$AA$170)&gt;=$T72),$W72,IF(AND($S72&lt;&gt;"",EDATE($D72,Milestones!$AA$170)&gt;=$S72),$V72,$U72)))=Milestones!$AB$170),UPPER(TEXT(EDATE($D72,Milestones!$AA$170),"dd mmm yy"))&amp;" "&amp;Milestones!$AB$170&amp;" "&amp;Milestones!$AC$170&amp;";  ","")&amp;IF(AND(EDATE($D72,Milestones!$AA$171)&lt;=AsOfDate,IF($R72=0,$X72,IF(AND($T72&lt;&gt;"",EDATE($D72,Milestones!$AA$171)&gt;=$T72),$W72,IF(AND($S72&lt;&gt;"",EDATE($D72,Milestones!$AA$171)&gt;=$S72),$V72,$U72)))=Milestones!$AB$171),UPPER(TEXT(EDATE($D72,Milestones!$AA$171),"dd mmm yy"))&amp;" "&amp;Milestones!$AB$171&amp;" "&amp;Milestones!$AC$171&amp;";  ","")&amp;IF(AND(EDATE($D72,Milestones!$AA$172)&lt;=AsOfDate,IF($R72=0,$X72,IF(AND($T72&lt;&gt;"",EDATE($D72,Milestones!$AA$172)&gt;=$T72),$W72,IF(AND($S72&lt;&gt;"",EDATE($D72,Milestones!$AA$172)&gt;=$S72),$V72,$U72)))=Milestones!$AB$172),UPPER(TEXT(EDATE($D72,Milestones!$AA$172),"dd mmm yy"))&amp;" "&amp;Milestones!$AB$172&amp;" "&amp;Milestones!$AC$172&amp;";  ","")&amp;IF(AND(EDATE($D72,Milestones!$AA$173)&lt;=AsOfDate,IF($R72=0,$X72,IF(AND($T72&lt;&gt;"",EDATE($D72,Milestones!$AA$173)&gt;=$T72),$W72,IF(AND($S72&lt;&gt;"",EDATE($D72,Milestones!$AA$173)&gt;=$S72),$V72,$U72)))=Milestones!$AB$173),UPPER(TEXT(EDATE($D72,Milestones!$AA$173),"dd mmm yy"))&amp;" "&amp;Milestones!$AB$173&amp;" "&amp;Milestones!$AC$173&amp;";  ","")&amp;IF(AND(EDATE($D72,Milestones!$AA$174)&lt;=AsOfDate,IF($R72=0,$X72,IF(AND($T72&lt;&gt;"",EDATE($D72,Milestones!$AA$174)&gt;=$T72),$W72,IF(AND($S72&lt;&gt;"",EDATE($D72,Milestones!$AA$174)&gt;=$S72),$V72,$U72)))=Milestones!$AB$174),UPPER(TEXT(EDATE($D72,Milestones!$AA$174),"dd mmm yy"))&amp;" "&amp;Milestones!$AB$174&amp;" "&amp;Milestones!$AC$174&amp;";  ","")&amp;IF(AND(EDATE($D72,Milestones!$AA$175)&lt;=AsOfDate,IF($R72=0,$X72,IF(AND($T72&lt;&gt;"",EDATE($D72,Milestones!$AA$175)&gt;=$T72),$W72,IF(AND($S72&lt;&gt;"",EDATE($D72,Milestones!$AA$175)&gt;=$S72),$V72,$U72)))=Milestones!$AB$175),UPPER(TEXT(EDATE($D72,Milestones!$AA$175),"dd mmm yy"))&amp;" "&amp;Milestones!$AB$175&amp;" "&amp;Milestones!$AC$175&amp;";  ","")&amp;IF(AND(EDATE($D72,Milestones!$AA$176)&lt;=AsOfDate,IF($R72=0,$X72,IF(AND($T72&lt;&gt;"",EDATE($D72,Milestones!$AA$176)&gt;=$T72),$W72,IF(AND($S72&lt;&gt;"",EDATE($D72,Milestones!$AA$176)&gt;=$S72),$V72,$U72)))=Milestones!$AB$176),UPPER(TEXT(EDATE($D72,Milestones!$AA$176),"dd mmm yy"))&amp;" "&amp;Milestones!$AB$176&amp;" "&amp;Milestones!$AC$176&amp;";  ","")&amp;IF(AND(EDATE($D72,Milestones!$AA$177)&lt;=AsOfDate,IF($R72=0,$X72,IF(AND($T72&lt;&gt;"",EDATE($D72,Milestones!$AA$177)&gt;=$T72),$W72,IF(AND($S72&lt;&gt;"",EDATE($D72,Milestones!$AA$177)&gt;=$S72),$V72,$U72)))=Milestones!$AB$177),UPPER(TEXT(EDATE($D72,Milestones!$AA$177),"dd mmm yy"))&amp;" "&amp;Milestones!$AB$177&amp;" "&amp;Milestones!$AC$177&amp;";  ","")&amp;IF(AND(EDATE($D72,Milestones!$AA$178)&lt;=AsOfDate,IF($R72=0,$X72,IF(AND($T72&lt;&gt;"",EDATE($D72,Milestones!$AA$178)&gt;=$T72),$W72,IF(AND($S72&lt;&gt;"",EDATE($D72,Milestones!$AA$178)&gt;=$S72),$V72,$U72)))=Milestones!$AB$178),UPPER(TEXT(EDATE($D72,Milestones!$AA$178),"dd mmm yy"))&amp;" "&amp;Milestones!$AB$178&amp;" "&amp;Milestones!$AC$178&amp;";  ","")&amp;IF(AND(EDATE($D72,Milestones!$AA$179)&lt;=AsOfDate,IF($R72=0,$X72,IF(AND($T72&lt;&gt;"",EDATE($D72,Milestones!$AA$179)&gt;=$T72),$W72,IF(AND($S72&lt;&gt;"",EDATE($D72,Milestones!$AA$179)&gt;=$S72),$V72,$U72)))=Milestones!$AB$179),UPPER(TEXT(EDATE($D72,Milestones!$AA$179),"dd mmm yy"))&amp;" "&amp;Milestones!$AB$179&amp;" "&amp;Milestones!$AC$179&amp;";  ",""))</f>
        <v/>
      </c>
      <c r="Q72" s="0" t="str">
        <f aca="false">IF(OR($A72="",$D72=""),"",IF(AND(EDATE($D72,Milestones!$AA$180)&lt;=AsOfDate,IF($R72=0,$X72,IF(AND($T72&lt;&gt;"",EDATE($D72,Milestones!$AA$180)&gt;=$T72),$W72,IF(AND($S72&lt;&gt;"",EDATE($D72,Milestones!$AA$180)&gt;=$S72),$V72,$U72)))=Milestones!$AB$180),UPPER(TEXT(EDATE($D72,Milestones!$AA$180),"dd mmm yy"))&amp;" "&amp;Milestones!$AB$180&amp;" "&amp;Milestones!$AC$180&amp;";  ","")&amp;IF(AND(EDATE($D72,Milestones!$AA$181)&lt;=AsOfDate,IF($R72=0,$X72,IF(AND($T72&lt;&gt;"",EDATE($D72,Milestones!$AA$181)&gt;=$T72),$W72,IF(AND($S72&lt;&gt;"",EDATE($D72,Milestones!$AA$181)&gt;=$S72),$V72,$U72)))=Milestones!$AB$181),UPPER(TEXT(EDATE($D72,Milestones!$AA$181),"dd mmm yy"))&amp;" "&amp;Milestones!$AB$181&amp;" "&amp;Milestones!$AC$181&amp;";  ","")&amp;IF(AND(EDATE($D72,Milestones!$AA$182)&lt;=AsOfDate,IF($R72=0,$X72,IF(AND($T72&lt;&gt;"",EDATE($D72,Milestones!$AA$182)&gt;=$T72),$W72,IF(AND($S72&lt;&gt;"",EDATE($D72,Milestones!$AA$182)&gt;=$S72),$V72,$U72)))=Milestones!$AB$182),UPPER(TEXT(EDATE($D72,Milestones!$AA$182),"dd mmm yy"))&amp;" "&amp;Milestones!$AB$182&amp;" "&amp;Milestones!$AC$182&amp;";  ","")&amp;IF(AND(EDATE($D72,Milestones!$AA$183)&lt;=AsOfDate,IF($R72=0,$X72,IF(AND($T72&lt;&gt;"",EDATE($D72,Milestones!$AA$183)&gt;=$T72),$W72,IF(AND($S72&lt;&gt;"",EDATE($D72,Milestones!$AA$183)&gt;=$S72),$V72,$U72)))=Milestones!$AB$183),UPPER(TEXT(EDATE($D72,Milestones!$AA$183),"dd mmm yy"))&amp;" "&amp;Milestones!$AB$183&amp;" "&amp;Milestones!$AC$183&amp;";  ","")&amp;IF(AND(EDATE($D72,Milestones!$AA$184)&lt;=AsOfDate,IF($R72=0,$X72,IF(AND($T72&lt;&gt;"",EDATE($D72,Milestones!$AA$184)&gt;=$T72),$W72,IF(AND($S72&lt;&gt;"",EDATE($D72,Milestones!$AA$184)&gt;=$S72),$V72,$U72)))=Milestones!$AB$184),UPPER(TEXT(EDATE($D72,Milestones!$AA$184),"dd mmm yy"))&amp;" "&amp;Milestones!$AB$184&amp;" "&amp;Milestones!$AC$184&amp;";  ","")&amp;IF(AND(EDATE($D72,Milestones!$AA$185)&lt;=AsOfDate,IF($R72=0,$X72,IF(AND($T72&lt;&gt;"",EDATE($D72,Milestones!$AA$185)&gt;=$T72),$W72,IF(AND($S72&lt;&gt;"",EDATE($D72,Milestones!$AA$185)&gt;=$S72),$V72,$U72)))=Milestones!$AB$185),UPPER(TEXT(EDATE($D72,Milestones!$AA$185),"dd mmm yy"))&amp;" "&amp;Milestones!$AB$185&amp;" "&amp;Milestones!$AC$185&amp;";  ","")&amp;IF(AND(EDATE($D72,Milestones!$AA$186)&lt;=AsOfDate,IF($R72=0,$X72,IF(AND($T72&lt;&gt;"",EDATE($D72,Milestones!$AA$186)&gt;=$T72),$W72,IF(AND($S72&lt;&gt;"",EDATE($D72,Milestones!$AA$186)&gt;=$S72),$V72,$U72)))=Milestones!$AB$186),UPPER(TEXT(EDATE($D72,Milestones!$AA$186),"dd mmm yy"))&amp;" "&amp;Milestones!$AB$186&amp;" "&amp;Milestones!$AC$186&amp;";  ","")&amp;IF(AND(EDATE($D72,Milestones!$AA$187)&lt;=AsOfDate,IF($R72=0,$X72,IF(AND($T72&lt;&gt;"",EDATE($D72,Milestones!$AA$187)&gt;=$T72),$W72,IF(AND($S72&lt;&gt;"",EDATE($D72,Milestones!$AA$187)&gt;=$S72),$V72,$U72)))=Milestones!$AB$187),UPPER(TEXT(EDATE($D72,Milestones!$AA$187),"dd mmm yy"))&amp;" "&amp;Milestones!$AB$187&amp;" "&amp;Milestones!$AC$187&amp;";  ","")&amp;IF(AND(EDATE($D72,Milestones!$AA$188)&lt;=AsOfDate,IF($R72=0,$X72,IF(AND($T72&lt;&gt;"",EDATE($D72,Milestones!$AA$188)&gt;=$T72),$W72,IF(AND($S72&lt;&gt;"",EDATE($D72,Milestones!$AA$188)&gt;=$S72),$V72,$U72)))=Milestones!$AB$188),UPPER(TEXT(EDATE($D72,Milestones!$AA$188),"dd mmm yy"))&amp;" "&amp;Milestones!$AB$188&amp;" "&amp;Milestones!$AC$188&amp;";  ","")&amp;IF(AND(EDATE($D72,Milestones!$AA$189)&lt;=AsOfDate,IF($R72=0,$X72,IF(AND($T72&lt;&gt;"",EDATE($D72,Milestones!$AA$189)&gt;=$T72),$W72,IF(AND($S72&lt;&gt;"",EDATE($D72,Milestones!$AA$189)&gt;=$S72),$V72,$U72)))=Milestones!$AB$189),UPPER(TEXT(EDATE($D72,Milestones!$AA$189),"dd mmm yy"))&amp;" "&amp;Milestones!$AB$189&amp;" "&amp;Milestones!$AC$189&amp;";  ","")&amp;IF(AND(EDATE($D72,Milestones!$AA$190)&lt;=AsOfDate,IF($R72=0,$X72,IF(AND($T72&lt;&gt;"",EDATE($D72,Milestones!$AA$190)&gt;=$T72),$W72,IF(AND($S72&lt;&gt;"",EDATE($D72,Milestones!$AA$190)&gt;=$S72),$V72,$U72)))=Milestones!$AB$190),UPPER(TEXT(EDATE($D72,Milestones!$AA$190),"dd mmm yy"))&amp;" "&amp;Milestones!$AB$190&amp;" "&amp;Milestones!$AC$190&amp;";  ","")&amp;IF(AND(EDATE($D72,Milestones!$AA$191)&lt;=AsOfDate,IF($R72=0,$X72,IF(AND($T72&lt;&gt;"",EDATE($D72,Milestones!$AA$191)&gt;=$T72),$W72,IF(AND($S72&lt;&gt;"",EDATE($D72,Milestones!$AA$191)&gt;=$S72),$V72,$U72)))=Milestones!$AB$191),UPPER(TEXT(EDATE($D72,Milestones!$AA$191),"dd mmm yy"))&amp;" "&amp;Milestones!$AB$191&amp;" "&amp;Milestones!$AC$191&amp;";  ","")&amp;IF(AND(EDATE($D72,Milestones!$AA$192)&lt;=AsOfDate,IF($R72=0,$X72,IF(AND($T72&lt;&gt;"",EDATE($D72,Milestones!$AA$192)&gt;=$T72),$W72,IF(AND($S72&lt;&gt;"",EDATE($D72,Milestones!$AA$192)&gt;=$S72),$V72,$U72)))=Milestones!$AB$192),UPPER(TEXT(EDATE($D72,Milestones!$AA$192),"dd mmm yy"))&amp;" "&amp;Milestones!$AB$192&amp;" "&amp;Milestones!$AC$192&amp;";  ","")&amp;IF(AND(EDATE($D72,Milestones!$AA$193)&lt;=AsOfDate,IF($R72=0,$X72,IF(AND($T72&lt;&gt;"",EDATE($D72,Milestones!$AA$193)&gt;=$T72),$W72,IF(AND($S72&lt;&gt;"",EDATE($D72,Milestones!$AA$193)&gt;=$S72),$V72,$U72)))=Milestones!$AB$193),UPPER(TEXT(EDATE($D72,Milestones!$AA$193),"dd mmm yy"))&amp;" "&amp;Milestones!$AB$193&amp;" "&amp;Milestones!$AC$193&amp;";  ","")&amp;IF(AND(EDATE($D72,Milestones!$AA$194)&lt;=AsOfDate,IF($R72=0,$X72,IF(AND($T72&lt;&gt;"",EDATE($D72,Milestones!$AA$194)&gt;=$T72),$W72,IF(AND($S72&lt;&gt;"",EDATE($D72,Milestones!$AA$194)&gt;=$S72),$V72,$U72)))=Milestones!$AB$194),UPPER(TEXT(EDATE($D72,Milestones!$AA$194),"dd mmm yy"))&amp;" "&amp;Milestones!$AB$194&amp;" "&amp;Milestones!$AC$194&amp;";  ","")&amp;IF(AND(EDATE($D72,Milestones!$AA$195)&lt;=AsOfDate,IF($R72=0,$X72,IF(AND($T72&lt;&gt;"",EDATE($D72,Milestones!$AA$195)&gt;=$T72),$W72,IF(AND($S72&lt;&gt;"",EDATE($D72,Milestones!$AA$195)&gt;=$S72),$V72,$U72)))=Milestones!$AB$195),UPPER(TEXT(EDATE($D72,Milestones!$AA$195),"dd mmm yy"))&amp;" "&amp;Milestones!$AB$195&amp;" "&amp;Milestones!$AC$195&amp;";  ","")&amp;IF(AND(EDATE($D72,Milestones!$AA$196)&lt;=AsOfDate,IF($R72=0,$X72,IF(AND($T72&lt;&gt;"",EDATE($D72,Milestones!$AA$196)&gt;=$T72),$W72,IF(AND($S72&lt;&gt;"",EDATE($D72,Milestones!$AA$196)&gt;=$S72),$V72,$U72)))=Milestones!$AB$196),UPPER(TEXT(EDATE($D72,Milestones!$AA$196),"dd mmm yy"))&amp;" "&amp;Milestones!$AB$196&amp;" "&amp;Milestones!$AC$196&amp;";  ","")&amp;IF(AND(EDATE($D72,Milestones!$AA$197)&lt;=AsOfDate,IF($R72=0,$X72,IF(AND($T72&lt;&gt;"",EDATE($D72,Milestones!$AA$197)&gt;=$T72),$W72,IF(AND($S72&lt;&gt;"",EDATE($D72,Milestones!$AA$197)&gt;=$S72),$V72,$U72)))=Milestones!$AB$197),UPPER(TEXT(EDATE($D72,Milestones!$AA$197),"dd mmm yy"))&amp;" "&amp;Milestones!$AB$197&amp;" "&amp;Milestones!$AC$197&amp;";  ","")&amp;IF(AND(EDATE($D72,Milestones!$AA$198)&lt;=AsOfDate,IF($R72=0,$X72,IF(AND($T72&lt;&gt;"",EDATE($D72,Milestones!$AA$198)&gt;=$T72),$W72,IF(AND($S72&lt;&gt;"",EDATE($D72,Milestones!$AA$198)&gt;=$S72),$V72,$U72)))=Milestones!$AB$198),UPPER(TEXT(EDATE($D72,Milestones!$AA$198),"dd mmm yy"))&amp;" "&amp;Milestones!$AB$198&amp;" "&amp;Milestones!$AC$198&amp;";  ","")&amp;IF(AND(EDATE($D72,Milestones!$AA$199)&lt;=AsOfDate,IF($R72=0,$X72,IF(AND($T72&lt;&gt;"",EDATE($D72,Milestones!$AA$199)&gt;=$T72),$W72,IF(AND($S72&lt;&gt;"",EDATE($D72,Milestones!$AA$199)&gt;=$S72),$V72,$U72)))=Milestones!$AB$199),UPPER(TEXT(EDATE($D72,Milestones!$AA$199),"dd mmm yy"))&amp;" "&amp;Milestones!$AB$199&amp;" "&amp;Milestones!$AC$199&amp;";  ",""))</f>
        <v/>
      </c>
      <c r="R72" s="33" t="n">
        <f aca="false">IF(Staff!$A72="","",Staff!$AI72)</f>
        <v>0</v>
      </c>
      <c r="S72" s="0" t="str">
        <f aca="false">IF(Staff!$A72="","",Staff!$AK72)</f>
        <v/>
      </c>
      <c r="T72" s="0" t="str">
        <f aca="false">IF(Staff!$A72="","",Staff!$AL72)</f>
        <v/>
      </c>
      <c r="U72" s="0" t="str">
        <f aca="false">IF(Staff!$A72="","",Staff!$AP72)</f>
        <v>None</v>
      </c>
      <c r="V72" s="0" t="str">
        <f aca="false">IF(Staff!$A72="","",Staff!$AQ72)</f>
        <v/>
      </c>
      <c r="W72" s="0" t="str">
        <f aca="false">IF(Staff!$A72="","",Staff!$AR72)</f>
        <v/>
      </c>
      <c r="X72" s="0" t="str">
        <f aca="false">IF(Staff!$A72="","",Staff!$AS72)</f>
        <v>None</v>
      </c>
    </row>
    <row r="73" customFormat="false" ht="15" hidden="false" customHeight="false" outlineLevel="0" collapsed="false">
      <c r="A73" s="19" t="str">
        <f aca="false">IF(Staff!$A73="","",Staff!$A73)</f>
        <v>Zain</v>
      </c>
      <c r="B73" s="19" t="str">
        <f aca="false">IF(Staff!$A73="","",Staff!$B73)</f>
        <v>Zaidi</v>
      </c>
      <c r="C73" s="19" t="str">
        <f aca="false">IF(Staff!$A73="","",Staff!$C73)</f>
        <v>Casual</v>
      </c>
      <c r="D73" s="17" t="n">
        <f aca="false">IF(Staff!$A73="","",Staff!$AH73)</f>
        <v>46195</v>
      </c>
      <c r="E73" s="20" t="n">
        <f aca="false">IF(Staff!$A73="","",Staff!$O73)</f>
        <v>0</v>
      </c>
      <c r="F73" s="19" t="n">
        <f aca="false">IF(E73="","",E73*HoursPerDay)</f>
        <v>0</v>
      </c>
      <c r="G73" s="20" t="n">
        <f aca="false">IF(Staff!$A73="","",Staff!$AE73)</f>
        <v>0</v>
      </c>
      <c r="H73" s="32" t="str">
        <f aca="false">IF($A73="","",I73&amp;J73&amp;K73&amp;L73&amp;M73&amp;N73&amp;O73&amp;P73&amp;Q73)</f>
        <v/>
      </c>
      <c r="I73" s="0" t="str">
        <f aca="false">IF(OR($A73="",$D73=""),"",IF(AND(EDATE($D73,Milestones!$AA$20)&lt;=AsOfDate,IF($R73=0,$X73,IF(AND($T73&lt;&gt;"",EDATE($D73,Milestones!$AA$20)&gt;=$T73),$W73,IF(AND($S73&lt;&gt;"",EDATE($D73,Milestones!$AA$20)&gt;=$S73),$V73,$U73)))=Milestones!$AB$20),UPPER(TEXT(EDATE($D73,Milestones!$AA$20),"dd mmm yy"))&amp;" "&amp;Milestones!$AB$20&amp;" "&amp;Milestones!$AC$20&amp;";  ","")&amp;IF(AND(EDATE($D73,Milestones!$AA$21)&lt;=AsOfDate,IF($R73=0,$X73,IF(AND($T73&lt;&gt;"",EDATE($D73,Milestones!$AA$21)&gt;=$T73),$W73,IF(AND($S73&lt;&gt;"",EDATE($D73,Milestones!$AA$21)&gt;=$S73),$V73,$U73)))=Milestones!$AB$21),UPPER(TEXT(EDATE($D73,Milestones!$AA$21),"dd mmm yy"))&amp;" "&amp;Milestones!$AB$21&amp;" "&amp;Milestones!$AC$21&amp;";  ","")&amp;IF(AND(EDATE($D73,Milestones!$AA$22)&lt;=AsOfDate,IF($R73=0,$X73,IF(AND($T73&lt;&gt;"",EDATE($D73,Milestones!$AA$22)&gt;=$T73),$W73,IF(AND($S73&lt;&gt;"",EDATE($D73,Milestones!$AA$22)&gt;=$S73),$V73,$U73)))=Milestones!$AB$22),UPPER(TEXT(EDATE($D73,Milestones!$AA$22),"dd mmm yy"))&amp;" "&amp;Milestones!$AB$22&amp;" "&amp;Milestones!$AC$22&amp;";  ","")&amp;IF(AND(EDATE($D73,Milestones!$AA$23)&lt;=AsOfDate,IF($R73=0,$X73,IF(AND($T73&lt;&gt;"",EDATE($D73,Milestones!$AA$23)&gt;=$T73),$W73,IF(AND($S73&lt;&gt;"",EDATE($D73,Milestones!$AA$23)&gt;=$S73),$V73,$U73)))=Milestones!$AB$23),UPPER(TEXT(EDATE($D73,Milestones!$AA$23),"dd mmm yy"))&amp;" "&amp;Milestones!$AB$23&amp;" "&amp;Milestones!$AC$23&amp;";  ","")&amp;IF(AND(EDATE($D73,Milestones!$AA$24)&lt;=AsOfDate,IF($R73=0,$X73,IF(AND($T73&lt;&gt;"",EDATE($D73,Milestones!$AA$24)&gt;=$T73),$W73,IF(AND($S73&lt;&gt;"",EDATE($D73,Milestones!$AA$24)&gt;=$S73),$V73,$U73)))=Milestones!$AB$24),UPPER(TEXT(EDATE($D73,Milestones!$AA$24),"dd mmm yy"))&amp;" "&amp;Milestones!$AB$24&amp;" "&amp;Milestones!$AC$24&amp;";  ","")&amp;IF(AND(EDATE($D73,Milestones!$AA$25)&lt;=AsOfDate,IF($R73=0,$X73,IF(AND($T73&lt;&gt;"",EDATE($D73,Milestones!$AA$25)&gt;=$T73),$W73,IF(AND($S73&lt;&gt;"",EDATE($D73,Milestones!$AA$25)&gt;=$S73),$V73,$U73)))=Milestones!$AB$25),UPPER(TEXT(EDATE($D73,Milestones!$AA$25),"dd mmm yy"))&amp;" "&amp;Milestones!$AB$25&amp;" "&amp;Milestones!$AC$25&amp;";  ","")&amp;IF(AND(EDATE($D73,Milestones!$AA$26)&lt;=AsOfDate,IF($R73=0,$X73,IF(AND($T73&lt;&gt;"",EDATE($D73,Milestones!$AA$26)&gt;=$T73),$W73,IF(AND($S73&lt;&gt;"",EDATE($D73,Milestones!$AA$26)&gt;=$S73),$V73,$U73)))=Milestones!$AB$26),UPPER(TEXT(EDATE($D73,Milestones!$AA$26),"dd mmm yy"))&amp;" "&amp;Milestones!$AB$26&amp;" "&amp;Milestones!$AC$26&amp;";  ","")&amp;IF(AND(EDATE($D73,Milestones!$AA$27)&lt;=AsOfDate,IF($R73=0,$X73,IF(AND($T73&lt;&gt;"",EDATE($D73,Milestones!$AA$27)&gt;=$T73),$W73,IF(AND($S73&lt;&gt;"",EDATE($D73,Milestones!$AA$27)&gt;=$S73),$V73,$U73)))=Milestones!$AB$27),UPPER(TEXT(EDATE($D73,Milestones!$AA$27),"dd mmm yy"))&amp;" "&amp;Milestones!$AB$27&amp;" "&amp;Milestones!$AC$27&amp;";  ","")&amp;IF(AND(EDATE($D73,Milestones!$AA$28)&lt;=AsOfDate,IF($R73=0,$X73,IF(AND($T73&lt;&gt;"",EDATE($D73,Milestones!$AA$28)&gt;=$T73),$W73,IF(AND($S73&lt;&gt;"",EDATE($D73,Milestones!$AA$28)&gt;=$S73),$V73,$U73)))=Milestones!$AB$28),UPPER(TEXT(EDATE($D73,Milestones!$AA$28),"dd mmm yy"))&amp;" "&amp;Milestones!$AB$28&amp;" "&amp;Milestones!$AC$28&amp;";  ","")&amp;IF(AND(EDATE($D73,Milestones!$AA$29)&lt;=AsOfDate,IF($R73=0,$X73,IF(AND($T73&lt;&gt;"",EDATE($D73,Milestones!$AA$29)&gt;=$T73),$W73,IF(AND($S73&lt;&gt;"",EDATE($D73,Milestones!$AA$29)&gt;=$S73),$V73,$U73)))=Milestones!$AB$29),UPPER(TEXT(EDATE($D73,Milestones!$AA$29),"dd mmm yy"))&amp;" "&amp;Milestones!$AB$29&amp;" "&amp;Milestones!$AC$29&amp;";  ","")&amp;IF(AND(EDATE($D73,Milestones!$AA$30)&lt;=AsOfDate,IF($R73=0,$X73,IF(AND($T73&lt;&gt;"",EDATE($D73,Milestones!$AA$30)&gt;=$T73),$W73,IF(AND($S73&lt;&gt;"",EDATE($D73,Milestones!$AA$30)&gt;=$S73),$V73,$U73)))=Milestones!$AB$30),UPPER(TEXT(EDATE($D73,Milestones!$AA$30),"dd mmm yy"))&amp;" "&amp;Milestones!$AB$30&amp;" "&amp;Milestones!$AC$30&amp;";  ","")&amp;IF(AND(EDATE($D73,Milestones!$AA$31)&lt;=AsOfDate,IF($R73=0,$X73,IF(AND($T73&lt;&gt;"",EDATE($D73,Milestones!$AA$31)&gt;=$T73),$W73,IF(AND($S73&lt;&gt;"",EDATE($D73,Milestones!$AA$31)&gt;=$S73),$V73,$U73)))=Milestones!$AB$31),UPPER(TEXT(EDATE($D73,Milestones!$AA$31),"dd mmm yy"))&amp;" "&amp;Milestones!$AB$31&amp;" "&amp;Milestones!$AC$31&amp;";  ","")&amp;IF(AND(EDATE($D73,Milestones!$AA$32)&lt;=AsOfDate,IF($R73=0,$X73,IF(AND($T73&lt;&gt;"",EDATE($D73,Milestones!$AA$32)&gt;=$T73),$W73,IF(AND($S73&lt;&gt;"",EDATE($D73,Milestones!$AA$32)&gt;=$S73),$V73,$U73)))=Milestones!$AB$32),UPPER(TEXT(EDATE($D73,Milestones!$AA$32),"dd mmm yy"))&amp;" "&amp;Milestones!$AB$32&amp;" "&amp;Milestones!$AC$32&amp;";  ","")&amp;IF(AND(EDATE($D73,Milestones!$AA$33)&lt;=AsOfDate,IF($R73=0,$X73,IF(AND($T73&lt;&gt;"",EDATE($D73,Milestones!$AA$33)&gt;=$T73),$W73,IF(AND($S73&lt;&gt;"",EDATE($D73,Milestones!$AA$33)&gt;=$S73),$V73,$U73)))=Milestones!$AB$33),UPPER(TEXT(EDATE($D73,Milestones!$AA$33),"dd mmm yy"))&amp;" "&amp;Milestones!$AB$33&amp;" "&amp;Milestones!$AC$33&amp;";  ","")&amp;IF(AND(EDATE($D73,Milestones!$AA$34)&lt;=AsOfDate,IF($R73=0,$X73,IF(AND($T73&lt;&gt;"",EDATE($D73,Milestones!$AA$34)&gt;=$T73),$W73,IF(AND($S73&lt;&gt;"",EDATE($D73,Milestones!$AA$34)&gt;=$S73),$V73,$U73)))=Milestones!$AB$34),UPPER(TEXT(EDATE($D73,Milestones!$AA$34),"dd mmm yy"))&amp;" "&amp;Milestones!$AB$34&amp;" "&amp;Milestones!$AC$34&amp;";  ","")&amp;IF(AND(EDATE($D73,Milestones!$AA$35)&lt;=AsOfDate,IF($R73=0,$X73,IF(AND($T73&lt;&gt;"",EDATE($D73,Milestones!$AA$35)&gt;=$T73),$W73,IF(AND($S73&lt;&gt;"",EDATE($D73,Milestones!$AA$35)&gt;=$S73),$V73,$U73)))=Milestones!$AB$35),UPPER(TEXT(EDATE($D73,Milestones!$AA$35),"dd mmm yy"))&amp;" "&amp;Milestones!$AB$35&amp;" "&amp;Milestones!$AC$35&amp;";  ","")&amp;IF(AND(EDATE($D73,Milestones!$AA$36)&lt;=AsOfDate,IF($R73=0,$X73,IF(AND($T73&lt;&gt;"",EDATE($D73,Milestones!$AA$36)&gt;=$T73),$W73,IF(AND($S73&lt;&gt;"",EDATE($D73,Milestones!$AA$36)&gt;=$S73),$V73,$U73)))=Milestones!$AB$36),UPPER(TEXT(EDATE($D73,Milestones!$AA$36),"dd mmm yy"))&amp;" "&amp;Milestones!$AB$36&amp;" "&amp;Milestones!$AC$36&amp;";  ","")&amp;IF(AND(EDATE($D73,Milestones!$AA$37)&lt;=AsOfDate,IF($R73=0,$X73,IF(AND($T73&lt;&gt;"",EDATE($D73,Milestones!$AA$37)&gt;=$T73),$W73,IF(AND($S73&lt;&gt;"",EDATE($D73,Milestones!$AA$37)&gt;=$S73),$V73,$U73)))=Milestones!$AB$37),UPPER(TEXT(EDATE($D73,Milestones!$AA$37),"dd mmm yy"))&amp;" "&amp;Milestones!$AB$37&amp;" "&amp;Milestones!$AC$37&amp;";  ","")&amp;IF(AND(EDATE($D73,Milestones!$AA$38)&lt;=AsOfDate,IF($R73=0,$X73,IF(AND($T73&lt;&gt;"",EDATE($D73,Milestones!$AA$38)&gt;=$T73),$W73,IF(AND($S73&lt;&gt;"",EDATE($D73,Milestones!$AA$38)&gt;=$S73),$V73,$U73)))=Milestones!$AB$38),UPPER(TEXT(EDATE($D73,Milestones!$AA$38),"dd mmm yy"))&amp;" "&amp;Milestones!$AB$38&amp;" "&amp;Milestones!$AC$38&amp;";  ","")&amp;IF(AND(EDATE($D73,Milestones!$AA$39)&lt;=AsOfDate,IF($R73=0,$X73,IF(AND($T73&lt;&gt;"",EDATE($D73,Milestones!$AA$39)&gt;=$T73),$W73,IF(AND($S73&lt;&gt;"",EDATE($D73,Milestones!$AA$39)&gt;=$S73),$V73,$U73)))=Milestones!$AB$39),UPPER(TEXT(EDATE($D73,Milestones!$AA$39),"dd mmm yy"))&amp;" "&amp;Milestones!$AB$39&amp;" "&amp;Milestones!$AC$39&amp;";  ",""))</f>
        <v/>
      </c>
      <c r="J73" s="0" t="str">
        <f aca="false">IF(OR($A73="",$D73=""),"",IF(AND(EDATE($D73,Milestones!$AA$40)&lt;=AsOfDate,IF($R73=0,$X73,IF(AND($T73&lt;&gt;"",EDATE($D73,Milestones!$AA$40)&gt;=$T73),$W73,IF(AND($S73&lt;&gt;"",EDATE($D73,Milestones!$AA$40)&gt;=$S73),$V73,$U73)))=Milestones!$AB$40),UPPER(TEXT(EDATE($D73,Milestones!$AA$40),"dd mmm yy"))&amp;" "&amp;Milestones!$AB$40&amp;" "&amp;Milestones!$AC$40&amp;";  ","")&amp;IF(AND(EDATE($D73,Milestones!$AA$41)&lt;=AsOfDate,IF($R73=0,$X73,IF(AND($T73&lt;&gt;"",EDATE($D73,Milestones!$AA$41)&gt;=$T73),$W73,IF(AND($S73&lt;&gt;"",EDATE($D73,Milestones!$AA$41)&gt;=$S73),$V73,$U73)))=Milestones!$AB$41),UPPER(TEXT(EDATE($D73,Milestones!$AA$41),"dd mmm yy"))&amp;" "&amp;Milestones!$AB$41&amp;" "&amp;Milestones!$AC$41&amp;";  ","")&amp;IF(AND(EDATE($D73,Milestones!$AA$42)&lt;=AsOfDate,IF($R73=0,$X73,IF(AND($T73&lt;&gt;"",EDATE($D73,Milestones!$AA$42)&gt;=$T73),$W73,IF(AND($S73&lt;&gt;"",EDATE($D73,Milestones!$AA$42)&gt;=$S73),$V73,$U73)))=Milestones!$AB$42),UPPER(TEXT(EDATE($D73,Milestones!$AA$42),"dd mmm yy"))&amp;" "&amp;Milestones!$AB$42&amp;" "&amp;Milestones!$AC$42&amp;";  ","")&amp;IF(AND(EDATE($D73,Milestones!$AA$43)&lt;=AsOfDate,IF($R73=0,$X73,IF(AND($T73&lt;&gt;"",EDATE($D73,Milestones!$AA$43)&gt;=$T73),$W73,IF(AND($S73&lt;&gt;"",EDATE($D73,Milestones!$AA$43)&gt;=$S73),$V73,$U73)))=Milestones!$AB$43),UPPER(TEXT(EDATE($D73,Milestones!$AA$43),"dd mmm yy"))&amp;" "&amp;Milestones!$AB$43&amp;" "&amp;Milestones!$AC$43&amp;";  ","")&amp;IF(AND(EDATE($D73,Milestones!$AA$44)&lt;=AsOfDate,IF($R73=0,$X73,IF(AND($T73&lt;&gt;"",EDATE($D73,Milestones!$AA$44)&gt;=$T73),$W73,IF(AND($S73&lt;&gt;"",EDATE($D73,Milestones!$AA$44)&gt;=$S73),$V73,$U73)))=Milestones!$AB$44),UPPER(TEXT(EDATE($D73,Milestones!$AA$44),"dd mmm yy"))&amp;" "&amp;Milestones!$AB$44&amp;" "&amp;Milestones!$AC$44&amp;";  ","")&amp;IF(AND(EDATE($D73,Milestones!$AA$45)&lt;=AsOfDate,IF($R73=0,$X73,IF(AND($T73&lt;&gt;"",EDATE($D73,Milestones!$AA$45)&gt;=$T73),$W73,IF(AND($S73&lt;&gt;"",EDATE($D73,Milestones!$AA$45)&gt;=$S73),$V73,$U73)))=Milestones!$AB$45),UPPER(TEXT(EDATE($D73,Milestones!$AA$45),"dd mmm yy"))&amp;" "&amp;Milestones!$AB$45&amp;" "&amp;Milestones!$AC$45&amp;";  ","")&amp;IF(AND(EDATE($D73,Milestones!$AA$46)&lt;=AsOfDate,IF($R73=0,$X73,IF(AND($T73&lt;&gt;"",EDATE($D73,Milestones!$AA$46)&gt;=$T73),$W73,IF(AND($S73&lt;&gt;"",EDATE($D73,Milestones!$AA$46)&gt;=$S73),$V73,$U73)))=Milestones!$AB$46),UPPER(TEXT(EDATE($D73,Milestones!$AA$46),"dd mmm yy"))&amp;" "&amp;Milestones!$AB$46&amp;" "&amp;Milestones!$AC$46&amp;";  ","")&amp;IF(AND(EDATE($D73,Milestones!$AA$47)&lt;=AsOfDate,IF($R73=0,$X73,IF(AND($T73&lt;&gt;"",EDATE($D73,Milestones!$AA$47)&gt;=$T73),$W73,IF(AND($S73&lt;&gt;"",EDATE($D73,Milestones!$AA$47)&gt;=$S73),$V73,$U73)))=Milestones!$AB$47),UPPER(TEXT(EDATE($D73,Milestones!$AA$47),"dd mmm yy"))&amp;" "&amp;Milestones!$AB$47&amp;" "&amp;Milestones!$AC$47&amp;";  ","")&amp;IF(AND(EDATE($D73,Milestones!$AA$48)&lt;=AsOfDate,IF($R73=0,$X73,IF(AND($T73&lt;&gt;"",EDATE($D73,Milestones!$AA$48)&gt;=$T73),$W73,IF(AND($S73&lt;&gt;"",EDATE($D73,Milestones!$AA$48)&gt;=$S73),$V73,$U73)))=Milestones!$AB$48),UPPER(TEXT(EDATE($D73,Milestones!$AA$48),"dd mmm yy"))&amp;" "&amp;Milestones!$AB$48&amp;" "&amp;Milestones!$AC$48&amp;";  ","")&amp;IF(AND(EDATE($D73,Milestones!$AA$49)&lt;=AsOfDate,IF($R73=0,$X73,IF(AND($T73&lt;&gt;"",EDATE($D73,Milestones!$AA$49)&gt;=$T73),$W73,IF(AND($S73&lt;&gt;"",EDATE($D73,Milestones!$AA$49)&gt;=$S73),$V73,$U73)))=Milestones!$AB$49),UPPER(TEXT(EDATE($D73,Milestones!$AA$49),"dd mmm yy"))&amp;" "&amp;Milestones!$AB$49&amp;" "&amp;Milestones!$AC$49&amp;";  ","")&amp;IF(AND(EDATE($D73,Milestones!$AA$50)&lt;=AsOfDate,IF($R73=0,$X73,IF(AND($T73&lt;&gt;"",EDATE($D73,Milestones!$AA$50)&gt;=$T73),$W73,IF(AND($S73&lt;&gt;"",EDATE($D73,Milestones!$AA$50)&gt;=$S73),$V73,$U73)))=Milestones!$AB$50),UPPER(TEXT(EDATE($D73,Milestones!$AA$50),"dd mmm yy"))&amp;" "&amp;Milestones!$AB$50&amp;" "&amp;Milestones!$AC$50&amp;";  ","")&amp;IF(AND(EDATE($D73,Milestones!$AA$51)&lt;=AsOfDate,IF($R73=0,$X73,IF(AND($T73&lt;&gt;"",EDATE($D73,Milestones!$AA$51)&gt;=$T73),$W73,IF(AND($S73&lt;&gt;"",EDATE($D73,Milestones!$AA$51)&gt;=$S73),$V73,$U73)))=Milestones!$AB$51),UPPER(TEXT(EDATE($D73,Milestones!$AA$51),"dd mmm yy"))&amp;" "&amp;Milestones!$AB$51&amp;" "&amp;Milestones!$AC$51&amp;";  ","")&amp;IF(AND(EDATE($D73,Milestones!$AA$52)&lt;=AsOfDate,IF($R73=0,$X73,IF(AND($T73&lt;&gt;"",EDATE($D73,Milestones!$AA$52)&gt;=$T73),$W73,IF(AND($S73&lt;&gt;"",EDATE($D73,Milestones!$AA$52)&gt;=$S73),$V73,$U73)))=Milestones!$AB$52),UPPER(TEXT(EDATE($D73,Milestones!$AA$52),"dd mmm yy"))&amp;" "&amp;Milestones!$AB$52&amp;" "&amp;Milestones!$AC$52&amp;";  ","")&amp;IF(AND(EDATE($D73,Milestones!$AA$53)&lt;=AsOfDate,IF($R73=0,$X73,IF(AND($T73&lt;&gt;"",EDATE($D73,Milestones!$AA$53)&gt;=$T73),$W73,IF(AND($S73&lt;&gt;"",EDATE($D73,Milestones!$AA$53)&gt;=$S73),$V73,$U73)))=Milestones!$AB$53),UPPER(TEXT(EDATE($D73,Milestones!$AA$53),"dd mmm yy"))&amp;" "&amp;Milestones!$AB$53&amp;" "&amp;Milestones!$AC$53&amp;";  ","")&amp;IF(AND(EDATE($D73,Milestones!$AA$54)&lt;=AsOfDate,IF($R73=0,$X73,IF(AND($T73&lt;&gt;"",EDATE($D73,Milestones!$AA$54)&gt;=$T73),$W73,IF(AND($S73&lt;&gt;"",EDATE($D73,Milestones!$AA$54)&gt;=$S73),$V73,$U73)))=Milestones!$AB$54),UPPER(TEXT(EDATE($D73,Milestones!$AA$54),"dd mmm yy"))&amp;" "&amp;Milestones!$AB$54&amp;" "&amp;Milestones!$AC$54&amp;";  ","")&amp;IF(AND(EDATE($D73,Milestones!$AA$55)&lt;=AsOfDate,IF($R73=0,$X73,IF(AND($T73&lt;&gt;"",EDATE($D73,Milestones!$AA$55)&gt;=$T73),$W73,IF(AND($S73&lt;&gt;"",EDATE($D73,Milestones!$AA$55)&gt;=$S73),$V73,$U73)))=Milestones!$AB$55),UPPER(TEXT(EDATE($D73,Milestones!$AA$55),"dd mmm yy"))&amp;" "&amp;Milestones!$AB$55&amp;" "&amp;Milestones!$AC$55&amp;";  ","")&amp;IF(AND(EDATE($D73,Milestones!$AA$56)&lt;=AsOfDate,IF($R73=0,$X73,IF(AND($T73&lt;&gt;"",EDATE($D73,Milestones!$AA$56)&gt;=$T73),$W73,IF(AND($S73&lt;&gt;"",EDATE($D73,Milestones!$AA$56)&gt;=$S73),$V73,$U73)))=Milestones!$AB$56),UPPER(TEXT(EDATE($D73,Milestones!$AA$56),"dd mmm yy"))&amp;" "&amp;Milestones!$AB$56&amp;" "&amp;Milestones!$AC$56&amp;";  ","")&amp;IF(AND(EDATE($D73,Milestones!$AA$57)&lt;=AsOfDate,IF($R73=0,$X73,IF(AND($T73&lt;&gt;"",EDATE($D73,Milestones!$AA$57)&gt;=$T73),$W73,IF(AND($S73&lt;&gt;"",EDATE($D73,Milestones!$AA$57)&gt;=$S73),$V73,$U73)))=Milestones!$AB$57),UPPER(TEXT(EDATE($D73,Milestones!$AA$57),"dd mmm yy"))&amp;" "&amp;Milestones!$AB$57&amp;" "&amp;Milestones!$AC$57&amp;";  ","")&amp;IF(AND(EDATE($D73,Milestones!$AA$58)&lt;=AsOfDate,IF($R73=0,$X73,IF(AND($T73&lt;&gt;"",EDATE($D73,Milestones!$AA$58)&gt;=$T73),$W73,IF(AND($S73&lt;&gt;"",EDATE($D73,Milestones!$AA$58)&gt;=$S73),$V73,$U73)))=Milestones!$AB$58),UPPER(TEXT(EDATE($D73,Milestones!$AA$58),"dd mmm yy"))&amp;" "&amp;Milestones!$AB$58&amp;" "&amp;Milestones!$AC$58&amp;";  ","")&amp;IF(AND(EDATE($D73,Milestones!$AA$59)&lt;=AsOfDate,IF($R73=0,$X73,IF(AND($T73&lt;&gt;"",EDATE($D73,Milestones!$AA$59)&gt;=$T73),$W73,IF(AND($S73&lt;&gt;"",EDATE($D73,Milestones!$AA$59)&gt;=$S73),$V73,$U73)))=Milestones!$AB$59),UPPER(TEXT(EDATE($D73,Milestones!$AA$59),"dd mmm yy"))&amp;" "&amp;Milestones!$AB$59&amp;" "&amp;Milestones!$AC$59&amp;";  ",""))</f>
        <v/>
      </c>
      <c r="K73" s="0" t="str">
        <f aca="false">IF(OR($A73="",$D73=""),"",IF(AND(EDATE($D73,Milestones!$AA$60)&lt;=AsOfDate,IF($R73=0,$X73,IF(AND($T73&lt;&gt;"",EDATE($D73,Milestones!$AA$60)&gt;=$T73),$W73,IF(AND($S73&lt;&gt;"",EDATE($D73,Milestones!$AA$60)&gt;=$S73),$V73,$U73)))=Milestones!$AB$60),UPPER(TEXT(EDATE($D73,Milestones!$AA$60),"dd mmm yy"))&amp;" "&amp;Milestones!$AB$60&amp;" "&amp;Milestones!$AC$60&amp;";  ","")&amp;IF(AND(EDATE($D73,Milestones!$AA$61)&lt;=AsOfDate,IF($R73=0,$X73,IF(AND($T73&lt;&gt;"",EDATE($D73,Milestones!$AA$61)&gt;=$T73),$W73,IF(AND($S73&lt;&gt;"",EDATE($D73,Milestones!$AA$61)&gt;=$S73),$V73,$U73)))=Milestones!$AB$61),UPPER(TEXT(EDATE($D73,Milestones!$AA$61),"dd mmm yy"))&amp;" "&amp;Milestones!$AB$61&amp;" "&amp;Milestones!$AC$61&amp;";  ","")&amp;IF(AND(EDATE($D73,Milestones!$AA$62)&lt;=AsOfDate,IF($R73=0,$X73,IF(AND($T73&lt;&gt;"",EDATE($D73,Milestones!$AA$62)&gt;=$T73),$W73,IF(AND($S73&lt;&gt;"",EDATE($D73,Milestones!$AA$62)&gt;=$S73),$V73,$U73)))=Milestones!$AB$62),UPPER(TEXT(EDATE($D73,Milestones!$AA$62),"dd mmm yy"))&amp;" "&amp;Milestones!$AB$62&amp;" "&amp;Milestones!$AC$62&amp;";  ","")&amp;IF(AND(EDATE($D73,Milestones!$AA$63)&lt;=AsOfDate,IF($R73=0,$X73,IF(AND($T73&lt;&gt;"",EDATE($D73,Milestones!$AA$63)&gt;=$T73),$W73,IF(AND($S73&lt;&gt;"",EDATE($D73,Milestones!$AA$63)&gt;=$S73),$V73,$U73)))=Milestones!$AB$63),UPPER(TEXT(EDATE($D73,Milestones!$AA$63),"dd mmm yy"))&amp;" "&amp;Milestones!$AB$63&amp;" "&amp;Milestones!$AC$63&amp;";  ","")&amp;IF(AND(EDATE($D73,Milestones!$AA$64)&lt;=AsOfDate,IF($R73=0,$X73,IF(AND($T73&lt;&gt;"",EDATE($D73,Milestones!$AA$64)&gt;=$T73),$W73,IF(AND($S73&lt;&gt;"",EDATE($D73,Milestones!$AA$64)&gt;=$S73),$V73,$U73)))=Milestones!$AB$64),UPPER(TEXT(EDATE($D73,Milestones!$AA$64),"dd mmm yy"))&amp;" "&amp;Milestones!$AB$64&amp;" "&amp;Milestones!$AC$64&amp;";  ","")&amp;IF(AND(EDATE($D73,Milestones!$AA$65)&lt;=AsOfDate,IF($R73=0,$X73,IF(AND($T73&lt;&gt;"",EDATE($D73,Milestones!$AA$65)&gt;=$T73),$W73,IF(AND($S73&lt;&gt;"",EDATE($D73,Milestones!$AA$65)&gt;=$S73),$V73,$U73)))=Milestones!$AB$65),UPPER(TEXT(EDATE($D73,Milestones!$AA$65),"dd mmm yy"))&amp;" "&amp;Milestones!$AB$65&amp;" "&amp;Milestones!$AC$65&amp;";  ","")&amp;IF(AND(EDATE($D73,Milestones!$AA$66)&lt;=AsOfDate,IF($R73=0,$X73,IF(AND($T73&lt;&gt;"",EDATE($D73,Milestones!$AA$66)&gt;=$T73),$W73,IF(AND($S73&lt;&gt;"",EDATE($D73,Milestones!$AA$66)&gt;=$S73),$V73,$U73)))=Milestones!$AB$66),UPPER(TEXT(EDATE($D73,Milestones!$AA$66),"dd mmm yy"))&amp;" "&amp;Milestones!$AB$66&amp;" "&amp;Milestones!$AC$66&amp;";  ","")&amp;IF(AND(EDATE($D73,Milestones!$AA$67)&lt;=AsOfDate,IF($R73=0,$X73,IF(AND($T73&lt;&gt;"",EDATE($D73,Milestones!$AA$67)&gt;=$T73),$W73,IF(AND($S73&lt;&gt;"",EDATE($D73,Milestones!$AA$67)&gt;=$S73),$V73,$U73)))=Milestones!$AB$67),UPPER(TEXT(EDATE($D73,Milestones!$AA$67),"dd mmm yy"))&amp;" "&amp;Milestones!$AB$67&amp;" "&amp;Milestones!$AC$67&amp;";  ","")&amp;IF(AND(EDATE($D73,Milestones!$AA$68)&lt;=AsOfDate,IF($R73=0,$X73,IF(AND($T73&lt;&gt;"",EDATE($D73,Milestones!$AA$68)&gt;=$T73),$W73,IF(AND($S73&lt;&gt;"",EDATE($D73,Milestones!$AA$68)&gt;=$S73),$V73,$U73)))=Milestones!$AB$68),UPPER(TEXT(EDATE($D73,Milestones!$AA$68),"dd mmm yy"))&amp;" "&amp;Milestones!$AB$68&amp;" "&amp;Milestones!$AC$68&amp;";  ","")&amp;IF(AND(EDATE($D73,Milestones!$AA$69)&lt;=AsOfDate,IF($R73=0,$X73,IF(AND($T73&lt;&gt;"",EDATE($D73,Milestones!$AA$69)&gt;=$T73),$W73,IF(AND($S73&lt;&gt;"",EDATE($D73,Milestones!$AA$69)&gt;=$S73),$V73,$U73)))=Milestones!$AB$69),UPPER(TEXT(EDATE($D73,Milestones!$AA$69),"dd mmm yy"))&amp;" "&amp;Milestones!$AB$69&amp;" "&amp;Milestones!$AC$69&amp;";  ","")&amp;IF(AND(EDATE($D73,Milestones!$AA$70)&lt;=AsOfDate,IF($R73=0,$X73,IF(AND($T73&lt;&gt;"",EDATE($D73,Milestones!$AA$70)&gt;=$T73),$W73,IF(AND($S73&lt;&gt;"",EDATE($D73,Milestones!$AA$70)&gt;=$S73),$V73,$U73)))=Milestones!$AB$70),UPPER(TEXT(EDATE($D73,Milestones!$AA$70),"dd mmm yy"))&amp;" "&amp;Milestones!$AB$70&amp;" "&amp;Milestones!$AC$70&amp;";  ","")&amp;IF(AND(EDATE($D73,Milestones!$AA$71)&lt;=AsOfDate,IF($R73=0,$X73,IF(AND($T73&lt;&gt;"",EDATE($D73,Milestones!$AA$71)&gt;=$T73),$W73,IF(AND($S73&lt;&gt;"",EDATE($D73,Milestones!$AA$71)&gt;=$S73),$V73,$U73)))=Milestones!$AB$71),UPPER(TEXT(EDATE($D73,Milestones!$AA$71),"dd mmm yy"))&amp;" "&amp;Milestones!$AB$71&amp;" "&amp;Milestones!$AC$71&amp;";  ","")&amp;IF(AND(EDATE($D73,Milestones!$AA$72)&lt;=AsOfDate,IF($R73=0,$X73,IF(AND($T73&lt;&gt;"",EDATE($D73,Milestones!$AA$72)&gt;=$T73),$W73,IF(AND($S73&lt;&gt;"",EDATE($D73,Milestones!$AA$72)&gt;=$S73),$V73,$U73)))=Milestones!$AB$72),UPPER(TEXT(EDATE($D73,Milestones!$AA$72),"dd mmm yy"))&amp;" "&amp;Milestones!$AB$72&amp;" "&amp;Milestones!$AC$72&amp;";  ","")&amp;IF(AND(EDATE($D73,Milestones!$AA$73)&lt;=AsOfDate,IF($R73=0,$X73,IF(AND($T73&lt;&gt;"",EDATE($D73,Milestones!$AA$73)&gt;=$T73),$W73,IF(AND($S73&lt;&gt;"",EDATE($D73,Milestones!$AA$73)&gt;=$S73),$V73,$U73)))=Milestones!$AB$73),UPPER(TEXT(EDATE($D73,Milestones!$AA$73),"dd mmm yy"))&amp;" "&amp;Milestones!$AB$73&amp;" "&amp;Milestones!$AC$73&amp;";  ","")&amp;IF(AND(EDATE($D73,Milestones!$AA$74)&lt;=AsOfDate,IF($R73=0,$X73,IF(AND($T73&lt;&gt;"",EDATE($D73,Milestones!$AA$74)&gt;=$T73),$W73,IF(AND($S73&lt;&gt;"",EDATE($D73,Milestones!$AA$74)&gt;=$S73),$V73,$U73)))=Milestones!$AB$74),UPPER(TEXT(EDATE($D73,Milestones!$AA$74),"dd mmm yy"))&amp;" "&amp;Milestones!$AB$74&amp;" "&amp;Milestones!$AC$74&amp;";  ","")&amp;IF(AND(EDATE($D73,Milestones!$AA$75)&lt;=AsOfDate,IF($R73=0,$X73,IF(AND($T73&lt;&gt;"",EDATE($D73,Milestones!$AA$75)&gt;=$T73),$W73,IF(AND($S73&lt;&gt;"",EDATE($D73,Milestones!$AA$75)&gt;=$S73),$V73,$U73)))=Milestones!$AB$75),UPPER(TEXT(EDATE($D73,Milestones!$AA$75),"dd mmm yy"))&amp;" "&amp;Milestones!$AB$75&amp;" "&amp;Milestones!$AC$75&amp;";  ","")&amp;IF(AND(EDATE($D73,Milestones!$AA$76)&lt;=AsOfDate,IF($R73=0,$X73,IF(AND($T73&lt;&gt;"",EDATE($D73,Milestones!$AA$76)&gt;=$T73),$W73,IF(AND($S73&lt;&gt;"",EDATE($D73,Milestones!$AA$76)&gt;=$S73),$V73,$U73)))=Milestones!$AB$76),UPPER(TEXT(EDATE($D73,Milestones!$AA$76),"dd mmm yy"))&amp;" "&amp;Milestones!$AB$76&amp;" "&amp;Milestones!$AC$76&amp;";  ","")&amp;IF(AND(EDATE($D73,Milestones!$AA$77)&lt;=AsOfDate,IF($R73=0,$X73,IF(AND($T73&lt;&gt;"",EDATE($D73,Milestones!$AA$77)&gt;=$T73),$W73,IF(AND($S73&lt;&gt;"",EDATE($D73,Milestones!$AA$77)&gt;=$S73),$V73,$U73)))=Milestones!$AB$77),UPPER(TEXT(EDATE($D73,Milestones!$AA$77),"dd mmm yy"))&amp;" "&amp;Milestones!$AB$77&amp;" "&amp;Milestones!$AC$77&amp;";  ","")&amp;IF(AND(EDATE($D73,Milestones!$AA$78)&lt;=AsOfDate,IF($R73=0,$X73,IF(AND($T73&lt;&gt;"",EDATE($D73,Milestones!$AA$78)&gt;=$T73),$W73,IF(AND($S73&lt;&gt;"",EDATE($D73,Milestones!$AA$78)&gt;=$S73),$V73,$U73)))=Milestones!$AB$78),UPPER(TEXT(EDATE($D73,Milestones!$AA$78),"dd mmm yy"))&amp;" "&amp;Milestones!$AB$78&amp;" "&amp;Milestones!$AC$78&amp;";  ","")&amp;IF(AND(EDATE($D73,Milestones!$AA$79)&lt;=AsOfDate,IF($R73=0,$X73,IF(AND($T73&lt;&gt;"",EDATE($D73,Milestones!$AA$79)&gt;=$T73),$W73,IF(AND($S73&lt;&gt;"",EDATE($D73,Milestones!$AA$79)&gt;=$S73),$V73,$U73)))=Milestones!$AB$79),UPPER(TEXT(EDATE($D73,Milestones!$AA$79),"dd mmm yy"))&amp;" "&amp;Milestones!$AB$79&amp;" "&amp;Milestones!$AC$79&amp;";  ",""))</f>
        <v/>
      </c>
      <c r="L73" s="0" t="str">
        <f aca="false">IF(OR($A73="",$D73=""),"",IF(AND(EDATE($D73,Milestones!$AA$80)&lt;=AsOfDate,IF($R73=0,$X73,IF(AND($T73&lt;&gt;"",EDATE($D73,Milestones!$AA$80)&gt;=$T73),$W73,IF(AND($S73&lt;&gt;"",EDATE($D73,Milestones!$AA$80)&gt;=$S73),$V73,$U73)))=Milestones!$AB$80),UPPER(TEXT(EDATE($D73,Milestones!$AA$80),"dd mmm yy"))&amp;" "&amp;Milestones!$AB$80&amp;" "&amp;Milestones!$AC$80&amp;";  ","")&amp;IF(AND(EDATE($D73,Milestones!$AA$81)&lt;=AsOfDate,IF($R73=0,$X73,IF(AND($T73&lt;&gt;"",EDATE($D73,Milestones!$AA$81)&gt;=$T73),$W73,IF(AND($S73&lt;&gt;"",EDATE($D73,Milestones!$AA$81)&gt;=$S73),$V73,$U73)))=Milestones!$AB$81),UPPER(TEXT(EDATE($D73,Milestones!$AA$81),"dd mmm yy"))&amp;" "&amp;Milestones!$AB$81&amp;" "&amp;Milestones!$AC$81&amp;";  ","")&amp;IF(AND(EDATE($D73,Milestones!$AA$82)&lt;=AsOfDate,IF($R73=0,$X73,IF(AND($T73&lt;&gt;"",EDATE($D73,Milestones!$AA$82)&gt;=$T73),$W73,IF(AND($S73&lt;&gt;"",EDATE($D73,Milestones!$AA$82)&gt;=$S73),$V73,$U73)))=Milestones!$AB$82),UPPER(TEXT(EDATE($D73,Milestones!$AA$82),"dd mmm yy"))&amp;" "&amp;Milestones!$AB$82&amp;" "&amp;Milestones!$AC$82&amp;";  ","")&amp;IF(AND(EDATE($D73,Milestones!$AA$83)&lt;=AsOfDate,IF($R73=0,$X73,IF(AND($T73&lt;&gt;"",EDATE($D73,Milestones!$AA$83)&gt;=$T73),$W73,IF(AND($S73&lt;&gt;"",EDATE($D73,Milestones!$AA$83)&gt;=$S73),$V73,$U73)))=Milestones!$AB$83),UPPER(TEXT(EDATE($D73,Milestones!$AA$83),"dd mmm yy"))&amp;" "&amp;Milestones!$AB$83&amp;" "&amp;Milestones!$AC$83&amp;";  ","")&amp;IF(AND(EDATE($D73,Milestones!$AA$84)&lt;=AsOfDate,IF($R73=0,$X73,IF(AND($T73&lt;&gt;"",EDATE($D73,Milestones!$AA$84)&gt;=$T73),$W73,IF(AND($S73&lt;&gt;"",EDATE($D73,Milestones!$AA$84)&gt;=$S73),$V73,$U73)))=Milestones!$AB$84),UPPER(TEXT(EDATE($D73,Milestones!$AA$84),"dd mmm yy"))&amp;" "&amp;Milestones!$AB$84&amp;" "&amp;Milestones!$AC$84&amp;";  ","")&amp;IF(AND(EDATE($D73,Milestones!$AA$85)&lt;=AsOfDate,IF($R73=0,$X73,IF(AND($T73&lt;&gt;"",EDATE($D73,Milestones!$AA$85)&gt;=$T73),$W73,IF(AND($S73&lt;&gt;"",EDATE($D73,Milestones!$AA$85)&gt;=$S73),$V73,$U73)))=Milestones!$AB$85),UPPER(TEXT(EDATE($D73,Milestones!$AA$85),"dd mmm yy"))&amp;" "&amp;Milestones!$AB$85&amp;" "&amp;Milestones!$AC$85&amp;";  ","")&amp;IF(AND(EDATE($D73,Milestones!$AA$86)&lt;=AsOfDate,IF($R73=0,$X73,IF(AND($T73&lt;&gt;"",EDATE($D73,Milestones!$AA$86)&gt;=$T73),$W73,IF(AND($S73&lt;&gt;"",EDATE($D73,Milestones!$AA$86)&gt;=$S73),$V73,$U73)))=Milestones!$AB$86),UPPER(TEXT(EDATE($D73,Milestones!$AA$86),"dd mmm yy"))&amp;" "&amp;Milestones!$AB$86&amp;" "&amp;Milestones!$AC$86&amp;";  ","")&amp;IF(AND(EDATE($D73,Milestones!$AA$87)&lt;=AsOfDate,IF($R73=0,$X73,IF(AND($T73&lt;&gt;"",EDATE($D73,Milestones!$AA$87)&gt;=$T73),$W73,IF(AND($S73&lt;&gt;"",EDATE($D73,Milestones!$AA$87)&gt;=$S73),$V73,$U73)))=Milestones!$AB$87),UPPER(TEXT(EDATE($D73,Milestones!$AA$87),"dd mmm yy"))&amp;" "&amp;Milestones!$AB$87&amp;" "&amp;Milestones!$AC$87&amp;";  ","")&amp;IF(AND(EDATE($D73,Milestones!$AA$88)&lt;=AsOfDate,IF($R73=0,$X73,IF(AND($T73&lt;&gt;"",EDATE($D73,Milestones!$AA$88)&gt;=$T73),$W73,IF(AND($S73&lt;&gt;"",EDATE($D73,Milestones!$AA$88)&gt;=$S73),$V73,$U73)))=Milestones!$AB$88),UPPER(TEXT(EDATE($D73,Milestones!$AA$88),"dd mmm yy"))&amp;" "&amp;Milestones!$AB$88&amp;" "&amp;Milestones!$AC$88&amp;";  ","")&amp;IF(AND(EDATE($D73,Milestones!$AA$89)&lt;=AsOfDate,IF($R73=0,$X73,IF(AND($T73&lt;&gt;"",EDATE($D73,Milestones!$AA$89)&gt;=$T73),$W73,IF(AND($S73&lt;&gt;"",EDATE($D73,Milestones!$AA$89)&gt;=$S73),$V73,$U73)))=Milestones!$AB$89),UPPER(TEXT(EDATE($D73,Milestones!$AA$89),"dd mmm yy"))&amp;" "&amp;Milestones!$AB$89&amp;" "&amp;Milestones!$AC$89&amp;";  ","")&amp;IF(AND(EDATE($D73,Milestones!$AA$90)&lt;=AsOfDate,IF($R73=0,$X73,IF(AND($T73&lt;&gt;"",EDATE($D73,Milestones!$AA$90)&gt;=$T73),$W73,IF(AND($S73&lt;&gt;"",EDATE($D73,Milestones!$AA$90)&gt;=$S73),$V73,$U73)))=Milestones!$AB$90),UPPER(TEXT(EDATE($D73,Milestones!$AA$90),"dd mmm yy"))&amp;" "&amp;Milestones!$AB$90&amp;" "&amp;Milestones!$AC$90&amp;";  ","")&amp;IF(AND(EDATE($D73,Milestones!$AA$91)&lt;=AsOfDate,IF($R73=0,$X73,IF(AND($T73&lt;&gt;"",EDATE($D73,Milestones!$AA$91)&gt;=$T73),$W73,IF(AND($S73&lt;&gt;"",EDATE($D73,Milestones!$AA$91)&gt;=$S73),$V73,$U73)))=Milestones!$AB$91),UPPER(TEXT(EDATE($D73,Milestones!$AA$91),"dd mmm yy"))&amp;" "&amp;Milestones!$AB$91&amp;" "&amp;Milestones!$AC$91&amp;";  ","")&amp;IF(AND(EDATE($D73,Milestones!$AA$92)&lt;=AsOfDate,IF($R73=0,$X73,IF(AND($T73&lt;&gt;"",EDATE($D73,Milestones!$AA$92)&gt;=$T73),$W73,IF(AND($S73&lt;&gt;"",EDATE($D73,Milestones!$AA$92)&gt;=$S73),$V73,$U73)))=Milestones!$AB$92),UPPER(TEXT(EDATE($D73,Milestones!$AA$92),"dd mmm yy"))&amp;" "&amp;Milestones!$AB$92&amp;" "&amp;Milestones!$AC$92&amp;";  ","")&amp;IF(AND(EDATE($D73,Milestones!$AA$93)&lt;=AsOfDate,IF($R73=0,$X73,IF(AND($T73&lt;&gt;"",EDATE($D73,Milestones!$AA$93)&gt;=$T73),$W73,IF(AND($S73&lt;&gt;"",EDATE($D73,Milestones!$AA$93)&gt;=$S73),$V73,$U73)))=Milestones!$AB$93),UPPER(TEXT(EDATE($D73,Milestones!$AA$93),"dd mmm yy"))&amp;" "&amp;Milestones!$AB$93&amp;" "&amp;Milestones!$AC$93&amp;";  ","")&amp;IF(AND(EDATE($D73,Milestones!$AA$94)&lt;=AsOfDate,IF($R73=0,$X73,IF(AND($T73&lt;&gt;"",EDATE($D73,Milestones!$AA$94)&gt;=$T73),$W73,IF(AND($S73&lt;&gt;"",EDATE($D73,Milestones!$AA$94)&gt;=$S73),$V73,$U73)))=Milestones!$AB$94),UPPER(TEXT(EDATE($D73,Milestones!$AA$94),"dd mmm yy"))&amp;" "&amp;Milestones!$AB$94&amp;" "&amp;Milestones!$AC$94&amp;";  ","")&amp;IF(AND(EDATE($D73,Milestones!$AA$95)&lt;=AsOfDate,IF($R73=0,$X73,IF(AND($T73&lt;&gt;"",EDATE($D73,Milestones!$AA$95)&gt;=$T73),$W73,IF(AND($S73&lt;&gt;"",EDATE($D73,Milestones!$AA$95)&gt;=$S73),$V73,$U73)))=Milestones!$AB$95),UPPER(TEXT(EDATE($D73,Milestones!$AA$95),"dd mmm yy"))&amp;" "&amp;Milestones!$AB$95&amp;" "&amp;Milestones!$AC$95&amp;";  ","")&amp;IF(AND(EDATE($D73,Milestones!$AA$96)&lt;=AsOfDate,IF($R73=0,$X73,IF(AND($T73&lt;&gt;"",EDATE($D73,Milestones!$AA$96)&gt;=$T73),$W73,IF(AND($S73&lt;&gt;"",EDATE($D73,Milestones!$AA$96)&gt;=$S73),$V73,$U73)))=Milestones!$AB$96),UPPER(TEXT(EDATE($D73,Milestones!$AA$96),"dd mmm yy"))&amp;" "&amp;Milestones!$AB$96&amp;" "&amp;Milestones!$AC$96&amp;";  ","")&amp;IF(AND(EDATE($D73,Milestones!$AA$97)&lt;=AsOfDate,IF($R73=0,$X73,IF(AND($T73&lt;&gt;"",EDATE($D73,Milestones!$AA$97)&gt;=$T73),$W73,IF(AND($S73&lt;&gt;"",EDATE($D73,Milestones!$AA$97)&gt;=$S73),$V73,$U73)))=Milestones!$AB$97),UPPER(TEXT(EDATE($D73,Milestones!$AA$97),"dd mmm yy"))&amp;" "&amp;Milestones!$AB$97&amp;" "&amp;Milestones!$AC$97&amp;";  ","")&amp;IF(AND(EDATE($D73,Milestones!$AA$98)&lt;=AsOfDate,IF($R73=0,$X73,IF(AND($T73&lt;&gt;"",EDATE($D73,Milestones!$AA$98)&gt;=$T73),$W73,IF(AND($S73&lt;&gt;"",EDATE($D73,Milestones!$AA$98)&gt;=$S73),$V73,$U73)))=Milestones!$AB$98),UPPER(TEXT(EDATE($D73,Milestones!$AA$98),"dd mmm yy"))&amp;" "&amp;Milestones!$AB$98&amp;" "&amp;Milestones!$AC$98&amp;";  ","")&amp;IF(AND(EDATE($D73,Milestones!$AA$99)&lt;=AsOfDate,IF($R73=0,$X73,IF(AND($T73&lt;&gt;"",EDATE($D73,Milestones!$AA$99)&gt;=$T73),$W73,IF(AND($S73&lt;&gt;"",EDATE($D73,Milestones!$AA$99)&gt;=$S73),$V73,$U73)))=Milestones!$AB$99),UPPER(TEXT(EDATE($D73,Milestones!$AA$99),"dd mmm yy"))&amp;" "&amp;Milestones!$AB$99&amp;" "&amp;Milestones!$AC$99&amp;";  ",""))</f>
        <v/>
      </c>
      <c r="M73" s="0" t="str">
        <f aca="false">IF(OR($A73="",$D73=""),"",IF(AND(EDATE($D73,Milestones!$AA$100)&lt;=AsOfDate,IF($R73=0,$X73,IF(AND($T73&lt;&gt;"",EDATE($D73,Milestones!$AA$100)&gt;=$T73),$W73,IF(AND($S73&lt;&gt;"",EDATE($D73,Milestones!$AA$100)&gt;=$S73),$V73,$U73)))=Milestones!$AB$100),UPPER(TEXT(EDATE($D73,Milestones!$AA$100),"dd mmm yy"))&amp;" "&amp;Milestones!$AB$100&amp;" "&amp;Milestones!$AC$100&amp;";  ","")&amp;IF(AND(EDATE($D73,Milestones!$AA$101)&lt;=AsOfDate,IF($R73=0,$X73,IF(AND($T73&lt;&gt;"",EDATE($D73,Milestones!$AA$101)&gt;=$T73),$W73,IF(AND($S73&lt;&gt;"",EDATE($D73,Milestones!$AA$101)&gt;=$S73),$V73,$U73)))=Milestones!$AB$101),UPPER(TEXT(EDATE($D73,Milestones!$AA$101),"dd mmm yy"))&amp;" "&amp;Milestones!$AB$101&amp;" "&amp;Milestones!$AC$101&amp;";  ","")&amp;IF(AND(EDATE($D73,Milestones!$AA$102)&lt;=AsOfDate,IF($R73=0,$X73,IF(AND($T73&lt;&gt;"",EDATE($D73,Milestones!$AA$102)&gt;=$T73),$W73,IF(AND($S73&lt;&gt;"",EDATE($D73,Milestones!$AA$102)&gt;=$S73),$V73,$U73)))=Milestones!$AB$102),UPPER(TEXT(EDATE($D73,Milestones!$AA$102),"dd mmm yy"))&amp;" "&amp;Milestones!$AB$102&amp;" "&amp;Milestones!$AC$102&amp;";  ","")&amp;IF(AND(EDATE($D73,Milestones!$AA$103)&lt;=AsOfDate,IF($R73=0,$X73,IF(AND($T73&lt;&gt;"",EDATE($D73,Milestones!$AA$103)&gt;=$T73),$W73,IF(AND($S73&lt;&gt;"",EDATE($D73,Milestones!$AA$103)&gt;=$S73),$V73,$U73)))=Milestones!$AB$103),UPPER(TEXT(EDATE($D73,Milestones!$AA$103),"dd mmm yy"))&amp;" "&amp;Milestones!$AB$103&amp;" "&amp;Milestones!$AC$103&amp;";  ","")&amp;IF(AND(EDATE($D73,Milestones!$AA$104)&lt;=AsOfDate,IF($R73=0,$X73,IF(AND($T73&lt;&gt;"",EDATE($D73,Milestones!$AA$104)&gt;=$T73),$W73,IF(AND($S73&lt;&gt;"",EDATE($D73,Milestones!$AA$104)&gt;=$S73),$V73,$U73)))=Milestones!$AB$104),UPPER(TEXT(EDATE($D73,Milestones!$AA$104),"dd mmm yy"))&amp;" "&amp;Milestones!$AB$104&amp;" "&amp;Milestones!$AC$104&amp;";  ","")&amp;IF(AND(EDATE($D73,Milestones!$AA$105)&lt;=AsOfDate,IF($R73=0,$X73,IF(AND($T73&lt;&gt;"",EDATE($D73,Milestones!$AA$105)&gt;=$T73),$W73,IF(AND($S73&lt;&gt;"",EDATE($D73,Milestones!$AA$105)&gt;=$S73),$V73,$U73)))=Milestones!$AB$105),UPPER(TEXT(EDATE($D73,Milestones!$AA$105),"dd mmm yy"))&amp;" "&amp;Milestones!$AB$105&amp;" "&amp;Milestones!$AC$105&amp;";  ","")&amp;IF(AND(EDATE($D73,Milestones!$AA$106)&lt;=AsOfDate,IF($R73=0,$X73,IF(AND($T73&lt;&gt;"",EDATE($D73,Milestones!$AA$106)&gt;=$T73),$W73,IF(AND($S73&lt;&gt;"",EDATE($D73,Milestones!$AA$106)&gt;=$S73),$V73,$U73)))=Milestones!$AB$106),UPPER(TEXT(EDATE($D73,Milestones!$AA$106),"dd mmm yy"))&amp;" "&amp;Milestones!$AB$106&amp;" "&amp;Milestones!$AC$106&amp;";  ","")&amp;IF(AND(EDATE($D73,Milestones!$AA$107)&lt;=AsOfDate,IF($R73=0,$X73,IF(AND($T73&lt;&gt;"",EDATE($D73,Milestones!$AA$107)&gt;=$T73),$W73,IF(AND($S73&lt;&gt;"",EDATE($D73,Milestones!$AA$107)&gt;=$S73),$V73,$U73)))=Milestones!$AB$107),UPPER(TEXT(EDATE($D73,Milestones!$AA$107),"dd mmm yy"))&amp;" "&amp;Milestones!$AB$107&amp;" "&amp;Milestones!$AC$107&amp;";  ","")&amp;IF(AND(EDATE($D73,Milestones!$AA$108)&lt;=AsOfDate,IF($R73=0,$X73,IF(AND($T73&lt;&gt;"",EDATE($D73,Milestones!$AA$108)&gt;=$T73),$W73,IF(AND($S73&lt;&gt;"",EDATE($D73,Milestones!$AA$108)&gt;=$S73),$V73,$U73)))=Milestones!$AB$108),UPPER(TEXT(EDATE($D73,Milestones!$AA$108),"dd mmm yy"))&amp;" "&amp;Milestones!$AB$108&amp;" "&amp;Milestones!$AC$108&amp;";  ","")&amp;IF(AND(EDATE($D73,Milestones!$AA$109)&lt;=AsOfDate,IF($R73=0,$X73,IF(AND($T73&lt;&gt;"",EDATE($D73,Milestones!$AA$109)&gt;=$T73),$W73,IF(AND($S73&lt;&gt;"",EDATE($D73,Milestones!$AA$109)&gt;=$S73),$V73,$U73)))=Milestones!$AB$109),UPPER(TEXT(EDATE($D73,Milestones!$AA$109),"dd mmm yy"))&amp;" "&amp;Milestones!$AB$109&amp;" "&amp;Milestones!$AC$109&amp;";  ","")&amp;IF(AND(EDATE($D73,Milestones!$AA$110)&lt;=AsOfDate,IF($R73=0,$X73,IF(AND($T73&lt;&gt;"",EDATE($D73,Milestones!$AA$110)&gt;=$T73),$W73,IF(AND($S73&lt;&gt;"",EDATE($D73,Milestones!$AA$110)&gt;=$S73),$V73,$U73)))=Milestones!$AB$110),UPPER(TEXT(EDATE($D73,Milestones!$AA$110),"dd mmm yy"))&amp;" "&amp;Milestones!$AB$110&amp;" "&amp;Milestones!$AC$110&amp;";  ","")&amp;IF(AND(EDATE($D73,Milestones!$AA$111)&lt;=AsOfDate,IF($R73=0,$X73,IF(AND($T73&lt;&gt;"",EDATE($D73,Milestones!$AA$111)&gt;=$T73),$W73,IF(AND($S73&lt;&gt;"",EDATE($D73,Milestones!$AA$111)&gt;=$S73),$V73,$U73)))=Milestones!$AB$111),UPPER(TEXT(EDATE($D73,Milestones!$AA$111),"dd mmm yy"))&amp;" "&amp;Milestones!$AB$111&amp;" "&amp;Milestones!$AC$111&amp;";  ","")&amp;IF(AND(EDATE($D73,Milestones!$AA$112)&lt;=AsOfDate,IF($R73=0,$X73,IF(AND($T73&lt;&gt;"",EDATE($D73,Milestones!$AA$112)&gt;=$T73),$W73,IF(AND($S73&lt;&gt;"",EDATE($D73,Milestones!$AA$112)&gt;=$S73),$V73,$U73)))=Milestones!$AB$112),UPPER(TEXT(EDATE($D73,Milestones!$AA$112),"dd mmm yy"))&amp;" "&amp;Milestones!$AB$112&amp;" "&amp;Milestones!$AC$112&amp;";  ","")&amp;IF(AND(EDATE($D73,Milestones!$AA$113)&lt;=AsOfDate,IF($R73=0,$X73,IF(AND($T73&lt;&gt;"",EDATE($D73,Milestones!$AA$113)&gt;=$T73),$W73,IF(AND($S73&lt;&gt;"",EDATE($D73,Milestones!$AA$113)&gt;=$S73),$V73,$U73)))=Milestones!$AB$113),UPPER(TEXT(EDATE($D73,Milestones!$AA$113),"dd mmm yy"))&amp;" "&amp;Milestones!$AB$113&amp;" "&amp;Milestones!$AC$113&amp;";  ","")&amp;IF(AND(EDATE($D73,Milestones!$AA$114)&lt;=AsOfDate,IF($R73=0,$X73,IF(AND($T73&lt;&gt;"",EDATE($D73,Milestones!$AA$114)&gt;=$T73),$W73,IF(AND($S73&lt;&gt;"",EDATE($D73,Milestones!$AA$114)&gt;=$S73),$V73,$U73)))=Milestones!$AB$114),UPPER(TEXT(EDATE($D73,Milestones!$AA$114),"dd mmm yy"))&amp;" "&amp;Milestones!$AB$114&amp;" "&amp;Milestones!$AC$114&amp;";  ","")&amp;IF(AND(EDATE($D73,Milestones!$AA$115)&lt;=AsOfDate,IF($R73=0,$X73,IF(AND($T73&lt;&gt;"",EDATE($D73,Milestones!$AA$115)&gt;=$T73),$W73,IF(AND($S73&lt;&gt;"",EDATE($D73,Milestones!$AA$115)&gt;=$S73),$V73,$U73)))=Milestones!$AB$115),UPPER(TEXT(EDATE($D73,Milestones!$AA$115),"dd mmm yy"))&amp;" "&amp;Milestones!$AB$115&amp;" "&amp;Milestones!$AC$115&amp;";  ","")&amp;IF(AND(EDATE($D73,Milestones!$AA$116)&lt;=AsOfDate,IF($R73=0,$X73,IF(AND($T73&lt;&gt;"",EDATE($D73,Milestones!$AA$116)&gt;=$T73),$W73,IF(AND($S73&lt;&gt;"",EDATE($D73,Milestones!$AA$116)&gt;=$S73),$V73,$U73)))=Milestones!$AB$116),UPPER(TEXT(EDATE($D73,Milestones!$AA$116),"dd mmm yy"))&amp;" "&amp;Milestones!$AB$116&amp;" "&amp;Milestones!$AC$116&amp;";  ","")&amp;IF(AND(EDATE($D73,Milestones!$AA$117)&lt;=AsOfDate,IF($R73=0,$X73,IF(AND($T73&lt;&gt;"",EDATE($D73,Milestones!$AA$117)&gt;=$T73),$W73,IF(AND($S73&lt;&gt;"",EDATE($D73,Milestones!$AA$117)&gt;=$S73),$V73,$U73)))=Milestones!$AB$117),UPPER(TEXT(EDATE($D73,Milestones!$AA$117),"dd mmm yy"))&amp;" "&amp;Milestones!$AB$117&amp;" "&amp;Milestones!$AC$117&amp;";  ","")&amp;IF(AND(EDATE($D73,Milestones!$AA$118)&lt;=AsOfDate,IF($R73=0,$X73,IF(AND($T73&lt;&gt;"",EDATE($D73,Milestones!$AA$118)&gt;=$T73),$W73,IF(AND($S73&lt;&gt;"",EDATE($D73,Milestones!$AA$118)&gt;=$S73),$V73,$U73)))=Milestones!$AB$118),UPPER(TEXT(EDATE($D73,Milestones!$AA$118),"dd mmm yy"))&amp;" "&amp;Milestones!$AB$118&amp;" "&amp;Milestones!$AC$118&amp;";  ","")&amp;IF(AND(EDATE($D73,Milestones!$AA$119)&lt;=AsOfDate,IF($R73=0,$X73,IF(AND($T73&lt;&gt;"",EDATE($D73,Milestones!$AA$119)&gt;=$T73),$W73,IF(AND($S73&lt;&gt;"",EDATE($D73,Milestones!$AA$119)&gt;=$S73),$V73,$U73)))=Milestones!$AB$119),UPPER(TEXT(EDATE($D73,Milestones!$AA$119),"dd mmm yy"))&amp;" "&amp;Milestones!$AB$119&amp;" "&amp;Milestones!$AC$119&amp;";  ",""))</f>
        <v/>
      </c>
      <c r="N73" s="0" t="str">
        <f aca="false">IF(OR($A73="",$D73=""),"",IF(AND(EDATE($D73,Milestones!$AA$120)&lt;=AsOfDate,IF($R73=0,$X73,IF(AND($T73&lt;&gt;"",EDATE($D73,Milestones!$AA$120)&gt;=$T73),$W73,IF(AND($S73&lt;&gt;"",EDATE($D73,Milestones!$AA$120)&gt;=$S73),$V73,$U73)))=Milestones!$AB$120),UPPER(TEXT(EDATE($D73,Milestones!$AA$120),"dd mmm yy"))&amp;" "&amp;Milestones!$AB$120&amp;" "&amp;Milestones!$AC$120&amp;";  ","")&amp;IF(AND(EDATE($D73,Milestones!$AA$121)&lt;=AsOfDate,IF($R73=0,$X73,IF(AND($T73&lt;&gt;"",EDATE($D73,Milestones!$AA$121)&gt;=$T73),$W73,IF(AND($S73&lt;&gt;"",EDATE($D73,Milestones!$AA$121)&gt;=$S73),$V73,$U73)))=Milestones!$AB$121),UPPER(TEXT(EDATE($D73,Milestones!$AA$121),"dd mmm yy"))&amp;" "&amp;Milestones!$AB$121&amp;" "&amp;Milestones!$AC$121&amp;";  ","")&amp;IF(AND(EDATE($D73,Milestones!$AA$122)&lt;=AsOfDate,IF($R73=0,$X73,IF(AND($T73&lt;&gt;"",EDATE($D73,Milestones!$AA$122)&gt;=$T73),$W73,IF(AND($S73&lt;&gt;"",EDATE($D73,Milestones!$AA$122)&gt;=$S73),$V73,$U73)))=Milestones!$AB$122),UPPER(TEXT(EDATE($D73,Milestones!$AA$122),"dd mmm yy"))&amp;" "&amp;Milestones!$AB$122&amp;" "&amp;Milestones!$AC$122&amp;";  ","")&amp;IF(AND(EDATE($D73,Milestones!$AA$123)&lt;=AsOfDate,IF($R73=0,$X73,IF(AND($T73&lt;&gt;"",EDATE($D73,Milestones!$AA$123)&gt;=$T73),$W73,IF(AND($S73&lt;&gt;"",EDATE($D73,Milestones!$AA$123)&gt;=$S73),$V73,$U73)))=Milestones!$AB$123),UPPER(TEXT(EDATE($D73,Milestones!$AA$123),"dd mmm yy"))&amp;" "&amp;Milestones!$AB$123&amp;" "&amp;Milestones!$AC$123&amp;";  ","")&amp;IF(AND(EDATE($D73,Milestones!$AA$124)&lt;=AsOfDate,IF($R73=0,$X73,IF(AND($T73&lt;&gt;"",EDATE($D73,Milestones!$AA$124)&gt;=$T73),$W73,IF(AND($S73&lt;&gt;"",EDATE($D73,Milestones!$AA$124)&gt;=$S73),$V73,$U73)))=Milestones!$AB$124),UPPER(TEXT(EDATE($D73,Milestones!$AA$124),"dd mmm yy"))&amp;" "&amp;Milestones!$AB$124&amp;" "&amp;Milestones!$AC$124&amp;";  ","")&amp;IF(AND(EDATE($D73,Milestones!$AA$125)&lt;=AsOfDate,IF($R73=0,$X73,IF(AND($T73&lt;&gt;"",EDATE($D73,Milestones!$AA$125)&gt;=$T73),$W73,IF(AND($S73&lt;&gt;"",EDATE($D73,Milestones!$AA$125)&gt;=$S73),$V73,$U73)))=Milestones!$AB$125),UPPER(TEXT(EDATE($D73,Milestones!$AA$125),"dd mmm yy"))&amp;" "&amp;Milestones!$AB$125&amp;" "&amp;Milestones!$AC$125&amp;";  ","")&amp;IF(AND(EDATE($D73,Milestones!$AA$126)&lt;=AsOfDate,IF($R73=0,$X73,IF(AND($T73&lt;&gt;"",EDATE($D73,Milestones!$AA$126)&gt;=$T73),$W73,IF(AND($S73&lt;&gt;"",EDATE($D73,Milestones!$AA$126)&gt;=$S73),$V73,$U73)))=Milestones!$AB$126),UPPER(TEXT(EDATE($D73,Milestones!$AA$126),"dd mmm yy"))&amp;" "&amp;Milestones!$AB$126&amp;" "&amp;Milestones!$AC$126&amp;";  ","")&amp;IF(AND(EDATE($D73,Milestones!$AA$127)&lt;=AsOfDate,IF($R73=0,$X73,IF(AND($T73&lt;&gt;"",EDATE($D73,Milestones!$AA$127)&gt;=$T73),$W73,IF(AND($S73&lt;&gt;"",EDATE($D73,Milestones!$AA$127)&gt;=$S73),$V73,$U73)))=Milestones!$AB$127),UPPER(TEXT(EDATE($D73,Milestones!$AA$127),"dd mmm yy"))&amp;" "&amp;Milestones!$AB$127&amp;" "&amp;Milestones!$AC$127&amp;";  ","")&amp;IF(AND(EDATE($D73,Milestones!$AA$128)&lt;=AsOfDate,IF($R73=0,$X73,IF(AND($T73&lt;&gt;"",EDATE($D73,Milestones!$AA$128)&gt;=$T73),$W73,IF(AND($S73&lt;&gt;"",EDATE($D73,Milestones!$AA$128)&gt;=$S73),$V73,$U73)))=Milestones!$AB$128),UPPER(TEXT(EDATE($D73,Milestones!$AA$128),"dd mmm yy"))&amp;" "&amp;Milestones!$AB$128&amp;" "&amp;Milestones!$AC$128&amp;";  ","")&amp;IF(AND(EDATE($D73,Milestones!$AA$129)&lt;=AsOfDate,IF($R73=0,$X73,IF(AND($T73&lt;&gt;"",EDATE($D73,Milestones!$AA$129)&gt;=$T73),$W73,IF(AND($S73&lt;&gt;"",EDATE($D73,Milestones!$AA$129)&gt;=$S73),$V73,$U73)))=Milestones!$AB$129),UPPER(TEXT(EDATE($D73,Milestones!$AA$129),"dd mmm yy"))&amp;" "&amp;Milestones!$AB$129&amp;" "&amp;Milestones!$AC$129&amp;";  ","")&amp;IF(AND(EDATE($D73,Milestones!$AA$130)&lt;=AsOfDate,IF($R73=0,$X73,IF(AND($T73&lt;&gt;"",EDATE($D73,Milestones!$AA$130)&gt;=$T73),$W73,IF(AND($S73&lt;&gt;"",EDATE($D73,Milestones!$AA$130)&gt;=$S73),$V73,$U73)))=Milestones!$AB$130),UPPER(TEXT(EDATE($D73,Milestones!$AA$130),"dd mmm yy"))&amp;" "&amp;Milestones!$AB$130&amp;" "&amp;Milestones!$AC$130&amp;";  ","")&amp;IF(AND(EDATE($D73,Milestones!$AA$131)&lt;=AsOfDate,IF($R73=0,$X73,IF(AND($T73&lt;&gt;"",EDATE($D73,Milestones!$AA$131)&gt;=$T73),$W73,IF(AND($S73&lt;&gt;"",EDATE($D73,Milestones!$AA$131)&gt;=$S73),$V73,$U73)))=Milestones!$AB$131),UPPER(TEXT(EDATE($D73,Milestones!$AA$131),"dd mmm yy"))&amp;" "&amp;Milestones!$AB$131&amp;" "&amp;Milestones!$AC$131&amp;";  ","")&amp;IF(AND(EDATE($D73,Milestones!$AA$132)&lt;=AsOfDate,IF($R73=0,$X73,IF(AND($T73&lt;&gt;"",EDATE($D73,Milestones!$AA$132)&gt;=$T73),$W73,IF(AND($S73&lt;&gt;"",EDATE($D73,Milestones!$AA$132)&gt;=$S73),$V73,$U73)))=Milestones!$AB$132),UPPER(TEXT(EDATE($D73,Milestones!$AA$132),"dd mmm yy"))&amp;" "&amp;Milestones!$AB$132&amp;" "&amp;Milestones!$AC$132&amp;";  ","")&amp;IF(AND(EDATE($D73,Milestones!$AA$133)&lt;=AsOfDate,IF($R73=0,$X73,IF(AND($T73&lt;&gt;"",EDATE($D73,Milestones!$AA$133)&gt;=$T73),$W73,IF(AND($S73&lt;&gt;"",EDATE($D73,Milestones!$AA$133)&gt;=$S73),$V73,$U73)))=Milestones!$AB$133),UPPER(TEXT(EDATE($D73,Milestones!$AA$133),"dd mmm yy"))&amp;" "&amp;Milestones!$AB$133&amp;" "&amp;Milestones!$AC$133&amp;";  ","")&amp;IF(AND(EDATE($D73,Milestones!$AA$134)&lt;=AsOfDate,IF($R73=0,$X73,IF(AND($T73&lt;&gt;"",EDATE($D73,Milestones!$AA$134)&gt;=$T73),$W73,IF(AND($S73&lt;&gt;"",EDATE($D73,Milestones!$AA$134)&gt;=$S73),$V73,$U73)))=Milestones!$AB$134),UPPER(TEXT(EDATE($D73,Milestones!$AA$134),"dd mmm yy"))&amp;" "&amp;Milestones!$AB$134&amp;" "&amp;Milestones!$AC$134&amp;";  ","")&amp;IF(AND(EDATE($D73,Milestones!$AA$135)&lt;=AsOfDate,IF($R73=0,$X73,IF(AND($T73&lt;&gt;"",EDATE($D73,Milestones!$AA$135)&gt;=$T73),$W73,IF(AND($S73&lt;&gt;"",EDATE($D73,Milestones!$AA$135)&gt;=$S73),$V73,$U73)))=Milestones!$AB$135),UPPER(TEXT(EDATE($D73,Milestones!$AA$135),"dd mmm yy"))&amp;" "&amp;Milestones!$AB$135&amp;" "&amp;Milestones!$AC$135&amp;";  ","")&amp;IF(AND(EDATE($D73,Milestones!$AA$136)&lt;=AsOfDate,IF($R73=0,$X73,IF(AND($T73&lt;&gt;"",EDATE($D73,Milestones!$AA$136)&gt;=$T73),$W73,IF(AND($S73&lt;&gt;"",EDATE($D73,Milestones!$AA$136)&gt;=$S73),$V73,$U73)))=Milestones!$AB$136),UPPER(TEXT(EDATE($D73,Milestones!$AA$136),"dd mmm yy"))&amp;" "&amp;Milestones!$AB$136&amp;" "&amp;Milestones!$AC$136&amp;";  ","")&amp;IF(AND(EDATE($D73,Milestones!$AA$137)&lt;=AsOfDate,IF($R73=0,$X73,IF(AND($T73&lt;&gt;"",EDATE($D73,Milestones!$AA$137)&gt;=$T73),$W73,IF(AND($S73&lt;&gt;"",EDATE($D73,Milestones!$AA$137)&gt;=$S73),$V73,$U73)))=Milestones!$AB$137),UPPER(TEXT(EDATE($D73,Milestones!$AA$137),"dd mmm yy"))&amp;" "&amp;Milestones!$AB$137&amp;" "&amp;Milestones!$AC$137&amp;";  ","")&amp;IF(AND(EDATE($D73,Milestones!$AA$138)&lt;=AsOfDate,IF($R73=0,$X73,IF(AND($T73&lt;&gt;"",EDATE($D73,Milestones!$AA$138)&gt;=$T73),$W73,IF(AND($S73&lt;&gt;"",EDATE($D73,Milestones!$AA$138)&gt;=$S73),$V73,$U73)))=Milestones!$AB$138),UPPER(TEXT(EDATE($D73,Milestones!$AA$138),"dd mmm yy"))&amp;" "&amp;Milestones!$AB$138&amp;" "&amp;Milestones!$AC$138&amp;";  ","")&amp;IF(AND(EDATE($D73,Milestones!$AA$139)&lt;=AsOfDate,IF($R73=0,$X73,IF(AND($T73&lt;&gt;"",EDATE($D73,Milestones!$AA$139)&gt;=$T73),$W73,IF(AND($S73&lt;&gt;"",EDATE($D73,Milestones!$AA$139)&gt;=$S73),$V73,$U73)))=Milestones!$AB$139),UPPER(TEXT(EDATE($D73,Milestones!$AA$139),"dd mmm yy"))&amp;" "&amp;Milestones!$AB$139&amp;" "&amp;Milestones!$AC$139&amp;";  ",""))</f>
        <v/>
      </c>
      <c r="O73" s="0" t="str">
        <f aca="false">IF(OR($A73="",$D73=""),"",IF(AND(EDATE($D73,Milestones!$AA$140)&lt;=AsOfDate,IF($R73=0,$X73,IF(AND($T73&lt;&gt;"",EDATE($D73,Milestones!$AA$140)&gt;=$T73),$W73,IF(AND($S73&lt;&gt;"",EDATE($D73,Milestones!$AA$140)&gt;=$S73),$V73,$U73)))=Milestones!$AB$140),UPPER(TEXT(EDATE($D73,Milestones!$AA$140),"dd mmm yy"))&amp;" "&amp;Milestones!$AB$140&amp;" "&amp;Milestones!$AC$140&amp;";  ","")&amp;IF(AND(EDATE($D73,Milestones!$AA$141)&lt;=AsOfDate,IF($R73=0,$X73,IF(AND($T73&lt;&gt;"",EDATE($D73,Milestones!$AA$141)&gt;=$T73),$W73,IF(AND($S73&lt;&gt;"",EDATE($D73,Milestones!$AA$141)&gt;=$S73),$V73,$U73)))=Milestones!$AB$141),UPPER(TEXT(EDATE($D73,Milestones!$AA$141),"dd mmm yy"))&amp;" "&amp;Milestones!$AB$141&amp;" "&amp;Milestones!$AC$141&amp;";  ","")&amp;IF(AND(EDATE($D73,Milestones!$AA$142)&lt;=AsOfDate,IF($R73=0,$X73,IF(AND($T73&lt;&gt;"",EDATE($D73,Milestones!$AA$142)&gt;=$T73),$W73,IF(AND($S73&lt;&gt;"",EDATE($D73,Milestones!$AA$142)&gt;=$S73),$V73,$U73)))=Milestones!$AB$142),UPPER(TEXT(EDATE($D73,Milestones!$AA$142),"dd mmm yy"))&amp;" "&amp;Milestones!$AB$142&amp;" "&amp;Milestones!$AC$142&amp;";  ","")&amp;IF(AND(EDATE($D73,Milestones!$AA$143)&lt;=AsOfDate,IF($R73=0,$X73,IF(AND($T73&lt;&gt;"",EDATE($D73,Milestones!$AA$143)&gt;=$T73),$W73,IF(AND($S73&lt;&gt;"",EDATE($D73,Milestones!$AA$143)&gt;=$S73),$V73,$U73)))=Milestones!$AB$143),UPPER(TEXT(EDATE($D73,Milestones!$AA$143),"dd mmm yy"))&amp;" "&amp;Milestones!$AB$143&amp;" "&amp;Milestones!$AC$143&amp;";  ","")&amp;IF(AND(EDATE($D73,Milestones!$AA$144)&lt;=AsOfDate,IF($R73=0,$X73,IF(AND($T73&lt;&gt;"",EDATE($D73,Milestones!$AA$144)&gt;=$T73),$W73,IF(AND($S73&lt;&gt;"",EDATE($D73,Milestones!$AA$144)&gt;=$S73),$V73,$U73)))=Milestones!$AB$144),UPPER(TEXT(EDATE($D73,Milestones!$AA$144),"dd mmm yy"))&amp;" "&amp;Milestones!$AB$144&amp;" "&amp;Milestones!$AC$144&amp;";  ","")&amp;IF(AND(EDATE($D73,Milestones!$AA$145)&lt;=AsOfDate,IF($R73=0,$X73,IF(AND($T73&lt;&gt;"",EDATE($D73,Milestones!$AA$145)&gt;=$T73),$W73,IF(AND($S73&lt;&gt;"",EDATE($D73,Milestones!$AA$145)&gt;=$S73),$V73,$U73)))=Milestones!$AB$145),UPPER(TEXT(EDATE($D73,Milestones!$AA$145),"dd mmm yy"))&amp;" "&amp;Milestones!$AB$145&amp;" "&amp;Milestones!$AC$145&amp;";  ","")&amp;IF(AND(EDATE($D73,Milestones!$AA$146)&lt;=AsOfDate,IF($R73=0,$X73,IF(AND($T73&lt;&gt;"",EDATE($D73,Milestones!$AA$146)&gt;=$T73),$W73,IF(AND($S73&lt;&gt;"",EDATE($D73,Milestones!$AA$146)&gt;=$S73),$V73,$U73)))=Milestones!$AB$146),UPPER(TEXT(EDATE($D73,Milestones!$AA$146),"dd mmm yy"))&amp;" "&amp;Milestones!$AB$146&amp;" "&amp;Milestones!$AC$146&amp;";  ","")&amp;IF(AND(EDATE($D73,Milestones!$AA$147)&lt;=AsOfDate,IF($R73=0,$X73,IF(AND($T73&lt;&gt;"",EDATE($D73,Milestones!$AA$147)&gt;=$T73),$W73,IF(AND($S73&lt;&gt;"",EDATE($D73,Milestones!$AA$147)&gt;=$S73),$V73,$U73)))=Milestones!$AB$147),UPPER(TEXT(EDATE($D73,Milestones!$AA$147),"dd mmm yy"))&amp;" "&amp;Milestones!$AB$147&amp;" "&amp;Milestones!$AC$147&amp;";  ","")&amp;IF(AND(EDATE($D73,Milestones!$AA$148)&lt;=AsOfDate,IF($R73=0,$X73,IF(AND($T73&lt;&gt;"",EDATE($D73,Milestones!$AA$148)&gt;=$T73),$W73,IF(AND($S73&lt;&gt;"",EDATE($D73,Milestones!$AA$148)&gt;=$S73),$V73,$U73)))=Milestones!$AB$148),UPPER(TEXT(EDATE($D73,Milestones!$AA$148),"dd mmm yy"))&amp;" "&amp;Milestones!$AB$148&amp;" "&amp;Milestones!$AC$148&amp;";  ","")&amp;IF(AND(EDATE($D73,Milestones!$AA$149)&lt;=AsOfDate,IF($R73=0,$X73,IF(AND($T73&lt;&gt;"",EDATE($D73,Milestones!$AA$149)&gt;=$T73),$W73,IF(AND($S73&lt;&gt;"",EDATE($D73,Milestones!$AA$149)&gt;=$S73),$V73,$U73)))=Milestones!$AB$149),UPPER(TEXT(EDATE($D73,Milestones!$AA$149),"dd mmm yy"))&amp;" "&amp;Milestones!$AB$149&amp;" "&amp;Milestones!$AC$149&amp;";  ","")&amp;IF(AND(EDATE($D73,Milestones!$AA$150)&lt;=AsOfDate,IF($R73=0,$X73,IF(AND($T73&lt;&gt;"",EDATE($D73,Milestones!$AA$150)&gt;=$T73),$W73,IF(AND($S73&lt;&gt;"",EDATE($D73,Milestones!$AA$150)&gt;=$S73),$V73,$U73)))=Milestones!$AB$150),UPPER(TEXT(EDATE($D73,Milestones!$AA$150),"dd mmm yy"))&amp;" "&amp;Milestones!$AB$150&amp;" "&amp;Milestones!$AC$150&amp;";  ","")&amp;IF(AND(EDATE($D73,Milestones!$AA$151)&lt;=AsOfDate,IF($R73=0,$X73,IF(AND($T73&lt;&gt;"",EDATE($D73,Milestones!$AA$151)&gt;=$T73),$W73,IF(AND($S73&lt;&gt;"",EDATE($D73,Milestones!$AA$151)&gt;=$S73),$V73,$U73)))=Milestones!$AB$151),UPPER(TEXT(EDATE($D73,Milestones!$AA$151),"dd mmm yy"))&amp;" "&amp;Milestones!$AB$151&amp;" "&amp;Milestones!$AC$151&amp;";  ","")&amp;IF(AND(EDATE($D73,Milestones!$AA$152)&lt;=AsOfDate,IF($R73=0,$X73,IF(AND($T73&lt;&gt;"",EDATE($D73,Milestones!$AA$152)&gt;=$T73),$W73,IF(AND($S73&lt;&gt;"",EDATE($D73,Milestones!$AA$152)&gt;=$S73),$V73,$U73)))=Milestones!$AB$152),UPPER(TEXT(EDATE($D73,Milestones!$AA$152),"dd mmm yy"))&amp;" "&amp;Milestones!$AB$152&amp;" "&amp;Milestones!$AC$152&amp;";  ","")&amp;IF(AND(EDATE($D73,Milestones!$AA$153)&lt;=AsOfDate,IF($R73=0,$X73,IF(AND($T73&lt;&gt;"",EDATE($D73,Milestones!$AA$153)&gt;=$T73),$W73,IF(AND($S73&lt;&gt;"",EDATE($D73,Milestones!$AA$153)&gt;=$S73),$V73,$U73)))=Milestones!$AB$153),UPPER(TEXT(EDATE($D73,Milestones!$AA$153),"dd mmm yy"))&amp;" "&amp;Milestones!$AB$153&amp;" "&amp;Milestones!$AC$153&amp;";  ","")&amp;IF(AND(EDATE($D73,Milestones!$AA$154)&lt;=AsOfDate,IF($R73=0,$X73,IF(AND($T73&lt;&gt;"",EDATE($D73,Milestones!$AA$154)&gt;=$T73),$W73,IF(AND($S73&lt;&gt;"",EDATE($D73,Milestones!$AA$154)&gt;=$S73),$V73,$U73)))=Milestones!$AB$154),UPPER(TEXT(EDATE($D73,Milestones!$AA$154),"dd mmm yy"))&amp;" "&amp;Milestones!$AB$154&amp;" "&amp;Milestones!$AC$154&amp;";  ","")&amp;IF(AND(EDATE($D73,Milestones!$AA$155)&lt;=AsOfDate,IF($R73=0,$X73,IF(AND($T73&lt;&gt;"",EDATE($D73,Milestones!$AA$155)&gt;=$T73),$W73,IF(AND($S73&lt;&gt;"",EDATE($D73,Milestones!$AA$155)&gt;=$S73),$V73,$U73)))=Milestones!$AB$155),UPPER(TEXT(EDATE($D73,Milestones!$AA$155),"dd mmm yy"))&amp;" "&amp;Milestones!$AB$155&amp;" "&amp;Milestones!$AC$155&amp;";  ","")&amp;IF(AND(EDATE($D73,Milestones!$AA$156)&lt;=AsOfDate,IF($R73=0,$X73,IF(AND($T73&lt;&gt;"",EDATE($D73,Milestones!$AA$156)&gt;=$T73),$W73,IF(AND($S73&lt;&gt;"",EDATE($D73,Milestones!$AA$156)&gt;=$S73),$V73,$U73)))=Milestones!$AB$156),UPPER(TEXT(EDATE($D73,Milestones!$AA$156),"dd mmm yy"))&amp;" "&amp;Milestones!$AB$156&amp;" "&amp;Milestones!$AC$156&amp;";  ","")&amp;IF(AND(EDATE($D73,Milestones!$AA$157)&lt;=AsOfDate,IF($R73=0,$X73,IF(AND($T73&lt;&gt;"",EDATE($D73,Milestones!$AA$157)&gt;=$T73),$W73,IF(AND($S73&lt;&gt;"",EDATE($D73,Milestones!$AA$157)&gt;=$S73),$V73,$U73)))=Milestones!$AB$157),UPPER(TEXT(EDATE($D73,Milestones!$AA$157),"dd mmm yy"))&amp;" "&amp;Milestones!$AB$157&amp;" "&amp;Milestones!$AC$157&amp;";  ","")&amp;IF(AND(EDATE($D73,Milestones!$AA$158)&lt;=AsOfDate,IF($R73=0,$X73,IF(AND($T73&lt;&gt;"",EDATE($D73,Milestones!$AA$158)&gt;=$T73),$W73,IF(AND($S73&lt;&gt;"",EDATE($D73,Milestones!$AA$158)&gt;=$S73),$V73,$U73)))=Milestones!$AB$158),UPPER(TEXT(EDATE($D73,Milestones!$AA$158),"dd mmm yy"))&amp;" "&amp;Milestones!$AB$158&amp;" "&amp;Milestones!$AC$158&amp;";  ","")&amp;IF(AND(EDATE($D73,Milestones!$AA$159)&lt;=AsOfDate,IF($R73=0,$X73,IF(AND($T73&lt;&gt;"",EDATE($D73,Milestones!$AA$159)&gt;=$T73),$W73,IF(AND($S73&lt;&gt;"",EDATE($D73,Milestones!$AA$159)&gt;=$S73),$V73,$U73)))=Milestones!$AB$159),UPPER(TEXT(EDATE($D73,Milestones!$AA$159),"dd mmm yy"))&amp;" "&amp;Milestones!$AB$159&amp;" "&amp;Milestones!$AC$159&amp;";  ",""))</f>
        <v/>
      </c>
      <c r="P73" s="0" t="str">
        <f aca="false">IF(OR($A73="",$D73=""),"",IF(AND(EDATE($D73,Milestones!$AA$160)&lt;=AsOfDate,IF($R73=0,$X73,IF(AND($T73&lt;&gt;"",EDATE($D73,Milestones!$AA$160)&gt;=$T73),$W73,IF(AND($S73&lt;&gt;"",EDATE($D73,Milestones!$AA$160)&gt;=$S73),$V73,$U73)))=Milestones!$AB$160),UPPER(TEXT(EDATE($D73,Milestones!$AA$160),"dd mmm yy"))&amp;" "&amp;Milestones!$AB$160&amp;" "&amp;Milestones!$AC$160&amp;";  ","")&amp;IF(AND(EDATE($D73,Milestones!$AA$161)&lt;=AsOfDate,IF($R73=0,$X73,IF(AND($T73&lt;&gt;"",EDATE($D73,Milestones!$AA$161)&gt;=$T73),$W73,IF(AND($S73&lt;&gt;"",EDATE($D73,Milestones!$AA$161)&gt;=$S73),$V73,$U73)))=Milestones!$AB$161),UPPER(TEXT(EDATE($D73,Milestones!$AA$161),"dd mmm yy"))&amp;" "&amp;Milestones!$AB$161&amp;" "&amp;Milestones!$AC$161&amp;";  ","")&amp;IF(AND(EDATE($D73,Milestones!$AA$162)&lt;=AsOfDate,IF($R73=0,$X73,IF(AND($T73&lt;&gt;"",EDATE($D73,Milestones!$AA$162)&gt;=$T73),$W73,IF(AND($S73&lt;&gt;"",EDATE($D73,Milestones!$AA$162)&gt;=$S73),$V73,$U73)))=Milestones!$AB$162),UPPER(TEXT(EDATE($D73,Milestones!$AA$162),"dd mmm yy"))&amp;" "&amp;Milestones!$AB$162&amp;" "&amp;Milestones!$AC$162&amp;";  ","")&amp;IF(AND(EDATE($D73,Milestones!$AA$163)&lt;=AsOfDate,IF($R73=0,$X73,IF(AND($T73&lt;&gt;"",EDATE($D73,Milestones!$AA$163)&gt;=$T73),$W73,IF(AND($S73&lt;&gt;"",EDATE($D73,Milestones!$AA$163)&gt;=$S73),$V73,$U73)))=Milestones!$AB$163),UPPER(TEXT(EDATE($D73,Milestones!$AA$163),"dd mmm yy"))&amp;" "&amp;Milestones!$AB$163&amp;" "&amp;Milestones!$AC$163&amp;";  ","")&amp;IF(AND(EDATE($D73,Milestones!$AA$164)&lt;=AsOfDate,IF($R73=0,$X73,IF(AND($T73&lt;&gt;"",EDATE($D73,Milestones!$AA$164)&gt;=$T73),$W73,IF(AND($S73&lt;&gt;"",EDATE($D73,Milestones!$AA$164)&gt;=$S73),$V73,$U73)))=Milestones!$AB$164),UPPER(TEXT(EDATE($D73,Milestones!$AA$164),"dd mmm yy"))&amp;" "&amp;Milestones!$AB$164&amp;" "&amp;Milestones!$AC$164&amp;";  ","")&amp;IF(AND(EDATE($D73,Milestones!$AA$165)&lt;=AsOfDate,IF($R73=0,$X73,IF(AND($T73&lt;&gt;"",EDATE($D73,Milestones!$AA$165)&gt;=$T73),$W73,IF(AND($S73&lt;&gt;"",EDATE($D73,Milestones!$AA$165)&gt;=$S73),$V73,$U73)))=Milestones!$AB$165),UPPER(TEXT(EDATE($D73,Milestones!$AA$165),"dd mmm yy"))&amp;" "&amp;Milestones!$AB$165&amp;" "&amp;Milestones!$AC$165&amp;";  ","")&amp;IF(AND(EDATE($D73,Milestones!$AA$166)&lt;=AsOfDate,IF($R73=0,$X73,IF(AND($T73&lt;&gt;"",EDATE($D73,Milestones!$AA$166)&gt;=$T73),$W73,IF(AND($S73&lt;&gt;"",EDATE($D73,Milestones!$AA$166)&gt;=$S73),$V73,$U73)))=Milestones!$AB$166),UPPER(TEXT(EDATE($D73,Milestones!$AA$166),"dd mmm yy"))&amp;" "&amp;Milestones!$AB$166&amp;" "&amp;Milestones!$AC$166&amp;";  ","")&amp;IF(AND(EDATE($D73,Milestones!$AA$167)&lt;=AsOfDate,IF($R73=0,$X73,IF(AND($T73&lt;&gt;"",EDATE($D73,Milestones!$AA$167)&gt;=$T73),$W73,IF(AND($S73&lt;&gt;"",EDATE($D73,Milestones!$AA$167)&gt;=$S73),$V73,$U73)))=Milestones!$AB$167),UPPER(TEXT(EDATE($D73,Milestones!$AA$167),"dd mmm yy"))&amp;" "&amp;Milestones!$AB$167&amp;" "&amp;Milestones!$AC$167&amp;";  ","")&amp;IF(AND(EDATE($D73,Milestones!$AA$168)&lt;=AsOfDate,IF($R73=0,$X73,IF(AND($T73&lt;&gt;"",EDATE($D73,Milestones!$AA$168)&gt;=$T73),$W73,IF(AND($S73&lt;&gt;"",EDATE($D73,Milestones!$AA$168)&gt;=$S73),$V73,$U73)))=Milestones!$AB$168),UPPER(TEXT(EDATE($D73,Milestones!$AA$168),"dd mmm yy"))&amp;" "&amp;Milestones!$AB$168&amp;" "&amp;Milestones!$AC$168&amp;";  ","")&amp;IF(AND(EDATE($D73,Milestones!$AA$169)&lt;=AsOfDate,IF($R73=0,$X73,IF(AND($T73&lt;&gt;"",EDATE($D73,Milestones!$AA$169)&gt;=$T73),$W73,IF(AND($S73&lt;&gt;"",EDATE($D73,Milestones!$AA$169)&gt;=$S73),$V73,$U73)))=Milestones!$AB$169),UPPER(TEXT(EDATE($D73,Milestones!$AA$169),"dd mmm yy"))&amp;" "&amp;Milestones!$AB$169&amp;" "&amp;Milestones!$AC$169&amp;";  ","")&amp;IF(AND(EDATE($D73,Milestones!$AA$170)&lt;=AsOfDate,IF($R73=0,$X73,IF(AND($T73&lt;&gt;"",EDATE($D73,Milestones!$AA$170)&gt;=$T73),$W73,IF(AND($S73&lt;&gt;"",EDATE($D73,Milestones!$AA$170)&gt;=$S73),$V73,$U73)))=Milestones!$AB$170),UPPER(TEXT(EDATE($D73,Milestones!$AA$170),"dd mmm yy"))&amp;" "&amp;Milestones!$AB$170&amp;" "&amp;Milestones!$AC$170&amp;";  ","")&amp;IF(AND(EDATE($D73,Milestones!$AA$171)&lt;=AsOfDate,IF($R73=0,$X73,IF(AND($T73&lt;&gt;"",EDATE($D73,Milestones!$AA$171)&gt;=$T73),$W73,IF(AND($S73&lt;&gt;"",EDATE($D73,Milestones!$AA$171)&gt;=$S73),$V73,$U73)))=Milestones!$AB$171),UPPER(TEXT(EDATE($D73,Milestones!$AA$171),"dd mmm yy"))&amp;" "&amp;Milestones!$AB$171&amp;" "&amp;Milestones!$AC$171&amp;";  ","")&amp;IF(AND(EDATE($D73,Milestones!$AA$172)&lt;=AsOfDate,IF($R73=0,$X73,IF(AND($T73&lt;&gt;"",EDATE($D73,Milestones!$AA$172)&gt;=$T73),$W73,IF(AND($S73&lt;&gt;"",EDATE($D73,Milestones!$AA$172)&gt;=$S73),$V73,$U73)))=Milestones!$AB$172),UPPER(TEXT(EDATE($D73,Milestones!$AA$172),"dd mmm yy"))&amp;" "&amp;Milestones!$AB$172&amp;" "&amp;Milestones!$AC$172&amp;";  ","")&amp;IF(AND(EDATE($D73,Milestones!$AA$173)&lt;=AsOfDate,IF($R73=0,$X73,IF(AND($T73&lt;&gt;"",EDATE($D73,Milestones!$AA$173)&gt;=$T73),$W73,IF(AND($S73&lt;&gt;"",EDATE($D73,Milestones!$AA$173)&gt;=$S73),$V73,$U73)))=Milestones!$AB$173),UPPER(TEXT(EDATE($D73,Milestones!$AA$173),"dd mmm yy"))&amp;" "&amp;Milestones!$AB$173&amp;" "&amp;Milestones!$AC$173&amp;";  ","")&amp;IF(AND(EDATE($D73,Milestones!$AA$174)&lt;=AsOfDate,IF($R73=0,$X73,IF(AND($T73&lt;&gt;"",EDATE($D73,Milestones!$AA$174)&gt;=$T73),$W73,IF(AND($S73&lt;&gt;"",EDATE($D73,Milestones!$AA$174)&gt;=$S73),$V73,$U73)))=Milestones!$AB$174),UPPER(TEXT(EDATE($D73,Milestones!$AA$174),"dd mmm yy"))&amp;" "&amp;Milestones!$AB$174&amp;" "&amp;Milestones!$AC$174&amp;";  ","")&amp;IF(AND(EDATE($D73,Milestones!$AA$175)&lt;=AsOfDate,IF($R73=0,$X73,IF(AND($T73&lt;&gt;"",EDATE($D73,Milestones!$AA$175)&gt;=$T73),$W73,IF(AND($S73&lt;&gt;"",EDATE($D73,Milestones!$AA$175)&gt;=$S73),$V73,$U73)))=Milestones!$AB$175),UPPER(TEXT(EDATE($D73,Milestones!$AA$175),"dd mmm yy"))&amp;" "&amp;Milestones!$AB$175&amp;" "&amp;Milestones!$AC$175&amp;";  ","")&amp;IF(AND(EDATE($D73,Milestones!$AA$176)&lt;=AsOfDate,IF($R73=0,$X73,IF(AND($T73&lt;&gt;"",EDATE($D73,Milestones!$AA$176)&gt;=$T73),$W73,IF(AND($S73&lt;&gt;"",EDATE($D73,Milestones!$AA$176)&gt;=$S73),$V73,$U73)))=Milestones!$AB$176),UPPER(TEXT(EDATE($D73,Milestones!$AA$176),"dd mmm yy"))&amp;" "&amp;Milestones!$AB$176&amp;" "&amp;Milestones!$AC$176&amp;";  ","")&amp;IF(AND(EDATE($D73,Milestones!$AA$177)&lt;=AsOfDate,IF($R73=0,$X73,IF(AND($T73&lt;&gt;"",EDATE($D73,Milestones!$AA$177)&gt;=$T73),$W73,IF(AND($S73&lt;&gt;"",EDATE($D73,Milestones!$AA$177)&gt;=$S73),$V73,$U73)))=Milestones!$AB$177),UPPER(TEXT(EDATE($D73,Milestones!$AA$177),"dd mmm yy"))&amp;" "&amp;Milestones!$AB$177&amp;" "&amp;Milestones!$AC$177&amp;";  ","")&amp;IF(AND(EDATE($D73,Milestones!$AA$178)&lt;=AsOfDate,IF($R73=0,$X73,IF(AND($T73&lt;&gt;"",EDATE($D73,Milestones!$AA$178)&gt;=$T73),$W73,IF(AND($S73&lt;&gt;"",EDATE($D73,Milestones!$AA$178)&gt;=$S73),$V73,$U73)))=Milestones!$AB$178),UPPER(TEXT(EDATE($D73,Milestones!$AA$178),"dd mmm yy"))&amp;" "&amp;Milestones!$AB$178&amp;" "&amp;Milestones!$AC$178&amp;";  ","")&amp;IF(AND(EDATE($D73,Milestones!$AA$179)&lt;=AsOfDate,IF($R73=0,$X73,IF(AND($T73&lt;&gt;"",EDATE($D73,Milestones!$AA$179)&gt;=$T73),$W73,IF(AND($S73&lt;&gt;"",EDATE($D73,Milestones!$AA$179)&gt;=$S73),$V73,$U73)))=Milestones!$AB$179),UPPER(TEXT(EDATE($D73,Milestones!$AA$179),"dd mmm yy"))&amp;" "&amp;Milestones!$AB$179&amp;" "&amp;Milestones!$AC$179&amp;";  ",""))</f>
        <v/>
      </c>
      <c r="Q73" s="0" t="str">
        <f aca="false">IF(OR($A73="",$D73=""),"",IF(AND(EDATE($D73,Milestones!$AA$180)&lt;=AsOfDate,IF($R73=0,$X73,IF(AND($T73&lt;&gt;"",EDATE($D73,Milestones!$AA$180)&gt;=$T73),$W73,IF(AND($S73&lt;&gt;"",EDATE($D73,Milestones!$AA$180)&gt;=$S73),$V73,$U73)))=Milestones!$AB$180),UPPER(TEXT(EDATE($D73,Milestones!$AA$180),"dd mmm yy"))&amp;" "&amp;Milestones!$AB$180&amp;" "&amp;Milestones!$AC$180&amp;";  ","")&amp;IF(AND(EDATE($D73,Milestones!$AA$181)&lt;=AsOfDate,IF($R73=0,$X73,IF(AND($T73&lt;&gt;"",EDATE($D73,Milestones!$AA$181)&gt;=$T73),$W73,IF(AND($S73&lt;&gt;"",EDATE($D73,Milestones!$AA$181)&gt;=$S73),$V73,$U73)))=Milestones!$AB$181),UPPER(TEXT(EDATE($D73,Milestones!$AA$181),"dd mmm yy"))&amp;" "&amp;Milestones!$AB$181&amp;" "&amp;Milestones!$AC$181&amp;";  ","")&amp;IF(AND(EDATE($D73,Milestones!$AA$182)&lt;=AsOfDate,IF($R73=0,$X73,IF(AND($T73&lt;&gt;"",EDATE($D73,Milestones!$AA$182)&gt;=$T73),$W73,IF(AND($S73&lt;&gt;"",EDATE($D73,Milestones!$AA$182)&gt;=$S73),$V73,$U73)))=Milestones!$AB$182),UPPER(TEXT(EDATE($D73,Milestones!$AA$182),"dd mmm yy"))&amp;" "&amp;Milestones!$AB$182&amp;" "&amp;Milestones!$AC$182&amp;";  ","")&amp;IF(AND(EDATE($D73,Milestones!$AA$183)&lt;=AsOfDate,IF($R73=0,$X73,IF(AND($T73&lt;&gt;"",EDATE($D73,Milestones!$AA$183)&gt;=$T73),$W73,IF(AND($S73&lt;&gt;"",EDATE($D73,Milestones!$AA$183)&gt;=$S73),$V73,$U73)))=Milestones!$AB$183),UPPER(TEXT(EDATE($D73,Milestones!$AA$183),"dd mmm yy"))&amp;" "&amp;Milestones!$AB$183&amp;" "&amp;Milestones!$AC$183&amp;";  ","")&amp;IF(AND(EDATE($D73,Milestones!$AA$184)&lt;=AsOfDate,IF($R73=0,$X73,IF(AND($T73&lt;&gt;"",EDATE($D73,Milestones!$AA$184)&gt;=$T73),$W73,IF(AND($S73&lt;&gt;"",EDATE($D73,Milestones!$AA$184)&gt;=$S73),$V73,$U73)))=Milestones!$AB$184),UPPER(TEXT(EDATE($D73,Milestones!$AA$184),"dd mmm yy"))&amp;" "&amp;Milestones!$AB$184&amp;" "&amp;Milestones!$AC$184&amp;";  ","")&amp;IF(AND(EDATE($D73,Milestones!$AA$185)&lt;=AsOfDate,IF($R73=0,$X73,IF(AND($T73&lt;&gt;"",EDATE($D73,Milestones!$AA$185)&gt;=$T73),$W73,IF(AND($S73&lt;&gt;"",EDATE($D73,Milestones!$AA$185)&gt;=$S73),$V73,$U73)))=Milestones!$AB$185),UPPER(TEXT(EDATE($D73,Milestones!$AA$185),"dd mmm yy"))&amp;" "&amp;Milestones!$AB$185&amp;" "&amp;Milestones!$AC$185&amp;";  ","")&amp;IF(AND(EDATE($D73,Milestones!$AA$186)&lt;=AsOfDate,IF($R73=0,$X73,IF(AND($T73&lt;&gt;"",EDATE($D73,Milestones!$AA$186)&gt;=$T73),$W73,IF(AND($S73&lt;&gt;"",EDATE($D73,Milestones!$AA$186)&gt;=$S73),$V73,$U73)))=Milestones!$AB$186),UPPER(TEXT(EDATE($D73,Milestones!$AA$186),"dd mmm yy"))&amp;" "&amp;Milestones!$AB$186&amp;" "&amp;Milestones!$AC$186&amp;";  ","")&amp;IF(AND(EDATE($D73,Milestones!$AA$187)&lt;=AsOfDate,IF($R73=0,$X73,IF(AND($T73&lt;&gt;"",EDATE($D73,Milestones!$AA$187)&gt;=$T73),$W73,IF(AND($S73&lt;&gt;"",EDATE($D73,Milestones!$AA$187)&gt;=$S73),$V73,$U73)))=Milestones!$AB$187),UPPER(TEXT(EDATE($D73,Milestones!$AA$187),"dd mmm yy"))&amp;" "&amp;Milestones!$AB$187&amp;" "&amp;Milestones!$AC$187&amp;";  ","")&amp;IF(AND(EDATE($D73,Milestones!$AA$188)&lt;=AsOfDate,IF($R73=0,$X73,IF(AND($T73&lt;&gt;"",EDATE($D73,Milestones!$AA$188)&gt;=$T73),$W73,IF(AND($S73&lt;&gt;"",EDATE($D73,Milestones!$AA$188)&gt;=$S73),$V73,$U73)))=Milestones!$AB$188),UPPER(TEXT(EDATE($D73,Milestones!$AA$188),"dd mmm yy"))&amp;" "&amp;Milestones!$AB$188&amp;" "&amp;Milestones!$AC$188&amp;";  ","")&amp;IF(AND(EDATE($D73,Milestones!$AA$189)&lt;=AsOfDate,IF($R73=0,$X73,IF(AND($T73&lt;&gt;"",EDATE($D73,Milestones!$AA$189)&gt;=$T73),$W73,IF(AND($S73&lt;&gt;"",EDATE($D73,Milestones!$AA$189)&gt;=$S73),$V73,$U73)))=Milestones!$AB$189),UPPER(TEXT(EDATE($D73,Milestones!$AA$189),"dd mmm yy"))&amp;" "&amp;Milestones!$AB$189&amp;" "&amp;Milestones!$AC$189&amp;";  ","")&amp;IF(AND(EDATE($D73,Milestones!$AA$190)&lt;=AsOfDate,IF($R73=0,$X73,IF(AND($T73&lt;&gt;"",EDATE($D73,Milestones!$AA$190)&gt;=$T73),$W73,IF(AND($S73&lt;&gt;"",EDATE($D73,Milestones!$AA$190)&gt;=$S73),$V73,$U73)))=Milestones!$AB$190),UPPER(TEXT(EDATE($D73,Milestones!$AA$190),"dd mmm yy"))&amp;" "&amp;Milestones!$AB$190&amp;" "&amp;Milestones!$AC$190&amp;";  ","")&amp;IF(AND(EDATE($D73,Milestones!$AA$191)&lt;=AsOfDate,IF($R73=0,$X73,IF(AND($T73&lt;&gt;"",EDATE($D73,Milestones!$AA$191)&gt;=$T73),$W73,IF(AND($S73&lt;&gt;"",EDATE($D73,Milestones!$AA$191)&gt;=$S73),$V73,$U73)))=Milestones!$AB$191),UPPER(TEXT(EDATE($D73,Milestones!$AA$191),"dd mmm yy"))&amp;" "&amp;Milestones!$AB$191&amp;" "&amp;Milestones!$AC$191&amp;";  ","")&amp;IF(AND(EDATE($D73,Milestones!$AA$192)&lt;=AsOfDate,IF($R73=0,$X73,IF(AND($T73&lt;&gt;"",EDATE($D73,Milestones!$AA$192)&gt;=$T73),$W73,IF(AND($S73&lt;&gt;"",EDATE($D73,Milestones!$AA$192)&gt;=$S73),$V73,$U73)))=Milestones!$AB$192),UPPER(TEXT(EDATE($D73,Milestones!$AA$192),"dd mmm yy"))&amp;" "&amp;Milestones!$AB$192&amp;" "&amp;Milestones!$AC$192&amp;";  ","")&amp;IF(AND(EDATE($D73,Milestones!$AA$193)&lt;=AsOfDate,IF($R73=0,$X73,IF(AND($T73&lt;&gt;"",EDATE($D73,Milestones!$AA$193)&gt;=$T73),$W73,IF(AND($S73&lt;&gt;"",EDATE($D73,Milestones!$AA$193)&gt;=$S73),$V73,$U73)))=Milestones!$AB$193),UPPER(TEXT(EDATE($D73,Milestones!$AA$193),"dd mmm yy"))&amp;" "&amp;Milestones!$AB$193&amp;" "&amp;Milestones!$AC$193&amp;";  ","")&amp;IF(AND(EDATE($D73,Milestones!$AA$194)&lt;=AsOfDate,IF($R73=0,$X73,IF(AND($T73&lt;&gt;"",EDATE($D73,Milestones!$AA$194)&gt;=$T73),$W73,IF(AND($S73&lt;&gt;"",EDATE($D73,Milestones!$AA$194)&gt;=$S73),$V73,$U73)))=Milestones!$AB$194),UPPER(TEXT(EDATE($D73,Milestones!$AA$194),"dd mmm yy"))&amp;" "&amp;Milestones!$AB$194&amp;" "&amp;Milestones!$AC$194&amp;";  ","")&amp;IF(AND(EDATE($D73,Milestones!$AA$195)&lt;=AsOfDate,IF($R73=0,$X73,IF(AND($T73&lt;&gt;"",EDATE($D73,Milestones!$AA$195)&gt;=$T73),$W73,IF(AND($S73&lt;&gt;"",EDATE($D73,Milestones!$AA$195)&gt;=$S73),$V73,$U73)))=Milestones!$AB$195),UPPER(TEXT(EDATE($D73,Milestones!$AA$195),"dd mmm yy"))&amp;" "&amp;Milestones!$AB$195&amp;" "&amp;Milestones!$AC$195&amp;";  ","")&amp;IF(AND(EDATE($D73,Milestones!$AA$196)&lt;=AsOfDate,IF($R73=0,$X73,IF(AND($T73&lt;&gt;"",EDATE($D73,Milestones!$AA$196)&gt;=$T73),$W73,IF(AND($S73&lt;&gt;"",EDATE($D73,Milestones!$AA$196)&gt;=$S73),$V73,$U73)))=Milestones!$AB$196),UPPER(TEXT(EDATE($D73,Milestones!$AA$196),"dd mmm yy"))&amp;" "&amp;Milestones!$AB$196&amp;" "&amp;Milestones!$AC$196&amp;";  ","")&amp;IF(AND(EDATE($D73,Milestones!$AA$197)&lt;=AsOfDate,IF($R73=0,$X73,IF(AND($T73&lt;&gt;"",EDATE($D73,Milestones!$AA$197)&gt;=$T73),$W73,IF(AND($S73&lt;&gt;"",EDATE($D73,Milestones!$AA$197)&gt;=$S73),$V73,$U73)))=Milestones!$AB$197),UPPER(TEXT(EDATE($D73,Milestones!$AA$197),"dd mmm yy"))&amp;" "&amp;Milestones!$AB$197&amp;" "&amp;Milestones!$AC$197&amp;";  ","")&amp;IF(AND(EDATE($D73,Milestones!$AA$198)&lt;=AsOfDate,IF($R73=0,$X73,IF(AND($T73&lt;&gt;"",EDATE($D73,Milestones!$AA$198)&gt;=$T73),$W73,IF(AND($S73&lt;&gt;"",EDATE($D73,Milestones!$AA$198)&gt;=$S73),$V73,$U73)))=Milestones!$AB$198),UPPER(TEXT(EDATE($D73,Milestones!$AA$198),"dd mmm yy"))&amp;" "&amp;Milestones!$AB$198&amp;" "&amp;Milestones!$AC$198&amp;";  ","")&amp;IF(AND(EDATE($D73,Milestones!$AA$199)&lt;=AsOfDate,IF($R73=0,$X73,IF(AND($T73&lt;&gt;"",EDATE($D73,Milestones!$AA$199)&gt;=$T73),$W73,IF(AND($S73&lt;&gt;"",EDATE($D73,Milestones!$AA$199)&gt;=$S73),$V73,$U73)))=Milestones!$AB$199),UPPER(TEXT(EDATE($D73,Milestones!$AA$199),"dd mmm yy"))&amp;" "&amp;Milestones!$AB$199&amp;" "&amp;Milestones!$AC$199&amp;";  ",""))</f>
        <v/>
      </c>
      <c r="R73" s="33" t="n">
        <f aca="false">IF(Staff!$A73="","",Staff!$AI73)</f>
        <v>0</v>
      </c>
      <c r="S73" s="0" t="str">
        <f aca="false">IF(Staff!$A73="","",Staff!$AK73)</f>
        <v/>
      </c>
      <c r="T73" s="0" t="str">
        <f aca="false">IF(Staff!$A73="","",Staff!$AL73)</f>
        <v/>
      </c>
      <c r="U73" s="0" t="str">
        <f aca="false">IF(Staff!$A73="","",Staff!$AP73)</f>
        <v>None</v>
      </c>
      <c r="V73" s="0" t="str">
        <f aca="false">IF(Staff!$A73="","",Staff!$AQ73)</f>
        <v/>
      </c>
      <c r="W73" s="0" t="str">
        <f aca="false">IF(Staff!$A73="","",Staff!$AR73)</f>
        <v/>
      </c>
      <c r="X73" s="0" t="str">
        <f aca="false">IF(Staff!$A73="","",Staff!$AS73)</f>
        <v>None</v>
      </c>
    </row>
    <row r="74" customFormat="false" ht="15" hidden="false" customHeight="false" outlineLevel="0" collapsed="false">
      <c r="A74" s="19" t="str">
        <f aca="false">IF(Staff!$A74="","",Staff!$A74)</f>
        <v>Zed</v>
      </c>
      <c r="B74" s="19" t="str">
        <f aca="false">IF(Staff!$A74="","",Staff!$B74)</f>
        <v>Norrie</v>
      </c>
      <c r="C74" s="19" t="str">
        <f aca="false">IF(Staff!$A74="","",Staff!$C74)</f>
        <v>Casual</v>
      </c>
      <c r="D74" s="17" t="n">
        <f aca="false">IF(Staff!$A74="","",Staff!$AH74)</f>
        <v>45859</v>
      </c>
      <c r="E74" s="20" t="n">
        <f aca="false">IF(Staff!$A74="","",Staff!$O74)</f>
        <v>0</v>
      </c>
      <c r="F74" s="19" t="n">
        <f aca="false">IF(E74="","",E74*HoursPerDay)</f>
        <v>0</v>
      </c>
      <c r="G74" s="20" t="n">
        <f aca="false">IF(Staff!$A74="","",Staff!$AE74)</f>
        <v>0</v>
      </c>
      <c r="H74" s="32" t="str">
        <f aca="false">IF($A74="","",I74&amp;J74&amp;K74&amp;L74&amp;M74&amp;N74&amp;O74&amp;P74&amp;Q74)</f>
        <v/>
      </c>
      <c r="I74" s="0" t="str">
        <f aca="false">IF(OR($A74="",$D74=""),"",IF(AND(EDATE($D74,Milestones!$AA$20)&lt;=AsOfDate,IF($R74=0,$X74,IF(AND($T74&lt;&gt;"",EDATE($D74,Milestones!$AA$20)&gt;=$T74),$W74,IF(AND($S74&lt;&gt;"",EDATE($D74,Milestones!$AA$20)&gt;=$S74),$V74,$U74)))=Milestones!$AB$20),UPPER(TEXT(EDATE($D74,Milestones!$AA$20),"dd mmm yy"))&amp;" "&amp;Milestones!$AB$20&amp;" "&amp;Milestones!$AC$20&amp;";  ","")&amp;IF(AND(EDATE($D74,Milestones!$AA$21)&lt;=AsOfDate,IF($R74=0,$X74,IF(AND($T74&lt;&gt;"",EDATE($D74,Milestones!$AA$21)&gt;=$T74),$W74,IF(AND($S74&lt;&gt;"",EDATE($D74,Milestones!$AA$21)&gt;=$S74),$V74,$U74)))=Milestones!$AB$21),UPPER(TEXT(EDATE($D74,Milestones!$AA$21),"dd mmm yy"))&amp;" "&amp;Milestones!$AB$21&amp;" "&amp;Milestones!$AC$21&amp;";  ","")&amp;IF(AND(EDATE($D74,Milestones!$AA$22)&lt;=AsOfDate,IF($R74=0,$X74,IF(AND($T74&lt;&gt;"",EDATE($D74,Milestones!$AA$22)&gt;=$T74),$W74,IF(AND($S74&lt;&gt;"",EDATE($D74,Milestones!$AA$22)&gt;=$S74),$V74,$U74)))=Milestones!$AB$22),UPPER(TEXT(EDATE($D74,Milestones!$AA$22),"dd mmm yy"))&amp;" "&amp;Milestones!$AB$22&amp;" "&amp;Milestones!$AC$22&amp;";  ","")&amp;IF(AND(EDATE($D74,Milestones!$AA$23)&lt;=AsOfDate,IF($R74=0,$X74,IF(AND($T74&lt;&gt;"",EDATE($D74,Milestones!$AA$23)&gt;=$T74),$W74,IF(AND($S74&lt;&gt;"",EDATE($D74,Milestones!$AA$23)&gt;=$S74),$V74,$U74)))=Milestones!$AB$23),UPPER(TEXT(EDATE($D74,Milestones!$AA$23),"dd mmm yy"))&amp;" "&amp;Milestones!$AB$23&amp;" "&amp;Milestones!$AC$23&amp;";  ","")&amp;IF(AND(EDATE($D74,Milestones!$AA$24)&lt;=AsOfDate,IF($R74=0,$X74,IF(AND($T74&lt;&gt;"",EDATE($D74,Milestones!$AA$24)&gt;=$T74),$W74,IF(AND($S74&lt;&gt;"",EDATE($D74,Milestones!$AA$24)&gt;=$S74),$V74,$U74)))=Milestones!$AB$24),UPPER(TEXT(EDATE($D74,Milestones!$AA$24),"dd mmm yy"))&amp;" "&amp;Milestones!$AB$24&amp;" "&amp;Milestones!$AC$24&amp;";  ","")&amp;IF(AND(EDATE($D74,Milestones!$AA$25)&lt;=AsOfDate,IF($R74=0,$X74,IF(AND($T74&lt;&gt;"",EDATE($D74,Milestones!$AA$25)&gt;=$T74),$W74,IF(AND($S74&lt;&gt;"",EDATE($D74,Milestones!$AA$25)&gt;=$S74),$V74,$U74)))=Milestones!$AB$25),UPPER(TEXT(EDATE($D74,Milestones!$AA$25),"dd mmm yy"))&amp;" "&amp;Milestones!$AB$25&amp;" "&amp;Milestones!$AC$25&amp;";  ","")&amp;IF(AND(EDATE($D74,Milestones!$AA$26)&lt;=AsOfDate,IF($R74=0,$X74,IF(AND($T74&lt;&gt;"",EDATE($D74,Milestones!$AA$26)&gt;=$T74),$W74,IF(AND($S74&lt;&gt;"",EDATE($D74,Milestones!$AA$26)&gt;=$S74),$V74,$U74)))=Milestones!$AB$26),UPPER(TEXT(EDATE($D74,Milestones!$AA$26),"dd mmm yy"))&amp;" "&amp;Milestones!$AB$26&amp;" "&amp;Milestones!$AC$26&amp;";  ","")&amp;IF(AND(EDATE($D74,Milestones!$AA$27)&lt;=AsOfDate,IF($R74=0,$X74,IF(AND($T74&lt;&gt;"",EDATE($D74,Milestones!$AA$27)&gt;=$T74),$W74,IF(AND($S74&lt;&gt;"",EDATE($D74,Milestones!$AA$27)&gt;=$S74),$V74,$U74)))=Milestones!$AB$27),UPPER(TEXT(EDATE($D74,Milestones!$AA$27),"dd mmm yy"))&amp;" "&amp;Milestones!$AB$27&amp;" "&amp;Milestones!$AC$27&amp;";  ","")&amp;IF(AND(EDATE($D74,Milestones!$AA$28)&lt;=AsOfDate,IF($R74=0,$X74,IF(AND($T74&lt;&gt;"",EDATE($D74,Milestones!$AA$28)&gt;=$T74),$W74,IF(AND($S74&lt;&gt;"",EDATE($D74,Milestones!$AA$28)&gt;=$S74),$V74,$U74)))=Milestones!$AB$28),UPPER(TEXT(EDATE($D74,Milestones!$AA$28),"dd mmm yy"))&amp;" "&amp;Milestones!$AB$28&amp;" "&amp;Milestones!$AC$28&amp;";  ","")&amp;IF(AND(EDATE($D74,Milestones!$AA$29)&lt;=AsOfDate,IF($R74=0,$X74,IF(AND($T74&lt;&gt;"",EDATE($D74,Milestones!$AA$29)&gt;=$T74),$W74,IF(AND($S74&lt;&gt;"",EDATE($D74,Milestones!$AA$29)&gt;=$S74),$V74,$U74)))=Milestones!$AB$29),UPPER(TEXT(EDATE($D74,Milestones!$AA$29),"dd mmm yy"))&amp;" "&amp;Milestones!$AB$29&amp;" "&amp;Milestones!$AC$29&amp;";  ","")&amp;IF(AND(EDATE($D74,Milestones!$AA$30)&lt;=AsOfDate,IF($R74=0,$X74,IF(AND($T74&lt;&gt;"",EDATE($D74,Milestones!$AA$30)&gt;=$T74),$W74,IF(AND($S74&lt;&gt;"",EDATE($D74,Milestones!$AA$30)&gt;=$S74),$V74,$U74)))=Milestones!$AB$30),UPPER(TEXT(EDATE($D74,Milestones!$AA$30),"dd mmm yy"))&amp;" "&amp;Milestones!$AB$30&amp;" "&amp;Milestones!$AC$30&amp;";  ","")&amp;IF(AND(EDATE($D74,Milestones!$AA$31)&lt;=AsOfDate,IF($R74=0,$X74,IF(AND($T74&lt;&gt;"",EDATE($D74,Milestones!$AA$31)&gt;=$T74),$W74,IF(AND($S74&lt;&gt;"",EDATE($D74,Milestones!$AA$31)&gt;=$S74),$V74,$U74)))=Milestones!$AB$31),UPPER(TEXT(EDATE($D74,Milestones!$AA$31),"dd mmm yy"))&amp;" "&amp;Milestones!$AB$31&amp;" "&amp;Milestones!$AC$31&amp;";  ","")&amp;IF(AND(EDATE($D74,Milestones!$AA$32)&lt;=AsOfDate,IF($R74=0,$X74,IF(AND($T74&lt;&gt;"",EDATE($D74,Milestones!$AA$32)&gt;=$T74),$W74,IF(AND($S74&lt;&gt;"",EDATE($D74,Milestones!$AA$32)&gt;=$S74),$V74,$U74)))=Milestones!$AB$32),UPPER(TEXT(EDATE($D74,Milestones!$AA$32),"dd mmm yy"))&amp;" "&amp;Milestones!$AB$32&amp;" "&amp;Milestones!$AC$32&amp;";  ","")&amp;IF(AND(EDATE($D74,Milestones!$AA$33)&lt;=AsOfDate,IF($R74=0,$X74,IF(AND($T74&lt;&gt;"",EDATE($D74,Milestones!$AA$33)&gt;=$T74),$W74,IF(AND($S74&lt;&gt;"",EDATE($D74,Milestones!$AA$33)&gt;=$S74),$V74,$U74)))=Milestones!$AB$33),UPPER(TEXT(EDATE($D74,Milestones!$AA$33),"dd mmm yy"))&amp;" "&amp;Milestones!$AB$33&amp;" "&amp;Milestones!$AC$33&amp;";  ","")&amp;IF(AND(EDATE($D74,Milestones!$AA$34)&lt;=AsOfDate,IF($R74=0,$X74,IF(AND($T74&lt;&gt;"",EDATE($D74,Milestones!$AA$34)&gt;=$T74),$W74,IF(AND($S74&lt;&gt;"",EDATE($D74,Milestones!$AA$34)&gt;=$S74),$V74,$U74)))=Milestones!$AB$34),UPPER(TEXT(EDATE($D74,Milestones!$AA$34),"dd mmm yy"))&amp;" "&amp;Milestones!$AB$34&amp;" "&amp;Milestones!$AC$34&amp;";  ","")&amp;IF(AND(EDATE($D74,Milestones!$AA$35)&lt;=AsOfDate,IF($R74=0,$X74,IF(AND($T74&lt;&gt;"",EDATE($D74,Milestones!$AA$35)&gt;=$T74),$W74,IF(AND($S74&lt;&gt;"",EDATE($D74,Milestones!$AA$35)&gt;=$S74),$V74,$U74)))=Milestones!$AB$35),UPPER(TEXT(EDATE($D74,Milestones!$AA$35),"dd mmm yy"))&amp;" "&amp;Milestones!$AB$35&amp;" "&amp;Milestones!$AC$35&amp;";  ","")&amp;IF(AND(EDATE($D74,Milestones!$AA$36)&lt;=AsOfDate,IF($R74=0,$X74,IF(AND($T74&lt;&gt;"",EDATE($D74,Milestones!$AA$36)&gt;=$T74),$W74,IF(AND($S74&lt;&gt;"",EDATE($D74,Milestones!$AA$36)&gt;=$S74),$V74,$U74)))=Milestones!$AB$36),UPPER(TEXT(EDATE($D74,Milestones!$AA$36),"dd mmm yy"))&amp;" "&amp;Milestones!$AB$36&amp;" "&amp;Milestones!$AC$36&amp;";  ","")&amp;IF(AND(EDATE($D74,Milestones!$AA$37)&lt;=AsOfDate,IF($R74=0,$X74,IF(AND($T74&lt;&gt;"",EDATE($D74,Milestones!$AA$37)&gt;=$T74),$W74,IF(AND($S74&lt;&gt;"",EDATE($D74,Milestones!$AA$37)&gt;=$S74),$V74,$U74)))=Milestones!$AB$37),UPPER(TEXT(EDATE($D74,Milestones!$AA$37),"dd mmm yy"))&amp;" "&amp;Milestones!$AB$37&amp;" "&amp;Milestones!$AC$37&amp;";  ","")&amp;IF(AND(EDATE($D74,Milestones!$AA$38)&lt;=AsOfDate,IF($R74=0,$X74,IF(AND($T74&lt;&gt;"",EDATE($D74,Milestones!$AA$38)&gt;=$T74),$W74,IF(AND($S74&lt;&gt;"",EDATE($D74,Milestones!$AA$38)&gt;=$S74),$V74,$U74)))=Milestones!$AB$38),UPPER(TEXT(EDATE($D74,Milestones!$AA$38),"dd mmm yy"))&amp;" "&amp;Milestones!$AB$38&amp;" "&amp;Milestones!$AC$38&amp;";  ","")&amp;IF(AND(EDATE($D74,Milestones!$AA$39)&lt;=AsOfDate,IF($R74=0,$X74,IF(AND($T74&lt;&gt;"",EDATE($D74,Milestones!$AA$39)&gt;=$T74),$W74,IF(AND($S74&lt;&gt;"",EDATE($D74,Milestones!$AA$39)&gt;=$S74),$V74,$U74)))=Milestones!$AB$39),UPPER(TEXT(EDATE($D74,Milestones!$AA$39),"dd mmm yy"))&amp;" "&amp;Milestones!$AB$39&amp;" "&amp;Milestones!$AC$39&amp;";  ",""))</f>
        <v/>
      </c>
      <c r="J74" s="0" t="str">
        <f aca="false">IF(OR($A74="",$D74=""),"",IF(AND(EDATE($D74,Milestones!$AA$40)&lt;=AsOfDate,IF($R74=0,$X74,IF(AND($T74&lt;&gt;"",EDATE($D74,Milestones!$AA$40)&gt;=$T74),$W74,IF(AND($S74&lt;&gt;"",EDATE($D74,Milestones!$AA$40)&gt;=$S74),$V74,$U74)))=Milestones!$AB$40),UPPER(TEXT(EDATE($D74,Milestones!$AA$40),"dd mmm yy"))&amp;" "&amp;Milestones!$AB$40&amp;" "&amp;Milestones!$AC$40&amp;";  ","")&amp;IF(AND(EDATE($D74,Milestones!$AA$41)&lt;=AsOfDate,IF($R74=0,$X74,IF(AND($T74&lt;&gt;"",EDATE($D74,Milestones!$AA$41)&gt;=$T74),$W74,IF(AND($S74&lt;&gt;"",EDATE($D74,Milestones!$AA$41)&gt;=$S74),$V74,$U74)))=Milestones!$AB$41),UPPER(TEXT(EDATE($D74,Milestones!$AA$41),"dd mmm yy"))&amp;" "&amp;Milestones!$AB$41&amp;" "&amp;Milestones!$AC$41&amp;";  ","")&amp;IF(AND(EDATE($D74,Milestones!$AA$42)&lt;=AsOfDate,IF($R74=0,$X74,IF(AND($T74&lt;&gt;"",EDATE($D74,Milestones!$AA$42)&gt;=$T74),$W74,IF(AND($S74&lt;&gt;"",EDATE($D74,Milestones!$AA$42)&gt;=$S74),$V74,$U74)))=Milestones!$AB$42),UPPER(TEXT(EDATE($D74,Milestones!$AA$42),"dd mmm yy"))&amp;" "&amp;Milestones!$AB$42&amp;" "&amp;Milestones!$AC$42&amp;";  ","")&amp;IF(AND(EDATE($D74,Milestones!$AA$43)&lt;=AsOfDate,IF($R74=0,$X74,IF(AND($T74&lt;&gt;"",EDATE($D74,Milestones!$AA$43)&gt;=$T74),$W74,IF(AND($S74&lt;&gt;"",EDATE($D74,Milestones!$AA$43)&gt;=$S74),$V74,$U74)))=Milestones!$AB$43),UPPER(TEXT(EDATE($D74,Milestones!$AA$43),"dd mmm yy"))&amp;" "&amp;Milestones!$AB$43&amp;" "&amp;Milestones!$AC$43&amp;";  ","")&amp;IF(AND(EDATE($D74,Milestones!$AA$44)&lt;=AsOfDate,IF($R74=0,$X74,IF(AND($T74&lt;&gt;"",EDATE($D74,Milestones!$AA$44)&gt;=$T74),$W74,IF(AND($S74&lt;&gt;"",EDATE($D74,Milestones!$AA$44)&gt;=$S74),$V74,$U74)))=Milestones!$AB$44),UPPER(TEXT(EDATE($D74,Milestones!$AA$44),"dd mmm yy"))&amp;" "&amp;Milestones!$AB$44&amp;" "&amp;Milestones!$AC$44&amp;";  ","")&amp;IF(AND(EDATE($D74,Milestones!$AA$45)&lt;=AsOfDate,IF($R74=0,$X74,IF(AND($T74&lt;&gt;"",EDATE($D74,Milestones!$AA$45)&gt;=$T74),$W74,IF(AND($S74&lt;&gt;"",EDATE($D74,Milestones!$AA$45)&gt;=$S74),$V74,$U74)))=Milestones!$AB$45),UPPER(TEXT(EDATE($D74,Milestones!$AA$45),"dd mmm yy"))&amp;" "&amp;Milestones!$AB$45&amp;" "&amp;Milestones!$AC$45&amp;";  ","")&amp;IF(AND(EDATE($D74,Milestones!$AA$46)&lt;=AsOfDate,IF($R74=0,$X74,IF(AND($T74&lt;&gt;"",EDATE($D74,Milestones!$AA$46)&gt;=$T74),$W74,IF(AND($S74&lt;&gt;"",EDATE($D74,Milestones!$AA$46)&gt;=$S74),$V74,$U74)))=Milestones!$AB$46),UPPER(TEXT(EDATE($D74,Milestones!$AA$46),"dd mmm yy"))&amp;" "&amp;Milestones!$AB$46&amp;" "&amp;Milestones!$AC$46&amp;";  ","")&amp;IF(AND(EDATE($D74,Milestones!$AA$47)&lt;=AsOfDate,IF($R74=0,$X74,IF(AND($T74&lt;&gt;"",EDATE($D74,Milestones!$AA$47)&gt;=$T74),$W74,IF(AND($S74&lt;&gt;"",EDATE($D74,Milestones!$AA$47)&gt;=$S74),$V74,$U74)))=Milestones!$AB$47),UPPER(TEXT(EDATE($D74,Milestones!$AA$47),"dd mmm yy"))&amp;" "&amp;Milestones!$AB$47&amp;" "&amp;Milestones!$AC$47&amp;";  ","")&amp;IF(AND(EDATE($D74,Milestones!$AA$48)&lt;=AsOfDate,IF($R74=0,$X74,IF(AND($T74&lt;&gt;"",EDATE($D74,Milestones!$AA$48)&gt;=$T74),$W74,IF(AND($S74&lt;&gt;"",EDATE($D74,Milestones!$AA$48)&gt;=$S74),$V74,$U74)))=Milestones!$AB$48),UPPER(TEXT(EDATE($D74,Milestones!$AA$48),"dd mmm yy"))&amp;" "&amp;Milestones!$AB$48&amp;" "&amp;Milestones!$AC$48&amp;";  ","")&amp;IF(AND(EDATE($D74,Milestones!$AA$49)&lt;=AsOfDate,IF($R74=0,$X74,IF(AND($T74&lt;&gt;"",EDATE($D74,Milestones!$AA$49)&gt;=$T74),$W74,IF(AND($S74&lt;&gt;"",EDATE($D74,Milestones!$AA$49)&gt;=$S74),$V74,$U74)))=Milestones!$AB$49),UPPER(TEXT(EDATE($D74,Milestones!$AA$49),"dd mmm yy"))&amp;" "&amp;Milestones!$AB$49&amp;" "&amp;Milestones!$AC$49&amp;";  ","")&amp;IF(AND(EDATE($D74,Milestones!$AA$50)&lt;=AsOfDate,IF($R74=0,$X74,IF(AND($T74&lt;&gt;"",EDATE($D74,Milestones!$AA$50)&gt;=$T74),$W74,IF(AND($S74&lt;&gt;"",EDATE($D74,Milestones!$AA$50)&gt;=$S74),$V74,$U74)))=Milestones!$AB$50),UPPER(TEXT(EDATE($D74,Milestones!$AA$50),"dd mmm yy"))&amp;" "&amp;Milestones!$AB$50&amp;" "&amp;Milestones!$AC$50&amp;";  ","")&amp;IF(AND(EDATE($D74,Milestones!$AA$51)&lt;=AsOfDate,IF($R74=0,$X74,IF(AND($T74&lt;&gt;"",EDATE($D74,Milestones!$AA$51)&gt;=$T74),$W74,IF(AND($S74&lt;&gt;"",EDATE($D74,Milestones!$AA$51)&gt;=$S74),$V74,$U74)))=Milestones!$AB$51),UPPER(TEXT(EDATE($D74,Milestones!$AA$51),"dd mmm yy"))&amp;" "&amp;Milestones!$AB$51&amp;" "&amp;Milestones!$AC$51&amp;";  ","")&amp;IF(AND(EDATE($D74,Milestones!$AA$52)&lt;=AsOfDate,IF($R74=0,$X74,IF(AND($T74&lt;&gt;"",EDATE($D74,Milestones!$AA$52)&gt;=$T74),$W74,IF(AND($S74&lt;&gt;"",EDATE($D74,Milestones!$AA$52)&gt;=$S74),$V74,$U74)))=Milestones!$AB$52),UPPER(TEXT(EDATE($D74,Milestones!$AA$52),"dd mmm yy"))&amp;" "&amp;Milestones!$AB$52&amp;" "&amp;Milestones!$AC$52&amp;";  ","")&amp;IF(AND(EDATE($D74,Milestones!$AA$53)&lt;=AsOfDate,IF($R74=0,$X74,IF(AND($T74&lt;&gt;"",EDATE($D74,Milestones!$AA$53)&gt;=$T74),$W74,IF(AND($S74&lt;&gt;"",EDATE($D74,Milestones!$AA$53)&gt;=$S74),$V74,$U74)))=Milestones!$AB$53),UPPER(TEXT(EDATE($D74,Milestones!$AA$53),"dd mmm yy"))&amp;" "&amp;Milestones!$AB$53&amp;" "&amp;Milestones!$AC$53&amp;";  ","")&amp;IF(AND(EDATE($D74,Milestones!$AA$54)&lt;=AsOfDate,IF($R74=0,$X74,IF(AND($T74&lt;&gt;"",EDATE($D74,Milestones!$AA$54)&gt;=$T74),$W74,IF(AND($S74&lt;&gt;"",EDATE($D74,Milestones!$AA$54)&gt;=$S74),$V74,$U74)))=Milestones!$AB$54),UPPER(TEXT(EDATE($D74,Milestones!$AA$54),"dd mmm yy"))&amp;" "&amp;Milestones!$AB$54&amp;" "&amp;Milestones!$AC$54&amp;";  ","")&amp;IF(AND(EDATE($D74,Milestones!$AA$55)&lt;=AsOfDate,IF($R74=0,$X74,IF(AND($T74&lt;&gt;"",EDATE($D74,Milestones!$AA$55)&gt;=$T74),$W74,IF(AND($S74&lt;&gt;"",EDATE($D74,Milestones!$AA$55)&gt;=$S74),$V74,$U74)))=Milestones!$AB$55),UPPER(TEXT(EDATE($D74,Milestones!$AA$55),"dd mmm yy"))&amp;" "&amp;Milestones!$AB$55&amp;" "&amp;Milestones!$AC$55&amp;";  ","")&amp;IF(AND(EDATE($D74,Milestones!$AA$56)&lt;=AsOfDate,IF($R74=0,$X74,IF(AND($T74&lt;&gt;"",EDATE($D74,Milestones!$AA$56)&gt;=$T74),$W74,IF(AND($S74&lt;&gt;"",EDATE($D74,Milestones!$AA$56)&gt;=$S74),$V74,$U74)))=Milestones!$AB$56),UPPER(TEXT(EDATE($D74,Milestones!$AA$56),"dd mmm yy"))&amp;" "&amp;Milestones!$AB$56&amp;" "&amp;Milestones!$AC$56&amp;";  ","")&amp;IF(AND(EDATE($D74,Milestones!$AA$57)&lt;=AsOfDate,IF($R74=0,$X74,IF(AND($T74&lt;&gt;"",EDATE($D74,Milestones!$AA$57)&gt;=$T74),$W74,IF(AND($S74&lt;&gt;"",EDATE($D74,Milestones!$AA$57)&gt;=$S74),$V74,$U74)))=Milestones!$AB$57),UPPER(TEXT(EDATE($D74,Milestones!$AA$57),"dd mmm yy"))&amp;" "&amp;Milestones!$AB$57&amp;" "&amp;Milestones!$AC$57&amp;";  ","")&amp;IF(AND(EDATE($D74,Milestones!$AA$58)&lt;=AsOfDate,IF($R74=0,$X74,IF(AND($T74&lt;&gt;"",EDATE($D74,Milestones!$AA$58)&gt;=$T74),$W74,IF(AND($S74&lt;&gt;"",EDATE($D74,Milestones!$AA$58)&gt;=$S74),$V74,$U74)))=Milestones!$AB$58),UPPER(TEXT(EDATE($D74,Milestones!$AA$58),"dd mmm yy"))&amp;" "&amp;Milestones!$AB$58&amp;" "&amp;Milestones!$AC$58&amp;";  ","")&amp;IF(AND(EDATE($D74,Milestones!$AA$59)&lt;=AsOfDate,IF($R74=0,$X74,IF(AND($T74&lt;&gt;"",EDATE($D74,Milestones!$AA$59)&gt;=$T74),$W74,IF(AND($S74&lt;&gt;"",EDATE($D74,Milestones!$AA$59)&gt;=$S74),$V74,$U74)))=Milestones!$AB$59),UPPER(TEXT(EDATE($D74,Milestones!$AA$59),"dd mmm yy"))&amp;" "&amp;Milestones!$AB$59&amp;" "&amp;Milestones!$AC$59&amp;";  ",""))</f>
        <v/>
      </c>
      <c r="K74" s="0" t="str">
        <f aca="false">IF(OR($A74="",$D74=""),"",IF(AND(EDATE($D74,Milestones!$AA$60)&lt;=AsOfDate,IF($R74=0,$X74,IF(AND($T74&lt;&gt;"",EDATE($D74,Milestones!$AA$60)&gt;=$T74),$W74,IF(AND($S74&lt;&gt;"",EDATE($D74,Milestones!$AA$60)&gt;=$S74),$V74,$U74)))=Milestones!$AB$60),UPPER(TEXT(EDATE($D74,Milestones!$AA$60),"dd mmm yy"))&amp;" "&amp;Milestones!$AB$60&amp;" "&amp;Milestones!$AC$60&amp;";  ","")&amp;IF(AND(EDATE($D74,Milestones!$AA$61)&lt;=AsOfDate,IF($R74=0,$X74,IF(AND($T74&lt;&gt;"",EDATE($D74,Milestones!$AA$61)&gt;=$T74),$W74,IF(AND($S74&lt;&gt;"",EDATE($D74,Milestones!$AA$61)&gt;=$S74),$V74,$U74)))=Milestones!$AB$61),UPPER(TEXT(EDATE($D74,Milestones!$AA$61),"dd mmm yy"))&amp;" "&amp;Milestones!$AB$61&amp;" "&amp;Milestones!$AC$61&amp;";  ","")&amp;IF(AND(EDATE($D74,Milestones!$AA$62)&lt;=AsOfDate,IF($R74=0,$X74,IF(AND($T74&lt;&gt;"",EDATE($D74,Milestones!$AA$62)&gt;=$T74),$W74,IF(AND($S74&lt;&gt;"",EDATE($D74,Milestones!$AA$62)&gt;=$S74),$V74,$U74)))=Milestones!$AB$62),UPPER(TEXT(EDATE($D74,Milestones!$AA$62),"dd mmm yy"))&amp;" "&amp;Milestones!$AB$62&amp;" "&amp;Milestones!$AC$62&amp;";  ","")&amp;IF(AND(EDATE($D74,Milestones!$AA$63)&lt;=AsOfDate,IF($R74=0,$X74,IF(AND($T74&lt;&gt;"",EDATE($D74,Milestones!$AA$63)&gt;=$T74),$W74,IF(AND($S74&lt;&gt;"",EDATE($D74,Milestones!$AA$63)&gt;=$S74),$V74,$U74)))=Milestones!$AB$63),UPPER(TEXT(EDATE($D74,Milestones!$AA$63),"dd mmm yy"))&amp;" "&amp;Milestones!$AB$63&amp;" "&amp;Milestones!$AC$63&amp;";  ","")&amp;IF(AND(EDATE($D74,Milestones!$AA$64)&lt;=AsOfDate,IF($R74=0,$X74,IF(AND($T74&lt;&gt;"",EDATE($D74,Milestones!$AA$64)&gt;=$T74),$W74,IF(AND($S74&lt;&gt;"",EDATE($D74,Milestones!$AA$64)&gt;=$S74),$V74,$U74)))=Milestones!$AB$64),UPPER(TEXT(EDATE($D74,Milestones!$AA$64),"dd mmm yy"))&amp;" "&amp;Milestones!$AB$64&amp;" "&amp;Milestones!$AC$64&amp;";  ","")&amp;IF(AND(EDATE($D74,Milestones!$AA$65)&lt;=AsOfDate,IF($R74=0,$X74,IF(AND($T74&lt;&gt;"",EDATE($D74,Milestones!$AA$65)&gt;=$T74),$W74,IF(AND($S74&lt;&gt;"",EDATE($D74,Milestones!$AA$65)&gt;=$S74),$V74,$U74)))=Milestones!$AB$65),UPPER(TEXT(EDATE($D74,Milestones!$AA$65),"dd mmm yy"))&amp;" "&amp;Milestones!$AB$65&amp;" "&amp;Milestones!$AC$65&amp;";  ","")&amp;IF(AND(EDATE($D74,Milestones!$AA$66)&lt;=AsOfDate,IF($R74=0,$X74,IF(AND($T74&lt;&gt;"",EDATE($D74,Milestones!$AA$66)&gt;=$T74),$W74,IF(AND($S74&lt;&gt;"",EDATE($D74,Milestones!$AA$66)&gt;=$S74),$V74,$U74)))=Milestones!$AB$66),UPPER(TEXT(EDATE($D74,Milestones!$AA$66),"dd mmm yy"))&amp;" "&amp;Milestones!$AB$66&amp;" "&amp;Milestones!$AC$66&amp;";  ","")&amp;IF(AND(EDATE($D74,Milestones!$AA$67)&lt;=AsOfDate,IF($R74=0,$X74,IF(AND($T74&lt;&gt;"",EDATE($D74,Milestones!$AA$67)&gt;=$T74),$W74,IF(AND($S74&lt;&gt;"",EDATE($D74,Milestones!$AA$67)&gt;=$S74),$V74,$U74)))=Milestones!$AB$67),UPPER(TEXT(EDATE($D74,Milestones!$AA$67),"dd mmm yy"))&amp;" "&amp;Milestones!$AB$67&amp;" "&amp;Milestones!$AC$67&amp;";  ","")&amp;IF(AND(EDATE($D74,Milestones!$AA$68)&lt;=AsOfDate,IF($R74=0,$X74,IF(AND($T74&lt;&gt;"",EDATE($D74,Milestones!$AA$68)&gt;=$T74),$W74,IF(AND($S74&lt;&gt;"",EDATE($D74,Milestones!$AA$68)&gt;=$S74),$V74,$U74)))=Milestones!$AB$68),UPPER(TEXT(EDATE($D74,Milestones!$AA$68),"dd mmm yy"))&amp;" "&amp;Milestones!$AB$68&amp;" "&amp;Milestones!$AC$68&amp;";  ","")&amp;IF(AND(EDATE($D74,Milestones!$AA$69)&lt;=AsOfDate,IF($R74=0,$X74,IF(AND($T74&lt;&gt;"",EDATE($D74,Milestones!$AA$69)&gt;=$T74),$W74,IF(AND($S74&lt;&gt;"",EDATE($D74,Milestones!$AA$69)&gt;=$S74),$V74,$U74)))=Milestones!$AB$69),UPPER(TEXT(EDATE($D74,Milestones!$AA$69),"dd mmm yy"))&amp;" "&amp;Milestones!$AB$69&amp;" "&amp;Milestones!$AC$69&amp;";  ","")&amp;IF(AND(EDATE($D74,Milestones!$AA$70)&lt;=AsOfDate,IF($R74=0,$X74,IF(AND($T74&lt;&gt;"",EDATE($D74,Milestones!$AA$70)&gt;=$T74),$W74,IF(AND($S74&lt;&gt;"",EDATE($D74,Milestones!$AA$70)&gt;=$S74),$V74,$U74)))=Milestones!$AB$70),UPPER(TEXT(EDATE($D74,Milestones!$AA$70),"dd mmm yy"))&amp;" "&amp;Milestones!$AB$70&amp;" "&amp;Milestones!$AC$70&amp;";  ","")&amp;IF(AND(EDATE($D74,Milestones!$AA$71)&lt;=AsOfDate,IF($R74=0,$X74,IF(AND($T74&lt;&gt;"",EDATE($D74,Milestones!$AA$71)&gt;=$T74),$W74,IF(AND($S74&lt;&gt;"",EDATE($D74,Milestones!$AA$71)&gt;=$S74),$V74,$U74)))=Milestones!$AB$71),UPPER(TEXT(EDATE($D74,Milestones!$AA$71),"dd mmm yy"))&amp;" "&amp;Milestones!$AB$71&amp;" "&amp;Milestones!$AC$71&amp;";  ","")&amp;IF(AND(EDATE($D74,Milestones!$AA$72)&lt;=AsOfDate,IF($R74=0,$X74,IF(AND($T74&lt;&gt;"",EDATE($D74,Milestones!$AA$72)&gt;=$T74),$W74,IF(AND($S74&lt;&gt;"",EDATE($D74,Milestones!$AA$72)&gt;=$S74),$V74,$U74)))=Milestones!$AB$72),UPPER(TEXT(EDATE($D74,Milestones!$AA$72),"dd mmm yy"))&amp;" "&amp;Milestones!$AB$72&amp;" "&amp;Milestones!$AC$72&amp;";  ","")&amp;IF(AND(EDATE($D74,Milestones!$AA$73)&lt;=AsOfDate,IF($R74=0,$X74,IF(AND($T74&lt;&gt;"",EDATE($D74,Milestones!$AA$73)&gt;=$T74),$W74,IF(AND($S74&lt;&gt;"",EDATE($D74,Milestones!$AA$73)&gt;=$S74),$V74,$U74)))=Milestones!$AB$73),UPPER(TEXT(EDATE($D74,Milestones!$AA$73),"dd mmm yy"))&amp;" "&amp;Milestones!$AB$73&amp;" "&amp;Milestones!$AC$73&amp;";  ","")&amp;IF(AND(EDATE($D74,Milestones!$AA$74)&lt;=AsOfDate,IF($R74=0,$X74,IF(AND($T74&lt;&gt;"",EDATE($D74,Milestones!$AA$74)&gt;=$T74),$W74,IF(AND($S74&lt;&gt;"",EDATE($D74,Milestones!$AA$74)&gt;=$S74),$V74,$U74)))=Milestones!$AB$74),UPPER(TEXT(EDATE($D74,Milestones!$AA$74),"dd mmm yy"))&amp;" "&amp;Milestones!$AB$74&amp;" "&amp;Milestones!$AC$74&amp;";  ","")&amp;IF(AND(EDATE($D74,Milestones!$AA$75)&lt;=AsOfDate,IF($R74=0,$X74,IF(AND($T74&lt;&gt;"",EDATE($D74,Milestones!$AA$75)&gt;=$T74),$W74,IF(AND($S74&lt;&gt;"",EDATE($D74,Milestones!$AA$75)&gt;=$S74),$V74,$U74)))=Milestones!$AB$75),UPPER(TEXT(EDATE($D74,Milestones!$AA$75),"dd mmm yy"))&amp;" "&amp;Milestones!$AB$75&amp;" "&amp;Milestones!$AC$75&amp;";  ","")&amp;IF(AND(EDATE($D74,Milestones!$AA$76)&lt;=AsOfDate,IF($R74=0,$X74,IF(AND($T74&lt;&gt;"",EDATE($D74,Milestones!$AA$76)&gt;=$T74),$W74,IF(AND($S74&lt;&gt;"",EDATE($D74,Milestones!$AA$76)&gt;=$S74),$V74,$U74)))=Milestones!$AB$76),UPPER(TEXT(EDATE($D74,Milestones!$AA$76),"dd mmm yy"))&amp;" "&amp;Milestones!$AB$76&amp;" "&amp;Milestones!$AC$76&amp;";  ","")&amp;IF(AND(EDATE($D74,Milestones!$AA$77)&lt;=AsOfDate,IF($R74=0,$X74,IF(AND($T74&lt;&gt;"",EDATE($D74,Milestones!$AA$77)&gt;=$T74),$W74,IF(AND($S74&lt;&gt;"",EDATE($D74,Milestones!$AA$77)&gt;=$S74),$V74,$U74)))=Milestones!$AB$77),UPPER(TEXT(EDATE($D74,Milestones!$AA$77),"dd mmm yy"))&amp;" "&amp;Milestones!$AB$77&amp;" "&amp;Milestones!$AC$77&amp;";  ","")&amp;IF(AND(EDATE($D74,Milestones!$AA$78)&lt;=AsOfDate,IF($R74=0,$X74,IF(AND($T74&lt;&gt;"",EDATE($D74,Milestones!$AA$78)&gt;=$T74),$W74,IF(AND($S74&lt;&gt;"",EDATE($D74,Milestones!$AA$78)&gt;=$S74),$V74,$U74)))=Milestones!$AB$78),UPPER(TEXT(EDATE($D74,Milestones!$AA$78),"dd mmm yy"))&amp;" "&amp;Milestones!$AB$78&amp;" "&amp;Milestones!$AC$78&amp;";  ","")&amp;IF(AND(EDATE($D74,Milestones!$AA$79)&lt;=AsOfDate,IF($R74=0,$X74,IF(AND($T74&lt;&gt;"",EDATE($D74,Milestones!$AA$79)&gt;=$T74),$W74,IF(AND($S74&lt;&gt;"",EDATE($D74,Milestones!$AA$79)&gt;=$S74),$V74,$U74)))=Milestones!$AB$79),UPPER(TEXT(EDATE($D74,Milestones!$AA$79),"dd mmm yy"))&amp;" "&amp;Milestones!$AB$79&amp;" "&amp;Milestones!$AC$79&amp;";  ",""))</f>
        <v/>
      </c>
      <c r="L74" s="0" t="str">
        <f aca="false">IF(OR($A74="",$D74=""),"",IF(AND(EDATE($D74,Milestones!$AA$80)&lt;=AsOfDate,IF($R74=0,$X74,IF(AND($T74&lt;&gt;"",EDATE($D74,Milestones!$AA$80)&gt;=$T74),$W74,IF(AND($S74&lt;&gt;"",EDATE($D74,Milestones!$AA$80)&gt;=$S74),$V74,$U74)))=Milestones!$AB$80),UPPER(TEXT(EDATE($D74,Milestones!$AA$80),"dd mmm yy"))&amp;" "&amp;Milestones!$AB$80&amp;" "&amp;Milestones!$AC$80&amp;";  ","")&amp;IF(AND(EDATE($D74,Milestones!$AA$81)&lt;=AsOfDate,IF($R74=0,$X74,IF(AND($T74&lt;&gt;"",EDATE($D74,Milestones!$AA$81)&gt;=$T74),$W74,IF(AND($S74&lt;&gt;"",EDATE($D74,Milestones!$AA$81)&gt;=$S74),$V74,$U74)))=Milestones!$AB$81),UPPER(TEXT(EDATE($D74,Milestones!$AA$81),"dd mmm yy"))&amp;" "&amp;Milestones!$AB$81&amp;" "&amp;Milestones!$AC$81&amp;";  ","")&amp;IF(AND(EDATE($D74,Milestones!$AA$82)&lt;=AsOfDate,IF($R74=0,$X74,IF(AND($T74&lt;&gt;"",EDATE($D74,Milestones!$AA$82)&gt;=$T74),$W74,IF(AND($S74&lt;&gt;"",EDATE($D74,Milestones!$AA$82)&gt;=$S74),$V74,$U74)))=Milestones!$AB$82),UPPER(TEXT(EDATE($D74,Milestones!$AA$82),"dd mmm yy"))&amp;" "&amp;Milestones!$AB$82&amp;" "&amp;Milestones!$AC$82&amp;";  ","")&amp;IF(AND(EDATE($D74,Milestones!$AA$83)&lt;=AsOfDate,IF($R74=0,$X74,IF(AND($T74&lt;&gt;"",EDATE($D74,Milestones!$AA$83)&gt;=$T74),$W74,IF(AND($S74&lt;&gt;"",EDATE($D74,Milestones!$AA$83)&gt;=$S74),$V74,$U74)))=Milestones!$AB$83),UPPER(TEXT(EDATE($D74,Milestones!$AA$83),"dd mmm yy"))&amp;" "&amp;Milestones!$AB$83&amp;" "&amp;Milestones!$AC$83&amp;";  ","")&amp;IF(AND(EDATE($D74,Milestones!$AA$84)&lt;=AsOfDate,IF($R74=0,$X74,IF(AND($T74&lt;&gt;"",EDATE($D74,Milestones!$AA$84)&gt;=$T74),$W74,IF(AND($S74&lt;&gt;"",EDATE($D74,Milestones!$AA$84)&gt;=$S74),$V74,$U74)))=Milestones!$AB$84),UPPER(TEXT(EDATE($D74,Milestones!$AA$84),"dd mmm yy"))&amp;" "&amp;Milestones!$AB$84&amp;" "&amp;Milestones!$AC$84&amp;";  ","")&amp;IF(AND(EDATE($D74,Milestones!$AA$85)&lt;=AsOfDate,IF($R74=0,$X74,IF(AND($T74&lt;&gt;"",EDATE($D74,Milestones!$AA$85)&gt;=$T74),$W74,IF(AND($S74&lt;&gt;"",EDATE($D74,Milestones!$AA$85)&gt;=$S74),$V74,$U74)))=Milestones!$AB$85),UPPER(TEXT(EDATE($D74,Milestones!$AA$85),"dd mmm yy"))&amp;" "&amp;Milestones!$AB$85&amp;" "&amp;Milestones!$AC$85&amp;";  ","")&amp;IF(AND(EDATE($D74,Milestones!$AA$86)&lt;=AsOfDate,IF($R74=0,$X74,IF(AND($T74&lt;&gt;"",EDATE($D74,Milestones!$AA$86)&gt;=$T74),$W74,IF(AND($S74&lt;&gt;"",EDATE($D74,Milestones!$AA$86)&gt;=$S74),$V74,$U74)))=Milestones!$AB$86),UPPER(TEXT(EDATE($D74,Milestones!$AA$86),"dd mmm yy"))&amp;" "&amp;Milestones!$AB$86&amp;" "&amp;Milestones!$AC$86&amp;";  ","")&amp;IF(AND(EDATE($D74,Milestones!$AA$87)&lt;=AsOfDate,IF($R74=0,$X74,IF(AND($T74&lt;&gt;"",EDATE($D74,Milestones!$AA$87)&gt;=$T74),$W74,IF(AND($S74&lt;&gt;"",EDATE($D74,Milestones!$AA$87)&gt;=$S74),$V74,$U74)))=Milestones!$AB$87),UPPER(TEXT(EDATE($D74,Milestones!$AA$87),"dd mmm yy"))&amp;" "&amp;Milestones!$AB$87&amp;" "&amp;Milestones!$AC$87&amp;";  ","")&amp;IF(AND(EDATE($D74,Milestones!$AA$88)&lt;=AsOfDate,IF($R74=0,$X74,IF(AND($T74&lt;&gt;"",EDATE($D74,Milestones!$AA$88)&gt;=$T74),$W74,IF(AND($S74&lt;&gt;"",EDATE($D74,Milestones!$AA$88)&gt;=$S74),$V74,$U74)))=Milestones!$AB$88),UPPER(TEXT(EDATE($D74,Milestones!$AA$88),"dd mmm yy"))&amp;" "&amp;Milestones!$AB$88&amp;" "&amp;Milestones!$AC$88&amp;";  ","")&amp;IF(AND(EDATE($D74,Milestones!$AA$89)&lt;=AsOfDate,IF($R74=0,$X74,IF(AND($T74&lt;&gt;"",EDATE($D74,Milestones!$AA$89)&gt;=$T74),$W74,IF(AND($S74&lt;&gt;"",EDATE($D74,Milestones!$AA$89)&gt;=$S74),$V74,$U74)))=Milestones!$AB$89),UPPER(TEXT(EDATE($D74,Milestones!$AA$89),"dd mmm yy"))&amp;" "&amp;Milestones!$AB$89&amp;" "&amp;Milestones!$AC$89&amp;";  ","")&amp;IF(AND(EDATE($D74,Milestones!$AA$90)&lt;=AsOfDate,IF($R74=0,$X74,IF(AND($T74&lt;&gt;"",EDATE($D74,Milestones!$AA$90)&gt;=$T74),$W74,IF(AND($S74&lt;&gt;"",EDATE($D74,Milestones!$AA$90)&gt;=$S74),$V74,$U74)))=Milestones!$AB$90),UPPER(TEXT(EDATE($D74,Milestones!$AA$90),"dd mmm yy"))&amp;" "&amp;Milestones!$AB$90&amp;" "&amp;Milestones!$AC$90&amp;";  ","")&amp;IF(AND(EDATE($D74,Milestones!$AA$91)&lt;=AsOfDate,IF($R74=0,$X74,IF(AND($T74&lt;&gt;"",EDATE($D74,Milestones!$AA$91)&gt;=$T74),$W74,IF(AND($S74&lt;&gt;"",EDATE($D74,Milestones!$AA$91)&gt;=$S74),$V74,$U74)))=Milestones!$AB$91),UPPER(TEXT(EDATE($D74,Milestones!$AA$91),"dd mmm yy"))&amp;" "&amp;Milestones!$AB$91&amp;" "&amp;Milestones!$AC$91&amp;";  ","")&amp;IF(AND(EDATE($D74,Milestones!$AA$92)&lt;=AsOfDate,IF($R74=0,$X74,IF(AND($T74&lt;&gt;"",EDATE($D74,Milestones!$AA$92)&gt;=$T74),$W74,IF(AND($S74&lt;&gt;"",EDATE($D74,Milestones!$AA$92)&gt;=$S74),$V74,$U74)))=Milestones!$AB$92),UPPER(TEXT(EDATE($D74,Milestones!$AA$92),"dd mmm yy"))&amp;" "&amp;Milestones!$AB$92&amp;" "&amp;Milestones!$AC$92&amp;";  ","")&amp;IF(AND(EDATE($D74,Milestones!$AA$93)&lt;=AsOfDate,IF($R74=0,$X74,IF(AND($T74&lt;&gt;"",EDATE($D74,Milestones!$AA$93)&gt;=$T74),$W74,IF(AND($S74&lt;&gt;"",EDATE($D74,Milestones!$AA$93)&gt;=$S74),$V74,$U74)))=Milestones!$AB$93),UPPER(TEXT(EDATE($D74,Milestones!$AA$93),"dd mmm yy"))&amp;" "&amp;Milestones!$AB$93&amp;" "&amp;Milestones!$AC$93&amp;";  ","")&amp;IF(AND(EDATE($D74,Milestones!$AA$94)&lt;=AsOfDate,IF($R74=0,$X74,IF(AND($T74&lt;&gt;"",EDATE($D74,Milestones!$AA$94)&gt;=$T74),$W74,IF(AND($S74&lt;&gt;"",EDATE($D74,Milestones!$AA$94)&gt;=$S74),$V74,$U74)))=Milestones!$AB$94),UPPER(TEXT(EDATE($D74,Milestones!$AA$94),"dd mmm yy"))&amp;" "&amp;Milestones!$AB$94&amp;" "&amp;Milestones!$AC$94&amp;";  ","")&amp;IF(AND(EDATE($D74,Milestones!$AA$95)&lt;=AsOfDate,IF($R74=0,$X74,IF(AND($T74&lt;&gt;"",EDATE($D74,Milestones!$AA$95)&gt;=$T74),$W74,IF(AND($S74&lt;&gt;"",EDATE($D74,Milestones!$AA$95)&gt;=$S74),$V74,$U74)))=Milestones!$AB$95),UPPER(TEXT(EDATE($D74,Milestones!$AA$95),"dd mmm yy"))&amp;" "&amp;Milestones!$AB$95&amp;" "&amp;Milestones!$AC$95&amp;";  ","")&amp;IF(AND(EDATE($D74,Milestones!$AA$96)&lt;=AsOfDate,IF($R74=0,$X74,IF(AND($T74&lt;&gt;"",EDATE($D74,Milestones!$AA$96)&gt;=$T74),$W74,IF(AND($S74&lt;&gt;"",EDATE($D74,Milestones!$AA$96)&gt;=$S74),$V74,$U74)))=Milestones!$AB$96),UPPER(TEXT(EDATE($D74,Milestones!$AA$96),"dd mmm yy"))&amp;" "&amp;Milestones!$AB$96&amp;" "&amp;Milestones!$AC$96&amp;";  ","")&amp;IF(AND(EDATE($D74,Milestones!$AA$97)&lt;=AsOfDate,IF($R74=0,$X74,IF(AND($T74&lt;&gt;"",EDATE($D74,Milestones!$AA$97)&gt;=$T74),$W74,IF(AND($S74&lt;&gt;"",EDATE($D74,Milestones!$AA$97)&gt;=$S74),$V74,$U74)))=Milestones!$AB$97),UPPER(TEXT(EDATE($D74,Milestones!$AA$97),"dd mmm yy"))&amp;" "&amp;Milestones!$AB$97&amp;" "&amp;Milestones!$AC$97&amp;";  ","")&amp;IF(AND(EDATE($D74,Milestones!$AA$98)&lt;=AsOfDate,IF($R74=0,$X74,IF(AND($T74&lt;&gt;"",EDATE($D74,Milestones!$AA$98)&gt;=$T74),$W74,IF(AND($S74&lt;&gt;"",EDATE($D74,Milestones!$AA$98)&gt;=$S74),$V74,$U74)))=Milestones!$AB$98),UPPER(TEXT(EDATE($D74,Milestones!$AA$98),"dd mmm yy"))&amp;" "&amp;Milestones!$AB$98&amp;" "&amp;Milestones!$AC$98&amp;";  ","")&amp;IF(AND(EDATE($D74,Milestones!$AA$99)&lt;=AsOfDate,IF($R74=0,$X74,IF(AND($T74&lt;&gt;"",EDATE($D74,Milestones!$AA$99)&gt;=$T74),$W74,IF(AND($S74&lt;&gt;"",EDATE($D74,Milestones!$AA$99)&gt;=$S74),$V74,$U74)))=Milestones!$AB$99),UPPER(TEXT(EDATE($D74,Milestones!$AA$99),"dd mmm yy"))&amp;" "&amp;Milestones!$AB$99&amp;" "&amp;Milestones!$AC$99&amp;";  ",""))</f>
        <v/>
      </c>
      <c r="M74" s="0" t="str">
        <f aca="false">IF(OR($A74="",$D74=""),"",IF(AND(EDATE($D74,Milestones!$AA$100)&lt;=AsOfDate,IF($R74=0,$X74,IF(AND($T74&lt;&gt;"",EDATE($D74,Milestones!$AA$100)&gt;=$T74),$W74,IF(AND($S74&lt;&gt;"",EDATE($D74,Milestones!$AA$100)&gt;=$S74),$V74,$U74)))=Milestones!$AB$100),UPPER(TEXT(EDATE($D74,Milestones!$AA$100),"dd mmm yy"))&amp;" "&amp;Milestones!$AB$100&amp;" "&amp;Milestones!$AC$100&amp;";  ","")&amp;IF(AND(EDATE($D74,Milestones!$AA$101)&lt;=AsOfDate,IF($R74=0,$X74,IF(AND($T74&lt;&gt;"",EDATE($D74,Milestones!$AA$101)&gt;=$T74),$W74,IF(AND($S74&lt;&gt;"",EDATE($D74,Milestones!$AA$101)&gt;=$S74),$V74,$U74)))=Milestones!$AB$101),UPPER(TEXT(EDATE($D74,Milestones!$AA$101),"dd mmm yy"))&amp;" "&amp;Milestones!$AB$101&amp;" "&amp;Milestones!$AC$101&amp;";  ","")&amp;IF(AND(EDATE($D74,Milestones!$AA$102)&lt;=AsOfDate,IF($R74=0,$X74,IF(AND($T74&lt;&gt;"",EDATE($D74,Milestones!$AA$102)&gt;=$T74),$W74,IF(AND($S74&lt;&gt;"",EDATE($D74,Milestones!$AA$102)&gt;=$S74),$V74,$U74)))=Milestones!$AB$102),UPPER(TEXT(EDATE($D74,Milestones!$AA$102),"dd mmm yy"))&amp;" "&amp;Milestones!$AB$102&amp;" "&amp;Milestones!$AC$102&amp;";  ","")&amp;IF(AND(EDATE($D74,Milestones!$AA$103)&lt;=AsOfDate,IF($R74=0,$X74,IF(AND($T74&lt;&gt;"",EDATE($D74,Milestones!$AA$103)&gt;=$T74),$W74,IF(AND($S74&lt;&gt;"",EDATE($D74,Milestones!$AA$103)&gt;=$S74),$V74,$U74)))=Milestones!$AB$103),UPPER(TEXT(EDATE($D74,Milestones!$AA$103),"dd mmm yy"))&amp;" "&amp;Milestones!$AB$103&amp;" "&amp;Milestones!$AC$103&amp;";  ","")&amp;IF(AND(EDATE($D74,Milestones!$AA$104)&lt;=AsOfDate,IF($R74=0,$X74,IF(AND($T74&lt;&gt;"",EDATE($D74,Milestones!$AA$104)&gt;=$T74),$W74,IF(AND($S74&lt;&gt;"",EDATE($D74,Milestones!$AA$104)&gt;=$S74),$V74,$U74)))=Milestones!$AB$104),UPPER(TEXT(EDATE($D74,Milestones!$AA$104),"dd mmm yy"))&amp;" "&amp;Milestones!$AB$104&amp;" "&amp;Milestones!$AC$104&amp;";  ","")&amp;IF(AND(EDATE($D74,Milestones!$AA$105)&lt;=AsOfDate,IF($R74=0,$X74,IF(AND($T74&lt;&gt;"",EDATE($D74,Milestones!$AA$105)&gt;=$T74),$W74,IF(AND($S74&lt;&gt;"",EDATE($D74,Milestones!$AA$105)&gt;=$S74),$V74,$U74)))=Milestones!$AB$105),UPPER(TEXT(EDATE($D74,Milestones!$AA$105),"dd mmm yy"))&amp;" "&amp;Milestones!$AB$105&amp;" "&amp;Milestones!$AC$105&amp;";  ","")&amp;IF(AND(EDATE($D74,Milestones!$AA$106)&lt;=AsOfDate,IF($R74=0,$X74,IF(AND($T74&lt;&gt;"",EDATE($D74,Milestones!$AA$106)&gt;=$T74),$W74,IF(AND($S74&lt;&gt;"",EDATE($D74,Milestones!$AA$106)&gt;=$S74),$V74,$U74)))=Milestones!$AB$106),UPPER(TEXT(EDATE($D74,Milestones!$AA$106),"dd mmm yy"))&amp;" "&amp;Milestones!$AB$106&amp;" "&amp;Milestones!$AC$106&amp;";  ","")&amp;IF(AND(EDATE($D74,Milestones!$AA$107)&lt;=AsOfDate,IF($R74=0,$X74,IF(AND($T74&lt;&gt;"",EDATE($D74,Milestones!$AA$107)&gt;=$T74),$W74,IF(AND($S74&lt;&gt;"",EDATE($D74,Milestones!$AA$107)&gt;=$S74),$V74,$U74)))=Milestones!$AB$107),UPPER(TEXT(EDATE($D74,Milestones!$AA$107),"dd mmm yy"))&amp;" "&amp;Milestones!$AB$107&amp;" "&amp;Milestones!$AC$107&amp;";  ","")&amp;IF(AND(EDATE($D74,Milestones!$AA$108)&lt;=AsOfDate,IF($R74=0,$X74,IF(AND($T74&lt;&gt;"",EDATE($D74,Milestones!$AA$108)&gt;=$T74),$W74,IF(AND($S74&lt;&gt;"",EDATE($D74,Milestones!$AA$108)&gt;=$S74),$V74,$U74)))=Milestones!$AB$108),UPPER(TEXT(EDATE($D74,Milestones!$AA$108),"dd mmm yy"))&amp;" "&amp;Milestones!$AB$108&amp;" "&amp;Milestones!$AC$108&amp;";  ","")&amp;IF(AND(EDATE($D74,Milestones!$AA$109)&lt;=AsOfDate,IF($R74=0,$X74,IF(AND($T74&lt;&gt;"",EDATE($D74,Milestones!$AA$109)&gt;=$T74),$W74,IF(AND($S74&lt;&gt;"",EDATE($D74,Milestones!$AA$109)&gt;=$S74),$V74,$U74)))=Milestones!$AB$109),UPPER(TEXT(EDATE($D74,Milestones!$AA$109),"dd mmm yy"))&amp;" "&amp;Milestones!$AB$109&amp;" "&amp;Milestones!$AC$109&amp;";  ","")&amp;IF(AND(EDATE($D74,Milestones!$AA$110)&lt;=AsOfDate,IF($R74=0,$X74,IF(AND($T74&lt;&gt;"",EDATE($D74,Milestones!$AA$110)&gt;=$T74),$W74,IF(AND($S74&lt;&gt;"",EDATE($D74,Milestones!$AA$110)&gt;=$S74),$V74,$U74)))=Milestones!$AB$110),UPPER(TEXT(EDATE($D74,Milestones!$AA$110),"dd mmm yy"))&amp;" "&amp;Milestones!$AB$110&amp;" "&amp;Milestones!$AC$110&amp;";  ","")&amp;IF(AND(EDATE($D74,Milestones!$AA$111)&lt;=AsOfDate,IF($R74=0,$X74,IF(AND($T74&lt;&gt;"",EDATE($D74,Milestones!$AA$111)&gt;=$T74),$W74,IF(AND($S74&lt;&gt;"",EDATE($D74,Milestones!$AA$111)&gt;=$S74),$V74,$U74)))=Milestones!$AB$111),UPPER(TEXT(EDATE($D74,Milestones!$AA$111),"dd mmm yy"))&amp;" "&amp;Milestones!$AB$111&amp;" "&amp;Milestones!$AC$111&amp;";  ","")&amp;IF(AND(EDATE($D74,Milestones!$AA$112)&lt;=AsOfDate,IF($R74=0,$X74,IF(AND($T74&lt;&gt;"",EDATE($D74,Milestones!$AA$112)&gt;=$T74),$W74,IF(AND($S74&lt;&gt;"",EDATE($D74,Milestones!$AA$112)&gt;=$S74),$V74,$U74)))=Milestones!$AB$112),UPPER(TEXT(EDATE($D74,Milestones!$AA$112),"dd mmm yy"))&amp;" "&amp;Milestones!$AB$112&amp;" "&amp;Milestones!$AC$112&amp;";  ","")&amp;IF(AND(EDATE($D74,Milestones!$AA$113)&lt;=AsOfDate,IF($R74=0,$X74,IF(AND($T74&lt;&gt;"",EDATE($D74,Milestones!$AA$113)&gt;=$T74),$W74,IF(AND($S74&lt;&gt;"",EDATE($D74,Milestones!$AA$113)&gt;=$S74),$V74,$U74)))=Milestones!$AB$113),UPPER(TEXT(EDATE($D74,Milestones!$AA$113),"dd mmm yy"))&amp;" "&amp;Milestones!$AB$113&amp;" "&amp;Milestones!$AC$113&amp;";  ","")&amp;IF(AND(EDATE($D74,Milestones!$AA$114)&lt;=AsOfDate,IF($R74=0,$X74,IF(AND($T74&lt;&gt;"",EDATE($D74,Milestones!$AA$114)&gt;=$T74),$W74,IF(AND($S74&lt;&gt;"",EDATE($D74,Milestones!$AA$114)&gt;=$S74),$V74,$U74)))=Milestones!$AB$114),UPPER(TEXT(EDATE($D74,Milestones!$AA$114),"dd mmm yy"))&amp;" "&amp;Milestones!$AB$114&amp;" "&amp;Milestones!$AC$114&amp;";  ","")&amp;IF(AND(EDATE($D74,Milestones!$AA$115)&lt;=AsOfDate,IF($R74=0,$X74,IF(AND($T74&lt;&gt;"",EDATE($D74,Milestones!$AA$115)&gt;=$T74),$W74,IF(AND($S74&lt;&gt;"",EDATE($D74,Milestones!$AA$115)&gt;=$S74),$V74,$U74)))=Milestones!$AB$115),UPPER(TEXT(EDATE($D74,Milestones!$AA$115),"dd mmm yy"))&amp;" "&amp;Milestones!$AB$115&amp;" "&amp;Milestones!$AC$115&amp;";  ","")&amp;IF(AND(EDATE($D74,Milestones!$AA$116)&lt;=AsOfDate,IF($R74=0,$X74,IF(AND($T74&lt;&gt;"",EDATE($D74,Milestones!$AA$116)&gt;=$T74),$W74,IF(AND($S74&lt;&gt;"",EDATE($D74,Milestones!$AA$116)&gt;=$S74),$V74,$U74)))=Milestones!$AB$116),UPPER(TEXT(EDATE($D74,Milestones!$AA$116),"dd mmm yy"))&amp;" "&amp;Milestones!$AB$116&amp;" "&amp;Milestones!$AC$116&amp;";  ","")&amp;IF(AND(EDATE($D74,Milestones!$AA$117)&lt;=AsOfDate,IF($R74=0,$X74,IF(AND($T74&lt;&gt;"",EDATE($D74,Milestones!$AA$117)&gt;=$T74),$W74,IF(AND($S74&lt;&gt;"",EDATE($D74,Milestones!$AA$117)&gt;=$S74),$V74,$U74)))=Milestones!$AB$117),UPPER(TEXT(EDATE($D74,Milestones!$AA$117),"dd mmm yy"))&amp;" "&amp;Milestones!$AB$117&amp;" "&amp;Milestones!$AC$117&amp;";  ","")&amp;IF(AND(EDATE($D74,Milestones!$AA$118)&lt;=AsOfDate,IF($R74=0,$X74,IF(AND($T74&lt;&gt;"",EDATE($D74,Milestones!$AA$118)&gt;=$T74),$W74,IF(AND($S74&lt;&gt;"",EDATE($D74,Milestones!$AA$118)&gt;=$S74),$V74,$U74)))=Milestones!$AB$118),UPPER(TEXT(EDATE($D74,Milestones!$AA$118),"dd mmm yy"))&amp;" "&amp;Milestones!$AB$118&amp;" "&amp;Milestones!$AC$118&amp;";  ","")&amp;IF(AND(EDATE($D74,Milestones!$AA$119)&lt;=AsOfDate,IF($R74=0,$X74,IF(AND($T74&lt;&gt;"",EDATE($D74,Milestones!$AA$119)&gt;=$T74),$W74,IF(AND($S74&lt;&gt;"",EDATE($D74,Milestones!$AA$119)&gt;=$S74),$V74,$U74)))=Milestones!$AB$119),UPPER(TEXT(EDATE($D74,Milestones!$AA$119),"dd mmm yy"))&amp;" "&amp;Milestones!$AB$119&amp;" "&amp;Milestones!$AC$119&amp;";  ",""))</f>
        <v/>
      </c>
      <c r="N74" s="0" t="str">
        <f aca="false">IF(OR($A74="",$D74=""),"",IF(AND(EDATE($D74,Milestones!$AA$120)&lt;=AsOfDate,IF($R74=0,$X74,IF(AND($T74&lt;&gt;"",EDATE($D74,Milestones!$AA$120)&gt;=$T74),$W74,IF(AND($S74&lt;&gt;"",EDATE($D74,Milestones!$AA$120)&gt;=$S74),$V74,$U74)))=Milestones!$AB$120),UPPER(TEXT(EDATE($D74,Milestones!$AA$120),"dd mmm yy"))&amp;" "&amp;Milestones!$AB$120&amp;" "&amp;Milestones!$AC$120&amp;";  ","")&amp;IF(AND(EDATE($D74,Milestones!$AA$121)&lt;=AsOfDate,IF($R74=0,$X74,IF(AND($T74&lt;&gt;"",EDATE($D74,Milestones!$AA$121)&gt;=$T74),$W74,IF(AND($S74&lt;&gt;"",EDATE($D74,Milestones!$AA$121)&gt;=$S74),$V74,$U74)))=Milestones!$AB$121),UPPER(TEXT(EDATE($D74,Milestones!$AA$121),"dd mmm yy"))&amp;" "&amp;Milestones!$AB$121&amp;" "&amp;Milestones!$AC$121&amp;";  ","")&amp;IF(AND(EDATE($D74,Milestones!$AA$122)&lt;=AsOfDate,IF($R74=0,$X74,IF(AND($T74&lt;&gt;"",EDATE($D74,Milestones!$AA$122)&gt;=$T74),$W74,IF(AND($S74&lt;&gt;"",EDATE($D74,Milestones!$AA$122)&gt;=$S74),$V74,$U74)))=Milestones!$AB$122),UPPER(TEXT(EDATE($D74,Milestones!$AA$122),"dd mmm yy"))&amp;" "&amp;Milestones!$AB$122&amp;" "&amp;Milestones!$AC$122&amp;";  ","")&amp;IF(AND(EDATE($D74,Milestones!$AA$123)&lt;=AsOfDate,IF($R74=0,$X74,IF(AND($T74&lt;&gt;"",EDATE($D74,Milestones!$AA$123)&gt;=$T74),$W74,IF(AND($S74&lt;&gt;"",EDATE($D74,Milestones!$AA$123)&gt;=$S74),$V74,$U74)))=Milestones!$AB$123),UPPER(TEXT(EDATE($D74,Milestones!$AA$123),"dd mmm yy"))&amp;" "&amp;Milestones!$AB$123&amp;" "&amp;Milestones!$AC$123&amp;";  ","")&amp;IF(AND(EDATE($D74,Milestones!$AA$124)&lt;=AsOfDate,IF($R74=0,$X74,IF(AND($T74&lt;&gt;"",EDATE($D74,Milestones!$AA$124)&gt;=$T74),$W74,IF(AND($S74&lt;&gt;"",EDATE($D74,Milestones!$AA$124)&gt;=$S74),$V74,$U74)))=Milestones!$AB$124),UPPER(TEXT(EDATE($D74,Milestones!$AA$124),"dd mmm yy"))&amp;" "&amp;Milestones!$AB$124&amp;" "&amp;Milestones!$AC$124&amp;";  ","")&amp;IF(AND(EDATE($D74,Milestones!$AA$125)&lt;=AsOfDate,IF($R74=0,$X74,IF(AND($T74&lt;&gt;"",EDATE($D74,Milestones!$AA$125)&gt;=$T74),$W74,IF(AND($S74&lt;&gt;"",EDATE($D74,Milestones!$AA$125)&gt;=$S74),$V74,$U74)))=Milestones!$AB$125),UPPER(TEXT(EDATE($D74,Milestones!$AA$125),"dd mmm yy"))&amp;" "&amp;Milestones!$AB$125&amp;" "&amp;Milestones!$AC$125&amp;";  ","")&amp;IF(AND(EDATE($D74,Milestones!$AA$126)&lt;=AsOfDate,IF($R74=0,$X74,IF(AND($T74&lt;&gt;"",EDATE($D74,Milestones!$AA$126)&gt;=$T74),$W74,IF(AND($S74&lt;&gt;"",EDATE($D74,Milestones!$AA$126)&gt;=$S74),$V74,$U74)))=Milestones!$AB$126),UPPER(TEXT(EDATE($D74,Milestones!$AA$126),"dd mmm yy"))&amp;" "&amp;Milestones!$AB$126&amp;" "&amp;Milestones!$AC$126&amp;";  ","")&amp;IF(AND(EDATE($D74,Milestones!$AA$127)&lt;=AsOfDate,IF($R74=0,$X74,IF(AND($T74&lt;&gt;"",EDATE($D74,Milestones!$AA$127)&gt;=$T74),$W74,IF(AND($S74&lt;&gt;"",EDATE($D74,Milestones!$AA$127)&gt;=$S74),$V74,$U74)))=Milestones!$AB$127),UPPER(TEXT(EDATE($D74,Milestones!$AA$127),"dd mmm yy"))&amp;" "&amp;Milestones!$AB$127&amp;" "&amp;Milestones!$AC$127&amp;";  ","")&amp;IF(AND(EDATE($D74,Milestones!$AA$128)&lt;=AsOfDate,IF($R74=0,$X74,IF(AND($T74&lt;&gt;"",EDATE($D74,Milestones!$AA$128)&gt;=$T74),$W74,IF(AND($S74&lt;&gt;"",EDATE($D74,Milestones!$AA$128)&gt;=$S74),$V74,$U74)))=Milestones!$AB$128),UPPER(TEXT(EDATE($D74,Milestones!$AA$128),"dd mmm yy"))&amp;" "&amp;Milestones!$AB$128&amp;" "&amp;Milestones!$AC$128&amp;";  ","")&amp;IF(AND(EDATE($D74,Milestones!$AA$129)&lt;=AsOfDate,IF($R74=0,$X74,IF(AND($T74&lt;&gt;"",EDATE($D74,Milestones!$AA$129)&gt;=$T74),$W74,IF(AND($S74&lt;&gt;"",EDATE($D74,Milestones!$AA$129)&gt;=$S74),$V74,$U74)))=Milestones!$AB$129),UPPER(TEXT(EDATE($D74,Milestones!$AA$129),"dd mmm yy"))&amp;" "&amp;Milestones!$AB$129&amp;" "&amp;Milestones!$AC$129&amp;";  ","")&amp;IF(AND(EDATE($D74,Milestones!$AA$130)&lt;=AsOfDate,IF($R74=0,$X74,IF(AND($T74&lt;&gt;"",EDATE($D74,Milestones!$AA$130)&gt;=$T74),$W74,IF(AND($S74&lt;&gt;"",EDATE($D74,Milestones!$AA$130)&gt;=$S74),$V74,$U74)))=Milestones!$AB$130),UPPER(TEXT(EDATE($D74,Milestones!$AA$130),"dd mmm yy"))&amp;" "&amp;Milestones!$AB$130&amp;" "&amp;Milestones!$AC$130&amp;";  ","")&amp;IF(AND(EDATE($D74,Milestones!$AA$131)&lt;=AsOfDate,IF($R74=0,$X74,IF(AND($T74&lt;&gt;"",EDATE($D74,Milestones!$AA$131)&gt;=$T74),$W74,IF(AND($S74&lt;&gt;"",EDATE($D74,Milestones!$AA$131)&gt;=$S74),$V74,$U74)))=Milestones!$AB$131),UPPER(TEXT(EDATE($D74,Milestones!$AA$131),"dd mmm yy"))&amp;" "&amp;Milestones!$AB$131&amp;" "&amp;Milestones!$AC$131&amp;";  ","")&amp;IF(AND(EDATE($D74,Milestones!$AA$132)&lt;=AsOfDate,IF($R74=0,$X74,IF(AND($T74&lt;&gt;"",EDATE($D74,Milestones!$AA$132)&gt;=$T74),$W74,IF(AND($S74&lt;&gt;"",EDATE($D74,Milestones!$AA$132)&gt;=$S74),$V74,$U74)))=Milestones!$AB$132),UPPER(TEXT(EDATE($D74,Milestones!$AA$132),"dd mmm yy"))&amp;" "&amp;Milestones!$AB$132&amp;" "&amp;Milestones!$AC$132&amp;";  ","")&amp;IF(AND(EDATE($D74,Milestones!$AA$133)&lt;=AsOfDate,IF($R74=0,$X74,IF(AND($T74&lt;&gt;"",EDATE($D74,Milestones!$AA$133)&gt;=$T74),$W74,IF(AND($S74&lt;&gt;"",EDATE($D74,Milestones!$AA$133)&gt;=$S74),$V74,$U74)))=Milestones!$AB$133),UPPER(TEXT(EDATE($D74,Milestones!$AA$133),"dd mmm yy"))&amp;" "&amp;Milestones!$AB$133&amp;" "&amp;Milestones!$AC$133&amp;";  ","")&amp;IF(AND(EDATE($D74,Milestones!$AA$134)&lt;=AsOfDate,IF($R74=0,$X74,IF(AND($T74&lt;&gt;"",EDATE($D74,Milestones!$AA$134)&gt;=$T74),$W74,IF(AND($S74&lt;&gt;"",EDATE($D74,Milestones!$AA$134)&gt;=$S74),$V74,$U74)))=Milestones!$AB$134),UPPER(TEXT(EDATE($D74,Milestones!$AA$134),"dd mmm yy"))&amp;" "&amp;Milestones!$AB$134&amp;" "&amp;Milestones!$AC$134&amp;";  ","")&amp;IF(AND(EDATE($D74,Milestones!$AA$135)&lt;=AsOfDate,IF($R74=0,$X74,IF(AND($T74&lt;&gt;"",EDATE($D74,Milestones!$AA$135)&gt;=$T74),$W74,IF(AND($S74&lt;&gt;"",EDATE($D74,Milestones!$AA$135)&gt;=$S74),$V74,$U74)))=Milestones!$AB$135),UPPER(TEXT(EDATE($D74,Milestones!$AA$135),"dd mmm yy"))&amp;" "&amp;Milestones!$AB$135&amp;" "&amp;Milestones!$AC$135&amp;";  ","")&amp;IF(AND(EDATE($D74,Milestones!$AA$136)&lt;=AsOfDate,IF($R74=0,$X74,IF(AND($T74&lt;&gt;"",EDATE($D74,Milestones!$AA$136)&gt;=$T74),$W74,IF(AND($S74&lt;&gt;"",EDATE($D74,Milestones!$AA$136)&gt;=$S74),$V74,$U74)))=Milestones!$AB$136),UPPER(TEXT(EDATE($D74,Milestones!$AA$136),"dd mmm yy"))&amp;" "&amp;Milestones!$AB$136&amp;" "&amp;Milestones!$AC$136&amp;";  ","")&amp;IF(AND(EDATE($D74,Milestones!$AA$137)&lt;=AsOfDate,IF($R74=0,$X74,IF(AND($T74&lt;&gt;"",EDATE($D74,Milestones!$AA$137)&gt;=$T74),$W74,IF(AND($S74&lt;&gt;"",EDATE($D74,Milestones!$AA$137)&gt;=$S74),$V74,$U74)))=Milestones!$AB$137),UPPER(TEXT(EDATE($D74,Milestones!$AA$137),"dd mmm yy"))&amp;" "&amp;Milestones!$AB$137&amp;" "&amp;Milestones!$AC$137&amp;";  ","")&amp;IF(AND(EDATE($D74,Milestones!$AA$138)&lt;=AsOfDate,IF($R74=0,$X74,IF(AND($T74&lt;&gt;"",EDATE($D74,Milestones!$AA$138)&gt;=$T74),$W74,IF(AND($S74&lt;&gt;"",EDATE($D74,Milestones!$AA$138)&gt;=$S74),$V74,$U74)))=Milestones!$AB$138),UPPER(TEXT(EDATE($D74,Milestones!$AA$138),"dd mmm yy"))&amp;" "&amp;Milestones!$AB$138&amp;" "&amp;Milestones!$AC$138&amp;";  ","")&amp;IF(AND(EDATE($D74,Milestones!$AA$139)&lt;=AsOfDate,IF($R74=0,$X74,IF(AND($T74&lt;&gt;"",EDATE($D74,Milestones!$AA$139)&gt;=$T74),$W74,IF(AND($S74&lt;&gt;"",EDATE($D74,Milestones!$AA$139)&gt;=$S74),$V74,$U74)))=Milestones!$AB$139),UPPER(TEXT(EDATE($D74,Milestones!$AA$139),"dd mmm yy"))&amp;" "&amp;Milestones!$AB$139&amp;" "&amp;Milestones!$AC$139&amp;";  ",""))</f>
        <v/>
      </c>
      <c r="O74" s="0" t="str">
        <f aca="false">IF(OR($A74="",$D74=""),"",IF(AND(EDATE($D74,Milestones!$AA$140)&lt;=AsOfDate,IF($R74=0,$X74,IF(AND($T74&lt;&gt;"",EDATE($D74,Milestones!$AA$140)&gt;=$T74),$W74,IF(AND($S74&lt;&gt;"",EDATE($D74,Milestones!$AA$140)&gt;=$S74),$V74,$U74)))=Milestones!$AB$140),UPPER(TEXT(EDATE($D74,Milestones!$AA$140),"dd mmm yy"))&amp;" "&amp;Milestones!$AB$140&amp;" "&amp;Milestones!$AC$140&amp;";  ","")&amp;IF(AND(EDATE($D74,Milestones!$AA$141)&lt;=AsOfDate,IF($R74=0,$X74,IF(AND($T74&lt;&gt;"",EDATE($D74,Milestones!$AA$141)&gt;=$T74),$W74,IF(AND($S74&lt;&gt;"",EDATE($D74,Milestones!$AA$141)&gt;=$S74),$V74,$U74)))=Milestones!$AB$141),UPPER(TEXT(EDATE($D74,Milestones!$AA$141),"dd mmm yy"))&amp;" "&amp;Milestones!$AB$141&amp;" "&amp;Milestones!$AC$141&amp;";  ","")&amp;IF(AND(EDATE($D74,Milestones!$AA$142)&lt;=AsOfDate,IF($R74=0,$X74,IF(AND($T74&lt;&gt;"",EDATE($D74,Milestones!$AA$142)&gt;=$T74),$W74,IF(AND($S74&lt;&gt;"",EDATE($D74,Milestones!$AA$142)&gt;=$S74),$V74,$U74)))=Milestones!$AB$142),UPPER(TEXT(EDATE($D74,Milestones!$AA$142),"dd mmm yy"))&amp;" "&amp;Milestones!$AB$142&amp;" "&amp;Milestones!$AC$142&amp;";  ","")&amp;IF(AND(EDATE($D74,Milestones!$AA$143)&lt;=AsOfDate,IF($R74=0,$X74,IF(AND($T74&lt;&gt;"",EDATE($D74,Milestones!$AA$143)&gt;=$T74),$W74,IF(AND($S74&lt;&gt;"",EDATE($D74,Milestones!$AA$143)&gt;=$S74),$V74,$U74)))=Milestones!$AB$143),UPPER(TEXT(EDATE($D74,Milestones!$AA$143),"dd mmm yy"))&amp;" "&amp;Milestones!$AB$143&amp;" "&amp;Milestones!$AC$143&amp;";  ","")&amp;IF(AND(EDATE($D74,Milestones!$AA$144)&lt;=AsOfDate,IF($R74=0,$X74,IF(AND($T74&lt;&gt;"",EDATE($D74,Milestones!$AA$144)&gt;=$T74),$W74,IF(AND($S74&lt;&gt;"",EDATE($D74,Milestones!$AA$144)&gt;=$S74),$V74,$U74)))=Milestones!$AB$144),UPPER(TEXT(EDATE($D74,Milestones!$AA$144),"dd mmm yy"))&amp;" "&amp;Milestones!$AB$144&amp;" "&amp;Milestones!$AC$144&amp;";  ","")&amp;IF(AND(EDATE($D74,Milestones!$AA$145)&lt;=AsOfDate,IF($R74=0,$X74,IF(AND($T74&lt;&gt;"",EDATE($D74,Milestones!$AA$145)&gt;=$T74),$W74,IF(AND($S74&lt;&gt;"",EDATE($D74,Milestones!$AA$145)&gt;=$S74),$V74,$U74)))=Milestones!$AB$145),UPPER(TEXT(EDATE($D74,Milestones!$AA$145),"dd mmm yy"))&amp;" "&amp;Milestones!$AB$145&amp;" "&amp;Milestones!$AC$145&amp;";  ","")&amp;IF(AND(EDATE($D74,Milestones!$AA$146)&lt;=AsOfDate,IF($R74=0,$X74,IF(AND($T74&lt;&gt;"",EDATE($D74,Milestones!$AA$146)&gt;=$T74),$W74,IF(AND($S74&lt;&gt;"",EDATE($D74,Milestones!$AA$146)&gt;=$S74),$V74,$U74)))=Milestones!$AB$146),UPPER(TEXT(EDATE($D74,Milestones!$AA$146),"dd mmm yy"))&amp;" "&amp;Milestones!$AB$146&amp;" "&amp;Milestones!$AC$146&amp;";  ","")&amp;IF(AND(EDATE($D74,Milestones!$AA$147)&lt;=AsOfDate,IF($R74=0,$X74,IF(AND($T74&lt;&gt;"",EDATE($D74,Milestones!$AA$147)&gt;=$T74),$W74,IF(AND($S74&lt;&gt;"",EDATE($D74,Milestones!$AA$147)&gt;=$S74),$V74,$U74)))=Milestones!$AB$147),UPPER(TEXT(EDATE($D74,Milestones!$AA$147),"dd mmm yy"))&amp;" "&amp;Milestones!$AB$147&amp;" "&amp;Milestones!$AC$147&amp;";  ","")&amp;IF(AND(EDATE($D74,Milestones!$AA$148)&lt;=AsOfDate,IF($R74=0,$X74,IF(AND($T74&lt;&gt;"",EDATE($D74,Milestones!$AA$148)&gt;=$T74),$W74,IF(AND($S74&lt;&gt;"",EDATE($D74,Milestones!$AA$148)&gt;=$S74),$V74,$U74)))=Milestones!$AB$148),UPPER(TEXT(EDATE($D74,Milestones!$AA$148),"dd mmm yy"))&amp;" "&amp;Milestones!$AB$148&amp;" "&amp;Milestones!$AC$148&amp;";  ","")&amp;IF(AND(EDATE($D74,Milestones!$AA$149)&lt;=AsOfDate,IF($R74=0,$X74,IF(AND($T74&lt;&gt;"",EDATE($D74,Milestones!$AA$149)&gt;=$T74),$W74,IF(AND($S74&lt;&gt;"",EDATE($D74,Milestones!$AA$149)&gt;=$S74),$V74,$U74)))=Milestones!$AB$149),UPPER(TEXT(EDATE($D74,Milestones!$AA$149),"dd mmm yy"))&amp;" "&amp;Milestones!$AB$149&amp;" "&amp;Milestones!$AC$149&amp;";  ","")&amp;IF(AND(EDATE($D74,Milestones!$AA$150)&lt;=AsOfDate,IF($R74=0,$X74,IF(AND($T74&lt;&gt;"",EDATE($D74,Milestones!$AA$150)&gt;=$T74),$W74,IF(AND($S74&lt;&gt;"",EDATE($D74,Milestones!$AA$150)&gt;=$S74),$V74,$U74)))=Milestones!$AB$150),UPPER(TEXT(EDATE($D74,Milestones!$AA$150),"dd mmm yy"))&amp;" "&amp;Milestones!$AB$150&amp;" "&amp;Milestones!$AC$150&amp;";  ","")&amp;IF(AND(EDATE($D74,Milestones!$AA$151)&lt;=AsOfDate,IF($R74=0,$X74,IF(AND($T74&lt;&gt;"",EDATE($D74,Milestones!$AA$151)&gt;=$T74),$W74,IF(AND($S74&lt;&gt;"",EDATE($D74,Milestones!$AA$151)&gt;=$S74),$V74,$U74)))=Milestones!$AB$151),UPPER(TEXT(EDATE($D74,Milestones!$AA$151),"dd mmm yy"))&amp;" "&amp;Milestones!$AB$151&amp;" "&amp;Milestones!$AC$151&amp;";  ","")&amp;IF(AND(EDATE($D74,Milestones!$AA$152)&lt;=AsOfDate,IF($R74=0,$X74,IF(AND($T74&lt;&gt;"",EDATE($D74,Milestones!$AA$152)&gt;=$T74),$W74,IF(AND($S74&lt;&gt;"",EDATE($D74,Milestones!$AA$152)&gt;=$S74),$V74,$U74)))=Milestones!$AB$152),UPPER(TEXT(EDATE($D74,Milestones!$AA$152),"dd mmm yy"))&amp;" "&amp;Milestones!$AB$152&amp;" "&amp;Milestones!$AC$152&amp;";  ","")&amp;IF(AND(EDATE($D74,Milestones!$AA$153)&lt;=AsOfDate,IF($R74=0,$X74,IF(AND($T74&lt;&gt;"",EDATE($D74,Milestones!$AA$153)&gt;=$T74),$W74,IF(AND($S74&lt;&gt;"",EDATE($D74,Milestones!$AA$153)&gt;=$S74),$V74,$U74)))=Milestones!$AB$153),UPPER(TEXT(EDATE($D74,Milestones!$AA$153),"dd mmm yy"))&amp;" "&amp;Milestones!$AB$153&amp;" "&amp;Milestones!$AC$153&amp;";  ","")&amp;IF(AND(EDATE($D74,Milestones!$AA$154)&lt;=AsOfDate,IF($R74=0,$X74,IF(AND($T74&lt;&gt;"",EDATE($D74,Milestones!$AA$154)&gt;=$T74),$W74,IF(AND($S74&lt;&gt;"",EDATE($D74,Milestones!$AA$154)&gt;=$S74),$V74,$U74)))=Milestones!$AB$154),UPPER(TEXT(EDATE($D74,Milestones!$AA$154),"dd mmm yy"))&amp;" "&amp;Milestones!$AB$154&amp;" "&amp;Milestones!$AC$154&amp;";  ","")&amp;IF(AND(EDATE($D74,Milestones!$AA$155)&lt;=AsOfDate,IF($R74=0,$X74,IF(AND($T74&lt;&gt;"",EDATE($D74,Milestones!$AA$155)&gt;=$T74),$W74,IF(AND($S74&lt;&gt;"",EDATE($D74,Milestones!$AA$155)&gt;=$S74),$V74,$U74)))=Milestones!$AB$155),UPPER(TEXT(EDATE($D74,Milestones!$AA$155),"dd mmm yy"))&amp;" "&amp;Milestones!$AB$155&amp;" "&amp;Milestones!$AC$155&amp;";  ","")&amp;IF(AND(EDATE($D74,Milestones!$AA$156)&lt;=AsOfDate,IF($R74=0,$X74,IF(AND($T74&lt;&gt;"",EDATE($D74,Milestones!$AA$156)&gt;=$T74),$W74,IF(AND($S74&lt;&gt;"",EDATE($D74,Milestones!$AA$156)&gt;=$S74),$V74,$U74)))=Milestones!$AB$156),UPPER(TEXT(EDATE($D74,Milestones!$AA$156),"dd mmm yy"))&amp;" "&amp;Milestones!$AB$156&amp;" "&amp;Milestones!$AC$156&amp;";  ","")&amp;IF(AND(EDATE($D74,Milestones!$AA$157)&lt;=AsOfDate,IF($R74=0,$X74,IF(AND($T74&lt;&gt;"",EDATE($D74,Milestones!$AA$157)&gt;=$T74),$W74,IF(AND($S74&lt;&gt;"",EDATE($D74,Milestones!$AA$157)&gt;=$S74),$V74,$U74)))=Milestones!$AB$157),UPPER(TEXT(EDATE($D74,Milestones!$AA$157),"dd mmm yy"))&amp;" "&amp;Milestones!$AB$157&amp;" "&amp;Milestones!$AC$157&amp;";  ","")&amp;IF(AND(EDATE($D74,Milestones!$AA$158)&lt;=AsOfDate,IF($R74=0,$X74,IF(AND($T74&lt;&gt;"",EDATE($D74,Milestones!$AA$158)&gt;=$T74),$W74,IF(AND($S74&lt;&gt;"",EDATE($D74,Milestones!$AA$158)&gt;=$S74),$V74,$U74)))=Milestones!$AB$158),UPPER(TEXT(EDATE($D74,Milestones!$AA$158),"dd mmm yy"))&amp;" "&amp;Milestones!$AB$158&amp;" "&amp;Milestones!$AC$158&amp;";  ","")&amp;IF(AND(EDATE($D74,Milestones!$AA$159)&lt;=AsOfDate,IF($R74=0,$X74,IF(AND($T74&lt;&gt;"",EDATE($D74,Milestones!$AA$159)&gt;=$T74),$W74,IF(AND($S74&lt;&gt;"",EDATE($D74,Milestones!$AA$159)&gt;=$S74),$V74,$U74)))=Milestones!$AB$159),UPPER(TEXT(EDATE($D74,Milestones!$AA$159),"dd mmm yy"))&amp;" "&amp;Milestones!$AB$159&amp;" "&amp;Milestones!$AC$159&amp;";  ",""))</f>
        <v/>
      </c>
      <c r="P74" s="0" t="str">
        <f aca="false">IF(OR($A74="",$D74=""),"",IF(AND(EDATE($D74,Milestones!$AA$160)&lt;=AsOfDate,IF($R74=0,$X74,IF(AND($T74&lt;&gt;"",EDATE($D74,Milestones!$AA$160)&gt;=$T74),$W74,IF(AND($S74&lt;&gt;"",EDATE($D74,Milestones!$AA$160)&gt;=$S74),$V74,$U74)))=Milestones!$AB$160),UPPER(TEXT(EDATE($D74,Milestones!$AA$160),"dd mmm yy"))&amp;" "&amp;Milestones!$AB$160&amp;" "&amp;Milestones!$AC$160&amp;";  ","")&amp;IF(AND(EDATE($D74,Milestones!$AA$161)&lt;=AsOfDate,IF($R74=0,$X74,IF(AND($T74&lt;&gt;"",EDATE($D74,Milestones!$AA$161)&gt;=$T74),$W74,IF(AND($S74&lt;&gt;"",EDATE($D74,Milestones!$AA$161)&gt;=$S74),$V74,$U74)))=Milestones!$AB$161),UPPER(TEXT(EDATE($D74,Milestones!$AA$161),"dd mmm yy"))&amp;" "&amp;Milestones!$AB$161&amp;" "&amp;Milestones!$AC$161&amp;";  ","")&amp;IF(AND(EDATE($D74,Milestones!$AA$162)&lt;=AsOfDate,IF($R74=0,$X74,IF(AND($T74&lt;&gt;"",EDATE($D74,Milestones!$AA$162)&gt;=$T74),$W74,IF(AND($S74&lt;&gt;"",EDATE($D74,Milestones!$AA$162)&gt;=$S74),$V74,$U74)))=Milestones!$AB$162),UPPER(TEXT(EDATE($D74,Milestones!$AA$162),"dd mmm yy"))&amp;" "&amp;Milestones!$AB$162&amp;" "&amp;Milestones!$AC$162&amp;";  ","")&amp;IF(AND(EDATE($D74,Milestones!$AA$163)&lt;=AsOfDate,IF($R74=0,$X74,IF(AND($T74&lt;&gt;"",EDATE($D74,Milestones!$AA$163)&gt;=$T74),$W74,IF(AND($S74&lt;&gt;"",EDATE($D74,Milestones!$AA$163)&gt;=$S74),$V74,$U74)))=Milestones!$AB$163),UPPER(TEXT(EDATE($D74,Milestones!$AA$163),"dd mmm yy"))&amp;" "&amp;Milestones!$AB$163&amp;" "&amp;Milestones!$AC$163&amp;";  ","")&amp;IF(AND(EDATE($D74,Milestones!$AA$164)&lt;=AsOfDate,IF($R74=0,$X74,IF(AND($T74&lt;&gt;"",EDATE($D74,Milestones!$AA$164)&gt;=$T74),$W74,IF(AND($S74&lt;&gt;"",EDATE($D74,Milestones!$AA$164)&gt;=$S74),$V74,$U74)))=Milestones!$AB$164),UPPER(TEXT(EDATE($D74,Milestones!$AA$164),"dd mmm yy"))&amp;" "&amp;Milestones!$AB$164&amp;" "&amp;Milestones!$AC$164&amp;";  ","")&amp;IF(AND(EDATE($D74,Milestones!$AA$165)&lt;=AsOfDate,IF($R74=0,$X74,IF(AND($T74&lt;&gt;"",EDATE($D74,Milestones!$AA$165)&gt;=$T74),$W74,IF(AND($S74&lt;&gt;"",EDATE($D74,Milestones!$AA$165)&gt;=$S74),$V74,$U74)))=Milestones!$AB$165),UPPER(TEXT(EDATE($D74,Milestones!$AA$165),"dd mmm yy"))&amp;" "&amp;Milestones!$AB$165&amp;" "&amp;Milestones!$AC$165&amp;";  ","")&amp;IF(AND(EDATE($D74,Milestones!$AA$166)&lt;=AsOfDate,IF($R74=0,$X74,IF(AND($T74&lt;&gt;"",EDATE($D74,Milestones!$AA$166)&gt;=$T74),$W74,IF(AND($S74&lt;&gt;"",EDATE($D74,Milestones!$AA$166)&gt;=$S74),$V74,$U74)))=Milestones!$AB$166),UPPER(TEXT(EDATE($D74,Milestones!$AA$166),"dd mmm yy"))&amp;" "&amp;Milestones!$AB$166&amp;" "&amp;Milestones!$AC$166&amp;";  ","")&amp;IF(AND(EDATE($D74,Milestones!$AA$167)&lt;=AsOfDate,IF($R74=0,$X74,IF(AND($T74&lt;&gt;"",EDATE($D74,Milestones!$AA$167)&gt;=$T74),$W74,IF(AND($S74&lt;&gt;"",EDATE($D74,Milestones!$AA$167)&gt;=$S74),$V74,$U74)))=Milestones!$AB$167),UPPER(TEXT(EDATE($D74,Milestones!$AA$167),"dd mmm yy"))&amp;" "&amp;Milestones!$AB$167&amp;" "&amp;Milestones!$AC$167&amp;";  ","")&amp;IF(AND(EDATE($D74,Milestones!$AA$168)&lt;=AsOfDate,IF($R74=0,$X74,IF(AND($T74&lt;&gt;"",EDATE($D74,Milestones!$AA$168)&gt;=$T74),$W74,IF(AND($S74&lt;&gt;"",EDATE($D74,Milestones!$AA$168)&gt;=$S74),$V74,$U74)))=Milestones!$AB$168),UPPER(TEXT(EDATE($D74,Milestones!$AA$168),"dd mmm yy"))&amp;" "&amp;Milestones!$AB$168&amp;" "&amp;Milestones!$AC$168&amp;";  ","")&amp;IF(AND(EDATE($D74,Milestones!$AA$169)&lt;=AsOfDate,IF($R74=0,$X74,IF(AND($T74&lt;&gt;"",EDATE($D74,Milestones!$AA$169)&gt;=$T74),$W74,IF(AND($S74&lt;&gt;"",EDATE($D74,Milestones!$AA$169)&gt;=$S74),$V74,$U74)))=Milestones!$AB$169),UPPER(TEXT(EDATE($D74,Milestones!$AA$169),"dd mmm yy"))&amp;" "&amp;Milestones!$AB$169&amp;" "&amp;Milestones!$AC$169&amp;";  ","")&amp;IF(AND(EDATE($D74,Milestones!$AA$170)&lt;=AsOfDate,IF($R74=0,$X74,IF(AND($T74&lt;&gt;"",EDATE($D74,Milestones!$AA$170)&gt;=$T74),$W74,IF(AND($S74&lt;&gt;"",EDATE($D74,Milestones!$AA$170)&gt;=$S74),$V74,$U74)))=Milestones!$AB$170),UPPER(TEXT(EDATE($D74,Milestones!$AA$170),"dd mmm yy"))&amp;" "&amp;Milestones!$AB$170&amp;" "&amp;Milestones!$AC$170&amp;";  ","")&amp;IF(AND(EDATE($D74,Milestones!$AA$171)&lt;=AsOfDate,IF($R74=0,$X74,IF(AND($T74&lt;&gt;"",EDATE($D74,Milestones!$AA$171)&gt;=$T74),$W74,IF(AND($S74&lt;&gt;"",EDATE($D74,Milestones!$AA$171)&gt;=$S74),$V74,$U74)))=Milestones!$AB$171),UPPER(TEXT(EDATE($D74,Milestones!$AA$171),"dd mmm yy"))&amp;" "&amp;Milestones!$AB$171&amp;" "&amp;Milestones!$AC$171&amp;";  ","")&amp;IF(AND(EDATE($D74,Milestones!$AA$172)&lt;=AsOfDate,IF($R74=0,$X74,IF(AND($T74&lt;&gt;"",EDATE($D74,Milestones!$AA$172)&gt;=$T74),$W74,IF(AND($S74&lt;&gt;"",EDATE($D74,Milestones!$AA$172)&gt;=$S74),$V74,$U74)))=Milestones!$AB$172),UPPER(TEXT(EDATE($D74,Milestones!$AA$172),"dd mmm yy"))&amp;" "&amp;Milestones!$AB$172&amp;" "&amp;Milestones!$AC$172&amp;";  ","")&amp;IF(AND(EDATE($D74,Milestones!$AA$173)&lt;=AsOfDate,IF($R74=0,$X74,IF(AND($T74&lt;&gt;"",EDATE($D74,Milestones!$AA$173)&gt;=$T74),$W74,IF(AND($S74&lt;&gt;"",EDATE($D74,Milestones!$AA$173)&gt;=$S74),$V74,$U74)))=Milestones!$AB$173),UPPER(TEXT(EDATE($D74,Milestones!$AA$173),"dd mmm yy"))&amp;" "&amp;Milestones!$AB$173&amp;" "&amp;Milestones!$AC$173&amp;";  ","")&amp;IF(AND(EDATE($D74,Milestones!$AA$174)&lt;=AsOfDate,IF($R74=0,$X74,IF(AND($T74&lt;&gt;"",EDATE($D74,Milestones!$AA$174)&gt;=$T74),$W74,IF(AND($S74&lt;&gt;"",EDATE($D74,Milestones!$AA$174)&gt;=$S74),$V74,$U74)))=Milestones!$AB$174),UPPER(TEXT(EDATE($D74,Milestones!$AA$174),"dd mmm yy"))&amp;" "&amp;Milestones!$AB$174&amp;" "&amp;Milestones!$AC$174&amp;";  ","")&amp;IF(AND(EDATE($D74,Milestones!$AA$175)&lt;=AsOfDate,IF($R74=0,$X74,IF(AND($T74&lt;&gt;"",EDATE($D74,Milestones!$AA$175)&gt;=$T74),$W74,IF(AND($S74&lt;&gt;"",EDATE($D74,Milestones!$AA$175)&gt;=$S74),$V74,$U74)))=Milestones!$AB$175),UPPER(TEXT(EDATE($D74,Milestones!$AA$175),"dd mmm yy"))&amp;" "&amp;Milestones!$AB$175&amp;" "&amp;Milestones!$AC$175&amp;";  ","")&amp;IF(AND(EDATE($D74,Milestones!$AA$176)&lt;=AsOfDate,IF($R74=0,$X74,IF(AND($T74&lt;&gt;"",EDATE($D74,Milestones!$AA$176)&gt;=$T74),$W74,IF(AND($S74&lt;&gt;"",EDATE($D74,Milestones!$AA$176)&gt;=$S74),$V74,$U74)))=Milestones!$AB$176),UPPER(TEXT(EDATE($D74,Milestones!$AA$176),"dd mmm yy"))&amp;" "&amp;Milestones!$AB$176&amp;" "&amp;Milestones!$AC$176&amp;";  ","")&amp;IF(AND(EDATE($D74,Milestones!$AA$177)&lt;=AsOfDate,IF($R74=0,$X74,IF(AND($T74&lt;&gt;"",EDATE($D74,Milestones!$AA$177)&gt;=$T74),$W74,IF(AND($S74&lt;&gt;"",EDATE($D74,Milestones!$AA$177)&gt;=$S74),$V74,$U74)))=Milestones!$AB$177),UPPER(TEXT(EDATE($D74,Milestones!$AA$177),"dd mmm yy"))&amp;" "&amp;Milestones!$AB$177&amp;" "&amp;Milestones!$AC$177&amp;";  ","")&amp;IF(AND(EDATE($D74,Milestones!$AA$178)&lt;=AsOfDate,IF($R74=0,$X74,IF(AND($T74&lt;&gt;"",EDATE($D74,Milestones!$AA$178)&gt;=$T74),$W74,IF(AND($S74&lt;&gt;"",EDATE($D74,Milestones!$AA$178)&gt;=$S74),$V74,$U74)))=Milestones!$AB$178),UPPER(TEXT(EDATE($D74,Milestones!$AA$178),"dd mmm yy"))&amp;" "&amp;Milestones!$AB$178&amp;" "&amp;Milestones!$AC$178&amp;";  ","")&amp;IF(AND(EDATE($D74,Milestones!$AA$179)&lt;=AsOfDate,IF($R74=0,$X74,IF(AND($T74&lt;&gt;"",EDATE($D74,Milestones!$AA$179)&gt;=$T74),$W74,IF(AND($S74&lt;&gt;"",EDATE($D74,Milestones!$AA$179)&gt;=$S74),$V74,$U74)))=Milestones!$AB$179),UPPER(TEXT(EDATE($D74,Milestones!$AA$179),"dd mmm yy"))&amp;" "&amp;Milestones!$AB$179&amp;" "&amp;Milestones!$AC$179&amp;";  ",""))</f>
        <v/>
      </c>
      <c r="Q74" s="0" t="str">
        <f aca="false">IF(OR($A74="",$D74=""),"",IF(AND(EDATE($D74,Milestones!$AA$180)&lt;=AsOfDate,IF($R74=0,$X74,IF(AND($T74&lt;&gt;"",EDATE($D74,Milestones!$AA$180)&gt;=$T74),$W74,IF(AND($S74&lt;&gt;"",EDATE($D74,Milestones!$AA$180)&gt;=$S74),$V74,$U74)))=Milestones!$AB$180),UPPER(TEXT(EDATE($D74,Milestones!$AA$180),"dd mmm yy"))&amp;" "&amp;Milestones!$AB$180&amp;" "&amp;Milestones!$AC$180&amp;";  ","")&amp;IF(AND(EDATE($D74,Milestones!$AA$181)&lt;=AsOfDate,IF($R74=0,$X74,IF(AND($T74&lt;&gt;"",EDATE($D74,Milestones!$AA$181)&gt;=$T74),$W74,IF(AND($S74&lt;&gt;"",EDATE($D74,Milestones!$AA$181)&gt;=$S74),$V74,$U74)))=Milestones!$AB$181),UPPER(TEXT(EDATE($D74,Milestones!$AA$181),"dd mmm yy"))&amp;" "&amp;Milestones!$AB$181&amp;" "&amp;Milestones!$AC$181&amp;";  ","")&amp;IF(AND(EDATE($D74,Milestones!$AA$182)&lt;=AsOfDate,IF($R74=0,$X74,IF(AND($T74&lt;&gt;"",EDATE($D74,Milestones!$AA$182)&gt;=$T74),$W74,IF(AND($S74&lt;&gt;"",EDATE($D74,Milestones!$AA$182)&gt;=$S74),$V74,$U74)))=Milestones!$AB$182),UPPER(TEXT(EDATE($D74,Milestones!$AA$182),"dd mmm yy"))&amp;" "&amp;Milestones!$AB$182&amp;" "&amp;Milestones!$AC$182&amp;";  ","")&amp;IF(AND(EDATE($D74,Milestones!$AA$183)&lt;=AsOfDate,IF($R74=0,$X74,IF(AND($T74&lt;&gt;"",EDATE($D74,Milestones!$AA$183)&gt;=$T74),$W74,IF(AND($S74&lt;&gt;"",EDATE($D74,Milestones!$AA$183)&gt;=$S74),$V74,$U74)))=Milestones!$AB$183),UPPER(TEXT(EDATE($D74,Milestones!$AA$183),"dd mmm yy"))&amp;" "&amp;Milestones!$AB$183&amp;" "&amp;Milestones!$AC$183&amp;";  ","")&amp;IF(AND(EDATE($D74,Milestones!$AA$184)&lt;=AsOfDate,IF($R74=0,$X74,IF(AND($T74&lt;&gt;"",EDATE($D74,Milestones!$AA$184)&gt;=$T74),$W74,IF(AND($S74&lt;&gt;"",EDATE($D74,Milestones!$AA$184)&gt;=$S74),$V74,$U74)))=Milestones!$AB$184),UPPER(TEXT(EDATE($D74,Milestones!$AA$184),"dd mmm yy"))&amp;" "&amp;Milestones!$AB$184&amp;" "&amp;Milestones!$AC$184&amp;";  ","")&amp;IF(AND(EDATE($D74,Milestones!$AA$185)&lt;=AsOfDate,IF($R74=0,$X74,IF(AND($T74&lt;&gt;"",EDATE($D74,Milestones!$AA$185)&gt;=$T74),$W74,IF(AND($S74&lt;&gt;"",EDATE($D74,Milestones!$AA$185)&gt;=$S74),$V74,$U74)))=Milestones!$AB$185),UPPER(TEXT(EDATE($D74,Milestones!$AA$185),"dd mmm yy"))&amp;" "&amp;Milestones!$AB$185&amp;" "&amp;Milestones!$AC$185&amp;";  ","")&amp;IF(AND(EDATE($D74,Milestones!$AA$186)&lt;=AsOfDate,IF($R74=0,$X74,IF(AND($T74&lt;&gt;"",EDATE($D74,Milestones!$AA$186)&gt;=$T74),$W74,IF(AND($S74&lt;&gt;"",EDATE($D74,Milestones!$AA$186)&gt;=$S74),$V74,$U74)))=Milestones!$AB$186),UPPER(TEXT(EDATE($D74,Milestones!$AA$186),"dd mmm yy"))&amp;" "&amp;Milestones!$AB$186&amp;" "&amp;Milestones!$AC$186&amp;";  ","")&amp;IF(AND(EDATE($D74,Milestones!$AA$187)&lt;=AsOfDate,IF($R74=0,$X74,IF(AND($T74&lt;&gt;"",EDATE($D74,Milestones!$AA$187)&gt;=$T74),$W74,IF(AND($S74&lt;&gt;"",EDATE($D74,Milestones!$AA$187)&gt;=$S74),$V74,$U74)))=Milestones!$AB$187),UPPER(TEXT(EDATE($D74,Milestones!$AA$187),"dd mmm yy"))&amp;" "&amp;Milestones!$AB$187&amp;" "&amp;Milestones!$AC$187&amp;";  ","")&amp;IF(AND(EDATE($D74,Milestones!$AA$188)&lt;=AsOfDate,IF($R74=0,$X74,IF(AND($T74&lt;&gt;"",EDATE($D74,Milestones!$AA$188)&gt;=$T74),$W74,IF(AND($S74&lt;&gt;"",EDATE($D74,Milestones!$AA$188)&gt;=$S74),$V74,$U74)))=Milestones!$AB$188),UPPER(TEXT(EDATE($D74,Milestones!$AA$188),"dd mmm yy"))&amp;" "&amp;Milestones!$AB$188&amp;" "&amp;Milestones!$AC$188&amp;";  ","")&amp;IF(AND(EDATE($D74,Milestones!$AA$189)&lt;=AsOfDate,IF($R74=0,$X74,IF(AND($T74&lt;&gt;"",EDATE($D74,Milestones!$AA$189)&gt;=$T74),$W74,IF(AND($S74&lt;&gt;"",EDATE($D74,Milestones!$AA$189)&gt;=$S74),$V74,$U74)))=Milestones!$AB$189),UPPER(TEXT(EDATE($D74,Milestones!$AA$189),"dd mmm yy"))&amp;" "&amp;Milestones!$AB$189&amp;" "&amp;Milestones!$AC$189&amp;";  ","")&amp;IF(AND(EDATE($D74,Milestones!$AA$190)&lt;=AsOfDate,IF($R74=0,$X74,IF(AND($T74&lt;&gt;"",EDATE($D74,Milestones!$AA$190)&gt;=$T74),$W74,IF(AND($S74&lt;&gt;"",EDATE($D74,Milestones!$AA$190)&gt;=$S74),$V74,$U74)))=Milestones!$AB$190),UPPER(TEXT(EDATE($D74,Milestones!$AA$190),"dd mmm yy"))&amp;" "&amp;Milestones!$AB$190&amp;" "&amp;Milestones!$AC$190&amp;";  ","")&amp;IF(AND(EDATE($D74,Milestones!$AA$191)&lt;=AsOfDate,IF($R74=0,$X74,IF(AND($T74&lt;&gt;"",EDATE($D74,Milestones!$AA$191)&gt;=$T74),$W74,IF(AND($S74&lt;&gt;"",EDATE($D74,Milestones!$AA$191)&gt;=$S74),$V74,$U74)))=Milestones!$AB$191),UPPER(TEXT(EDATE($D74,Milestones!$AA$191),"dd mmm yy"))&amp;" "&amp;Milestones!$AB$191&amp;" "&amp;Milestones!$AC$191&amp;";  ","")&amp;IF(AND(EDATE($D74,Milestones!$AA$192)&lt;=AsOfDate,IF($R74=0,$X74,IF(AND($T74&lt;&gt;"",EDATE($D74,Milestones!$AA$192)&gt;=$T74),$W74,IF(AND($S74&lt;&gt;"",EDATE($D74,Milestones!$AA$192)&gt;=$S74),$V74,$U74)))=Milestones!$AB$192),UPPER(TEXT(EDATE($D74,Milestones!$AA$192),"dd mmm yy"))&amp;" "&amp;Milestones!$AB$192&amp;" "&amp;Milestones!$AC$192&amp;";  ","")&amp;IF(AND(EDATE($D74,Milestones!$AA$193)&lt;=AsOfDate,IF($R74=0,$X74,IF(AND($T74&lt;&gt;"",EDATE($D74,Milestones!$AA$193)&gt;=$T74),$W74,IF(AND($S74&lt;&gt;"",EDATE($D74,Milestones!$AA$193)&gt;=$S74),$V74,$U74)))=Milestones!$AB$193),UPPER(TEXT(EDATE($D74,Milestones!$AA$193),"dd mmm yy"))&amp;" "&amp;Milestones!$AB$193&amp;" "&amp;Milestones!$AC$193&amp;";  ","")&amp;IF(AND(EDATE($D74,Milestones!$AA$194)&lt;=AsOfDate,IF($R74=0,$X74,IF(AND($T74&lt;&gt;"",EDATE($D74,Milestones!$AA$194)&gt;=$T74),$W74,IF(AND($S74&lt;&gt;"",EDATE($D74,Milestones!$AA$194)&gt;=$S74),$V74,$U74)))=Milestones!$AB$194),UPPER(TEXT(EDATE($D74,Milestones!$AA$194),"dd mmm yy"))&amp;" "&amp;Milestones!$AB$194&amp;" "&amp;Milestones!$AC$194&amp;";  ","")&amp;IF(AND(EDATE($D74,Milestones!$AA$195)&lt;=AsOfDate,IF($R74=0,$X74,IF(AND($T74&lt;&gt;"",EDATE($D74,Milestones!$AA$195)&gt;=$T74),$W74,IF(AND($S74&lt;&gt;"",EDATE($D74,Milestones!$AA$195)&gt;=$S74),$V74,$U74)))=Milestones!$AB$195),UPPER(TEXT(EDATE($D74,Milestones!$AA$195),"dd mmm yy"))&amp;" "&amp;Milestones!$AB$195&amp;" "&amp;Milestones!$AC$195&amp;";  ","")&amp;IF(AND(EDATE($D74,Milestones!$AA$196)&lt;=AsOfDate,IF($R74=0,$X74,IF(AND($T74&lt;&gt;"",EDATE($D74,Milestones!$AA$196)&gt;=$T74),$W74,IF(AND($S74&lt;&gt;"",EDATE($D74,Milestones!$AA$196)&gt;=$S74),$V74,$U74)))=Milestones!$AB$196),UPPER(TEXT(EDATE($D74,Milestones!$AA$196),"dd mmm yy"))&amp;" "&amp;Milestones!$AB$196&amp;" "&amp;Milestones!$AC$196&amp;";  ","")&amp;IF(AND(EDATE($D74,Milestones!$AA$197)&lt;=AsOfDate,IF($R74=0,$X74,IF(AND($T74&lt;&gt;"",EDATE($D74,Milestones!$AA$197)&gt;=$T74),$W74,IF(AND($S74&lt;&gt;"",EDATE($D74,Milestones!$AA$197)&gt;=$S74),$V74,$U74)))=Milestones!$AB$197),UPPER(TEXT(EDATE($D74,Milestones!$AA$197),"dd mmm yy"))&amp;" "&amp;Milestones!$AB$197&amp;" "&amp;Milestones!$AC$197&amp;";  ","")&amp;IF(AND(EDATE($D74,Milestones!$AA$198)&lt;=AsOfDate,IF($R74=0,$X74,IF(AND($T74&lt;&gt;"",EDATE($D74,Milestones!$AA$198)&gt;=$T74),$W74,IF(AND($S74&lt;&gt;"",EDATE($D74,Milestones!$AA$198)&gt;=$S74),$V74,$U74)))=Milestones!$AB$198),UPPER(TEXT(EDATE($D74,Milestones!$AA$198),"dd mmm yy"))&amp;" "&amp;Milestones!$AB$198&amp;" "&amp;Milestones!$AC$198&amp;";  ","")&amp;IF(AND(EDATE($D74,Milestones!$AA$199)&lt;=AsOfDate,IF($R74=0,$X74,IF(AND($T74&lt;&gt;"",EDATE($D74,Milestones!$AA$199)&gt;=$T74),$W74,IF(AND($S74&lt;&gt;"",EDATE($D74,Milestones!$AA$199)&gt;=$S74),$V74,$U74)))=Milestones!$AB$199),UPPER(TEXT(EDATE($D74,Milestones!$AA$199),"dd mmm yy"))&amp;" "&amp;Milestones!$AB$199&amp;" "&amp;Milestones!$AC$199&amp;";  ",""))</f>
        <v/>
      </c>
      <c r="R74" s="33" t="n">
        <f aca="false">IF(Staff!$A74="","",Staff!$AI74)</f>
        <v>0</v>
      </c>
      <c r="S74" s="0" t="str">
        <f aca="false">IF(Staff!$A74="","",Staff!$AK74)</f>
        <v/>
      </c>
      <c r="T74" s="0" t="str">
        <f aca="false">IF(Staff!$A74="","",Staff!$AL74)</f>
        <v/>
      </c>
      <c r="U74" s="0" t="str">
        <f aca="false">IF(Staff!$A74="","",Staff!$AP74)</f>
        <v>None</v>
      </c>
      <c r="V74" s="0" t="str">
        <f aca="false">IF(Staff!$A74="","",Staff!$AQ74)</f>
        <v/>
      </c>
      <c r="W74" s="0" t="str">
        <f aca="false">IF(Staff!$A74="","",Staff!$AR74)</f>
        <v/>
      </c>
      <c r="X74" s="0" t="str">
        <f aca="false">IF(Staff!$A74="","",Staff!$AS74)</f>
        <v>None</v>
      </c>
    </row>
    <row r="75" customFormat="false" ht="15" hidden="false" customHeight="false" outlineLevel="0" collapsed="false">
      <c r="A75" s="19" t="str">
        <f aca="false">IF(Staff!$A75="","",Staff!$A75)</f>
        <v/>
      </c>
      <c r="B75" s="19" t="str">
        <f aca="false">IF(Staff!$A75="","",Staff!$B75)</f>
        <v/>
      </c>
      <c r="C75" s="19" t="str">
        <f aca="false">IF(Staff!$A75="","",Staff!$C75)</f>
        <v/>
      </c>
      <c r="D75" s="17" t="str">
        <f aca="false">IF(Staff!$A75="","",Staff!$AH75)</f>
        <v/>
      </c>
      <c r="E75" s="19" t="str">
        <f aca="false">IF(Staff!$A75="","",Staff!$O75)</f>
        <v/>
      </c>
      <c r="F75" s="19" t="str">
        <f aca="false">IF(E75="","",E75*HoursPerDay)</f>
        <v/>
      </c>
      <c r="G75" s="19" t="str">
        <f aca="false">IF(Staff!$A75="","",Staff!$AE75)</f>
        <v/>
      </c>
      <c r="H75" s="32" t="str">
        <f aca="false">IF($A75="","",I75&amp;J75&amp;K75&amp;L75&amp;M75&amp;N75&amp;O75&amp;P75&amp;Q75)</f>
        <v/>
      </c>
      <c r="I75" s="0" t="str">
        <f aca="false">IF(OR($A75="",$D75=""),"",IF(AND(EDATE($D75,Milestones!$AA$20)&lt;=AsOfDate,IF($R75=0,$X75,IF(AND($T75&lt;&gt;"",EDATE($D75,Milestones!$AA$20)&gt;=$T75),$W75,IF(AND($S75&lt;&gt;"",EDATE($D75,Milestones!$AA$20)&gt;=$S75),$V75,$U75)))=Milestones!$AB$20),UPPER(TEXT(EDATE($D75,Milestones!$AA$20),"dd mmm yy"))&amp;" "&amp;Milestones!$AB$20&amp;" "&amp;Milestones!$AC$20&amp;";  ","")&amp;IF(AND(EDATE($D75,Milestones!$AA$21)&lt;=AsOfDate,IF($R75=0,$X75,IF(AND($T75&lt;&gt;"",EDATE($D75,Milestones!$AA$21)&gt;=$T75),$W75,IF(AND($S75&lt;&gt;"",EDATE($D75,Milestones!$AA$21)&gt;=$S75),$V75,$U75)))=Milestones!$AB$21),UPPER(TEXT(EDATE($D75,Milestones!$AA$21),"dd mmm yy"))&amp;" "&amp;Milestones!$AB$21&amp;" "&amp;Milestones!$AC$21&amp;";  ","")&amp;IF(AND(EDATE($D75,Milestones!$AA$22)&lt;=AsOfDate,IF($R75=0,$X75,IF(AND($T75&lt;&gt;"",EDATE($D75,Milestones!$AA$22)&gt;=$T75),$W75,IF(AND($S75&lt;&gt;"",EDATE($D75,Milestones!$AA$22)&gt;=$S75),$V75,$U75)))=Milestones!$AB$22),UPPER(TEXT(EDATE($D75,Milestones!$AA$22),"dd mmm yy"))&amp;" "&amp;Milestones!$AB$22&amp;" "&amp;Milestones!$AC$22&amp;";  ","")&amp;IF(AND(EDATE($D75,Milestones!$AA$23)&lt;=AsOfDate,IF($R75=0,$X75,IF(AND($T75&lt;&gt;"",EDATE($D75,Milestones!$AA$23)&gt;=$T75),$W75,IF(AND($S75&lt;&gt;"",EDATE($D75,Milestones!$AA$23)&gt;=$S75),$V75,$U75)))=Milestones!$AB$23),UPPER(TEXT(EDATE($D75,Milestones!$AA$23),"dd mmm yy"))&amp;" "&amp;Milestones!$AB$23&amp;" "&amp;Milestones!$AC$23&amp;";  ","")&amp;IF(AND(EDATE($D75,Milestones!$AA$24)&lt;=AsOfDate,IF($R75=0,$X75,IF(AND($T75&lt;&gt;"",EDATE($D75,Milestones!$AA$24)&gt;=$T75),$W75,IF(AND($S75&lt;&gt;"",EDATE($D75,Milestones!$AA$24)&gt;=$S75),$V75,$U75)))=Milestones!$AB$24),UPPER(TEXT(EDATE($D75,Milestones!$AA$24),"dd mmm yy"))&amp;" "&amp;Milestones!$AB$24&amp;" "&amp;Milestones!$AC$24&amp;";  ","")&amp;IF(AND(EDATE($D75,Milestones!$AA$25)&lt;=AsOfDate,IF($R75=0,$X75,IF(AND($T75&lt;&gt;"",EDATE($D75,Milestones!$AA$25)&gt;=$T75),$W75,IF(AND($S75&lt;&gt;"",EDATE($D75,Milestones!$AA$25)&gt;=$S75),$V75,$U75)))=Milestones!$AB$25),UPPER(TEXT(EDATE($D75,Milestones!$AA$25),"dd mmm yy"))&amp;" "&amp;Milestones!$AB$25&amp;" "&amp;Milestones!$AC$25&amp;";  ","")&amp;IF(AND(EDATE($D75,Milestones!$AA$26)&lt;=AsOfDate,IF($R75=0,$X75,IF(AND($T75&lt;&gt;"",EDATE($D75,Milestones!$AA$26)&gt;=$T75),$W75,IF(AND($S75&lt;&gt;"",EDATE($D75,Milestones!$AA$26)&gt;=$S75),$V75,$U75)))=Milestones!$AB$26),UPPER(TEXT(EDATE($D75,Milestones!$AA$26),"dd mmm yy"))&amp;" "&amp;Milestones!$AB$26&amp;" "&amp;Milestones!$AC$26&amp;";  ","")&amp;IF(AND(EDATE($D75,Milestones!$AA$27)&lt;=AsOfDate,IF($R75=0,$X75,IF(AND($T75&lt;&gt;"",EDATE($D75,Milestones!$AA$27)&gt;=$T75),$W75,IF(AND($S75&lt;&gt;"",EDATE($D75,Milestones!$AA$27)&gt;=$S75),$V75,$U75)))=Milestones!$AB$27),UPPER(TEXT(EDATE($D75,Milestones!$AA$27),"dd mmm yy"))&amp;" "&amp;Milestones!$AB$27&amp;" "&amp;Milestones!$AC$27&amp;";  ","")&amp;IF(AND(EDATE($D75,Milestones!$AA$28)&lt;=AsOfDate,IF($R75=0,$X75,IF(AND($T75&lt;&gt;"",EDATE($D75,Milestones!$AA$28)&gt;=$T75),$W75,IF(AND($S75&lt;&gt;"",EDATE($D75,Milestones!$AA$28)&gt;=$S75),$V75,$U75)))=Milestones!$AB$28),UPPER(TEXT(EDATE($D75,Milestones!$AA$28),"dd mmm yy"))&amp;" "&amp;Milestones!$AB$28&amp;" "&amp;Milestones!$AC$28&amp;";  ","")&amp;IF(AND(EDATE($D75,Milestones!$AA$29)&lt;=AsOfDate,IF($R75=0,$X75,IF(AND($T75&lt;&gt;"",EDATE($D75,Milestones!$AA$29)&gt;=$T75),$W75,IF(AND($S75&lt;&gt;"",EDATE($D75,Milestones!$AA$29)&gt;=$S75),$V75,$U75)))=Milestones!$AB$29),UPPER(TEXT(EDATE($D75,Milestones!$AA$29),"dd mmm yy"))&amp;" "&amp;Milestones!$AB$29&amp;" "&amp;Milestones!$AC$29&amp;";  ","")&amp;IF(AND(EDATE($D75,Milestones!$AA$30)&lt;=AsOfDate,IF($R75=0,$X75,IF(AND($T75&lt;&gt;"",EDATE($D75,Milestones!$AA$30)&gt;=$T75),$W75,IF(AND($S75&lt;&gt;"",EDATE($D75,Milestones!$AA$30)&gt;=$S75),$V75,$U75)))=Milestones!$AB$30),UPPER(TEXT(EDATE($D75,Milestones!$AA$30),"dd mmm yy"))&amp;" "&amp;Milestones!$AB$30&amp;" "&amp;Milestones!$AC$30&amp;";  ","")&amp;IF(AND(EDATE($D75,Milestones!$AA$31)&lt;=AsOfDate,IF($R75=0,$X75,IF(AND($T75&lt;&gt;"",EDATE($D75,Milestones!$AA$31)&gt;=$T75),$W75,IF(AND($S75&lt;&gt;"",EDATE($D75,Milestones!$AA$31)&gt;=$S75),$V75,$U75)))=Milestones!$AB$31),UPPER(TEXT(EDATE($D75,Milestones!$AA$31),"dd mmm yy"))&amp;" "&amp;Milestones!$AB$31&amp;" "&amp;Milestones!$AC$31&amp;";  ","")&amp;IF(AND(EDATE($D75,Milestones!$AA$32)&lt;=AsOfDate,IF($R75=0,$X75,IF(AND($T75&lt;&gt;"",EDATE($D75,Milestones!$AA$32)&gt;=$T75),$W75,IF(AND($S75&lt;&gt;"",EDATE($D75,Milestones!$AA$32)&gt;=$S75),$V75,$U75)))=Milestones!$AB$32),UPPER(TEXT(EDATE($D75,Milestones!$AA$32),"dd mmm yy"))&amp;" "&amp;Milestones!$AB$32&amp;" "&amp;Milestones!$AC$32&amp;";  ","")&amp;IF(AND(EDATE($D75,Milestones!$AA$33)&lt;=AsOfDate,IF($R75=0,$X75,IF(AND($T75&lt;&gt;"",EDATE($D75,Milestones!$AA$33)&gt;=$T75),$W75,IF(AND($S75&lt;&gt;"",EDATE($D75,Milestones!$AA$33)&gt;=$S75),$V75,$U75)))=Milestones!$AB$33),UPPER(TEXT(EDATE($D75,Milestones!$AA$33),"dd mmm yy"))&amp;" "&amp;Milestones!$AB$33&amp;" "&amp;Milestones!$AC$33&amp;";  ","")&amp;IF(AND(EDATE($D75,Milestones!$AA$34)&lt;=AsOfDate,IF($R75=0,$X75,IF(AND($T75&lt;&gt;"",EDATE($D75,Milestones!$AA$34)&gt;=$T75),$W75,IF(AND($S75&lt;&gt;"",EDATE($D75,Milestones!$AA$34)&gt;=$S75),$V75,$U75)))=Milestones!$AB$34),UPPER(TEXT(EDATE($D75,Milestones!$AA$34),"dd mmm yy"))&amp;" "&amp;Milestones!$AB$34&amp;" "&amp;Milestones!$AC$34&amp;";  ","")&amp;IF(AND(EDATE($D75,Milestones!$AA$35)&lt;=AsOfDate,IF($R75=0,$X75,IF(AND($T75&lt;&gt;"",EDATE($D75,Milestones!$AA$35)&gt;=$T75),$W75,IF(AND($S75&lt;&gt;"",EDATE($D75,Milestones!$AA$35)&gt;=$S75),$V75,$U75)))=Milestones!$AB$35),UPPER(TEXT(EDATE($D75,Milestones!$AA$35),"dd mmm yy"))&amp;" "&amp;Milestones!$AB$35&amp;" "&amp;Milestones!$AC$35&amp;";  ","")&amp;IF(AND(EDATE($D75,Milestones!$AA$36)&lt;=AsOfDate,IF($R75=0,$X75,IF(AND($T75&lt;&gt;"",EDATE($D75,Milestones!$AA$36)&gt;=$T75),$W75,IF(AND($S75&lt;&gt;"",EDATE($D75,Milestones!$AA$36)&gt;=$S75),$V75,$U75)))=Milestones!$AB$36),UPPER(TEXT(EDATE($D75,Milestones!$AA$36),"dd mmm yy"))&amp;" "&amp;Milestones!$AB$36&amp;" "&amp;Milestones!$AC$36&amp;";  ","")&amp;IF(AND(EDATE($D75,Milestones!$AA$37)&lt;=AsOfDate,IF($R75=0,$X75,IF(AND($T75&lt;&gt;"",EDATE($D75,Milestones!$AA$37)&gt;=$T75),$W75,IF(AND($S75&lt;&gt;"",EDATE($D75,Milestones!$AA$37)&gt;=$S75),$V75,$U75)))=Milestones!$AB$37),UPPER(TEXT(EDATE($D75,Milestones!$AA$37),"dd mmm yy"))&amp;" "&amp;Milestones!$AB$37&amp;" "&amp;Milestones!$AC$37&amp;";  ","")&amp;IF(AND(EDATE($D75,Milestones!$AA$38)&lt;=AsOfDate,IF($R75=0,$X75,IF(AND($T75&lt;&gt;"",EDATE($D75,Milestones!$AA$38)&gt;=$T75),$W75,IF(AND($S75&lt;&gt;"",EDATE($D75,Milestones!$AA$38)&gt;=$S75),$V75,$U75)))=Milestones!$AB$38),UPPER(TEXT(EDATE($D75,Milestones!$AA$38),"dd mmm yy"))&amp;" "&amp;Milestones!$AB$38&amp;" "&amp;Milestones!$AC$38&amp;";  ","")&amp;IF(AND(EDATE($D75,Milestones!$AA$39)&lt;=AsOfDate,IF($R75=0,$X75,IF(AND($T75&lt;&gt;"",EDATE($D75,Milestones!$AA$39)&gt;=$T75),$W75,IF(AND($S75&lt;&gt;"",EDATE($D75,Milestones!$AA$39)&gt;=$S75),$V75,$U75)))=Milestones!$AB$39),UPPER(TEXT(EDATE($D75,Milestones!$AA$39),"dd mmm yy"))&amp;" "&amp;Milestones!$AB$39&amp;" "&amp;Milestones!$AC$39&amp;";  ",""))</f>
        <v/>
      </c>
      <c r="J75" s="0" t="str">
        <f aca="false">IF(OR($A75="",$D75=""),"",IF(AND(EDATE($D75,Milestones!$AA$40)&lt;=AsOfDate,IF($R75=0,$X75,IF(AND($T75&lt;&gt;"",EDATE($D75,Milestones!$AA$40)&gt;=$T75),$W75,IF(AND($S75&lt;&gt;"",EDATE($D75,Milestones!$AA$40)&gt;=$S75),$V75,$U75)))=Milestones!$AB$40),UPPER(TEXT(EDATE($D75,Milestones!$AA$40),"dd mmm yy"))&amp;" "&amp;Milestones!$AB$40&amp;" "&amp;Milestones!$AC$40&amp;";  ","")&amp;IF(AND(EDATE($D75,Milestones!$AA$41)&lt;=AsOfDate,IF($R75=0,$X75,IF(AND($T75&lt;&gt;"",EDATE($D75,Milestones!$AA$41)&gt;=$T75),$W75,IF(AND($S75&lt;&gt;"",EDATE($D75,Milestones!$AA$41)&gt;=$S75),$V75,$U75)))=Milestones!$AB$41),UPPER(TEXT(EDATE($D75,Milestones!$AA$41),"dd mmm yy"))&amp;" "&amp;Milestones!$AB$41&amp;" "&amp;Milestones!$AC$41&amp;";  ","")&amp;IF(AND(EDATE($D75,Milestones!$AA$42)&lt;=AsOfDate,IF($R75=0,$X75,IF(AND($T75&lt;&gt;"",EDATE($D75,Milestones!$AA$42)&gt;=$T75),$W75,IF(AND($S75&lt;&gt;"",EDATE($D75,Milestones!$AA$42)&gt;=$S75),$V75,$U75)))=Milestones!$AB$42),UPPER(TEXT(EDATE($D75,Milestones!$AA$42),"dd mmm yy"))&amp;" "&amp;Milestones!$AB$42&amp;" "&amp;Milestones!$AC$42&amp;";  ","")&amp;IF(AND(EDATE($D75,Milestones!$AA$43)&lt;=AsOfDate,IF($R75=0,$X75,IF(AND($T75&lt;&gt;"",EDATE($D75,Milestones!$AA$43)&gt;=$T75),$W75,IF(AND($S75&lt;&gt;"",EDATE($D75,Milestones!$AA$43)&gt;=$S75),$V75,$U75)))=Milestones!$AB$43),UPPER(TEXT(EDATE($D75,Milestones!$AA$43),"dd mmm yy"))&amp;" "&amp;Milestones!$AB$43&amp;" "&amp;Milestones!$AC$43&amp;";  ","")&amp;IF(AND(EDATE($D75,Milestones!$AA$44)&lt;=AsOfDate,IF($R75=0,$X75,IF(AND($T75&lt;&gt;"",EDATE($D75,Milestones!$AA$44)&gt;=$T75),$W75,IF(AND($S75&lt;&gt;"",EDATE($D75,Milestones!$AA$44)&gt;=$S75),$V75,$U75)))=Milestones!$AB$44),UPPER(TEXT(EDATE($D75,Milestones!$AA$44),"dd mmm yy"))&amp;" "&amp;Milestones!$AB$44&amp;" "&amp;Milestones!$AC$44&amp;";  ","")&amp;IF(AND(EDATE($D75,Milestones!$AA$45)&lt;=AsOfDate,IF($R75=0,$X75,IF(AND($T75&lt;&gt;"",EDATE($D75,Milestones!$AA$45)&gt;=$T75),$W75,IF(AND($S75&lt;&gt;"",EDATE($D75,Milestones!$AA$45)&gt;=$S75),$V75,$U75)))=Milestones!$AB$45),UPPER(TEXT(EDATE($D75,Milestones!$AA$45),"dd mmm yy"))&amp;" "&amp;Milestones!$AB$45&amp;" "&amp;Milestones!$AC$45&amp;";  ","")&amp;IF(AND(EDATE($D75,Milestones!$AA$46)&lt;=AsOfDate,IF($R75=0,$X75,IF(AND($T75&lt;&gt;"",EDATE($D75,Milestones!$AA$46)&gt;=$T75),$W75,IF(AND($S75&lt;&gt;"",EDATE($D75,Milestones!$AA$46)&gt;=$S75),$V75,$U75)))=Milestones!$AB$46),UPPER(TEXT(EDATE($D75,Milestones!$AA$46),"dd mmm yy"))&amp;" "&amp;Milestones!$AB$46&amp;" "&amp;Milestones!$AC$46&amp;";  ","")&amp;IF(AND(EDATE($D75,Milestones!$AA$47)&lt;=AsOfDate,IF($R75=0,$X75,IF(AND($T75&lt;&gt;"",EDATE($D75,Milestones!$AA$47)&gt;=$T75),$W75,IF(AND($S75&lt;&gt;"",EDATE($D75,Milestones!$AA$47)&gt;=$S75),$V75,$U75)))=Milestones!$AB$47),UPPER(TEXT(EDATE($D75,Milestones!$AA$47),"dd mmm yy"))&amp;" "&amp;Milestones!$AB$47&amp;" "&amp;Milestones!$AC$47&amp;";  ","")&amp;IF(AND(EDATE($D75,Milestones!$AA$48)&lt;=AsOfDate,IF($R75=0,$X75,IF(AND($T75&lt;&gt;"",EDATE($D75,Milestones!$AA$48)&gt;=$T75),$W75,IF(AND($S75&lt;&gt;"",EDATE($D75,Milestones!$AA$48)&gt;=$S75),$V75,$U75)))=Milestones!$AB$48),UPPER(TEXT(EDATE($D75,Milestones!$AA$48),"dd mmm yy"))&amp;" "&amp;Milestones!$AB$48&amp;" "&amp;Milestones!$AC$48&amp;";  ","")&amp;IF(AND(EDATE($D75,Milestones!$AA$49)&lt;=AsOfDate,IF($R75=0,$X75,IF(AND($T75&lt;&gt;"",EDATE($D75,Milestones!$AA$49)&gt;=$T75),$W75,IF(AND($S75&lt;&gt;"",EDATE($D75,Milestones!$AA$49)&gt;=$S75),$V75,$U75)))=Milestones!$AB$49),UPPER(TEXT(EDATE($D75,Milestones!$AA$49),"dd mmm yy"))&amp;" "&amp;Milestones!$AB$49&amp;" "&amp;Milestones!$AC$49&amp;";  ","")&amp;IF(AND(EDATE($D75,Milestones!$AA$50)&lt;=AsOfDate,IF($R75=0,$X75,IF(AND($T75&lt;&gt;"",EDATE($D75,Milestones!$AA$50)&gt;=$T75),$W75,IF(AND($S75&lt;&gt;"",EDATE($D75,Milestones!$AA$50)&gt;=$S75),$V75,$U75)))=Milestones!$AB$50),UPPER(TEXT(EDATE($D75,Milestones!$AA$50),"dd mmm yy"))&amp;" "&amp;Milestones!$AB$50&amp;" "&amp;Milestones!$AC$50&amp;";  ","")&amp;IF(AND(EDATE($D75,Milestones!$AA$51)&lt;=AsOfDate,IF($R75=0,$X75,IF(AND($T75&lt;&gt;"",EDATE($D75,Milestones!$AA$51)&gt;=$T75),$W75,IF(AND($S75&lt;&gt;"",EDATE($D75,Milestones!$AA$51)&gt;=$S75),$V75,$U75)))=Milestones!$AB$51),UPPER(TEXT(EDATE($D75,Milestones!$AA$51),"dd mmm yy"))&amp;" "&amp;Milestones!$AB$51&amp;" "&amp;Milestones!$AC$51&amp;";  ","")&amp;IF(AND(EDATE($D75,Milestones!$AA$52)&lt;=AsOfDate,IF($R75=0,$X75,IF(AND($T75&lt;&gt;"",EDATE($D75,Milestones!$AA$52)&gt;=$T75),$W75,IF(AND($S75&lt;&gt;"",EDATE($D75,Milestones!$AA$52)&gt;=$S75),$V75,$U75)))=Milestones!$AB$52),UPPER(TEXT(EDATE($D75,Milestones!$AA$52),"dd mmm yy"))&amp;" "&amp;Milestones!$AB$52&amp;" "&amp;Milestones!$AC$52&amp;";  ","")&amp;IF(AND(EDATE($D75,Milestones!$AA$53)&lt;=AsOfDate,IF($R75=0,$X75,IF(AND($T75&lt;&gt;"",EDATE($D75,Milestones!$AA$53)&gt;=$T75),$W75,IF(AND($S75&lt;&gt;"",EDATE($D75,Milestones!$AA$53)&gt;=$S75),$V75,$U75)))=Milestones!$AB$53),UPPER(TEXT(EDATE($D75,Milestones!$AA$53),"dd mmm yy"))&amp;" "&amp;Milestones!$AB$53&amp;" "&amp;Milestones!$AC$53&amp;";  ","")&amp;IF(AND(EDATE($D75,Milestones!$AA$54)&lt;=AsOfDate,IF($R75=0,$X75,IF(AND($T75&lt;&gt;"",EDATE($D75,Milestones!$AA$54)&gt;=$T75),$W75,IF(AND($S75&lt;&gt;"",EDATE($D75,Milestones!$AA$54)&gt;=$S75),$V75,$U75)))=Milestones!$AB$54),UPPER(TEXT(EDATE($D75,Milestones!$AA$54),"dd mmm yy"))&amp;" "&amp;Milestones!$AB$54&amp;" "&amp;Milestones!$AC$54&amp;";  ","")&amp;IF(AND(EDATE($D75,Milestones!$AA$55)&lt;=AsOfDate,IF($R75=0,$X75,IF(AND($T75&lt;&gt;"",EDATE($D75,Milestones!$AA$55)&gt;=$T75),$W75,IF(AND($S75&lt;&gt;"",EDATE($D75,Milestones!$AA$55)&gt;=$S75),$V75,$U75)))=Milestones!$AB$55),UPPER(TEXT(EDATE($D75,Milestones!$AA$55),"dd mmm yy"))&amp;" "&amp;Milestones!$AB$55&amp;" "&amp;Milestones!$AC$55&amp;";  ","")&amp;IF(AND(EDATE($D75,Milestones!$AA$56)&lt;=AsOfDate,IF($R75=0,$X75,IF(AND($T75&lt;&gt;"",EDATE($D75,Milestones!$AA$56)&gt;=$T75),$W75,IF(AND($S75&lt;&gt;"",EDATE($D75,Milestones!$AA$56)&gt;=$S75),$V75,$U75)))=Milestones!$AB$56),UPPER(TEXT(EDATE($D75,Milestones!$AA$56),"dd mmm yy"))&amp;" "&amp;Milestones!$AB$56&amp;" "&amp;Milestones!$AC$56&amp;";  ","")&amp;IF(AND(EDATE($D75,Milestones!$AA$57)&lt;=AsOfDate,IF($R75=0,$X75,IF(AND($T75&lt;&gt;"",EDATE($D75,Milestones!$AA$57)&gt;=$T75),$W75,IF(AND($S75&lt;&gt;"",EDATE($D75,Milestones!$AA$57)&gt;=$S75),$V75,$U75)))=Milestones!$AB$57),UPPER(TEXT(EDATE($D75,Milestones!$AA$57),"dd mmm yy"))&amp;" "&amp;Milestones!$AB$57&amp;" "&amp;Milestones!$AC$57&amp;";  ","")&amp;IF(AND(EDATE($D75,Milestones!$AA$58)&lt;=AsOfDate,IF($R75=0,$X75,IF(AND($T75&lt;&gt;"",EDATE($D75,Milestones!$AA$58)&gt;=$T75),$W75,IF(AND($S75&lt;&gt;"",EDATE($D75,Milestones!$AA$58)&gt;=$S75),$V75,$U75)))=Milestones!$AB$58),UPPER(TEXT(EDATE($D75,Milestones!$AA$58),"dd mmm yy"))&amp;" "&amp;Milestones!$AB$58&amp;" "&amp;Milestones!$AC$58&amp;";  ","")&amp;IF(AND(EDATE($D75,Milestones!$AA$59)&lt;=AsOfDate,IF($R75=0,$X75,IF(AND($T75&lt;&gt;"",EDATE($D75,Milestones!$AA$59)&gt;=$T75),$W75,IF(AND($S75&lt;&gt;"",EDATE($D75,Milestones!$AA$59)&gt;=$S75),$V75,$U75)))=Milestones!$AB$59),UPPER(TEXT(EDATE($D75,Milestones!$AA$59),"dd mmm yy"))&amp;" "&amp;Milestones!$AB$59&amp;" "&amp;Milestones!$AC$59&amp;";  ",""))</f>
        <v/>
      </c>
      <c r="K75" s="0" t="str">
        <f aca="false">IF(OR($A75="",$D75=""),"",IF(AND(EDATE($D75,Milestones!$AA$60)&lt;=AsOfDate,IF($R75=0,$X75,IF(AND($T75&lt;&gt;"",EDATE($D75,Milestones!$AA$60)&gt;=$T75),$W75,IF(AND($S75&lt;&gt;"",EDATE($D75,Milestones!$AA$60)&gt;=$S75),$V75,$U75)))=Milestones!$AB$60),UPPER(TEXT(EDATE($D75,Milestones!$AA$60),"dd mmm yy"))&amp;" "&amp;Milestones!$AB$60&amp;" "&amp;Milestones!$AC$60&amp;";  ","")&amp;IF(AND(EDATE($D75,Milestones!$AA$61)&lt;=AsOfDate,IF($R75=0,$X75,IF(AND($T75&lt;&gt;"",EDATE($D75,Milestones!$AA$61)&gt;=$T75),$W75,IF(AND($S75&lt;&gt;"",EDATE($D75,Milestones!$AA$61)&gt;=$S75),$V75,$U75)))=Milestones!$AB$61),UPPER(TEXT(EDATE($D75,Milestones!$AA$61),"dd mmm yy"))&amp;" "&amp;Milestones!$AB$61&amp;" "&amp;Milestones!$AC$61&amp;";  ","")&amp;IF(AND(EDATE($D75,Milestones!$AA$62)&lt;=AsOfDate,IF($R75=0,$X75,IF(AND($T75&lt;&gt;"",EDATE($D75,Milestones!$AA$62)&gt;=$T75),$W75,IF(AND($S75&lt;&gt;"",EDATE($D75,Milestones!$AA$62)&gt;=$S75),$V75,$U75)))=Milestones!$AB$62),UPPER(TEXT(EDATE($D75,Milestones!$AA$62),"dd mmm yy"))&amp;" "&amp;Milestones!$AB$62&amp;" "&amp;Milestones!$AC$62&amp;";  ","")&amp;IF(AND(EDATE($D75,Milestones!$AA$63)&lt;=AsOfDate,IF($R75=0,$X75,IF(AND($T75&lt;&gt;"",EDATE($D75,Milestones!$AA$63)&gt;=$T75),$W75,IF(AND($S75&lt;&gt;"",EDATE($D75,Milestones!$AA$63)&gt;=$S75),$V75,$U75)))=Milestones!$AB$63),UPPER(TEXT(EDATE($D75,Milestones!$AA$63),"dd mmm yy"))&amp;" "&amp;Milestones!$AB$63&amp;" "&amp;Milestones!$AC$63&amp;";  ","")&amp;IF(AND(EDATE($D75,Milestones!$AA$64)&lt;=AsOfDate,IF($R75=0,$X75,IF(AND($T75&lt;&gt;"",EDATE($D75,Milestones!$AA$64)&gt;=$T75),$W75,IF(AND($S75&lt;&gt;"",EDATE($D75,Milestones!$AA$64)&gt;=$S75),$V75,$U75)))=Milestones!$AB$64),UPPER(TEXT(EDATE($D75,Milestones!$AA$64),"dd mmm yy"))&amp;" "&amp;Milestones!$AB$64&amp;" "&amp;Milestones!$AC$64&amp;";  ","")&amp;IF(AND(EDATE($D75,Milestones!$AA$65)&lt;=AsOfDate,IF($R75=0,$X75,IF(AND($T75&lt;&gt;"",EDATE($D75,Milestones!$AA$65)&gt;=$T75),$W75,IF(AND($S75&lt;&gt;"",EDATE($D75,Milestones!$AA$65)&gt;=$S75),$V75,$U75)))=Milestones!$AB$65),UPPER(TEXT(EDATE($D75,Milestones!$AA$65),"dd mmm yy"))&amp;" "&amp;Milestones!$AB$65&amp;" "&amp;Milestones!$AC$65&amp;";  ","")&amp;IF(AND(EDATE($D75,Milestones!$AA$66)&lt;=AsOfDate,IF($R75=0,$X75,IF(AND($T75&lt;&gt;"",EDATE($D75,Milestones!$AA$66)&gt;=$T75),$W75,IF(AND($S75&lt;&gt;"",EDATE($D75,Milestones!$AA$66)&gt;=$S75),$V75,$U75)))=Milestones!$AB$66),UPPER(TEXT(EDATE($D75,Milestones!$AA$66),"dd mmm yy"))&amp;" "&amp;Milestones!$AB$66&amp;" "&amp;Milestones!$AC$66&amp;";  ","")&amp;IF(AND(EDATE($D75,Milestones!$AA$67)&lt;=AsOfDate,IF($R75=0,$X75,IF(AND($T75&lt;&gt;"",EDATE($D75,Milestones!$AA$67)&gt;=$T75),$W75,IF(AND($S75&lt;&gt;"",EDATE($D75,Milestones!$AA$67)&gt;=$S75),$V75,$U75)))=Milestones!$AB$67),UPPER(TEXT(EDATE($D75,Milestones!$AA$67),"dd mmm yy"))&amp;" "&amp;Milestones!$AB$67&amp;" "&amp;Milestones!$AC$67&amp;";  ","")&amp;IF(AND(EDATE($D75,Milestones!$AA$68)&lt;=AsOfDate,IF($R75=0,$X75,IF(AND($T75&lt;&gt;"",EDATE($D75,Milestones!$AA$68)&gt;=$T75),$W75,IF(AND($S75&lt;&gt;"",EDATE($D75,Milestones!$AA$68)&gt;=$S75),$V75,$U75)))=Milestones!$AB$68),UPPER(TEXT(EDATE($D75,Milestones!$AA$68),"dd mmm yy"))&amp;" "&amp;Milestones!$AB$68&amp;" "&amp;Milestones!$AC$68&amp;";  ","")&amp;IF(AND(EDATE($D75,Milestones!$AA$69)&lt;=AsOfDate,IF($R75=0,$X75,IF(AND($T75&lt;&gt;"",EDATE($D75,Milestones!$AA$69)&gt;=$T75),$W75,IF(AND($S75&lt;&gt;"",EDATE($D75,Milestones!$AA$69)&gt;=$S75),$V75,$U75)))=Milestones!$AB$69),UPPER(TEXT(EDATE($D75,Milestones!$AA$69),"dd mmm yy"))&amp;" "&amp;Milestones!$AB$69&amp;" "&amp;Milestones!$AC$69&amp;";  ","")&amp;IF(AND(EDATE($D75,Milestones!$AA$70)&lt;=AsOfDate,IF($R75=0,$X75,IF(AND($T75&lt;&gt;"",EDATE($D75,Milestones!$AA$70)&gt;=$T75),$W75,IF(AND($S75&lt;&gt;"",EDATE($D75,Milestones!$AA$70)&gt;=$S75),$V75,$U75)))=Milestones!$AB$70),UPPER(TEXT(EDATE($D75,Milestones!$AA$70),"dd mmm yy"))&amp;" "&amp;Milestones!$AB$70&amp;" "&amp;Milestones!$AC$70&amp;";  ","")&amp;IF(AND(EDATE($D75,Milestones!$AA$71)&lt;=AsOfDate,IF($R75=0,$X75,IF(AND($T75&lt;&gt;"",EDATE($D75,Milestones!$AA$71)&gt;=$T75),$W75,IF(AND($S75&lt;&gt;"",EDATE($D75,Milestones!$AA$71)&gt;=$S75),$V75,$U75)))=Milestones!$AB$71),UPPER(TEXT(EDATE($D75,Milestones!$AA$71),"dd mmm yy"))&amp;" "&amp;Milestones!$AB$71&amp;" "&amp;Milestones!$AC$71&amp;";  ","")&amp;IF(AND(EDATE($D75,Milestones!$AA$72)&lt;=AsOfDate,IF($R75=0,$X75,IF(AND($T75&lt;&gt;"",EDATE($D75,Milestones!$AA$72)&gt;=$T75),$W75,IF(AND($S75&lt;&gt;"",EDATE($D75,Milestones!$AA$72)&gt;=$S75),$V75,$U75)))=Milestones!$AB$72),UPPER(TEXT(EDATE($D75,Milestones!$AA$72),"dd mmm yy"))&amp;" "&amp;Milestones!$AB$72&amp;" "&amp;Milestones!$AC$72&amp;";  ","")&amp;IF(AND(EDATE($D75,Milestones!$AA$73)&lt;=AsOfDate,IF($R75=0,$X75,IF(AND($T75&lt;&gt;"",EDATE($D75,Milestones!$AA$73)&gt;=$T75),$W75,IF(AND($S75&lt;&gt;"",EDATE($D75,Milestones!$AA$73)&gt;=$S75),$V75,$U75)))=Milestones!$AB$73),UPPER(TEXT(EDATE($D75,Milestones!$AA$73),"dd mmm yy"))&amp;" "&amp;Milestones!$AB$73&amp;" "&amp;Milestones!$AC$73&amp;";  ","")&amp;IF(AND(EDATE($D75,Milestones!$AA$74)&lt;=AsOfDate,IF($R75=0,$X75,IF(AND($T75&lt;&gt;"",EDATE($D75,Milestones!$AA$74)&gt;=$T75),$W75,IF(AND($S75&lt;&gt;"",EDATE($D75,Milestones!$AA$74)&gt;=$S75),$V75,$U75)))=Milestones!$AB$74),UPPER(TEXT(EDATE($D75,Milestones!$AA$74),"dd mmm yy"))&amp;" "&amp;Milestones!$AB$74&amp;" "&amp;Milestones!$AC$74&amp;";  ","")&amp;IF(AND(EDATE($D75,Milestones!$AA$75)&lt;=AsOfDate,IF($R75=0,$X75,IF(AND($T75&lt;&gt;"",EDATE($D75,Milestones!$AA$75)&gt;=$T75),$W75,IF(AND($S75&lt;&gt;"",EDATE($D75,Milestones!$AA$75)&gt;=$S75),$V75,$U75)))=Milestones!$AB$75),UPPER(TEXT(EDATE($D75,Milestones!$AA$75),"dd mmm yy"))&amp;" "&amp;Milestones!$AB$75&amp;" "&amp;Milestones!$AC$75&amp;";  ","")&amp;IF(AND(EDATE($D75,Milestones!$AA$76)&lt;=AsOfDate,IF($R75=0,$X75,IF(AND($T75&lt;&gt;"",EDATE($D75,Milestones!$AA$76)&gt;=$T75),$W75,IF(AND($S75&lt;&gt;"",EDATE($D75,Milestones!$AA$76)&gt;=$S75),$V75,$U75)))=Milestones!$AB$76),UPPER(TEXT(EDATE($D75,Milestones!$AA$76),"dd mmm yy"))&amp;" "&amp;Milestones!$AB$76&amp;" "&amp;Milestones!$AC$76&amp;";  ","")&amp;IF(AND(EDATE($D75,Milestones!$AA$77)&lt;=AsOfDate,IF($R75=0,$X75,IF(AND($T75&lt;&gt;"",EDATE($D75,Milestones!$AA$77)&gt;=$T75),$W75,IF(AND($S75&lt;&gt;"",EDATE($D75,Milestones!$AA$77)&gt;=$S75),$V75,$U75)))=Milestones!$AB$77),UPPER(TEXT(EDATE($D75,Milestones!$AA$77),"dd mmm yy"))&amp;" "&amp;Milestones!$AB$77&amp;" "&amp;Milestones!$AC$77&amp;";  ","")&amp;IF(AND(EDATE($D75,Milestones!$AA$78)&lt;=AsOfDate,IF($R75=0,$X75,IF(AND($T75&lt;&gt;"",EDATE($D75,Milestones!$AA$78)&gt;=$T75),$W75,IF(AND($S75&lt;&gt;"",EDATE($D75,Milestones!$AA$78)&gt;=$S75),$V75,$U75)))=Milestones!$AB$78),UPPER(TEXT(EDATE($D75,Milestones!$AA$78),"dd mmm yy"))&amp;" "&amp;Milestones!$AB$78&amp;" "&amp;Milestones!$AC$78&amp;";  ","")&amp;IF(AND(EDATE($D75,Milestones!$AA$79)&lt;=AsOfDate,IF($R75=0,$X75,IF(AND($T75&lt;&gt;"",EDATE($D75,Milestones!$AA$79)&gt;=$T75),$W75,IF(AND($S75&lt;&gt;"",EDATE($D75,Milestones!$AA$79)&gt;=$S75),$V75,$U75)))=Milestones!$AB$79),UPPER(TEXT(EDATE($D75,Milestones!$AA$79),"dd mmm yy"))&amp;" "&amp;Milestones!$AB$79&amp;" "&amp;Milestones!$AC$79&amp;";  ",""))</f>
        <v/>
      </c>
      <c r="L75" s="0" t="str">
        <f aca="false">IF(OR($A75="",$D75=""),"",IF(AND(EDATE($D75,Milestones!$AA$80)&lt;=AsOfDate,IF($R75=0,$X75,IF(AND($T75&lt;&gt;"",EDATE($D75,Milestones!$AA$80)&gt;=$T75),$W75,IF(AND($S75&lt;&gt;"",EDATE($D75,Milestones!$AA$80)&gt;=$S75),$V75,$U75)))=Milestones!$AB$80),UPPER(TEXT(EDATE($D75,Milestones!$AA$80),"dd mmm yy"))&amp;" "&amp;Milestones!$AB$80&amp;" "&amp;Milestones!$AC$80&amp;";  ","")&amp;IF(AND(EDATE($D75,Milestones!$AA$81)&lt;=AsOfDate,IF($R75=0,$X75,IF(AND($T75&lt;&gt;"",EDATE($D75,Milestones!$AA$81)&gt;=$T75),$W75,IF(AND($S75&lt;&gt;"",EDATE($D75,Milestones!$AA$81)&gt;=$S75),$V75,$U75)))=Milestones!$AB$81),UPPER(TEXT(EDATE($D75,Milestones!$AA$81),"dd mmm yy"))&amp;" "&amp;Milestones!$AB$81&amp;" "&amp;Milestones!$AC$81&amp;";  ","")&amp;IF(AND(EDATE($D75,Milestones!$AA$82)&lt;=AsOfDate,IF($R75=0,$X75,IF(AND($T75&lt;&gt;"",EDATE($D75,Milestones!$AA$82)&gt;=$T75),$W75,IF(AND($S75&lt;&gt;"",EDATE($D75,Milestones!$AA$82)&gt;=$S75),$V75,$U75)))=Milestones!$AB$82),UPPER(TEXT(EDATE($D75,Milestones!$AA$82),"dd mmm yy"))&amp;" "&amp;Milestones!$AB$82&amp;" "&amp;Milestones!$AC$82&amp;";  ","")&amp;IF(AND(EDATE($D75,Milestones!$AA$83)&lt;=AsOfDate,IF($R75=0,$X75,IF(AND($T75&lt;&gt;"",EDATE($D75,Milestones!$AA$83)&gt;=$T75),$W75,IF(AND($S75&lt;&gt;"",EDATE($D75,Milestones!$AA$83)&gt;=$S75),$V75,$U75)))=Milestones!$AB$83),UPPER(TEXT(EDATE($D75,Milestones!$AA$83),"dd mmm yy"))&amp;" "&amp;Milestones!$AB$83&amp;" "&amp;Milestones!$AC$83&amp;";  ","")&amp;IF(AND(EDATE($D75,Milestones!$AA$84)&lt;=AsOfDate,IF($R75=0,$X75,IF(AND($T75&lt;&gt;"",EDATE($D75,Milestones!$AA$84)&gt;=$T75),$W75,IF(AND($S75&lt;&gt;"",EDATE($D75,Milestones!$AA$84)&gt;=$S75),$V75,$U75)))=Milestones!$AB$84),UPPER(TEXT(EDATE($D75,Milestones!$AA$84),"dd mmm yy"))&amp;" "&amp;Milestones!$AB$84&amp;" "&amp;Milestones!$AC$84&amp;";  ","")&amp;IF(AND(EDATE($D75,Milestones!$AA$85)&lt;=AsOfDate,IF($R75=0,$X75,IF(AND($T75&lt;&gt;"",EDATE($D75,Milestones!$AA$85)&gt;=$T75),$W75,IF(AND($S75&lt;&gt;"",EDATE($D75,Milestones!$AA$85)&gt;=$S75),$V75,$U75)))=Milestones!$AB$85),UPPER(TEXT(EDATE($D75,Milestones!$AA$85),"dd mmm yy"))&amp;" "&amp;Milestones!$AB$85&amp;" "&amp;Milestones!$AC$85&amp;";  ","")&amp;IF(AND(EDATE($D75,Milestones!$AA$86)&lt;=AsOfDate,IF($R75=0,$X75,IF(AND($T75&lt;&gt;"",EDATE($D75,Milestones!$AA$86)&gt;=$T75),$W75,IF(AND($S75&lt;&gt;"",EDATE($D75,Milestones!$AA$86)&gt;=$S75),$V75,$U75)))=Milestones!$AB$86),UPPER(TEXT(EDATE($D75,Milestones!$AA$86),"dd mmm yy"))&amp;" "&amp;Milestones!$AB$86&amp;" "&amp;Milestones!$AC$86&amp;";  ","")&amp;IF(AND(EDATE($D75,Milestones!$AA$87)&lt;=AsOfDate,IF($R75=0,$X75,IF(AND($T75&lt;&gt;"",EDATE($D75,Milestones!$AA$87)&gt;=$T75),$W75,IF(AND($S75&lt;&gt;"",EDATE($D75,Milestones!$AA$87)&gt;=$S75),$V75,$U75)))=Milestones!$AB$87),UPPER(TEXT(EDATE($D75,Milestones!$AA$87),"dd mmm yy"))&amp;" "&amp;Milestones!$AB$87&amp;" "&amp;Milestones!$AC$87&amp;";  ","")&amp;IF(AND(EDATE($D75,Milestones!$AA$88)&lt;=AsOfDate,IF($R75=0,$X75,IF(AND($T75&lt;&gt;"",EDATE($D75,Milestones!$AA$88)&gt;=$T75),$W75,IF(AND($S75&lt;&gt;"",EDATE($D75,Milestones!$AA$88)&gt;=$S75),$V75,$U75)))=Milestones!$AB$88),UPPER(TEXT(EDATE($D75,Milestones!$AA$88),"dd mmm yy"))&amp;" "&amp;Milestones!$AB$88&amp;" "&amp;Milestones!$AC$88&amp;";  ","")&amp;IF(AND(EDATE($D75,Milestones!$AA$89)&lt;=AsOfDate,IF($R75=0,$X75,IF(AND($T75&lt;&gt;"",EDATE($D75,Milestones!$AA$89)&gt;=$T75),$W75,IF(AND($S75&lt;&gt;"",EDATE($D75,Milestones!$AA$89)&gt;=$S75),$V75,$U75)))=Milestones!$AB$89),UPPER(TEXT(EDATE($D75,Milestones!$AA$89),"dd mmm yy"))&amp;" "&amp;Milestones!$AB$89&amp;" "&amp;Milestones!$AC$89&amp;";  ","")&amp;IF(AND(EDATE($D75,Milestones!$AA$90)&lt;=AsOfDate,IF($R75=0,$X75,IF(AND($T75&lt;&gt;"",EDATE($D75,Milestones!$AA$90)&gt;=$T75),$W75,IF(AND($S75&lt;&gt;"",EDATE($D75,Milestones!$AA$90)&gt;=$S75),$V75,$U75)))=Milestones!$AB$90),UPPER(TEXT(EDATE($D75,Milestones!$AA$90),"dd mmm yy"))&amp;" "&amp;Milestones!$AB$90&amp;" "&amp;Milestones!$AC$90&amp;";  ","")&amp;IF(AND(EDATE($D75,Milestones!$AA$91)&lt;=AsOfDate,IF($R75=0,$X75,IF(AND($T75&lt;&gt;"",EDATE($D75,Milestones!$AA$91)&gt;=$T75),$W75,IF(AND($S75&lt;&gt;"",EDATE($D75,Milestones!$AA$91)&gt;=$S75),$V75,$U75)))=Milestones!$AB$91),UPPER(TEXT(EDATE($D75,Milestones!$AA$91),"dd mmm yy"))&amp;" "&amp;Milestones!$AB$91&amp;" "&amp;Milestones!$AC$91&amp;";  ","")&amp;IF(AND(EDATE($D75,Milestones!$AA$92)&lt;=AsOfDate,IF($R75=0,$X75,IF(AND($T75&lt;&gt;"",EDATE($D75,Milestones!$AA$92)&gt;=$T75),$W75,IF(AND($S75&lt;&gt;"",EDATE($D75,Milestones!$AA$92)&gt;=$S75),$V75,$U75)))=Milestones!$AB$92),UPPER(TEXT(EDATE($D75,Milestones!$AA$92),"dd mmm yy"))&amp;" "&amp;Milestones!$AB$92&amp;" "&amp;Milestones!$AC$92&amp;";  ","")&amp;IF(AND(EDATE($D75,Milestones!$AA$93)&lt;=AsOfDate,IF($R75=0,$X75,IF(AND($T75&lt;&gt;"",EDATE($D75,Milestones!$AA$93)&gt;=$T75),$W75,IF(AND($S75&lt;&gt;"",EDATE($D75,Milestones!$AA$93)&gt;=$S75),$V75,$U75)))=Milestones!$AB$93),UPPER(TEXT(EDATE($D75,Milestones!$AA$93),"dd mmm yy"))&amp;" "&amp;Milestones!$AB$93&amp;" "&amp;Milestones!$AC$93&amp;";  ","")&amp;IF(AND(EDATE($D75,Milestones!$AA$94)&lt;=AsOfDate,IF($R75=0,$X75,IF(AND($T75&lt;&gt;"",EDATE($D75,Milestones!$AA$94)&gt;=$T75),$W75,IF(AND($S75&lt;&gt;"",EDATE($D75,Milestones!$AA$94)&gt;=$S75),$V75,$U75)))=Milestones!$AB$94),UPPER(TEXT(EDATE($D75,Milestones!$AA$94),"dd mmm yy"))&amp;" "&amp;Milestones!$AB$94&amp;" "&amp;Milestones!$AC$94&amp;";  ","")&amp;IF(AND(EDATE($D75,Milestones!$AA$95)&lt;=AsOfDate,IF($R75=0,$X75,IF(AND($T75&lt;&gt;"",EDATE($D75,Milestones!$AA$95)&gt;=$T75),$W75,IF(AND($S75&lt;&gt;"",EDATE($D75,Milestones!$AA$95)&gt;=$S75),$V75,$U75)))=Milestones!$AB$95),UPPER(TEXT(EDATE($D75,Milestones!$AA$95),"dd mmm yy"))&amp;" "&amp;Milestones!$AB$95&amp;" "&amp;Milestones!$AC$95&amp;";  ","")&amp;IF(AND(EDATE($D75,Milestones!$AA$96)&lt;=AsOfDate,IF($R75=0,$X75,IF(AND($T75&lt;&gt;"",EDATE($D75,Milestones!$AA$96)&gt;=$T75),$W75,IF(AND($S75&lt;&gt;"",EDATE($D75,Milestones!$AA$96)&gt;=$S75),$V75,$U75)))=Milestones!$AB$96),UPPER(TEXT(EDATE($D75,Milestones!$AA$96),"dd mmm yy"))&amp;" "&amp;Milestones!$AB$96&amp;" "&amp;Milestones!$AC$96&amp;";  ","")&amp;IF(AND(EDATE($D75,Milestones!$AA$97)&lt;=AsOfDate,IF($R75=0,$X75,IF(AND($T75&lt;&gt;"",EDATE($D75,Milestones!$AA$97)&gt;=$T75),$W75,IF(AND($S75&lt;&gt;"",EDATE($D75,Milestones!$AA$97)&gt;=$S75),$V75,$U75)))=Milestones!$AB$97),UPPER(TEXT(EDATE($D75,Milestones!$AA$97),"dd mmm yy"))&amp;" "&amp;Milestones!$AB$97&amp;" "&amp;Milestones!$AC$97&amp;";  ","")&amp;IF(AND(EDATE($D75,Milestones!$AA$98)&lt;=AsOfDate,IF($R75=0,$X75,IF(AND($T75&lt;&gt;"",EDATE($D75,Milestones!$AA$98)&gt;=$T75),$W75,IF(AND($S75&lt;&gt;"",EDATE($D75,Milestones!$AA$98)&gt;=$S75),$V75,$U75)))=Milestones!$AB$98),UPPER(TEXT(EDATE($D75,Milestones!$AA$98),"dd mmm yy"))&amp;" "&amp;Milestones!$AB$98&amp;" "&amp;Milestones!$AC$98&amp;";  ","")&amp;IF(AND(EDATE($D75,Milestones!$AA$99)&lt;=AsOfDate,IF($R75=0,$X75,IF(AND($T75&lt;&gt;"",EDATE($D75,Milestones!$AA$99)&gt;=$T75),$W75,IF(AND($S75&lt;&gt;"",EDATE($D75,Milestones!$AA$99)&gt;=$S75),$V75,$U75)))=Milestones!$AB$99),UPPER(TEXT(EDATE($D75,Milestones!$AA$99),"dd mmm yy"))&amp;" "&amp;Milestones!$AB$99&amp;" "&amp;Milestones!$AC$99&amp;";  ",""))</f>
        <v/>
      </c>
      <c r="M75" s="0" t="str">
        <f aca="false">IF(OR($A75="",$D75=""),"",IF(AND(EDATE($D75,Milestones!$AA$100)&lt;=AsOfDate,IF($R75=0,$X75,IF(AND($T75&lt;&gt;"",EDATE($D75,Milestones!$AA$100)&gt;=$T75),$W75,IF(AND($S75&lt;&gt;"",EDATE($D75,Milestones!$AA$100)&gt;=$S75),$V75,$U75)))=Milestones!$AB$100),UPPER(TEXT(EDATE($D75,Milestones!$AA$100),"dd mmm yy"))&amp;" "&amp;Milestones!$AB$100&amp;" "&amp;Milestones!$AC$100&amp;";  ","")&amp;IF(AND(EDATE($D75,Milestones!$AA$101)&lt;=AsOfDate,IF($R75=0,$X75,IF(AND($T75&lt;&gt;"",EDATE($D75,Milestones!$AA$101)&gt;=$T75),$W75,IF(AND($S75&lt;&gt;"",EDATE($D75,Milestones!$AA$101)&gt;=$S75),$V75,$U75)))=Milestones!$AB$101),UPPER(TEXT(EDATE($D75,Milestones!$AA$101),"dd mmm yy"))&amp;" "&amp;Milestones!$AB$101&amp;" "&amp;Milestones!$AC$101&amp;";  ","")&amp;IF(AND(EDATE($D75,Milestones!$AA$102)&lt;=AsOfDate,IF($R75=0,$X75,IF(AND($T75&lt;&gt;"",EDATE($D75,Milestones!$AA$102)&gt;=$T75),$W75,IF(AND($S75&lt;&gt;"",EDATE($D75,Milestones!$AA$102)&gt;=$S75),$V75,$U75)))=Milestones!$AB$102),UPPER(TEXT(EDATE($D75,Milestones!$AA$102),"dd mmm yy"))&amp;" "&amp;Milestones!$AB$102&amp;" "&amp;Milestones!$AC$102&amp;";  ","")&amp;IF(AND(EDATE($D75,Milestones!$AA$103)&lt;=AsOfDate,IF($R75=0,$X75,IF(AND($T75&lt;&gt;"",EDATE($D75,Milestones!$AA$103)&gt;=$T75),$W75,IF(AND($S75&lt;&gt;"",EDATE($D75,Milestones!$AA$103)&gt;=$S75),$V75,$U75)))=Milestones!$AB$103),UPPER(TEXT(EDATE($D75,Milestones!$AA$103),"dd mmm yy"))&amp;" "&amp;Milestones!$AB$103&amp;" "&amp;Milestones!$AC$103&amp;";  ","")&amp;IF(AND(EDATE($D75,Milestones!$AA$104)&lt;=AsOfDate,IF($R75=0,$X75,IF(AND($T75&lt;&gt;"",EDATE($D75,Milestones!$AA$104)&gt;=$T75),$W75,IF(AND($S75&lt;&gt;"",EDATE($D75,Milestones!$AA$104)&gt;=$S75),$V75,$U75)))=Milestones!$AB$104),UPPER(TEXT(EDATE($D75,Milestones!$AA$104),"dd mmm yy"))&amp;" "&amp;Milestones!$AB$104&amp;" "&amp;Milestones!$AC$104&amp;";  ","")&amp;IF(AND(EDATE($D75,Milestones!$AA$105)&lt;=AsOfDate,IF($R75=0,$X75,IF(AND($T75&lt;&gt;"",EDATE($D75,Milestones!$AA$105)&gt;=$T75),$W75,IF(AND($S75&lt;&gt;"",EDATE($D75,Milestones!$AA$105)&gt;=$S75),$V75,$U75)))=Milestones!$AB$105),UPPER(TEXT(EDATE($D75,Milestones!$AA$105),"dd mmm yy"))&amp;" "&amp;Milestones!$AB$105&amp;" "&amp;Milestones!$AC$105&amp;";  ","")&amp;IF(AND(EDATE($D75,Milestones!$AA$106)&lt;=AsOfDate,IF($R75=0,$X75,IF(AND($T75&lt;&gt;"",EDATE($D75,Milestones!$AA$106)&gt;=$T75),$W75,IF(AND($S75&lt;&gt;"",EDATE($D75,Milestones!$AA$106)&gt;=$S75),$V75,$U75)))=Milestones!$AB$106),UPPER(TEXT(EDATE($D75,Milestones!$AA$106),"dd mmm yy"))&amp;" "&amp;Milestones!$AB$106&amp;" "&amp;Milestones!$AC$106&amp;";  ","")&amp;IF(AND(EDATE($D75,Milestones!$AA$107)&lt;=AsOfDate,IF($R75=0,$X75,IF(AND($T75&lt;&gt;"",EDATE($D75,Milestones!$AA$107)&gt;=$T75),$W75,IF(AND($S75&lt;&gt;"",EDATE($D75,Milestones!$AA$107)&gt;=$S75),$V75,$U75)))=Milestones!$AB$107),UPPER(TEXT(EDATE($D75,Milestones!$AA$107),"dd mmm yy"))&amp;" "&amp;Milestones!$AB$107&amp;" "&amp;Milestones!$AC$107&amp;";  ","")&amp;IF(AND(EDATE($D75,Milestones!$AA$108)&lt;=AsOfDate,IF($R75=0,$X75,IF(AND($T75&lt;&gt;"",EDATE($D75,Milestones!$AA$108)&gt;=$T75),$W75,IF(AND($S75&lt;&gt;"",EDATE($D75,Milestones!$AA$108)&gt;=$S75),$V75,$U75)))=Milestones!$AB$108),UPPER(TEXT(EDATE($D75,Milestones!$AA$108),"dd mmm yy"))&amp;" "&amp;Milestones!$AB$108&amp;" "&amp;Milestones!$AC$108&amp;";  ","")&amp;IF(AND(EDATE($D75,Milestones!$AA$109)&lt;=AsOfDate,IF($R75=0,$X75,IF(AND($T75&lt;&gt;"",EDATE($D75,Milestones!$AA$109)&gt;=$T75),$W75,IF(AND($S75&lt;&gt;"",EDATE($D75,Milestones!$AA$109)&gt;=$S75),$V75,$U75)))=Milestones!$AB$109),UPPER(TEXT(EDATE($D75,Milestones!$AA$109),"dd mmm yy"))&amp;" "&amp;Milestones!$AB$109&amp;" "&amp;Milestones!$AC$109&amp;";  ","")&amp;IF(AND(EDATE($D75,Milestones!$AA$110)&lt;=AsOfDate,IF($R75=0,$X75,IF(AND($T75&lt;&gt;"",EDATE($D75,Milestones!$AA$110)&gt;=$T75),$W75,IF(AND($S75&lt;&gt;"",EDATE($D75,Milestones!$AA$110)&gt;=$S75),$V75,$U75)))=Milestones!$AB$110),UPPER(TEXT(EDATE($D75,Milestones!$AA$110),"dd mmm yy"))&amp;" "&amp;Milestones!$AB$110&amp;" "&amp;Milestones!$AC$110&amp;";  ","")&amp;IF(AND(EDATE($D75,Milestones!$AA$111)&lt;=AsOfDate,IF($R75=0,$X75,IF(AND($T75&lt;&gt;"",EDATE($D75,Milestones!$AA$111)&gt;=$T75),$W75,IF(AND($S75&lt;&gt;"",EDATE($D75,Milestones!$AA$111)&gt;=$S75),$V75,$U75)))=Milestones!$AB$111),UPPER(TEXT(EDATE($D75,Milestones!$AA$111),"dd mmm yy"))&amp;" "&amp;Milestones!$AB$111&amp;" "&amp;Milestones!$AC$111&amp;";  ","")&amp;IF(AND(EDATE($D75,Milestones!$AA$112)&lt;=AsOfDate,IF($R75=0,$X75,IF(AND($T75&lt;&gt;"",EDATE($D75,Milestones!$AA$112)&gt;=$T75),$W75,IF(AND($S75&lt;&gt;"",EDATE($D75,Milestones!$AA$112)&gt;=$S75),$V75,$U75)))=Milestones!$AB$112),UPPER(TEXT(EDATE($D75,Milestones!$AA$112),"dd mmm yy"))&amp;" "&amp;Milestones!$AB$112&amp;" "&amp;Milestones!$AC$112&amp;";  ","")&amp;IF(AND(EDATE($D75,Milestones!$AA$113)&lt;=AsOfDate,IF($R75=0,$X75,IF(AND($T75&lt;&gt;"",EDATE($D75,Milestones!$AA$113)&gt;=$T75),$W75,IF(AND($S75&lt;&gt;"",EDATE($D75,Milestones!$AA$113)&gt;=$S75),$V75,$U75)))=Milestones!$AB$113),UPPER(TEXT(EDATE($D75,Milestones!$AA$113),"dd mmm yy"))&amp;" "&amp;Milestones!$AB$113&amp;" "&amp;Milestones!$AC$113&amp;";  ","")&amp;IF(AND(EDATE($D75,Milestones!$AA$114)&lt;=AsOfDate,IF($R75=0,$X75,IF(AND($T75&lt;&gt;"",EDATE($D75,Milestones!$AA$114)&gt;=$T75),$W75,IF(AND($S75&lt;&gt;"",EDATE($D75,Milestones!$AA$114)&gt;=$S75),$V75,$U75)))=Milestones!$AB$114),UPPER(TEXT(EDATE($D75,Milestones!$AA$114),"dd mmm yy"))&amp;" "&amp;Milestones!$AB$114&amp;" "&amp;Milestones!$AC$114&amp;";  ","")&amp;IF(AND(EDATE($D75,Milestones!$AA$115)&lt;=AsOfDate,IF($R75=0,$X75,IF(AND($T75&lt;&gt;"",EDATE($D75,Milestones!$AA$115)&gt;=$T75),$W75,IF(AND($S75&lt;&gt;"",EDATE($D75,Milestones!$AA$115)&gt;=$S75),$V75,$U75)))=Milestones!$AB$115),UPPER(TEXT(EDATE($D75,Milestones!$AA$115),"dd mmm yy"))&amp;" "&amp;Milestones!$AB$115&amp;" "&amp;Milestones!$AC$115&amp;";  ","")&amp;IF(AND(EDATE($D75,Milestones!$AA$116)&lt;=AsOfDate,IF($R75=0,$X75,IF(AND($T75&lt;&gt;"",EDATE($D75,Milestones!$AA$116)&gt;=$T75),$W75,IF(AND($S75&lt;&gt;"",EDATE($D75,Milestones!$AA$116)&gt;=$S75),$V75,$U75)))=Milestones!$AB$116),UPPER(TEXT(EDATE($D75,Milestones!$AA$116),"dd mmm yy"))&amp;" "&amp;Milestones!$AB$116&amp;" "&amp;Milestones!$AC$116&amp;";  ","")&amp;IF(AND(EDATE($D75,Milestones!$AA$117)&lt;=AsOfDate,IF($R75=0,$X75,IF(AND($T75&lt;&gt;"",EDATE($D75,Milestones!$AA$117)&gt;=$T75),$W75,IF(AND($S75&lt;&gt;"",EDATE($D75,Milestones!$AA$117)&gt;=$S75),$V75,$U75)))=Milestones!$AB$117),UPPER(TEXT(EDATE($D75,Milestones!$AA$117),"dd mmm yy"))&amp;" "&amp;Milestones!$AB$117&amp;" "&amp;Milestones!$AC$117&amp;";  ","")&amp;IF(AND(EDATE($D75,Milestones!$AA$118)&lt;=AsOfDate,IF($R75=0,$X75,IF(AND($T75&lt;&gt;"",EDATE($D75,Milestones!$AA$118)&gt;=$T75),$W75,IF(AND($S75&lt;&gt;"",EDATE($D75,Milestones!$AA$118)&gt;=$S75),$V75,$U75)))=Milestones!$AB$118),UPPER(TEXT(EDATE($D75,Milestones!$AA$118),"dd mmm yy"))&amp;" "&amp;Milestones!$AB$118&amp;" "&amp;Milestones!$AC$118&amp;";  ","")&amp;IF(AND(EDATE($D75,Milestones!$AA$119)&lt;=AsOfDate,IF($R75=0,$X75,IF(AND($T75&lt;&gt;"",EDATE($D75,Milestones!$AA$119)&gt;=$T75),$W75,IF(AND($S75&lt;&gt;"",EDATE($D75,Milestones!$AA$119)&gt;=$S75),$V75,$U75)))=Milestones!$AB$119),UPPER(TEXT(EDATE($D75,Milestones!$AA$119),"dd mmm yy"))&amp;" "&amp;Milestones!$AB$119&amp;" "&amp;Milestones!$AC$119&amp;";  ",""))</f>
        <v/>
      </c>
      <c r="N75" s="0" t="str">
        <f aca="false">IF(OR($A75="",$D75=""),"",IF(AND(EDATE($D75,Milestones!$AA$120)&lt;=AsOfDate,IF($R75=0,$X75,IF(AND($T75&lt;&gt;"",EDATE($D75,Milestones!$AA$120)&gt;=$T75),$W75,IF(AND($S75&lt;&gt;"",EDATE($D75,Milestones!$AA$120)&gt;=$S75),$V75,$U75)))=Milestones!$AB$120),UPPER(TEXT(EDATE($D75,Milestones!$AA$120),"dd mmm yy"))&amp;" "&amp;Milestones!$AB$120&amp;" "&amp;Milestones!$AC$120&amp;";  ","")&amp;IF(AND(EDATE($D75,Milestones!$AA$121)&lt;=AsOfDate,IF($R75=0,$X75,IF(AND($T75&lt;&gt;"",EDATE($D75,Milestones!$AA$121)&gt;=$T75),$W75,IF(AND($S75&lt;&gt;"",EDATE($D75,Milestones!$AA$121)&gt;=$S75),$V75,$U75)))=Milestones!$AB$121),UPPER(TEXT(EDATE($D75,Milestones!$AA$121),"dd mmm yy"))&amp;" "&amp;Milestones!$AB$121&amp;" "&amp;Milestones!$AC$121&amp;";  ","")&amp;IF(AND(EDATE($D75,Milestones!$AA$122)&lt;=AsOfDate,IF($R75=0,$X75,IF(AND($T75&lt;&gt;"",EDATE($D75,Milestones!$AA$122)&gt;=$T75),$W75,IF(AND($S75&lt;&gt;"",EDATE($D75,Milestones!$AA$122)&gt;=$S75),$V75,$U75)))=Milestones!$AB$122),UPPER(TEXT(EDATE($D75,Milestones!$AA$122),"dd mmm yy"))&amp;" "&amp;Milestones!$AB$122&amp;" "&amp;Milestones!$AC$122&amp;";  ","")&amp;IF(AND(EDATE($D75,Milestones!$AA$123)&lt;=AsOfDate,IF($R75=0,$X75,IF(AND($T75&lt;&gt;"",EDATE($D75,Milestones!$AA$123)&gt;=$T75),$W75,IF(AND($S75&lt;&gt;"",EDATE($D75,Milestones!$AA$123)&gt;=$S75),$V75,$U75)))=Milestones!$AB$123),UPPER(TEXT(EDATE($D75,Milestones!$AA$123),"dd mmm yy"))&amp;" "&amp;Milestones!$AB$123&amp;" "&amp;Milestones!$AC$123&amp;";  ","")&amp;IF(AND(EDATE($D75,Milestones!$AA$124)&lt;=AsOfDate,IF($R75=0,$X75,IF(AND($T75&lt;&gt;"",EDATE($D75,Milestones!$AA$124)&gt;=$T75),$W75,IF(AND($S75&lt;&gt;"",EDATE($D75,Milestones!$AA$124)&gt;=$S75),$V75,$U75)))=Milestones!$AB$124),UPPER(TEXT(EDATE($D75,Milestones!$AA$124),"dd mmm yy"))&amp;" "&amp;Milestones!$AB$124&amp;" "&amp;Milestones!$AC$124&amp;";  ","")&amp;IF(AND(EDATE($D75,Milestones!$AA$125)&lt;=AsOfDate,IF($R75=0,$X75,IF(AND($T75&lt;&gt;"",EDATE($D75,Milestones!$AA$125)&gt;=$T75),$W75,IF(AND($S75&lt;&gt;"",EDATE($D75,Milestones!$AA$125)&gt;=$S75),$V75,$U75)))=Milestones!$AB$125),UPPER(TEXT(EDATE($D75,Milestones!$AA$125),"dd mmm yy"))&amp;" "&amp;Milestones!$AB$125&amp;" "&amp;Milestones!$AC$125&amp;";  ","")&amp;IF(AND(EDATE($D75,Milestones!$AA$126)&lt;=AsOfDate,IF($R75=0,$X75,IF(AND($T75&lt;&gt;"",EDATE($D75,Milestones!$AA$126)&gt;=$T75),$W75,IF(AND($S75&lt;&gt;"",EDATE($D75,Milestones!$AA$126)&gt;=$S75),$V75,$U75)))=Milestones!$AB$126),UPPER(TEXT(EDATE($D75,Milestones!$AA$126),"dd mmm yy"))&amp;" "&amp;Milestones!$AB$126&amp;" "&amp;Milestones!$AC$126&amp;";  ","")&amp;IF(AND(EDATE($D75,Milestones!$AA$127)&lt;=AsOfDate,IF($R75=0,$X75,IF(AND($T75&lt;&gt;"",EDATE($D75,Milestones!$AA$127)&gt;=$T75),$W75,IF(AND($S75&lt;&gt;"",EDATE($D75,Milestones!$AA$127)&gt;=$S75),$V75,$U75)))=Milestones!$AB$127),UPPER(TEXT(EDATE($D75,Milestones!$AA$127),"dd mmm yy"))&amp;" "&amp;Milestones!$AB$127&amp;" "&amp;Milestones!$AC$127&amp;";  ","")&amp;IF(AND(EDATE($D75,Milestones!$AA$128)&lt;=AsOfDate,IF($R75=0,$X75,IF(AND($T75&lt;&gt;"",EDATE($D75,Milestones!$AA$128)&gt;=$T75),$W75,IF(AND($S75&lt;&gt;"",EDATE($D75,Milestones!$AA$128)&gt;=$S75),$V75,$U75)))=Milestones!$AB$128),UPPER(TEXT(EDATE($D75,Milestones!$AA$128),"dd mmm yy"))&amp;" "&amp;Milestones!$AB$128&amp;" "&amp;Milestones!$AC$128&amp;";  ","")&amp;IF(AND(EDATE($D75,Milestones!$AA$129)&lt;=AsOfDate,IF($R75=0,$X75,IF(AND($T75&lt;&gt;"",EDATE($D75,Milestones!$AA$129)&gt;=$T75),$W75,IF(AND($S75&lt;&gt;"",EDATE($D75,Milestones!$AA$129)&gt;=$S75),$V75,$U75)))=Milestones!$AB$129),UPPER(TEXT(EDATE($D75,Milestones!$AA$129),"dd mmm yy"))&amp;" "&amp;Milestones!$AB$129&amp;" "&amp;Milestones!$AC$129&amp;";  ","")&amp;IF(AND(EDATE($D75,Milestones!$AA$130)&lt;=AsOfDate,IF($R75=0,$X75,IF(AND($T75&lt;&gt;"",EDATE($D75,Milestones!$AA$130)&gt;=$T75),$W75,IF(AND($S75&lt;&gt;"",EDATE($D75,Milestones!$AA$130)&gt;=$S75),$V75,$U75)))=Milestones!$AB$130),UPPER(TEXT(EDATE($D75,Milestones!$AA$130),"dd mmm yy"))&amp;" "&amp;Milestones!$AB$130&amp;" "&amp;Milestones!$AC$130&amp;";  ","")&amp;IF(AND(EDATE($D75,Milestones!$AA$131)&lt;=AsOfDate,IF($R75=0,$X75,IF(AND($T75&lt;&gt;"",EDATE($D75,Milestones!$AA$131)&gt;=$T75),$W75,IF(AND($S75&lt;&gt;"",EDATE($D75,Milestones!$AA$131)&gt;=$S75),$V75,$U75)))=Milestones!$AB$131),UPPER(TEXT(EDATE($D75,Milestones!$AA$131),"dd mmm yy"))&amp;" "&amp;Milestones!$AB$131&amp;" "&amp;Milestones!$AC$131&amp;";  ","")&amp;IF(AND(EDATE($D75,Milestones!$AA$132)&lt;=AsOfDate,IF($R75=0,$X75,IF(AND($T75&lt;&gt;"",EDATE($D75,Milestones!$AA$132)&gt;=$T75),$W75,IF(AND($S75&lt;&gt;"",EDATE($D75,Milestones!$AA$132)&gt;=$S75),$V75,$U75)))=Milestones!$AB$132),UPPER(TEXT(EDATE($D75,Milestones!$AA$132),"dd mmm yy"))&amp;" "&amp;Milestones!$AB$132&amp;" "&amp;Milestones!$AC$132&amp;";  ","")&amp;IF(AND(EDATE($D75,Milestones!$AA$133)&lt;=AsOfDate,IF($R75=0,$X75,IF(AND($T75&lt;&gt;"",EDATE($D75,Milestones!$AA$133)&gt;=$T75),$W75,IF(AND($S75&lt;&gt;"",EDATE($D75,Milestones!$AA$133)&gt;=$S75),$V75,$U75)))=Milestones!$AB$133),UPPER(TEXT(EDATE($D75,Milestones!$AA$133),"dd mmm yy"))&amp;" "&amp;Milestones!$AB$133&amp;" "&amp;Milestones!$AC$133&amp;";  ","")&amp;IF(AND(EDATE($D75,Milestones!$AA$134)&lt;=AsOfDate,IF($R75=0,$X75,IF(AND($T75&lt;&gt;"",EDATE($D75,Milestones!$AA$134)&gt;=$T75),$W75,IF(AND($S75&lt;&gt;"",EDATE($D75,Milestones!$AA$134)&gt;=$S75),$V75,$U75)))=Milestones!$AB$134),UPPER(TEXT(EDATE($D75,Milestones!$AA$134),"dd mmm yy"))&amp;" "&amp;Milestones!$AB$134&amp;" "&amp;Milestones!$AC$134&amp;";  ","")&amp;IF(AND(EDATE($D75,Milestones!$AA$135)&lt;=AsOfDate,IF($R75=0,$X75,IF(AND($T75&lt;&gt;"",EDATE($D75,Milestones!$AA$135)&gt;=$T75),$W75,IF(AND($S75&lt;&gt;"",EDATE($D75,Milestones!$AA$135)&gt;=$S75),$V75,$U75)))=Milestones!$AB$135),UPPER(TEXT(EDATE($D75,Milestones!$AA$135),"dd mmm yy"))&amp;" "&amp;Milestones!$AB$135&amp;" "&amp;Milestones!$AC$135&amp;";  ","")&amp;IF(AND(EDATE($D75,Milestones!$AA$136)&lt;=AsOfDate,IF($R75=0,$X75,IF(AND($T75&lt;&gt;"",EDATE($D75,Milestones!$AA$136)&gt;=$T75),$W75,IF(AND($S75&lt;&gt;"",EDATE($D75,Milestones!$AA$136)&gt;=$S75),$V75,$U75)))=Milestones!$AB$136),UPPER(TEXT(EDATE($D75,Milestones!$AA$136),"dd mmm yy"))&amp;" "&amp;Milestones!$AB$136&amp;" "&amp;Milestones!$AC$136&amp;";  ","")&amp;IF(AND(EDATE($D75,Milestones!$AA$137)&lt;=AsOfDate,IF($R75=0,$X75,IF(AND($T75&lt;&gt;"",EDATE($D75,Milestones!$AA$137)&gt;=$T75),$W75,IF(AND($S75&lt;&gt;"",EDATE($D75,Milestones!$AA$137)&gt;=$S75),$V75,$U75)))=Milestones!$AB$137),UPPER(TEXT(EDATE($D75,Milestones!$AA$137),"dd mmm yy"))&amp;" "&amp;Milestones!$AB$137&amp;" "&amp;Milestones!$AC$137&amp;";  ","")&amp;IF(AND(EDATE($D75,Milestones!$AA$138)&lt;=AsOfDate,IF($R75=0,$X75,IF(AND($T75&lt;&gt;"",EDATE($D75,Milestones!$AA$138)&gt;=$T75),$W75,IF(AND($S75&lt;&gt;"",EDATE($D75,Milestones!$AA$138)&gt;=$S75),$V75,$U75)))=Milestones!$AB$138),UPPER(TEXT(EDATE($D75,Milestones!$AA$138),"dd mmm yy"))&amp;" "&amp;Milestones!$AB$138&amp;" "&amp;Milestones!$AC$138&amp;";  ","")&amp;IF(AND(EDATE($D75,Milestones!$AA$139)&lt;=AsOfDate,IF($R75=0,$X75,IF(AND($T75&lt;&gt;"",EDATE($D75,Milestones!$AA$139)&gt;=$T75),$W75,IF(AND($S75&lt;&gt;"",EDATE($D75,Milestones!$AA$139)&gt;=$S75),$V75,$U75)))=Milestones!$AB$139),UPPER(TEXT(EDATE($D75,Milestones!$AA$139),"dd mmm yy"))&amp;" "&amp;Milestones!$AB$139&amp;" "&amp;Milestones!$AC$139&amp;";  ",""))</f>
        <v/>
      </c>
      <c r="O75" s="0" t="str">
        <f aca="false">IF(OR($A75="",$D75=""),"",IF(AND(EDATE($D75,Milestones!$AA$140)&lt;=AsOfDate,IF($R75=0,$X75,IF(AND($T75&lt;&gt;"",EDATE($D75,Milestones!$AA$140)&gt;=$T75),$W75,IF(AND($S75&lt;&gt;"",EDATE($D75,Milestones!$AA$140)&gt;=$S75),$V75,$U75)))=Milestones!$AB$140),UPPER(TEXT(EDATE($D75,Milestones!$AA$140),"dd mmm yy"))&amp;" "&amp;Milestones!$AB$140&amp;" "&amp;Milestones!$AC$140&amp;";  ","")&amp;IF(AND(EDATE($D75,Milestones!$AA$141)&lt;=AsOfDate,IF($R75=0,$X75,IF(AND($T75&lt;&gt;"",EDATE($D75,Milestones!$AA$141)&gt;=$T75),$W75,IF(AND($S75&lt;&gt;"",EDATE($D75,Milestones!$AA$141)&gt;=$S75),$V75,$U75)))=Milestones!$AB$141),UPPER(TEXT(EDATE($D75,Milestones!$AA$141),"dd mmm yy"))&amp;" "&amp;Milestones!$AB$141&amp;" "&amp;Milestones!$AC$141&amp;";  ","")&amp;IF(AND(EDATE($D75,Milestones!$AA$142)&lt;=AsOfDate,IF($R75=0,$X75,IF(AND($T75&lt;&gt;"",EDATE($D75,Milestones!$AA$142)&gt;=$T75),$W75,IF(AND($S75&lt;&gt;"",EDATE($D75,Milestones!$AA$142)&gt;=$S75),$V75,$U75)))=Milestones!$AB$142),UPPER(TEXT(EDATE($D75,Milestones!$AA$142),"dd mmm yy"))&amp;" "&amp;Milestones!$AB$142&amp;" "&amp;Milestones!$AC$142&amp;";  ","")&amp;IF(AND(EDATE($D75,Milestones!$AA$143)&lt;=AsOfDate,IF($R75=0,$X75,IF(AND($T75&lt;&gt;"",EDATE($D75,Milestones!$AA$143)&gt;=$T75),$W75,IF(AND($S75&lt;&gt;"",EDATE($D75,Milestones!$AA$143)&gt;=$S75),$V75,$U75)))=Milestones!$AB$143),UPPER(TEXT(EDATE($D75,Milestones!$AA$143),"dd mmm yy"))&amp;" "&amp;Milestones!$AB$143&amp;" "&amp;Milestones!$AC$143&amp;";  ","")&amp;IF(AND(EDATE($D75,Milestones!$AA$144)&lt;=AsOfDate,IF($R75=0,$X75,IF(AND($T75&lt;&gt;"",EDATE($D75,Milestones!$AA$144)&gt;=$T75),$W75,IF(AND($S75&lt;&gt;"",EDATE($D75,Milestones!$AA$144)&gt;=$S75),$V75,$U75)))=Milestones!$AB$144),UPPER(TEXT(EDATE($D75,Milestones!$AA$144),"dd mmm yy"))&amp;" "&amp;Milestones!$AB$144&amp;" "&amp;Milestones!$AC$144&amp;";  ","")&amp;IF(AND(EDATE($D75,Milestones!$AA$145)&lt;=AsOfDate,IF($R75=0,$X75,IF(AND($T75&lt;&gt;"",EDATE($D75,Milestones!$AA$145)&gt;=$T75),$W75,IF(AND($S75&lt;&gt;"",EDATE($D75,Milestones!$AA$145)&gt;=$S75),$V75,$U75)))=Milestones!$AB$145),UPPER(TEXT(EDATE($D75,Milestones!$AA$145),"dd mmm yy"))&amp;" "&amp;Milestones!$AB$145&amp;" "&amp;Milestones!$AC$145&amp;";  ","")&amp;IF(AND(EDATE($D75,Milestones!$AA$146)&lt;=AsOfDate,IF($R75=0,$X75,IF(AND($T75&lt;&gt;"",EDATE($D75,Milestones!$AA$146)&gt;=$T75),$W75,IF(AND($S75&lt;&gt;"",EDATE($D75,Milestones!$AA$146)&gt;=$S75),$V75,$U75)))=Milestones!$AB$146),UPPER(TEXT(EDATE($D75,Milestones!$AA$146),"dd mmm yy"))&amp;" "&amp;Milestones!$AB$146&amp;" "&amp;Milestones!$AC$146&amp;";  ","")&amp;IF(AND(EDATE($D75,Milestones!$AA$147)&lt;=AsOfDate,IF($R75=0,$X75,IF(AND($T75&lt;&gt;"",EDATE($D75,Milestones!$AA$147)&gt;=$T75),$W75,IF(AND($S75&lt;&gt;"",EDATE($D75,Milestones!$AA$147)&gt;=$S75),$V75,$U75)))=Milestones!$AB$147),UPPER(TEXT(EDATE($D75,Milestones!$AA$147),"dd mmm yy"))&amp;" "&amp;Milestones!$AB$147&amp;" "&amp;Milestones!$AC$147&amp;";  ","")&amp;IF(AND(EDATE($D75,Milestones!$AA$148)&lt;=AsOfDate,IF($R75=0,$X75,IF(AND($T75&lt;&gt;"",EDATE($D75,Milestones!$AA$148)&gt;=$T75),$W75,IF(AND($S75&lt;&gt;"",EDATE($D75,Milestones!$AA$148)&gt;=$S75),$V75,$U75)))=Milestones!$AB$148),UPPER(TEXT(EDATE($D75,Milestones!$AA$148),"dd mmm yy"))&amp;" "&amp;Milestones!$AB$148&amp;" "&amp;Milestones!$AC$148&amp;";  ","")&amp;IF(AND(EDATE($D75,Milestones!$AA$149)&lt;=AsOfDate,IF($R75=0,$X75,IF(AND($T75&lt;&gt;"",EDATE($D75,Milestones!$AA$149)&gt;=$T75),$W75,IF(AND($S75&lt;&gt;"",EDATE($D75,Milestones!$AA$149)&gt;=$S75),$V75,$U75)))=Milestones!$AB$149),UPPER(TEXT(EDATE($D75,Milestones!$AA$149),"dd mmm yy"))&amp;" "&amp;Milestones!$AB$149&amp;" "&amp;Milestones!$AC$149&amp;";  ","")&amp;IF(AND(EDATE($D75,Milestones!$AA$150)&lt;=AsOfDate,IF($R75=0,$X75,IF(AND($T75&lt;&gt;"",EDATE($D75,Milestones!$AA$150)&gt;=$T75),$W75,IF(AND($S75&lt;&gt;"",EDATE($D75,Milestones!$AA$150)&gt;=$S75),$V75,$U75)))=Milestones!$AB$150),UPPER(TEXT(EDATE($D75,Milestones!$AA$150),"dd mmm yy"))&amp;" "&amp;Milestones!$AB$150&amp;" "&amp;Milestones!$AC$150&amp;";  ","")&amp;IF(AND(EDATE($D75,Milestones!$AA$151)&lt;=AsOfDate,IF($R75=0,$X75,IF(AND($T75&lt;&gt;"",EDATE($D75,Milestones!$AA$151)&gt;=$T75),$W75,IF(AND($S75&lt;&gt;"",EDATE($D75,Milestones!$AA$151)&gt;=$S75),$V75,$U75)))=Milestones!$AB$151),UPPER(TEXT(EDATE($D75,Milestones!$AA$151),"dd mmm yy"))&amp;" "&amp;Milestones!$AB$151&amp;" "&amp;Milestones!$AC$151&amp;";  ","")&amp;IF(AND(EDATE($D75,Milestones!$AA$152)&lt;=AsOfDate,IF($R75=0,$X75,IF(AND($T75&lt;&gt;"",EDATE($D75,Milestones!$AA$152)&gt;=$T75),$W75,IF(AND($S75&lt;&gt;"",EDATE($D75,Milestones!$AA$152)&gt;=$S75),$V75,$U75)))=Milestones!$AB$152),UPPER(TEXT(EDATE($D75,Milestones!$AA$152),"dd mmm yy"))&amp;" "&amp;Milestones!$AB$152&amp;" "&amp;Milestones!$AC$152&amp;";  ","")&amp;IF(AND(EDATE($D75,Milestones!$AA$153)&lt;=AsOfDate,IF($R75=0,$X75,IF(AND($T75&lt;&gt;"",EDATE($D75,Milestones!$AA$153)&gt;=$T75),$W75,IF(AND($S75&lt;&gt;"",EDATE($D75,Milestones!$AA$153)&gt;=$S75),$V75,$U75)))=Milestones!$AB$153),UPPER(TEXT(EDATE($D75,Milestones!$AA$153),"dd mmm yy"))&amp;" "&amp;Milestones!$AB$153&amp;" "&amp;Milestones!$AC$153&amp;";  ","")&amp;IF(AND(EDATE($D75,Milestones!$AA$154)&lt;=AsOfDate,IF($R75=0,$X75,IF(AND($T75&lt;&gt;"",EDATE($D75,Milestones!$AA$154)&gt;=$T75),$W75,IF(AND($S75&lt;&gt;"",EDATE($D75,Milestones!$AA$154)&gt;=$S75),$V75,$U75)))=Milestones!$AB$154),UPPER(TEXT(EDATE($D75,Milestones!$AA$154),"dd mmm yy"))&amp;" "&amp;Milestones!$AB$154&amp;" "&amp;Milestones!$AC$154&amp;";  ","")&amp;IF(AND(EDATE($D75,Milestones!$AA$155)&lt;=AsOfDate,IF($R75=0,$X75,IF(AND($T75&lt;&gt;"",EDATE($D75,Milestones!$AA$155)&gt;=$T75),$W75,IF(AND($S75&lt;&gt;"",EDATE($D75,Milestones!$AA$155)&gt;=$S75),$V75,$U75)))=Milestones!$AB$155),UPPER(TEXT(EDATE($D75,Milestones!$AA$155),"dd mmm yy"))&amp;" "&amp;Milestones!$AB$155&amp;" "&amp;Milestones!$AC$155&amp;";  ","")&amp;IF(AND(EDATE($D75,Milestones!$AA$156)&lt;=AsOfDate,IF($R75=0,$X75,IF(AND($T75&lt;&gt;"",EDATE($D75,Milestones!$AA$156)&gt;=$T75),$W75,IF(AND($S75&lt;&gt;"",EDATE($D75,Milestones!$AA$156)&gt;=$S75),$V75,$U75)))=Milestones!$AB$156),UPPER(TEXT(EDATE($D75,Milestones!$AA$156),"dd mmm yy"))&amp;" "&amp;Milestones!$AB$156&amp;" "&amp;Milestones!$AC$156&amp;";  ","")&amp;IF(AND(EDATE($D75,Milestones!$AA$157)&lt;=AsOfDate,IF($R75=0,$X75,IF(AND($T75&lt;&gt;"",EDATE($D75,Milestones!$AA$157)&gt;=$T75),$W75,IF(AND($S75&lt;&gt;"",EDATE($D75,Milestones!$AA$157)&gt;=$S75),$V75,$U75)))=Milestones!$AB$157),UPPER(TEXT(EDATE($D75,Milestones!$AA$157),"dd mmm yy"))&amp;" "&amp;Milestones!$AB$157&amp;" "&amp;Milestones!$AC$157&amp;";  ","")&amp;IF(AND(EDATE($D75,Milestones!$AA$158)&lt;=AsOfDate,IF($R75=0,$X75,IF(AND($T75&lt;&gt;"",EDATE($D75,Milestones!$AA$158)&gt;=$T75),$W75,IF(AND($S75&lt;&gt;"",EDATE($D75,Milestones!$AA$158)&gt;=$S75),$V75,$U75)))=Milestones!$AB$158),UPPER(TEXT(EDATE($D75,Milestones!$AA$158),"dd mmm yy"))&amp;" "&amp;Milestones!$AB$158&amp;" "&amp;Milestones!$AC$158&amp;";  ","")&amp;IF(AND(EDATE($D75,Milestones!$AA$159)&lt;=AsOfDate,IF($R75=0,$X75,IF(AND($T75&lt;&gt;"",EDATE($D75,Milestones!$AA$159)&gt;=$T75),$W75,IF(AND($S75&lt;&gt;"",EDATE($D75,Milestones!$AA$159)&gt;=$S75),$V75,$U75)))=Milestones!$AB$159),UPPER(TEXT(EDATE($D75,Milestones!$AA$159),"dd mmm yy"))&amp;" "&amp;Milestones!$AB$159&amp;" "&amp;Milestones!$AC$159&amp;";  ",""))</f>
        <v/>
      </c>
      <c r="P75" s="0" t="str">
        <f aca="false">IF(OR($A75="",$D75=""),"",IF(AND(EDATE($D75,Milestones!$AA$160)&lt;=AsOfDate,IF($R75=0,$X75,IF(AND($T75&lt;&gt;"",EDATE($D75,Milestones!$AA$160)&gt;=$T75),$W75,IF(AND($S75&lt;&gt;"",EDATE($D75,Milestones!$AA$160)&gt;=$S75),$V75,$U75)))=Milestones!$AB$160),UPPER(TEXT(EDATE($D75,Milestones!$AA$160),"dd mmm yy"))&amp;" "&amp;Milestones!$AB$160&amp;" "&amp;Milestones!$AC$160&amp;";  ","")&amp;IF(AND(EDATE($D75,Milestones!$AA$161)&lt;=AsOfDate,IF($R75=0,$X75,IF(AND($T75&lt;&gt;"",EDATE($D75,Milestones!$AA$161)&gt;=$T75),$W75,IF(AND($S75&lt;&gt;"",EDATE($D75,Milestones!$AA$161)&gt;=$S75),$V75,$U75)))=Milestones!$AB$161),UPPER(TEXT(EDATE($D75,Milestones!$AA$161),"dd mmm yy"))&amp;" "&amp;Milestones!$AB$161&amp;" "&amp;Milestones!$AC$161&amp;";  ","")&amp;IF(AND(EDATE($D75,Milestones!$AA$162)&lt;=AsOfDate,IF($R75=0,$X75,IF(AND($T75&lt;&gt;"",EDATE($D75,Milestones!$AA$162)&gt;=$T75),$W75,IF(AND($S75&lt;&gt;"",EDATE($D75,Milestones!$AA$162)&gt;=$S75),$V75,$U75)))=Milestones!$AB$162),UPPER(TEXT(EDATE($D75,Milestones!$AA$162),"dd mmm yy"))&amp;" "&amp;Milestones!$AB$162&amp;" "&amp;Milestones!$AC$162&amp;";  ","")&amp;IF(AND(EDATE($D75,Milestones!$AA$163)&lt;=AsOfDate,IF($R75=0,$X75,IF(AND($T75&lt;&gt;"",EDATE($D75,Milestones!$AA$163)&gt;=$T75),$W75,IF(AND($S75&lt;&gt;"",EDATE($D75,Milestones!$AA$163)&gt;=$S75),$V75,$U75)))=Milestones!$AB$163),UPPER(TEXT(EDATE($D75,Milestones!$AA$163),"dd mmm yy"))&amp;" "&amp;Milestones!$AB$163&amp;" "&amp;Milestones!$AC$163&amp;";  ","")&amp;IF(AND(EDATE($D75,Milestones!$AA$164)&lt;=AsOfDate,IF($R75=0,$X75,IF(AND($T75&lt;&gt;"",EDATE($D75,Milestones!$AA$164)&gt;=$T75),$W75,IF(AND($S75&lt;&gt;"",EDATE($D75,Milestones!$AA$164)&gt;=$S75),$V75,$U75)))=Milestones!$AB$164),UPPER(TEXT(EDATE($D75,Milestones!$AA$164),"dd mmm yy"))&amp;" "&amp;Milestones!$AB$164&amp;" "&amp;Milestones!$AC$164&amp;";  ","")&amp;IF(AND(EDATE($D75,Milestones!$AA$165)&lt;=AsOfDate,IF($R75=0,$X75,IF(AND($T75&lt;&gt;"",EDATE($D75,Milestones!$AA$165)&gt;=$T75),$W75,IF(AND($S75&lt;&gt;"",EDATE($D75,Milestones!$AA$165)&gt;=$S75),$V75,$U75)))=Milestones!$AB$165),UPPER(TEXT(EDATE($D75,Milestones!$AA$165),"dd mmm yy"))&amp;" "&amp;Milestones!$AB$165&amp;" "&amp;Milestones!$AC$165&amp;";  ","")&amp;IF(AND(EDATE($D75,Milestones!$AA$166)&lt;=AsOfDate,IF($R75=0,$X75,IF(AND($T75&lt;&gt;"",EDATE($D75,Milestones!$AA$166)&gt;=$T75),$W75,IF(AND($S75&lt;&gt;"",EDATE($D75,Milestones!$AA$166)&gt;=$S75),$V75,$U75)))=Milestones!$AB$166),UPPER(TEXT(EDATE($D75,Milestones!$AA$166),"dd mmm yy"))&amp;" "&amp;Milestones!$AB$166&amp;" "&amp;Milestones!$AC$166&amp;";  ","")&amp;IF(AND(EDATE($D75,Milestones!$AA$167)&lt;=AsOfDate,IF($R75=0,$X75,IF(AND($T75&lt;&gt;"",EDATE($D75,Milestones!$AA$167)&gt;=$T75),$W75,IF(AND($S75&lt;&gt;"",EDATE($D75,Milestones!$AA$167)&gt;=$S75),$V75,$U75)))=Milestones!$AB$167),UPPER(TEXT(EDATE($D75,Milestones!$AA$167),"dd mmm yy"))&amp;" "&amp;Milestones!$AB$167&amp;" "&amp;Milestones!$AC$167&amp;";  ","")&amp;IF(AND(EDATE($D75,Milestones!$AA$168)&lt;=AsOfDate,IF($R75=0,$X75,IF(AND($T75&lt;&gt;"",EDATE($D75,Milestones!$AA$168)&gt;=$T75),$W75,IF(AND($S75&lt;&gt;"",EDATE($D75,Milestones!$AA$168)&gt;=$S75),$V75,$U75)))=Milestones!$AB$168),UPPER(TEXT(EDATE($D75,Milestones!$AA$168),"dd mmm yy"))&amp;" "&amp;Milestones!$AB$168&amp;" "&amp;Milestones!$AC$168&amp;";  ","")&amp;IF(AND(EDATE($D75,Milestones!$AA$169)&lt;=AsOfDate,IF($R75=0,$X75,IF(AND($T75&lt;&gt;"",EDATE($D75,Milestones!$AA$169)&gt;=$T75),$W75,IF(AND($S75&lt;&gt;"",EDATE($D75,Milestones!$AA$169)&gt;=$S75),$V75,$U75)))=Milestones!$AB$169),UPPER(TEXT(EDATE($D75,Milestones!$AA$169),"dd mmm yy"))&amp;" "&amp;Milestones!$AB$169&amp;" "&amp;Milestones!$AC$169&amp;";  ","")&amp;IF(AND(EDATE($D75,Milestones!$AA$170)&lt;=AsOfDate,IF($R75=0,$X75,IF(AND($T75&lt;&gt;"",EDATE($D75,Milestones!$AA$170)&gt;=$T75),$W75,IF(AND($S75&lt;&gt;"",EDATE($D75,Milestones!$AA$170)&gt;=$S75),$V75,$U75)))=Milestones!$AB$170),UPPER(TEXT(EDATE($D75,Milestones!$AA$170),"dd mmm yy"))&amp;" "&amp;Milestones!$AB$170&amp;" "&amp;Milestones!$AC$170&amp;";  ","")&amp;IF(AND(EDATE($D75,Milestones!$AA$171)&lt;=AsOfDate,IF($R75=0,$X75,IF(AND($T75&lt;&gt;"",EDATE($D75,Milestones!$AA$171)&gt;=$T75),$W75,IF(AND($S75&lt;&gt;"",EDATE($D75,Milestones!$AA$171)&gt;=$S75),$V75,$U75)))=Milestones!$AB$171),UPPER(TEXT(EDATE($D75,Milestones!$AA$171),"dd mmm yy"))&amp;" "&amp;Milestones!$AB$171&amp;" "&amp;Milestones!$AC$171&amp;";  ","")&amp;IF(AND(EDATE($D75,Milestones!$AA$172)&lt;=AsOfDate,IF($R75=0,$X75,IF(AND($T75&lt;&gt;"",EDATE($D75,Milestones!$AA$172)&gt;=$T75),$W75,IF(AND($S75&lt;&gt;"",EDATE($D75,Milestones!$AA$172)&gt;=$S75),$V75,$U75)))=Milestones!$AB$172),UPPER(TEXT(EDATE($D75,Milestones!$AA$172),"dd mmm yy"))&amp;" "&amp;Milestones!$AB$172&amp;" "&amp;Milestones!$AC$172&amp;";  ","")&amp;IF(AND(EDATE($D75,Milestones!$AA$173)&lt;=AsOfDate,IF($R75=0,$X75,IF(AND($T75&lt;&gt;"",EDATE($D75,Milestones!$AA$173)&gt;=$T75),$W75,IF(AND($S75&lt;&gt;"",EDATE($D75,Milestones!$AA$173)&gt;=$S75),$V75,$U75)))=Milestones!$AB$173),UPPER(TEXT(EDATE($D75,Milestones!$AA$173),"dd mmm yy"))&amp;" "&amp;Milestones!$AB$173&amp;" "&amp;Milestones!$AC$173&amp;";  ","")&amp;IF(AND(EDATE($D75,Milestones!$AA$174)&lt;=AsOfDate,IF($R75=0,$X75,IF(AND($T75&lt;&gt;"",EDATE($D75,Milestones!$AA$174)&gt;=$T75),$W75,IF(AND($S75&lt;&gt;"",EDATE($D75,Milestones!$AA$174)&gt;=$S75),$V75,$U75)))=Milestones!$AB$174),UPPER(TEXT(EDATE($D75,Milestones!$AA$174),"dd mmm yy"))&amp;" "&amp;Milestones!$AB$174&amp;" "&amp;Milestones!$AC$174&amp;";  ","")&amp;IF(AND(EDATE($D75,Milestones!$AA$175)&lt;=AsOfDate,IF($R75=0,$X75,IF(AND($T75&lt;&gt;"",EDATE($D75,Milestones!$AA$175)&gt;=$T75),$W75,IF(AND($S75&lt;&gt;"",EDATE($D75,Milestones!$AA$175)&gt;=$S75),$V75,$U75)))=Milestones!$AB$175),UPPER(TEXT(EDATE($D75,Milestones!$AA$175),"dd mmm yy"))&amp;" "&amp;Milestones!$AB$175&amp;" "&amp;Milestones!$AC$175&amp;";  ","")&amp;IF(AND(EDATE($D75,Milestones!$AA$176)&lt;=AsOfDate,IF($R75=0,$X75,IF(AND($T75&lt;&gt;"",EDATE($D75,Milestones!$AA$176)&gt;=$T75),$W75,IF(AND($S75&lt;&gt;"",EDATE($D75,Milestones!$AA$176)&gt;=$S75),$V75,$U75)))=Milestones!$AB$176),UPPER(TEXT(EDATE($D75,Milestones!$AA$176),"dd mmm yy"))&amp;" "&amp;Milestones!$AB$176&amp;" "&amp;Milestones!$AC$176&amp;";  ","")&amp;IF(AND(EDATE($D75,Milestones!$AA$177)&lt;=AsOfDate,IF($R75=0,$X75,IF(AND($T75&lt;&gt;"",EDATE($D75,Milestones!$AA$177)&gt;=$T75),$W75,IF(AND($S75&lt;&gt;"",EDATE($D75,Milestones!$AA$177)&gt;=$S75),$V75,$U75)))=Milestones!$AB$177),UPPER(TEXT(EDATE($D75,Milestones!$AA$177),"dd mmm yy"))&amp;" "&amp;Milestones!$AB$177&amp;" "&amp;Milestones!$AC$177&amp;";  ","")&amp;IF(AND(EDATE($D75,Milestones!$AA$178)&lt;=AsOfDate,IF($R75=0,$X75,IF(AND($T75&lt;&gt;"",EDATE($D75,Milestones!$AA$178)&gt;=$T75),$W75,IF(AND($S75&lt;&gt;"",EDATE($D75,Milestones!$AA$178)&gt;=$S75),$V75,$U75)))=Milestones!$AB$178),UPPER(TEXT(EDATE($D75,Milestones!$AA$178),"dd mmm yy"))&amp;" "&amp;Milestones!$AB$178&amp;" "&amp;Milestones!$AC$178&amp;";  ","")&amp;IF(AND(EDATE($D75,Milestones!$AA$179)&lt;=AsOfDate,IF($R75=0,$X75,IF(AND($T75&lt;&gt;"",EDATE($D75,Milestones!$AA$179)&gt;=$T75),$W75,IF(AND($S75&lt;&gt;"",EDATE($D75,Milestones!$AA$179)&gt;=$S75),$V75,$U75)))=Milestones!$AB$179),UPPER(TEXT(EDATE($D75,Milestones!$AA$179),"dd mmm yy"))&amp;" "&amp;Milestones!$AB$179&amp;" "&amp;Milestones!$AC$179&amp;";  ",""))</f>
        <v/>
      </c>
      <c r="Q75" s="0" t="str">
        <f aca="false">IF(OR($A75="",$D75=""),"",IF(AND(EDATE($D75,Milestones!$AA$180)&lt;=AsOfDate,IF($R75=0,$X75,IF(AND($T75&lt;&gt;"",EDATE($D75,Milestones!$AA$180)&gt;=$T75),$W75,IF(AND($S75&lt;&gt;"",EDATE($D75,Milestones!$AA$180)&gt;=$S75),$V75,$U75)))=Milestones!$AB$180),UPPER(TEXT(EDATE($D75,Milestones!$AA$180),"dd mmm yy"))&amp;" "&amp;Milestones!$AB$180&amp;" "&amp;Milestones!$AC$180&amp;";  ","")&amp;IF(AND(EDATE($D75,Milestones!$AA$181)&lt;=AsOfDate,IF($R75=0,$X75,IF(AND($T75&lt;&gt;"",EDATE($D75,Milestones!$AA$181)&gt;=$T75),$W75,IF(AND($S75&lt;&gt;"",EDATE($D75,Milestones!$AA$181)&gt;=$S75),$V75,$U75)))=Milestones!$AB$181),UPPER(TEXT(EDATE($D75,Milestones!$AA$181),"dd mmm yy"))&amp;" "&amp;Milestones!$AB$181&amp;" "&amp;Milestones!$AC$181&amp;";  ","")&amp;IF(AND(EDATE($D75,Milestones!$AA$182)&lt;=AsOfDate,IF($R75=0,$X75,IF(AND($T75&lt;&gt;"",EDATE($D75,Milestones!$AA$182)&gt;=$T75),$W75,IF(AND($S75&lt;&gt;"",EDATE($D75,Milestones!$AA$182)&gt;=$S75),$V75,$U75)))=Milestones!$AB$182),UPPER(TEXT(EDATE($D75,Milestones!$AA$182),"dd mmm yy"))&amp;" "&amp;Milestones!$AB$182&amp;" "&amp;Milestones!$AC$182&amp;";  ","")&amp;IF(AND(EDATE($D75,Milestones!$AA$183)&lt;=AsOfDate,IF($R75=0,$X75,IF(AND($T75&lt;&gt;"",EDATE($D75,Milestones!$AA$183)&gt;=$T75),$W75,IF(AND($S75&lt;&gt;"",EDATE($D75,Milestones!$AA$183)&gt;=$S75),$V75,$U75)))=Milestones!$AB$183),UPPER(TEXT(EDATE($D75,Milestones!$AA$183),"dd mmm yy"))&amp;" "&amp;Milestones!$AB$183&amp;" "&amp;Milestones!$AC$183&amp;";  ","")&amp;IF(AND(EDATE($D75,Milestones!$AA$184)&lt;=AsOfDate,IF($R75=0,$X75,IF(AND($T75&lt;&gt;"",EDATE($D75,Milestones!$AA$184)&gt;=$T75),$W75,IF(AND($S75&lt;&gt;"",EDATE($D75,Milestones!$AA$184)&gt;=$S75),$V75,$U75)))=Milestones!$AB$184),UPPER(TEXT(EDATE($D75,Milestones!$AA$184),"dd mmm yy"))&amp;" "&amp;Milestones!$AB$184&amp;" "&amp;Milestones!$AC$184&amp;";  ","")&amp;IF(AND(EDATE($D75,Milestones!$AA$185)&lt;=AsOfDate,IF($R75=0,$X75,IF(AND($T75&lt;&gt;"",EDATE($D75,Milestones!$AA$185)&gt;=$T75),$W75,IF(AND($S75&lt;&gt;"",EDATE($D75,Milestones!$AA$185)&gt;=$S75),$V75,$U75)))=Milestones!$AB$185),UPPER(TEXT(EDATE($D75,Milestones!$AA$185),"dd mmm yy"))&amp;" "&amp;Milestones!$AB$185&amp;" "&amp;Milestones!$AC$185&amp;";  ","")&amp;IF(AND(EDATE($D75,Milestones!$AA$186)&lt;=AsOfDate,IF($R75=0,$X75,IF(AND($T75&lt;&gt;"",EDATE($D75,Milestones!$AA$186)&gt;=$T75),$W75,IF(AND($S75&lt;&gt;"",EDATE($D75,Milestones!$AA$186)&gt;=$S75),$V75,$U75)))=Milestones!$AB$186),UPPER(TEXT(EDATE($D75,Milestones!$AA$186),"dd mmm yy"))&amp;" "&amp;Milestones!$AB$186&amp;" "&amp;Milestones!$AC$186&amp;";  ","")&amp;IF(AND(EDATE($D75,Milestones!$AA$187)&lt;=AsOfDate,IF($R75=0,$X75,IF(AND($T75&lt;&gt;"",EDATE($D75,Milestones!$AA$187)&gt;=$T75),$W75,IF(AND($S75&lt;&gt;"",EDATE($D75,Milestones!$AA$187)&gt;=$S75),$V75,$U75)))=Milestones!$AB$187),UPPER(TEXT(EDATE($D75,Milestones!$AA$187),"dd mmm yy"))&amp;" "&amp;Milestones!$AB$187&amp;" "&amp;Milestones!$AC$187&amp;";  ","")&amp;IF(AND(EDATE($D75,Milestones!$AA$188)&lt;=AsOfDate,IF($R75=0,$X75,IF(AND($T75&lt;&gt;"",EDATE($D75,Milestones!$AA$188)&gt;=$T75),$W75,IF(AND($S75&lt;&gt;"",EDATE($D75,Milestones!$AA$188)&gt;=$S75),$V75,$U75)))=Milestones!$AB$188),UPPER(TEXT(EDATE($D75,Milestones!$AA$188),"dd mmm yy"))&amp;" "&amp;Milestones!$AB$188&amp;" "&amp;Milestones!$AC$188&amp;";  ","")&amp;IF(AND(EDATE($D75,Milestones!$AA$189)&lt;=AsOfDate,IF($R75=0,$X75,IF(AND($T75&lt;&gt;"",EDATE($D75,Milestones!$AA$189)&gt;=$T75),$W75,IF(AND($S75&lt;&gt;"",EDATE($D75,Milestones!$AA$189)&gt;=$S75),$V75,$U75)))=Milestones!$AB$189),UPPER(TEXT(EDATE($D75,Milestones!$AA$189),"dd mmm yy"))&amp;" "&amp;Milestones!$AB$189&amp;" "&amp;Milestones!$AC$189&amp;";  ","")&amp;IF(AND(EDATE($D75,Milestones!$AA$190)&lt;=AsOfDate,IF($R75=0,$X75,IF(AND($T75&lt;&gt;"",EDATE($D75,Milestones!$AA$190)&gt;=$T75),$W75,IF(AND($S75&lt;&gt;"",EDATE($D75,Milestones!$AA$190)&gt;=$S75),$V75,$U75)))=Milestones!$AB$190),UPPER(TEXT(EDATE($D75,Milestones!$AA$190),"dd mmm yy"))&amp;" "&amp;Milestones!$AB$190&amp;" "&amp;Milestones!$AC$190&amp;";  ","")&amp;IF(AND(EDATE($D75,Milestones!$AA$191)&lt;=AsOfDate,IF($R75=0,$X75,IF(AND($T75&lt;&gt;"",EDATE($D75,Milestones!$AA$191)&gt;=$T75),$W75,IF(AND($S75&lt;&gt;"",EDATE($D75,Milestones!$AA$191)&gt;=$S75),$V75,$U75)))=Milestones!$AB$191),UPPER(TEXT(EDATE($D75,Milestones!$AA$191),"dd mmm yy"))&amp;" "&amp;Milestones!$AB$191&amp;" "&amp;Milestones!$AC$191&amp;";  ","")&amp;IF(AND(EDATE($D75,Milestones!$AA$192)&lt;=AsOfDate,IF($R75=0,$X75,IF(AND($T75&lt;&gt;"",EDATE($D75,Milestones!$AA$192)&gt;=$T75),$W75,IF(AND($S75&lt;&gt;"",EDATE($D75,Milestones!$AA$192)&gt;=$S75),$V75,$U75)))=Milestones!$AB$192),UPPER(TEXT(EDATE($D75,Milestones!$AA$192),"dd mmm yy"))&amp;" "&amp;Milestones!$AB$192&amp;" "&amp;Milestones!$AC$192&amp;";  ","")&amp;IF(AND(EDATE($D75,Milestones!$AA$193)&lt;=AsOfDate,IF($R75=0,$X75,IF(AND($T75&lt;&gt;"",EDATE($D75,Milestones!$AA$193)&gt;=$T75),$W75,IF(AND($S75&lt;&gt;"",EDATE($D75,Milestones!$AA$193)&gt;=$S75),$V75,$U75)))=Milestones!$AB$193),UPPER(TEXT(EDATE($D75,Milestones!$AA$193),"dd mmm yy"))&amp;" "&amp;Milestones!$AB$193&amp;" "&amp;Milestones!$AC$193&amp;";  ","")&amp;IF(AND(EDATE($D75,Milestones!$AA$194)&lt;=AsOfDate,IF($R75=0,$X75,IF(AND($T75&lt;&gt;"",EDATE($D75,Milestones!$AA$194)&gt;=$T75),$W75,IF(AND($S75&lt;&gt;"",EDATE($D75,Milestones!$AA$194)&gt;=$S75),$V75,$U75)))=Milestones!$AB$194),UPPER(TEXT(EDATE($D75,Milestones!$AA$194),"dd mmm yy"))&amp;" "&amp;Milestones!$AB$194&amp;" "&amp;Milestones!$AC$194&amp;";  ","")&amp;IF(AND(EDATE($D75,Milestones!$AA$195)&lt;=AsOfDate,IF($R75=0,$X75,IF(AND($T75&lt;&gt;"",EDATE($D75,Milestones!$AA$195)&gt;=$T75),$W75,IF(AND($S75&lt;&gt;"",EDATE($D75,Milestones!$AA$195)&gt;=$S75),$V75,$U75)))=Milestones!$AB$195),UPPER(TEXT(EDATE($D75,Milestones!$AA$195),"dd mmm yy"))&amp;" "&amp;Milestones!$AB$195&amp;" "&amp;Milestones!$AC$195&amp;";  ","")&amp;IF(AND(EDATE($D75,Milestones!$AA$196)&lt;=AsOfDate,IF($R75=0,$X75,IF(AND($T75&lt;&gt;"",EDATE($D75,Milestones!$AA$196)&gt;=$T75),$W75,IF(AND($S75&lt;&gt;"",EDATE($D75,Milestones!$AA$196)&gt;=$S75),$V75,$U75)))=Milestones!$AB$196),UPPER(TEXT(EDATE($D75,Milestones!$AA$196),"dd mmm yy"))&amp;" "&amp;Milestones!$AB$196&amp;" "&amp;Milestones!$AC$196&amp;";  ","")&amp;IF(AND(EDATE($D75,Milestones!$AA$197)&lt;=AsOfDate,IF($R75=0,$X75,IF(AND($T75&lt;&gt;"",EDATE($D75,Milestones!$AA$197)&gt;=$T75),$W75,IF(AND($S75&lt;&gt;"",EDATE($D75,Milestones!$AA$197)&gt;=$S75),$V75,$U75)))=Milestones!$AB$197),UPPER(TEXT(EDATE($D75,Milestones!$AA$197),"dd mmm yy"))&amp;" "&amp;Milestones!$AB$197&amp;" "&amp;Milestones!$AC$197&amp;";  ","")&amp;IF(AND(EDATE($D75,Milestones!$AA$198)&lt;=AsOfDate,IF($R75=0,$X75,IF(AND($T75&lt;&gt;"",EDATE($D75,Milestones!$AA$198)&gt;=$T75),$W75,IF(AND($S75&lt;&gt;"",EDATE($D75,Milestones!$AA$198)&gt;=$S75),$V75,$U75)))=Milestones!$AB$198),UPPER(TEXT(EDATE($D75,Milestones!$AA$198),"dd mmm yy"))&amp;" "&amp;Milestones!$AB$198&amp;" "&amp;Milestones!$AC$198&amp;";  ","")&amp;IF(AND(EDATE($D75,Milestones!$AA$199)&lt;=AsOfDate,IF($R75=0,$X75,IF(AND($T75&lt;&gt;"",EDATE($D75,Milestones!$AA$199)&gt;=$T75),$W75,IF(AND($S75&lt;&gt;"",EDATE($D75,Milestones!$AA$199)&gt;=$S75),$V75,$U75)))=Milestones!$AB$199),UPPER(TEXT(EDATE($D75,Milestones!$AA$199),"dd mmm yy"))&amp;" "&amp;Milestones!$AB$199&amp;" "&amp;Milestones!$AC$199&amp;";  ",""))</f>
        <v/>
      </c>
      <c r="R75" s="0" t="str">
        <f aca="false">IF(Staff!$A75="","",Staff!$AI75)</f>
        <v/>
      </c>
      <c r="S75" s="0" t="str">
        <f aca="false">IF(Staff!$A75="","",Staff!$AK75)</f>
        <v/>
      </c>
      <c r="T75" s="0" t="str">
        <f aca="false">IF(Staff!$A75="","",Staff!$AL75)</f>
        <v/>
      </c>
      <c r="U75" s="0" t="str">
        <f aca="false">IF(Staff!$A75="","",Staff!$AP75)</f>
        <v/>
      </c>
      <c r="V75" s="0" t="str">
        <f aca="false">IF(Staff!$A75="","",Staff!$AQ75)</f>
        <v/>
      </c>
      <c r="W75" s="0" t="str">
        <f aca="false">IF(Staff!$A75="","",Staff!$AR75)</f>
        <v/>
      </c>
      <c r="X75" s="0" t="str">
        <f aca="false">IF(Staff!$A75="","",Staff!$AS75)</f>
        <v/>
      </c>
    </row>
    <row r="76" customFormat="false" ht="15" hidden="false" customHeight="false" outlineLevel="0" collapsed="false">
      <c r="A76" s="19" t="str">
        <f aca="false">IF(Staff!$A76="","",Staff!$A76)</f>
        <v/>
      </c>
      <c r="B76" s="19" t="str">
        <f aca="false">IF(Staff!$A76="","",Staff!$B76)</f>
        <v/>
      </c>
      <c r="C76" s="19" t="str">
        <f aca="false">IF(Staff!$A76="","",Staff!$C76)</f>
        <v/>
      </c>
      <c r="D76" s="17" t="str">
        <f aca="false">IF(Staff!$A76="","",Staff!$AH76)</f>
        <v/>
      </c>
      <c r="E76" s="19" t="str">
        <f aca="false">IF(Staff!$A76="","",Staff!$O76)</f>
        <v/>
      </c>
      <c r="F76" s="19" t="str">
        <f aca="false">IF(E76="","",E76*HoursPerDay)</f>
        <v/>
      </c>
      <c r="G76" s="19" t="str">
        <f aca="false">IF(Staff!$A76="","",Staff!$AE76)</f>
        <v/>
      </c>
      <c r="H76" s="32" t="str">
        <f aca="false">IF($A76="","",I76&amp;J76&amp;K76&amp;L76&amp;M76&amp;N76&amp;O76&amp;P76&amp;Q76)</f>
        <v/>
      </c>
      <c r="I76" s="0" t="str">
        <f aca="false">IF(OR($A76="",$D76=""),"",IF(AND(EDATE($D76,Milestones!$AA$20)&lt;=AsOfDate,IF($R76=0,$X76,IF(AND($T76&lt;&gt;"",EDATE($D76,Milestones!$AA$20)&gt;=$T76),$W76,IF(AND($S76&lt;&gt;"",EDATE($D76,Milestones!$AA$20)&gt;=$S76),$V76,$U76)))=Milestones!$AB$20),UPPER(TEXT(EDATE($D76,Milestones!$AA$20),"dd mmm yy"))&amp;" "&amp;Milestones!$AB$20&amp;" "&amp;Milestones!$AC$20&amp;";  ","")&amp;IF(AND(EDATE($D76,Milestones!$AA$21)&lt;=AsOfDate,IF($R76=0,$X76,IF(AND($T76&lt;&gt;"",EDATE($D76,Milestones!$AA$21)&gt;=$T76),$W76,IF(AND($S76&lt;&gt;"",EDATE($D76,Milestones!$AA$21)&gt;=$S76),$V76,$U76)))=Milestones!$AB$21),UPPER(TEXT(EDATE($D76,Milestones!$AA$21),"dd mmm yy"))&amp;" "&amp;Milestones!$AB$21&amp;" "&amp;Milestones!$AC$21&amp;";  ","")&amp;IF(AND(EDATE($D76,Milestones!$AA$22)&lt;=AsOfDate,IF($R76=0,$X76,IF(AND($T76&lt;&gt;"",EDATE($D76,Milestones!$AA$22)&gt;=$T76),$W76,IF(AND($S76&lt;&gt;"",EDATE($D76,Milestones!$AA$22)&gt;=$S76),$V76,$U76)))=Milestones!$AB$22),UPPER(TEXT(EDATE($D76,Milestones!$AA$22),"dd mmm yy"))&amp;" "&amp;Milestones!$AB$22&amp;" "&amp;Milestones!$AC$22&amp;";  ","")&amp;IF(AND(EDATE($D76,Milestones!$AA$23)&lt;=AsOfDate,IF($R76=0,$X76,IF(AND($T76&lt;&gt;"",EDATE($D76,Milestones!$AA$23)&gt;=$T76),$W76,IF(AND($S76&lt;&gt;"",EDATE($D76,Milestones!$AA$23)&gt;=$S76),$V76,$U76)))=Milestones!$AB$23),UPPER(TEXT(EDATE($D76,Milestones!$AA$23),"dd mmm yy"))&amp;" "&amp;Milestones!$AB$23&amp;" "&amp;Milestones!$AC$23&amp;";  ","")&amp;IF(AND(EDATE($D76,Milestones!$AA$24)&lt;=AsOfDate,IF($R76=0,$X76,IF(AND($T76&lt;&gt;"",EDATE($D76,Milestones!$AA$24)&gt;=$T76),$W76,IF(AND($S76&lt;&gt;"",EDATE($D76,Milestones!$AA$24)&gt;=$S76),$V76,$U76)))=Milestones!$AB$24),UPPER(TEXT(EDATE($D76,Milestones!$AA$24),"dd mmm yy"))&amp;" "&amp;Milestones!$AB$24&amp;" "&amp;Milestones!$AC$24&amp;";  ","")&amp;IF(AND(EDATE($D76,Milestones!$AA$25)&lt;=AsOfDate,IF($R76=0,$X76,IF(AND($T76&lt;&gt;"",EDATE($D76,Milestones!$AA$25)&gt;=$T76),$W76,IF(AND($S76&lt;&gt;"",EDATE($D76,Milestones!$AA$25)&gt;=$S76),$V76,$U76)))=Milestones!$AB$25),UPPER(TEXT(EDATE($D76,Milestones!$AA$25),"dd mmm yy"))&amp;" "&amp;Milestones!$AB$25&amp;" "&amp;Milestones!$AC$25&amp;";  ","")&amp;IF(AND(EDATE($D76,Milestones!$AA$26)&lt;=AsOfDate,IF($R76=0,$X76,IF(AND($T76&lt;&gt;"",EDATE($D76,Milestones!$AA$26)&gt;=$T76),$W76,IF(AND($S76&lt;&gt;"",EDATE($D76,Milestones!$AA$26)&gt;=$S76),$V76,$U76)))=Milestones!$AB$26),UPPER(TEXT(EDATE($D76,Milestones!$AA$26),"dd mmm yy"))&amp;" "&amp;Milestones!$AB$26&amp;" "&amp;Milestones!$AC$26&amp;";  ","")&amp;IF(AND(EDATE($D76,Milestones!$AA$27)&lt;=AsOfDate,IF($R76=0,$X76,IF(AND($T76&lt;&gt;"",EDATE($D76,Milestones!$AA$27)&gt;=$T76),$W76,IF(AND($S76&lt;&gt;"",EDATE($D76,Milestones!$AA$27)&gt;=$S76),$V76,$U76)))=Milestones!$AB$27),UPPER(TEXT(EDATE($D76,Milestones!$AA$27),"dd mmm yy"))&amp;" "&amp;Milestones!$AB$27&amp;" "&amp;Milestones!$AC$27&amp;";  ","")&amp;IF(AND(EDATE($D76,Milestones!$AA$28)&lt;=AsOfDate,IF($R76=0,$X76,IF(AND($T76&lt;&gt;"",EDATE($D76,Milestones!$AA$28)&gt;=$T76),$W76,IF(AND($S76&lt;&gt;"",EDATE($D76,Milestones!$AA$28)&gt;=$S76),$V76,$U76)))=Milestones!$AB$28),UPPER(TEXT(EDATE($D76,Milestones!$AA$28),"dd mmm yy"))&amp;" "&amp;Milestones!$AB$28&amp;" "&amp;Milestones!$AC$28&amp;";  ","")&amp;IF(AND(EDATE($D76,Milestones!$AA$29)&lt;=AsOfDate,IF($R76=0,$X76,IF(AND($T76&lt;&gt;"",EDATE($D76,Milestones!$AA$29)&gt;=$T76),$W76,IF(AND($S76&lt;&gt;"",EDATE($D76,Milestones!$AA$29)&gt;=$S76),$V76,$U76)))=Milestones!$AB$29),UPPER(TEXT(EDATE($D76,Milestones!$AA$29),"dd mmm yy"))&amp;" "&amp;Milestones!$AB$29&amp;" "&amp;Milestones!$AC$29&amp;";  ","")&amp;IF(AND(EDATE($D76,Milestones!$AA$30)&lt;=AsOfDate,IF($R76=0,$X76,IF(AND($T76&lt;&gt;"",EDATE($D76,Milestones!$AA$30)&gt;=$T76),$W76,IF(AND($S76&lt;&gt;"",EDATE($D76,Milestones!$AA$30)&gt;=$S76),$V76,$U76)))=Milestones!$AB$30),UPPER(TEXT(EDATE($D76,Milestones!$AA$30),"dd mmm yy"))&amp;" "&amp;Milestones!$AB$30&amp;" "&amp;Milestones!$AC$30&amp;";  ","")&amp;IF(AND(EDATE($D76,Milestones!$AA$31)&lt;=AsOfDate,IF($R76=0,$X76,IF(AND($T76&lt;&gt;"",EDATE($D76,Milestones!$AA$31)&gt;=$T76),$W76,IF(AND($S76&lt;&gt;"",EDATE($D76,Milestones!$AA$31)&gt;=$S76),$V76,$U76)))=Milestones!$AB$31),UPPER(TEXT(EDATE($D76,Milestones!$AA$31),"dd mmm yy"))&amp;" "&amp;Milestones!$AB$31&amp;" "&amp;Milestones!$AC$31&amp;";  ","")&amp;IF(AND(EDATE($D76,Milestones!$AA$32)&lt;=AsOfDate,IF($R76=0,$X76,IF(AND($T76&lt;&gt;"",EDATE($D76,Milestones!$AA$32)&gt;=$T76),$W76,IF(AND($S76&lt;&gt;"",EDATE($D76,Milestones!$AA$32)&gt;=$S76),$V76,$U76)))=Milestones!$AB$32),UPPER(TEXT(EDATE($D76,Milestones!$AA$32),"dd mmm yy"))&amp;" "&amp;Milestones!$AB$32&amp;" "&amp;Milestones!$AC$32&amp;";  ","")&amp;IF(AND(EDATE($D76,Milestones!$AA$33)&lt;=AsOfDate,IF($R76=0,$X76,IF(AND($T76&lt;&gt;"",EDATE($D76,Milestones!$AA$33)&gt;=$T76),$W76,IF(AND($S76&lt;&gt;"",EDATE($D76,Milestones!$AA$33)&gt;=$S76),$V76,$U76)))=Milestones!$AB$33),UPPER(TEXT(EDATE($D76,Milestones!$AA$33),"dd mmm yy"))&amp;" "&amp;Milestones!$AB$33&amp;" "&amp;Milestones!$AC$33&amp;";  ","")&amp;IF(AND(EDATE($D76,Milestones!$AA$34)&lt;=AsOfDate,IF($R76=0,$X76,IF(AND($T76&lt;&gt;"",EDATE($D76,Milestones!$AA$34)&gt;=$T76),$W76,IF(AND($S76&lt;&gt;"",EDATE($D76,Milestones!$AA$34)&gt;=$S76),$V76,$U76)))=Milestones!$AB$34),UPPER(TEXT(EDATE($D76,Milestones!$AA$34),"dd mmm yy"))&amp;" "&amp;Milestones!$AB$34&amp;" "&amp;Milestones!$AC$34&amp;";  ","")&amp;IF(AND(EDATE($D76,Milestones!$AA$35)&lt;=AsOfDate,IF($R76=0,$X76,IF(AND($T76&lt;&gt;"",EDATE($D76,Milestones!$AA$35)&gt;=$T76),$W76,IF(AND($S76&lt;&gt;"",EDATE($D76,Milestones!$AA$35)&gt;=$S76),$V76,$U76)))=Milestones!$AB$35),UPPER(TEXT(EDATE($D76,Milestones!$AA$35),"dd mmm yy"))&amp;" "&amp;Milestones!$AB$35&amp;" "&amp;Milestones!$AC$35&amp;";  ","")&amp;IF(AND(EDATE($D76,Milestones!$AA$36)&lt;=AsOfDate,IF($R76=0,$X76,IF(AND($T76&lt;&gt;"",EDATE($D76,Milestones!$AA$36)&gt;=$T76),$W76,IF(AND($S76&lt;&gt;"",EDATE($D76,Milestones!$AA$36)&gt;=$S76),$V76,$U76)))=Milestones!$AB$36),UPPER(TEXT(EDATE($D76,Milestones!$AA$36),"dd mmm yy"))&amp;" "&amp;Milestones!$AB$36&amp;" "&amp;Milestones!$AC$36&amp;";  ","")&amp;IF(AND(EDATE($D76,Milestones!$AA$37)&lt;=AsOfDate,IF($R76=0,$X76,IF(AND($T76&lt;&gt;"",EDATE($D76,Milestones!$AA$37)&gt;=$T76),$W76,IF(AND($S76&lt;&gt;"",EDATE($D76,Milestones!$AA$37)&gt;=$S76),$V76,$U76)))=Milestones!$AB$37),UPPER(TEXT(EDATE($D76,Milestones!$AA$37),"dd mmm yy"))&amp;" "&amp;Milestones!$AB$37&amp;" "&amp;Milestones!$AC$37&amp;";  ","")&amp;IF(AND(EDATE($D76,Milestones!$AA$38)&lt;=AsOfDate,IF($R76=0,$X76,IF(AND($T76&lt;&gt;"",EDATE($D76,Milestones!$AA$38)&gt;=$T76),$W76,IF(AND($S76&lt;&gt;"",EDATE($D76,Milestones!$AA$38)&gt;=$S76),$V76,$U76)))=Milestones!$AB$38),UPPER(TEXT(EDATE($D76,Milestones!$AA$38),"dd mmm yy"))&amp;" "&amp;Milestones!$AB$38&amp;" "&amp;Milestones!$AC$38&amp;";  ","")&amp;IF(AND(EDATE($D76,Milestones!$AA$39)&lt;=AsOfDate,IF($R76=0,$X76,IF(AND($T76&lt;&gt;"",EDATE($D76,Milestones!$AA$39)&gt;=$T76),$W76,IF(AND($S76&lt;&gt;"",EDATE($D76,Milestones!$AA$39)&gt;=$S76),$V76,$U76)))=Milestones!$AB$39),UPPER(TEXT(EDATE($D76,Milestones!$AA$39),"dd mmm yy"))&amp;" "&amp;Milestones!$AB$39&amp;" "&amp;Milestones!$AC$39&amp;";  ",""))</f>
        <v/>
      </c>
      <c r="J76" s="0" t="str">
        <f aca="false">IF(OR($A76="",$D76=""),"",IF(AND(EDATE($D76,Milestones!$AA$40)&lt;=AsOfDate,IF($R76=0,$X76,IF(AND($T76&lt;&gt;"",EDATE($D76,Milestones!$AA$40)&gt;=$T76),$W76,IF(AND($S76&lt;&gt;"",EDATE($D76,Milestones!$AA$40)&gt;=$S76),$V76,$U76)))=Milestones!$AB$40),UPPER(TEXT(EDATE($D76,Milestones!$AA$40),"dd mmm yy"))&amp;" "&amp;Milestones!$AB$40&amp;" "&amp;Milestones!$AC$40&amp;";  ","")&amp;IF(AND(EDATE($D76,Milestones!$AA$41)&lt;=AsOfDate,IF($R76=0,$X76,IF(AND($T76&lt;&gt;"",EDATE($D76,Milestones!$AA$41)&gt;=$T76),$W76,IF(AND($S76&lt;&gt;"",EDATE($D76,Milestones!$AA$41)&gt;=$S76),$V76,$U76)))=Milestones!$AB$41),UPPER(TEXT(EDATE($D76,Milestones!$AA$41),"dd mmm yy"))&amp;" "&amp;Milestones!$AB$41&amp;" "&amp;Milestones!$AC$41&amp;";  ","")&amp;IF(AND(EDATE($D76,Milestones!$AA$42)&lt;=AsOfDate,IF($R76=0,$X76,IF(AND($T76&lt;&gt;"",EDATE($D76,Milestones!$AA$42)&gt;=$T76),$W76,IF(AND($S76&lt;&gt;"",EDATE($D76,Milestones!$AA$42)&gt;=$S76),$V76,$U76)))=Milestones!$AB$42),UPPER(TEXT(EDATE($D76,Milestones!$AA$42),"dd mmm yy"))&amp;" "&amp;Milestones!$AB$42&amp;" "&amp;Milestones!$AC$42&amp;";  ","")&amp;IF(AND(EDATE($D76,Milestones!$AA$43)&lt;=AsOfDate,IF($R76=0,$X76,IF(AND($T76&lt;&gt;"",EDATE($D76,Milestones!$AA$43)&gt;=$T76),$W76,IF(AND($S76&lt;&gt;"",EDATE($D76,Milestones!$AA$43)&gt;=$S76),$V76,$U76)))=Milestones!$AB$43),UPPER(TEXT(EDATE($D76,Milestones!$AA$43),"dd mmm yy"))&amp;" "&amp;Milestones!$AB$43&amp;" "&amp;Milestones!$AC$43&amp;";  ","")&amp;IF(AND(EDATE($D76,Milestones!$AA$44)&lt;=AsOfDate,IF($R76=0,$X76,IF(AND($T76&lt;&gt;"",EDATE($D76,Milestones!$AA$44)&gt;=$T76),$W76,IF(AND($S76&lt;&gt;"",EDATE($D76,Milestones!$AA$44)&gt;=$S76),$V76,$U76)))=Milestones!$AB$44),UPPER(TEXT(EDATE($D76,Milestones!$AA$44),"dd mmm yy"))&amp;" "&amp;Milestones!$AB$44&amp;" "&amp;Milestones!$AC$44&amp;";  ","")&amp;IF(AND(EDATE($D76,Milestones!$AA$45)&lt;=AsOfDate,IF($R76=0,$X76,IF(AND($T76&lt;&gt;"",EDATE($D76,Milestones!$AA$45)&gt;=$T76),$W76,IF(AND($S76&lt;&gt;"",EDATE($D76,Milestones!$AA$45)&gt;=$S76),$V76,$U76)))=Milestones!$AB$45),UPPER(TEXT(EDATE($D76,Milestones!$AA$45),"dd mmm yy"))&amp;" "&amp;Milestones!$AB$45&amp;" "&amp;Milestones!$AC$45&amp;";  ","")&amp;IF(AND(EDATE($D76,Milestones!$AA$46)&lt;=AsOfDate,IF($R76=0,$X76,IF(AND($T76&lt;&gt;"",EDATE($D76,Milestones!$AA$46)&gt;=$T76),$W76,IF(AND($S76&lt;&gt;"",EDATE($D76,Milestones!$AA$46)&gt;=$S76),$V76,$U76)))=Milestones!$AB$46),UPPER(TEXT(EDATE($D76,Milestones!$AA$46),"dd mmm yy"))&amp;" "&amp;Milestones!$AB$46&amp;" "&amp;Milestones!$AC$46&amp;";  ","")&amp;IF(AND(EDATE($D76,Milestones!$AA$47)&lt;=AsOfDate,IF($R76=0,$X76,IF(AND($T76&lt;&gt;"",EDATE($D76,Milestones!$AA$47)&gt;=$T76),$W76,IF(AND($S76&lt;&gt;"",EDATE($D76,Milestones!$AA$47)&gt;=$S76),$V76,$U76)))=Milestones!$AB$47),UPPER(TEXT(EDATE($D76,Milestones!$AA$47),"dd mmm yy"))&amp;" "&amp;Milestones!$AB$47&amp;" "&amp;Milestones!$AC$47&amp;";  ","")&amp;IF(AND(EDATE($D76,Milestones!$AA$48)&lt;=AsOfDate,IF($R76=0,$X76,IF(AND($T76&lt;&gt;"",EDATE($D76,Milestones!$AA$48)&gt;=$T76),$W76,IF(AND($S76&lt;&gt;"",EDATE($D76,Milestones!$AA$48)&gt;=$S76),$V76,$U76)))=Milestones!$AB$48),UPPER(TEXT(EDATE($D76,Milestones!$AA$48),"dd mmm yy"))&amp;" "&amp;Milestones!$AB$48&amp;" "&amp;Milestones!$AC$48&amp;";  ","")&amp;IF(AND(EDATE($D76,Milestones!$AA$49)&lt;=AsOfDate,IF($R76=0,$X76,IF(AND($T76&lt;&gt;"",EDATE($D76,Milestones!$AA$49)&gt;=$T76),$W76,IF(AND($S76&lt;&gt;"",EDATE($D76,Milestones!$AA$49)&gt;=$S76),$V76,$U76)))=Milestones!$AB$49),UPPER(TEXT(EDATE($D76,Milestones!$AA$49),"dd mmm yy"))&amp;" "&amp;Milestones!$AB$49&amp;" "&amp;Milestones!$AC$49&amp;";  ","")&amp;IF(AND(EDATE($D76,Milestones!$AA$50)&lt;=AsOfDate,IF($R76=0,$X76,IF(AND($T76&lt;&gt;"",EDATE($D76,Milestones!$AA$50)&gt;=$T76),$W76,IF(AND($S76&lt;&gt;"",EDATE($D76,Milestones!$AA$50)&gt;=$S76),$V76,$U76)))=Milestones!$AB$50),UPPER(TEXT(EDATE($D76,Milestones!$AA$50),"dd mmm yy"))&amp;" "&amp;Milestones!$AB$50&amp;" "&amp;Milestones!$AC$50&amp;";  ","")&amp;IF(AND(EDATE($D76,Milestones!$AA$51)&lt;=AsOfDate,IF($R76=0,$X76,IF(AND($T76&lt;&gt;"",EDATE($D76,Milestones!$AA$51)&gt;=$T76),$W76,IF(AND($S76&lt;&gt;"",EDATE($D76,Milestones!$AA$51)&gt;=$S76),$V76,$U76)))=Milestones!$AB$51),UPPER(TEXT(EDATE($D76,Milestones!$AA$51),"dd mmm yy"))&amp;" "&amp;Milestones!$AB$51&amp;" "&amp;Milestones!$AC$51&amp;";  ","")&amp;IF(AND(EDATE($D76,Milestones!$AA$52)&lt;=AsOfDate,IF($R76=0,$X76,IF(AND($T76&lt;&gt;"",EDATE($D76,Milestones!$AA$52)&gt;=$T76),$W76,IF(AND($S76&lt;&gt;"",EDATE($D76,Milestones!$AA$52)&gt;=$S76),$V76,$U76)))=Milestones!$AB$52),UPPER(TEXT(EDATE($D76,Milestones!$AA$52),"dd mmm yy"))&amp;" "&amp;Milestones!$AB$52&amp;" "&amp;Milestones!$AC$52&amp;";  ","")&amp;IF(AND(EDATE($D76,Milestones!$AA$53)&lt;=AsOfDate,IF($R76=0,$X76,IF(AND($T76&lt;&gt;"",EDATE($D76,Milestones!$AA$53)&gt;=$T76),$W76,IF(AND($S76&lt;&gt;"",EDATE($D76,Milestones!$AA$53)&gt;=$S76),$V76,$U76)))=Milestones!$AB$53),UPPER(TEXT(EDATE($D76,Milestones!$AA$53),"dd mmm yy"))&amp;" "&amp;Milestones!$AB$53&amp;" "&amp;Milestones!$AC$53&amp;";  ","")&amp;IF(AND(EDATE($D76,Milestones!$AA$54)&lt;=AsOfDate,IF($R76=0,$X76,IF(AND($T76&lt;&gt;"",EDATE($D76,Milestones!$AA$54)&gt;=$T76),$W76,IF(AND($S76&lt;&gt;"",EDATE($D76,Milestones!$AA$54)&gt;=$S76),$V76,$U76)))=Milestones!$AB$54),UPPER(TEXT(EDATE($D76,Milestones!$AA$54),"dd mmm yy"))&amp;" "&amp;Milestones!$AB$54&amp;" "&amp;Milestones!$AC$54&amp;";  ","")&amp;IF(AND(EDATE($D76,Milestones!$AA$55)&lt;=AsOfDate,IF($R76=0,$X76,IF(AND($T76&lt;&gt;"",EDATE($D76,Milestones!$AA$55)&gt;=$T76),$W76,IF(AND($S76&lt;&gt;"",EDATE($D76,Milestones!$AA$55)&gt;=$S76),$V76,$U76)))=Milestones!$AB$55),UPPER(TEXT(EDATE($D76,Milestones!$AA$55),"dd mmm yy"))&amp;" "&amp;Milestones!$AB$55&amp;" "&amp;Milestones!$AC$55&amp;";  ","")&amp;IF(AND(EDATE($D76,Milestones!$AA$56)&lt;=AsOfDate,IF($R76=0,$X76,IF(AND($T76&lt;&gt;"",EDATE($D76,Milestones!$AA$56)&gt;=$T76),$W76,IF(AND($S76&lt;&gt;"",EDATE($D76,Milestones!$AA$56)&gt;=$S76),$V76,$U76)))=Milestones!$AB$56),UPPER(TEXT(EDATE($D76,Milestones!$AA$56),"dd mmm yy"))&amp;" "&amp;Milestones!$AB$56&amp;" "&amp;Milestones!$AC$56&amp;";  ","")&amp;IF(AND(EDATE($D76,Milestones!$AA$57)&lt;=AsOfDate,IF($R76=0,$X76,IF(AND($T76&lt;&gt;"",EDATE($D76,Milestones!$AA$57)&gt;=$T76),$W76,IF(AND($S76&lt;&gt;"",EDATE($D76,Milestones!$AA$57)&gt;=$S76),$V76,$U76)))=Milestones!$AB$57),UPPER(TEXT(EDATE($D76,Milestones!$AA$57),"dd mmm yy"))&amp;" "&amp;Milestones!$AB$57&amp;" "&amp;Milestones!$AC$57&amp;";  ","")&amp;IF(AND(EDATE($D76,Milestones!$AA$58)&lt;=AsOfDate,IF($R76=0,$X76,IF(AND($T76&lt;&gt;"",EDATE($D76,Milestones!$AA$58)&gt;=$T76),$W76,IF(AND($S76&lt;&gt;"",EDATE($D76,Milestones!$AA$58)&gt;=$S76),$V76,$U76)))=Milestones!$AB$58),UPPER(TEXT(EDATE($D76,Milestones!$AA$58),"dd mmm yy"))&amp;" "&amp;Milestones!$AB$58&amp;" "&amp;Milestones!$AC$58&amp;";  ","")&amp;IF(AND(EDATE($D76,Milestones!$AA$59)&lt;=AsOfDate,IF($R76=0,$X76,IF(AND($T76&lt;&gt;"",EDATE($D76,Milestones!$AA$59)&gt;=$T76),$W76,IF(AND($S76&lt;&gt;"",EDATE($D76,Milestones!$AA$59)&gt;=$S76),$V76,$U76)))=Milestones!$AB$59),UPPER(TEXT(EDATE($D76,Milestones!$AA$59),"dd mmm yy"))&amp;" "&amp;Milestones!$AB$59&amp;" "&amp;Milestones!$AC$59&amp;";  ",""))</f>
        <v/>
      </c>
      <c r="K76" s="0" t="str">
        <f aca="false">IF(OR($A76="",$D76=""),"",IF(AND(EDATE($D76,Milestones!$AA$60)&lt;=AsOfDate,IF($R76=0,$X76,IF(AND($T76&lt;&gt;"",EDATE($D76,Milestones!$AA$60)&gt;=$T76),$W76,IF(AND($S76&lt;&gt;"",EDATE($D76,Milestones!$AA$60)&gt;=$S76),$V76,$U76)))=Milestones!$AB$60),UPPER(TEXT(EDATE($D76,Milestones!$AA$60),"dd mmm yy"))&amp;" "&amp;Milestones!$AB$60&amp;" "&amp;Milestones!$AC$60&amp;";  ","")&amp;IF(AND(EDATE($D76,Milestones!$AA$61)&lt;=AsOfDate,IF($R76=0,$X76,IF(AND($T76&lt;&gt;"",EDATE($D76,Milestones!$AA$61)&gt;=$T76),$W76,IF(AND($S76&lt;&gt;"",EDATE($D76,Milestones!$AA$61)&gt;=$S76),$V76,$U76)))=Milestones!$AB$61),UPPER(TEXT(EDATE($D76,Milestones!$AA$61),"dd mmm yy"))&amp;" "&amp;Milestones!$AB$61&amp;" "&amp;Milestones!$AC$61&amp;";  ","")&amp;IF(AND(EDATE($D76,Milestones!$AA$62)&lt;=AsOfDate,IF($R76=0,$X76,IF(AND($T76&lt;&gt;"",EDATE($D76,Milestones!$AA$62)&gt;=$T76),$W76,IF(AND($S76&lt;&gt;"",EDATE($D76,Milestones!$AA$62)&gt;=$S76),$V76,$U76)))=Milestones!$AB$62),UPPER(TEXT(EDATE($D76,Milestones!$AA$62),"dd mmm yy"))&amp;" "&amp;Milestones!$AB$62&amp;" "&amp;Milestones!$AC$62&amp;";  ","")&amp;IF(AND(EDATE($D76,Milestones!$AA$63)&lt;=AsOfDate,IF($R76=0,$X76,IF(AND($T76&lt;&gt;"",EDATE($D76,Milestones!$AA$63)&gt;=$T76),$W76,IF(AND($S76&lt;&gt;"",EDATE($D76,Milestones!$AA$63)&gt;=$S76),$V76,$U76)))=Milestones!$AB$63),UPPER(TEXT(EDATE($D76,Milestones!$AA$63),"dd mmm yy"))&amp;" "&amp;Milestones!$AB$63&amp;" "&amp;Milestones!$AC$63&amp;";  ","")&amp;IF(AND(EDATE($D76,Milestones!$AA$64)&lt;=AsOfDate,IF($R76=0,$X76,IF(AND($T76&lt;&gt;"",EDATE($D76,Milestones!$AA$64)&gt;=$T76),$W76,IF(AND($S76&lt;&gt;"",EDATE($D76,Milestones!$AA$64)&gt;=$S76),$V76,$U76)))=Milestones!$AB$64),UPPER(TEXT(EDATE($D76,Milestones!$AA$64),"dd mmm yy"))&amp;" "&amp;Milestones!$AB$64&amp;" "&amp;Milestones!$AC$64&amp;";  ","")&amp;IF(AND(EDATE($D76,Milestones!$AA$65)&lt;=AsOfDate,IF($R76=0,$X76,IF(AND($T76&lt;&gt;"",EDATE($D76,Milestones!$AA$65)&gt;=$T76),$W76,IF(AND($S76&lt;&gt;"",EDATE($D76,Milestones!$AA$65)&gt;=$S76),$V76,$U76)))=Milestones!$AB$65),UPPER(TEXT(EDATE($D76,Milestones!$AA$65),"dd mmm yy"))&amp;" "&amp;Milestones!$AB$65&amp;" "&amp;Milestones!$AC$65&amp;";  ","")&amp;IF(AND(EDATE($D76,Milestones!$AA$66)&lt;=AsOfDate,IF($R76=0,$X76,IF(AND($T76&lt;&gt;"",EDATE($D76,Milestones!$AA$66)&gt;=$T76),$W76,IF(AND($S76&lt;&gt;"",EDATE($D76,Milestones!$AA$66)&gt;=$S76),$V76,$U76)))=Milestones!$AB$66),UPPER(TEXT(EDATE($D76,Milestones!$AA$66),"dd mmm yy"))&amp;" "&amp;Milestones!$AB$66&amp;" "&amp;Milestones!$AC$66&amp;";  ","")&amp;IF(AND(EDATE($D76,Milestones!$AA$67)&lt;=AsOfDate,IF($R76=0,$X76,IF(AND($T76&lt;&gt;"",EDATE($D76,Milestones!$AA$67)&gt;=$T76),$W76,IF(AND($S76&lt;&gt;"",EDATE($D76,Milestones!$AA$67)&gt;=$S76),$V76,$U76)))=Milestones!$AB$67),UPPER(TEXT(EDATE($D76,Milestones!$AA$67),"dd mmm yy"))&amp;" "&amp;Milestones!$AB$67&amp;" "&amp;Milestones!$AC$67&amp;";  ","")&amp;IF(AND(EDATE($D76,Milestones!$AA$68)&lt;=AsOfDate,IF($R76=0,$X76,IF(AND($T76&lt;&gt;"",EDATE($D76,Milestones!$AA$68)&gt;=$T76),$W76,IF(AND($S76&lt;&gt;"",EDATE($D76,Milestones!$AA$68)&gt;=$S76),$V76,$U76)))=Milestones!$AB$68),UPPER(TEXT(EDATE($D76,Milestones!$AA$68),"dd mmm yy"))&amp;" "&amp;Milestones!$AB$68&amp;" "&amp;Milestones!$AC$68&amp;";  ","")&amp;IF(AND(EDATE($D76,Milestones!$AA$69)&lt;=AsOfDate,IF($R76=0,$X76,IF(AND($T76&lt;&gt;"",EDATE($D76,Milestones!$AA$69)&gt;=$T76),$W76,IF(AND($S76&lt;&gt;"",EDATE($D76,Milestones!$AA$69)&gt;=$S76),$V76,$U76)))=Milestones!$AB$69),UPPER(TEXT(EDATE($D76,Milestones!$AA$69),"dd mmm yy"))&amp;" "&amp;Milestones!$AB$69&amp;" "&amp;Milestones!$AC$69&amp;";  ","")&amp;IF(AND(EDATE($D76,Milestones!$AA$70)&lt;=AsOfDate,IF($R76=0,$X76,IF(AND($T76&lt;&gt;"",EDATE($D76,Milestones!$AA$70)&gt;=$T76),$W76,IF(AND($S76&lt;&gt;"",EDATE($D76,Milestones!$AA$70)&gt;=$S76),$V76,$U76)))=Milestones!$AB$70),UPPER(TEXT(EDATE($D76,Milestones!$AA$70),"dd mmm yy"))&amp;" "&amp;Milestones!$AB$70&amp;" "&amp;Milestones!$AC$70&amp;";  ","")&amp;IF(AND(EDATE($D76,Milestones!$AA$71)&lt;=AsOfDate,IF($R76=0,$X76,IF(AND($T76&lt;&gt;"",EDATE($D76,Milestones!$AA$71)&gt;=$T76),$W76,IF(AND($S76&lt;&gt;"",EDATE($D76,Milestones!$AA$71)&gt;=$S76),$V76,$U76)))=Milestones!$AB$71),UPPER(TEXT(EDATE($D76,Milestones!$AA$71),"dd mmm yy"))&amp;" "&amp;Milestones!$AB$71&amp;" "&amp;Milestones!$AC$71&amp;";  ","")&amp;IF(AND(EDATE($D76,Milestones!$AA$72)&lt;=AsOfDate,IF($R76=0,$X76,IF(AND($T76&lt;&gt;"",EDATE($D76,Milestones!$AA$72)&gt;=$T76),$W76,IF(AND($S76&lt;&gt;"",EDATE($D76,Milestones!$AA$72)&gt;=$S76),$V76,$U76)))=Milestones!$AB$72),UPPER(TEXT(EDATE($D76,Milestones!$AA$72),"dd mmm yy"))&amp;" "&amp;Milestones!$AB$72&amp;" "&amp;Milestones!$AC$72&amp;";  ","")&amp;IF(AND(EDATE($D76,Milestones!$AA$73)&lt;=AsOfDate,IF($R76=0,$X76,IF(AND($T76&lt;&gt;"",EDATE($D76,Milestones!$AA$73)&gt;=$T76),$W76,IF(AND($S76&lt;&gt;"",EDATE($D76,Milestones!$AA$73)&gt;=$S76),$V76,$U76)))=Milestones!$AB$73),UPPER(TEXT(EDATE($D76,Milestones!$AA$73),"dd mmm yy"))&amp;" "&amp;Milestones!$AB$73&amp;" "&amp;Milestones!$AC$73&amp;";  ","")&amp;IF(AND(EDATE($D76,Milestones!$AA$74)&lt;=AsOfDate,IF($R76=0,$X76,IF(AND($T76&lt;&gt;"",EDATE($D76,Milestones!$AA$74)&gt;=$T76),$W76,IF(AND($S76&lt;&gt;"",EDATE($D76,Milestones!$AA$74)&gt;=$S76),$V76,$U76)))=Milestones!$AB$74),UPPER(TEXT(EDATE($D76,Milestones!$AA$74),"dd mmm yy"))&amp;" "&amp;Milestones!$AB$74&amp;" "&amp;Milestones!$AC$74&amp;";  ","")&amp;IF(AND(EDATE($D76,Milestones!$AA$75)&lt;=AsOfDate,IF($R76=0,$X76,IF(AND($T76&lt;&gt;"",EDATE($D76,Milestones!$AA$75)&gt;=$T76),$W76,IF(AND($S76&lt;&gt;"",EDATE($D76,Milestones!$AA$75)&gt;=$S76),$V76,$U76)))=Milestones!$AB$75),UPPER(TEXT(EDATE($D76,Milestones!$AA$75),"dd mmm yy"))&amp;" "&amp;Milestones!$AB$75&amp;" "&amp;Milestones!$AC$75&amp;";  ","")&amp;IF(AND(EDATE($D76,Milestones!$AA$76)&lt;=AsOfDate,IF($R76=0,$X76,IF(AND($T76&lt;&gt;"",EDATE($D76,Milestones!$AA$76)&gt;=$T76),$W76,IF(AND($S76&lt;&gt;"",EDATE($D76,Milestones!$AA$76)&gt;=$S76),$V76,$U76)))=Milestones!$AB$76),UPPER(TEXT(EDATE($D76,Milestones!$AA$76),"dd mmm yy"))&amp;" "&amp;Milestones!$AB$76&amp;" "&amp;Milestones!$AC$76&amp;";  ","")&amp;IF(AND(EDATE($D76,Milestones!$AA$77)&lt;=AsOfDate,IF($R76=0,$X76,IF(AND($T76&lt;&gt;"",EDATE($D76,Milestones!$AA$77)&gt;=$T76),$W76,IF(AND($S76&lt;&gt;"",EDATE($D76,Milestones!$AA$77)&gt;=$S76),$V76,$U76)))=Milestones!$AB$77),UPPER(TEXT(EDATE($D76,Milestones!$AA$77),"dd mmm yy"))&amp;" "&amp;Milestones!$AB$77&amp;" "&amp;Milestones!$AC$77&amp;";  ","")&amp;IF(AND(EDATE($D76,Milestones!$AA$78)&lt;=AsOfDate,IF($R76=0,$X76,IF(AND($T76&lt;&gt;"",EDATE($D76,Milestones!$AA$78)&gt;=$T76),$W76,IF(AND($S76&lt;&gt;"",EDATE($D76,Milestones!$AA$78)&gt;=$S76),$V76,$U76)))=Milestones!$AB$78),UPPER(TEXT(EDATE($D76,Milestones!$AA$78),"dd mmm yy"))&amp;" "&amp;Milestones!$AB$78&amp;" "&amp;Milestones!$AC$78&amp;";  ","")&amp;IF(AND(EDATE($D76,Milestones!$AA$79)&lt;=AsOfDate,IF($R76=0,$X76,IF(AND($T76&lt;&gt;"",EDATE($D76,Milestones!$AA$79)&gt;=$T76),$W76,IF(AND($S76&lt;&gt;"",EDATE($D76,Milestones!$AA$79)&gt;=$S76),$V76,$U76)))=Milestones!$AB$79),UPPER(TEXT(EDATE($D76,Milestones!$AA$79),"dd mmm yy"))&amp;" "&amp;Milestones!$AB$79&amp;" "&amp;Milestones!$AC$79&amp;";  ",""))</f>
        <v/>
      </c>
      <c r="L76" s="0" t="str">
        <f aca="false">IF(OR($A76="",$D76=""),"",IF(AND(EDATE($D76,Milestones!$AA$80)&lt;=AsOfDate,IF($R76=0,$X76,IF(AND($T76&lt;&gt;"",EDATE($D76,Milestones!$AA$80)&gt;=$T76),$W76,IF(AND($S76&lt;&gt;"",EDATE($D76,Milestones!$AA$80)&gt;=$S76),$V76,$U76)))=Milestones!$AB$80),UPPER(TEXT(EDATE($D76,Milestones!$AA$80),"dd mmm yy"))&amp;" "&amp;Milestones!$AB$80&amp;" "&amp;Milestones!$AC$80&amp;";  ","")&amp;IF(AND(EDATE($D76,Milestones!$AA$81)&lt;=AsOfDate,IF($R76=0,$X76,IF(AND($T76&lt;&gt;"",EDATE($D76,Milestones!$AA$81)&gt;=$T76),$W76,IF(AND($S76&lt;&gt;"",EDATE($D76,Milestones!$AA$81)&gt;=$S76),$V76,$U76)))=Milestones!$AB$81),UPPER(TEXT(EDATE($D76,Milestones!$AA$81),"dd mmm yy"))&amp;" "&amp;Milestones!$AB$81&amp;" "&amp;Milestones!$AC$81&amp;";  ","")&amp;IF(AND(EDATE($D76,Milestones!$AA$82)&lt;=AsOfDate,IF($R76=0,$X76,IF(AND($T76&lt;&gt;"",EDATE($D76,Milestones!$AA$82)&gt;=$T76),$W76,IF(AND($S76&lt;&gt;"",EDATE($D76,Milestones!$AA$82)&gt;=$S76),$V76,$U76)))=Milestones!$AB$82),UPPER(TEXT(EDATE($D76,Milestones!$AA$82),"dd mmm yy"))&amp;" "&amp;Milestones!$AB$82&amp;" "&amp;Milestones!$AC$82&amp;";  ","")&amp;IF(AND(EDATE($D76,Milestones!$AA$83)&lt;=AsOfDate,IF($R76=0,$X76,IF(AND($T76&lt;&gt;"",EDATE($D76,Milestones!$AA$83)&gt;=$T76),$W76,IF(AND($S76&lt;&gt;"",EDATE($D76,Milestones!$AA$83)&gt;=$S76),$V76,$U76)))=Milestones!$AB$83),UPPER(TEXT(EDATE($D76,Milestones!$AA$83),"dd mmm yy"))&amp;" "&amp;Milestones!$AB$83&amp;" "&amp;Milestones!$AC$83&amp;";  ","")&amp;IF(AND(EDATE($D76,Milestones!$AA$84)&lt;=AsOfDate,IF($R76=0,$X76,IF(AND($T76&lt;&gt;"",EDATE($D76,Milestones!$AA$84)&gt;=$T76),$W76,IF(AND($S76&lt;&gt;"",EDATE($D76,Milestones!$AA$84)&gt;=$S76),$V76,$U76)))=Milestones!$AB$84),UPPER(TEXT(EDATE($D76,Milestones!$AA$84),"dd mmm yy"))&amp;" "&amp;Milestones!$AB$84&amp;" "&amp;Milestones!$AC$84&amp;";  ","")&amp;IF(AND(EDATE($D76,Milestones!$AA$85)&lt;=AsOfDate,IF($R76=0,$X76,IF(AND($T76&lt;&gt;"",EDATE($D76,Milestones!$AA$85)&gt;=$T76),$W76,IF(AND($S76&lt;&gt;"",EDATE($D76,Milestones!$AA$85)&gt;=$S76),$V76,$U76)))=Milestones!$AB$85),UPPER(TEXT(EDATE($D76,Milestones!$AA$85),"dd mmm yy"))&amp;" "&amp;Milestones!$AB$85&amp;" "&amp;Milestones!$AC$85&amp;";  ","")&amp;IF(AND(EDATE($D76,Milestones!$AA$86)&lt;=AsOfDate,IF($R76=0,$X76,IF(AND($T76&lt;&gt;"",EDATE($D76,Milestones!$AA$86)&gt;=$T76),$W76,IF(AND($S76&lt;&gt;"",EDATE($D76,Milestones!$AA$86)&gt;=$S76),$V76,$U76)))=Milestones!$AB$86),UPPER(TEXT(EDATE($D76,Milestones!$AA$86),"dd mmm yy"))&amp;" "&amp;Milestones!$AB$86&amp;" "&amp;Milestones!$AC$86&amp;";  ","")&amp;IF(AND(EDATE($D76,Milestones!$AA$87)&lt;=AsOfDate,IF($R76=0,$X76,IF(AND($T76&lt;&gt;"",EDATE($D76,Milestones!$AA$87)&gt;=$T76),$W76,IF(AND($S76&lt;&gt;"",EDATE($D76,Milestones!$AA$87)&gt;=$S76),$V76,$U76)))=Milestones!$AB$87),UPPER(TEXT(EDATE($D76,Milestones!$AA$87),"dd mmm yy"))&amp;" "&amp;Milestones!$AB$87&amp;" "&amp;Milestones!$AC$87&amp;";  ","")&amp;IF(AND(EDATE($D76,Milestones!$AA$88)&lt;=AsOfDate,IF($R76=0,$X76,IF(AND($T76&lt;&gt;"",EDATE($D76,Milestones!$AA$88)&gt;=$T76),$W76,IF(AND($S76&lt;&gt;"",EDATE($D76,Milestones!$AA$88)&gt;=$S76),$V76,$U76)))=Milestones!$AB$88),UPPER(TEXT(EDATE($D76,Milestones!$AA$88),"dd mmm yy"))&amp;" "&amp;Milestones!$AB$88&amp;" "&amp;Milestones!$AC$88&amp;";  ","")&amp;IF(AND(EDATE($D76,Milestones!$AA$89)&lt;=AsOfDate,IF($R76=0,$X76,IF(AND($T76&lt;&gt;"",EDATE($D76,Milestones!$AA$89)&gt;=$T76),$W76,IF(AND($S76&lt;&gt;"",EDATE($D76,Milestones!$AA$89)&gt;=$S76),$V76,$U76)))=Milestones!$AB$89),UPPER(TEXT(EDATE($D76,Milestones!$AA$89),"dd mmm yy"))&amp;" "&amp;Milestones!$AB$89&amp;" "&amp;Milestones!$AC$89&amp;";  ","")&amp;IF(AND(EDATE($D76,Milestones!$AA$90)&lt;=AsOfDate,IF($R76=0,$X76,IF(AND($T76&lt;&gt;"",EDATE($D76,Milestones!$AA$90)&gt;=$T76),$W76,IF(AND($S76&lt;&gt;"",EDATE($D76,Milestones!$AA$90)&gt;=$S76),$V76,$U76)))=Milestones!$AB$90),UPPER(TEXT(EDATE($D76,Milestones!$AA$90),"dd mmm yy"))&amp;" "&amp;Milestones!$AB$90&amp;" "&amp;Milestones!$AC$90&amp;";  ","")&amp;IF(AND(EDATE($D76,Milestones!$AA$91)&lt;=AsOfDate,IF($R76=0,$X76,IF(AND($T76&lt;&gt;"",EDATE($D76,Milestones!$AA$91)&gt;=$T76),$W76,IF(AND($S76&lt;&gt;"",EDATE($D76,Milestones!$AA$91)&gt;=$S76),$V76,$U76)))=Milestones!$AB$91),UPPER(TEXT(EDATE($D76,Milestones!$AA$91),"dd mmm yy"))&amp;" "&amp;Milestones!$AB$91&amp;" "&amp;Milestones!$AC$91&amp;";  ","")&amp;IF(AND(EDATE($D76,Milestones!$AA$92)&lt;=AsOfDate,IF($R76=0,$X76,IF(AND($T76&lt;&gt;"",EDATE($D76,Milestones!$AA$92)&gt;=$T76),$W76,IF(AND($S76&lt;&gt;"",EDATE($D76,Milestones!$AA$92)&gt;=$S76),$V76,$U76)))=Milestones!$AB$92),UPPER(TEXT(EDATE($D76,Milestones!$AA$92),"dd mmm yy"))&amp;" "&amp;Milestones!$AB$92&amp;" "&amp;Milestones!$AC$92&amp;";  ","")&amp;IF(AND(EDATE($D76,Milestones!$AA$93)&lt;=AsOfDate,IF($R76=0,$X76,IF(AND($T76&lt;&gt;"",EDATE($D76,Milestones!$AA$93)&gt;=$T76),$W76,IF(AND($S76&lt;&gt;"",EDATE($D76,Milestones!$AA$93)&gt;=$S76),$V76,$U76)))=Milestones!$AB$93),UPPER(TEXT(EDATE($D76,Milestones!$AA$93),"dd mmm yy"))&amp;" "&amp;Milestones!$AB$93&amp;" "&amp;Milestones!$AC$93&amp;";  ","")&amp;IF(AND(EDATE($D76,Milestones!$AA$94)&lt;=AsOfDate,IF($R76=0,$X76,IF(AND($T76&lt;&gt;"",EDATE($D76,Milestones!$AA$94)&gt;=$T76),$W76,IF(AND($S76&lt;&gt;"",EDATE($D76,Milestones!$AA$94)&gt;=$S76),$V76,$U76)))=Milestones!$AB$94),UPPER(TEXT(EDATE($D76,Milestones!$AA$94),"dd mmm yy"))&amp;" "&amp;Milestones!$AB$94&amp;" "&amp;Milestones!$AC$94&amp;";  ","")&amp;IF(AND(EDATE($D76,Milestones!$AA$95)&lt;=AsOfDate,IF($R76=0,$X76,IF(AND($T76&lt;&gt;"",EDATE($D76,Milestones!$AA$95)&gt;=$T76),$W76,IF(AND($S76&lt;&gt;"",EDATE($D76,Milestones!$AA$95)&gt;=$S76),$V76,$U76)))=Milestones!$AB$95),UPPER(TEXT(EDATE($D76,Milestones!$AA$95),"dd mmm yy"))&amp;" "&amp;Milestones!$AB$95&amp;" "&amp;Milestones!$AC$95&amp;";  ","")&amp;IF(AND(EDATE($D76,Milestones!$AA$96)&lt;=AsOfDate,IF($R76=0,$X76,IF(AND($T76&lt;&gt;"",EDATE($D76,Milestones!$AA$96)&gt;=$T76),$W76,IF(AND($S76&lt;&gt;"",EDATE($D76,Milestones!$AA$96)&gt;=$S76),$V76,$U76)))=Milestones!$AB$96),UPPER(TEXT(EDATE($D76,Milestones!$AA$96),"dd mmm yy"))&amp;" "&amp;Milestones!$AB$96&amp;" "&amp;Milestones!$AC$96&amp;";  ","")&amp;IF(AND(EDATE($D76,Milestones!$AA$97)&lt;=AsOfDate,IF($R76=0,$X76,IF(AND($T76&lt;&gt;"",EDATE($D76,Milestones!$AA$97)&gt;=$T76),$W76,IF(AND($S76&lt;&gt;"",EDATE($D76,Milestones!$AA$97)&gt;=$S76),$V76,$U76)))=Milestones!$AB$97),UPPER(TEXT(EDATE($D76,Milestones!$AA$97),"dd mmm yy"))&amp;" "&amp;Milestones!$AB$97&amp;" "&amp;Milestones!$AC$97&amp;";  ","")&amp;IF(AND(EDATE($D76,Milestones!$AA$98)&lt;=AsOfDate,IF($R76=0,$X76,IF(AND($T76&lt;&gt;"",EDATE($D76,Milestones!$AA$98)&gt;=$T76),$W76,IF(AND($S76&lt;&gt;"",EDATE($D76,Milestones!$AA$98)&gt;=$S76),$V76,$U76)))=Milestones!$AB$98),UPPER(TEXT(EDATE($D76,Milestones!$AA$98),"dd mmm yy"))&amp;" "&amp;Milestones!$AB$98&amp;" "&amp;Milestones!$AC$98&amp;";  ","")&amp;IF(AND(EDATE($D76,Milestones!$AA$99)&lt;=AsOfDate,IF($R76=0,$X76,IF(AND($T76&lt;&gt;"",EDATE($D76,Milestones!$AA$99)&gt;=$T76),$W76,IF(AND($S76&lt;&gt;"",EDATE($D76,Milestones!$AA$99)&gt;=$S76),$V76,$U76)))=Milestones!$AB$99),UPPER(TEXT(EDATE($D76,Milestones!$AA$99),"dd mmm yy"))&amp;" "&amp;Milestones!$AB$99&amp;" "&amp;Milestones!$AC$99&amp;";  ",""))</f>
        <v/>
      </c>
      <c r="M76" s="0" t="str">
        <f aca="false">IF(OR($A76="",$D76=""),"",IF(AND(EDATE($D76,Milestones!$AA$100)&lt;=AsOfDate,IF($R76=0,$X76,IF(AND($T76&lt;&gt;"",EDATE($D76,Milestones!$AA$100)&gt;=$T76),$W76,IF(AND($S76&lt;&gt;"",EDATE($D76,Milestones!$AA$100)&gt;=$S76),$V76,$U76)))=Milestones!$AB$100),UPPER(TEXT(EDATE($D76,Milestones!$AA$100),"dd mmm yy"))&amp;" "&amp;Milestones!$AB$100&amp;" "&amp;Milestones!$AC$100&amp;";  ","")&amp;IF(AND(EDATE($D76,Milestones!$AA$101)&lt;=AsOfDate,IF($R76=0,$X76,IF(AND($T76&lt;&gt;"",EDATE($D76,Milestones!$AA$101)&gt;=$T76),$W76,IF(AND($S76&lt;&gt;"",EDATE($D76,Milestones!$AA$101)&gt;=$S76),$V76,$U76)))=Milestones!$AB$101),UPPER(TEXT(EDATE($D76,Milestones!$AA$101),"dd mmm yy"))&amp;" "&amp;Milestones!$AB$101&amp;" "&amp;Milestones!$AC$101&amp;";  ","")&amp;IF(AND(EDATE($D76,Milestones!$AA$102)&lt;=AsOfDate,IF($R76=0,$X76,IF(AND($T76&lt;&gt;"",EDATE($D76,Milestones!$AA$102)&gt;=$T76),$W76,IF(AND($S76&lt;&gt;"",EDATE($D76,Milestones!$AA$102)&gt;=$S76),$V76,$U76)))=Milestones!$AB$102),UPPER(TEXT(EDATE($D76,Milestones!$AA$102),"dd mmm yy"))&amp;" "&amp;Milestones!$AB$102&amp;" "&amp;Milestones!$AC$102&amp;";  ","")&amp;IF(AND(EDATE($D76,Milestones!$AA$103)&lt;=AsOfDate,IF($R76=0,$X76,IF(AND($T76&lt;&gt;"",EDATE($D76,Milestones!$AA$103)&gt;=$T76),$W76,IF(AND($S76&lt;&gt;"",EDATE($D76,Milestones!$AA$103)&gt;=$S76),$V76,$U76)))=Milestones!$AB$103),UPPER(TEXT(EDATE($D76,Milestones!$AA$103),"dd mmm yy"))&amp;" "&amp;Milestones!$AB$103&amp;" "&amp;Milestones!$AC$103&amp;";  ","")&amp;IF(AND(EDATE($D76,Milestones!$AA$104)&lt;=AsOfDate,IF($R76=0,$X76,IF(AND($T76&lt;&gt;"",EDATE($D76,Milestones!$AA$104)&gt;=$T76),$W76,IF(AND($S76&lt;&gt;"",EDATE($D76,Milestones!$AA$104)&gt;=$S76),$V76,$U76)))=Milestones!$AB$104),UPPER(TEXT(EDATE($D76,Milestones!$AA$104),"dd mmm yy"))&amp;" "&amp;Milestones!$AB$104&amp;" "&amp;Milestones!$AC$104&amp;";  ","")&amp;IF(AND(EDATE($D76,Milestones!$AA$105)&lt;=AsOfDate,IF($R76=0,$X76,IF(AND($T76&lt;&gt;"",EDATE($D76,Milestones!$AA$105)&gt;=$T76),$W76,IF(AND($S76&lt;&gt;"",EDATE($D76,Milestones!$AA$105)&gt;=$S76),$V76,$U76)))=Milestones!$AB$105),UPPER(TEXT(EDATE($D76,Milestones!$AA$105),"dd mmm yy"))&amp;" "&amp;Milestones!$AB$105&amp;" "&amp;Milestones!$AC$105&amp;";  ","")&amp;IF(AND(EDATE($D76,Milestones!$AA$106)&lt;=AsOfDate,IF($R76=0,$X76,IF(AND($T76&lt;&gt;"",EDATE($D76,Milestones!$AA$106)&gt;=$T76),$W76,IF(AND($S76&lt;&gt;"",EDATE($D76,Milestones!$AA$106)&gt;=$S76),$V76,$U76)))=Milestones!$AB$106),UPPER(TEXT(EDATE($D76,Milestones!$AA$106),"dd mmm yy"))&amp;" "&amp;Milestones!$AB$106&amp;" "&amp;Milestones!$AC$106&amp;";  ","")&amp;IF(AND(EDATE($D76,Milestones!$AA$107)&lt;=AsOfDate,IF($R76=0,$X76,IF(AND($T76&lt;&gt;"",EDATE($D76,Milestones!$AA$107)&gt;=$T76),$W76,IF(AND($S76&lt;&gt;"",EDATE($D76,Milestones!$AA$107)&gt;=$S76),$V76,$U76)))=Milestones!$AB$107),UPPER(TEXT(EDATE($D76,Milestones!$AA$107),"dd mmm yy"))&amp;" "&amp;Milestones!$AB$107&amp;" "&amp;Milestones!$AC$107&amp;";  ","")&amp;IF(AND(EDATE($D76,Milestones!$AA$108)&lt;=AsOfDate,IF($R76=0,$X76,IF(AND($T76&lt;&gt;"",EDATE($D76,Milestones!$AA$108)&gt;=$T76),$W76,IF(AND($S76&lt;&gt;"",EDATE($D76,Milestones!$AA$108)&gt;=$S76),$V76,$U76)))=Milestones!$AB$108),UPPER(TEXT(EDATE($D76,Milestones!$AA$108),"dd mmm yy"))&amp;" "&amp;Milestones!$AB$108&amp;" "&amp;Milestones!$AC$108&amp;";  ","")&amp;IF(AND(EDATE($D76,Milestones!$AA$109)&lt;=AsOfDate,IF($R76=0,$X76,IF(AND($T76&lt;&gt;"",EDATE($D76,Milestones!$AA$109)&gt;=$T76),$W76,IF(AND($S76&lt;&gt;"",EDATE($D76,Milestones!$AA$109)&gt;=$S76),$V76,$U76)))=Milestones!$AB$109),UPPER(TEXT(EDATE($D76,Milestones!$AA$109),"dd mmm yy"))&amp;" "&amp;Milestones!$AB$109&amp;" "&amp;Milestones!$AC$109&amp;";  ","")&amp;IF(AND(EDATE($D76,Milestones!$AA$110)&lt;=AsOfDate,IF($R76=0,$X76,IF(AND($T76&lt;&gt;"",EDATE($D76,Milestones!$AA$110)&gt;=$T76),$W76,IF(AND($S76&lt;&gt;"",EDATE($D76,Milestones!$AA$110)&gt;=$S76),$V76,$U76)))=Milestones!$AB$110),UPPER(TEXT(EDATE($D76,Milestones!$AA$110),"dd mmm yy"))&amp;" "&amp;Milestones!$AB$110&amp;" "&amp;Milestones!$AC$110&amp;";  ","")&amp;IF(AND(EDATE($D76,Milestones!$AA$111)&lt;=AsOfDate,IF($R76=0,$X76,IF(AND($T76&lt;&gt;"",EDATE($D76,Milestones!$AA$111)&gt;=$T76),$W76,IF(AND($S76&lt;&gt;"",EDATE($D76,Milestones!$AA$111)&gt;=$S76),$V76,$U76)))=Milestones!$AB$111),UPPER(TEXT(EDATE($D76,Milestones!$AA$111),"dd mmm yy"))&amp;" "&amp;Milestones!$AB$111&amp;" "&amp;Milestones!$AC$111&amp;";  ","")&amp;IF(AND(EDATE($D76,Milestones!$AA$112)&lt;=AsOfDate,IF($R76=0,$X76,IF(AND($T76&lt;&gt;"",EDATE($D76,Milestones!$AA$112)&gt;=$T76),$W76,IF(AND($S76&lt;&gt;"",EDATE($D76,Milestones!$AA$112)&gt;=$S76),$V76,$U76)))=Milestones!$AB$112),UPPER(TEXT(EDATE($D76,Milestones!$AA$112),"dd mmm yy"))&amp;" "&amp;Milestones!$AB$112&amp;" "&amp;Milestones!$AC$112&amp;";  ","")&amp;IF(AND(EDATE($D76,Milestones!$AA$113)&lt;=AsOfDate,IF($R76=0,$X76,IF(AND($T76&lt;&gt;"",EDATE($D76,Milestones!$AA$113)&gt;=$T76),$W76,IF(AND($S76&lt;&gt;"",EDATE($D76,Milestones!$AA$113)&gt;=$S76),$V76,$U76)))=Milestones!$AB$113),UPPER(TEXT(EDATE($D76,Milestones!$AA$113),"dd mmm yy"))&amp;" "&amp;Milestones!$AB$113&amp;" "&amp;Milestones!$AC$113&amp;";  ","")&amp;IF(AND(EDATE($D76,Milestones!$AA$114)&lt;=AsOfDate,IF($R76=0,$X76,IF(AND($T76&lt;&gt;"",EDATE($D76,Milestones!$AA$114)&gt;=$T76),$W76,IF(AND($S76&lt;&gt;"",EDATE($D76,Milestones!$AA$114)&gt;=$S76),$V76,$U76)))=Milestones!$AB$114),UPPER(TEXT(EDATE($D76,Milestones!$AA$114),"dd mmm yy"))&amp;" "&amp;Milestones!$AB$114&amp;" "&amp;Milestones!$AC$114&amp;";  ","")&amp;IF(AND(EDATE($D76,Milestones!$AA$115)&lt;=AsOfDate,IF($R76=0,$X76,IF(AND($T76&lt;&gt;"",EDATE($D76,Milestones!$AA$115)&gt;=$T76),$W76,IF(AND($S76&lt;&gt;"",EDATE($D76,Milestones!$AA$115)&gt;=$S76),$V76,$U76)))=Milestones!$AB$115),UPPER(TEXT(EDATE($D76,Milestones!$AA$115),"dd mmm yy"))&amp;" "&amp;Milestones!$AB$115&amp;" "&amp;Milestones!$AC$115&amp;";  ","")&amp;IF(AND(EDATE($D76,Milestones!$AA$116)&lt;=AsOfDate,IF($R76=0,$X76,IF(AND($T76&lt;&gt;"",EDATE($D76,Milestones!$AA$116)&gt;=$T76),$W76,IF(AND($S76&lt;&gt;"",EDATE($D76,Milestones!$AA$116)&gt;=$S76),$V76,$U76)))=Milestones!$AB$116),UPPER(TEXT(EDATE($D76,Milestones!$AA$116),"dd mmm yy"))&amp;" "&amp;Milestones!$AB$116&amp;" "&amp;Milestones!$AC$116&amp;";  ","")&amp;IF(AND(EDATE($D76,Milestones!$AA$117)&lt;=AsOfDate,IF($R76=0,$X76,IF(AND($T76&lt;&gt;"",EDATE($D76,Milestones!$AA$117)&gt;=$T76),$W76,IF(AND($S76&lt;&gt;"",EDATE($D76,Milestones!$AA$117)&gt;=$S76),$V76,$U76)))=Milestones!$AB$117),UPPER(TEXT(EDATE($D76,Milestones!$AA$117),"dd mmm yy"))&amp;" "&amp;Milestones!$AB$117&amp;" "&amp;Milestones!$AC$117&amp;";  ","")&amp;IF(AND(EDATE($D76,Milestones!$AA$118)&lt;=AsOfDate,IF($R76=0,$X76,IF(AND($T76&lt;&gt;"",EDATE($D76,Milestones!$AA$118)&gt;=$T76),$W76,IF(AND($S76&lt;&gt;"",EDATE($D76,Milestones!$AA$118)&gt;=$S76),$V76,$U76)))=Milestones!$AB$118),UPPER(TEXT(EDATE($D76,Milestones!$AA$118),"dd mmm yy"))&amp;" "&amp;Milestones!$AB$118&amp;" "&amp;Milestones!$AC$118&amp;";  ","")&amp;IF(AND(EDATE($D76,Milestones!$AA$119)&lt;=AsOfDate,IF($R76=0,$X76,IF(AND($T76&lt;&gt;"",EDATE($D76,Milestones!$AA$119)&gt;=$T76),$W76,IF(AND($S76&lt;&gt;"",EDATE($D76,Milestones!$AA$119)&gt;=$S76),$V76,$U76)))=Milestones!$AB$119),UPPER(TEXT(EDATE($D76,Milestones!$AA$119),"dd mmm yy"))&amp;" "&amp;Milestones!$AB$119&amp;" "&amp;Milestones!$AC$119&amp;";  ",""))</f>
        <v/>
      </c>
      <c r="N76" s="0" t="str">
        <f aca="false">IF(OR($A76="",$D76=""),"",IF(AND(EDATE($D76,Milestones!$AA$120)&lt;=AsOfDate,IF($R76=0,$X76,IF(AND($T76&lt;&gt;"",EDATE($D76,Milestones!$AA$120)&gt;=$T76),$W76,IF(AND($S76&lt;&gt;"",EDATE($D76,Milestones!$AA$120)&gt;=$S76),$V76,$U76)))=Milestones!$AB$120),UPPER(TEXT(EDATE($D76,Milestones!$AA$120),"dd mmm yy"))&amp;" "&amp;Milestones!$AB$120&amp;" "&amp;Milestones!$AC$120&amp;";  ","")&amp;IF(AND(EDATE($D76,Milestones!$AA$121)&lt;=AsOfDate,IF($R76=0,$X76,IF(AND($T76&lt;&gt;"",EDATE($D76,Milestones!$AA$121)&gt;=$T76),$W76,IF(AND($S76&lt;&gt;"",EDATE($D76,Milestones!$AA$121)&gt;=$S76),$V76,$U76)))=Milestones!$AB$121),UPPER(TEXT(EDATE($D76,Milestones!$AA$121),"dd mmm yy"))&amp;" "&amp;Milestones!$AB$121&amp;" "&amp;Milestones!$AC$121&amp;";  ","")&amp;IF(AND(EDATE($D76,Milestones!$AA$122)&lt;=AsOfDate,IF($R76=0,$X76,IF(AND($T76&lt;&gt;"",EDATE($D76,Milestones!$AA$122)&gt;=$T76),$W76,IF(AND($S76&lt;&gt;"",EDATE($D76,Milestones!$AA$122)&gt;=$S76),$V76,$U76)))=Milestones!$AB$122),UPPER(TEXT(EDATE($D76,Milestones!$AA$122),"dd mmm yy"))&amp;" "&amp;Milestones!$AB$122&amp;" "&amp;Milestones!$AC$122&amp;";  ","")&amp;IF(AND(EDATE($D76,Milestones!$AA$123)&lt;=AsOfDate,IF($R76=0,$X76,IF(AND($T76&lt;&gt;"",EDATE($D76,Milestones!$AA$123)&gt;=$T76),$W76,IF(AND($S76&lt;&gt;"",EDATE($D76,Milestones!$AA$123)&gt;=$S76),$V76,$U76)))=Milestones!$AB$123),UPPER(TEXT(EDATE($D76,Milestones!$AA$123),"dd mmm yy"))&amp;" "&amp;Milestones!$AB$123&amp;" "&amp;Milestones!$AC$123&amp;";  ","")&amp;IF(AND(EDATE($D76,Milestones!$AA$124)&lt;=AsOfDate,IF($R76=0,$X76,IF(AND($T76&lt;&gt;"",EDATE($D76,Milestones!$AA$124)&gt;=$T76),$W76,IF(AND($S76&lt;&gt;"",EDATE($D76,Milestones!$AA$124)&gt;=$S76),$V76,$U76)))=Milestones!$AB$124),UPPER(TEXT(EDATE($D76,Milestones!$AA$124),"dd mmm yy"))&amp;" "&amp;Milestones!$AB$124&amp;" "&amp;Milestones!$AC$124&amp;";  ","")&amp;IF(AND(EDATE($D76,Milestones!$AA$125)&lt;=AsOfDate,IF($R76=0,$X76,IF(AND($T76&lt;&gt;"",EDATE($D76,Milestones!$AA$125)&gt;=$T76),$W76,IF(AND($S76&lt;&gt;"",EDATE($D76,Milestones!$AA$125)&gt;=$S76),$V76,$U76)))=Milestones!$AB$125),UPPER(TEXT(EDATE($D76,Milestones!$AA$125),"dd mmm yy"))&amp;" "&amp;Milestones!$AB$125&amp;" "&amp;Milestones!$AC$125&amp;";  ","")&amp;IF(AND(EDATE($D76,Milestones!$AA$126)&lt;=AsOfDate,IF($R76=0,$X76,IF(AND($T76&lt;&gt;"",EDATE($D76,Milestones!$AA$126)&gt;=$T76),$W76,IF(AND($S76&lt;&gt;"",EDATE($D76,Milestones!$AA$126)&gt;=$S76),$V76,$U76)))=Milestones!$AB$126),UPPER(TEXT(EDATE($D76,Milestones!$AA$126),"dd mmm yy"))&amp;" "&amp;Milestones!$AB$126&amp;" "&amp;Milestones!$AC$126&amp;";  ","")&amp;IF(AND(EDATE($D76,Milestones!$AA$127)&lt;=AsOfDate,IF($R76=0,$X76,IF(AND($T76&lt;&gt;"",EDATE($D76,Milestones!$AA$127)&gt;=$T76),$W76,IF(AND($S76&lt;&gt;"",EDATE($D76,Milestones!$AA$127)&gt;=$S76),$V76,$U76)))=Milestones!$AB$127),UPPER(TEXT(EDATE($D76,Milestones!$AA$127),"dd mmm yy"))&amp;" "&amp;Milestones!$AB$127&amp;" "&amp;Milestones!$AC$127&amp;";  ","")&amp;IF(AND(EDATE($D76,Milestones!$AA$128)&lt;=AsOfDate,IF($R76=0,$X76,IF(AND($T76&lt;&gt;"",EDATE($D76,Milestones!$AA$128)&gt;=$T76),$W76,IF(AND($S76&lt;&gt;"",EDATE($D76,Milestones!$AA$128)&gt;=$S76),$V76,$U76)))=Milestones!$AB$128),UPPER(TEXT(EDATE($D76,Milestones!$AA$128),"dd mmm yy"))&amp;" "&amp;Milestones!$AB$128&amp;" "&amp;Milestones!$AC$128&amp;";  ","")&amp;IF(AND(EDATE($D76,Milestones!$AA$129)&lt;=AsOfDate,IF($R76=0,$X76,IF(AND($T76&lt;&gt;"",EDATE($D76,Milestones!$AA$129)&gt;=$T76),$W76,IF(AND($S76&lt;&gt;"",EDATE($D76,Milestones!$AA$129)&gt;=$S76),$V76,$U76)))=Milestones!$AB$129),UPPER(TEXT(EDATE($D76,Milestones!$AA$129),"dd mmm yy"))&amp;" "&amp;Milestones!$AB$129&amp;" "&amp;Milestones!$AC$129&amp;";  ","")&amp;IF(AND(EDATE($D76,Milestones!$AA$130)&lt;=AsOfDate,IF($R76=0,$X76,IF(AND($T76&lt;&gt;"",EDATE($D76,Milestones!$AA$130)&gt;=$T76),$W76,IF(AND($S76&lt;&gt;"",EDATE($D76,Milestones!$AA$130)&gt;=$S76),$V76,$U76)))=Milestones!$AB$130),UPPER(TEXT(EDATE($D76,Milestones!$AA$130),"dd mmm yy"))&amp;" "&amp;Milestones!$AB$130&amp;" "&amp;Milestones!$AC$130&amp;";  ","")&amp;IF(AND(EDATE($D76,Milestones!$AA$131)&lt;=AsOfDate,IF($R76=0,$X76,IF(AND($T76&lt;&gt;"",EDATE($D76,Milestones!$AA$131)&gt;=$T76),$W76,IF(AND($S76&lt;&gt;"",EDATE($D76,Milestones!$AA$131)&gt;=$S76),$V76,$U76)))=Milestones!$AB$131),UPPER(TEXT(EDATE($D76,Milestones!$AA$131),"dd mmm yy"))&amp;" "&amp;Milestones!$AB$131&amp;" "&amp;Milestones!$AC$131&amp;";  ","")&amp;IF(AND(EDATE($D76,Milestones!$AA$132)&lt;=AsOfDate,IF($R76=0,$X76,IF(AND($T76&lt;&gt;"",EDATE($D76,Milestones!$AA$132)&gt;=$T76),$W76,IF(AND($S76&lt;&gt;"",EDATE($D76,Milestones!$AA$132)&gt;=$S76),$V76,$U76)))=Milestones!$AB$132),UPPER(TEXT(EDATE($D76,Milestones!$AA$132),"dd mmm yy"))&amp;" "&amp;Milestones!$AB$132&amp;" "&amp;Milestones!$AC$132&amp;";  ","")&amp;IF(AND(EDATE($D76,Milestones!$AA$133)&lt;=AsOfDate,IF($R76=0,$X76,IF(AND($T76&lt;&gt;"",EDATE($D76,Milestones!$AA$133)&gt;=$T76),$W76,IF(AND($S76&lt;&gt;"",EDATE($D76,Milestones!$AA$133)&gt;=$S76),$V76,$U76)))=Milestones!$AB$133),UPPER(TEXT(EDATE($D76,Milestones!$AA$133),"dd mmm yy"))&amp;" "&amp;Milestones!$AB$133&amp;" "&amp;Milestones!$AC$133&amp;";  ","")&amp;IF(AND(EDATE($D76,Milestones!$AA$134)&lt;=AsOfDate,IF($R76=0,$X76,IF(AND($T76&lt;&gt;"",EDATE($D76,Milestones!$AA$134)&gt;=$T76),$W76,IF(AND($S76&lt;&gt;"",EDATE($D76,Milestones!$AA$134)&gt;=$S76),$V76,$U76)))=Milestones!$AB$134),UPPER(TEXT(EDATE($D76,Milestones!$AA$134),"dd mmm yy"))&amp;" "&amp;Milestones!$AB$134&amp;" "&amp;Milestones!$AC$134&amp;";  ","")&amp;IF(AND(EDATE($D76,Milestones!$AA$135)&lt;=AsOfDate,IF($R76=0,$X76,IF(AND($T76&lt;&gt;"",EDATE($D76,Milestones!$AA$135)&gt;=$T76),$W76,IF(AND($S76&lt;&gt;"",EDATE($D76,Milestones!$AA$135)&gt;=$S76),$V76,$U76)))=Milestones!$AB$135),UPPER(TEXT(EDATE($D76,Milestones!$AA$135),"dd mmm yy"))&amp;" "&amp;Milestones!$AB$135&amp;" "&amp;Milestones!$AC$135&amp;";  ","")&amp;IF(AND(EDATE($D76,Milestones!$AA$136)&lt;=AsOfDate,IF($R76=0,$X76,IF(AND($T76&lt;&gt;"",EDATE($D76,Milestones!$AA$136)&gt;=$T76),$W76,IF(AND($S76&lt;&gt;"",EDATE($D76,Milestones!$AA$136)&gt;=$S76),$V76,$U76)))=Milestones!$AB$136),UPPER(TEXT(EDATE($D76,Milestones!$AA$136),"dd mmm yy"))&amp;" "&amp;Milestones!$AB$136&amp;" "&amp;Milestones!$AC$136&amp;";  ","")&amp;IF(AND(EDATE($D76,Milestones!$AA$137)&lt;=AsOfDate,IF($R76=0,$X76,IF(AND($T76&lt;&gt;"",EDATE($D76,Milestones!$AA$137)&gt;=$T76),$W76,IF(AND($S76&lt;&gt;"",EDATE($D76,Milestones!$AA$137)&gt;=$S76),$V76,$U76)))=Milestones!$AB$137),UPPER(TEXT(EDATE($D76,Milestones!$AA$137),"dd mmm yy"))&amp;" "&amp;Milestones!$AB$137&amp;" "&amp;Milestones!$AC$137&amp;";  ","")&amp;IF(AND(EDATE($D76,Milestones!$AA$138)&lt;=AsOfDate,IF($R76=0,$X76,IF(AND($T76&lt;&gt;"",EDATE($D76,Milestones!$AA$138)&gt;=$T76),$W76,IF(AND($S76&lt;&gt;"",EDATE($D76,Milestones!$AA$138)&gt;=$S76),$V76,$U76)))=Milestones!$AB$138),UPPER(TEXT(EDATE($D76,Milestones!$AA$138),"dd mmm yy"))&amp;" "&amp;Milestones!$AB$138&amp;" "&amp;Milestones!$AC$138&amp;";  ","")&amp;IF(AND(EDATE($D76,Milestones!$AA$139)&lt;=AsOfDate,IF($R76=0,$X76,IF(AND($T76&lt;&gt;"",EDATE($D76,Milestones!$AA$139)&gt;=$T76),$W76,IF(AND($S76&lt;&gt;"",EDATE($D76,Milestones!$AA$139)&gt;=$S76),$V76,$U76)))=Milestones!$AB$139),UPPER(TEXT(EDATE($D76,Milestones!$AA$139),"dd mmm yy"))&amp;" "&amp;Milestones!$AB$139&amp;" "&amp;Milestones!$AC$139&amp;";  ",""))</f>
        <v/>
      </c>
      <c r="O76" s="0" t="str">
        <f aca="false">IF(OR($A76="",$D76=""),"",IF(AND(EDATE($D76,Milestones!$AA$140)&lt;=AsOfDate,IF($R76=0,$X76,IF(AND($T76&lt;&gt;"",EDATE($D76,Milestones!$AA$140)&gt;=$T76),$W76,IF(AND($S76&lt;&gt;"",EDATE($D76,Milestones!$AA$140)&gt;=$S76),$V76,$U76)))=Milestones!$AB$140),UPPER(TEXT(EDATE($D76,Milestones!$AA$140),"dd mmm yy"))&amp;" "&amp;Milestones!$AB$140&amp;" "&amp;Milestones!$AC$140&amp;";  ","")&amp;IF(AND(EDATE($D76,Milestones!$AA$141)&lt;=AsOfDate,IF($R76=0,$X76,IF(AND($T76&lt;&gt;"",EDATE($D76,Milestones!$AA$141)&gt;=$T76),$W76,IF(AND($S76&lt;&gt;"",EDATE($D76,Milestones!$AA$141)&gt;=$S76),$V76,$U76)))=Milestones!$AB$141),UPPER(TEXT(EDATE($D76,Milestones!$AA$141),"dd mmm yy"))&amp;" "&amp;Milestones!$AB$141&amp;" "&amp;Milestones!$AC$141&amp;";  ","")&amp;IF(AND(EDATE($D76,Milestones!$AA$142)&lt;=AsOfDate,IF($R76=0,$X76,IF(AND($T76&lt;&gt;"",EDATE($D76,Milestones!$AA$142)&gt;=$T76),$W76,IF(AND($S76&lt;&gt;"",EDATE($D76,Milestones!$AA$142)&gt;=$S76),$V76,$U76)))=Milestones!$AB$142),UPPER(TEXT(EDATE($D76,Milestones!$AA$142),"dd mmm yy"))&amp;" "&amp;Milestones!$AB$142&amp;" "&amp;Milestones!$AC$142&amp;";  ","")&amp;IF(AND(EDATE($D76,Milestones!$AA$143)&lt;=AsOfDate,IF($R76=0,$X76,IF(AND($T76&lt;&gt;"",EDATE($D76,Milestones!$AA$143)&gt;=$T76),$W76,IF(AND($S76&lt;&gt;"",EDATE($D76,Milestones!$AA$143)&gt;=$S76),$V76,$U76)))=Milestones!$AB$143),UPPER(TEXT(EDATE($D76,Milestones!$AA$143),"dd mmm yy"))&amp;" "&amp;Milestones!$AB$143&amp;" "&amp;Milestones!$AC$143&amp;";  ","")&amp;IF(AND(EDATE($D76,Milestones!$AA$144)&lt;=AsOfDate,IF($R76=0,$X76,IF(AND($T76&lt;&gt;"",EDATE($D76,Milestones!$AA$144)&gt;=$T76),$W76,IF(AND($S76&lt;&gt;"",EDATE($D76,Milestones!$AA$144)&gt;=$S76),$V76,$U76)))=Milestones!$AB$144),UPPER(TEXT(EDATE($D76,Milestones!$AA$144),"dd mmm yy"))&amp;" "&amp;Milestones!$AB$144&amp;" "&amp;Milestones!$AC$144&amp;";  ","")&amp;IF(AND(EDATE($D76,Milestones!$AA$145)&lt;=AsOfDate,IF($R76=0,$X76,IF(AND($T76&lt;&gt;"",EDATE($D76,Milestones!$AA$145)&gt;=$T76),$W76,IF(AND($S76&lt;&gt;"",EDATE($D76,Milestones!$AA$145)&gt;=$S76),$V76,$U76)))=Milestones!$AB$145),UPPER(TEXT(EDATE($D76,Milestones!$AA$145),"dd mmm yy"))&amp;" "&amp;Milestones!$AB$145&amp;" "&amp;Milestones!$AC$145&amp;";  ","")&amp;IF(AND(EDATE($D76,Milestones!$AA$146)&lt;=AsOfDate,IF($R76=0,$X76,IF(AND($T76&lt;&gt;"",EDATE($D76,Milestones!$AA$146)&gt;=$T76),$W76,IF(AND($S76&lt;&gt;"",EDATE($D76,Milestones!$AA$146)&gt;=$S76),$V76,$U76)))=Milestones!$AB$146),UPPER(TEXT(EDATE($D76,Milestones!$AA$146),"dd mmm yy"))&amp;" "&amp;Milestones!$AB$146&amp;" "&amp;Milestones!$AC$146&amp;";  ","")&amp;IF(AND(EDATE($D76,Milestones!$AA$147)&lt;=AsOfDate,IF($R76=0,$X76,IF(AND($T76&lt;&gt;"",EDATE($D76,Milestones!$AA$147)&gt;=$T76),$W76,IF(AND($S76&lt;&gt;"",EDATE($D76,Milestones!$AA$147)&gt;=$S76),$V76,$U76)))=Milestones!$AB$147),UPPER(TEXT(EDATE($D76,Milestones!$AA$147),"dd mmm yy"))&amp;" "&amp;Milestones!$AB$147&amp;" "&amp;Milestones!$AC$147&amp;";  ","")&amp;IF(AND(EDATE($D76,Milestones!$AA$148)&lt;=AsOfDate,IF($R76=0,$X76,IF(AND($T76&lt;&gt;"",EDATE($D76,Milestones!$AA$148)&gt;=$T76),$W76,IF(AND($S76&lt;&gt;"",EDATE($D76,Milestones!$AA$148)&gt;=$S76),$V76,$U76)))=Milestones!$AB$148),UPPER(TEXT(EDATE($D76,Milestones!$AA$148),"dd mmm yy"))&amp;" "&amp;Milestones!$AB$148&amp;" "&amp;Milestones!$AC$148&amp;";  ","")&amp;IF(AND(EDATE($D76,Milestones!$AA$149)&lt;=AsOfDate,IF($R76=0,$X76,IF(AND($T76&lt;&gt;"",EDATE($D76,Milestones!$AA$149)&gt;=$T76),$W76,IF(AND($S76&lt;&gt;"",EDATE($D76,Milestones!$AA$149)&gt;=$S76),$V76,$U76)))=Milestones!$AB$149),UPPER(TEXT(EDATE($D76,Milestones!$AA$149),"dd mmm yy"))&amp;" "&amp;Milestones!$AB$149&amp;" "&amp;Milestones!$AC$149&amp;";  ","")&amp;IF(AND(EDATE($D76,Milestones!$AA$150)&lt;=AsOfDate,IF($R76=0,$X76,IF(AND($T76&lt;&gt;"",EDATE($D76,Milestones!$AA$150)&gt;=$T76),$W76,IF(AND($S76&lt;&gt;"",EDATE($D76,Milestones!$AA$150)&gt;=$S76),$V76,$U76)))=Milestones!$AB$150),UPPER(TEXT(EDATE($D76,Milestones!$AA$150),"dd mmm yy"))&amp;" "&amp;Milestones!$AB$150&amp;" "&amp;Milestones!$AC$150&amp;";  ","")&amp;IF(AND(EDATE($D76,Milestones!$AA$151)&lt;=AsOfDate,IF($R76=0,$X76,IF(AND($T76&lt;&gt;"",EDATE($D76,Milestones!$AA$151)&gt;=$T76),$W76,IF(AND($S76&lt;&gt;"",EDATE($D76,Milestones!$AA$151)&gt;=$S76),$V76,$U76)))=Milestones!$AB$151),UPPER(TEXT(EDATE($D76,Milestones!$AA$151),"dd mmm yy"))&amp;" "&amp;Milestones!$AB$151&amp;" "&amp;Milestones!$AC$151&amp;";  ","")&amp;IF(AND(EDATE($D76,Milestones!$AA$152)&lt;=AsOfDate,IF($R76=0,$X76,IF(AND($T76&lt;&gt;"",EDATE($D76,Milestones!$AA$152)&gt;=$T76),$W76,IF(AND($S76&lt;&gt;"",EDATE($D76,Milestones!$AA$152)&gt;=$S76),$V76,$U76)))=Milestones!$AB$152),UPPER(TEXT(EDATE($D76,Milestones!$AA$152),"dd mmm yy"))&amp;" "&amp;Milestones!$AB$152&amp;" "&amp;Milestones!$AC$152&amp;";  ","")&amp;IF(AND(EDATE($D76,Milestones!$AA$153)&lt;=AsOfDate,IF($R76=0,$X76,IF(AND($T76&lt;&gt;"",EDATE($D76,Milestones!$AA$153)&gt;=$T76),$W76,IF(AND($S76&lt;&gt;"",EDATE($D76,Milestones!$AA$153)&gt;=$S76),$V76,$U76)))=Milestones!$AB$153),UPPER(TEXT(EDATE($D76,Milestones!$AA$153),"dd mmm yy"))&amp;" "&amp;Milestones!$AB$153&amp;" "&amp;Milestones!$AC$153&amp;";  ","")&amp;IF(AND(EDATE($D76,Milestones!$AA$154)&lt;=AsOfDate,IF($R76=0,$X76,IF(AND($T76&lt;&gt;"",EDATE($D76,Milestones!$AA$154)&gt;=$T76),$W76,IF(AND($S76&lt;&gt;"",EDATE($D76,Milestones!$AA$154)&gt;=$S76),$V76,$U76)))=Milestones!$AB$154),UPPER(TEXT(EDATE($D76,Milestones!$AA$154),"dd mmm yy"))&amp;" "&amp;Milestones!$AB$154&amp;" "&amp;Milestones!$AC$154&amp;";  ","")&amp;IF(AND(EDATE($D76,Milestones!$AA$155)&lt;=AsOfDate,IF($R76=0,$X76,IF(AND($T76&lt;&gt;"",EDATE($D76,Milestones!$AA$155)&gt;=$T76),$W76,IF(AND($S76&lt;&gt;"",EDATE($D76,Milestones!$AA$155)&gt;=$S76),$V76,$U76)))=Milestones!$AB$155),UPPER(TEXT(EDATE($D76,Milestones!$AA$155),"dd mmm yy"))&amp;" "&amp;Milestones!$AB$155&amp;" "&amp;Milestones!$AC$155&amp;";  ","")&amp;IF(AND(EDATE($D76,Milestones!$AA$156)&lt;=AsOfDate,IF($R76=0,$X76,IF(AND($T76&lt;&gt;"",EDATE($D76,Milestones!$AA$156)&gt;=$T76),$W76,IF(AND($S76&lt;&gt;"",EDATE($D76,Milestones!$AA$156)&gt;=$S76),$V76,$U76)))=Milestones!$AB$156),UPPER(TEXT(EDATE($D76,Milestones!$AA$156),"dd mmm yy"))&amp;" "&amp;Milestones!$AB$156&amp;" "&amp;Milestones!$AC$156&amp;";  ","")&amp;IF(AND(EDATE($D76,Milestones!$AA$157)&lt;=AsOfDate,IF($R76=0,$X76,IF(AND($T76&lt;&gt;"",EDATE($D76,Milestones!$AA$157)&gt;=$T76),$W76,IF(AND($S76&lt;&gt;"",EDATE($D76,Milestones!$AA$157)&gt;=$S76),$V76,$U76)))=Milestones!$AB$157),UPPER(TEXT(EDATE($D76,Milestones!$AA$157),"dd mmm yy"))&amp;" "&amp;Milestones!$AB$157&amp;" "&amp;Milestones!$AC$157&amp;";  ","")&amp;IF(AND(EDATE($D76,Milestones!$AA$158)&lt;=AsOfDate,IF($R76=0,$X76,IF(AND($T76&lt;&gt;"",EDATE($D76,Milestones!$AA$158)&gt;=$T76),$W76,IF(AND($S76&lt;&gt;"",EDATE($D76,Milestones!$AA$158)&gt;=$S76),$V76,$U76)))=Milestones!$AB$158),UPPER(TEXT(EDATE($D76,Milestones!$AA$158),"dd mmm yy"))&amp;" "&amp;Milestones!$AB$158&amp;" "&amp;Milestones!$AC$158&amp;";  ","")&amp;IF(AND(EDATE($D76,Milestones!$AA$159)&lt;=AsOfDate,IF($R76=0,$X76,IF(AND($T76&lt;&gt;"",EDATE($D76,Milestones!$AA$159)&gt;=$T76),$W76,IF(AND($S76&lt;&gt;"",EDATE($D76,Milestones!$AA$159)&gt;=$S76),$V76,$U76)))=Milestones!$AB$159),UPPER(TEXT(EDATE($D76,Milestones!$AA$159),"dd mmm yy"))&amp;" "&amp;Milestones!$AB$159&amp;" "&amp;Milestones!$AC$159&amp;";  ",""))</f>
        <v/>
      </c>
      <c r="P76" s="0" t="str">
        <f aca="false">IF(OR($A76="",$D76=""),"",IF(AND(EDATE($D76,Milestones!$AA$160)&lt;=AsOfDate,IF($R76=0,$X76,IF(AND($T76&lt;&gt;"",EDATE($D76,Milestones!$AA$160)&gt;=$T76),$W76,IF(AND($S76&lt;&gt;"",EDATE($D76,Milestones!$AA$160)&gt;=$S76),$V76,$U76)))=Milestones!$AB$160),UPPER(TEXT(EDATE($D76,Milestones!$AA$160),"dd mmm yy"))&amp;" "&amp;Milestones!$AB$160&amp;" "&amp;Milestones!$AC$160&amp;";  ","")&amp;IF(AND(EDATE($D76,Milestones!$AA$161)&lt;=AsOfDate,IF($R76=0,$X76,IF(AND($T76&lt;&gt;"",EDATE($D76,Milestones!$AA$161)&gt;=$T76),$W76,IF(AND($S76&lt;&gt;"",EDATE($D76,Milestones!$AA$161)&gt;=$S76),$V76,$U76)))=Milestones!$AB$161),UPPER(TEXT(EDATE($D76,Milestones!$AA$161),"dd mmm yy"))&amp;" "&amp;Milestones!$AB$161&amp;" "&amp;Milestones!$AC$161&amp;";  ","")&amp;IF(AND(EDATE($D76,Milestones!$AA$162)&lt;=AsOfDate,IF($R76=0,$X76,IF(AND($T76&lt;&gt;"",EDATE($D76,Milestones!$AA$162)&gt;=$T76),$W76,IF(AND($S76&lt;&gt;"",EDATE($D76,Milestones!$AA$162)&gt;=$S76),$V76,$U76)))=Milestones!$AB$162),UPPER(TEXT(EDATE($D76,Milestones!$AA$162),"dd mmm yy"))&amp;" "&amp;Milestones!$AB$162&amp;" "&amp;Milestones!$AC$162&amp;";  ","")&amp;IF(AND(EDATE($D76,Milestones!$AA$163)&lt;=AsOfDate,IF($R76=0,$X76,IF(AND($T76&lt;&gt;"",EDATE($D76,Milestones!$AA$163)&gt;=$T76),$W76,IF(AND($S76&lt;&gt;"",EDATE($D76,Milestones!$AA$163)&gt;=$S76),$V76,$U76)))=Milestones!$AB$163),UPPER(TEXT(EDATE($D76,Milestones!$AA$163),"dd mmm yy"))&amp;" "&amp;Milestones!$AB$163&amp;" "&amp;Milestones!$AC$163&amp;";  ","")&amp;IF(AND(EDATE($D76,Milestones!$AA$164)&lt;=AsOfDate,IF($R76=0,$X76,IF(AND($T76&lt;&gt;"",EDATE($D76,Milestones!$AA$164)&gt;=$T76),$W76,IF(AND($S76&lt;&gt;"",EDATE($D76,Milestones!$AA$164)&gt;=$S76),$V76,$U76)))=Milestones!$AB$164),UPPER(TEXT(EDATE($D76,Milestones!$AA$164),"dd mmm yy"))&amp;" "&amp;Milestones!$AB$164&amp;" "&amp;Milestones!$AC$164&amp;";  ","")&amp;IF(AND(EDATE($D76,Milestones!$AA$165)&lt;=AsOfDate,IF($R76=0,$X76,IF(AND($T76&lt;&gt;"",EDATE($D76,Milestones!$AA$165)&gt;=$T76),$W76,IF(AND($S76&lt;&gt;"",EDATE($D76,Milestones!$AA$165)&gt;=$S76),$V76,$U76)))=Milestones!$AB$165),UPPER(TEXT(EDATE($D76,Milestones!$AA$165),"dd mmm yy"))&amp;" "&amp;Milestones!$AB$165&amp;" "&amp;Milestones!$AC$165&amp;";  ","")&amp;IF(AND(EDATE($D76,Milestones!$AA$166)&lt;=AsOfDate,IF($R76=0,$X76,IF(AND($T76&lt;&gt;"",EDATE($D76,Milestones!$AA$166)&gt;=$T76),$W76,IF(AND($S76&lt;&gt;"",EDATE($D76,Milestones!$AA$166)&gt;=$S76),$V76,$U76)))=Milestones!$AB$166),UPPER(TEXT(EDATE($D76,Milestones!$AA$166),"dd mmm yy"))&amp;" "&amp;Milestones!$AB$166&amp;" "&amp;Milestones!$AC$166&amp;";  ","")&amp;IF(AND(EDATE($D76,Milestones!$AA$167)&lt;=AsOfDate,IF($R76=0,$X76,IF(AND($T76&lt;&gt;"",EDATE($D76,Milestones!$AA$167)&gt;=$T76),$W76,IF(AND($S76&lt;&gt;"",EDATE($D76,Milestones!$AA$167)&gt;=$S76),$V76,$U76)))=Milestones!$AB$167),UPPER(TEXT(EDATE($D76,Milestones!$AA$167),"dd mmm yy"))&amp;" "&amp;Milestones!$AB$167&amp;" "&amp;Milestones!$AC$167&amp;";  ","")&amp;IF(AND(EDATE($D76,Milestones!$AA$168)&lt;=AsOfDate,IF($R76=0,$X76,IF(AND($T76&lt;&gt;"",EDATE($D76,Milestones!$AA$168)&gt;=$T76),$W76,IF(AND($S76&lt;&gt;"",EDATE($D76,Milestones!$AA$168)&gt;=$S76),$V76,$U76)))=Milestones!$AB$168),UPPER(TEXT(EDATE($D76,Milestones!$AA$168),"dd mmm yy"))&amp;" "&amp;Milestones!$AB$168&amp;" "&amp;Milestones!$AC$168&amp;";  ","")&amp;IF(AND(EDATE($D76,Milestones!$AA$169)&lt;=AsOfDate,IF($R76=0,$X76,IF(AND($T76&lt;&gt;"",EDATE($D76,Milestones!$AA$169)&gt;=$T76),$W76,IF(AND($S76&lt;&gt;"",EDATE($D76,Milestones!$AA$169)&gt;=$S76),$V76,$U76)))=Milestones!$AB$169),UPPER(TEXT(EDATE($D76,Milestones!$AA$169),"dd mmm yy"))&amp;" "&amp;Milestones!$AB$169&amp;" "&amp;Milestones!$AC$169&amp;";  ","")&amp;IF(AND(EDATE($D76,Milestones!$AA$170)&lt;=AsOfDate,IF($R76=0,$X76,IF(AND($T76&lt;&gt;"",EDATE($D76,Milestones!$AA$170)&gt;=$T76),$W76,IF(AND($S76&lt;&gt;"",EDATE($D76,Milestones!$AA$170)&gt;=$S76),$V76,$U76)))=Milestones!$AB$170),UPPER(TEXT(EDATE($D76,Milestones!$AA$170),"dd mmm yy"))&amp;" "&amp;Milestones!$AB$170&amp;" "&amp;Milestones!$AC$170&amp;";  ","")&amp;IF(AND(EDATE($D76,Milestones!$AA$171)&lt;=AsOfDate,IF($R76=0,$X76,IF(AND($T76&lt;&gt;"",EDATE($D76,Milestones!$AA$171)&gt;=$T76),$W76,IF(AND($S76&lt;&gt;"",EDATE($D76,Milestones!$AA$171)&gt;=$S76),$V76,$U76)))=Milestones!$AB$171),UPPER(TEXT(EDATE($D76,Milestones!$AA$171),"dd mmm yy"))&amp;" "&amp;Milestones!$AB$171&amp;" "&amp;Milestones!$AC$171&amp;";  ","")&amp;IF(AND(EDATE($D76,Milestones!$AA$172)&lt;=AsOfDate,IF($R76=0,$X76,IF(AND($T76&lt;&gt;"",EDATE($D76,Milestones!$AA$172)&gt;=$T76),$W76,IF(AND($S76&lt;&gt;"",EDATE($D76,Milestones!$AA$172)&gt;=$S76),$V76,$U76)))=Milestones!$AB$172),UPPER(TEXT(EDATE($D76,Milestones!$AA$172),"dd mmm yy"))&amp;" "&amp;Milestones!$AB$172&amp;" "&amp;Milestones!$AC$172&amp;";  ","")&amp;IF(AND(EDATE($D76,Milestones!$AA$173)&lt;=AsOfDate,IF($R76=0,$X76,IF(AND($T76&lt;&gt;"",EDATE($D76,Milestones!$AA$173)&gt;=$T76),$W76,IF(AND($S76&lt;&gt;"",EDATE($D76,Milestones!$AA$173)&gt;=$S76),$V76,$U76)))=Milestones!$AB$173),UPPER(TEXT(EDATE($D76,Milestones!$AA$173),"dd mmm yy"))&amp;" "&amp;Milestones!$AB$173&amp;" "&amp;Milestones!$AC$173&amp;";  ","")&amp;IF(AND(EDATE($D76,Milestones!$AA$174)&lt;=AsOfDate,IF($R76=0,$X76,IF(AND($T76&lt;&gt;"",EDATE($D76,Milestones!$AA$174)&gt;=$T76),$W76,IF(AND($S76&lt;&gt;"",EDATE($D76,Milestones!$AA$174)&gt;=$S76),$V76,$U76)))=Milestones!$AB$174),UPPER(TEXT(EDATE($D76,Milestones!$AA$174),"dd mmm yy"))&amp;" "&amp;Milestones!$AB$174&amp;" "&amp;Milestones!$AC$174&amp;";  ","")&amp;IF(AND(EDATE($D76,Milestones!$AA$175)&lt;=AsOfDate,IF($R76=0,$X76,IF(AND($T76&lt;&gt;"",EDATE($D76,Milestones!$AA$175)&gt;=$T76),$W76,IF(AND($S76&lt;&gt;"",EDATE($D76,Milestones!$AA$175)&gt;=$S76),$V76,$U76)))=Milestones!$AB$175),UPPER(TEXT(EDATE($D76,Milestones!$AA$175),"dd mmm yy"))&amp;" "&amp;Milestones!$AB$175&amp;" "&amp;Milestones!$AC$175&amp;";  ","")&amp;IF(AND(EDATE($D76,Milestones!$AA$176)&lt;=AsOfDate,IF($R76=0,$X76,IF(AND($T76&lt;&gt;"",EDATE($D76,Milestones!$AA$176)&gt;=$T76),$W76,IF(AND($S76&lt;&gt;"",EDATE($D76,Milestones!$AA$176)&gt;=$S76),$V76,$U76)))=Milestones!$AB$176),UPPER(TEXT(EDATE($D76,Milestones!$AA$176),"dd mmm yy"))&amp;" "&amp;Milestones!$AB$176&amp;" "&amp;Milestones!$AC$176&amp;";  ","")&amp;IF(AND(EDATE($D76,Milestones!$AA$177)&lt;=AsOfDate,IF($R76=0,$X76,IF(AND($T76&lt;&gt;"",EDATE($D76,Milestones!$AA$177)&gt;=$T76),$W76,IF(AND($S76&lt;&gt;"",EDATE($D76,Milestones!$AA$177)&gt;=$S76),$V76,$U76)))=Milestones!$AB$177),UPPER(TEXT(EDATE($D76,Milestones!$AA$177),"dd mmm yy"))&amp;" "&amp;Milestones!$AB$177&amp;" "&amp;Milestones!$AC$177&amp;";  ","")&amp;IF(AND(EDATE($D76,Milestones!$AA$178)&lt;=AsOfDate,IF($R76=0,$X76,IF(AND($T76&lt;&gt;"",EDATE($D76,Milestones!$AA$178)&gt;=$T76),$W76,IF(AND($S76&lt;&gt;"",EDATE($D76,Milestones!$AA$178)&gt;=$S76),$V76,$U76)))=Milestones!$AB$178),UPPER(TEXT(EDATE($D76,Milestones!$AA$178),"dd mmm yy"))&amp;" "&amp;Milestones!$AB$178&amp;" "&amp;Milestones!$AC$178&amp;";  ","")&amp;IF(AND(EDATE($D76,Milestones!$AA$179)&lt;=AsOfDate,IF($R76=0,$X76,IF(AND($T76&lt;&gt;"",EDATE($D76,Milestones!$AA$179)&gt;=$T76),$W76,IF(AND($S76&lt;&gt;"",EDATE($D76,Milestones!$AA$179)&gt;=$S76),$V76,$U76)))=Milestones!$AB$179),UPPER(TEXT(EDATE($D76,Milestones!$AA$179),"dd mmm yy"))&amp;" "&amp;Milestones!$AB$179&amp;" "&amp;Milestones!$AC$179&amp;";  ",""))</f>
        <v/>
      </c>
      <c r="Q76" s="0" t="str">
        <f aca="false">IF(OR($A76="",$D76=""),"",IF(AND(EDATE($D76,Milestones!$AA$180)&lt;=AsOfDate,IF($R76=0,$X76,IF(AND($T76&lt;&gt;"",EDATE($D76,Milestones!$AA$180)&gt;=$T76),$W76,IF(AND($S76&lt;&gt;"",EDATE($D76,Milestones!$AA$180)&gt;=$S76),$V76,$U76)))=Milestones!$AB$180),UPPER(TEXT(EDATE($D76,Milestones!$AA$180),"dd mmm yy"))&amp;" "&amp;Milestones!$AB$180&amp;" "&amp;Milestones!$AC$180&amp;";  ","")&amp;IF(AND(EDATE($D76,Milestones!$AA$181)&lt;=AsOfDate,IF($R76=0,$X76,IF(AND($T76&lt;&gt;"",EDATE($D76,Milestones!$AA$181)&gt;=$T76),$W76,IF(AND($S76&lt;&gt;"",EDATE($D76,Milestones!$AA$181)&gt;=$S76),$V76,$U76)))=Milestones!$AB$181),UPPER(TEXT(EDATE($D76,Milestones!$AA$181),"dd mmm yy"))&amp;" "&amp;Milestones!$AB$181&amp;" "&amp;Milestones!$AC$181&amp;";  ","")&amp;IF(AND(EDATE($D76,Milestones!$AA$182)&lt;=AsOfDate,IF($R76=0,$X76,IF(AND($T76&lt;&gt;"",EDATE($D76,Milestones!$AA$182)&gt;=$T76),$W76,IF(AND($S76&lt;&gt;"",EDATE($D76,Milestones!$AA$182)&gt;=$S76),$V76,$U76)))=Milestones!$AB$182),UPPER(TEXT(EDATE($D76,Milestones!$AA$182),"dd mmm yy"))&amp;" "&amp;Milestones!$AB$182&amp;" "&amp;Milestones!$AC$182&amp;";  ","")&amp;IF(AND(EDATE($D76,Milestones!$AA$183)&lt;=AsOfDate,IF($R76=0,$X76,IF(AND($T76&lt;&gt;"",EDATE($D76,Milestones!$AA$183)&gt;=$T76),$W76,IF(AND($S76&lt;&gt;"",EDATE($D76,Milestones!$AA$183)&gt;=$S76),$V76,$U76)))=Milestones!$AB$183),UPPER(TEXT(EDATE($D76,Milestones!$AA$183),"dd mmm yy"))&amp;" "&amp;Milestones!$AB$183&amp;" "&amp;Milestones!$AC$183&amp;";  ","")&amp;IF(AND(EDATE($D76,Milestones!$AA$184)&lt;=AsOfDate,IF($R76=0,$X76,IF(AND($T76&lt;&gt;"",EDATE($D76,Milestones!$AA$184)&gt;=$T76),$W76,IF(AND($S76&lt;&gt;"",EDATE($D76,Milestones!$AA$184)&gt;=$S76),$V76,$U76)))=Milestones!$AB$184),UPPER(TEXT(EDATE($D76,Milestones!$AA$184),"dd mmm yy"))&amp;" "&amp;Milestones!$AB$184&amp;" "&amp;Milestones!$AC$184&amp;";  ","")&amp;IF(AND(EDATE($D76,Milestones!$AA$185)&lt;=AsOfDate,IF($R76=0,$X76,IF(AND($T76&lt;&gt;"",EDATE($D76,Milestones!$AA$185)&gt;=$T76),$W76,IF(AND($S76&lt;&gt;"",EDATE($D76,Milestones!$AA$185)&gt;=$S76),$V76,$U76)))=Milestones!$AB$185),UPPER(TEXT(EDATE($D76,Milestones!$AA$185),"dd mmm yy"))&amp;" "&amp;Milestones!$AB$185&amp;" "&amp;Milestones!$AC$185&amp;";  ","")&amp;IF(AND(EDATE($D76,Milestones!$AA$186)&lt;=AsOfDate,IF($R76=0,$X76,IF(AND($T76&lt;&gt;"",EDATE($D76,Milestones!$AA$186)&gt;=$T76),$W76,IF(AND($S76&lt;&gt;"",EDATE($D76,Milestones!$AA$186)&gt;=$S76),$V76,$U76)))=Milestones!$AB$186),UPPER(TEXT(EDATE($D76,Milestones!$AA$186),"dd mmm yy"))&amp;" "&amp;Milestones!$AB$186&amp;" "&amp;Milestones!$AC$186&amp;";  ","")&amp;IF(AND(EDATE($D76,Milestones!$AA$187)&lt;=AsOfDate,IF($R76=0,$X76,IF(AND($T76&lt;&gt;"",EDATE($D76,Milestones!$AA$187)&gt;=$T76),$W76,IF(AND($S76&lt;&gt;"",EDATE($D76,Milestones!$AA$187)&gt;=$S76),$V76,$U76)))=Milestones!$AB$187),UPPER(TEXT(EDATE($D76,Milestones!$AA$187),"dd mmm yy"))&amp;" "&amp;Milestones!$AB$187&amp;" "&amp;Milestones!$AC$187&amp;";  ","")&amp;IF(AND(EDATE($D76,Milestones!$AA$188)&lt;=AsOfDate,IF($R76=0,$X76,IF(AND($T76&lt;&gt;"",EDATE($D76,Milestones!$AA$188)&gt;=$T76),$W76,IF(AND($S76&lt;&gt;"",EDATE($D76,Milestones!$AA$188)&gt;=$S76),$V76,$U76)))=Milestones!$AB$188),UPPER(TEXT(EDATE($D76,Milestones!$AA$188),"dd mmm yy"))&amp;" "&amp;Milestones!$AB$188&amp;" "&amp;Milestones!$AC$188&amp;";  ","")&amp;IF(AND(EDATE($D76,Milestones!$AA$189)&lt;=AsOfDate,IF($R76=0,$X76,IF(AND($T76&lt;&gt;"",EDATE($D76,Milestones!$AA$189)&gt;=$T76),$W76,IF(AND($S76&lt;&gt;"",EDATE($D76,Milestones!$AA$189)&gt;=$S76),$V76,$U76)))=Milestones!$AB$189),UPPER(TEXT(EDATE($D76,Milestones!$AA$189),"dd mmm yy"))&amp;" "&amp;Milestones!$AB$189&amp;" "&amp;Milestones!$AC$189&amp;";  ","")&amp;IF(AND(EDATE($D76,Milestones!$AA$190)&lt;=AsOfDate,IF($R76=0,$X76,IF(AND($T76&lt;&gt;"",EDATE($D76,Milestones!$AA$190)&gt;=$T76),$W76,IF(AND($S76&lt;&gt;"",EDATE($D76,Milestones!$AA$190)&gt;=$S76),$V76,$U76)))=Milestones!$AB$190),UPPER(TEXT(EDATE($D76,Milestones!$AA$190),"dd mmm yy"))&amp;" "&amp;Milestones!$AB$190&amp;" "&amp;Milestones!$AC$190&amp;";  ","")&amp;IF(AND(EDATE($D76,Milestones!$AA$191)&lt;=AsOfDate,IF($R76=0,$X76,IF(AND($T76&lt;&gt;"",EDATE($D76,Milestones!$AA$191)&gt;=$T76),$W76,IF(AND($S76&lt;&gt;"",EDATE($D76,Milestones!$AA$191)&gt;=$S76),$V76,$U76)))=Milestones!$AB$191),UPPER(TEXT(EDATE($D76,Milestones!$AA$191),"dd mmm yy"))&amp;" "&amp;Milestones!$AB$191&amp;" "&amp;Milestones!$AC$191&amp;";  ","")&amp;IF(AND(EDATE($D76,Milestones!$AA$192)&lt;=AsOfDate,IF($R76=0,$X76,IF(AND($T76&lt;&gt;"",EDATE($D76,Milestones!$AA$192)&gt;=$T76),$W76,IF(AND($S76&lt;&gt;"",EDATE($D76,Milestones!$AA$192)&gt;=$S76),$V76,$U76)))=Milestones!$AB$192),UPPER(TEXT(EDATE($D76,Milestones!$AA$192),"dd mmm yy"))&amp;" "&amp;Milestones!$AB$192&amp;" "&amp;Milestones!$AC$192&amp;";  ","")&amp;IF(AND(EDATE($D76,Milestones!$AA$193)&lt;=AsOfDate,IF($R76=0,$X76,IF(AND($T76&lt;&gt;"",EDATE($D76,Milestones!$AA$193)&gt;=$T76),$W76,IF(AND($S76&lt;&gt;"",EDATE($D76,Milestones!$AA$193)&gt;=$S76),$V76,$U76)))=Milestones!$AB$193),UPPER(TEXT(EDATE($D76,Milestones!$AA$193),"dd mmm yy"))&amp;" "&amp;Milestones!$AB$193&amp;" "&amp;Milestones!$AC$193&amp;";  ","")&amp;IF(AND(EDATE($D76,Milestones!$AA$194)&lt;=AsOfDate,IF($R76=0,$X76,IF(AND($T76&lt;&gt;"",EDATE($D76,Milestones!$AA$194)&gt;=$T76),$W76,IF(AND($S76&lt;&gt;"",EDATE($D76,Milestones!$AA$194)&gt;=$S76),$V76,$U76)))=Milestones!$AB$194),UPPER(TEXT(EDATE($D76,Milestones!$AA$194),"dd mmm yy"))&amp;" "&amp;Milestones!$AB$194&amp;" "&amp;Milestones!$AC$194&amp;";  ","")&amp;IF(AND(EDATE($D76,Milestones!$AA$195)&lt;=AsOfDate,IF($R76=0,$X76,IF(AND($T76&lt;&gt;"",EDATE($D76,Milestones!$AA$195)&gt;=$T76),$W76,IF(AND($S76&lt;&gt;"",EDATE($D76,Milestones!$AA$195)&gt;=$S76),$V76,$U76)))=Milestones!$AB$195),UPPER(TEXT(EDATE($D76,Milestones!$AA$195),"dd mmm yy"))&amp;" "&amp;Milestones!$AB$195&amp;" "&amp;Milestones!$AC$195&amp;";  ","")&amp;IF(AND(EDATE($D76,Milestones!$AA$196)&lt;=AsOfDate,IF($R76=0,$X76,IF(AND($T76&lt;&gt;"",EDATE($D76,Milestones!$AA$196)&gt;=$T76),$W76,IF(AND($S76&lt;&gt;"",EDATE($D76,Milestones!$AA$196)&gt;=$S76),$V76,$U76)))=Milestones!$AB$196),UPPER(TEXT(EDATE($D76,Milestones!$AA$196),"dd mmm yy"))&amp;" "&amp;Milestones!$AB$196&amp;" "&amp;Milestones!$AC$196&amp;";  ","")&amp;IF(AND(EDATE($D76,Milestones!$AA$197)&lt;=AsOfDate,IF($R76=0,$X76,IF(AND($T76&lt;&gt;"",EDATE($D76,Milestones!$AA$197)&gt;=$T76),$W76,IF(AND($S76&lt;&gt;"",EDATE($D76,Milestones!$AA$197)&gt;=$S76),$V76,$U76)))=Milestones!$AB$197),UPPER(TEXT(EDATE($D76,Milestones!$AA$197),"dd mmm yy"))&amp;" "&amp;Milestones!$AB$197&amp;" "&amp;Milestones!$AC$197&amp;";  ","")&amp;IF(AND(EDATE($D76,Milestones!$AA$198)&lt;=AsOfDate,IF($R76=0,$X76,IF(AND($T76&lt;&gt;"",EDATE($D76,Milestones!$AA$198)&gt;=$T76),$W76,IF(AND($S76&lt;&gt;"",EDATE($D76,Milestones!$AA$198)&gt;=$S76),$V76,$U76)))=Milestones!$AB$198),UPPER(TEXT(EDATE($D76,Milestones!$AA$198),"dd mmm yy"))&amp;" "&amp;Milestones!$AB$198&amp;" "&amp;Milestones!$AC$198&amp;";  ","")&amp;IF(AND(EDATE($D76,Milestones!$AA$199)&lt;=AsOfDate,IF($R76=0,$X76,IF(AND($T76&lt;&gt;"",EDATE($D76,Milestones!$AA$199)&gt;=$T76),$W76,IF(AND($S76&lt;&gt;"",EDATE($D76,Milestones!$AA$199)&gt;=$S76),$V76,$U76)))=Milestones!$AB$199),UPPER(TEXT(EDATE($D76,Milestones!$AA$199),"dd mmm yy"))&amp;" "&amp;Milestones!$AB$199&amp;" "&amp;Milestones!$AC$199&amp;";  ",""))</f>
        <v/>
      </c>
      <c r="R76" s="0" t="str">
        <f aca="false">IF(Staff!$A76="","",Staff!$AI76)</f>
        <v/>
      </c>
      <c r="S76" s="0" t="str">
        <f aca="false">IF(Staff!$A76="","",Staff!$AK76)</f>
        <v/>
      </c>
      <c r="T76" s="0" t="str">
        <f aca="false">IF(Staff!$A76="","",Staff!$AL76)</f>
        <v/>
      </c>
      <c r="U76" s="0" t="str">
        <f aca="false">IF(Staff!$A76="","",Staff!$AP76)</f>
        <v/>
      </c>
      <c r="V76" s="0" t="str">
        <f aca="false">IF(Staff!$A76="","",Staff!$AQ76)</f>
        <v/>
      </c>
      <c r="W76" s="0" t="str">
        <f aca="false">IF(Staff!$A76="","",Staff!$AR76)</f>
        <v/>
      </c>
      <c r="X76" s="0" t="str">
        <f aca="false">IF(Staff!$A76="","",Staff!$AS76)</f>
        <v/>
      </c>
    </row>
    <row r="77" customFormat="false" ht="15" hidden="false" customHeight="false" outlineLevel="0" collapsed="false">
      <c r="A77" s="19" t="str">
        <f aca="false">IF(Staff!$A77="","",Staff!$A77)</f>
        <v/>
      </c>
      <c r="B77" s="19" t="str">
        <f aca="false">IF(Staff!$A77="","",Staff!$B77)</f>
        <v/>
      </c>
      <c r="C77" s="19" t="str">
        <f aca="false">IF(Staff!$A77="","",Staff!$C77)</f>
        <v/>
      </c>
      <c r="D77" s="17" t="str">
        <f aca="false">IF(Staff!$A77="","",Staff!$AH77)</f>
        <v/>
      </c>
      <c r="E77" s="19" t="str">
        <f aca="false">IF(Staff!$A77="","",Staff!$O77)</f>
        <v/>
      </c>
      <c r="F77" s="19" t="str">
        <f aca="false">IF(E77="","",E77*HoursPerDay)</f>
        <v/>
      </c>
      <c r="G77" s="19" t="str">
        <f aca="false">IF(Staff!$A77="","",Staff!$AE77)</f>
        <v/>
      </c>
      <c r="H77" s="32" t="str">
        <f aca="false">IF($A77="","",I77&amp;J77&amp;K77&amp;L77&amp;M77&amp;N77&amp;O77&amp;P77&amp;Q77)</f>
        <v/>
      </c>
      <c r="I77" s="0" t="str">
        <f aca="false">IF(OR($A77="",$D77=""),"",IF(AND(EDATE($D77,Milestones!$AA$20)&lt;=AsOfDate,IF($R77=0,$X77,IF(AND($T77&lt;&gt;"",EDATE($D77,Milestones!$AA$20)&gt;=$T77),$W77,IF(AND($S77&lt;&gt;"",EDATE($D77,Milestones!$AA$20)&gt;=$S77),$V77,$U77)))=Milestones!$AB$20),UPPER(TEXT(EDATE($D77,Milestones!$AA$20),"dd mmm yy"))&amp;" "&amp;Milestones!$AB$20&amp;" "&amp;Milestones!$AC$20&amp;";  ","")&amp;IF(AND(EDATE($D77,Milestones!$AA$21)&lt;=AsOfDate,IF($R77=0,$X77,IF(AND($T77&lt;&gt;"",EDATE($D77,Milestones!$AA$21)&gt;=$T77),$W77,IF(AND($S77&lt;&gt;"",EDATE($D77,Milestones!$AA$21)&gt;=$S77),$V77,$U77)))=Milestones!$AB$21),UPPER(TEXT(EDATE($D77,Milestones!$AA$21),"dd mmm yy"))&amp;" "&amp;Milestones!$AB$21&amp;" "&amp;Milestones!$AC$21&amp;";  ","")&amp;IF(AND(EDATE($D77,Milestones!$AA$22)&lt;=AsOfDate,IF($R77=0,$X77,IF(AND($T77&lt;&gt;"",EDATE($D77,Milestones!$AA$22)&gt;=$T77),$W77,IF(AND($S77&lt;&gt;"",EDATE($D77,Milestones!$AA$22)&gt;=$S77),$V77,$U77)))=Milestones!$AB$22),UPPER(TEXT(EDATE($D77,Milestones!$AA$22),"dd mmm yy"))&amp;" "&amp;Milestones!$AB$22&amp;" "&amp;Milestones!$AC$22&amp;";  ","")&amp;IF(AND(EDATE($D77,Milestones!$AA$23)&lt;=AsOfDate,IF($R77=0,$X77,IF(AND($T77&lt;&gt;"",EDATE($D77,Milestones!$AA$23)&gt;=$T77),$W77,IF(AND($S77&lt;&gt;"",EDATE($D77,Milestones!$AA$23)&gt;=$S77),$V77,$U77)))=Milestones!$AB$23),UPPER(TEXT(EDATE($D77,Milestones!$AA$23),"dd mmm yy"))&amp;" "&amp;Milestones!$AB$23&amp;" "&amp;Milestones!$AC$23&amp;";  ","")&amp;IF(AND(EDATE($D77,Milestones!$AA$24)&lt;=AsOfDate,IF($R77=0,$X77,IF(AND($T77&lt;&gt;"",EDATE($D77,Milestones!$AA$24)&gt;=$T77),$W77,IF(AND($S77&lt;&gt;"",EDATE($D77,Milestones!$AA$24)&gt;=$S77),$V77,$U77)))=Milestones!$AB$24),UPPER(TEXT(EDATE($D77,Milestones!$AA$24),"dd mmm yy"))&amp;" "&amp;Milestones!$AB$24&amp;" "&amp;Milestones!$AC$24&amp;";  ","")&amp;IF(AND(EDATE($D77,Milestones!$AA$25)&lt;=AsOfDate,IF($R77=0,$X77,IF(AND($T77&lt;&gt;"",EDATE($D77,Milestones!$AA$25)&gt;=$T77),$W77,IF(AND($S77&lt;&gt;"",EDATE($D77,Milestones!$AA$25)&gt;=$S77),$V77,$U77)))=Milestones!$AB$25),UPPER(TEXT(EDATE($D77,Milestones!$AA$25),"dd mmm yy"))&amp;" "&amp;Milestones!$AB$25&amp;" "&amp;Milestones!$AC$25&amp;";  ","")&amp;IF(AND(EDATE($D77,Milestones!$AA$26)&lt;=AsOfDate,IF($R77=0,$X77,IF(AND($T77&lt;&gt;"",EDATE($D77,Milestones!$AA$26)&gt;=$T77),$W77,IF(AND($S77&lt;&gt;"",EDATE($D77,Milestones!$AA$26)&gt;=$S77),$V77,$U77)))=Milestones!$AB$26),UPPER(TEXT(EDATE($D77,Milestones!$AA$26),"dd mmm yy"))&amp;" "&amp;Milestones!$AB$26&amp;" "&amp;Milestones!$AC$26&amp;";  ","")&amp;IF(AND(EDATE($D77,Milestones!$AA$27)&lt;=AsOfDate,IF($R77=0,$X77,IF(AND($T77&lt;&gt;"",EDATE($D77,Milestones!$AA$27)&gt;=$T77),$W77,IF(AND($S77&lt;&gt;"",EDATE($D77,Milestones!$AA$27)&gt;=$S77),$V77,$U77)))=Milestones!$AB$27),UPPER(TEXT(EDATE($D77,Milestones!$AA$27),"dd mmm yy"))&amp;" "&amp;Milestones!$AB$27&amp;" "&amp;Milestones!$AC$27&amp;";  ","")&amp;IF(AND(EDATE($D77,Milestones!$AA$28)&lt;=AsOfDate,IF($R77=0,$X77,IF(AND($T77&lt;&gt;"",EDATE($D77,Milestones!$AA$28)&gt;=$T77),$W77,IF(AND($S77&lt;&gt;"",EDATE($D77,Milestones!$AA$28)&gt;=$S77),$V77,$U77)))=Milestones!$AB$28),UPPER(TEXT(EDATE($D77,Milestones!$AA$28),"dd mmm yy"))&amp;" "&amp;Milestones!$AB$28&amp;" "&amp;Milestones!$AC$28&amp;";  ","")&amp;IF(AND(EDATE($D77,Milestones!$AA$29)&lt;=AsOfDate,IF($R77=0,$X77,IF(AND($T77&lt;&gt;"",EDATE($D77,Milestones!$AA$29)&gt;=$T77),$W77,IF(AND($S77&lt;&gt;"",EDATE($D77,Milestones!$AA$29)&gt;=$S77),$V77,$U77)))=Milestones!$AB$29),UPPER(TEXT(EDATE($D77,Milestones!$AA$29),"dd mmm yy"))&amp;" "&amp;Milestones!$AB$29&amp;" "&amp;Milestones!$AC$29&amp;";  ","")&amp;IF(AND(EDATE($D77,Milestones!$AA$30)&lt;=AsOfDate,IF($R77=0,$X77,IF(AND($T77&lt;&gt;"",EDATE($D77,Milestones!$AA$30)&gt;=$T77),$W77,IF(AND($S77&lt;&gt;"",EDATE($D77,Milestones!$AA$30)&gt;=$S77),$V77,$U77)))=Milestones!$AB$30),UPPER(TEXT(EDATE($D77,Milestones!$AA$30),"dd mmm yy"))&amp;" "&amp;Milestones!$AB$30&amp;" "&amp;Milestones!$AC$30&amp;";  ","")&amp;IF(AND(EDATE($D77,Milestones!$AA$31)&lt;=AsOfDate,IF($R77=0,$X77,IF(AND($T77&lt;&gt;"",EDATE($D77,Milestones!$AA$31)&gt;=$T77),$W77,IF(AND($S77&lt;&gt;"",EDATE($D77,Milestones!$AA$31)&gt;=$S77),$V77,$U77)))=Milestones!$AB$31),UPPER(TEXT(EDATE($D77,Milestones!$AA$31),"dd mmm yy"))&amp;" "&amp;Milestones!$AB$31&amp;" "&amp;Milestones!$AC$31&amp;";  ","")&amp;IF(AND(EDATE($D77,Milestones!$AA$32)&lt;=AsOfDate,IF($R77=0,$X77,IF(AND($T77&lt;&gt;"",EDATE($D77,Milestones!$AA$32)&gt;=$T77),$W77,IF(AND($S77&lt;&gt;"",EDATE($D77,Milestones!$AA$32)&gt;=$S77),$V77,$U77)))=Milestones!$AB$32),UPPER(TEXT(EDATE($D77,Milestones!$AA$32),"dd mmm yy"))&amp;" "&amp;Milestones!$AB$32&amp;" "&amp;Milestones!$AC$32&amp;";  ","")&amp;IF(AND(EDATE($D77,Milestones!$AA$33)&lt;=AsOfDate,IF($R77=0,$X77,IF(AND($T77&lt;&gt;"",EDATE($D77,Milestones!$AA$33)&gt;=$T77),$W77,IF(AND($S77&lt;&gt;"",EDATE($D77,Milestones!$AA$33)&gt;=$S77),$V77,$U77)))=Milestones!$AB$33),UPPER(TEXT(EDATE($D77,Milestones!$AA$33),"dd mmm yy"))&amp;" "&amp;Milestones!$AB$33&amp;" "&amp;Milestones!$AC$33&amp;";  ","")&amp;IF(AND(EDATE($D77,Milestones!$AA$34)&lt;=AsOfDate,IF($R77=0,$X77,IF(AND($T77&lt;&gt;"",EDATE($D77,Milestones!$AA$34)&gt;=$T77),$W77,IF(AND($S77&lt;&gt;"",EDATE($D77,Milestones!$AA$34)&gt;=$S77),$V77,$U77)))=Milestones!$AB$34),UPPER(TEXT(EDATE($D77,Milestones!$AA$34),"dd mmm yy"))&amp;" "&amp;Milestones!$AB$34&amp;" "&amp;Milestones!$AC$34&amp;";  ","")&amp;IF(AND(EDATE($D77,Milestones!$AA$35)&lt;=AsOfDate,IF($R77=0,$X77,IF(AND($T77&lt;&gt;"",EDATE($D77,Milestones!$AA$35)&gt;=$T77),$W77,IF(AND($S77&lt;&gt;"",EDATE($D77,Milestones!$AA$35)&gt;=$S77),$V77,$U77)))=Milestones!$AB$35),UPPER(TEXT(EDATE($D77,Milestones!$AA$35),"dd mmm yy"))&amp;" "&amp;Milestones!$AB$35&amp;" "&amp;Milestones!$AC$35&amp;";  ","")&amp;IF(AND(EDATE($D77,Milestones!$AA$36)&lt;=AsOfDate,IF($R77=0,$X77,IF(AND($T77&lt;&gt;"",EDATE($D77,Milestones!$AA$36)&gt;=$T77),$W77,IF(AND($S77&lt;&gt;"",EDATE($D77,Milestones!$AA$36)&gt;=$S77),$V77,$U77)))=Milestones!$AB$36),UPPER(TEXT(EDATE($D77,Milestones!$AA$36),"dd mmm yy"))&amp;" "&amp;Milestones!$AB$36&amp;" "&amp;Milestones!$AC$36&amp;";  ","")&amp;IF(AND(EDATE($D77,Milestones!$AA$37)&lt;=AsOfDate,IF($R77=0,$X77,IF(AND($T77&lt;&gt;"",EDATE($D77,Milestones!$AA$37)&gt;=$T77),$W77,IF(AND($S77&lt;&gt;"",EDATE($D77,Milestones!$AA$37)&gt;=$S77),$V77,$U77)))=Milestones!$AB$37),UPPER(TEXT(EDATE($D77,Milestones!$AA$37),"dd mmm yy"))&amp;" "&amp;Milestones!$AB$37&amp;" "&amp;Milestones!$AC$37&amp;";  ","")&amp;IF(AND(EDATE($D77,Milestones!$AA$38)&lt;=AsOfDate,IF($R77=0,$X77,IF(AND($T77&lt;&gt;"",EDATE($D77,Milestones!$AA$38)&gt;=$T77),$W77,IF(AND($S77&lt;&gt;"",EDATE($D77,Milestones!$AA$38)&gt;=$S77),$V77,$U77)))=Milestones!$AB$38),UPPER(TEXT(EDATE($D77,Milestones!$AA$38),"dd mmm yy"))&amp;" "&amp;Milestones!$AB$38&amp;" "&amp;Milestones!$AC$38&amp;";  ","")&amp;IF(AND(EDATE($D77,Milestones!$AA$39)&lt;=AsOfDate,IF($R77=0,$X77,IF(AND($T77&lt;&gt;"",EDATE($D77,Milestones!$AA$39)&gt;=$T77),$W77,IF(AND($S77&lt;&gt;"",EDATE($D77,Milestones!$AA$39)&gt;=$S77),$V77,$U77)))=Milestones!$AB$39),UPPER(TEXT(EDATE($D77,Milestones!$AA$39),"dd mmm yy"))&amp;" "&amp;Milestones!$AB$39&amp;" "&amp;Milestones!$AC$39&amp;";  ",""))</f>
        <v/>
      </c>
      <c r="J77" s="0" t="str">
        <f aca="false">IF(OR($A77="",$D77=""),"",IF(AND(EDATE($D77,Milestones!$AA$40)&lt;=AsOfDate,IF($R77=0,$X77,IF(AND($T77&lt;&gt;"",EDATE($D77,Milestones!$AA$40)&gt;=$T77),$W77,IF(AND($S77&lt;&gt;"",EDATE($D77,Milestones!$AA$40)&gt;=$S77),$V77,$U77)))=Milestones!$AB$40),UPPER(TEXT(EDATE($D77,Milestones!$AA$40),"dd mmm yy"))&amp;" "&amp;Milestones!$AB$40&amp;" "&amp;Milestones!$AC$40&amp;";  ","")&amp;IF(AND(EDATE($D77,Milestones!$AA$41)&lt;=AsOfDate,IF($R77=0,$X77,IF(AND($T77&lt;&gt;"",EDATE($D77,Milestones!$AA$41)&gt;=$T77),$W77,IF(AND($S77&lt;&gt;"",EDATE($D77,Milestones!$AA$41)&gt;=$S77),$V77,$U77)))=Milestones!$AB$41),UPPER(TEXT(EDATE($D77,Milestones!$AA$41),"dd mmm yy"))&amp;" "&amp;Milestones!$AB$41&amp;" "&amp;Milestones!$AC$41&amp;";  ","")&amp;IF(AND(EDATE($D77,Milestones!$AA$42)&lt;=AsOfDate,IF($R77=0,$X77,IF(AND($T77&lt;&gt;"",EDATE($D77,Milestones!$AA$42)&gt;=$T77),$W77,IF(AND($S77&lt;&gt;"",EDATE($D77,Milestones!$AA$42)&gt;=$S77),$V77,$U77)))=Milestones!$AB$42),UPPER(TEXT(EDATE($D77,Milestones!$AA$42),"dd mmm yy"))&amp;" "&amp;Milestones!$AB$42&amp;" "&amp;Milestones!$AC$42&amp;";  ","")&amp;IF(AND(EDATE($D77,Milestones!$AA$43)&lt;=AsOfDate,IF($R77=0,$X77,IF(AND($T77&lt;&gt;"",EDATE($D77,Milestones!$AA$43)&gt;=$T77),$W77,IF(AND($S77&lt;&gt;"",EDATE($D77,Milestones!$AA$43)&gt;=$S77),$V77,$U77)))=Milestones!$AB$43),UPPER(TEXT(EDATE($D77,Milestones!$AA$43),"dd mmm yy"))&amp;" "&amp;Milestones!$AB$43&amp;" "&amp;Milestones!$AC$43&amp;";  ","")&amp;IF(AND(EDATE($D77,Milestones!$AA$44)&lt;=AsOfDate,IF($R77=0,$X77,IF(AND($T77&lt;&gt;"",EDATE($D77,Milestones!$AA$44)&gt;=$T77),$W77,IF(AND($S77&lt;&gt;"",EDATE($D77,Milestones!$AA$44)&gt;=$S77),$V77,$U77)))=Milestones!$AB$44),UPPER(TEXT(EDATE($D77,Milestones!$AA$44),"dd mmm yy"))&amp;" "&amp;Milestones!$AB$44&amp;" "&amp;Milestones!$AC$44&amp;";  ","")&amp;IF(AND(EDATE($D77,Milestones!$AA$45)&lt;=AsOfDate,IF($R77=0,$X77,IF(AND($T77&lt;&gt;"",EDATE($D77,Milestones!$AA$45)&gt;=$T77),$W77,IF(AND($S77&lt;&gt;"",EDATE($D77,Milestones!$AA$45)&gt;=$S77),$V77,$U77)))=Milestones!$AB$45),UPPER(TEXT(EDATE($D77,Milestones!$AA$45),"dd mmm yy"))&amp;" "&amp;Milestones!$AB$45&amp;" "&amp;Milestones!$AC$45&amp;";  ","")&amp;IF(AND(EDATE($D77,Milestones!$AA$46)&lt;=AsOfDate,IF($R77=0,$X77,IF(AND($T77&lt;&gt;"",EDATE($D77,Milestones!$AA$46)&gt;=$T77),$W77,IF(AND($S77&lt;&gt;"",EDATE($D77,Milestones!$AA$46)&gt;=$S77),$V77,$U77)))=Milestones!$AB$46),UPPER(TEXT(EDATE($D77,Milestones!$AA$46),"dd mmm yy"))&amp;" "&amp;Milestones!$AB$46&amp;" "&amp;Milestones!$AC$46&amp;";  ","")&amp;IF(AND(EDATE($D77,Milestones!$AA$47)&lt;=AsOfDate,IF($R77=0,$X77,IF(AND($T77&lt;&gt;"",EDATE($D77,Milestones!$AA$47)&gt;=$T77),$W77,IF(AND($S77&lt;&gt;"",EDATE($D77,Milestones!$AA$47)&gt;=$S77),$V77,$U77)))=Milestones!$AB$47),UPPER(TEXT(EDATE($D77,Milestones!$AA$47),"dd mmm yy"))&amp;" "&amp;Milestones!$AB$47&amp;" "&amp;Milestones!$AC$47&amp;";  ","")&amp;IF(AND(EDATE($D77,Milestones!$AA$48)&lt;=AsOfDate,IF($R77=0,$X77,IF(AND($T77&lt;&gt;"",EDATE($D77,Milestones!$AA$48)&gt;=$T77),$W77,IF(AND($S77&lt;&gt;"",EDATE($D77,Milestones!$AA$48)&gt;=$S77),$V77,$U77)))=Milestones!$AB$48),UPPER(TEXT(EDATE($D77,Milestones!$AA$48),"dd mmm yy"))&amp;" "&amp;Milestones!$AB$48&amp;" "&amp;Milestones!$AC$48&amp;";  ","")&amp;IF(AND(EDATE($D77,Milestones!$AA$49)&lt;=AsOfDate,IF($R77=0,$X77,IF(AND($T77&lt;&gt;"",EDATE($D77,Milestones!$AA$49)&gt;=$T77),$W77,IF(AND($S77&lt;&gt;"",EDATE($D77,Milestones!$AA$49)&gt;=$S77),$V77,$U77)))=Milestones!$AB$49),UPPER(TEXT(EDATE($D77,Milestones!$AA$49),"dd mmm yy"))&amp;" "&amp;Milestones!$AB$49&amp;" "&amp;Milestones!$AC$49&amp;";  ","")&amp;IF(AND(EDATE($D77,Milestones!$AA$50)&lt;=AsOfDate,IF($R77=0,$X77,IF(AND($T77&lt;&gt;"",EDATE($D77,Milestones!$AA$50)&gt;=$T77),$W77,IF(AND($S77&lt;&gt;"",EDATE($D77,Milestones!$AA$50)&gt;=$S77),$V77,$U77)))=Milestones!$AB$50),UPPER(TEXT(EDATE($D77,Milestones!$AA$50),"dd mmm yy"))&amp;" "&amp;Milestones!$AB$50&amp;" "&amp;Milestones!$AC$50&amp;";  ","")&amp;IF(AND(EDATE($D77,Milestones!$AA$51)&lt;=AsOfDate,IF($R77=0,$X77,IF(AND($T77&lt;&gt;"",EDATE($D77,Milestones!$AA$51)&gt;=$T77),$W77,IF(AND($S77&lt;&gt;"",EDATE($D77,Milestones!$AA$51)&gt;=$S77),$V77,$U77)))=Milestones!$AB$51),UPPER(TEXT(EDATE($D77,Milestones!$AA$51),"dd mmm yy"))&amp;" "&amp;Milestones!$AB$51&amp;" "&amp;Milestones!$AC$51&amp;";  ","")&amp;IF(AND(EDATE($D77,Milestones!$AA$52)&lt;=AsOfDate,IF($R77=0,$X77,IF(AND($T77&lt;&gt;"",EDATE($D77,Milestones!$AA$52)&gt;=$T77),$W77,IF(AND($S77&lt;&gt;"",EDATE($D77,Milestones!$AA$52)&gt;=$S77),$V77,$U77)))=Milestones!$AB$52),UPPER(TEXT(EDATE($D77,Milestones!$AA$52),"dd mmm yy"))&amp;" "&amp;Milestones!$AB$52&amp;" "&amp;Milestones!$AC$52&amp;";  ","")&amp;IF(AND(EDATE($D77,Milestones!$AA$53)&lt;=AsOfDate,IF($R77=0,$X77,IF(AND($T77&lt;&gt;"",EDATE($D77,Milestones!$AA$53)&gt;=$T77),$W77,IF(AND($S77&lt;&gt;"",EDATE($D77,Milestones!$AA$53)&gt;=$S77),$V77,$U77)))=Milestones!$AB$53),UPPER(TEXT(EDATE($D77,Milestones!$AA$53),"dd mmm yy"))&amp;" "&amp;Milestones!$AB$53&amp;" "&amp;Milestones!$AC$53&amp;";  ","")&amp;IF(AND(EDATE($D77,Milestones!$AA$54)&lt;=AsOfDate,IF($R77=0,$X77,IF(AND($T77&lt;&gt;"",EDATE($D77,Milestones!$AA$54)&gt;=$T77),$W77,IF(AND($S77&lt;&gt;"",EDATE($D77,Milestones!$AA$54)&gt;=$S77),$V77,$U77)))=Milestones!$AB$54),UPPER(TEXT(EDATE($D77,Milestones!$AA$54),"dd mmm yy"))&amp;" "&amp;Milestones!$AB$54&amp;" "&amp;Milestones!$AC$54&amp;";  ","")&amp;IF(AND(EDATE($D77,Milestones!$AA$55)&lt;=AsOfDate,IF($R77=0,$X77,IF(AND($T77&lt;&gt;"",EDATE($D77,Milestones!$AA$55)&gt;=$T77),$W77,IF(AND($S77&lt;&gt;"",EDATE($D77,Milestones!$AA$55)&gt;=$S77),$V77,$U77)))=Milestones!$AB$55),UPPER(TEXT(EDATE($D77,Milestones!$AA$55),"dd mmm yy"))&amp;" "&amp;Milestones!$AB$55&amp;" "&amp;Milestones!$AC$55&amp;";  ","")&amp;IF(AND(EDATE($D77,Milestones!$AA$56)&lt;=AsOfDate,IF($R77=0,$X77,IF(AND($T77&lt;&gt;"",EDATE($D77,Milestones!$AA$56)&gt;=$T77),$W77,IF(AND($S77&lt;&gt;"",EDATE($D77,Milestones!$AA$56)&gt;=$S77),$V77,$U77)))=Milestones!$AB$56),UPPER(TEXT(EDATE($D77,Milestones!$AA$56),"dd mmm yy"))&amp;" "&amp;Milestones!$AB$56&amp;" "&amp;Milestones!$AC$56&amp;";  ","")&amp;IF(AND(EDATE($D77,Milestones!$AA$57)&lt;=AsOfDate,IF($R77=0,$X77,IF(AND($T77&lt;&gt;"",EDATE($D77,Milestones!$AA$57)&gt;=$T77),$W77,IF(AND($S77&lt;&gt;"",EDATE($D77,Milestones!$AA$57)&gt;=$S77),$V77,$U77)))=Milestones!$AB$57),UPPER(TEXT(EDATE($D77,Milestones!$AA$57),"dd mmm yy"))&amp;" "&amp;Milestones!$AB$57&amp;" "&amp;Milestones!$AC$57&amp;";  ","")&amp;IF(AND(EDATE($D77,Milestones!$AA$58)&lt;=AsOfDate,IF($R77=0,$X77,IF(AND($T77&lt;&gt;"",EDATE($D77,Milestones!$AA$58)&gt;=$T77),$W77,IF(AND($S77&lt;&gt;"",EDATE($D77,Milestones!$AA$58)&gt;=$S77),$V77,$U77)))=Milestones!$AB$58),UPPER(TEXT(EDATE($D77,Milestones!$AA$58),"dd mmm yy"))&amp;" "&amp;Milestones!$AB$58&amp;" "&amp;Milestones!$AC$58&amp;";  ","")&amp;IF(AND(EDATE($D77,Milestones!$AA$59)&lt;=AsOfDate,IF($R77=0,$X77,IF(AND($T77&lt;&gt;"",EDATE($D77,Milestones!$AA$59)&gt;=$T77),$W77,IF(AND($S77&lt;&gt;"",EDATE($D77,Milestones!$AA$59)&gt;=$S77),$V77,$U77)))=Milestones!$AB$59),UPPER(TEXT(EDATE($D77,Milestones!$AA$59),"dd mmm yy"))&amp;" "&amp;Milestones!$AB$59&amp;" "&amp;Milestones!$AC$59&amp;";  ",""))</f>
        <v/>
      </c>
      <c r="K77" s="0" t="str">
        <f aca="false">IF(OR($A77="",$D77=""),"",IF(AND(EDATE($D77,Milestones!$AA$60)&lt;=AsOfDate,IF($R77=0,$X77,IF(AND($T77&lt;&gt;"",EDATE($D77,Milestones!$AA$60)&gt;=$T77),$W77,IF(AND($S77&lt;&gt;"",EDATE($D77,Milestones!$AA$60)&gt;=$S77),$V77,$U77)))=Milestones!$AB$60),UPPER(TEXT(EDATE($D77,Milestones!$AA$60),"dd mmm yy"))&amp;" "&amp;Milestones!$AB$60&amp;" "&amp;Milestones!$AC$60&amp;";  ","")&amp;IF(AND(EDATE($D77,Milestones!$AA$61)&lt;=AsOfDate,IF($R77=0,$X77,IF(AND($T77&lt;&gt;"",EDATE($D77,Milestones!$AA$61)&gt;=$T77),$W77,IF(AND($S77&lt;&gt;"",EDATE($D77,Milestones!$AA$61)&gt;=$S77),$V77,$U77)))=Milestones!$AB$61),UPPER(TEXT(EDATE($D77,Milestones!$AA$61),"dd mmm yy"))&amp;" "&amp;Milestones!$AB$61&amp;" "&amp;Milestones!$AC$61&amp;";  ","")&amp;IF(AND(EDATE($D77,Milestones!$AA$62)&lt;=AsOfDate,IF($R77=0,$X77,IF(AND($T77&lt;&gt;"",EDATE($D77,Milestones!$AA$62)&gt;=$T77),$W77,IF(AND($S77&lt;&gt;"",EDATE($D77,Milestones!$AA$62)&gt;=$S77),$V77,$U77)))=Milestones!$AB$62),UPPER(TEXT(EDATE($D77,Milestones!$AA$62),"dd mmm yy"))&amp;" "&amp;Milestones!$AB$62&amp;" "&amp;Milestones!$AC$62&amp;";  ","")&amp;IF(AND(EDATE($D77,Milestones!$AA$63)&lt;=AsOfDate,IF($R77=0,$X77,IF(AND($T77&lt;&gt;"",EDATE($D77,Milestones!$AA$63)&gt;=$T77),$W77,IF(AND($S77&lt;&gt;"",EDATE($D77,Milestones!$AA$63)&gt;=$S77),$V77,$U77)))=Milestones!$AB$63),UPPER(TEXT(EDATE($D77,Milestones!$AA$63),"dd mmm yy"))&amp;" "&amp;Milestones!$AB$63&amp;" "&amp;Milestones!$AC$63&amp;";  ","")&amp;IF(AND(EDATE($D77,Milestones!$AA$64)&lt;=AsOfDate,IF($R77=0,$X77,IF(AND($T77&lt;&gt;"",EDATE($D77,Milestones!$AA$64)&gt;=$T77),$W77,IF(AND($S77&lt;&gt;"",EDATE($D77,Milestones!$AA$64)&gt;=$S77),$V77,$U77)))=Milestones!$AB$64),UPPER(TEXT(EDATE($D77,Milestones!$AA$64),"dd mmm yy"))&amp;" "&amp;Milestones!$AB$64&amp;" "&amp;Milestones!$AC$64&amp;";  ","")&amp;IF(AND(EDATE($D77,Milestones!$AA$65)&lt;=AsOfDate,IF($R77=0,$X77,IF(AND($T77&lt;&gt;"",EDATE($D77,Milestones!$AA$65)&gt;=$T77),$W77,IF(AND($S77&lt;&gt;"",EDATE($D77,Milestones!$AA$65)&gt;=$S77),$V77,$U77)))=Milestones!$AB$65),UPPER(TEXT(EDATE($D77,Milestones!$AA$65),"dd mmm yy"))&amp;" "&amp;Milestones!$AB$65&amp;" "&amp;Milestones!$AC$65&amp;";  ","")&amp;IF(AND(EDATE($D77,Milestones!$AA$66)&lt;=AsOfDate,IF($R77=0,$X77,IF(AND($T77&lt;&gt;"",EDATE($D77,Milestones!$AA$66)&gt;=$T77),$W77,IF(AND($S77&lt;&gt;"",EDATE($D77,Milestones!$AA$66)&gt;=$S77),$V77,$U77)))=Milestones!$AB$66),UPPER(TEXT(EDATE($D77,Milestones!$AA$66),"dd mmm yy"))&amp;" "&amp;Milestones!$AB$66&amp;" "&amp;Milestones!$AC$66&amp;";  ","")&amp;IF(AND(EDATE($D77,Milestones!$AA$67)&lt;=AsOfDate,IF($R77=0,$X77,IF(AND($T77&lt;&gt;"",EDATE($D77,Milestones!$AA$67)&gt;=$T77),$W77,IF(AND($S77&lt;&gt;"",EDATE($D77,Milestones!$AA$67)&gt;=$S77),$V77,$U77)))=Milestones!$AB$67),UPPER(TEXT(EDATE($D77,Milestones!$AA$67),"dd mmm yy"))&amp;" "&amp;Milestones!$AB$67&amp;" "&amp;Milestones!$AC$67&amp;";  ","")&amp;IF(AND(EDATE($D77,Milestones!$AA$68)&lt;=AsOfDate,IF($R77=0,$X77,IF(AND($T77&lt;&gt;"",EDATE($D77,Milestones!$AA$68)&gt;=$T77),$W77,IF(AND($S77&lt;&gt;"",EDATE($D77,Milestones!$AA$68)&gt;=$S77),$V77,$U77)))=Milestones!$AB$68),UPPER(TEXT(EDATE($D77,Milestones!$AA$68),"dd mmm yy"))&amp;" "&amp;Milestones!$AB$68&amp;" "&amp;Milestones!$AC$68&amp;";  ","")&amp;IF(AND(EDATE($D77,Milestones!$AA$69)&lt;=AsOfDate,IF($R77=0,$X77,IF(AND($T77&lt;&gt;"",EDATE($D77,Milestones!$AA$69)&gt;=$T77),$W77,IF(AND($S77&lt;&gt;"",EDATE($D77,Milestones!$AA$69)&gt;=$S77),$V77,$U77)))=Milestones!$AB$69),UPPER(TEXT(EDATE($D77,Milestones!$AA$69),"dd mmm yy"))&amp;" "&amp;Milestones!$AB$69&amp;" "&amp;Milestones!$AC$69&amp;";  ","")&amp;IF(AND(EDATE($D77,Milestones!$AA$70)&lt;=AsOfDate,IF($R77=0,$X77,IF(AND($T77&lt;&gt;"",EDATE($D77,Milestones!$AA$70)&gt;=$T77),$W77,IF(AND($S77&lt;&gt;"",EDATE($D77,Milestones!$AA$70)&gt;=$S77),$V77,$U77)))=Milestones!$AB$70),UPPER(TEXT(EDATE($D77,Milestones!$AA$70),"dd mmm yy"))&amp;" "&amp;Milestones!$AB$70&amp;" "&amp;Milestones!$AC$70&amp;";  ","")&amp;IF(AND(EDATE($D77,Milestones!$AA$71)&lt;=AsOfDate,IF($R77=0,$X77,IF(AND($T77&lt;&gt;"",EDATE($D77,Milestones!$AA$71)&gt;=$T77),$W77,IF(AND($S77&lt;&gt;"",EDATE($D77,Milestones!$AA$71)&gt;=$S77),$V77,$U77)))=Milestones!$AB$71),UPPER(TEXT(EDATE($D77,Milestones!$AA$71),"dd mmm yy"))&amp;" "&amp;Milestones!$AB$71&amp;" "&amp;Milestones!$AC$71&amp;";  ","")&amp;IF(AND(EDATE($D77,Milestones!$AA$72)&lt;=AsOfDate,IF($R77=0,$X77,IF(AND($T77&lt;&gt;"",EDATE($D77,Milestones!$AA$72)&gt;=$T77),$W77,IF(AND($S77&lt;&gt;"",EDATE($D77,Milestones!$AA$72)&gt;=$S77),$V77,$U77)))=Milestones!$AB$72),UPPER(TEXT(EDATE($D77,Milestones!$AA$72),"dd mmm yy"))&amp;" "&amp;Milestones!$AB$72&amp;" "&amp;Milestones!$AC$72&amp;";  ","")&amp;IF(AND(EDATE($D77,Milestones!$AA$73)&lt;=AsOfDate,IF($R77=0,$X77,IF(AND($T77&lt;&gt;"",EDATE($D77,Milestones!$AA$73)&gt;=$T77),$W77,IF(AND($S77&lt;&gt;"",EDATE($D77,Milestones!$AA$73)&gt;=$S77),$V77,$U77)))=Milestones!$AB$73),UPPER(TEXT(EDATE($D77,Milestones!$AA$73),"dd mmm yy"))&amp;" "&amp;Milestones!$AB$73&amp;" "&amp;Milestones!$AC$73&amp;";  ","")&amp;IF(AND(EDATE($D77,Milestones!$AA$74)&lt;=AsOfDate,IF($R77=0,$X77,IF(AND($T77&lt;&gt;"",EDATE($D77,Milestones!$AA$74)&gt;=$T77),$W77,IF(AND($S77&lt;&gt;"",EDATE($D77,Milestones!$AA$74)&gt;=$S77),$V77,$U77)))=Milestones!$AB$74),UPPER(TEXT(EDATE($D77,Milestones!$AA$74),"dd mmm yy"))&amp;" "&amp;Milestones!$AB$74&amp;" "&amp;Milestones!$AC$74&amp;";  ","")&amp;IF(AND(EDATE($D77,Milestones!$AA$75)&lt;=AsOfDate,IF($R77=0,$X77,IF(AND($T77&lt;&gt;"",EDATE($D77,Milestones!$AA$75)&gt;=$T77),$W77,IF(AND($S77&lt;&gt;"",EDATE($D77,Milestones!$AA$75)&gt;=$S77),$V77,$U77)))=Milestones!$AB$75),UPPER(TEXT(EDATE($D77,Milestones!$AA$75),"dd mmm yy"))&amp;" "&amp;Milestones!$AB$75&amp;" "&amp;Milestones!$AC$75&amp;";  ","")&amp;IF(AND(EDATE($D77,Milestones!$AA$76)&lt;=AsOfDate,IF($R77=0,$X77,IF(AND($T77&lt;&gt;"",EDATE($D77,Milestones!$AA$76)&gt;=$T77),$W77,IF(AND($S77&lt;&gt;"",EDATE($D77,Milestones!$AA$76)&gt;=$S77),$V77,$U77)))=Milestones!$AB$76),UPPER(TEXT(EDATE($D77,Milestones!$AA$76),"dd mmm yy"))&amp;" "&amp;Milestones!$AB$76&amp;" "&amp;Milestones!$AC$76&amp;";  ","")&amp;IF(AND(EDATE($D77,Milestones!$AA$77)&lt;=AsOfDate,IF($R77=0,$X77,IF(AND($T77&lt;&gt;"",EDATE($D77,Milestones!$AA$77)&gt;=$T77),$W77,IF(AND($S77&lt;&gt;"",EDATE($D77,Milestones!$AA$77)&gt;=$S77),$V77,$U77)))=Milestones!$AB$77),UPPER(TEXT(EDATE($D77,Milestones!$AA$77),"dd mmm yy"))&amp;" "&amp;Milestones!$AB$77&amp;" "&amp;Milestones!$AC$77&amp;";  ","")&amp;IF(AND(EDATE($D77,Milestones!$AA$78)&lt;=AsOfDate,IF($R77=0,$X77,IF(AND($T77&lt;&gt;"",EDATE($D77,Milestones!$AA$78)&gt;=$T77),$W77,IF(AND($S77&lt;&gt;"",EDATE($D77,Milestones!$AA$78)&gt;=$S77),$V77,$U77)))=Milestones!$AB$78),UPPER(TEXT(EDATE($D77,Milestones!$AA$78),"dd mmm yy"))&amp;" "&amp;Milestones!$AB$78&amp;" "&amp;Milestones!$AC$78&amp;";  ","")&amp;IF(AND(EDATE($D77,Milestones!$AA$79)&lt;=AsOfDate,IF($R77=0,$X77,IF(AND($T77&lt;&gt;"",EDATE($D77,Milestones!$AA$79)&gt;=$T77),$W77,IF(AND($S77&lt;&gt;"",EDATE($D77,Milestones!$AA$79)&gt;=$S77),$V77,$U77)))=Milestones!$AB$79),UPPER(TEXT(EDATE($D77,Milestones!$AA$79),"dd mmm yy"))&amp;" "&amp;Milestones!$AB$79&amp;" "&amp;Milestones!$AC$79&amp;";  ",""))</f>
        <v/>
      </c>
      <c r="L77" s="0" t="str">
        <f aca="false">IF(OR($A77="",$D77=""),"",IF(AND(EDATE($D77,Milestones!$AA$80)&lt;=AsOfDate,IF($R77=0,$X77,IF(AND($T77&lt;&gt;"",EDATE($D77,Milestones!$AA$80)&gt;=$T77),$W77,IF(AND($S77&lt;&gt;"",EDATE($D77,Milestones!$AA$80)&gt;=$S77),$V77,$U77)))=Milestones!$AB$80),UPPER(TEXT(EDATE($D77,Milestones!$AA$80),"dd mmm yy"))&amp;" "&amp;Milestones!$AB$80&amp;" "&amp;Milestones!$AC$80&amp;";  ","")&amp;IF(AND(EDATE($D77,Milestones!$AA$81)&lt;=AsOfDate,IF($R77=0,$X77,IF(AND($T77&lt;&gt;"",EDATE($D77,Milestones!$AA$81)&gt;=$T77),$W77,IF(AND($S77&lt;&gt;"",EDATE($D77,Milestones!$AA$81)&gt;=$S77),$V77,$U77)))=Milestones!$AB$81),UPPER(TEXT(EDATE($D77,Milestones!$AA$81),"dd mmm yy"))&amp;" "&amp;Milestones!$AB$81&amp;" "&amp;Milestones!$AC$81&amp;";  ","")&amp;IF(AND(EDATE($D77,Milestones!$AA$82)&lt;=AsOfDate,IF($R77=0,$X77,IF(AND($T77&lt;&gt;"",EDATE($D77,Milestones!$AA$82)&gt;=$T77),$W77,IF(AND($S77&lt;&gt;"",EDATE($D77,Milestones!$AA$82)&gt;=$S77),$V77,$U77)))=Milestones!$AB$82),UPPER(TEXT(EDATE($D77,Milestones!$AA$82),"dd mmm yy"))&amp;" "&amp;Milestones!$AB$82&amp;" "&amp;Milestones!$AC$82&amp;";  ","")&amp;IF(AND(EDATE($D77,Milestones!$AA$83)&lt;=AsOfDate,IF($R77=0,$X77,IF(AND($T77&lt;&gt;"",EDATE($D77,Milestones!$AA$83)&gt;=$T77),$W77,IF(AND($S77&lt;&gt;"",EDATE($D77,Milestones!$AA$83)&gt;=$S77),$V77,$U77)))=Milestones!$AB$83),UPPER(TEXT(EDATE($D77,Milestones!$AA$83),"dd mmm yy"))&amp;" "&amp;Milestones!$AB$83&amp;" "&amp;Milestones!$AC$83&amp;";  ","")&amp;IF(AND(EDATE($D77,Milestones!$AA$84)&lt;=AsOfDate,IF($R77=0,$X77,IF(AND($T77&lt;&gt;"",EDATE($D77,Milestones!$AA$84)&gt;=$T77),$W77,IF(AND($S77&lt;&gt;"",EDATE($D77,Milestones!$AA$84)&gt;=$S77),$V77,$U77)))=Milestones!$AB$84),UPPER(TEXT(EDATE($D77,Milestones!$AA$84),"dd mmm yy"))&amp;" "&amp;Milestones!$AB$84&amp;" "&amp;Milestones!$AC$84&amp;";  ","")&amp;IF(AND(EDATE($D77,Milestones!$AA$85)&lt;=AsOfDate,IF($R77=0,$X77,IF(AND($T77&lt;&gt;"",EDATE($D77,Milestones!$AA$85)&gt;=$T77),$W77,IF(AND($S77&lt;&gt;"",EDATE($D77,Milestones!$AA$85)&gt;=$S77),$V77,$U77)))=Milestones!$AB$85),UPPER(TEXT(EDATE($D77,Milestones!$AA$85),"dd mmm yy"))&amp;" "&amp;Milestones!$AB$85&amp;" "&amp;Milestones!$AC$85&amp;";  ","")&amp;IF(AND(EDATE($D77,Milestones!$AA$86)&lt;=AsOfDate,IF($R77=0,$X77,IF(AND($T77&lt;&gt;"",EDATE($D77,Milestones!$AA$86)&gt;=$T77),$W77,IF(AND($S77&lt;&gt;"",EDATE($D77,Milestones!$AA$86)&gt;=$S77),$V77,$U77)))=Milestones!$AB$86),UPPER(TEXT(EDATE($D77,Milestones!$AA$86),"dd mmm yy"))&amp;" "&amp;Milestones!$AB$86&amp;" "&amp;Milestones!$AC$86&amp;";  ","")&amp;IF(AND(EDATE($D77,Milestones!$AA$87)&lt;=AsOfDate,IF($R77=0,$X77,IF(AND($T77&lt;&gt;"",EDATE($D77,Milestones!$AA$87)&gt;=$T77),$W77,IF(AND($S77&lt;&gt;"",EDATE($D77,Milestones!$AA$87)&gt;=$S77),$V77,$U77)))=Milestones!$AB$87),UPPER(TEXT(EDATE($D77,Milestones!$AA$87),"dd mmm yy"))&amp;" "&amp;Milestones!$AB$87&amp;" "&amp;Milestones!$AC$87&amp;";  ","")&amp;IF(AND(EDATE($D77,Milestones!$AA$88)&lt;=AsOfDate,IF($R77=0,$X77,IF(AND($T77&lt;&gt;"",EDATE($D77,Milestones!$AA$88)&gt;=$T77),$W77,IF(AND($S77&lt;&gt;"",EDATE($D77,Milestones!$AA$88)&gt;=$S77),$V77,$U77)))=Milestones!$AB$88),UPPER(TEXT(EDATE($D77,Milestones!$AA$88),"dd mmm yy"))&amp;" "&amp;Milestones!$AB$88&amp;" "&amp;Milestones!$AC$88&amp;";  ","")&amp;IF(AND(EDATE($D77,Milestones!$AA$89)&lt;=AsOfDate,IF($R77=0,$X77,IF(AND($T77&lt;&gt;"",EDATE($D77,Milestones!$AA$89)&gt;=$T77),$W77,IF(AND($S77&lt;&gt;"",EDATE($D77,Milestones!$AA$89)&gt;=$S77),$V77,$U77)))=Milestones!$AB$89),UPPER(TEXT(EDATE($D77,Milestones!$AA$89),"dd mmm yy"))&amp;" "&amp;Milestones!$AB$89&amp;" "&amp;Milestones!$AC$89&amp;";  ","")&amp;IF(AND(EDATE($D77,Milestones!$AA$90)&lt;=AsOfDate,IF($R77=0,$X77,IF(AND($T77&lt;&gt;"",EDATE($D77,Milestones!$AA$90)&gt;=$T77),$W77,IF(AND($S77&lt;&gt;"",EDATE($D77,Milestones!$AA$90)&gt;=$S77),$V77,$U77)))=Milestones!$AB$90),UPPER(TEXT(EDATE($D77,Milestones!$AA$90),"dd mmm yy"))&amp;" "&amp;Milestones!$AB$90&amp;" "&amp;Milestones!$AC$90&amp;";  ","")&amp;IF(AND(EDATE($D77,Milestones!$AA$91)&lt;=AsOfDate,IF($R77=0,$X77,IF(AND($T77&lt;&gt;"",EDATE($D77,Milestones!$AA$91)&gt;=$T77),$W77,IF(AND($S77&lt;&gt;"",EDATE($D77,Milestones!$AA$91)&gt;=$S77),$V77,$U77)))=Milestones!$AB$91),UPPER(TEXT(EDATE($D77,Milestones!$AA$91),"dd mmm yy"))&amp;" "&amp;Milestones!$AB$91&amp;" "&amp;Milestones!$AC$91&amp;";  ","")&amp;IF(AND(EDATE($D77,Milestones!$AA$92)&lt;=AsOfDate,IF($R77=0,$X77,IF(AND($T77&lt;&gt;"",EDATE($D77,Milestones!$AA$92)&gt;=$T77),$W77,IF(AND($S77&lt;&gt;"",EDATE($D77,Milestones!$AA$92)&gt;=$S77),$V77,$U77)))=Milestones!$AB$92),UPPER(TEXT(EDATE($D77,Milestones!$AA$92),"dd mmm yy"))&amp;" "&amp;Milestones!$AB$92&amp;" "&amp;Milestones!$AC$92&amp;";  ","")&amp;IF(AND(EDATE($D77,Milestones!$AA$93)&lt;=AsOfDate,IF($R77=0,$X77,IF(AND($T77&lt;&gt;"",EDATE($D77,Milestones!$AA$93)&gt;=$T77),$W77,IF(AND($S77&lt;&gt;"",EDATE($D77,Milestones!$AA$93)&gt;=$S77),$V77,$U77)))=Milestones!$AB$93),UPPER(TEXT(EDATE($D77,Milestones!$AA$93),"dd mmm yy"))&amp;" "&amp;Milestones!$AB$93&amp;" "&amp;Milestones!$AC$93&amp;";  ","")&amp;IF(AND(EDATE($D77,Milestones!$AA$94)&lt;=AsOfDate,IF($R77=0,$X77,IF(AND($T77&lt;&gt;"",EDATE($D77,Milestones!$AA$94)&gt;=$T77),$W77,IF(AND($S77&lt;&gt;"",EDATE($D77,Milestones!$AA$94)&gt;=$S77),$V77,$U77)))=Milestones!$AB$94),UPPER(TEXT(EDATE($D77,Milestones!$AA$94),"dd mmm yy"))&amp;" "&amp;Milestones!$AB$94&amp;" "&amp;Milestones!$AC$94&amp;";  ","")&amp;IF(AND(EDATE($D77,Milestones!$AA$95)&lt;=AsOfDate,IF($R77=0,$X77,IF(AND($T77&lt;&gt;"",EDATE($D77,Milestones!$AA$95)&gt;=$T77),$W77,IF(AND($S77&lt;&gt;"",EDATE($D77,Milestones!$AA$95)&gt;=$S77),$V77,$U77)))=Milestones!$AB$95),UPPER(TEXT(EDATE($D77,Milestones!$AA$95),"dd mmm yy"))&amp;" "&amp;Milestones!$AB$95&amp;" "&amp;Milestones!$AC$95&amp;";  ","")&amp;IF(AND(EDATE($D77,Milestones!$AA$96)&lt;=AsOfDate,IF($R77=0,$X77,IF(AND($T77&lt;&gt;"",EDATE($D77,Milestones!$AA$96)&gt;=$T77),$W77,IF(AND($S77&lt;&gt;"",EDATE($D77,Milestones!$AA$96)&gt;=$S77),$V77,$U77)))=Milestones!$AB$96),UPPER(TEXT(EDATE($D77,Milestones!$AA$96),"dd mmm yy"))&amp;" "&amp;Milestones!$AB$96&amp;" "&amp;Milestones!$AC$96&amp;";  ","")&amp;IF(AND(EDATE($D77,Milestones!$AA$97)&lt;=AsOfDate,IF($R77=0,$X77,IF(AND($T77&lt;&gt;"",EDATE($D77,Milestones!$AA$97)&gt;=$T77),$W77,IF(AND($S77&lt;&gt;"",EDATE($D77,Milestones!$AA$97)&gt;=$S77),$V77,$U77)))=Milestones!$AB$97),UPPER(TEXT(EDATE($D77,Milestones!$AA$97),"dd mmm yy"))&amp;" "&amp;Milestones!$AB$97&amp;" "&amp;Milestones!$AC$97&amp;";  ","")&amp;IF(AND(EDATE($D77,Milestones!$AA$98)&lt;=AsOfDate,IF($R77=0,$X77,IF(AND($T77&lt;&gt;"",EDATE($D77,Milestones!$AA$98)&gt;=$T77),$W77,IF(AND($S77&lt;&gt;"",EDATE($D77,Milestones!$AA$98)&gt;=$S77),$V77,$U77)))=Milestones!$AB$98),UPPER(TEXT(EDATE($D77,Milestones!$AA$98),"dd mmm yy"))&amp;" "&amp;Milestones!$AB$98&amp;" "&amp;Milestones!$AC$98&amp;";  ","")&amp;IF(AND(EDATE($D77,Milestones!$AA$99)&lt;=AsOfDate,IF($R77=0,$X77,IF(AND($T77&lt;&gt;"",EDATE($D77,Milestones!$AA$99)&gt;=$T77),$W77,IF(AND($S77&lt;&gt;"",EDATE($D77,Milestones!$AA$99)&gt;=$S77),$V77,$U77)))=Milestones!$AB$99),UPPER(TEXT(EDATE($D77,Milestones!$AA$99),"dd mmm yy"))&amp;" "&amp;Milestones!$AB$99&amp;" "&amp;Milestones!$AC$99&amp;";  ",""))</f>
        <v/>
      </c>
      <c r="M77" s="0" t="str">
        <f aca="false">IF(OR($A77="",$D77=""),"",IF(AND(EDATE($D77,Milestones!$AA$100)&lt;=AsOfDate,IF($R77=0,$X77,IF(AND($T77&lt;&gt;"",EDATE($D77,Milestones!$AA$100)&gt;=$T77),$W77,IF(AND($S77&lt;&gt;"",EDATE($D77,Milestones!$AA$100)&gt;=$S77),$V77,$U77)))=Milestones!$AB$100),UPPER(TEXT(EDATE($D77,Milestones!$AA$100),"dd mmm yy"))&amp;" "&amp;Milestones!$AB$100&amp;" "&amp;Milestones!$AC$100&amp;";  ","")&amp;IF(AND(EDATE($D77,Milestones!$AA$101)&lt;=AsOfDate,IF($R77=0,$X77,IF(AND($T77&lt;&gt;"",EDATE($D77,Milestones!$AA$101)&gt;=$T77),$W77,IF(AND($S77&lt;&gt;"",EDATE($D77,Milestones!$AA$101)&gt;=$S77),$V77,$U77)))=Milestones!$AB$101),UPPER(TEXT(EDATE($D77,Milestones!$AA$101),"dd mmm yy"))&amp;" "&amp;Milestones!$AB$101&amp;" "&amp;Milestones!$AC$101&amp;";  ","")&amp;IF(AND(EDATE($D77,Milestones!$AA$102)&lt;=AsOfDate,IF($R77=0,$X77,IF(AND($T77&lt;&gt;"",EDATE($D77,Milestones!$AA$102)&gt;=$T77),$W77,IF(AND($S77&lt;&gt;"",EDATE($D77,Milestones!$AA$102)&gt;=$S77),$V77,$U77)))=Milestones!$AB$102),UPPER(TEXT(EDATE($D77,Milestones!$AA$102),"dd mmm yy"))&amp;" "&amp;Milestones!$AB$102&amp;" "&amp;Milestones!$AC$102&amp;";  ","")&amp;IF(AND(EDATE($D77,Milestones!$AA$103)&lt;=AsOfDate,IF($R77=0,$X77,IF(AND($T77&lt;&gt;"",EDATE($D77,Milestones!$AA$103)&gt;=$T77),$W77,IF(AND($S77&lt;&gt;"",EDATE($D77,Milestones!$AA$103)&gt;=$S77),$V77,$U77)))=Milestones!$AB$103),UPPER(TEXT(EDATE($D77,Milestones!$AA$103),"dd mmm yy"))&amp;" "&amp;Milestones!$AB$103&amp;" "&amp;Milestones!$AC$103&amp;";  ","")&amp;IF(AND(EDATE($D77,Milestones!$AA$104)&lt;=AsOfDate,IF($R77=0,$X77,IF(AND($T77&lt;&gt;"",EDATE($D77,Milestones!$AA$104)&gt;=$T77),$W77,IF(AND($S77&lt;&gt;"",EDATE($D77,Milestones!$AA$104)&gt;=$S77),$V77,$U77)))=Milestones!$AB$104),UPPER(TEXT(EDATE($D77,Milestones!$AA$104),"dd mmm yy"))&amp;" "&amp;Milestones!$AB$104&amp;" "&amp;Milestones!$AC$104&amp;";  ","")&amp;IF(AND(EDATE($D77,Milestones!$AA$105)&lt;=AsOfDate,IF($R77=0,$X77,IF(AND($T77&lt;&gt;"",EDATE($D77,Milestones!$AA$105)&gt;=$T77),$W77,IF(AND($S77&lt;&gt;"",EDATE($D77,Milestones!$AA$105)&gt;=$S77),$V77,$U77)))=Milestones!$AB$105),UPPER(TEXT(EDATE($D77,Milestones!$AA$105),"dd mmm yy"))&amp;" "&amp;Milestones!$AB$105&amp;" "&amp;Milestones!$AC$105&amp;";  ","")&amp;IF(AND(EDATE($D77,Milestones!$AA$106)&lt;=AsOfDate,IF($R77=0,$X77,IF(AND($T77&lt;&gt;"",EDATE($D77,Milestones!$AA$106)&gt;=$T77),$W77,IF(AND($S77&lt;&gt;"",EDATE($D77,Milestones!$AA$106)&gt;=$S77),$V77,$U77)))=Milestones!$AB$106),UPPER(TEXT(EDATE($D77,Milestones!$AA$106),"dd mmm yy"))&amp;" "&amp;Milestones!$AB$106&amp;" "&amp;Milestones!$AC$106&amp;";  ","")&amp;IF(AND(EDATE($D77,Milestones!$AA$107)&lt;=AsOfDate,IF($R77=0,$X77,IF(AND($T77&lt;&gt;"",EDATE($D77,Milestones!$AA$107)&gt;=$T77),$W77,IF(AND($S77&lt;&gt;"",EDATE($D77,Milestones!$AA$107)&gt;=$S77),$V77,$U77)))=Milestones!$AB$107),UPPER(TEXT(EDATE($D77,Milestones!$AA$107),"dd mmm yy"))&amp;" "&amp;Milestones!$AB$107&amp;" "&amp;Milestones!$AC$107&amp;";  ","")&amp;IF(AND(EDATE($D77,Milestones!$AA$108)&lt;=AsOfDate,IF($R77=0,$X77,IF(AND($T77&lt;&gt;"",EDATE($D77,Milestones!$AA$108)&gt;=$T77),$W77,IF(AND($S77&lt;&gt;"",EDATE($D77,Milestones!$AA$108)&gt;=$S77),$V77,$U77)))=Milestones!$AB$108),UPPER(TEXT(EDATE($D77,Milestones!$AA$108),"dd mmm yy"))&amp;" "&amp;Milestones!$AB$108&amp;" "&amp;Milestones!$AC$108&amp;";  ","")&amp;IF(AND(EDATE($D77,Milestones!$AA$109)&lt;=AsOfDate,IF($R77=0,$X77,IF(AND($T77&lt;&gt;"",EDATE($D77,Milestones!$AA$109)&gt;=$T77),$W77,IF(AND($S77&lt;&gt;"",EDATE($D77,Milestones!$AA$109)&gt;=$S77),$V77,$U77)))=Milestones!$AB$109),UPPER(TEXT(EDATE($D77,Milestones!$AA$109),"dd mmm yy"))&amp;" "&amp;Milestones!$AB$109&amp;" "&amp;Milestones!$AC$109&amp;";  ","")&amp;IF(AND(EDATE($D77,Milestones!$AA$110)&lt;=AsOfDate,IF($R77=0,$X77,IF(AND($T77&lt;&gt;"",EDATE($D77,Milestones!$AA$110)&gt;=$T77),$W77,IF(AND($S77&lt;&gt;"",EDATE($D77,Milestones!$AA$110)&gt;=$S77),$V77,$U77)))=Milestones!$AB$110),UPPER(TEXT(EDATE($D77,Milestones!$AA$110),"dd mmm yy"))&amp;" "&amp;Milestones!$AB$110&amp;" "&amp;Milestones!$AC$110&amp;";  ","")&amp;IF(AND(EDATE($D77,Milestones!$AA$111)&lt;=AsOfDate,IF($R77=0,$X77,IF(AND($T77&lt;&gt;"",EDATE($D77,Milestones!$AA$111)&gt;=$T77),$W77,IF(AND($S77&lt;&gt;"",EDATE($D77,Milestones!$AA$111)&gt;=$S77),$V77,$U77)))=Milestones!$AB$111),UPPER(TEXT(EDATE($D77,Milestones!$AA$111),"dd mmm yy"))&amp;" "&amp;Milestones!$AB$111&amp;" "&amp;Milestones!$AC$111&amp;";  ","")&amp;IF(AND(EDATE($D77,Milestones!$AA$112)&lt;=AsOfDate,IF($R77=0,$X77,IF(AND($T77&lt;&gt;"",EDATE($D77,Milestones!$AA$112)&gt;=$T77),$W77,IF(AND($S77&lt;&gt;"",EDATE($D77,Milestones!$AA$112)&gt;=$S77),$V77,$U77)))=Milestones!$AB$112),UPPER(TEXT(EDATE($D77,Milestones!$AA$112),"dd mmm yy"))&amp;" "&amp;Milestones!$AB$112&amp;" "&amp;Milestones!$AC$112&amp;";  ","")&amp;IF(AND(EDATE($D77,Milestones!$AA$113)&lt;=AsOfDate,IF($R77=0,$X77,IF(AND($T77&lt;&gt;"",EDATE($D77,Milestones!$AA$113)&gt;=$T77),$W77,IF(AND($S77&lt;&gt;"",EDATE($D77,Milestones!$AA$113)&gt;=$S77),$V77,$U77)))=Milestones!$AB$113),UPPER(TEXT(EDATE($D77,Milestones!$AA$113),"dd mmm yy"))&amp;" "&amp;Milestones!$AB$113&amp;" "&amp;Milestones!$AC$113&amp;";  ","")&amp;IF(AND(EDATE($D77,Milestones!$AA$114)&lt;=AsOfDate,IF($R77=0,$X77,IF(AND($T77&lt;&gt;"",EDATE($D77,Milestones!$AA$114)&gt;=$T77),$W77,IF(AND($S77&lt;&gt;"",EDATE($D77,Milestones!$AA$114)&gt;=$S77),$V77,$U77)))=Milestones!$AB$114),UPPER(TEXT(EDATE($D77,Milestones!$AA$114),"dd mmm yy"))&amp;" "&amp;Milestones!$AB$114&amp;" "&amp;Milestones!$AC$114&amp;";  ","")&amp;IF(AND(EDATE($D77,Milestones!$AA$115)&lt;=AsOfDate,IF($R77=0,$X77,IF(AND($T77&lt;&gt;"",EDATE($D77,Milestones!$AA$115)&gt;=$T77),$W77,IF(AND($S77&lt;&gt;"",EDATE($D77,Milestones!$AA$115)&gt;=$S77),$V77,$U77)))=Milestones!$AB$115),UPPER(TEXT(EDATE($D77,Milestones!$AA$115),"dd mmm yy"))&amp;" "&amp;Milestones!$AB$115&amp;" "&amp;Milestones!$AC$115&amp;";  ","")&amp;IF(AND(EDATE($D77,Milestones!$AA$116)&lt;=AsOfDate,IF($R77=0,$X77,IF(AND($T77&lt;&gt;"",EDATE($D77,Milestones!$AA$116)&gt;=$T77),$W77,IF(AND($S77&lt;&gt;"",EDATE($D77,Milestones!$AA$116)&gt;=$S77),$V77,$U77)))=Milestones!$AB$116),UPPER(TEXT(EDATE($D77,Milestones!$AA$116),"dd mmm yy"))&amp;" "&amp;Milestones!$AB$116&amp;" "&amp;Milestones!$AC$116&amp;";  ","")&amp;IF(AND(EDATE($D77,Milestones!$AA$117)&lt;=AsOfDate,IF($R77=0,$X77,IF(AND($T77&lt;&gt;"",EDATE($D77,Milestones!$AA$117)&gt;=$T77),$W77,IF(AND($S77&lt;&gt;"",EDATE($D77,Milestones!$AA$117)&gt;=$S77),$V77,$U77)))=Milestones!$AB$117),UPPER(TEXT(EDATE($D77,Milestones!$AA$117),"dd mmm yy"))&amp;" "&amp;Milestones!$AB$117&amp;" "&amp;Milestones!$AC$117&amp;";  ","")&amp;IF(AND(EDATE($D77,Milestones!$AA$118)&lt;=AsOfDate,IF($R77=0,$X77,IF(AND($T77&lt;&gt;"",EDATE($D77,Milestones!$AA$118)&gt;=$T77),$W77,IF(AND($S77&lt;&gt;"",EDATE($D77,Milestones!$AA$118)&gt;=$S77),$V77,$U77)))=Milestones!$AB$118),UPPER(TEXT(EDATE($D77,Milestones!$AA$118),"dd mmm yy"))&amp;" "&amp;Milestones!$AB$118&amp;" "&amp;Milestones!$AC$118&amp;";  ","")&amp;IF(AND(EDATE($D77,Milestones!$AA$119)&lt;=AsOfDate,IF($R77=0,$X77,IF(AND($T77&lt;&gt;"",EDATE($D77,Milestones!$AA$119)&gt;=$T77),$W77,IF(AND($S77&lt;&gt;"",EDATE($D77,Milestones!$AA$119)&gt;=$S77),$V77,$U77)))=Milestones!$AB$119),UPPER(TEXT(EDATE($D77,Milestones!$AA$119),"dd mmm yy"))&amp;" "&amp;Milestones!$AB$119&amp;" "&amp;Milestones!$AC$119&amp;";  ",""))</f>
        <v/>
      </c>
      <c r="N77" s="0" t="str">
        <f aca="false">IF(OR($A77="",$D77=""),"",IF(AND(EDATE($D77,Milestones!$AA$120)&lt;=AsOfDate,IF($R77=0,$X77,IF(AND($T77&lt;&gt;"",EDATE($D77,Milestones!$AA$120)&gt;=$T77),$W77,IF(AND($S77&lt;&gt;"",EDATE($D77,Milestones!$AA$120)&gt;=$S77),$V77,$U77)))=Milestones!$AB$120),UPPER(TEXT(EDATE($D77,Milestones!$AA$120),"dd mmm yy"))&amp;" "&amp;Milestones!$AB$120&amp;" "&amp;Milestones!$AC$120&amp;";  ","")&amp;IF(AND(EDATE($D77,Milestones!$AA$121)&lt;=AsOfDate,IF($R77=0,$X77,IF(AND($T77&lt;&gt;"",EDATE($D77,Milestones!$AA$121)&gt;=$T77),$W77,IF(AND($S77&lt;&gt;"",EDATE($D77,Milestones!$AA$121)&gt;=$S77),$V77,$U77)))=Milestones!$AB$121),UPPER(TEXT(EDATE($D77,Milestones!$AA$121),"dd mmm yy"))&amp;" "&amp;Milestones!$AB$121&amp;" "&amp;Milestones!$AC$121&amp;";  ","")&amp;IF(AND(EDATE($D77,Milestones!$AA$122)&lt;=AsOfDate,IF($R77=0,$X77,IF(AND($T77&lt;&gt;"",EDATE($D77,Milestones!$AA$122)&gt;=$T77),$W77,IF(AND($S77&lt;&gt;"",EDATE($D77,Milestones!$AA$122)&gt;=$S77),$V77,$U77)))=Milestones!$AB$122),UPPER(TEXT(EDATE($D77,Milestones!$AA$122),"dd mmm yy"))&amp;" "&amp;Milestones!$AB$122&amp;" "&amp;Milestones!$AC$122&amp;";  ","")&amp;IF(AND(EDATE($D77,Milestones!$AA$123)&lt;=AsOfDate,IF($R77=0,$X77,IF(AND($T77&lt;&gt;"",EDATE($D77,Milestones!$AA$123)&gt;=$T77),$W77,IF(AND($S77&lt;&gt;"",EDATE($D77,Milestones!$AA$123)&gt;=$S77),$V77,$U77)))=Milestones!$AB$123),UPPER(TEXT(EDATE($D77,Milestones!$AA$123),"dd mmm yy"))&amp;" "&amp;Milestones!$AB$123&amp;" "&amp;Milestones!$AC$123&amp;";  ","")&amp;IF(AND(EDATE($D77,Milestones!$AA$124)&lt;=AsOfDate,IF($R77=0,$X77,IF(AND($T77&lt;&gt;"",EDATE($D77,Milestones!$AA$124)&gt;=$T77),$W77,IF(AND($S77&lt;&gt;"",EDATE($D77,Milestones!$AA$124)&gt;=$S77),$V77,$U77)))=Milestones!$AB$124),UPPER(TEXT(EDATE($D77,Milestones!$AA$124),"dd mmm yy"))&amp;" "&amp;Milestones!$AB$124&amp;" "&amp;Milestones!$AC$124&amp;";  ","")&amp;IF(AND(EDATE($D77,Milestones!$AA$125)&lt;=AsOfDate,IF($R77=0,$X77,IF(AND($T77&lt;&gt;"",EDATE($D77,Milestones!$AA$125)&gt;=$T77),$W77,IF(AND($S77&lt;&gt;"",EDATE($D77,Milestones!$AA$125)&gt;=$S77),$V77,$U77)))=Milestones!$AB$125),UPPER(TEXT(EDATE($D77,Milestones!$AA$125),"dd mmm yy"))&amp;" "&amp;Milestones!$AB$125&amp;" "&amp;Milestones!$AC$125&amp;";  ","")&amp;IF(AND(EDATE($D77,Milestones!$AA$126)&lt;=AsOfDate,IF($R77=0,$X77,IF(AND($T77&lt;&gt;"",EDATE($D77,Milestones!$AA$126)&gt;=$T77),$W77,IF(AND($S77&lt;&gt;"",EDATE($D77,Milestones!$AA$126)&gt;=$S77),$V77,$U77)))=Milestones!$AB$126),UPPER(TEXT(EDATE($D77,Milestones!$AA$126),"dd mmm yy"))&amp;" "&amp;Milestones!$AB$126&amp;" "&amp;Milestones!$AC$126&amp;";  ","")&amp;IF(AND(EDATE($D77,Milestones!$AA$127)&lt;=AsOfDate,IF($R77=0,$X77,IF(AND($T77&lt;&gt;"",EDATE($D77,Milestones!$AA$127)&gt;=$T77),$W77,IF(AND($S77&lt;&gt;"",EDATE($D77,Milestones!$AA$127)&gt;=$S77),$V77,$U77)))=Milestones!$AB$127),UPPER(TEXT(EDATE($D77,Milestones!$AA$127),"dd mmm yy"))&amp;" "&amp;Milestones!$AB$127&amp;" "&amp;Milestones!$AC$127&amp;";  ","")&amp;IF(AND(EDATE($D77,Milestones!$AA$128)&lt;=AsOfDate,IF($R77=0,$X77,IF(AND($T77&lt;&gt;"",EDATE($D77,Milestones!$AA$128)&gt;=$T77),$W77,IF(AND($S77&lt;&gt;"",EDATE($D77,Milestones!$AA$128)&gt;=$S77),$V77,$U77)))=Milestones!$AB$128),UPPER(TEXT(EDATE($D77,Milestones!$AA$128),"dd mmm yy"))&amp;" "&amp;Milestones!$AB$128&amp;" "&amp;Milestones!$AC$128&amp;";  ","")&amp;IF(AND(EDATE($D77,Milestones!$AA$129)&lt;=AsOfDate,IF($R77=0,$X77,IF(AND($T77&lt;&gt;"",EDATE($D77,Milestones!$AA$129)&gt;=$T77),$W77,IF(AND($S77&lt;&gt;"",EDATE($D77,Milestones!$AA$129)&gt;=$S77),$V77,$U77)))=Milestones!$AB$129),UPPER(TEXT(EDATE($D77,Milestones!$AA$129),"dd mmm yy"))&amp;" "&amp;Milestones!$AB$129&amp;" "&amp;Milestones!$AC$129&amp;";  ","")&amp;IF(AND(EDATE($D77,Milestones!$AA$130)&lt;=AsOfDate,IF($R77=0,$X77,IF(AND($T77&lt;&gt;"",EDATE($D77,Milestones!$AA$130)&gt;=$T77),$W77,IF(AND($S77&lt;&gt;"",EDATE($D77,Milestones!$AA$130)&gt;=$S77),$V77,$U77)))=Milestones!$AB$130),UPPER(TEXT(EDATE($D77,Milestones!$AA$130),"dd mmm yy"))&amp;" "&amp;Milestones!$AB$130&amp;" "&amp;Milestones!$AC$130&amp;";  ","")&amp;IF(AND(EDATE($D77,Milestones!$AA$131)&lt;=AsOfDate,IF($R77=0,$X77,IF(AND($T77&lt;&gt;"",EDATE($D77,Milestones!$AA$131)&gt;=$T77),$W77,IF(AND($S77&lt;&gt;"",EDATE($D77,Milestones!$AA$131)&gt;=$S77),$V77,$U77)))=Milestones!$AB$131),UPPER(TEXT(EDATE($D77,Milestones!$AA$131),"dd mmm yy"))&amp;" "&amp;Milestones!$AB$131&amp;" "&amp;Milestones!$AC$131&amp;";  ","")&amp;IF(AND(EDATE($D77,Milestones!$AA$132)&lt;=AsOfDate,IF($R77=0,$X77,IF(AND($T77&lt;&gt;"",EDATE($D77,Milestones!$AA$132)&gt;=$T77),$W77,IF(AND($S77&lt;&gt;"",EDATE($D77,Milestones!$AA$132)&gt;=$S77),$V77,$U77)))=Milestones!$AB$132),UPPER(TEXT(EDATE($D77,Milestones!$AA$132),"dd mmm yy"))&amp;" "&amp;Milestones!$AB$132&amp;" "&amp;Milestones!$AC$132&amp;";  ","")&amp;IF(AND(EDATE($D77,Milestones!$AA$133)&lt;=AsOfDate,IF($R77=0,$X77,IF(AND($T77&lt;&gt;"",EDATE($D77,Milestones!$AA$133)&gt;=$T77),$W77,IF(AND($S77&lt;&gt;"",EDATE($D77,Milestones!$AA$133)&gt;=$S77),$V77,$U77)))=Milestones!$AB$133),UPPER(TEXT(EDATE($D77,Milestones!$AA$133),"dd mmm yy"))&amp;" "&amp;Milestones!$AB$133&amp;" "&amp;Milestones!$AC$133&amp;";  ","")&amp;IF(AND(EDATE($D77,Milestones!$AA$134)&lt;=AsOfDate,IF($R77=0,$X77,IF(AND($T77&lt;&gt;"",EDATE($D77,Milestones!$AA$134)&gt;=$T77),$W77,IF(AND($S77&lt;&gt;"",EDATE($D77,Milestones!$AA$134)&gt;=$S77),$V77,$U77)))=Milestones!$AB$134),UPPER(TEXT(EDATE($D77,Milestones!$AA$134),"dd mmm yy"))&amp;" "&amp;Milestones!$AB$134&amp;" "&amp;Milestones!$AC$134&amp;";  ","")&amp;IF(AND(EDATE($D77,Milestones!$AA$135)&lt;=AsOfDate,IF($R77=0,$X77,IF(AND($T77&lt;&gt;"",EDATE($D77,Milestones!$AA$135)&gt;=$T77),$W77,IF(AND($S77&lt;&gt;"",EDATE($D77,Milestones!$AA$135)&gt;=$S77),$V77,$U77)))=Milestones!$AB$135),UPPER(TEXT(EDATE($D77,Milestones!$AA$135),"dd mmm yy"))&amp;" "&amp;Milestones!$AB$135&amp;" "&amp;Milestones!$AC$135&amp;";  ","")&amp;IF(AND(EDATE($D77,Milestones!$AA$136)&lt;=AsOfDate,IF($R77=0,$X77,IF(AND($T77&lt;&gt;"",EDATE($D77,Milestones!$AA$136)&gt;=$T77),$W77,IF(AND($S77&lt;&gt;"",EDATE($D77,Milestones!$AA$136)&gt;=$S77),$V77,$U77)))=Milestones!$AB$136),UPPER(TEXT(EDATE($D77,Milestones!$AA$136),"dd mmm yy"))&amp;" "&amp;Milestones!$AB$136&amp;" "&amp;Milestones!$AC$136&amp;";  ","")&amp;IF(AND(EDATE($D77,Milestones!$AA$137)&lt;=AsOfDate,IF($R77=0,$X77,IF(AND($T77&lt;&gt;"",EDATE($D77,Milestones!$AA$137)&gt;=$T77),$W77,IF(AND($S77&lt;&gt;"",EDATE($D77,Milestones!$AA$137)&gt;=$S77),$V77,$U77)))=Milestones!$AB$137),UPPER(TEXT(EDATE($D77,Milestones!$AA$137),"dd mmm yy"))&amp;" "&amp;Milestones!$AB$137&amp;" "&amp;Milestones!$AC$137&amp;";  ","")&amp;IF(AND(EDATE($D77,Milestones!$AA$138)&lt;=AsOfDate,IF($R77=0,$X77,IF(AND($T77&lt;&gt;"",EDATE($D77,Milestones!$AA$138)&gt;=$T77),$W77,IF(AND($S77&lt;&gt;"",EDATE($D77,Milestones!$AA$138)&gt;=$S77),$V77,$U77)))=Milestones!$AB$138),UPPER(TEXT(EDATE($D77,Milestones!$AA$138),"dd mmm yy"))&amp;" "&amp;Milestones!$AB$138&amp;" "&amp;Milestones!$AC$138&amp;";  ","")&amp;IF(AND(EDATE($D77,Milestones!$AA$139)&lt;=AsOfDate,IF($R77=0,$X77,IF(AND($T77&lt;&gt;"",EDATE($D77,Milestones!$AA$139)&gt;=$T77),$W77,IF(AND($S77&lt;&gt;"",EDATE($D77,Milestones!$AA$139)&gt;=$S77),$V77,$U77)))=Milestones!$AB$139),UPPER(TEXT(EDATE($D77,Milestones!$AA$139),"dd mmm yy"))&amp;" "&amp;Milestones!$AB$139&amp;" "&amp;Milestones!$AC$139&amp;";  ",""))</f>
        <v/>
      </c>
      <c r="O77" s="0" t="str">
        <f aca="false">IF(OR($A77="",$D77=""),"",IF(AND(EDATE($D77,Milestones!$AA$140)&lt;=AsOfDate,IF($R77=0,$X77,IF(AND($T77&lt;&gt;"",EDATE($D77,Milestones!$AA$140)&gt;=$T77),$W77,IF(AND($S77&lt;&gt;"",EDATE($D77,Milestones!$AA$140)&gt;=$S77),$V77,$U77)))=Milestones!$AB$140),UPPER(TEXT(EDATE($D77,Milestones!$AA$140),"dd mmm yy"))&amp;" "&amp;Milestones!$AB$140&amp;" "&amp;Milestones!$AC$140&amp;";  ","")&amp;IF(AND(EDATE($D77,Milestones!$AA$141)&lt;=AsOfDate,IF($R77=0,$X77,IF(AND($T77&lt;&gt;"",EDATE($D77,Milestones!$AA$141)&gt;=$T77),$W77,IF(AND($S77&lt;&gt;"",EDATE($D77,Milestones!$AA$141)&gt;=$S77),$V77,$U77)))=Milestones!$AB$141),UPPER(TEXT(EDATE($D77,Milestones!$AA$141),"dd mmm yy"))&amp;" "&amp;Milestones!$AB$141&amp;" "&amp;Milestones!$AC$141&amp;";  ","")&amp;IF(AND(EDATE($D77,Milestones!$AA$142)&lt;=AsOfDate,IF($R77=0,$X77,IF(AND($T77&lt;&gt;"",EDATE($D77,Milestones!$AA$142)&gt;=$T77),$W77,IF(AND($S77&lt;&gt;"",EDATE($D77,Milestones!$AA$142)&gt;=$S77),$V77,$U77)))=Milestones!$AB$142),UPPER(TEXT(EDATE($D77,Milestones!$AA$142),"dd mmm yy"))&amp;" "&amp;Milestones!$AB$142&amp;" "&amp;Milestones!$AC$142&amp;";  ","")&amp;IF(AND(EDATE($D77,Milestones!$AA$143)&lt;=AsOfDate,IF($R77=0,$X77,IF(AND($T77&lt;&gt;"",EDATE($D77,Milestones!$AA$143)&gt;=$T77),$W77,IF(AND($S77&lt;&gt;"",EDATE($D77,Milestones!$AA$143)&gt;=$S77),$V77,$U77)))=Milestones!$AB$143),UPPER(TEXT(EDATE($D77,Milestones!$AA$143),"dd mmm yy"))&amp;" "&amp;Milestones!$AB$143&amp;" "&amp;Milestones!$AC$143&amp;";  ","")&amp;IF(AND(EDATE($D77,Milestones!$AA$144)&lt;=AsOfDate,IF($R77=0,$X77,IF(AND($T77&lt;&gt;"",EDATE($D77,Milestones!$AA$144)&gt;=$T77),$W77,IF(AND($S77&lt;&gt;"",EDATE($D77,Milestones!$AA$144)&gt;=$S77),$V77,$U77)))=Milestones!$AB$144),UPPER(TEXT(EDATE($D77,Milestones!$AA$144),"dd mmm yy"))&amp;" "&amp;Milestones!$AB$144&amp;" "&amp;Milestones!$AC$144&amp;";  ","")&amp;IF(AND(EDATE($D77,Milestones!$AA$145)&lt;=AsOfDate,IF($R77=0,$X77,IF(AND($T77&lt;&gt;"",EDATE($D77,Milestones!$AA$145)&gt;=$T77),$W77,IF(AND($S77&lt;&gt;"",EDATE($D77,Milestones!$AA$145)&gt;=$S77),$V77,$U77)))=Milestones!$AB$145),UPPER(TEXT(EDATE($D77,Milestones!$AA$145),"dd mmm yy"))&amp;" "&amp;Milestones!$AB$145&amp;" "&amp;Milestones!$AC$145&amp;";  ","")&amp;IF(AND(EDATE($D77,Milestones!$AA$146)&lt;=AsOfDate,IF($R77=0,$X77,IF(AND($T77&lt;&gt;"",EDATE($D77,Milestones!$AA$146)&gt;=$T77),$W77,IF(AND($S77&lt;&gt;"",EDATE($D77,Milestones!$AA$146)&gt;=$S77),$V77,$U77)))=Milestones!$AB$146),UPPER(TEXT(EDATE($D77,Milestones!$AA$146),"dd mmm yy"))&amp;" "&amp;Milestones!$AB$146&amp;" "&amp;Milestones!$AC$146&amp;";  ","")&amp;IF(AND(EDATE($D77,Milestones!$AA$147)&lt;=AsOfDate,IF($R77=0,$X77,IF(AND($T77&lt;&gt;"",EDATE($D77,Milestones!$AA$147)&gt;=$T77),$W77,IF(AND($S77&lt;&gt;"",EDATE($D77,Milestones!$AA$147)&gt;=$S77),$V77,$U77)))=Milestones!$AB$147),UPPER(TEXT(EDATE($D77,Milestones!$AA$147),"dd mmm yy"))&amp;" "&amp;Milestones!$AB$147&amp;" "&amp;Milestones!$AC$147&amp;";  ","")&amp;IF(AND(EDATE($D77,Milestones!$AA$148)&lt;=AsOfDate,IF($R77=0,$X77,IF(AND($T77&lt;&gt;"",EDATE($D77,Milestones!$AA$148)&gt;=$T77),$W77,IF(AND($S77&lt;&gt;"",EDATE($D77,Milestones!$AA$148)&gt;=$S77),$V77,$U77)))=Milestones!$AB$148),UPPER(TEXT(EDATE($D77,Milestones!$AA$148),"dd mmm yy"))&amp;" "&amp;Milestones!$AB$148&amp;" "&amp;Milestones!$AC$148&amp;";  ","")&amp;IF(AND(EDATE($D77,Milestones!$AA$149)&lt;=AsOfDate,IF($R77=0,$X77,IF(AND($T77&lt;&gt;"",EDATE($D77,Milestones!$AA$149)&gt;=$T77),$W77,IF(AND($S77&lt;&gt;"",EDATE($D77,Milestones!$AA$149)&gt;=$S77),$V77,$U77)))=Milestones!$AB$149),UPPER(TEXT(EDATE($D77,Milestones!$AA$149),"dd mmm yy"))&amp;" "&amp;Milestones!$AB$149&amp;" "&amp;Milestones!$AC$149&amp;";  ","")&amp;IF(AND(EDATE($D77,Milestones!$AA$150)&lt;=AsOfDate,IF($R77=0,$X77,IF(AND($T77&lt;&gt;"",EDATE($D77,Milestones!$AA$150)&gt;=$T77),$W77,IF(AND($S77&lt;&gt;"",EDATE($D77,Milestones!$AA$150)&gt;=$S77),$V77,$U77)))=Milestones!$AB$150),UPPER(TEXT(EDATE($D77,Milestones!$AA$150),"dd mmm yy"))&amp;" "&amp;Milestones!$AB$150&amp;" "&amp;Milestones!$AC$150&amp;";  ","")&amp;IF(AND(EDATE($D77,Milestones!$AA$151)&lt;=AsOfDate,IF($R77=0,$X77,IF(AND($T77&lt;&gt;"",EDATE($D77,Milestones!$AA$151)&gt;=$T77),$W77,IF(AND($S77&lt;&gt;"",EDATE($D77,Milestones!$AA$151)&gt;=$S77),$V77,$U77)))=Milestones!$AB$151),UPPER(TEXT(EDATE($D77,Milestones!$AA$151),"dd mmm yy"))&amp;" "&amp;Milestones!$AB$151&amp;" "&amp;Milestones!$AC$151&amp;";  ","")&amp;IF(AND(EDATE($D77,Milestones!$AA$152)&lt;=AsOfDate,IF($R77=0,$X77,IF(AND($T77&lt;&gt;"",EDATE($D77,Milestones!$AA$152)&gt;=$T77),$W77,IF(AND($S77&lt;&gt;"",EDATE($D77,Milestones!$AA$152)&gt;=$S77),$V77,$U77)))=Milestones!$AB$152),UPPER(TEXT(EDATE($D77,Milestones!$AA$152),"dd mmm yy"))&amp;" "&amp;Milestones!$AB$152&amp;" "&amp;Milestones!$AC$152&amp;";  ","")&amp;IF(AND(EDATE($D77,Milestones!$AA$153)&lt;=AsOfDate,IF($R77=0,$X77,IF(AND($T77&lt;&gt;"",EDATE($D77,Milestones!$AA$153)&gt;=$T77),$W77,IF(AND($S77&lt;&gt;"",EDATE($D77,Milestones!$AA$153)&gt;=$S77),$V77,$U77)))=Milestones!$AB$153),UPPER(TEXT(EDATE($D77,Milestones!$AA$153),"dd mmm yy"))&amp;" "&amp;Milestones!$AB$153&amp;" "&amp;Milestones!$AC$153&amp;";  ","")&amp;IF(AND(EDATE($D77,Milestones!$AA$154)&lt;=AsOfDate,IF($R77=0,$X77,IF(AND($T77&lt;&gt;"",EDATE($D77,Milestones!$AA$154)&gt;=$T77),$W77,IF(AND($S77&lt;&gt;"",EDATE($D77,Milestones!$AA$154)&gt;=$S77),$V77,$U77)))=Milestones!$AB$154),UPPER(TEXT(EDATE($D77,Milestones!$AA$154),"dd mmm yy"))&amp;" "&amp;Milestones!$AB$154&amp;" "&amp;Milestones!$AC$154&amp;";  ","")&amp;IF(AND(EDATE($D77,Milestones!$AA$155)&lt;=AsOfDate,IF($R77=0,$X77,IF(AND($T77&lt;&gt;"",EDATE($D77,Milestones!$AA$155)&gt;=$T77),$W77,IF(AND($S77&lt;&gt;"",EDATE($D77,Milestones!$AA$155)&gt;=$S77),$V77,$U77)))=Milestones!$AB$155),UPPER(TEXT(EDATE($D77,Milestones!$AA$155),"dd mmm yy"))&amp;" "&amp;Milestones!$AB$155&amp;" "&amp;Milestones!$AC$155&amp;";  ","")&amp;IF(AND(EDATE($D77,Milestones!$AA$156)&lt;=AsOfDate,IF($R77=0,$X77,IF(AND($T77&lt;&gt;"",EDATE($D77,Milestones!$AA$156)&gt;=$T77),$W77,IF(AND($S77&lt;&gt;"",EDATE($D77,Milestones!$AA$156)&gt;=$S77),$V77,$U77)))=Milestones!$AB$156),UPPER(TEXT(EDATE($D77,Milestones!$AA$156),"dd mmm yy"))&amp;" "&amp;Milestones!$AB$156&amp;" "&amp;Milestones!$AC$156&amp;";  ","")&amp;IF(AND(EDATE($D77,Milestones!$AA$157)&lt;=AsOfDate,IF($R77=0,$X77,IF(AND($T77&lt;&gt;"",EDATE($D77,Milestones!$AA$157)&gt;=$T77),$W77,IF(AND($S77&lt;&gt;"",EDATE($D77,Milestones!$AA$157)&gt;=$S77),$V77,$U77)))=Milestones!$AB$157),UPPER(TEXT(EDATE($D77,Milestones!$AA$157),"dd mmm yy"))&amp;" "&amp;Milestones!$AB$157&amp;" "&amp;Milestones!$AC$157&amp;";  ","")&amp;IF(AND(EDATE($D77,Milestones!$AA$158)&lt;=AsOfDate,IF($R77=0,$X77,IF(AND($T77&lt;&gt;"",EDATE($D77,Milestones!$AA$158)&gt;=$T77),$W77,IF(AND($S77&lt;&gt;"",EDATE($D77,Milestones!$AA$158)&gt;=$S77),$V77,$U77)))=Milestones!$AB$158),UPPER(TEXT(EDATE($D77,Milestones!$AA$158),"dd mmm yy"))&amp;" "&amp;Milestones!$AB$158&amp;" "&amp;Milestones!$AC$158&amp;";  ","")&amp;IF(AND(EDATE($D77,Milestones!$AA$159)&lt;=AsOfDate,IF($R77=0,$X77,IF(AND($T77&lt;&gt;"",EDATE($D77,Milestones!$AA$159)&gt;=$T77),$W77,IF(AND($S77&lt;&gt;"",EDATE($D77,Milestones!$AA$159)&gt;=$S77),$V77,$U77)))=Milestones!$AB$159),UPPER(TEXT(EDATE($D77,Milestones!$AA$159),"dd mmm yy"))&amp;" "&amp;Milestones!$AB$159&amp;" "&amp;Milestones!$AC$159&amp;";  ",""))</f>
        <v/>
      </c>
      <c r="P77" s="0" t="str">
        <f aca="false">IF(OR($A77="",$D77=""),"",IF(AND(EDATE($D77,Milestones!$AA$160)&lt;=AsOfDate,IF($R77=0,$X77,IF(AND($T77&lt;&gt;"",EDATE($D77,Milestones!$AA$160)&gt;=$T77),$W77,IF(AND($S77&lt;&gt;"",EDATE($D77,Milestones!$AA$160)&gt;=$S77),$V77,$U77)))=Milestones!$AB$160),UPPER(TEXT(EDATE($D77,Milestones!$AA$160),"dd mmm yy"))&amp;" "&amp;Milestones!$AB$160&amp;" "&amp;Milestones!$AC$160&amp;";  ","")&amp;IF(AND(EDATE($D77,Milestones!$AA$161)&lt;=AsOfDate,IF($R77=0,$X77,IF(AND($T77&lt;&gt;"",EDATE($D77,Milestones!$AA$161)&gt;=$T77),$W77,IF(AND($S77&lt;&gt;"",EDATE($D77,Milestones!$AA$161)&gt;=$S77),$V77,$U77)))=Milestones!$AB$161),UPPER(TEXT(EDATE($D77,Milestones!$AA$161),"dd mmm yy"))&amp;" "&amp;Milestones!$AB$161&amp;" "&amp;Milestones!$AC$161&amp;";  ","")&amp;IF(AND(EDATE($D77,Milestones!$AA$162)&lt;=AsOfDate,IF($R77=0,$X77,IF(AND($T77&lt;&gt;"",EDATE($D77,Milestones!$AA$162)&gt;=$T77),$W77,IF(AND($S77&lt;&gt;"",EDATE($D77,Milestones!$AA$162)&gt;=$S77),$V77,$U77)))=Milestones!$AB$162),UPPER(TEXT(EDATE($D77,Milestones!$AA$162),"dd mmm yy"))&amp;" "&amp;Milestones!$AB$162&amp;" "&amp;Milestones!$AC$162&amp;";  ","")&amp;IF(AND(EDATE($D77,Milestones!$AA$163)&lt;=AsOfDate,IF($R77=0,$X77,IF(AND($T77&lt;&gt;"",EDATE($D77,Milestones!$AA$163)&gt;=$T77),$W77,IF(AND($S77&lt;&gt;"",EDATE($D77,Milestones!$AA$163)&gt;=$S77),$V77,$U77)))=Milestones!$AB$163),UPPER(TEXT(EDATE($D77,Milestones!$AA$163),"dd mmm yy"))&amp;" "&amp;Milestones!$AB$163&amp;" "&amp;Milestones!$AC$163&amp;";  ","")&amp;IF(AND(EDATE($D77,Milestones!$AA$164)&lt;=AsOfDate,IF($R77=0,$X77,IF(AND($T77&lt;&gt;"",EDATE($D77,Milestones!$AA$164)&gt;=$T77),$W77,IF(AND($S77&lt;&gt;"",EDATE($D77,Milestones!$AA$164)&gt;=$S77),$V77,$U77)))=Milestones!$AB$164),UPPER(TEXT(EDATE($D77,Milestones!$AA$164),"dd mmm yy"))&amp;" "&amp;Milestones!$AB$164&amp;" "&amp;Milestones!$AC$164&amp;";  ","")&amp;IF(AND(EDATE($D77,Milestones!$AA$165)&lt;=AsOfDate,IF($R77=0,$X77,IF(AND($T77&lt;&gt;"",EDATE($D77,Milestones!$AA$165)&gt;=$T77),$W77,IF(AND($S77&lt;&gt;"",EDATE($D77,Milestones!$AA$165)&gt;=$S77),$V77,$U77)))=Milestones!$AB$165),UPPER(TEXT(EDATE($D77,Milestones!$AA$165),"dd mmm yy"))&amp;" "&amp;Milestones!$AB$165&amp;" "&amp;Milestones!$AC$165&amp;";  ","")&amp;IF(AND(EDATE($D77,Milestones!$AA$166)&lt;=AsOfDate,IF($R77=0,$X77,IF(AND($T77&lt;&gt;"",EDATE($D77,Milestones!$AA$166)&gt;=$T77),$W77,IF(AND($S77&lt;&gt;"",EDATE($D77,Milestones!$AA$166)&gt;=$S77),$V77,$U77)))=Milestones!$AB$166),UPPER(TEXT(EDATE($D77,Milestones!$AA$166),"dd mmm yy"))&amp;" "&amp;Milestones!$AB$166&amp;" "&amp;Milestones!$AC$166&amp;";  ","")&amp;IF(AND(EDATE($D77,Milestones!$AA$167)&lt;=AsOfDate,IF($R77=0,$X77,IF(AND($T77&lt;&gt;"",EDATE($D77,Milestones!$AA$167)&gt;=$T77),$W77,IF(AND($S77&lt;&gt;"",EDATE($D77,Milestones!$AA$167)&gt;=$S77),$V77,$U77)))=Milestones!$AB$167),UPPER(TEXT(EDATE($D77,Milestones!$AA$167),"dd mmm yy"))&amp;" "&amp;Milestones!$AB$167&amp;" "&amp;Milestones!$AC$167&amp;";  ","")&amp;IF(AND(EDATE($D77,Milestones!$AA$168)&lt;=AsOfDate,IF($R77=0,$X77,IF(AND($T77&lt;&gt;"",EDATE($D77,Milestones!$AA$168)&gt;=$T77),$W77,IF(AND($S77&lt;&gt;"",EDATE($D77,Milestones!$AA$168)&gt;=$S77),$V77,$U77)))=Milestones!$AB$168),UPPER(TEXT(EDATE($D77,Milestones!$AA$168),"dd mmm yy"))&amp;" "&amp;Milestones!$AB$168&amp;" "&amp;Milestones!$AC$168&amp;";  ","")&amp;IF(AND(EDATE($D77,Milestones!$AA$169)&lt;=AsOfDate,IF($R77=0,$X77,IF(AND($T77&lt;&gt;"",EDATE($D77,Milestones!$AA$169)&gt;=$T77),$W77,IF(AND($S77&lt;&gt;"",EDATE($D77,Milestones!$AA$169)&gt;=$S77),$V77,$U77)))=Milestones!$AB$169),UPPER(TEXT(EDATE($D77,Milestones!$AA$169),"dd mmm yy"))&amp;" "&amp;Milestones!$AB$169&amp;" "&amp;Milestones!$AC$169&amp;";  ","")&amp;IF(AND(EDATE($D77,Milestones!$AA$170)&lt;=AsOfDate,IF($R77=0,$X77,IF(AND($T77&lt;&gt;"",EDATE($D77,Milestones!$AA$170)&gt;=$T77),$W77,IF(AND($S77&lt;&gt;"",EDATE($D77,Milestones!$AA$170)&gt;=$S77),$V77,$U77)))=Milestones!$AB$170),UPPER(TEXT(EDATE($D77,Milestones!$AA$170),"dd mmm yy"))&amp;" "&amp;Milestones!$AB$170&amp;" "&amp;Milestones!$AC$170&amp;";  ","")&amp;IF(AND(EDATE($D77,Milestones!$AA$171)&lt;=AsOfDate,IF($R77=0,$X77,IF(AND($T77&lt;&gt;"",EDATE($D77,Milestones!$AA$171)&gt;=$T77),$W77,IF(AND($S77&lt;&gt;"",EDATE($D77,Milestones!$AA$171)&gt;=$S77),$V77,$U77)))=Milestones!$AB$171),UPPER(TEXT(EDATE($D77,Milestones!$AA$171),"dd mmm yy"))&amp;" "&amp;Milestones!$AB$171&amp;" "&amp;Milestones!$AC$171&amp;";  ","")&amp;IF(AND(EDATE($D77,Milestones!$AA$172)&lt;=AsOfDate,IF($R77=0,$X77,IF(AND($T77&lt;&gt;"",EDATE($D77,Milestones!$AA$172)&gt;=$T77),$W77,IF(AND($S77&lt;&gt;"",EDATE($D77,Milestones!$AA$172)&gt;=$S77),$V77,$U77)))=Milestones!$AB$172),UPPER(TEXT(EDATE($D77,Milestones!$AA$172),"dd mmm yy"))&amp;" "&amp;Milestones!$AB$172&amp;" "&amp;Milestones!$AC$172&amp;";  ","")&amp;IF(AND(EDATE($D77,Milestones!$AA$173)&lt;=AsOfDate,IF($R77=0,$X77,IF(AND($T77&lt;&gt;"",EDATE($D77,Milestones!$AA$173)&gt;=$T77),$W77,IF(AND($S77&lt;&gt;"",EDATE($D77,Milestones!$AA$173)&gt;=$S77),$V77,$U77)))=Milestones!$AB$173),UPPER(TEXT(EDATE($D77,Milestones!$AA$173),"dd mmm yy"))&amp;" "&amp;Milestones!$AB$173&amp;" "&amp;Milestones!$AC$173&amp;";  ","")&amp;IF(AND(EDATE($D77,Milestones!$AA$174)&lt;=AsOfDate,IF($R77=0,$X77,IF(AND($T77&lt;&gt;"",EDATE($D77,Milestones!$AA$174)&gt;=$T77),$W77,IF(AND($S77&lt;&gt;"",EDATE($D77,Milestones!$AA$174)&gt;=$S77),$V77,$U77)))=Milestones!$AB$174),UPPER(TEXT(EDATE($D77,Milestones!$AA$174),"dd mmm yy"))&amp;" "&amp;Milestones!$AB$174&amp;" "&amp;Milestones!$AC$174&amp;";  ","")&amp;IF(AND(EDATE($D77,Milestones!$AA$175)&lt;=AsOfDate,IF($R77=0,$X77,IF(AND($T77&lt;&gt;"",EDATE($D77,Milestones!$AA$175)&gt;=$T77),$W77,IF(AND($S77&lt;&gt;"",EDATE($D77,Milestones!$AA$175)&gt;=$S77),$V77,$U77)))=Milestones!$AB$175),UPPER(TEXT(EDATE($D77,Milestones!$AA$175),"dd mmm yy"))&amp;" "&amp;Milestones!$AB$175&amp;" "&amp;Milestones!$AC$175&amp;";  ","")&amp;IF(AND(EDATE($D77,Milestones!$AA$176)&lt;=AsOfDate,IF($R77=0,$X77,IF(AND($T77&lt;&gt;"",EDATE($D77,Milestones!$AA$176)&gt;=$T77),$W77,IF(AND($S77&lt;&gt;"",EDATE($D77,Milestones!$AA$176)&gt;=$S77),$V77,$U77)))=Milestones!$AB$176),UPPER(TEXT(EDATE($D77,Milestones!$AA$176),"dd mmm yy"))&amp;" "&amp;Milestones!$AB$176&amp;" "&amp;Milestones!$AC$176&amp;";  ","")&amp;IF(AND(EDATE($D77,Milestones!$AA$177)&lt;=AsOfDate,IF($R77=0,$X77,IF(AND($T77&lt;&gt;"",EDATE($D77,Milestones!$AA$177)&gt;=$T77),$W77,IF(AND($S77&lt;&gt;"",EDATE($D77,Milestones!$AA$177)&gt;=$S77),$V77,$U77)))=Milestones!$AB$177),UPPER(TEXT(EDATE($D77,Milestones!$AA$177),"dd mmm yy"))&amp;" "&amp;Milestones!$AB$177&amp;" "&amp;Milestones!$AC$177&amp;";  ","")&amp;IF(AND(EDATE($D77,Milestones!$AA$178)&lt;=AsOfDate,IF($R77=0,$X77,IF(AND($T77&lt;&gt;"",EDATE($D77,Milestones!$AA$178)&gt;=$T77),$W77,IF(AND($S77&lt;&gt;"",EDATE($D77,Milestones!$AA$178)&gt;=$S77),$V77,$U77)))=Milestones!$AB$178),UPPER(TEXT(EDATE($D77,Milestones!$AA$178),"dd mmm yy"))&amp;" "&amp;Milestones!$AB$178&amp;" "&amp;Milestones!$AC$178&amp;";  ","")&amp;IF(AND(EDATE($D77,Milestones!$AA$179)&lt;=AsOfDate,IF($R77=0,$X77,IF(AND($T77&lt;&gt;"",EDATE($D77,Milestones!$AA$179)&gt;=$T77),$W77,IF(AND($S77&lt;&gt;"",EDATE($D77,Milestones!$AA$179)&gt;=$S77),$V77,$U77)))=Milestones!$AB$179),UPPER(TEXT(EDATE($D77,Milestones!$AA$179),"dd mmm yy"))&amp;" "&amp;Milestones!$AB$179&amp;" "&amp;Milestones!$AC$179&amp;";  ",""))</f>
        <v/>
      </c>
      <c r="Q77" s="0" t="str">
        <f aca="false">IF(OR($A77="",$D77=""),"",IF(AND(EDATE($D77,Milestones!$AA$180)&lt;=AsOfDate,IF($R77=0,$X77,IF(AND($T77&lt;&gt;"",EDATE($D77,Milestones!$AA$180)&gt;=$T77),$W77,IF(AND($S77&lt;&gt;"",EDATE($D77,Milestones!$AA$180)&gt;=$S77),$V77,$U77)))=Milestones!$AB$180),UPPER(TEXT(EDATE($D77,Milestones!$AA$180),"dd mmm yy"))&amp;" "&amp;Milestones!$AB$180&amp;" "&amp;Milestones!$AC$180&amp;";  ","")&amp;IF(AND(EDATE($D77,Milestones!$AA$181)&lt;=AsOfDate,IF($R77=0,$X77,IF(AND($T77&lt;&gt;"",EDATE($D77,Milestones!$AA$181)&gt;=$T77),$W77,IF(AND($S77&lt;&gt;"",EDATE($D77,Milestones!$AA$181)&gt;=$S77),$V77,$U77)))=Milestones!$AB$181),UPPER(TEXT(EDATE($D77,Milestones!$AA$181),"dd mmm yy"))&amp;" "&amp;Milestones!$AB$181&amp;" "&amp;Milestones!$AC$181&amp;";  ","")&amp;IF(AND(EDATE($D77,Milestones!$AA$182)&lt;=AsOfDate,IF($R77=0,$X77,IF(AND($T77&lt;&gt;"",EDATE($D77,Milestones!$AA$182)&gt;=$T77),$W77,IF(AND($S77&lt;&gt;"",EDATE($D77,Milestones!$AA$182)&gt;=$S77),$V77,$U77)))=Milestones!$AB$182),UPPER(TEXT(EDATE($D77,Milestones!$AA$182),"dd mmm yy"))&amp;" "&amp;Milestones!$AB$182&amp;" "&amp;Milestones!$AC$182&amp;";  ","")&amp;IF(AND(EDATE($D77,Milestones!$AA$183)&lt;=AsOfDate,IF($R77=0,$X77,IF(AND($T77&lt;&gt;"",EDATE($D77,Milestones!$AA$183)&gt;=$T77),$W77,IF(AND($S77&lt;&gt;"",EDATE($D77,Milestones!$AA$183)&gt;=$S77),$V77,$U77)))=Milestones!$AB$183),UPPER(TEXT(EDATE($D77,Milestones!$AA$183),"dd mmm yy"))&amp;" "&amp;Milestones!$AB$183&amp;" "&amp;Milestones!$AC$183&amp;";  ","")&amp;IF(AND(EDATE($D77,Milestones!$AA$184)&lt;=AsOfDate,IF($R77=0,$X77,IF(AND($T77&lt;&gt;"",EDATE($D77,Milestones!$AA$184)&gt;=$T77),$W77,IF(AND($S77&lt;&gt;"",EDATE($D77,Milestones!$AA$184)&gt;=$S77),$V77,$U77)))=Milestones!$AB$184),UPPER(TEXT(EDATE($D77,Milestones!$AA$184),"dd mmm yy"))&amp;" "&amp;Milestones!$AB$184&amp;" "&amp;Milestones!$AC$184&amp;";  ","")&amp;IF(AND(EDATE($D77,Milestones!$AA$185)&lt;=AsOfDate,IF($R77=0,$X77,IF(AND($T77&lt;&gt;"",EDATE($D77,Milestones!$AA$185)&gt;=$T77),$W77,IF(AND($S77&lt;&gt;"",EDATE($D77,Milestones!$AA$185)&gt;=$S77),$V77,$U77)))=Milestones!$AB$185),UPPER(TEXT(EDATE($D77,Milestones!$AA$185),"dd mmm yy"))&amp;" "&amp;Milestones!$AB$185&amp;" "&amp;Milestones!$AC$185&amp;";  ","")&amp;IF(AND(EDATE($D77,Milestones!$AA$186)&lt;=AsOfDate,IF($R77=0,$X77,IF(AND($T77&lt;&gt;"",EDATE($D77,Milestones!$AA$186)&gt;=$T77),$W77,IF(AND($S77&lt;&gt;"",EDATE($D77,Milestones!$AA$186)&gt;=$S77),$V77,$U77)))=Milestones!$AB$186),UPPER(TEXT(EDATE($D77,Milestones!$AA$186),"dd mmm yy"))&amp;" "&amp;Milestones!$AB$186&amp;" "&amp;Milestones!$AC$186&amp;";  ","")&amp;IF(AND(EDATE($D77,Milestones!$AA$187)&lt;=AsOfDate,IF($R77=0,$X77,IF(AND($T77&lt;&gt;"",EDATE($D77,Milestones!$AA$187)&gt;=$T77),$W77,IF(AND($S77&lt;&gt;"",EDATE($D77,Milestones!$AA$187)&gt;=$S77),$V77,$U77)))=Milestones!$AB$187),UPPER(TEXT(EDATE($D77,Milestones!$AA$187),"dd mmm yy"))&amp;" "&amp;Milestones!$AB$187&amp;" "&amp;Milestones!$AC$187&amp;";  ","")&amp;IF(AND(EDATE($D77,Milestones!$AA$188)&lt;=AsOfDate,IF($R77=0,$X77,IF(AND($T77&lt;&gt;"",EDATE($D77,Milestones!$AA$188)&gt;=$T77),$W77,IF(AND($S77&lt;&gt;"",EDATE($D77,Milestones!$AA$188)&gt;=$S77),$V77,$U77)))=Milestones!$AB$188),UPPER(TEXT(EDATE($D77,Milestones!$AA$188),"dd mmm yy"))&amp;" "&amp;Milestones!$AB$188&amp;" "&amp;Milestones!$AC$188&amp;";  ","")&amp;IF(AND(EDATE($D77,Milestones!$AA$189)&lt;=AsOfDate,IF($R77=0,$X77,IF(AND($T77&lt;&gt;"",EDATE($D77,Milestones!$AA$189)&gt;=$T77),$W77,IF(AND($S77&lt;&gt;"",EDATE($D77,Milestones!$AA$189)&gt;=$S77),$V77,$U77)))=Milestones!$AB$189),UPPER(TEXT(EDATE($D77,Milestones!$AA$189),"dd mmm yy"))&amp;" "&amp;Milestones!$AB$189&amp;" "&amp;Milestones!$AC$189&amp;";  ","")&amp;IF(AND(EDATE($D77,Milestones!$AA$190)&lt;=AsOfDate,IF($R77=0,$X77,IF(AND($T77&lt;&gt;"",EDATE($D77,Milestones!$AA$190)&gt;=$T77),$W77,IF(AND($S77&lt;&gt;"",EDATE($D77,Milestones!$AA$190)&gt;=$S77),$V77,$U77)))=Milestones!$AB$190),UPPER(TEXT(EDATE($D77,Milestones!$AA$190),"dd mmm yy"))&amp;" "&amp;Milestones!$AB$190&amp;" "&amp;Milestones!$AC$190&amp;";  ","")&amp;IF(AND(EDATE($D77,Milestones!$AA$191)&lt;=AsOfDate,IF($R77=0,$X77,IF(AND($T77&lt;&gt;"",EDATE($D77,Milestones!$AA$191)&gt;=$T77),$W77,IF(AND($S77&lt;&gt;"",EDATE($D77,Milestones!$AA$191)&gt;=$S77),$V77,$U77)))=Milestones!$AB$191),UPPER(TEXT(EDATE($D77,Milestones!$AA$191),"dd mmm yy"))&amp;" "&amp;Milestones!$AB$191&amp;" "&amp;Milestones!$AC$191&amp;";  ","")&amp;IF(AND(EDATE($D77,Milestones!$AA$192)&lt;=AsOfDate,IF($R77=0,$X77,IF(AND($T77&lt;&gt;"",EDATE($D77,Milestones!$AA$192)&gt;=$T77),$W77,IF(AND($S77&lt;&gt;"",EDATE($D77,Milestones!$AA$192)&gt;=$S77),$V77,$U77)))=Milestones!$AB$192),UPPER(TEXT(EDATE($D77,Milestones!$AA$192),"dd mmm yy"))&amp;" "&amp;Milestones!$AB$192&amp;" "&amp;Milestones!$AC$192&amp;";  ","")&amp;IF(AND(EDATE($D77,Milestones!$AA$193)&lt;=AsOfDate,IF($R77=0,$X77,IF(AND($T77&lt;&gt;"",EDATE($D77,Milestones!$AA$193)&gt;=$T77),$W77,IF(AND($S77&lt;&gt;"",EDATE($D77,Milestones!$AA$193)&gt;=$S77),$V77,$U77)))=Milestones!$AB$193),UPPER(TEXT(EDATE($D77,Milestones!$AA$193),"dd mmm yy"))&amp;" "&amp;Milestones!$AB$193&amp;" "&amp;Milestones!$AC$193&amp;";  ","")&amp;IF(AND(EDATE($D77,Milestones!$AA$194)&lt;=AsOfDate,IF($R77=0,$X77,IF(AND($T77&lt;&gt;"",EDATE($D77,Milestones!$AA$194)&gt;=$T77),$W77,IF(AND($S77&lt;&gt;"",EDATE($D77,Milestones!$AA$194)&gt;=$S77),$V77,$U77)))=Milestones!$AB$194),UPPER(TEXT(EDATE($D77,Milestones!$AA$194),"dd mmm yy"))&amp;" "&amp;Milestones!$AB$194&amp;" "&amp;Milestones!$AC$194&amp;";  ","")&amp;IF(AND(EDATE($D77,Milestones!$AA$195)&lt;=AsOfDate,IF($R77=0,$X77,IF(AND($T77&lt;&gt;"",EDATE($D77,Milestones!$AA$195)&gt;=$T77),$W77,IF(AND($S77&lt;&gt;"",EDATE($D77,Milestones!$AA$195)&gt;=$S77),$V77,$U77)))=Milestones!$AB$195),UPPER(TEXT(EDATE($D77,Milestones!$AA$195),"dd mmm yy"))&amp;" "&amp;Milestones!$AB$195&amp;" "&amp;Milestones!$AC$195&amp;";  ","")&amp;IF(AND(EDATE($D77,Milestones!$AA$196)&lt;=AsOfDate,IF($R77=0,$X77,IF(AND($T77&lt;&gt;"",EDATE($D77,Milestones!$AA$196)&gt;=$T77),$W77,IF(AND($S77&lt;&gt;"",EDATE($D77,Milestones!$AA$196)&gt;=$S77),$V77,$U77)))=Milestones!$AB$196),UPPER(TEXT(EDATE($D77,Milestones!$AA$196),"dd mmm yy"))&amp;" "&amp;Milestones!$AB$196&amp;" "&amp;Milestones!$AC$196&amp;";  ","")&amp;IF(AND(EDATE($D77,Milestones!$AA$197)&lt;=AsOfDate,IF($R77=0,$X77,IF(AND($T77&lt;&gt;"",EDATE($D77,Milestones!$AA$197)&gt;=$T77),$W77,IF(AND($S77&lt;&gt;"",EDATE($D77,Milestones!$AA$197)&gt;=$S77),$V77,$U77)))=Milestones!$AB$197),UPPER(TEXT(EDATE($D77,Milestones!$AA$197),"dd mmm yy"))&amp;" "&amp;Milestones!$AB$197&amp;" "&amp;Milestones!$AC$197&amp;";  ","")&amp;IF(AND(EDATE($D77,Milestones!$AA$198)&lt;=AsOfDate,IF($R77=0,$X77,IF(AND($T77&lt;&gt;"",EDATE($D77,Milestones!$AA$198)&gt;=$T77),$W77,IF(AND($S77&lt;&gt;"",EDATE($D77,Milestones!$AA$198)&gt;=$S77),$V77,$U77)))=Milestones!$AB$198),UPPER(TEXT(EDATE($D77,Milestones!$AA$198),"dd mmm yy"))&amp;" "&amp;Milestones!$AB$198&amp;" "&amp;Milestones!$AC$198&amp;";  ","")&amp;IF(AND(EDATE($D77,Milestones!$AA$199)&lt;=AsOfDate,IF($R77=0,$X77,IF(AND($T77&lt;&gt;"",EDATE($D77,Milestones!$AA$199)&gt;=$T77),$W77,IF(AND($S77&lt;&gt;"",EDATE($D77,Milestones!$AA$199)&gt;=$S77),$V77,$U77)))=Milestones!$AB$199),UPPER(TEXT(EDATE($D77,Milestones!$AA$199),"dd mmm yy"))&amp;" "&amp;Milestones!$AB$199&amp;" "&amp;Milestones!$AC$199&amp;";  ",""))</f>
        <v/>
      </c>
      <c r="R77" s="0" t="str">
        <f aca="false">IF(Staff!$A77="","",Staff!$AI77)</f>
        <v/>
      </c>
      <c r="S77" s="0" t="str">
        <f aca="false">IF(Staff!$A77="","",Staff!$AK77)</f>
        <v/>
      </c>
      <c r="T77" s="0" t="str">
        <f aca="false">IF(Staff!$A77="","",Staff!$AL77)</f>
        <v/>
      </c>
      <c r="U77" s="0" t="str">
        <f aca="false">IF(Staff!$A77="","",Staff!$AP77)</f>
        <v/>
      </c>
      <c r="V77" s="0" t="str">
        <f aca="false">IF(Staff!$A77="","",Staff!$AQ77)</f>
        <v/>
      </c>
      <c r="W77" s="0" t="str">
        <f aca="false">IF(Staff!$A77="","",Staff!$AR77)</f>
        <v/>
      </c>
      <c r="X77" s="0" t="str">
        <f aca="false">IF(Staff!$A77="","",Staff!$AS77)</f>
        <v/>
      </c>
    </row>
    <row r="78" customFormat="false" ht="15" hidden="false" customHeight="false" outlineLevel="0" collapsed="false">
      <c r="A78" s="19" t="str">
        <f aca="false">IF(Staff!$A78="","",Staff!$A78)</f>
        <v/>
      </c>
      <c r="B78" s="19" t="str">
        <f aca="false">IF(Staff!$A78="","",Staff!$B78)</f>
        <v/>
      </c>
      <c r="C78" s="19" t="str">
        <f aca="false">IF(Staff!$A78="","",Staff!$C78)</f>
        <v/>
      </c>
      <c r="D78" s="17" t="str">
        <f aca="false">IF(Staff!$A78="","",Staff!$AH78)</f>
        <v/>
      </c>
      <c r="E78" s="19" t="str">
        <f aca="false">IF(Staff!$A78="","",Staff!$O78)</f>
        <v/>
      </c>
      <c r="F78" s="19" t="str">
        <f aca="false">IF(E78="","",E78*HoursPerDay)</f>
        <v/>
      </c>
      <c r="G78" s="19" t="str">
        <f aca="false">IF(Staff!$A78="","",Staff!$AE78)</f>
        <v/>
      </c>
      <c r="H78" s="32" t="str">
        <f aca="false">IF($A78="","",I78&amp;J78&amp;K78&amp;L78&amp;M78&amp;N78&amp;O78&amp;P78&amp;Q78)</f>
        <v/>
      </c>
      <c r="I78" s="0" t="str">
        <f aca="false">IF(OR($A78="",$D78=""),"",IF(AND(EDATE($D78,Milestones!$AA$20)&lt;=AsOfDate,IF($R78=0,$X78,IF(AND($T78&lt;&gt;"",EDATE($D78,Milestones!$AA$20)&gt;=$T78),$W78,IF(AND($S78&lt;&gt;"",EDATE($D78,Milestones!$AA$20)&gt;=$S78),$V78,$U78)))=Milestones!$AB$20),UPPER(TEXT(EDATE($D78,Milestones!$AA$20),"dd mmm yy"))&amp;" "&amp;Milestones!$AB$20&amp;" "&amp;Milestones!$AC$20&amp;";  ","")&amp;IF(AND(EDATE($D78,Milestones!$AA$21)&lt;=AsOfDate,IF($R78=0,$X78,IF(AND($T78&lt;&gt;"",EDATE($D78,Milestones!$AA$21)&gt;=$T78),$W78,IF(AND($S78&lt;&gt;"",EDATE($D78,Milestones!$AA$21)&gt;=$S78),$V78,$U78)))=Milestones!$AB$21),UPPER(TEXT(EDATE($D78,Milestones!$AA$21),"dd mmm yy"))&amp;" "&amp;Milestones!$AB$21&amp;" "&amp;Milestones!$AC$21&amp;";  ","")&amp;IF(AND(EDATE($D78,Milestones!$AA$22)&lt;=AsOfDate,IF($R78=0,$X78,IF(AND($T78&lt;&gt;"",EDATE($D78,Milestones!$AA$22)&gt;=$T78),$W78,IF(AND($S78&lt;&gt;"",EDATE($D78,Milestones!$AA$22)&gt;=$S78),$V78,$U78)))=Milestones!$AB$22),UPPER(TEXT(EDATE($D78,Milestones!$AA$22),"dd mmm yy"))&amp;" "&amp;Milestones!$AB$22&amp;" "&amp;Milestones!$AC$22&amp;";  ","")&amp;IF(AND(EDATE($D78,Milestones!$AA$23)&lt;=AsOfDate,IF($R78=0,$X78,IF(AND($T78&lt;&gt;"",EDATE($D78,Milestones!$AA$23)&gt;=$T78),$W78,IF(AND($S78&lt;&gt;"",EDATE($D78,Milestones!$AA$23)&gt;=$S78),$V78,$U78)))=Milestones!$AB$23),UPPER(TEXT(EDATE($D78,Milestones!$AA$23),"dd mmm yy"))&amp;" "&amp;Milestones!$AB$23&amp;" "&amp;Milestones!$AC$23&amp;";  ","")&amp;IF(AND(EDATE($D78,Milestones!$AA$24)&lt;=AsOfDate,IF($R78=0,$X78,IF(AND($T78&lt;&gt;"",EDATE($D78,Milestones!$AA$24)&gt;=$T78),$W78,IF(AND($S78&lt;&gt;"",EDATE($D78,Milestones!$AA$24)&gt;=$S78),$V78,$U78)))=Milestones!$AB$24),UPPER(TEXT(EDATE($D78,Milestones!$AA$24),"dd mmm yy"))&amp;" "&amp;Milestones!$AB$24&amp;" "&amp;Milestones!$AC$24&amp;";  ","")&amp;IF(AND(EDATE($D78,Milestones!$AA$25)&lt;=AsOfDate,IF($R78=0,$X78,IF(AND($T78&lt;&gt;"",EDATE($D78,Milestones!$AA$25)&gt;=$T78),$W78,IF(AND($S78&lt;&gt;"",EDATE($D78,Milestones!$AA$25)&gt;=$S78),$V78,$U78)))=Milestones!$AB$25),UPPER(TEXT(EDATE($D78,Milestones!$AA$25),"dd mmm yy"))&amp;" "&amp;Milestones!$AB$25&amp;" "&amp;Milestones!$AC$25&amp;";  ","")&amp;IF(AND(EDATE($D78,Milestones!$AA$26)&lt;=AsOfDate,IF($R78=0,$X78,IF(AND($T78&lt;&gt;"",EDATE($D78,Milestones!$AA$26)&gt;=$T78),$W78,IF(AND($S78&lt;&gt;"",EDATE($D78,Milestones!$AA$26)&gt;=$S78),$V78,$U78)))=Milestones!$AB$26),UPPER(TEXT(EDATE($D78,Milestones!$AA$26),"dd mmm yy"))&amp;" "&amp;Milestones!$AB$26&amp;" "&amp;Milestones!$AC$26&amp;";  ","")&amp;IF(AND(EDATE($D78,Milestones!$AA$27)&lt;=AsOfDate,IF($R78=0,$X78,IF(AND($T78&lt;&gt;"",EDATE($D78,Milestones!$AA$27)&gt;=$T78),$W78,IF(AND($S78&lt;&gt;"",EDATE($D78,Milestones!$AA$27)&gt;=$S78),$V78,$U78)))=Milestones!$AB$27),UPPER(TEXT(EDATE($D78,Milestones!$AA$27),"dd mmm yy"))&amp;" "&amp;Milestones!$AB$27&amp;" "&amp;Milestones!$AC$27&amp;";  ","")&amp;IF(AND(EDATE($D78,Milestones!$AA$28)&lt;=AsOfDate,IF($R78=0,$X78,IF(AND($T78&lt;&gt;"",EDATE($D78,Milestones!$AA$28)&gt;=$T78),$W78,IF(AND($S78&lt;&gt;"",EDATE($D78,Milestones!$AA$28)&gt;=$S78),$V78,$U78)))=Milestones!$AB$28),UPPER(TEXT(EDATE($D78,Milestones!$AA$28),"dd mmm yy"))&amp;" "&amp;Milestones!$AB$28&amp;" "&amp;Milestones!$AC$28&amp;";  ","")&amp;IF(AND(EDATE($D78,Milestones!$AA$29)&lt;=AsOfDate,IF($R78=0,$X78,IF(AND($T78&lt;&gt;"",EDATE($D78,Milestones!$AA$29)&gt;=$T78),$W78,IF(AND($S78&lt;&gt;"",EDATE($D78,Milestones!$AA$29)&gt;=$S78),$V78,$U78)))=Milestones!$AB$29),UPPER(TEXT(EDATE($D78,Milestones!$AA$29),"dd mmm yy"))&amp;" "&amp;Milestones!$AB$29&amp;" "&amp;Milestones!$AC$29&amp;";  ","")&amp;IF(AND(EDATE($D78,Milestones!$AA$30)&lt;=AsOfDate,IF($R78=0,$X78,IF(AND($T78&lt;&gt;"",EDATE($D78,Milestones!$AA$30)&gt;=$T78),$W78,IF(AND($S78&lt;&gt;"",EDATE($D78,Milestones!$AA$30)&gt;=$S78),$V78,$U78)))=Milestones!$AB$30),UPPER(TEXT(EDATE($D78,Milestones!$AA$30),"dd mmm yy"))&amp;" "&amp;Milestones!$AB$30&amp;" "&amp;Milestones!$AC$30&amp;";  ","")&amp;IF(AND(EDATE($D78,Milestones!$AA$31)&lt;=AsOfDate,IF($R78=0,$X78,IF(AND($T78&lt;&gt;"",EDATE($D78,Milestones!$AA$31)&gt;=$T78),$W78,IF(AND($S78&lt;&gt;"",EDATE($D78,Milestones!$AA$31)&gt;=$S78),$V78,$U78)))=Milestones!$AB$31),UPPER(TEXT(EDATE($D78,Milestones!$AA$31),"dd mmm yy"))&amp;" "&amp;Milestones!$AB$31&amp;" "&amp;Milestones!$AC$31&amp;";  ","")&amp;IF(AND(EDATE($D78,Milestones!$AA$32)&lt;=AsOfDate,IF($R78=0,$X78,IF(AND($T78&lt;&gt;"",EDATE($D78,Milestones!$AA$32)&gt;=$T78),$W78,IF(AND($S78&lt;&gt;"",EDATE($D78,Milestones!$AA$32)&gt;=$S78),$V78,$U78)))=Milestones!$AB$32),UPPER(TEXT(EDATE($D78,Milestones!$AA$32),"dd mmm yy"))&amp;" "&amp;Milestones!$AB$32&amp;" "&amp;Milestones!$AC$32&amp;";  ","")&amp;IF(AND(EDATE($D78,Milestones!$AA$33)&lt;=AsOfDate,IF($R78=0,$X78,IF(AND($T78&lt;&gt;"",EDATE($D78,Milestones!$AA$33)&gt;=$T78),$W78,IF(AND($S78&lt;&gt;"",EDATE($D78,Milestones!$AA$33)&gt;=$S78),$V78,$U78)))=Milestones!$AB$33),UPPER(TEXT(EDATE($D78,Milestones!$AA$33),"dd mmm yy"))&amp;" "&amp;Milestones!$AB$33&amp;" "&amp;Milestones!$AC$33&amp;";  ","")&amp;IF(AND(EDATE($D78,Milestones!$AA$34)&lt;=AsOfDate,IF($R78=0,$X78,IF(AND($T78&lt;&gt;"",EDATE($D78,Milestones!$AA$34)&gt;=$T78),$W78,IF(AND($S78&lt;&gt;"",EDATE($D78,Milestones!$AA$34)&gt;=$S78),$V78,$U78)))=Milestones!$AB$34),UPPER(TEXT(EDATE($D78,Milestones!$AA$34),"dd mmm yy"))&amp;" "&amp;Milestones!$AB$34&amp;" "&amp;Milestones!$AC$34&amp;";  ","")&amp;IF(AND(EDATE($D78,Milestones!$AA$35)&lt;=AsOfDate,IF($R78=0,$X78,IF(AND($T78&lt;&gt;"",EDATE($D78,Milestones!$AA$35)&gt;=$T78),$W78,IF(AND($S78&lt;&gt;"",EDATE($D78,Milestones!$AA$35)&gt;=$S78),$V78,$U78)))=Milestones!$AB$35),UPPER(TEXT(EDATE($D78,Milestones!$AA$35),"dd mmm yy"))&amp;" "&amp;Milestones!$AB$35&amp;" "&amp;Milestones!$AC$35&amp;";  ","")&amp;IF(AND(EDATE($D78,Milestones!$AA$36)&lt;=AsOfDate,IF($R78=0,$X78,IF(AND($T78&lt;&gt;"",EDATE($D78,Milestones!$AA$36)&gt;=$T78),$W78,IF(AND($S78&lt;&gt;"",EDATE($D78,Milestones!$AA$36)&gt;=$S78),$V78,$U78)))=Milestones!$AB$36),UPPER(TEXT(EDATE($D78,Milestones!$AA$36),"dd mmm yy"))&amp;" "&amp;Milestones!$AB$36&amp;" "&amp;Milestones!$AC$36&amp;";  ","")&amp;IF(AND(EDATE($D78,Milestones!$AA$37)&lt;=AsOfDate,IF($R78=0,$X78,IF(AND($T78&lt;&gt;"",EDATE($D78,Milestones!$AA$37)&gt;=$T78),$W78,IF(AND($S78&lt;&gt;"",EDATE($D78,Milestones!$AA$37)&gt;=$S78),$V78,$U78)))=Milestones!$AB$37),UPPER(TEXT(EDATE($D78,Milestones!$AA$37),"dd mmm yy"))&amp;" "&amp;Milestones!$AB$37&amp;" "&amp;Milestones!$AC$37&amp;";  ","")&amp;IF(AND(EDATE($D78,Milestones!$AA$38)&lt;=AsOfDate,IF($R78=0,$X78,IF(AND($T78&lt;&gt;"",EDATE($D78,Milestones!$AA$38)&gt;=$T78),$W78,IF(AND($S78&lt;&gt;"",EDATE($D78,Milestones!$AA$38)&gt;=$S78),$V78,$U78)))=Milestones!$AB$38),UPPER(TEXT(EDATE($D78,Milestones!$AA$38),"dd mmm yy"))&amp;" "&amp;Milestones!$AB$38&amp;" "&amp;Milestones!$AC$38&amp;";  ","")&amp;IF(AND(EDATE($D78,Milestones!$AA$39)&lt;=AsOfDate,IF($R78=0,$X78,IF(AND($T78&lt;&gt;"",EDATE($D78,Milestones!$AA$39)&gt;=$T78),$W78,IF(AND($S78&lt;&gt;"",EDATE($D78,Milestones!$AA$39)&gt;=$S78),$V78,$U78)))=Milestones!$AB$39),UPPER(TEXT(EDATE($D78,Milestones!$AA$39),"dd mmm yy"))&amp;" "&amp;Milestones!$AB$39&amp;" "&amp;Milestones!$AC$39&amp;";  ",""))</f>
        <v/>
      </c>
      <c r="J78" s="0" t="str">
        <f aca="false">IF(OR($A78="",$D78=""),"",IF(AND(EDATE($D78,Milestones!$AA$40)&lt;=AsOfDate,IF($R78=0,$X78,IF(AND($T78&lt;&gt;"",EDATE($D78,Milestones!$AA$40)&gt;=$T78),$W78,IF(AND($S78&lt;&gt;"",EDATE($D78,Milestones!$AA$40)&gt;=$S78),$V78,$U78)))=Milestones!$AB$40),UPPER(TEXT(EDATE($D78,Milestones!$AA$40),"dd mmm yy"))&amp;" "&amp;Milestones!$AB$40&amp;" "&amp;Milestones!$AC$40&amp;";  ","")&amp;IF(AND(EDATE($D78,Milestones!$AA$41)&lt;=AsOfDate,IF($R78=0,$X78,IF(AND($T78&lt;&gt;"",EDATE($D78,Milestones!$AA$41)&gt;=$T78),$W78,IF(AND($S78&lt;&gt;"",EDATE($D78,Milestones!$AA$41)&gt;=$S78),$V78,$U78)))=Milestones!$AB$41),UPPER(TEXT(EDATE($D78,Milestones!$AA$41),"dd mmm yy"))&amp;" "&amp;Milestones!$AB$41&amp;" "&amp;Milestones!$AC$41&amp;";  ","")&amp;IF(AND(EDATE($D78,Milestones!$AA$42)&lt;=AsOfDate,IF($R78=0,$X78,IF(AND($T78&lt;&gt;"",EDATE($D78,Milestones!$AA$42)&gt;=$T78),$W78,IF(AND($S78&lt;&gt;"",EDATE($D78,Milestones!$AA$42)&gt;=$S78),$V78,$U78)))=Milestones!$AB$42),UPPER(TEXT(EDATE($D78,Milestones!$AA$42),"dd mmm yy"))&amp;" "&amp;Milestones!$AB$42&amp;" "&amp;Milestones!$AC$42&amp;";  ","")&amp;IF(AND(EDATE($D78,Milestones!$AA$43)&lt;=AsOfDate,IF($R78=0,$X78,IF(AND($T78&lt;&gt;"",EDATE($D78,Milestones!$AA$43)&gt;=$T78),$W78,IF(AND($S78&lt;&gt;"",EDATE($D78,Milestones!$AA$43)&gt;=$S78),$V78,$U78)))=Milestones!$AB$43),UPPER(TEXT(EDATE($D78,Milestones!$AA$43),"dd mmm yy"))&amp;" "&amp;Milestones!$AB$43&amp;" "&amp;Milestones!$AC$43&amp;";  ","")&amp;IF(AND(EDATE($D78,Milestones!$AA$44)&lt;=AsOfDate,IF($R78=0,$X78,IF(AND($T78&lt;&gt;"",EDATE($D78,Milestones!$AA$44)&gt;=$T78),$W78,IF(AND($S78&lt;&gt;"",EDATE($D78,Milestones!$AA$44)&gt;=$S78),$V78,$U78)))=Milestones!$AB$44),UPPER(TEXT(EDATE($D78,Milestones!$AA$44),"dd mmm yy"))&amp;" "&amp;Milestones!$AB$44&amp;" "&amp;Milestones!$AC$44&amp;";  ","")&amp;IF(AND(EDATE($D78,Milestones!$AA$45)&lt;=AsOfDate,IF($R78=0,$X78,IF(AND($T78&lt;&gt;"",EDATE($D78,Milestones!$AA$45)&gt;=$T78),$W78,IF(AND($S78&lt;&gt;"",EDATE($D78,Milestones!$AA$45)&gt;=$S78),$V78,$U78)))=Milestones!$AB$45),UPPER(TEXT(EDATE($D78,Milestones!$AA$45),"dd mmm yy"))&amp;" "&amp;Milestones!$AB$45&amp;" "&amp;Milestones!$AC$45&amp;";  ","")&amp;IF(AND(EDATE($D78,Milestones!$AA$46)&lt;=AsOfDate,IF($R78=0,$X78,IF(AND($T78&lt;&gt;"",EDATE($D78,Milestones!$AA$46)&gt;=$T78),$W78,IF(AND($S78&lt;&gt;"",EDATE($D78,Milestones!$AA$46)&gt;=$S78),$V78,$U78)))=Milestones!$AB$46),UPPER(TEXT(EDATE($D78,Milestones!$AA$46),"dd mmm yy"))&amp;" "&amp;Milestones!$AB$46&amp;" "&amp;Milestones!$AC$46&amp;";  ","")&amp;IF(AND(EDATE($D78,Milestones!$AA$47)&lt;=AsOfDate,IF($R78=0,$X78,IF(AND($T78&lt;&gt;"",EDATE($D78,Milestones!$AA$47)&gt;=$T78),$W78,IF(AND($S78&lt;&gt;"",EDATE($D78,Milestones!$AA$47)&gt;=$S78),$V78,$U78)))=Milestones!$AB$47),UPPER(TEXT(EDATE($D78,Milestones!$AA$47),"dd mmm yy"))&amp;" "&amp;Milestones!$AB$47&amp;" "&amp;Milestones!$AC$47&amp;";  ","")&amp;IF(AND(EDATE($D78,Milestones!$AA$48)&lt;=AsOfDate,IF($R78=0,$X78,IF(AND($T78&lt;&gt;"",EDATE($D78,Milestones!$AA$48)&gt;=$T78),$W78,IF(AND($S78&lt;&gt;"",EDATE($D78,Milestones!$AA$48)&gt;=$S78),$V78,$U78)))=Milestones!$AB$48),UPPER(TEXT(EDATE($D78,Milestones!$AA$48),"dd mmm yy"))&amp;" "&amp;Milestones!$AB$48&amp;" "&amp;Milestones!$AC$48&amp;";  ","")&amp;IF(AND(EDATE($D78,Milestones!$AA$49)&lt;=AsOfDate,IF($R78=0,$X78,IF(AND($T78&lt;&gt;"",EDATE($D78,Milestones!$AA$49)&gt;=$T78),$W78,IF(AND($S78&lt;&gt;"",EDATE($D78,Milestones!$AA$49)&gt;=$S78),$V78,$U78)))=Milestones!$AB$49),UPPER(TEXT(EDATE($D78,Milestones!$AA$49),"dd mmm yy"))&amp;" "&amp;Milestones!$AB$49&amp;" "&amp;Milestones!$AC$49&amp;";  ","")&amp;IF(AND(EDATE($D78,Milestones!$AA$50)&lt;=AsOfDate,IF($R78=0,$X78,IF(AND($T78&lt;&gt;"",EDATE($D78,Milestones!$AA$50)&gt;=$T78),$W78,IF(AND($S78&lt;&gt;"",EDATE($D78,Milestones!$AA$50)&gt;=$S78),$V78,$U78)))=Milestones!$AB$50),UPPER(TEXT(EDATE($D78,Milestones!$AA$50),"dd mmm yy"))&amp;" "&amp;Milestones!$AB$50&amp;" "&amp;Milestones!$AC$50&amp;";  ","")&amp;IF(AND(EDATE($D78,Milestones!$AA$51)&lt;=AsOfDate,IF($R78=0,$X78,IF(AND($T78&lt;&gt;"",EDATE($D78,Milestones!$AA$51)&gt;=$T78),$W78,IF(AND($S78&lt;&gt;"",EDATE($D78,Milestones!$AA$51)&gt;=$S78),$V78,$U78)))=Milestones!$AB$51),UPPER(TEXT(EDATE($D78,Milestones!$AA$51),"dd mmm yy"))&amp;" "&amp;Milestones!$AB$51&amp;" "&amp;Milestones!$AC$51&amp;";  ","")&amp;IF(AND(EDATE($D78,Milestones!$AA$52)&lt;=AsOfDate,IF($R78=0,$X78,IF(AND($T78&lt;&gt;"",EDATE($D78,Milestones!$AA$52)&gt;=$T78),$W78,IF(AND($S78&lt;&gt;"",EDATE($D78,Milestones!$AA$52)&gt;=$S78),$V78,$U78)))=Milestones!$AB$52),UPPER(TEXT(EDATE($D78,Milestones!$AA$52),"dd mmm yy"))&amp;" "&amp;Milestones!$AB$52&amp;" "&amp;Milestones!$AC$52&amp;";  ","")&amp;IF(AND(EDATE($D78,Milestones!$AA$53)&lt;=AsOfDate,IF($R78=0,$X78,IF(AND($T78&lt;&gt;"",EDATE($D78,Milestones!$AA$53)&gt;=$T78),$W78,IF(AND($S78&lt;&gt;"",EDATE($D78,Milestones!$AA$53)&gt;=$S78),$V78,$U78)))=Milestones!$AB$53),UPPER(TEXT(EDATE($D78,Milestones!$AA$53),"dd mmm yy"))&amp;" "&amp;Milestones!$AB$53&amp;" "&amp;Milestones!$AC$53&amp;";  ","")&amp;IF(AND(EDATE($D78,Milestones!$AA$54)&lt;=AsOfDate,IF($R78=0,$X78,IF(AND($T78&lt;&gt;"",EDATE($D78,Milestones!$AA$54)&gt;=$T78),$W78,IF(AND($S78&lt;&gt;"",EDATE($D78,Milestones!$AA$54)&gt;=$S78),$V78,$U78)))=Milestones!$AB$54),UPPER(TEXT(EDATE($D78,Milestones!$AA$54),"dd mmm yy"))&amp;" "&amp;Milestones!$AB$54&amp;" "&amp;Milestones!$AC$54&amp;";  ","")&amp;IF(AND(EDATE($D78,Milestones!$AA$55)&lt;=AsOfDate,IF($R78=0,$X78,IF(AND($T78&lt;&gt;"",EDATE($D78,Milestones!$AA$55)&gt;=$T78),$W78,IF(AND($S78&lt;&gt;"",EDATE($D78,Milestones!$AA$55)&gt;=$S78),$V78,$U78)))=Milestones!$AB$55),UPPER(TEXT(EDATE($D78,Milestones!$AA$55),"dd mmm yy"))&amp;" "&amp;Milestones!$AB$55&amp;" "&amp;Milestones!$AC$55&amp;";  ","")&amp;IF(AND(EDATE($D78,Milestones!$AA$56)&lt;=AsOfDate,IF($R78=0,$X78,IF(AND($T78&lt;&gt;"",EDATE($D78,Milestones!$AA$56)&gt;=$T78),$W78,IF(AND($S78&lt;&gt;"",EDATE($D78,Milestones!$AA$56)&gt;=$S78),$V78,$U78)))=Milestones!$AB$56),UPPER(TEXT(EDATE($D78,Milestones!$AA$56),"dd mmm yy"))&amp;" "&amp;Milestones!$AB$56&amp;" "&amp;Milestones!$AC$56&amp;";  ","")&amp;IF(AND(EDATE($D78,Milestones!$AA$57)&lt;=AsOfDate,IF($R78=0,$X78,IF(AND($T78&lt;&gt;"",EDATE($D78,Milestones!$AA$57)&gt;=$T78),$W78,IF(AND($S78&lt;&gt;"",EDATE($D78,Milestones!$AA$57)&gt;=$S78),$V78,$U78)))=Milestones!$AB$57),UPPER(TEXT(EDATE($D78,Milestones!$AA$57),"dd mmm yy"))&amp;" "&amp;Milestones!$AB$57&amp;" "&amp;Milestones!$AC$57&amp;";  ","")&amp;IF(AND(EDATE($D78,Milestones!$AA$58)&lt;=AsOfDate,IF($R78=0,$X78,IF(AND($T78&lt;&gt;"",EDATE($D78,Milestones!$AA$58)&gt;=$T78),$W78,IF(AND($S78&lt;&gt;"",EDATE($D78,Milestones!$AA$58)&gt;=$S78),$V78,$U78)))=Milestones!$AB$58),UPPER(TEXT(EDATE($D78,Milestones!$AA$58),"dd mmm yy"))&amp;" "&amp;Milestones!$AB$58&amp;" "&amp;Milestones!$AC$58&amp;";  ","")&amp;IF(AND(EDATE($D78,Milestones!$AA$59)&lt;=AsOfDate,IF($R78=0,$X78,IF(AND($T78&lt;&gt;"",EDATE($D78,Milestones!$AA$59)&gt;=$T78),$W78,IF(AND($S78&lt;&gt;"",EDATE($D78,Milestones!$AA$59)&gt;=$S78),$V78,$U78)))=Milestones!$AB$59),UPPER(TEXT(EDATE($D78,Milestones!$AA$59),"dd mmm yy"))&amp;" "&amp;Milestones!$AB$59&amp;" "&amp;Milestones!$AC$59&amp;";  ",""))</f>
        <v/>
      </c>
      <c r="K78" s="0" t="str">
        <f aca="false">IF(OR($A78="",$D78=""),"",IF(AND(EDATE($D78,Milestones!$AA$60)&lt;=AsOfDate,IF($R78=0,$X78,IF(AND($T78&lt;&gt;"",EDATE($D78,Milestones!$AA$60)&gt;=$T78),$W78,IF(AND($S78&lt;&gt;"",EDATE($D78,Milestones!$AA$60)&gt;=$S78),$V78,$U78)))=Milestones!$AB$60),UPPER(TEXT(EDATE($D78,Milestones!$AA$60),"dd mmm yy"))&amp;" "&amp;Milestones!$AB$60&amp;" "&amp;Milestones!$AC$60&amp;";  ","")&amp;IF(AND(EDATE($D78,Milestones!$AA$61)&lt;=AsOfDate,IF($R78=0,$X78,IF(AND($T78&lt;&gt;"",EDATE($D78,Milestones!$AA$61)&gt;=$T78),$W78,IF(AND($S78&lt;&gt;"",EDATE($D78,Milestones!$AA$61)&gt;=$S78),$V78,$U78)))=Milestones!$AB$61),UPPER(TEXT(EDATE($D78,Milestones!$AA$61),"dd mmm yy"))&amp;" "&amp;Milestones!$AB$61&amp;" "&amp;Milestones!$AC$61&amp;";  ","")&amp;IF(AND(EDATE($D78,Milestones!$AA$62)&lt;=AsOfDate,IF($R78=0,$X78,IF(AND($T78&lt;&gt;"",EDATE($D78,Milestones!$AA$62)&gt;=$T78),$W78,IF(AND($S78&lt;&gt;"",EDATE($D78,Milestones!$AA$62)&gt;=$S78),$V78,$U78)))=Milestones!$AB$62),UPPER(TEXT(EDATE($D78,Milestones!$AA$62),"dd mmm yy"))&amp;" "&amp;Milestones!$AB$62&amp;" "&amp;Milestones!$AC$62&amp;";  ","")&amp;IF(AND(EDATE($D78,Milestones!$AA$63)&lt;=AsOfDate,IF($R78=0,$X78,IF(AND($T78&lt;&gt;"",EDATE($D78,Milestones!$AA$63)&gt;=$T78),$W78,IF(AND($S78&lt;&gt;"",EDATE($D78,Milestones!$AA$63)&gt;=$S78),$V78,$U78)))=Milestones!$AB$63),UPPER(TEXT(EDATE($D78,Milestones!$AA$63),"dd mmm yy"))&amp;" "&amp;Milestones!$AB$63&amp;" "&amp;Milestones!$AC$63&amp;";  ","")&amp;IF(AND(EDATE($D78,Milestones!$AA$64)&lt;=AsOfDate,IF($R78=0,$X78,IF(AND($T78&lt;&gt;"",EDATE($D78,Milestones!$AA$64)&gt;=$T78),$W78,IF(AND($S78&lt;&gt;"",EDATE($D78,Milestones!$AA$64)&gt;=$S78),$V78,$U78)))=Milestones!$AB$64),UPPER(TEXT(EDATE($D78,Milestones!$AA$64),"dd mmm yy"))&amp;" "&amp;Milestones!$AB$64&amp;" "&amp;Milestones!$AC$64&amp;";  ","")&amp;IF(AND(EDATE($D78,Milestones!$AA$65)&lt;=AsOfDate,IF($R78=0,$X78,IF(AND($T78&lt;&gt;"",EDATE($D78,Milestones!$AA$65)&gt;=$T78),$W78,IF(AND($S78&lt;&gt;"",EDATE($D78,Milestones!$AA$65)&gt;=$S78),$V78,$U78)))=Milestones!$AB$65),UPPER(TEXT(EDATE($D78,Milestones!$AA$65),"dd mmm yy"))&amp;" "&amp;Milestones!$AB$65&amp;" "&amp;Milestones!$AC$65&amp;";  ","")&amp;IF(AND(EDATE($D78,Milestones!$AA$66)&lt;=AsOfDate,IF($R78=0,$X78,IF(AND($T78&lt;&gt;"",EDATE($D78,Milestones!$AA$66)&gt;=$T78),$W78,IF(AND($S78&lt;&gt;"",EDATE($D78,Milestones!$AA$66)&gt;=$S78),$V78,$U78)))=Milestones!$AB$66),UPPER(TEXT(EDATE($D78,Milestones!$AA$66),"dd mmm yy"))&amp;" "&amp;Milestones!$AB$66&amp;" "&amp;Milestones!$AC$66&amp;";  ","")&amp;IF(AND(EDATE($D78,Milestones!$AA$67)&lt;=AsOfDate,IF($R78=0,$X78,IF(AND($T78&lt;&gt;"",EDATE($D78,Milestones!$AA$67)&gt;=$T78),$W78,IF(AND($S78&lt;&gt;"",EDATE($D78,Milestones!$AA$67)&gt;=$S78),$V78,$U78)))=Milestones!$AB$67),UPPER(TEXT(EDATE($D78,Milestones!$AA$67),"dd mmm yy"))&amp;" "&amp;Milestones!$AB$67&amp;" "&amp;Milestones!$AC$67&amp;";  ","")&amp;IF(AND(EDATE($D78,Milestones!$AA$68)&lt;=AsOfDate,IF($R78=0,$X78,IF(AND($T78&lt;&gt;"",EDATE($D78,Milestones!$AA$68)&gt;=$T78),$W78,IF(AND($S78&lt;&gt;"",EDATE($D78,Milestones!$AA$68)&gt;=$S78),$V78,$U78)))=Milestones!$AB$68),UPPER(TEXT(EDATE($D78,Milestones!$AA$68),"dd mmm yy"))&amp;" "&amp;Milestones!$AB$68&amp;" "&amp;Milestones!$AC$68&amp;";  ","")&amp;IF(AND(EDATE($D78,Milestones!$AA$69)&lt;=AsOfDate,IF($R78=0,$X78,IF(AND($T78&lt;&gt;"",EDATE($D78,Milestones!$AA$69)&gt;=$T78),$W78,IF(AND($S78&lt;&gt;"",EDATE($D78,Milestones!$AA$69)&gt;=$S78),$V78,$U78)))=Milestones!$AB$69),UPPER(TEXT(EDATE($D78,Milestones!$AA$69),"dd mmm yy"))&amp;" "&amp;Milestones!$AB$69&amp;" "&amp;Milestones!$AC$69&amp;";  ","")&amp;IF(AND(EDATE($D78,Milestones!$AA$70)&lt;=AsOfDate,IF($R78=0,$X78,IF(AND($T78&lt;&gt;"",EDATE($D78,Milestones!$AA$70)&gt;=$T78),$W78,IF(AND($S78&lt;&gt;"",EDATE($D78,Milestones!$AA$70)&gt;=$S78),$V78,$U78)))=Milestones!$AB$70),UPPER(TEXT(EDATE($D78,Milestones!$AA$70),"dd mmm yy"))&amp;" "&amp;Milestones!$AB$70&amp;" "&amp;Milestones!$AC$70&amp;";  ","")&amp;IF(AND(EDATE($D78,Milestones!$AA$71)&lt;=AsOfDate,IF($R78=0,$X78,IF(AND($T78&lt;&gt;"",EDATE($D78,Milestones!$AA$71)&gt;=$T78),$W78,IF(AND($S78&lt;&gt;"",EDATE($D78,Milestones!$AA$71)&gt;=$S78),$V78,$U78)))=Milestones!$AB$71),UPPER(TEXT(EDATE($D78,Milestones!$AA$71),"dd mmm yy"))&amp;" "&amp;Milestones!$AB$71&amp;" "&amp;Milestones!$AC$71&amp;";  ","")&amp;IF(AND(EDATE($D78,Milestones!$AA$72)&lt;=AsOfDate,IF($R78=0,$X78,IF(AND($T78&lt;&gt;"",EDATE($D78,Milestones!$AA$72)&gt;=$T78),$W78,IF(AND($S78&lt;&gt;"",EDATE($D78,Milestones!$AA$72)&gt;=$S78),$V78,$U78)))=Milestones!$AB$72),UPPER(TEXT(EDATE($D78,Milestones!$AA$72),"dd mmm yy"))&amp;" "&amp;Milestones!$AB$72&amp;" "&amp;Milestones!$AC$72&amp;";  ","")&amp;IF(AND(EDATE($D78,Milestones!$AA$73)&lt;=AsOfDate,IF($R78=0,$X78,IF(AND($T78&lt;&gt;"",EDATE($D78,Milestones!$AA$73)&gt;=$T78),$W78,IF(AND($S78&lt;&gt;"",EDATE($D78,Milestones!$AA$73)&gt;=$S78),$V78,$U78)))=Milestones!$AB$73),UPPER(TEXT(EDATE($D78,Milestones!$AA$73),"dd mmm yy"))&amp;" "&amp;Milestones!$AB$73&amp;" "&amp;Milestones!$AC$73&amp;";  ","")&amp;IF(AND(EDATE($D78,Milestones!$AA$74)&lt;=AsOfDate,IF($R78=0,$X78,IF(AND($T78&lt;&gt;"",EDATE($D78,Milestones!$AA$74)&gt;=$T78),$W78,IF(AND($S78&lt;&gt;"",EDATE($D78,Milestones!$AA$74)&gt;=$S78),$V78,$U78)))=Milestones!$AB$74),UPPER(TEXT(EDATE($D78,Milestones!$AA$74),"dd mmm yy"))&amp;" "&amp;Milestones!$AB$74&amp;" "&amp;Milestones!$AC$74&amp;";  ","")&amp;IF(AND(EDATE($D78,Milestones!$AA$75)&lt;=AsOfDate,IF($R78=0,$X78,IF(AND($T78&lt;&gt;"",EDATE($D78,Milestones!$AA$75)&gt;=$T78),$W78,IF(AND($S78&lt;&gt;"",EDATE($D78,Milestones!$AA$75)&gt;=$S78),$V78,$U78)))=Milestones!$AB$75),UPPER(TEXT(EDATE($D78,Milestones!$AA$75),"dd mmm yy"))&amp;" "&amp;Milestones!$AB$75&amp;" "&amp;Milestones!$AC$75&amp;";  ","")&amp;IF(AND(EDATE($D78,Milestones!$AA$76)&lt;=AsOfDate,IF($R78=0,$X78,IF(AND($T78&lt;&gt;"",EDATE($D78,Milestones!$AA$76)&gt;=$T78),$W78,IF(AND($S78&lt;&gt;"",EDATE($D78,Milestones!$AA$76)&gt;=$S78),$V78,$U78)))=Milestones!$AB$76),UPPER(TEXT(EDATE($D78,Milestones!$AA$76),"dd mmm yy"))&amp;" "&amp;Milestones!$AB$76&amp;" "&amp;Milestones!$AC$76&amp;";  ","")&amp;IF(AND(EDATE($D78,Milestones!$AA$77)&lt;=AsOfDate,IF($R78=0,$X78,IF(AND($T78&lt;&gt;"",EDATE($D78,Milestones!$AA$77)&gt;=$T78),$W78,IF(AND($S78&lt;&gt;"",EDATE($D78,Milestones!$AA$77)&gt;=$S78),$V78,$U78)))=Milestones!$AB$77),UPPER(TEXT(EDATE($D78,Milestones!$AA$77),"dd mmm yy"))&amp;" "&amp;Milestones!$AB$77&amp;" "&amp;Milestones!$AC$77&amp;";  ","")&amp;IF(AND(EDATE($D78,Milestones!$AA$78)&lt;=AsOfDate,IF($R78=0,$X78,IF(AND($T78&lt;&gt;"",EDATE($D78,Milestones!$AA$78)&gt;=$T78),$W78,IF(AND($S78&lt;&gt;"",EDATE($D78,Milestones!$AA$78)&gt;=$S78),$V78,$U78)))=Milestones!$AB$78),UPPER(TEXT(EDATE($D78,Milestones!$AA$78),"dd mmm yy"))&amp;" "&amp;Milestones!$AB$78&amp;" "&amp;Milestones!$AC$78&amp;";  ","")&amp;IF(AND(EDATE($D78,Milestones!$AA$79)&lt;=AsOfDate,IF($R78=0,$X78,IF(AND($T78&lt;&gt;"",EDATE($D78,Milestones!$AA$79)&gt;=$T78),$W78,IF(AND($S78&lt;&gt;"",EDATE($D78,Milestones!$AA$79)&gt;=$S78),$V78,$U78)))=Milestones!$AB$79),UPPER(TEXT(EDATE($D78,Milestones!$AA$79),"dd mmm yy"))&amp;" "&amp;Milestones!$AB$79&amp;" "&amp;Milestones!$AC$79&amp;";  ",""))</f>
        <v/>
      </c>
      <c r="L78" s="0" t="str">
        <f aca="false">IF(OR($A78="",$D78=""),"",IF(AND(EDATE($D78,Milestones!$AA$80)&lt;=AsOfDate,IF($R78=0,$X78,IF(AND($T78&lt;&gt;"",EDATE($D78,Milestones!$AA$80)&gt;=$T78),$W78,IF(AND($S78&lt;&gt;"",EDATE($D78,Milestones!$AA$80)&gt;=$S78),$V78,$U78)))=Milestones!$AB$80),UPPER(TEXT(EDATE($D78,Milestones!$AA$80),"dd mmm yy"))&amp;" "&amp;Milestones!$AB$80&amp;" "&amp;Milestones!$AC$80&amp;";  ","")&amp;IF(AND(EDATE($D78,Milestones!$AA$81)&lt;=AsOfDate,IF($R78=0,$X78,IF(AND($T78&lt;&gt;"",EDATE($D78,Milestones!$AA$81)&gt;=$T78),$W78,IF(AND($S78&lt;&gt;"",EDATE($D78,Milestones!$AA$81)&gt;=$S78),$V78,$U78)))=Milestones!$AB$81),UPPER(TEXT(EDATE($D78,Milestones!$AA$81),"dd mmm yy"))&amp;" "&amp;Milestones!$AB$81&amp;" "&amp;Milestones!$AC$81&amp;";  ","")&amp;IF(AND(EDATE($D78,Milestones!$AA$82)&lt;=AsOfDate,IF($R78=0,$X78,IF(AND($T78&lt;&gt;"",EDATE($D78,Milestones!$AA$82)&gt;=$T78),$W78,IF(AND($S78&lt;&gt;"",EDATE($D78,Milestones!$AA$82)&gt;=$S78),$V78,$U78)))=Milestones!$AB$82),UPPER(TEXT(EDATE($D78,Milestones!$AA$82),"dd mmm yy"))&amp;" "&amp;Milestones!$AB$82&amp;" "&amp;Milestones!$AC$82&amp;";  ","")&amp;IF(AND(EDATE($D78,Milestones!$AA$83)&lt;=AsOfDate,IF($R78=0,$X78,IF(AND($T78&lt;&gt;"",EDATE($D78,Milestones!$AA$83)&gt;=$T78),$W78,IF(AND($S78&lt;&gt;"",EDATE($D78,Milestones!$AA$83)&gt;=$S78),$V78,$U78)))=Milestones!$AB$83),UPPER(TEXT(EDATE($D78,Milestones!$AA$83),"dd mmm yy"))&amp;" "&amp;Milestones!$AB$83&amp;" "&amp;Milestones!$AC$83&amp;";  ","")&amp;IF(AND(EDATE($D78,Milestones!$AA$84)&lt;=AsOfDate,IF($R78=0,$X78,IF(AND($T78&lt;&gt;"",EDATE($D78,Milestones!$AA$84)&gt;=$T78),$W78,IF(AND($S78&lt;&gt;"",EDATE($D78,Milestones!$AA$84)&gt;=$S78),$V78,$U78)))=Milestones!$AB$84),UPPER(TEXT(EDATE($D78,Milestones!$AA$84),"dd mmm yy"))&amp;" "&amp;Milestones!$AB$84&amp;" "&amp;Milestones!$AC$84&amp;";  ","")&amp;IF(AND(EDATE($D78,Milestones!$AA$85)&lt;=AsOfDate,IF($R78=0,$X78,IF(AND($T78&lt;&gt;"",EDATE($D78,Milestones!$AA$85)&gt;=$T78),$W78,IF(AND($S78&lt;&gt;"",EDATE($D78,Milestones!$AA$85)&gt;=$S78),$V78,$U78)))=Milestones!$AB$85),UPPER(TEXT(EDATE($D78,Milestones!$AA$85),"dd mmm yy"))&amp;" "&amp;Milestones!$AB$85&amp;" "&amp;Milestones!$AC$85&amp;";  ","")&amp;IF(AND(EDATE($D78,Milestones!$AA$86)&lt;=AsOfDate,IF($R78=0,$X78,IF(AND($T78&lt;&gt;"",EDATE($D78,Milestones!$AA$86)&gt;=$T78),$W78,IF(AND($S78&lt;&gt;"",EDATE($D78,Milestones!$AA$86)&gt;=$S78),$V78,$U78)))=Milestones!$AB$86),UPPER(TEXT(EDATE($D78,Milestones!$AA$86),"dd mmm yy"))&amp;" "&amp;Milestones!$AB$86&amp;" "&amp;Milestones!$AC$86&amp;";  ","")&amp;IF(AND(EDATE($D78,Milestones!$AA$87)&lt;=AsOfDate,IF($R78=0,$X78,IF(AND($T78&lt;&gt;"",EDATE($D78,Milestones!$AA$87)&gt;=$T78),$W78,IF(AND($S78&lt;&gt;"",EDATE($D78,Milestones!$AA$87)&gt;=$S78),$V78,$U78)))=Milestones!$AB$87),UPPER(TEXT(EDATE($D78,Milestones!$AA$87),"dd mmm yy"))&amp;" "&amp;Milestones!$AB$87&amp;" "&amp;Milestones!$AC$87&amp;";  ","")&amp;IF(AND(EDATE($D78,Milestones!$AA$88)&lt;=AsOfDate,IF($R78=0,$X78,IF(AND($T78&lt;&gt;"",EDATE($D78,Milestones!$AA$88)&gt;=$T78),$W78,IF(AND($S78&lt;&gt;"",EDATE($D78,Milestones!$AA$88)&gt;=$S78),$V78,$U78)))=Milestones!$AB$88),UPPER(TEXT(EDATE($D78,Milestones!$AA$88),"dd mmm yy"))&amp;" "&amp;Milestones!$AB$88&amp;" "&amp;Milestones!$AC$88&amp;";  ","")&amp;IF(AND(EDATE($D78,Milestones!$AA$89)&lt;=AsOfDate,IF($R78=0,$X78,IF(AND($T78&lt;&gt;"",EDATE($D78,Milestones!$AA$89)&gt;=$T78),$W78,IF(AND($S78&lt;&gt;"",EDATE($D78,Milestones!$AA$89)&gt;=$S78),$V78,$U78)))=Milestones!$AB$89),UPPER(TEXT(EDATE($D78,Milestones!$AA$89),"dd mmm yy"))&amp;" "&amp;Milestones!$AB$89&amp;" "&amp;Milestones!$AC$89&amp;";  ","")&amp;IF(AND(EDATE($D78,Milestones!$AA$90)&lt;=AsOfDate,IF($R78=0,$X78,IF(AND($T78&lt;&gt;"",EDATE($D78,Milestones!$AA$90)&gt;=$T78),$W78,IF(AND($S78&lt;&gt;"",EDATE($D78,Milestones!$AA$90)&gt;=$S78),$V78,$U78)))=Milestones!$AB$90),UPPER(TEXT(EDATE($D78,Milestones!$AA$90),"dd mmm yy"))&amp;" "&amp;Milestones!$AB$90&amp;" "&amp;Milestones!$AC$90&amp;";  ","")&amp;IF(AND(EDATE($D78,Milestones!$AA$91)&lt;=AsOfDate,IF($R78=0,$X78,IF(AND($T78&lt;&gt;"",EDATE($D78,Milestones!$AA$91)&gt;=$T78),$W78,IF(AND($S78&lt;&gt;"",EDATE($D78,Milestones!$AA$91)&gt;=$S78),$V78,$U78)))=Milestones!$AB$91),UPPER(TEXT(EDATE($D78,Milestones!$AA$91),"dd mmm yy"))&amp;" "&amp;Milestones!$AB$91&amp;" "&amp;Milestones!$AC$91&amp;";  ","")&amp;IF(AND(EDATE($D78,Milestones!$AA$92)&lt;=AsOfDate,IF($R78=0,$X78,IF(AND($T78&lt;&gt;"",EDATE($D78,Milestones!$AA$92)&gt;=$T78),$W78,IF(AND($S78&lt;&gt;"",EDATE($D78,Milestones!$AA$92)&gt;=$S78),$V78,$U78)))=Milestones!$AB$92),UPPER(TEXT(EDATE($D78,Milestones!$AA$92),"dd mmm yy"))&amp;" "&amp;Milestones!$AB$92&amp;" "&amp;Milestones!$AC$92&amp;";  ","")&amp;IF(AND(EDATE($D78,Milestones!$AA$93)&lt;=AsOfDate,IF($R78=0,$X78,IF(AND($T78&lt;&gt;"",EDATE($D78,Milestones!$AA$93)&gt;=$T78),$W78,IF(AND($S78&lt;&gt;"",EDATE($D78,Milestones!$AA$93)&gt;=$S78),$V78,$U78)))=Milestones!$AB$93),UPPER(TEXT(EDATE($D78,Milestones!$AA$93),"dd mmm yy"))&amp;" "&amp;Milestones!$AB$93&amp;" "&amp;Milestones!$AC$93&amp;";  ","")&amp;IF(AND(EDATE($D78,Milestones!$AA$94)&lt;=AsOfDate,IF($R78=0,$X78,IF(AND($T78&lt;&gt;"",EDATE($D78,Milestones!$AA$94)&gt;=$T78),$W78,IF(AND($S78&lt;&gt;"",EDATE($D78,Milestones!$AA$94)&gt;=$S78),$V78,$U78)))=Milestones!$AB$94),UPPER(TEXT(EDATE($D78,Milestones!$AA$94),"dd mmm yy"))&amp;" "&amp;Milestones!$AB$94&amp;" "&amp;Milestones!$AC$94&amp;";  ","")&amp;IF(AND(EDATE($D78,Milestones!$AA$95)&lt;=AsOfDate,IF($R78=0,$X78,IF(AND($T78&lt;&gt;"",EDATE($D78,Milestones!$AA$95)&gt;=$T78),$W78,IF(AND($S78&lt;&gt;"",EDATE($D78,Milestones!$AA$95)&gt;=$S78),$V78,$U78)))=Milestones!$AB$95),UPPER(TEXT(EDATE($D78,Milestones!$AA$95),"dd mmm yy"))&amp;" "&amp;Milestones!$AB$95&amp;" "&amp;Milestones!$AC$95&amp;";  ","")&amp;IF(AND(EDATE($D78,Milestones!$AA$96)&lt;=AsOfDate,IF($R78=0,$X78,IF(AND($T78&lt;&gt;"",EDATE($D78,Milestones!$AA$96)&gt;=$T78),$W78,IF(AND($S78&lt;&gt;"",EDATE($D78,Milestones!$AA$96)&gt;=$S78),$V78,$U78)))=Milestones!$AB$96),UPPER(TEXT(EDATE($D78,Milestones!$AA$96),"dd mmm yy"))&amp;" "&amp;Milestones!$AB$96&amp;" "&amp;Milestones!$AC$96&amp;";  ","")&amp;IF(AND(EDATE($D78,Milestones!$AA$97)&lt;=AsOfDate,IF($R78=0,$X78,IF(AND($T78&lt;&gt;"",EDATE($D78,Milestones!$AA$97)&gt;=$T78),$W78,IF(AND($S78&lt;&gt;"",EDATE($D78,Milestones!$AA$97)&gt;=$S78),$V78,$U78)))=Milestones!$AB$97),UPPER(TEXT(EDATE($D78,Milestones!$AA$97),"dd mmm yy"))&amp;" "&amp;Milestones!$AB$97&amp;" "&amp;Milestones!$AC$97&amp;";  ","")&amp;IF(AND(EDATE($D78,Milestones!$AA$98)&lt;=AsOfDate,IF($R78=0,$X78,IF(AND($T78&lt;&gt;"",EDATE($D78,Milestones!$AA$98)&gt;=$T78),$W78,IF(AND($S78&lt;&gt;"",EDATE($D78,Milestones!$AA$98)&gt;=$S78),$V78,$U78)))=Milestones!$AB$98),UPPER(TEXT(EDATE($D78,Milestones!$AA$98),"dd mmm yy"))&amp;" "&amp;Milestones!$AB$98&amp;" "&amp;Milestones!$AC$98&amp;";  ","")&amp;IF(AND(EDATE($D78,Milestones!$AA$99)&lt;=AsOfDate,IF($R78=0,$X78,IF(AND($T78&lt;&gt;"",EDATE($D78,Milestones!$AA$99)&gt;=$T78),$W78,IF(AND($S78&lt;&gt;"",EDATE($D78,Milestones!$AA$99)&gt;=$S78),$V78,$U78)))=Milestones!$AB$99),UPPER(TEXT(EDATE($D78,Milestones!$AA$99),"dd mmm yy"))&amp;" "&amp;Milestones!$AB$99&amp;" "&amp;Milestones!$AC$99&amp;";  ",""))</f>
        <v/>
      </c>
      <c r="M78" s="0" t="str">
        <f aca="false">IF(OR($A78="",$D78=""),"",IF(AND(EDATE($D78,Milestones!$AA$100)&lt;=AsOfDate,IF($R78=0,$X78,IF(AND($T78&lt;&gt;"",EDATE($D78,Milestones!$AA$100)&gt;=$T78),$W78,IF(AND($S78&lt;&gt;"",EDATE($D78,Milestones!$AA$100)&gt;=$S78),$V78,$U78)))=Milestones!$AB$100),UPPER(TEXT(EDATE($D78,Milestones!$AA$100),"dd mmm yy"))&amp;" "&amp;Milestones!$AB$100&amp;" "&amp;Milestones!$AC$100&amp;";  ","")&amp;IF(AND(EDATE($D78,Milestones!$AA$101)&lt;=AsOfDate,IF($R78=0,$X78,IF(AND($T78&lt;&gt;"",EDATE($D78,Milestones!$AA$101)&gt;=$T78),$W78,IF(AND($S78&lt;&gt;"",EDATE($D78,Milestones!$AA$101)&gt;=$S78),$V78,$U78)))=Milestones!$AB$101),UPPER(TEXT(EDATE($D78,Milestones!$AA$101),"dd mmm yy"))&amp;" "&amp;Milestones!$AB$101&amp;" "&amp;Milestones!$AC$101&amp;";  ","")&amp;IF(AND(EDATE($D78,Milestones!$AA$102)&lt;=AsOfDate,IF($R78=0,$X78,IF(AND($T78&lt;&gt;"",EDATE($D78,Milestones!$AA$102)&gt;=$T78),$W78,IF(AND($S78&lt;&gt;"",EDATE($D78,Milestones!$AA$102)&gt;=$S78),$V78,$U78)))=Milestones!$AB$102),UPPER(TEXT(EDATE($D78,Milestones!$AA$102),"dd mmm yy"))&amp;" "&amp;Milestones!$AB$102&amp;" "&amp;Milestones!$AC$102&amp;";  ","")&amp;IF(AND(EDATE($D78,Milestones!$AA$103)&lt;=AsOfDate,IF($R78=0,$X78,IF(AND($T78&lt;&gt;"",EDATE($D78,Milestones!$AA$103)&gt;=$T78),$W78,IF(AND($S78&lt;&gt;"",EDATE($D78,Milestones!$AA$103)&gt;=$S78),$V78,$U78)))=Milestones!$AB$103),UPPER(TEXT(EDATE($D78,Milestones!$AA$103),"dd mmm yy"))&amp;" "&amp;Milestones!$AB$103&amp;" "&amp;Milestones!$AC$103&amp;";  ","")&amp;IF(AND(EDATE($D78,Milestones!$AA$104)&lt;=AsOfDate,IF($R78=0,$X78,IF(AND($T78&lt;&gt;"",EDATE($D78,Milestones!$AA$104)&gt;=$T78),$W78,IF(AND($S78&lt;&gt;"",EDATE($D78,Milestones!$AA$104)&gt;=$S78),$V78,$U78)))=Milestones!$AB$104),UPPER(TEXT(EDATE($D78,Milestones!$AA$104),"dd mmm yy"))&amp;" "&amp;Milestones!$AB$104&amp;" "&amp;Milestones!$AC$104&amp;";  ","")&amp;IF(AND(EDATE($D78,Milestones!$AA$105)&lt;=AsOfDate,IF($R78=0,$X78,IF(AND($T78&lt;&gt;"",EDATE($D78,Milestones!$AA$105)&gt;=$T78),$W78,IF(AND($S78&lt;&gt;"",EDATE($D78,Milestones!$AA$105)&gt;=$S78),$V78,$U78)))=Milestones!$AB$105),UPPER(TEXT(EDATE($D78,Milestones!$AA$105),"dd mmm yy"))&amp;" "&amp;Milestones!$AB$105&amp;" "&amp;Milestones!$AC$105&amp;";  ","")&amp;IF(AND(EDATE($D78,Milestones!$AA$106)&lt;=AsOfDate,IF($R78=0,$X78,IF(AND($T78&lt;&gt;"",EDATE($D78,Milestones!$AA$106)&gt;=$T78),$W78,IF(AND($S78&lt;&gt;"",EDATE($D78,Milestones!$AA$106)&gt;=$S78),$V78,$U78)))=Milestones!$AB$106),UPPER(TEXT(EDATE($D78,Milestones!$AA$106),"dd mmm yy"))&amp;" "&amp;Milestones!$AB$106&amp;" "&amp;Milestones!$AC$106&amp;";  ","")&amp;IF(AND(EDATE($D78,Milestones!$AA$107)&lt;=AsOfDate,IF($R78=0,$X78,IF(AND($T78&lt;&gt;"",EDATE($D78,Milestones!$AA$107)&gt;=$T78),$W78,IF(AND($S78&lt;&gt;"",EDATE($D78,Milestones!$AA$107)&gt;=$S78),$V78,$U78)))=Milestones!$AB$107),UPPER(TEXT(EDATE($D78,Milestones!$AA$107),"dd mmm yy"))&amp;" "&amp;Milestones!$AB$107&amp;" "&amp;Milestones!$AC$107&amp;";  ","")&amp;IF(AND(EDATE($D78,Milestones!$AA$108)&lt;=AsOfDate,IF($R78=0,$X78,IF(AND($T78&lt;&gt;"",EDATE($D78,Milestones!$AA$108)&gt;=$T78),$W78,IF(AND($S78&lt;&gt;"",EDATE($D78,Milestones!$AA$108)&gt;=$S78),$V78,$U78)))=Milestones!$AB$108),UPPER(TEXT(EDATE($D78,Milestones!$AA$108),"dd mmm yy"))&amp;" "&amp;Milestones!$AB$108&amp;" "&amp;Milestones!$AC$108&amp;";  ","")&amp;IF(AND(EDATE($D78,Milestones!$AA$109)&lt;=AsOfDate,IF($R78=0,$X78,IF(AND($T78&lt;&gt;"",EDATE($D78,Milestones!$AA$109)&gt;=$T78),$W78,IF(AND($S78&lt;&gt;"",EDATE($D78,Milestones!$AA$109)&gt;=$S78),$V78,$U78)))=Milestones!$AB$109),UPPER(TEXT(EDATE($D78,Milestones!$AA$109),"dd mmm yy"))&amp;" "&amp;Milestones!$AB$109&amp;" "&amp;Milestones!$AC$109&amp;";  ","")&amp;IF(AND(EDATE($D78,Milestones!$AA$110)&lt;=AsOfDate,IF($R78=0,$X78,IF(AND($T78&lt;&gt;"",EDATE($D78,Milestones!$AA$110)&gt;=$T78),$W78,IF(AND($S78&lt;&gt;"",EDATE($D78,Milestones!$AA$110)&gt;=$S78),$V78,$U78)))=Milestones!$AB$110),UPPER(TEXT(EDATE($D78,Milestones!$AA$110),"dd mmm yy"))&amp;" "&amp;Milestones!$AB$110&amp;" "&amp;Milestones!$AC$110&amp;";  ","")&amp;IF(AND(EDATE($D78,Milestones!$AA$111)&lt;=AsOfDate,IF($R78=0,$X78,IF(AND($T78&lt;&gt;"",EDATE($D78,Milestones!$AA$111)&gt;=$T78),$W78,IF(AND($S78&lt;&gt;"",EDATE($D78,Milestones!$AA$111)&gt;=$S78),$V78,$U78)))=Milestones!$AB$111),UPPER(TEXT(EDATE($D78,Milestones!$AA$111),"dd mmm yy"))&amp;" "&amp;Milestones!$AB$111&amp;" "&amp;Milestones!$AC$111&amp;";  ","")&amp;IF(AND(EDATE($D78,Milestones!$AA$112)&lt;=AsOfDate,IF($R78=0,$X78,IF(AND($T78&lt;&gt;"",EDATE($D78,Milestones!$AA$112)&gt;=$T78),$W78,IF(AND($S78&lt;&gt;"",EDATE($D78,Milestones!$AA$112)&gt;=$S78),$V78,$U78)))=Milestones!$AB$112),UPPER(TEXT(EDATE($D78,Milestones!$AA$112),"dd mmm yy"))&amp;" "&amp;Milestones!$AB$112&amp;" "&amp;Milestones!$AC$112&amp;";  ","")&amp;IF(AND(EDATE($D78,Milestones!$AA$113)&lt;=AsOfDate,IF($R78=0,$X78,IF(AND($T78&lt;&gt;"",EDATE($D78,Milestones!$AA$113)&gt;=$T78),$W78,IF(AND($S78&lt;&gt;"",EDATE($D78,Milestones!$AA$113)&gt;=$S78),$V78,$U78)))=Milestones!$AB$113),UPPER(TEXT(EDATE($D78,Milestones!$AA$113),"dd mmm yy"))&amp;" "&amp;Milestones!$AB$113&amp;" "&amp;Milestones!$AC$113&amp;";  ","")&amp;IF(AND(EDATE($D78,Milestones!$AA$114)&lt;=AsOfDate,IF($R78=0,$X78,IF(AND($T78&lt;&gt;"",EDATE($D78,Milestones!$AA$114)&gt;=$T78),$W78,IF(AND($S78&lt;&gt;"",EDATE($D78,Milestones!$AA$114)&gt;=$S78),$V78,$U78)))=Milestones!$AB$114),UPPER(TEXT(EDATE($D78,Milestones!$AA$114),"dd mmm yy"))&amp;" "&amp;Milestones!$AB$114&amp;" "&amp;Milestones!$AC$114&amp;";  ","")&amp;IF(AND(EDATE($D78,Milestones!$AA$115)&lt;=AsOfDate,IF($R78=0,$X78,IF(AND($T78&lt;&gt;"",EDATE($D78,Milestones!$AA$115)&gt;=$T78),$W78,IF(AND($S78&lt;&gt;"",EDATE($D78,Milestones!$AA$115)&gt;=$S78),$V78,$U78)))=Milestones!$AB$115),UPPER(TEXT(EDATE($D78,Milestones!$AA$115),"dd mmm yy"))&amp;" "&amp;Milestones!$AB$115&amp;" "&amp;Milestones!$AC$115&amp;";  ","")&amp;IF(AND(EDATE($D78,Milestones!$AA$116)&lt;=AsOfDate,IF($R78=0,$X78,IF(AND($T78&lt;&gt;"",EDATE($D78,Milestones!$AA$116)&gt;=$T78),$W78,IF(AND($S78&lt;&gt;"",EDATE($D78,Milestones!$AA$116)&gt;=$S78),$V78,$U78)))=Milestones!$AB$116),UPPER(TEXT(EDATE($D78,Milestones!$AA$116),"dd mmm yy"))&amp;" "&amp;Milestones!$AB$116&amp;" "&amp;Milestones!$AC$116&amp;";  ","")&amp;IF(AND(EDATE($D78,Milestones!$AA$117)&lt;=AsOfDate,IF($R78=0,$X78,IF(AND($T78&lt;&gt;"",EDATE($D78,Milestones!$AA$117)&gt;=$T78),$W78,IF(AND($S78&lt;&gt;"",EDATE($D78,Milestones!$AA$117)&gt;=$S78),$V78,$U78)))=Milestones!$AB$117),UPPER(TEXT(EDATE($D78,Milestones!$AA$117),"dd mmm yy"))&amp;" "&amp;Milestones!$AB$117&amp;" "&amp;Milestones!$AC$117&amp;";  ","")&amp;IF(AND(EDATE($D78,Milestones!$AA$118)&lt;=AsOfDate,IF($R78=0,$X78,IF(AND($T78&lt;&gt;"",EDATE($D78,Milestones!$AA$118)&gt;=$T78),$W78,IF(AND($S78&lt;&gt;"",EDATE($D78,Milestones!$AA$118)&gt;=$S78),$V78,$U78)))=Milestones!$AB$118),UPPER(TEXT(EDATE($D78,Milestones!$AA$118),"dd mmm yy"))&amp;" "&amp;Milestones!$AB$118&amp;" "&amp;Milestones!$AC$118&amp;";  ","")&amp;IF(AND(EDATE($D78,Milestones!$AA$119)&lt;=AsOfDate,IF($R78=0,$X78,IF(AND($T78&lt;&gt;"",EDATE($D78,Milestones!$AA$119)&gt;=$T78),$W78,IF(AND($S78&lt;&gt;"",EDATE($D78,Milestones!$AA$119)&gt;=$S78),$V78,$U78)))=Milestones!$AB$119),UPPER(TEXT(EDATE($D78,Milestones!$AA$119),"dd mmm yy"))&amp;" "&amp;Milestones!$AB$119&amp;" "&amp;Milestones!$AC$119&amp;";  ",""))</f>
        <v/>
      </c>
      <c r="N78" s="0" t="str">
        <f aca="false">IF(OR($A78="",$D78=""),"",IF(AND(EDATE($D78,Milestones!$AA$120)&lt;=AsOfDate,IF($R78=0,$X78,IF(AND($T78&lt;&gt;"",EDATE($D78,Milestones!$AA$120)&gt;=$T78),$W78,IF(AND($S78&lt;&gt;"",EDATE($D78,Milestones!$AA$120)&gt;=$S78),$V78,$U78)))=Milestones!$AB$120),UPPER(TEXT(EDATE($D78,Milestones!$AA$120),"dd mmm yy"))&amp;" "&amp;Milestones!$AB$120&amp;" "&amp;Milestones!$AC$120&amp;";  ","")&amp;IF(AND(EDATE($D78,Milestones!$AA$121)&lt;=AsOfDate,IF($R78=0,$X78,IF(AND($T78&lt;&gt;"",EDATE($D78,Milestones!$AA$121)&gt;=$T78),$W78,IF(AND($S78&lt;&gt;"",EDATE($D78,Milestones!$AA$121)&gt;=$S78),$V78,$U78)))=Milestones!$AB$121),UPPER(TEXT(EDATE($D78,Milestones!$AA$121),"dd mmm yy"))&amp;" "&amp;Milestones!$AB$121&amp;" "&amp;Milestones!$AC$121&amp;";  ","")&amp;IF(AND(EDATE($D78,Milestones!$AA$122)&lt;=AsOfDate,IF($R78=0,$X78,IF(AND($T78&lt;&gt;"",EDATE($D78,Milestones!$AA$122)&gt;=$T78),$W78,IF(AND($S78&lt;&gt;"",EDATE($D78,Milestones!$AA$122)&gt;=$S78),$V78,$U78)))=Milestones!$AB$122),UPPER(TEXT(EDATE($D78,Milestones!$AA$122),"dd mmm yy"))&amp;" "&amp;Milestones!$AB$122&amp;" "&amp;Milestones!$AC$122&amp;";  ","")&amp;IF(AND(EDATE($D78,Milestones!$AA$123)&lt;=AsOfDate,IF($R78=0,$X78,IF(AND($T78&lt;&gt;"",EDATE($D78,Milestones!$AA$123)&gt;=$T78),$W78,IF(AND($S78&lt;&gt;"",EDATE($D78,Milestones!$AA$123)&gt;=$S78),$V78,$U78)))=Milestones!$AB$123),UPPER(TEXT(EDATE($D78,Milestones!$AA$123),"dd mmm yy"))&amp;" "&amp;Milestones!$AB$123&amp;" "&amp;Milestones!$AC$123&amp;";  ","")&amp;IF(AND(EDATE($D78,Milestones!$AA$124)&lt;=AsOfDate,IF($R78=0,$X78,IF(AND($T78&lt;&gt;"",EDATE($D78,Milestones!$AA$124)&gt;=$T78),$W78,IF(AND($S78&lt;&gt;"",EDATE($D78,Milestones!$AA$124)&gt;=$S78),$V78,$U78)))=Milestones!$AB$124),UPPER(TEXT(EDATE($D78,Milestones!$AA$124),"dd mmm yy"))&amp;" "&amp;Milestones!$AB$124&amp;" "&amp;Milestones!$AC$124&amp;";  ","")&amp;IF(AND(EDATE($D78,Milestones!$AA$125)&lt;=AsOfDate,IF($R78=0,$X78,IF(AND($T78&lt;&gt;"",EDATE($D78,Milestones!$AA$125)&gt;=$T78),$W78,IF(AND($S78&lt;&gt;"",EDATE($D78,Milestones!$AA$125)&gt;=$S78),$V78,$U78)))=Milestones!$AB$125),UPPER(TEXT(EDATE($D78,Milestones!$AA$125),"dd mmm yy"))&amp;" "&amp;Milestones!$AB$125&amp;" "&amp;Milestones!$AC$125&amp;";  ","")&amp;IF(AND(EDATE($D78,Milestones!$AA$126)&lt;=AsOfDate,IF($R78=0,$X78,IF(AND($T78&lt;&gt;"",EDATE($D78,Milestones!$AA$126)&gt;=$T78),$W78,IF(AND($S78&lt;&gt;"",EDATE($D78,Milestones!$AA$126)&gt;=$S78),$V78,$U78)))=Milestones!$AB$126),UPPER(TEXT(EDATE($D78,Milestones!$AA$126),"dd mmm yy"))&amp;" "&amp;Milestones!$AB$126&amp;" "&amp;Milestones!$AC$126&amp;";  ","")&amp;IF(AND(EDATE($D78,Milestones!$AA$127)&lt;=AsOfDate,IF($R78=0,$X78,IF(AND($T78&lt;&gt;"",EDATE($D78,Milestones!$AA$127)&gt;=$T78),$W78,IF(AND($S78&lt;&gt;"",EDATE($D78,Milestones!$AA$127)&gt;=$S78),$V78,$U78)))=Milestones!$AB$127),UPPER(TEXT(EDATE($D78,Milestones!$AA$127),"dd mmm yy"))&amp;" "&amp;Milestones!$AB$127&amp;" "&amp;Milestones!$AC$127&amp;";  ","")&amp;IF(AND(EDATE($D78,Milestones!$AA$128)&lt;=AsOfDate,IF($R78=0,$X78,IF(AND($T78&lt;&gt;"",EDATE($D78,Milestones!$AA$128)&gt;=$T78),$W78,IF(AND($S78&lt;&gt;"",EDATE($D78,Milestones!$AA$128)&gt;=$S78),$V78,$U78)))=Milestones!$AB$128),UPPER(TEXT(EDATE($D78,Milestones!$AA$128),"dd mmm yy"))&amp;" "&amp;Milestones!$AB$128&amp;" "&amp;Milestones!$AC$128&amp;";  ","")&amp;IF(AND(EDATE($D78,Milestones!$AA$129)&lt;=AsOfDate,IF($R78=0,$X78,IF(AND($T78&lt;&gt;"",EDATE($D78,Milestones!$AA$129)&gt;=$T78),$W78,IF(AND($S78&lt;&gt;"",EDATE($D78,Milestones!$AA$129)&gt;=$S78),$V78,$U78)))=Milestones!$AB$129),UPPER(TEXT(EDATE($D78,Milestones!$AA$129),"dd mmm yy"))&amp;" "&amp;Milestones!$AB$129&amp;" "&amp;Milestones!$AC$129&amp;";  ","")&amp;IF(AND(EDATE($D78,Milestones!$AA$130)&lt;=AsOfDate,IF($R78=0,$X78,IF(AND($T78&lt;&gt;"",EDATE($D78,Milestones!$AA$130)&gt;=$T78),$W78,IF(AND($S78&lt;&gt;"",EDATE($D78,Milestones!$AA$130)&gt;=$S78),$V78,$U78)))=Milestones!$AB$130),UPPER(TEXT(EDATE($D78,Milestones!$AA$130),"dd mmm yy"))&amp;" "&amp;Milestones!$AB$130&amp;" "&amp;Milestones!$AC$130&amp;";  ","")&amp;IF(AND(EDATE($D78,Milestones!$AA$131)&lt;=AsOfDate,IF($R78=0,$X78,IF(AND($T78&lt;&gt;"",EDATE($D78,Milestones!$AA$131)&gt;=$T78),$W78,IF(AND($S78&lt;&gt;"",EDATE($D78,Milestones!$AA$131)&gt;=$S78),$V78,$U78)))=Milestones!$AB$131),UPPER(TEXT(EDATE($D78,Milestones!$AA$131),"dd mmm yy"))&amp;" "&amp;Milestones!$AB$131&amp;" "&amp;Milestones!$AC$131&amp;";  ","")&amp;IF(AND(EDATE($D78,Milestones!$AA$132)&lt;=AsOfDate,IF($R78=0,$X78,IF(AND($T78&lt;&gt;"",EDATE($D78,Milestones!$AA$132)&gt;=$T78),$W78,IF(AND($S78&lt;&gt;"",EDATE($D78,Milestones!$AA$132)&gt;=$S78),$V78,$U78)))=Milestones!$AB$132),UPPER(TEXT(EDATE($D78,Milestones!$AA$132),"dd mmm yy"))&amp;" "&amp;Milestones!$AB$132&amp;" "&amp;Milestones!$AC$132&amp;";  ","")&amp;IF(AND(EDATE($D78,Milestones!$AA$133)&lt;=AsOfDate,IF($R78=0,$X78,IF(AND($T78&lt;&gt;"",EDATE($D78,Milestones!$AA$133)&gt;=$T78),$W78,IF(AND($S78&lt;&gt;"",EDATE($D78,Milestones!$AA$133)&gt;=$S78),$V78,$U78)))=Milestones!$AB$133),UPPER(TEXT(EDATE($D78,Milestones!$AA$133),"dd mmm yy"))&amp;" "&amp;Milestones!$AB$133&amp;" "&amp;Milestones!$AC$133&amp;";  ","")&amp;IF(AND(EDATE($D78,Milestones!$AA$134)&lt;=AsOfDate,IF($R78=0,$X78,IF(AND($T78&lt;&gt;"",EDATE($D78,Milestones!$AA$134)&gt;=$T78),$W78,IF(AND($S78&lt;&gt;"",EDATE($D78,Milestones!$AA$134)&gt;=$S78),$V78,$U78)))=Milestones!$AB$134),UPPER(TEXT(EDATE($D78,Milestones!$AA$134),"dd mmm yy"))&amp;" "&amp;Milestones!$AB$134&amp;" "&amp;Milestones!$AC$134&amp;";  ","")&amp;IF(AND(EDATE($D78,Milestones!$AA$135)&lt;=AsOfDate,IF($R78=0,$X78,IF(AND($T78&lt;&gt;"",EDATE($D78,Milestones!$AA$135)&gt;=$T78),$W78,IF(AND($S78&lt;&gt;"",EDATE($D78,Milestones!$AA$135)&gt;=$S78),$V78,$U78)))=Milestones!$AB$135),UPPER(TEXT(EDATE($D78,Milestones!$AA$135),"dd mmm yy"))&amp;" "&amp;Milestones!$AB$135&amp;" "&amp;Milestones!$AC$135&amp;";  ","")&amp;IF(AND(EDATE($D78,Milestones!$AA$136)&lt;=AsOfDate,IF($R78=0,$X78,IF(AND($T78&lt;&gt;"",EDATE($D78,Milestones!$AA$136)&gt;=$T78),$W78,IF(AND($S78&lt;&gt;"",EDATE($D78,Milestones!$AA$136)&gt;=$S78),$V78,$U78)))=Milestones!$AB$136),UPPER(TEXT(EDATE($D78,Milestones!$AA$136),"dd mmm yy"))&amp;" "&amp;Milestones!$AB$136&amp;" "&amp;Milestones!$AC$136&amp;";  ","")&amp;IF(AND(EDATE($D78,Milestones!$AA$137)&lt;=AsOfDate,IF($R78=0,$X78,IF(AND($T78&lt;&gt;"",EDATE($D78,Milestones!$AA$137)&gt;=$T78),$W78,IF(AND($S78&lt;&gt;"",EDATE($D78,Milestones!$AA$137)&gt;=$S78),$V78,$U78)))=Milestones!$AB$137),UPPER(TEXT(EDATE($D78,Milestones!$AA$137),"dd mmm yy"))&amp;" "&amp;Milestones!$AB$137&amp;" "&amp;Milestones!$AC$137&amp;";  ","")&amp;IF(AND(EDATE($D78,Milestones!$AA$138)&lt;=AsOfDate,IF($R78=0,$X78,IF(AND($T78&lt;&gt;"",EDATE($D78,Milestones!$AA$138)&gt;=$T78),$W78,IF(AND($S78&lt;&gt;"",EDATE($D78,Milestones!$AA$138)&gt;=$S78),$V78,$U78)))=Milestones!$AB$138),UPPER(TEXT(EDATE($D78,Milestones!$AA$138),"dd mmm yy"))&amp;" "&amp;Milestones!$AB$138&amp;" "&amp;Milestones!$AC$138&amp;";  ","")&amp;IF(AND(EDATE($D78,Milestones!$AA$139)&lt;=AsOfDate,IF($R78=0,$X78,IF(AND($T78&lt;&gt;"",EDATE($D78,Milestones!$AA$139)&gt;=$T78),$W78,IF(AND($S78&lt;&gt;"",EDATE($D78,Milestones!$AA$139)&gt;=$S78),$V78,$U78)))=Milestones!$AB$139),UPPER(TEXT(EDATE($D78,Milestones!$AA$139),"dd mmm yy"))&amp;" "&amp;Milestones!$AB$139&amp;" "&amp;Milestones!$AC$139&amp;";  ",""))</f>
        <v/>
      </c>
      <c r="O78" s="0" t="str">
        <f aca="false">IF(OR($A78="",$D78=""),"",IF(AND(EDATE($D78,Milestones!$AA$140)&lt;=AsOfDate,IF($R78=0,$X78,IF(AND($T78&lt;&gt;"",EDATE($D78,Milestones!$AA$140)&gt;=$T78),$W78,IF(AND($S78&lt;&gt;"",EDATE($D78,Milestones!$AA$140)&gt;=$S78),$V78,$U78)))=Milestones!$AB$140),UPPER(TEXT(EDATE($D78,Milestones!$AA$140),"dd mmm yy"))&amp;" "&amp;Milestones!$AB$140&amp;" "&amp;Milestones!$AC$140&amp;";  ","")&amp;IF(AND(EDATE($D78,Milestones!$AA$141)&lt;=AsOfDate,IF($R78=0,$X78,IF(AND($T78&lt;&gt;"",EDATE($D78,Milestones!$AA$141)&gt;=$T78),$W78,IF(AND($S78&lt;&gt;"",EDATE($D78,Milestones!$AA$141)&gt;=$S78),$V78,$U78)))=Milestones!$AB$141),UPPER(TEXT(EDATE($D78,Milestones!$AA$141),"dd mmm yy"))&amp;" "&amp;Milestones!$AB$141&amp;" "&amp;Milestones!$AC$141&amp;";  ","")&amp;IF(AND(EDATE($D78,Milestones!$AA$142)&lt;=AsOfDate,IF($R78=0,$X78,IF(AND($T78&lt;&gt;"",EDATE($D78,Milestones!$AA$142)&gt;=$T78),$W78,IF(AND($S78&lt;&gt;"",EDATE($D78,Milestones!$AA$142)&gt;=$S78),$V78,$U78)))=Milestones!$AB$142),UPPER(TEXT(EDATE($D78,Milestones!$AA$142),"dd mmm yy"))&amp;" "&amp;Milestones!$AB$142&amp;" "&amp;Milestones!$AC$142&amp;";  ","")&amp;IF(AND(EDATE($D78,Milestones!$AA$143)&lt;=AsOfDate,IF($R78=0,$X78,IF(AND($T78&lt;&gt;"",EDATE($D78,Milestones!$AA$143)&gt;=$T78),$W78,IF(AND($S78&lt;&gt;"",EDATE($D78,Milestones!$AA$143)&gt;=$S78),$V78,$U78)))=Milestones!$AB$143),UPPER(TEXT(EDATE($D78,Milestones!$AA$143),"dd mmm yy"))&amp;" "&amp;Milestones!$AB$143&amp;" "&amp;Milestones!$AC$143&amp;";  ","")&amp;IF(AND(EDATE($D78,Milestones!$AA$144)&lt;=AsOfDate,IF($R78=0,$X78,IF(AND($T78&lt;&gt;"",EDATE($D78,Milestones!$AA$144)&gt;=$T78),$W78,IF(AND($S78&lt;&gt;"",EDATE($D78,Milestones!$AA$144)&gt;=$S78),$V78,$U78)))=Milestones!$AB$144),UPPER(TEXT(EDATE($D78,Milestones!$AA$144),"dd mmm yy"))&amp;" "&amp;Milestones!$AB$144&amp;" "&amp;Milestones!$AC$144&amp;";  ","")&amp;IF(AND(EDATE($D78,Milestones!$AA$145)&lt;=AsOfDate,IF($R78=0,$X78,IF(AND($T78&lt;&gt;"",EDATE($D78,Milestones!$AA$145)&gt;=$T78),$W78,IF(AND($S78&lt;&gt;"",EDATE($D78,Milestones!$AA$145)&gt;=$S78),$V78,$U78)))=Milestones!$AB$145),UPPER(TEXT(EDATE($D78,Milestones!$AA$145),"dd mmm yy"))&amp;" "&amp;Milestones!$AB$145&amp;" "&amp;Milestones!$AC$145&amp;";  ","")&amp;IF(AND(EDATE($D78,Milestones!$AA$146)&lt;=AsOfDate,IF($R78=0,$X78,IF(AND($T78&lt;&gt;"",EDATE($D78,Milestones!$AA$146)&gt;=$T78),$W78,IF(AND($S78&lt;&gt;"",EDATE($D78,Milestones!$AA$146)&gt;=$S78),$V78,$U78)))=Milestones!$AB$146),UPPER(TEXT(EDATE($D78,Milestones!$AA$146),"dd mmm yy"))&amp;" "&amp;Milestones!$AB$146&amp;" "&amp;Milestones!$AC$146&amp;";  ","")&amp;IF(AND(EDATE($D78,Milestones!$AA$147)&lt;=AsOfDate,IF($R78=0,$X78,IF(AND($T78&lt;&gt;"",EDATE($D78,Milestones!$AA$147)&gt;=$T78),$W78,IF(AND($S78&lt;&gt;"",EDATE($D78,Milestones!$AA$147)&gt;=$S78),$V78,$U78)))=Milestones!$AB$147),UPPER(TEXT(EDATE($D78,Milestones!$AA$147),"dd mmm yy"))&amp;" "&amp;Milestones!$AB$147&amp;" "&amp;Milestones!$AC$147&amp;";  ","")&amp;IF(AND(EDATE($D78,Milestones!$AA$148)&lt;=AsOfDate,IF($R78=0,$X78,IF(AND($T78&lt;&gt;"",EDATE($D78,Milestones!$AA$148)&gt;=$T78),$W78,IF(AND($S78&lt;&gt;"",EDATE($D78,Milestones!$AA$148)&gt;=$S78),$V78,$U78)))=Milestones!$AB$148),UPPER(TEXT(EDATE($D78,Milestones!$AA$148),"dd mmm yy"))&amp;" "&amp;Milestones!$AB$148&amp;" "&amp;Milestones!$AC$148&amp;";  ","")&amp;IF(AND(EDATE($D78,Milestones!$AA$149)&lt;=AsOfDate,IF($R78=0,$X78,IF(AND($T78&lt;&gt;"",EDATE($D78,Milestones!$AA$149)&gt;=$T78),$W78,IF(AND($S78&lt;&gt;"",EDATE($D78,Milestones!$AA$149)&gt;=$S78),$V78,$U78)))=Milestones!$AB$149),UPPER(TEXT(EDATE($D78,Milestones!$AA$149),"dd mmm yy"))&amp;" "&amp;Milestones!$AB$149&amp;" "&amp;Milestones!$AC$149&amp;";  ","")&amp;IF(AND(EDATE($D78,Milestones!$AA$150)&lt;=AsOfDate,IF($R78=0,$X78,IF(AND($T78&lt;&gt;"",EDATE($D78,Milestones!$AA$150)&gt;=$T78),$W78,IF(AND($S78&lt;&gt;"",EDATE($D78,Milestones!$AA$150)&gt;=$S78),$V78,$U78)))=Milestones!$AB$150),UPPER(TEXT(EDATE($D78,Milestones!$AA$150),"dd mmm yy"))&amp;" "&amp;Milestones!$AB$150&amp;" "&amp;Milestones!$AC$150&amp;";  ","")&amp;IF(AND(EDATE($D78,Milestones!$AA$151)&lt;=AsOfDate,IF($R78=0,$X78,IF(AND($T78&lt;&gt;"",EDATE($D78,Milestones!$AA$151)&gt;=$T78),$W78,IF(AND($S78&lt;&gt;"",EDATE($D78,Milestones!$AA$151)&gt;=$S78),$V78,$U78)))=Milestones!$AB$151),UPPER(TEXT(EDATE($D78,Milestones!$AA$151),"dd mmm yy"))&amp;" "&amp;Milestones!$AB$151&amp;" "&amp;Milestones!$AC$151&amp;";  ","")&amp;IF(AND(EDATE($D78,Milestones!$AA$152)&lt;=AsOfDate,IF($R78=0,$X78,IF(AND($T78&lt;&gt;"",EDATE($D78,Milestones!$AA$152)&gt;=$T78),$W78,IF(AND($S78&lt;&gt;"",EDATE($D78,Milestones!$AA$152)&gt;=$S78),$V78,$U78)))=Milestones!$AB$152),UPPER(TEXT(EDATE($D78,Milestones!$AA$152),"dd mmm yy"))&amp;" "&amp;Milestones!$AB$152&amp;" "&amp;Milestones!$AC$152&amp;";  ","")&amp;IF(AND(EDATE($D78,Milestones!$AA$153)&lt;=AsOfDate,IF($R78=0,$X78,IF(AND($T78&lt;&gt;"",EDATE($D78,Milestones!$AA$153)&gt;=$T78),$W78,IF(AND($S78&lt;&gt;"",EDATE($D78,Milestones!$AA$153)&gt;=$S78),$V78,$U78)))=Milestones!$AB$153),UPPER(TEXT(EDATE($D78,Milestones!$AA$153),"dd mmm yy"))&amp;" "&amp;Milestones!$AB$153&amp;" "&amp;Milestones!$AC$153&amp;";  ","")&amp;IF(AND(EDATE($D78,Milestones!$AA$154)&lt;=AsOfDate,IF($R78=0,$X78,IF(AND($T78&lt;&gt;"",EDATE($D78,Milestones!$AA$154)&gt;=$T78),$W78,IF(AND($S78&lt;&gt;"",EDATE($D78,Milestones!$AA$154)&gt;=$S78),$V78,$U78)))=Milestones!$AB$154),UPPER(TEXT(EDATE($D78,Milestones!$AA$154),"dd mmm yy"))&amp;" "&amp;Milestones!$AB$154&amp;" "&amp;Milestones!$AC$154&amp;";  ","")&amp;IF(AND(EDATE($D78,Milestones!$AA$155)&lt;=AsOfDate,IF($R78=0,$X78,IF(AND($T78&lt;&gt;"",EDATE($D78,Milestones!$AA$155)&gt;=$T78),$W78,IF(AND($S78&lt;&gt;"",EDATE($D78,Milestones!$AA$155)&gt;=$S78),$V78,$U78)))=Milestones!$AB$155),UPPER(TEXT(EDATE($D78,Milestones!$AA$155),"dd mmm yy"))&amp;" "&amp;Milestones!$AB$155&amp;" "&amp;Milestones!$AC$155&amp;";  ","")&amp;IF(AND(EDATE($D78,Milestones!$AA$156)&lt;=AsOfDate,IF($R78=0,$X78,IF(AND($T78&lt;&gt;"",EDATE($D78,Milestones!$AA$156)&gt;=$T78),$W78,IF(AND($S78&lt;&gt;"",EDATE($D78,Milestones!$AA$156)&gt;=$S78),$V78,$U78)))=Milestones!$AB$156),UPPER(TEXT(EDATE($D78,Milestones!$AA$156),"dd mmm yy"))&amp;" "&amp;Milestones!$AB$156&amp;" "&amp;Milestones!$AC$156&amp;";  ","")&amp;IF(AND(EDATE($D78,Milestones!$AA$157)&lt;=AsOfDate,IF($R78=0,$X78,IF(AND($T78&lt;&gt;"",EDATE($D78,Milestones!$AA$157)&gt;=$T78),$W78,IF(AND($S78&lt;&gt;"",EDATE($D78,Milestones!$AA$157)&gt;=$S78),$V78,$U78)))=Milestones!$AB$157),UPPER(TEXT(EDATE($D78,Milestones!$AA$157),"dd mmm yy"))&amp;" "&amp;Milestones!$AB$157&amp;" "&amp;Milestones!$AC$157&amp;";  ","")&amp;IF(AND(EDATE($D78,Milestones!$AA$158)&lt;=AsOfDate,IF($R78=0,$X78,IF(AND($T78&lt;&gt;"",EDATE($D78,Milestones!$AA$158)&gt;=$T78),$W78,IF(AND($S78&lt;&gt;"",EDATE($D78,Milestones!$AA$158)&gt;=$S78),$V78,$U78)))=Milestones!$AB$158),UPPER(TEXT(EDATE($D78,Milestones!$AA$158),"dd mmm yy"))&amp;" "&amp;Milestones!$AB$158&amp;" "&amp;Milestones!$AC$158&amp;";  ","")&amp;IF(AND(EDATE($D78,Milestones!$AA$159)&lt;=AsOfDate,IF($R78=0,$X78,IF(AND($T78&lt;&gt;"",EDATE($D78,Milestones!$AA$159)&gt;=$T78),$W78,IF(AND($S78&lt;&gt;"",EDATE($D78,Milestones!$AA$159)&gt;=$S78),$V78,$U78)))=Milestones!$AB$159),UPPER(TEXT(EDATE($D78,Milestones!$AA$159),"dd mmm yy"))&amp;" "&amp;Milestones!$AB$159&amp;" "&amp;Milestones!$AC$159&amp;";  ",""))</f>
        <v/>
      </c>
      <c r="P78" s="0" t="str">
        <f aca="false">IF(OR($A78="",$D78=""),"",IF(AND(EDATE($D78,Milestones!$AA$160)&lt;=AsOfDate,IF($R78=0,$X78,IF(AND($T78&lt;&gt;"",EDATE($D78,Milestones!$AA$160)&gt;=$T78),$W78,IF(AND($S78&lt;&gt;"",EDATE($D78,Milestones!$AA$160)&gt;=$S78),$V78,$U78)))=Milestones!$AB$160),UPPER(TEXT(EDATE($D78,Milestones!$AA$160),"dd mmm yy"))&amp;" "&amp;Milestones!$AB$160&amp;" "&amp;Milestones!$AC$160&amp;";  ","")&amp;IF(AND(EDATE($D78,Milestones!$AA$161)&lt;=AsOfDate,IF($R78=0,$X78,IF(AND($T78&lt;&gt;"",EDATE($D78,Milestones!$AA$161)&gt;=$T78),$W78,IF(AND($S78&lt;&gt;"",EDATE($D78,Milestones!$AA$161)&gt;=$S78),$V78,$U78)))=Milestones!$AB$161),UPPER(TEXT(EDATE($D78,Milestones!$AA$161),"dd mmm yy"))&amp;" "&amp;Milestones!$AB$161&amp;" "&amp;Milestones!$AC$161&amp;";  ","")&amp;IF(AND(EDATE($D78,Milestones!$AA$162)&lt;=AsOfDate,IF($R78=0,$X78,IF(AND($T78&lt;&gt;"",EDATE($D78,Milestones!$AA$162)&gt;=$T78),$W78,IF(AND($S78&lt;&gt;"",EDATE($D78,Milestones!$AA$162)&gt;=$S78),$V78,$U78)))=Milestones!$AB$162),UPPER(TEXT(EDATE($D78,Milestones!$AA$162),"dd mmm yy"))&amp;" "&amp;Milestones!$AB$162&amp;" "&amp;Milestones!$AC$162&amp;";  ","")&amp;IF(AND(EDATE($D78,Milestones!$AA$163)&lt;=AsOfDate,IF($R78=0,$X78,IF(AND($T78&lt;&gt;"",EDATE($D78,Milestones!$AA$163)&gt;=$T78),$W78,IF(AND($S78&lt;&gt;"",EDATE($D78,Milestones!$AA$163)&gt;=$S78),$V78,$U78)))=Milestones!$AB$163),UPPER(TEXT(EDATE($D78,Milestones!$AA$163),"dd mmm yy"))&amp;" "&amp;Milestones!$AB$163&amp;" "&amp;Milestones!$AC$163&amp;";  ","")&amp;IF(AND(EDATE($D78,Milestones!$AA$164)&lt;=AsOfDate,IF($R78=0,$X78,IF(AND($T78&lt;&gt;"",EDATE($D78,Milestones!$AA$164)&gt;=$T78),$W78,IF(AND($S78&lt;&gt;"",EDATE($D78,Milestones!$AA$164)&gt;=$S78),$V78,$U78)))=Milestones!$AB$164),UPPER(TEXT(EDATE($D78,Milestones!$AA$164),"dd mmm yy"))&amp;" "&amp;Milestones!$AB$164&amp;" "&amp;Milestones!$AC$164&amp;";  ","")&amp;IF(AND(EDATE($D78,Milestones!$AA$165)&lt;=AsOfDate,IF($R78=0,$X78,IF(AND($T78&lt;&gt;"",EDATE($D78,Milestones!$AA$165)&gt;=$T78),$W78,IF(AND($S78&lt;&gt;"",EDATE($D78,Milestones!$AA$165)&gt;=$S78),$V78,$U78)))=Milestones!$AB$165),UPPER(TEXT(EDATE($D78,Milestones!$AA$165),"dd mmm yy"))&amp;" "&amp;Milestones!$AB$165&amp;" "&amp;Milestones!$AC$165&amp;";  ","")&amp;IF(AND(EDATE($D78,Milestones!$AA$166)&lt;=AsOfDate,IF($R78=0,$X78,IF(AND($T78&lt;&gt;"",EDATE($D78,Milestones!$AA$166)&gt;=$T78),$W78,IF(AND($S78&lt;&gt;"",EDATE($D78,Milestones!$AA$166)&gt;=$S78),$V78,$U78)))=Milestones!$AB$166),UPPER(TEXT(EDATE($D78,Milestones!$AA$166),"dd mmm yy"))&amp;" "&amp;Milestones!$AB$166&amp;" "&amp;Milestones!$AC$166&amp;";  ","")&amp;IF(AND(EDATE($D78,Milestones!$AA$167)&lt;=AsOfDate,IF($R78=0,$X78,IF(AND($T78&lt;&gt;"",EDATE($D78,Milestones!$AA$167)&gt;=$T78),$W78,IF(AND($S78&lt;&gt;"",EDATE($D78,Milestones!$AA$167)&gt;=$S78),$V78,$U78)))=Milestones!$AB$167),UPPER(TEXT(EDATE($D78,Milestones!$AA$167),"dd mmm yy"))&amp;" "&amp;Milestones!$AB$167&amp;" "&amp;Milestones!$AC$167&amp;";  ","")&amp;IF(AND(EDATE($D78,Milestones!$AA$168)&lt;=AsOfDate,IF($R78=0,$X78,IF(AND($T78&lt;&gt;"",EDATE($D78,Milestones!$AA$168)&gt;=$T78),$W78,IF(AND($S78&lt;&gt;"",EDATE($D78,Milestones!$AA$168)&gt;=$S78),$V78,$U78)))=Milestones!$AB$168),UPPER(TEXT(EDATE($D78,Milestones!$AA$168),"dd mmm yy"))&amp;" "&amp;Milestones!$AB$168&amp;" "&amp;Milestones!$AC$168&amp;";  ","")&amp;IF(AND(EDATE($D78,Milestones!$AA$169)&lt;=AsOfDate,IF($R78=0,$X78,IF(AND($T78&lt;&gt;"",EDATE($D78,Milestones!$AA$169)&gt;=$T78),$W78,IF(AND($S78&lt;&gt;"",EDATE($D78,Milestones!$AA$169)&gt;=$S78),$V78,$U78)))=Milestones!$AB$169),UPPER(TEXT(EDATE($D78,Milestones!$AA$169),"dd mmm yy"))&amp;" "&amp;Milestones!$AB$169&amp;" "&amp;Milestones!$AC$169&amp;";  ","")&amp;IF(AND(EDATE($D78,Milestones!$AA$170)&lt;=AsOfDate,IF($R78=0,$X78,IF(AND($T78&lt;&gt;"",EDATE($D78,Milestones!$AA$170)&gt;=$T78),$W78,IF(AND($S78&lt;&gt;"",EDATE($D78,Milestones!$AA$170)&gt;=$S78),$V78,$U78)))=Milestones!$AB$170),UPPER(TEXT(EDATE($D78,Milestones!$AA$170),"dd mmm yy"))&amp;" "&amp;Milestones!$AB$170&amp;" "&amp;Milestones!$AC$170&amp;";  ","")&amp;IF(AND(EDATE($D78,Milestones!$AA$171)&lt;=AsOfDate,IF($R78=0,$X78,IF(AND($T78&lt;&gt;"",EDATE($D78,Milestones!$AA$171)&gt;=$T78),$W78,IF(AND($S78&lt;&gt;"",EDATE($D78,Milestones!$AA$171)&gt;=$S78),$V78,$U78)))=Milestones!$AB$171),UPPER(TEXT(EDATE($D78,Milestones!$AA$171),"dd mmm yy"))&amp;" "&amp;Milestones!$AB$171&amp;" "&amp;Milestones!$AC$171&amp;";  ","")&amp;IF(AND(EDATE($D78,Milestones!$AA$172)&lt;=AsOfDate,IF($R78=0,$X78,IF(AND($T78&lt;&gt;"",EDATE($D78,Milestones!$AA$172)&gt;=$T78),$W78,IF(AND($S78&lt;&gt;"",EDATE($D78,Milestones!$AA$172)&gt;=$S78),$V78,$U78)))=Milestones!$AB$172),UPPER(TEXT(EDATE($D78,Milestones!$AA$172),"dd mmm yy"))&amp;" "&amp;Milestones!$AB$172&amp;" "&amp;Milestones!$AC$172&amp;";  ","")&amp;IF(AND(EDATE($D78,Milestones!$AA$173)&lt;=AsOfDate,IF($R78=0,$X78,IF(AND($T78&lt;&gt;"",EDATE($D78,Milestones!$AA$173)&gt;=$T78),$W78,IF(AND($S78&lt;&gt;"",EDATE($D78,Milestones!$AA$173)&gt;=$S78),$V78,$U78)))=Milestones!$AB$173),UPPER(TEXT(EDATE($D78,Milestones!$AA$173),"dd mmm yy"))&amp;" "&amp;Milestones!$AB$173&amp;" "&amp;Milestones!$AC$173&amp;";  ","")&amp;IF(AND(EDATE($D78,Milestones!$AA$174)&lt;=AsOfDate,IF($R78=0,$X78,IF(AND($T78&lt;&gt;"",EDATE($D78,Milestones!$AA$174)&gt;=$T78),$W78,IF(AND($S78&lt;&gt;"",EDATE($D78,Milestones!$AA$174)&gt;=$S78),$V78,$U78)))=Milestones!$AB$174),UPPER(TEXT(EDATE($D78,Milestones!$AA$174),"dd mmm yy"))&amp;" "&amp;Milestones!$AB$174&amp;" "&amp;Milestones!$AC$174&amp;";  ","")&amp;IF(AND(EDATE($D78,Milestones!$AA$175)&lt;=AsOfDate,IF($R78=0,$X78,IF(AND($T78&lt;&gt;"",EDATE($D78,Milestones!$AA$175)&gt;=$T78),$W78,IF(AND($S78&lt;&gt;"",EDATE($D78,Milestones!$AA$175)&gt;=$S78),$V78,$U78)))=Milestones!$AB$175),UPPER(TEXT(EDATE($D78,Milestones!$AA$175),"dd mmm yy"))&amp;" "&amp;Milestones!$AB$175&amp;" "&amp;Milestones!$AC$175&amp;";  ","")&amp;IF(AND(EDATE($D78,Milestones!$AA$176)&lt;=AsOfDate,IF($R78=0,$X78,IF(AND($T78&lt;&gt;"",EDATE($D78,Milestones!$AA$176)&gt;=$T78),$W78,IF(AND($S78&lt;&gt;"",EDATE($D78,Milestones!$AA$176)&gt;=$S78),$V78,$U78)))=Milestones!$AB$176),UPPER(TEXT(EDATE($D78,Milestones!$AA$176),"dd mmm yy"))&amp;" "&amp;Milestones!$AB$176&amp;" "&amp;Milestones!$AC$176&amp;";  ","")&amp;IF(AND(EDATE($D78,Milestones!$AA$177)&lt;=AsOfDate,IF($R78=0,$X78,IF(AND($T78&lt;&gt;"",EDATE($D78,Milestones!$AA$177)&gt;=$T78),$W78,IF(AND($S78&lt;&gt;"",EDATE($D78,Milestones!$AA$177)&gt;=$S78),$V78,$U78)))=Milestones!$AB$177),UPPER(TEXT(EDATE($D78,Milestones!$AA$177),"dd mmm yy"))&amp;" "&amp;Milestones!$AB$177&amp;" "&amp;Milestones!$AC$177&amp;";  ","")&amp;IF(AND(EDATE($D78,Milestones!$AA$178)&lt;=AsOfDate,IF($R78=0,$X78,IF(AND($T78&lt;&gt;"",EDATE($D78,Milestones!$AA$178)&gt;=$T78),$W78,IF(AND($S78&lt;&gt;"",EDATE($D78,Milestones!$AA$178)&gt;=$S78),$V78,$U78)))=Milestones!$AB$178),UPPER(TEXT(EDATE($D78,Milestones!$AA$178),"dd mmm yy"))&amp;" "&amp;Milestones!$AB$178&amp;" "&amp;Milestones!$AC$178&amp;";  ","")&amp;IF(AND(EDATE($D78,Milestones!$AA$179)&lt;=AsOfDate,IF($R78=0,$X78,IF(AND($T78&lt;&gt;"",EDATE($D78,Milestones!$AA$179)&gt;=$T78),$W78,IF(AND($S78&lt;&gt;"",EDATE($D78,Milestones!$AA$179)&gt;=$S78),$V78,$U78)))=Milestones!$AB$179),UPPER(TEXT(EDATE($D78,Milestones!$AA$179),"dd mmm yy"))&amp;" "&amp;Milestones!$AB$179&amp;" "&amp;Milestones!$AC$179&amp;";  ",""))</f>
        <v/>
      </c>
      <c r="Q78" s="0" t="str">
        <f aca="false">IF(OR($A78="",$D78=""),"",IF(AND(EDATE($D78,Milestones!$AA$180)&lt;=AsOfDate,IF($R78=0,$X78,IF(AND($T78&lt;&gt;"",EDATE($D78,Milestones!$AA$180)&gt;=$T78),$W78,IF(AND($S78&lt;&gt;"",EDATE($D78,Milestones!$AA$180)&gt;=$S78),$V78,$U78)))=Milestones!$AB$180),UPPER(TEXT(EDATE($D78,Milestones!$AA$180),"dd mmm yy"))&amp;" "&amp;Milestones!$AB$180&amp;" "&amp;Milestones!$AC$180&amp;";  ","")&amp;IF(AND(EDATE($D78,Milestones!$AA$181)&lt;=AsOfDate,IF($R78=0,$X78,IF(AND($T78&lt;&gt;"",EDATE($D78,Milestones!$AA$181)&gt;=$T78),$W78,IF(AND($S78&lt;&gt;"",EDATE($D78,Milestones!$AA$181)&gt;=$S78),$V78,$U78)))=Milestones!$AB$181),UPPER(TEXT(EDATE($D78,Milestones!$AA$181),"dd mmm yy"))&amp;" "&amp;Milestones!$AB$181&amp;" "&amp;Milestones!$AC$181&amp;";  ","")&amp;IF(AND(EDATE($D78,Milestones!$AA$182)&lt;=AsOfDate,IF($R78=0,$X78,IF(AND($T78&lt;&gt;"",EDATE($D78,Milestones!$AA$182)&gt;=$T78),$W78,IF(AND($S78&lt;&gt;"",EDATE($D78,Milestones!$AA$182)&gt;=$S78),$V78,$U78)))=Milestones!$AB$182),UPPER(TEXT(EDATE($D78,Milestones!$AA$182),"dd mmm yy"))&amp;" "&amp;Milestones!$AB$182&amp;" "&amp;Milestones!$AC$182&amp;";  ","")&amp;IF(AND(EDATE($D78,Milestones!$AA$183)&lt;=AsOfDate,IF($R78=0,$X78,IF(AND($T78&lt;&gt;"",EDATE($D78,Milestones!$AA$183)&gt;=$T78),$W78,IF(AND($S78&lt;&gt;"",EDATE($D78,Milestones!$AA$183)&gt;=$S78),$V78,$U78)))=Milestones!$AB$183),UPPER(TEXT(EDATE($D78,Milestones!$AA$183),"dd mmm yy"))&amp;" "&amp;Milestones!$AB$183&amp;" "&amp;Milestones!$AC$183&amp;";  ","")&amp;IF(AND(EDATE($D78,Milestones!$AA$184)&lt;=AsOfDate,IF($R78=0,$X78,IF(AND($T78&lt;&gt;"",EDATE($D78,Milestones!$AA$184)&gt;=$T78),$W78,IF(AND($S78&lt;&gt;"",EDATE($D78,Milestones!$AA$184)&gt;=$S78),$V78,$U78)))=Milestones!$AB$184),UPPER(TEXT(EDATE($D78,Milestones!$AA$184),"dd mmm yy"))&amp;" "&amp;Milestones!$AB$184&amp;" "&amp;Milestones!$AC$184&amp;";  ","")&amp;IF(AND(EDATE($D78,Milestones!$AA$185)&lt;=AsOfDate,IF($R78=0,$X78,IF(AND($T78&lt;&gt;"",EDATE($D78,Milestones!$AA$185)&gt;=$T78),$W78,IF(AND($S78&lt;&gt;"",EDATE($D78,Milestones!$AA$185)&gt;=$S78),$V78,$U78)))=Milestones!$AB$185),UPPER(TEXT(EDATE($D78,Milestones!$AA$185),"dd mmm yy"))&amp;" "&amp;Milestones!$AB$185&amp;" "&amp;Milestones!$AC$185&amp;";  ","")&amp;IF(AND(EDATE($D78,Milestones!$AA$186)&lt;=AsOfDate,IF($R78=0,$X78,IF(AND($T78&lt;&gt;"",EDATE($D78,Milestones!$AA$186)&gt;=$T78),$W78,IF(AND($S78&lt;&gt;"",EDATE($D78,Milestones!$AA$186)&gt;=$S78),$V78,$U78)))=Milestones!$AB$186),UPPER(TEXT(EDATE($D78,Milestones!$AA$186),"dd mmm yy"))&amp;" "&amp;Milestones!$AB$186&amp;" "&amp;Milestones!$AC$186&amp;";  ","")&amp;IF(AND(EDATE($D78,Milestones!$AA$187)&lt;=AsOfDate,IF($R78=0,$X78,IF(AND($T78&lt;&gt;"",EDATE($D78,Milestones!$AA$187)&gt;=$T78),$W78,IF(AND($S78&lt;&gt;"",EDATE($D78,Milestones!$AA$187)&gt;=$S78),$V78,$U78)))=Milestones!$AB$187),UPPER(TEXT(EDATE($D78,Milestones!$AA$187),"dd mmm yy"))&amp;" "&amp;Milestones!$AB$187&amp;" "&amp;Milestones!$AC$187&amp;";  ","")&amp;IF(AND(EDATE($D78,Milestones!$AA$188)&lt;=AsOfDate,IF($R78=0,$X78,IF(AND($T78&lt;&gt;"",EDATE($D78,Milestones!$AA$188)&gt;=$T78),$W78,IF(AND($S78&lt;&gt;"",EDATE($D78,Milestones!$AA$188)&gt;=$S78),$V78,$U78)))=Milestones!$AB$188),UPPER(TEXT(EDATE($D78,Milestones!$AA$188),"dd mmm yy"))&amp;" "&amp;Milestones!$AB$188&amp;" "&amp;Milestones!$AC$188&amp;";  ","")&amp;IF(AND(EDATE($D78,Milestones!$AA$189)&lt;=AsOfDate,IF($R78=0,$X78,IF(AND($T78&lt;&gt;"",EDATE($D78,Milestones!$AA$189)&gt;=$T78),$W78,IF(AND($S78&lt;&gt;"",EDATE($D78,Milestones!$AA$189)&gt;=$S78),$V78,$U78)))=Milestones!$AB$189),UPPER(TEXT(EDATE($D78,Milestones!$AA$189),"dd mmm yy"))&amp;" "&amp;Milestones!$AB$189&amp;" "&amp;Milestones!$AC$189&amp;";  ","")&amp;IF(AND(EDATE($D78,Milestones!$AA$190)&lt;=AsOfDate,IF($R78=0,$X78,IF(AND($T78&lt;&gt;"",EDATE($D78,Milestones!$AA$190)&gt;=$T78),$W78,IF(AND($S78&lt;&gt;"",EDATE($D78,Milestones!$AA$190)&gt;=$S78),$V78,$U78)))=Milestones!$AB$190),UPPER(TEXT(EDATE($D78,Milestones!$AA$190),"dd mmm yy"))&amp;" "&amp;Milestones!$AB$190&amp;" "&amp;Milestones!$AC$190&amp;";  ","")&amp;IF(AND(EDATE($D78,Milestones!$AA$191)&lt;=AsOfDate,IF($R78=0,$X78,IF(AND($T78&lt;&gt;"",EDATE($D78,Milestones!$AA$191)&gt;=$T78),$W78,IF(AND($S78&lt;&gt;"",EDATE($D78,Milestones!$AA$191)&gt;=$S78),$V78,$U78)))=Milestones!$AB$191),UPPER(TEXT(EDATE($D78,Milestones!$AA$191),"dd mmm yy"))&amp;" "&amp;Milestones!$AB$191&amp;" "&amp;Milestones!$AC$191&amp;";  ","")&amp;IF(AND(EDATE($D78,Milestones!$AA$192)&lt;=AsOfDate,IF($R78=0,$X78,IF(AND($T78&lt;&gt;"",EDATE($D78,Milestones!$AA$192)&gt;=$T78),$W78,IF(AND($S78&lt;&gt;"",EDATE($D78,Milestones!$AA$192)&gt;=$S78),$V78,$U78)))=Milestones!$AB$192),UPPER(TEXT(EDATE($D78,Milestones!$AA$192),"dd mmm yy"))&amp;" "&amp;Milestones!$AB$192&amp;" "&amp;Milestones!$AC$192&amp;";  ","")&amp;IF(AND(EDATE($D78,Milestones!$AA$193)&lt;=AsOfDate,IF($R78=0,$X78,IF(AND($T78&lt;&gt;"",EDATE($D78,Milestones!$AA$193)&gt;=$T78),$W78,IF(AND($S78&lt;&gt;"",EDATE($D78,Milestones!$AA$193)&gt;=$S78),$V78,$U78)))=Milestones!$AB$193),UPPER(TEXT(EDATE($D78,Milestones!$AA$193),"dd mmm yy"))&amp;" "&amp;Milestones!$AB$193&amp;" "&amp;Milestones!$AC$193&amp;";  ","")&amp;IF(AND(EDATE($D78,Milestones!$AA$194)&lt;=AsOfDate,IF($R78=0,$X78,IF(AND($T78&lt;&gt;"",EDATE($D78,Milestones!$AA$194)&gt;=$T78),$W78,IF(AND($S78&lt;&gt;"",EDATE($D78,Milestones!$AA$194)&gt;=$S78),$V78,$U78)))=Milestones!$AB$194),UPPER(TEXT(EDATE($D78,Milestones!$AA$194),"dd mmm yy"))&amp;" "&amp;Milestones!$AB$194&amp;" "&amp;Milestones!$AC$194&amp;";  ","")&amp;IF(AND(EDATE($D78,Milestones!$AA$195)&lt;=AsOfDate,IF($R78=0,$X78,IF(AND($T78&lt;&gt;"",EDATE($D78,Milestones!$AA$195)&gt;=$T78),$W78,IF(AND($S78&lt;&gt;"",EDATE($D78,Milestones!$AA$195)&gt;=$S78),$V78,$U78)))=Milestones!$AB$195),UPPER(TEXT(EDATE($D78,Milestones!$AA$195),"dd mmm yy"))&amp;" "&amp;Milestones!$AB$195&amp;" "&amp;Milestones!$AC$195&amp;";  ","")&amp;IF(AND(EDATE($D78,Milestones!$AA$196)&lt;=AsOfDate,IF($R78=0,$X78,IF(AND($T78&lt;&gt;"",EDATE($D78,Milestones!$AA$196)&gt;=$T78),$W78,IF(AND($S78&lt;&gt;"",EDATE($D78,Milestones!$AA$196)&gt;=$S78),$V78,$U78)))=Milestones!$AB$196),UPPER(TEXT(EDATE($D78,Milestones!$AA$196),"dd mmm yy"))&amp;" "&amp;Milestones!$AB$196&amp;" "&amp;Milestones!$AC$196&amp;";  ","")&amp;IF(AND(EDATE($D78,Milestones!$AA$197)&lt;=AsOfDate,IF($R78=0,$X78,IF(AND($T78&lt;&gt;"",EDATE($D78,Milestones!$AA$197)&gt;=$T78),$W78,IF(AND($S78&lt;&gt;"",EDATE($D78,Milestones!$AA$197)&gt;=$S78),$V78,$U78)))=Milestones!$AB$197),UPPER(TEXT(EDATE($D78,Milestones!$AA$197),"dd mmm yy"))&amp;" "&amp;Milestones!$AB$197&amp;" "&amp;Milestones!$AC$197&amp;";  ","")&amp;IF(AND(EDATE($D78,Milestones!$AA$198)&lt;=AsOfDate,IF($R78=0,$X78,IF(AND($T78&lt;&gt;"",EDATE($D78,Milestones!$AA$198)&gt;=$T78),$W78,IF(AND($S78&lt;&gt;"",EDATE($D78,Milestones!$AA$198)&gt;=$S78),$V78,$U78)))=Milestones!$AB$198),UPPER(TEXT(EDATE($D78,Milestones!$AA$198),"dd mmm yy"))&amp;" "&amp;Milestones!$AB$198&amp;" "&amp;Milestones!$AC$198&amp;";  ","")&amp;IF(AND(EDATE($D78,Milestones!$AA$199)&lt;=AsOfDate,IF($R78=0,$X78,IF(AND($T78&lt;&gt;"",EDATE($D78,Milestones!$AA$199)&gt;=$T78),$W78,IF(AND($S78&lt;&gt;"",EDATE($D78,Milestones!$AA$199)&gt;=$S78),$V78,$U78)))=Milestones!$AB$199),UPPER(TEXT(EDATE($D78,Milestones!$AA$199),"dd mmm yy"))&amp;" "&amp;Milestones!$AB$199&amp;" "&amp;Milestones!$AC$199&amp;";  ",""))</f>
        <v/>
      </c>
      <c r="R78" s="0" t="str">
        <f aca="false">IF(Staff!$A78="","",Staff!$AI78)</f>
        <v/>
      </c>
      <c r="S78" s="0" t="str">
        <f aca="false">IF(Staff!$A78="","",Staff!$AK78)</f>
        <v/>
      </c>
      <c r="T78" s="0" t="str">
        <f aca="false">IF(Staff!$A78="","",Staff!$AL78)</f>
        <v/>
      </c>
      <c r="U78" s="0" t="str">
        <f aca="false">IF(Staff!$A78="","",Staff!$AP78)</f>
        <v/>
      </c>
      <c r="V78" s="0" t="str">
        <f aca="false">IF(Staff!$A78="","",Staff!$AQ78)</f>
        <v/>
      </c>
      <c r="W78" s="0" t="str">
        <f aca="false">IF(Staff!$A78="","",Staff!$AR78)</f>
        <v/>
      </c>
      <c r="X78" s="0" t="str">
        <f aca="false">IF(Staff!$A78="","",Staff!$AS78)</f>
        <v/>
      </c>
    </row>
    <row r="79" customFormat="false" ht="15" hidden="false" customHeight="false" outlineLevel="0" collapsed="false">
      <c r="A79" s="19" t="str">
        <f aca="false">IF(Staff!$A79="","",Staff!$A79)</f>
        <v/>
      </c>
      <c r="B79" s="19" t="str">
        <f aca="false">IF(Staff!$A79="","",Staff!$B79)</f>
        <v/>
      </c>
      <c r="C79" s="19" t="str">
        <f aca="false">IF(Staff!$A79="","",Staff!$C79)</f>
        <v/>
      </c>
      <c r="D79" s="17" t="str">
        <f aca="false">IF(Staff!$A79="","",Staff!$AH79)</f>
        <v/>
      </c>
      <c r="E79" s="19" t="str">
        <f aca="false">IF(Staff!$A79="","",Staff!$O79)</f>
        <v/>
      </c>
      <c r="F79" s="19" t="str">
        <f aca="false">IF(E79="","",E79*HoursPerDay)</f>
        <v/>
      </c>
      <c r="G79" s="19" t="str">
        <f aca="false">IF(Staff!$A79="","",Staff!$AE79)</f>
        <v/>
      </c>
      <c r="H79" s="32" t="str">
        <f aca="false">IF($A79="","",I79&amp;J79&amp;K79&amp;L79&amp;M79&amp;N79&amp;O79&amp;P79&amp;Q79)</f>
        <v/>
      </c>
      <c r="I79" s="0" t="str">
        <f aca="false">IF(OR($A79="",$D79=""),"",IF(AND(EDATE($D79,Milestones!$AA$20)&lt;=AsOfDate,IF($R79=0,$X79,IF(AND($T79&lt;&gt;"",EDATE($D79,Milestones!$AA$20)&gt;=$T79),$W79,IF(AND($S79&lt;&gt;"",EDATE($D79,Milestones!$AA$20)&gt;=$S79),$V79,$U79)))=Milestones!$AB$20),UPPER(TEXT(EDATE($D79,Milestones!$AA$20),"dd mmm yy"))&amp;" "&amp;Milestones!$AB$20&amp;" "&amp;Milestones!$AC$20&amp;";  ","")&amp;IF(AND(EDATE($D79,Milestones!$AA$21)&lt;=AsOfDate,IF($R79=0,$X79,IF(AND($T79&lt;&gt;"",EDATE($D79,Milestones!$AA$21)&gt;=$T79),$W79,IF(AND($S79&lt;&gt;"",EDATE($D79,Milestones!$AA$21)&gt;=$S79),$V79,$U79)))=Milestones!$AB$21),UPPER(TEXT(EDATE($D79,Milestones!$AA$21),"dd mmm yy"))&amp;" "&amp;Milestones!$AB$21&amp;" "&amp;Milestones!$AC$21&amp;";  ","")&amp;IF(AND(EDATE($D79,Milestones!$AA$22)&lt;=AsOfDate,IF($R79=0,$X79,IF(AND($T79&lt;&gt;"",EDATE($D79,Milestones!$AA$22)&gt;=$T79),$W79,IF(AND($S79&lt;&gt;"",EDATE($D79,Milestones!$AA$22)&gt;=$S79),$V79,$U79)))=Milestones!$AB$22),UPPER(TEXT(EDATE($D79,Milestones!$AA$22),"dd mmm yy"))&amp;" "&amp;Milestones!$AB$22&amp;" "&amp;Milestones!$AC$22&amp;";  ","")&amp;IF(AND(EDATE($D79,Milestones!$AA$23)&lt;=AsOfDate,IF($R79=0,$X79,IF(AND($T79&lt;&gt;"",EDATE($D79,Milestones!$AA$23)&gt;=$T79),$W79,IF(AND($S79&lt;&gt;"",EDATE($D79,Milestones!$AA$23)&gt;=$S79),$V79,$U79)))=Milestones!$AB$23),UPPER(TEXT(EDATE($D79,Milestones!$AA$23),"dd mmm yy"))&amp;" "&amp;Milestones!$AB$23&amp;" "&amp;Milestones!$AC$23&amp;";  ","")&amp;IF(AND(EDATE($D79,Milestones!$AA$24)&lt;=AsOfDate,IF($R79=0,$X79,IF(AND($T79&lt;&gt;"",EDATE($D79,Milestones!$AA$24)&gt;=$T79),$W79,IF(AND($S79&lt;&gt;"",EDATE($D79,Milestones!$AA$24)&gt;=$S79),$V79,$U79)))=Milestones!$AB$24),UPPER(TEXT(EDATE($D79,Milestones!$AA$24),"dd mmm yy"))&amp;" "&amp;Milestones!$AB$24&amp;" "&amp;Milestones!$AC$24&amp;";  ","")&amp;IF(AND(EDATE($D79,Milestones!$AA$25)&lt;=AsOfDate,IF($R79=0,$X79,IF(AND($T79&lt;&gt;"",EDATE($D79,Milestones!$AA$25)&gt;=$T79),$W79,IF(AND($S79&lt;&gt;"",EDATE($D79,Milestones!$AA$25)&gt;=$S79),$V79,$U79)))=Milestones!$AB$25),UPPER(TEXT(EDATE($D79,Milestones!$AA$25),"dd mmm yy"))&amp;" "&amp;Milestones!$AB$25&amp;" "&amp;Milestones!$AC$25&amp;";  ","")&amp;IF(AND(EDATE($D79,Milestones!$AA$26)&lt;=AsOfDate,IF($R79=0,$X79,IF(AND($T79&lt;&gt;"",EDATE($D79,Milestones!$AA$26)&gt;=$T79),$W79,IF(AND($S79&lt;&gt;"",EDATE($D79,Milestones!$AA$26)&gt;=$S79),$V79,$U79)))=Milestones!$AB$26),UPPER(TEXT(EDATE($D79,Milestones!$AA$26),"dd mmm yy"))&amp;" "&amp;Milestones!$AB$26&amp;" "&amp;Milestones!$AC$26&amp;";  ","")&amp;IF(AND(EDATE($D79,Milestones!$AA$27)&lt;=AsOfDate,IF($R79=0,$X79,IF(AND($T79&lt;&gt;"",EDATE($D79,Milestones!$AA$27)&gt;=$T79),$W79,IF(AND($S79&lt;&gt;"",EDATE($D79,Milestones!$AA$27)&gt;=$S79),$V79,$U79)))=Milestones!$AB$27),UPPER(TEXT(EDATE($D79,Milestones!$AA$27),"dd mmm yy"))&amp;" "&amp;Milestones!$AB$27&amp;" "&amp;Milestones!$AC$27&amp;";  ","")&amp;IF(AND(EDATE($D79,Milestones!$AA$28)&lt;=AsOfDate,IF($R79=0,$X79,IF(AND($T79&lt;&gt;"",EDATE($D79,Milestones!$AA$28)&gt;=$T79),$W79,IF(AND($S79&lt;&gt;"",EDATE($D79,Milestones!$AA$28)&gt;=$S79),$V79,$U79)))=Milestones!$AB$28),UPPER(TEXT(EDATE($D79,Milestones!$AA$28),"dd mmm yy"))&amp;" "&amp;Milestones!$AB$28&amp;" "&amp;Milestones!$AC$28&amp;";  ","")&amp;IF(AND(EDATE($D79,Milestones!$AA$29)&lt;=AsOfDate,IF($R79=0,$X79,IF(AND($T79&lt;&gt;"",EDATE($D79,Milestones!$AA$29)&gt;=$T79),$W79,IF(AND($S79&lt;&gt;"",EDATE($D79,Milestones!$AA$29)&gt;=$S79),$V79,$U79)))=Milestones!$AB$29),UPPER(TEXT(EDATE($D79,Milestones!$AA$29),"dd mmm yy"))&amp;" "&amp;Milestones!$AB$29&amp;" "&amp;Milestones!$AC$29&amp;";  ","")&amp;IF(AND(EDATE($D79,Milestones!$AA$30)&lt;=AsOfDate,IF($R79=0,$X79,IF(AND($T79&lt;&gt;"",EDATE($D79,Milestones!$AA$30)&gt;=$T79),$W79,IF(AND($S79&lt;&gt;"",EDATE($D79,Milestones!$AA$30)&gt;=$S79),$V79,$U79)))=Milestones!$AB$30),UPPER(TEXT(EDATE($D79,Milestones!$AA$30),"dd mmm yy"))&amp;" "&amp;Milestones!$AB$30&amp;" "&amp;Milestones!$AC$30&amp;";  ","")&amp;IF(AND(EDATE($D79,Milestones!$AA$31)&lt;=AsOfDate,IF($R79=0,$X79,IF(AND($T79&lt;&gt;"",EDATE($D79,Milestones!$AA$31)&gt;=$T79),$W79,IF(AND($S79&lt;&gt;"",EDATE($D79,Milestones!$AA$31)&gt;=$S79),$V79,$U79)))=Milestones!$AB$31),UPPER(TEXT(EDATE($D79,Milestones!$AA$31),"dd mmm yy"))&amp;" "&amp;Milestones!$AB$31&amp;" "&amp;Milestones!$AC$31&amp;";  ","")&amp;IF(AND(EDATE($D79,Milestones!$AA$32)&lt;=AsOfDate,IF($R79=0,$X79,IF(AND($T79&lt;&gt;"",EDATE($D79,Milestones!$AA$32)&gt;=$T79),$W79,IF(AND($S79&lt;&gt;"",EDATE($D79,Milestones!$AA$32)&gt;=$S79),$V79,$U79)))=Milestones!$AB$32),UPPER(TEXT(EDATE($D79,Milestones!$AA$32),"dd mmm yy"))&amp;" "&amp;Milestones!$AB$32&amp;" "&amp;Milestones!$AC$32&amp;";  ","")&amp;IF(AND(EDATE($D79,Milestones!$AA$33)&lt;=AsOfDate,IF($R79=0,$X79,IF(AND($T79&lt;&gt;"",EDATE($D79,Milestones!$AA$33)&gt;=$T79),$W79,IF(AND($S79&lt;&gt;"",EDATE($D79,Milestones!$AA$33)&gt;=$S79),$V79,$U79)))=Milestones!$AB$33),UPPER(TEXT(EDATE($D79,Milestones!$AA$33),"dd mmm yy"))&amp;" "&amp;Milestones!$AB$33&amp;" "&amp;Milestones!$AC$33&amp;";  ","")&amp;IF(AND(EDATE($D79,Milestones!$AA$34)&lt;=AsOfDate,IF($R79=0,$X79,IF(AND($T79&lt;&gt;"",EDATE($D79,Milestones!$AA$34)&gt;=$T79),$W79,IF(AND($S79&lt;&gt;"",EDATE($D79,Milestones!$AA$34)&gt;=$S79),$V79,$U79)))=Milestones!$AB$34),UPPER(TEXT(EDATE($D79,Milestones!$AA$34),"dd mmm yy"))&amp;" "&amp;Milestones!$AB$34&amp;" "&amp;Milestones!$AC$34&amp;";  ","")&amp;IF(AND(EDATE($D79,Milestones!$AA$35)&lt;=AsOfDate,IF($R79=0,$X79,IF(AND($T79&lt;&gt;"",EDATE($D79,Milestones!$AA$35)&gt;=$T79),$W79,IF(AND($S79&lt;&gt;"",EDATE($D79,Milestones!$AA$35)&gt;=$S79),$V79,$U79)))=Milestones!$AB$35),UPPER(TEXT(EDATE($D79,Milestones!$AA$35),"dd mmm yy"))&amp;" "&amp;Milestones!$AB$35&amp;" "&amp;Milestones!$AC$35&amp;";  ","")&amp;IF(AND(EDATE($D79,Milestones!$AA$36)&lt;=AsOfDate,IF($R79=0,$X79,IF(AND($T79&lt;&gt;"",EDATE($D79,Milestones!$AA$36)&gt;=$T79),$W79,IF(AND($S79&lt;&gt;"",EDATE($D79,Milestones!$AA$36)&gt;=$S79),$V79,$U79)))=Milestones!$AB$36),UPPER(TEXT(EDATE($D79,Milestones!$AA$36),"dd mmm yy"))&amp;" "&amp;Milestones!$AB$36&amp;" "&amp;Milestones!$AC$36&amp;";  ","")&amp;IF(AND(EDATE($D79,Milestones!$AA$37)&lt;=AsOfDate,IF($R79=0,$X79,IF(AND($T79&lt;&gt;"",EDATE($D79,Milestones!$AA$37)&gt;=$T79),$W79,IF(AND($S79&lt;&gt;"",EDATE($D79,Milestones!$AA$37)&gt;=$S79),$V79,$U79)))=Milestones!$AB$37),UPPER(TEXT(EDATE($D79,Milestones!$AA$37),"dd mmm yy"))&amp;" "&amp;Milestones!$AB$37&amp;" "&amp;Milestones!$AC$37&amp;";  ","")&amp;IF(AND(EDATE($D79,Milestones!$AA$38)&lt;=AsOfDate,IF($R79=0,$X79,IF(AND($T79&lt;&gt;"",EDATE($D79,Milestones!$AA$38)&gt;=$T79),$W79,IF(AND($S79&lt;&gt;"",EDATE($D79,Milestones!$AA$38)&gt;=$S79),$V79,$U79)))=Milestones!$AB$38),UPPER(TEXT(EDATE($D79,Milestones!$AA$38),"dd mmm yy"))&amp;" "&amp;Milestones!$AB$38&amp;" "&amp;Milestones!$AC$38&amp;";  ","")&amp;IF(AND(EDATE($D79,Milestones!$AA$39)&lt;=AsOfDate,IF($R79=0,$X79,IF(AND($T79&lt;&gt;"",EDATE($D79,Milestones!$AA$39)&gt;=$T79),$W79,IF(AND($S79&lt;&gt;"",EDATE($D79,Milestones!$AA$39)&gt;=$S79),$V79,$U79)))=Milestones!$AB$39),UPPER(TEXT(EDATE($D79,Milestones!$AA$39),"dd mmm yy"))&amp;" "&amp;Milestones!$AB$39&amp;" "&amp;Milestones!$AC$39&amp;";  ",""))</f>
        <v/>
      </c>
      <c r="J79" s="0" t="str">
        <f aca="false">IF(OR($A79="",$D79=""),"",IF(AND(EDATE($D79,Milestones!$AA$40)&lt;=AsOfDate,IF($R79=0,$X79,IF(AND($T79&lt;&gt;"",EDATE($D79,Milestones!$AA$40)&gt;=$T79),$W79,IF(AND($S79&lt;&gt;"",EDATE($D79,Milestones!$AA$40)&gt;=$S79),$V79,$U79)))=Milestones!$AB$40),UPPER(TEXT(EDATE($D79,Milestones!$AA$40),"dd mmm yy"))&amp;" "&amp;Milestones!$AB$40&amp;" "&amp;Milestones!$AC$40&amp;";  ","")&amp;IF(AND(EDATE($D79,Milestones!$AA$41)&lt;=AsOfDate,IF($R79=0,$X79,IF(AND($T79&lt;&gt;"",EDATE($D79,Milestones!$AA$41)&gt;=$T79),$W79,IF(AND($S79&lt;&gt;"",EDATE($D79,Milestones!$AA$41)&gt;=$S79),$V79,$U79)))=Milestones!$AB$41),UPPER(TEXT(EDATE($D79,Milestones!$AA$41),"dd mmm yy"))&amp;" "&amp;Milestones!$AB$41&amp;" "&amp;Milestones!$AC$41&amp;";  ","")&amp;IF(AND(EDATE($D79,Milestones!$AA$42)&lt;=AsOfDate,IF($R79=0,$X79,IF(AND($T79&lt;&gt;"",EDATE($D79,Milestones!$AA$42)&gt;=$T79),$W79,IF(AND($S79&lt;&gt;"",EDATE($D79,Milestones!$AA$42)&gt;=$S79),$V79,$U79)))=Milestones!$AB$42),UPPER(TEXT(EDATE($D79,Milestones!$AA$42),"dd mmm yy"))&amp;" "&amp;Milestones!$AB$42&amp;" "&amp;Milestones!$AC$42&amp;";  ","")&amp;IF(AND(EDATE($D79,Milestones!$AA$43)&lt;=AsOfDate,IF($R79=0,$X79,IF(AND($T79&lt;&gt;"",EDATE($D79,Milestones!$AA$43)&gt;=$T79),$W79,IF(AND($S79&lt;&gt;"",EDATE($D79,Milestones!$AA$43)&gt;=$S79),$V79,$U79)))=Milestones!$AB$43),UPPER(TEXT(EDATE($D79,Milestones!$AA$43),"dd mmm yy"))&amp;" "&amp;Milestones!$AB$43&amp;" "&amp;Milestones!$AC$43&amp;";  ","")&amp;IF(AND(EDATE($D79,Milestones!$AA$44)&lt;=AsOfDate,IF($R79=0,$X79,IF(AND($T79&lt;&gt;"",EDATE($D79,Milestones!$AA$44)&gt;=$T79),$W79,IF(AND($S79&lt;&gt;"",EDATE($D79,Milestones!$AA$44)&gt;=$S79),$V79,$U79)))=Milestones!$AB$44),UPPER(TEXT(EDATE($D79,Milestones!$AA$44),"dd mmm yy"))&amp;" "&amp;Milestones!$AB$44&amp;" "&amp;Milestones!$AC$44&amp;";  ","")&amp;IF(AND(EDATE($D79,Milestones!$AA$45)&lt;=AsOfDate,IF($R79=0,$X79,IF(AND($T79&lt;&gt;"",EDATE($D79,Milestones!$AA$45)&gt;=$T79),$W79,IF(AND($S79&lt;&gt;"",EDATE($D79,Milestones!$AA$45)&gt;=$S79),$V79,$U79)))=Milestones!$AB$45),UPPER(TEXT(EDATE($D79,Milestones!$AA$45),"dd mmm yy"))&amp;" "&amp;Milestones!$AB$45&amp;" "&amp;Milestones!$AC$45&amp;";  ","")&amp;IF(AND(EDATE($D79,Milestones!$AA$46)&lt;=AsOfDate,IF($R79=0,$X79,IF(AND($T79&lt;&gt;"",EDATE($D79,Milestones!$AA$46)&gt;=$T79),$W79,IF(AND($S79&lt;&gt;"",EDATE($D79,Milestones!$AA$46)&gt;=$S79),$V79,$U79)))=Milestones!$AB$46),UPPER(TEXT(EDATE($D79,Milestones!$AA$46),"dd mmm yy"))&amp;" "&amp;Milestones!$AB$46&amp;" "&amp;Milestones!$AC$46&amp;";  ","")&amp;IF(AND(EDATE($D79,Milestones!$AA$47)&lt;=AsOfDate,IF($R79=0,$X79,IF(AND($T79&lt;&gt;"",EDATE($D79,Milestones!$AA$47)&gt;=$T79),$W79,IF(AND($S79&lt;&gt;"",EDATE($D79,Milestones!$AA$47)&gt;=$S79),$V79,$U79)))=Milestones!$AB$47),UPPER(TEXT(EDATE($D79,Milestones!$AA$47),"dd mmm yy"))&amp;" "&amp;Milestones!$AB$47&amp;" "&amp;Milestones!$AC$47&amp;";  ","")&amp;IF(AND(EDATE($D79,Milestones!$AA$48)&lt;=AsOfDate,IF($R79=0,$X79,IF(AND($T79&lt;&gt;"",EDATE($D79,Milestones!$AA$48)&gt;=$T79),$W79,IF(AND($S79&lt;&gt;"",EDATE($D79,Milestones!$AA$48)&gt;=$S79),$V79,$U79)))=Milestones!$AB$48),UPPER(TEXT(EDATE($D79,Milestones!$AA$48),"dd mmm yy"))&amp;" "&amp;Milestones!$AB$48&amp;" "&amp;Milestones!$AC$48&amp;";  ","")&amp;IF(AND(EDATE($D79,Milestones!$AA$49)&lt;=AsOfDate,IF($R79=0,$X79,IF(AND($T79&lt;&gt;"",EDATE($D79,Milestones!$AA$49)&gt;=$T79),$W79,IF(AND($S79&lt;&gt;"",EDATE($D79,Milestones!$AA$49)&gt;=$S79),$V79,$U79)))=Milestones!$AB$49),UPPER(TEXT(EDATE($D79,Milestones!$AA$49),"dd mmm yy"))&amp;" "&amp;Milestones!$AB$49&amp;" "&amp;Milestones!$AC$49&amp;";  ","")&amp;IF(AND(EDATE($D79,Milestones!$AA$50)&lt;=AsOfDate,IF($R79=0,$X79,IF(AND($T79&lt;&gt;"",EDATE($D79,Milestones!$AA$50)&gt;=$T79),$W79,IF(AND($S79&lt;&gt;"",EDATE($D79,Milestones!$AA$50)&gt;=$S79),$V79,$U79)))=Milestones!$AB$50),UPPER(TEXT(EDATE($D79,Milestones!$AA$50),"dd mmm yy"))&amp;" "&amp;Milestones!$AB$50&amp;" "&amp;Milestones!$AC$50&amp;";  ","")&amp;IF(AND(EDATE($D79,Milestones!$AA$51)&lt;=AsOfDate,IF($R79=0,$X79,IF(AND($T79&lt;&gt;"",EDATE($D79,Milestones!$AA$51)&gt;=$T79),$W79,IF(AND($S79&lt;&gt;"",EDATE($D79,Milestones!$AA$51)&gt;=$S79),$V79,$U79)))=Milestones!$AB$51),UPPER(TEXT(EDATE($D79,Milestones!$AA$51),"dd mmm yy"))&amp;" "&amp;Milestones!$AB$51&amp;" "&amp;Milestones!$AC$51&amp;";  ","")&amp;IF(AND(EDATE($D79,Milestones!$AA$52)&lt;=AsOfDate,IF($R79=0,$X79,IF(AND($T79&lt;&gt;"",EDATE($D79,Milestones!$AA$52)&gt;=$T79),$W79,IF(AND($S79&lt;&gt;"",EDATE($D79,Milestones!$AA$52)&gt;=$S79),$V79,$U79)))=Milestones!$AB$52),UPPER(TEXT(EDATE($D79,Milestones!$AA$52),"dd mmm yy"))&amp;" "&amp;Milestones!$AB$52&amp;" "&amp;Milestones!$AC$52&amp;";  ","")&amp;IF(AND(EDATE($D79,Milestones!$AA$53)&lt;=AsOfDate,IF($R79=0,$X79,IF(AND($T79&lt;&gt;"",EDATE($D79,Milestones!$AA$53)&gt;=$T79),$W79,IF(AND($S79&lt;&gt;"",EDATE($D79,Milestones!$AA$53)&gt;=$S79),$V79,$U79)))=Milestones!$AB$53),UPPER(TEXT(EDATE($D79,Milestones!$AA$53),"dd mmm yy"))&amp;" "&amp;Milestones!$AB$53&amp;" "&amp;Milestones!$AC$53&amp;";  ","")&amp;IF(AND(EDATE($D79,Milestones!$AA$54)&lt;=AsOfDate,IF($R79=0,$X79,IF(AND($T79&lt;&gt;"",EDATE($D79,Milestones!$AA$54)&gt;=$T79),$W79,IF(AND($S79&lt;&gt;"",EDATE($D79,Milestones!$AA$54)&gt;=$S79),$V79,$U79)))=Milestones!$AB$54),UPPER(TEXT(EDATE($D79,Milestones!$AA$54),"dd mmm yy"))&amp;" "&amp;Milestones!$AB$54&amp;" "&amp;Milestones!$AC$54&amp;";  ","")&amp;IF(AND(EDATE($D79,Milestones!$AA$55)&lt;=AsOfDate,IF($R79=0,$X79,IF(AND($T79&lt;&gt;"",EDATE($D79,Milestones!$AA$55)&gt;=$T79),$W79,IF(AND($S79&lt;&gt;"",EDATE($D79,Milestones!$AA$55)&gt;=$S79),$V79,$U79)))=Milestones!$AB$55),UPPER(TEXT(EDATE($D79,Milestones!$AA$55),"dd mmm yy"))&amp;" "&amp;Milestones!$AB$55&amp;" "&amp;Milestones!$AC$55&amp;";  ","")&amp;IF(AND(EDATE($D79,Milestones!$AA$56)&lt;=AsOfDate,IF($R79=0,$X79,IF(AND($T79&lt;&gt;"",EDATE($D79,Milestones!$AA$56)&gt;=$T79),$W79,IF(AND($S79&lt;&gt;"",EDATE($D79,Milestones!$AA$56)&gt;=$S79),$V79,$U79)))=Milestones!$AB$56),UPPER(TEXT(EDATE($D79,Milestones!$AA$56),"dd mmm yy"))&amp;" "&amp;Milestones!$AB$56&amp;" "&amp;Milestones!$AC$56&amp;";  ","")&amp;IF(AND(EDATE($D79,Milestones!$AA$57)&lt;=AsOfDate,IF($R79=0,$X79,IF(AND($T79&lt;&gt;"",EDATE($D79,Milestones!$AA$57)&gt;=$T79),$W79,IF(AND($S79&lt;&gt;"",EDATE($D79,Milestones!$AA$57)&gt;=$S79),$V79,$U79)))=Milestones!$AB$57),UPPER(TEXT(EDATE($D79,Milestones!$AA$57),"dd mmm yy"))&amp;" "&amp;Milestones!$AB$57&amp;" "&amp;Milestones!$AC$57&amp;";  ","")&amp;IF(AND(EDATE($D79,Milestones!$AA$58)&lt;=AsOfDate,IF($R79=0,$X79,IF(AND($T79&lt;&gt;"",EDATE($D79,Milestones!$AA$58)&gt;=$T79),$W79,IF(AND($S79&lt;&gt;"",EDATE($D79,Milestones!$AA$58)&gt;=$S79),$V79,$U79)))=Milestones!$AB$58),UPPER(TEXT(EDATE($D79,Milestones!$AA$58),"dd mmm yy"))&amp;" "&amp;Milestones!$AB$58&amp;" "&amp;Milestones!$AC$58&amp;";  ","")&amp;IF(AND(EDATE($D79,Milestones!$AA$59)&lt;=AsOfDate,IF($R79=0,$X79,IF(AND($T79&lt;&gt;"",EDATE($D79,Milestones!$AA$59)&gt;=$T79),$W79,IF(AND($S79&lt;&gt;"",EDATE($D79,Milestones!$AA$59)&gt;=$S79),$V79,$U79)))=Milestones!$AB$59),UPPER(TEXT(EDATE($D79,Milestones!$AA$59),"dd mmm yy"))&amp;" "&amp;Milestones!$AB$59&amp;" "&amp;Milestones!$AC$59&amp;";  ",""))</f>
        <v/>
      </c>
      <c r="K79" s="0" t="str">
        <f aca="false">IF(OR($A79="",$D79=""),"",IF(AND(EDATE($D79,Milestones!$AA$60)&lt;=AsOfDate,IF($R79=0,$X79,IF(AND($T79&lt;&gt;"",EDATE($D79,Milestones!$AA$60)&gt;=$T79),$W79,IF(AND($S79&lt;&gt;"",EDATE($D79,Milestones!$AA$60)&gt;=$S79),$V79,$U79)))=Milestones!$AB$60),UPPER(TEXT(EDATE($D79,Milestones!$AA$60),"dd mmm yy"))&amp;" "&amp;Milestones!$AB$60&amp;" "&amp;Milestones!$AC$60&amp;";  ","")&amp;IF(AND(EDATE($D79,Milestones!$AA$61)&lt;=AsOfDate,IF($R79=0,$X79,IF(AND($T79&lt;&gt;"",EDATE($D79,Milestones!$AA$61)&gt;=$T79),$W79,IF(AND($S79&lt;&gt;"",EDATE($D79,Milestones!$AA$61)&gt;=$S79),$V79,$U79)))=Milestones!$AB$61),UPPER(TEXT(EDATE($D79,Milestones!$AA$61),"dd mmm yy"))&amp;" "&amp;Milestones!$AB$61&amp;" "&amp;Milestones!$AC$61&amp;";  ","")&amp;IF(AND(EDATE($D79,Milestones!$AA$62)&lt;=AsOfDate,IF($R79=0,$X79,IF(AND($T79&lt;&gt;"",EDATE($D79,Milestones!$AA$62)&gt;=$T79),$W79,IF(AND($S79&lt;&gt;"",EDATE($D79,Milestones!$AA$62)&gt;=$S79),$V79,$U79)))=Milestones!$AB$62),UPPER(TEXT(EDATE($D79,Milestones!$AA$62),"dd mmm yy"))&amp;" "&amp;Milestones!$AB$62&amp;" "&amp;Milestones!$AC$62&amp;";  ","")&amp;IF(AND(EDATE($D79,Milestones!$AA$63)&lt;=AsOfDate,IF($R79=0,$X79,IF(AND($T79&lt;&gt;"",EDATE($D79,Milestones!$AA$63)&gt;=$T79),$W79,IF(AND($S79&lt;&gt;"",EDATE($D79,Milestones!$AA$63)&gt;=$S79),$V79,$U79)))=Milestones!$AB$63),UPPER(TEXT(EDATE($D79,Milestones!$AA$63),"dd mmm yy"))&amp;" "&amp;Milestones!$AB$63&amp;" "&amp;Milestones!$AC$63&amp;";  ","")&amp;IF(AND(EDATE($D79,Milestones!$AA$64)&lt;=AsOfDate,IF($R79=0,$X79,IF(AND($T79&lt;&gt;"",EDATE($D79,Milestones!$AA$64)&gt;=$T79),$W79,IF(AND($S79&lt;&gt;"",EDATE($D79,Milestones!$AA$64)&gt;=$S79),$V79,$U79)))=Milestones!$AB$64),UPPER(TEXT(EDATE($D79,Milestones!$AA$64),"dd mmm yy"))&amp;" "&amp;Milestones!$AB$64&amp;" "&amp;Milestones!$AC$64&amp;";  ","")&amp;IF(AND(EDATE($D79,Milestones!$AA$65)&lt;=AsOfDate,IF($R79=0,$X79,IF(AND($T79&lt;&gt;"",EDATE($D79,Milestones!$AA$65)&gt;=$T79),$W79,IF(AND($S79&lt;&gt;"",EDATE($D79,Milestones!$AA$65)&gt;=$S79),$V79,$U79)))=Milestones!$AB$65),UPPER(TEXT(EDATE($D79,Milestones!$AA$65),"dd mmm yy"))&amp;" "&amp;Milestones!$AB$65&amp;" "&amp;Milestones!$AC$65&amp;";  ","")&amp;IF(AND(EDATE($D79,Milestones!$AA$66)&lt;=AsOfDate,IF($R79=0,$X79,IF(AND($T79&lt;&gt;"",EDATE($D79,Milestones!$AA$66)&gt;=$T79),$W79,IF(AND($S79&lt;&gt;"",EDATE($D79,Milestones!$AA$66)&gt;=$S79),$V79,$U79)))=Milestones!$AB$66),UPPER(TEXT(EDATE($D79,Milestones!$AA$66),"dd mmm yy"))&amp;" "&amp;Milestones!$AB$66&amp;" "&amp;Milestones!$AC$66&amp;";  ","")&amp;IF(AND(EDATE($D79,Milestones!$AA$67)&lt;=AsOfDate,IF($R79=0,$X79,IF(AND($T79&lt;&gt;"",EDATE($D79,Milestones!$AA$67)&gt;=$T79),$W79,IF(AND($S79&lt;&gt;"",EDATE($D79,Milestones!$AA$67)&gt;=$S79),$V79,$U79)))=Milestones!$AB$67),UPPER(TEXT(EDATE($D79,Milestones!$AA$67),"dd mmm yy"))&amp;" "&amp;Milestones!$AB$67&amp;" "&amp;Milestones!$AC$67&amp;";  ","")&amp;IF(AND(EDATE($D79,Milestones!$AA$68)&lt;=AsOfDate,IF($R79=0,$X79,IF(AND($T79&lt;&gt;"",EDATE($D79,Milestones!$AA$68)&gt;=$T79),$W79,IF(AND($S79&lt;&gt;"",EDATE($D79,Milestones!$AA$68)&gt;=$S79),$V79,$U79)))=Milestones!$AB$68),UPPER(TEXT(EDATE($D79,Milestones!$AA$68),"dd mmm yy"))&amp;" "&amp;Milestones!$AB$68&amp;" "&amp;Milestones!$AC$68&amp;";  ","")&amp;IF(AND(EDATE($D79,Milestones!$AA$69)&lt;=AsOfDate,IF($R79=0,$X79,IF(AND($T79&lt;&gt;"",EDATE($D79,Milestones!$AA$69)&gt;=$T79),$W79,IF(AND($S79&lt;&gt;"",EDATE($D79,Milestones!$AA$69)&gt;=$S79),$V79,$U79)))=Milestones!$AB$69),UPPER(TEXT(EDATE($D79,Milestones!$AA$69),"dd mmm yy"))&amp;" "&amp;Milestones!$AB$69&amp;" "&amp;Milestones!$AC$69&amp;";  ","")&amp;IF(AND(EDATE($D79,Milestones!$AA$70)&lt;=AsOfDate,IF($R79=0,$X79,IF(AND($T79&lt;&gt;"",EDATE($D79,Milestones!$AA$70)&gt;=$T79),$W79,IF(AND($S79&lt;&gt;"",EDATE($D79,Milestones!$AA$70)&gt;=$S79),$V79,$U79)))=Milestones!$AB$70),UPPER(TEXT(EDATE($D79,Milestones!$AA$70),"dd mmm yy"))&amp;" "&amp;Milestones!$AB$70&amp;" "&amp;Milestones!$AC$70&amp;";  ","")&amp;IF(AND(EDATE($D79,Milestones!$AA$71)&lt;=AsOfDate,IF($R79=0,$X79,IF(AND($T79&lt;&gt;"",EDATE($D79,Milestones!$AA$71)&gt;=$T79),$W79,IF(AND($S79&lt;&gt;"",EDATE($D79,Milestones!$AA$71)&gt;=$S79),$V79,$U79)))=Milestones!$AB$71),UPPER(TEXT(EDATE($D79,Milestones!$AA$71),"dd mmm yy"))&amp;" "&amp;Milestones!$AB$71&amp;" "&amp;Milestones!$AC$71&amp;";  ","")&amp;IF(AND(EDATE($D79,Milestones!$AA$72)&lt;=AsOfDate,IF($R79=0,$X79,IF(AND($T79&lt;&gt;"",EDATE($D79,Milestones!$AA$72)&gt;=$T79),$W79,IF(AND($S79&lt;&gt;"",EDATE($D79,Milestones!$AA$72)&gt;=$S79),$V79,$U79)))=Milestones!$AB$72),UPPER(TEXT(EDATE($D79,Milestones!$AA$72),"dd mmm yy"))&amp;" "&amp;Milestones!$AB$72&amp;" "&amp;Milestones!$AC$72&amp;";  ","")&amp;IF(AND(EDATE($D79,Milestones!$AA$73)&lt;=AsOfDate,IF($R79=0,$X79,IF(AND($T79&lt;&gt;"",EDATE($D79,Milestones!$AA$73)&gt;=$T79),$W79,IF(AND($S79&lt;&gt;"",EDATE($D79,Milestones!$AA$73)&gt;=$S79),$V79,$U79)))=Milestones!$AB$73),UPPER(TEXT(EDATE($D79,Milestones!$AA$73),"dd mmm yy"))&amp;" "&amp;Milestones!$AB$73&amp;" "&amp;Milestones!$AC$73&amp;";  ","")&amp;IF(AND(EDATE($D79,Milestones!$AA$74)&lt;=AsOfDate,IF($R79=0,$X79,IF(AND($T79&lt;&gt;"",EDATE($D79,Milestones!$AA$74)&gt;=$T79),$W79,IF(AND($S79&lt;&gt;"",EDATE($D79,Milestones!$AA$74)&gt;=$S79),$V79,$U79)))=Milestones!$AB$74),UPPER(TEXT(EDATE($D79,Milestones!$AA$74),"dd mmm yy"))&amp;" "&amp;Milestones!$AB$74&amp;" "&amp;Milestones!$AC$74&amp;";  ","")&amp;IF(AND(EDATE($D79,Milestones!$AA$75)&lt;=AsOfDate,IF($R79=0,$X79,IF(AND($T79&lt;&gt;"",EDATE($D79,Milestones!$AA$75)&gt;=$T79),$W79,IF(AND($S79&lt;&gt;"",EDATE($D79,Milestones!$AA$75)&gt;=$S79),$V79,$U79)))=Milestones!$AB$75),UPPER(TEXT(EDATE($D79,Milestones!$AA$75),"dd mmm yy"))&amp;" "&amp;Milestones!$AB$75&amp;" "&amp;Milestones!$AC$75&amp;";  ","")&amp;IF(AND(EDATE($D79,Milestones!$AA$76)&lt;=AsOfDate,IF($R79=0,$X79,IF(AND($T79&lt;&gt;"",EDATE($D79,Milestones!$AA$76)&gt;=$T79),$W79,IF(AND($S79&lt;&gt;"",EDATE($D79,Milestones!$AA$76)&gt;=$S79),$V79,$U79)))=Milestones!$AB$76),UPPER(TEXT(EDATE($D79,Milestones!$AA$76),"dd mmm yy"))&amp;" "&amp;Milestones!$AB$76&amp;" "&amp;Milestones!$AC$76&amp;";  ","")&amp;IF(AND(EDATE($D79,Milestones!$AA$77)&lt;=AsOfDate,IF($R79=0,$X79,IF(AND($T79&lt;&gt;"",EDATE($D79,Milestones!$AA$77)&gt;=$T79),$W79,IF(AND($S79&lt;&gt;"",EDATE($D79,Milestones!$AA$77)&gt;=$S79),$V79,$U79)))=Milestones!$AB$77),UPPER(TEXT(EDATE($D79,Milestones!$AA$77),"dd mmm yy"))&amp;" "&amp;Milestones!$AB$77&amp;" "&amp;Milestones!$AC$77&amp;";  ","")&amp;IF(AND(EDATE($D79,Milestones!$AA$78)&lt;=AsOfDate,IF($R79=0,$X79,IF(AND($T79&lt;&gt;"",EDATE($D79,Milestones!$AA$78)&gt;=$T79),$W79,IF(AND($S79&lt;&gt;"",EDATE($D79,Milestones!$AA$78)&gt;=$S79),$V79,$U79)))=Milestones!$AB$78),UPPER(TEXT(EDATE($D79,Milestones!$AA$78),"dd mmm yy"))&amp;" "&amp;Milestones!$AB$78&amp;" "&amp;Milestones!$AC$78&amp;";  ","")&amp;IF(AND(EDATE($D79,Milestones!$AA$79)&lt;=AsOfDate,IF($R79=0,$X79,IF(AND($T79&lt;&gt;"",EDATE($D79,Milestones!$AA$79)&gt;=$T79),$W79,IF(AND($S79&lt;&gt;"",EDATE($D79,Milestones!$AA$79)&gt;=$S79),$V79,$U79)))=Milestones!$AB$79),UPPER(TEXT(EDATE($D79,Milestones!$AA$79),"dd mmm yy"))&amp;" "&amp;Milestones!$AB$79&amp;" "&amp;Milestones!$AC$79&amp;";  ",""))</f>
        <v/>
      </c>
      <c r="L79" s="0" t="str">
        <f aca="false">IF(OR($A79="",$D79=""),"",IF(AND(EDATE($D79,Milestones!$AA$80)&lt;=AsOfDate,IF($R79=0,$X79,IF(AND($T79&lt;&gt;"",EDATE($D79,Milestones!$AA$80)&gt;=$T79),$W79,IF(AND($S79&lt;&gt;"",EDATE($D79,Milestones!$AA$80)&gt;=$S79),$V79,$U79)))=Milestones!$AB$80),UPPER(TEXT(EDATE($D79,Milestones!$AA$80),"dd mmm yy"))&amp;" "&amp;Milestones!$AB$80&amp;" "&amp;Milestones!$AC$80&amp;";  ","")&amp;IF(AND(EDATE($D79,Milestones!$AA$81)&lt;=AsOfDate,IF($R79=0,$X79,IF(AND($T79&lt;&gt;"",EDATE($D79,Milestones!$AA$81)&gt;=$T79),$W79,IF(AND($S79&lt;&gt;"",EDATE($D79,Milestones!$AA$81)&gt;=$S79),$V79,$U79)))=Milestones!$AB$81),UPPER(TEXT(EDATE($D79,Milestones!$AA$81),"dd mmm yy"))&amp;" "&amp;Milestones!$AB$81&amp;" "&amp;Milestones!$AC$81&amp;";  ","")&amp;IF(AND(EDATE($D79,Milestones!$AA$82)&lt;=AsOfDate,IF($R79=0,$X79,IF(AND($T79&lt;&gt;"",EDATE($D79,Milestones!$AA$82)&gt;=$T79),$W79,IF(AND($S79&lt;&gt;"",EDATE($D79,Milestones!$AA$82)&gt;=$S79),$V79,$U79)))=Milestones!$AB$82),UPPER(TEXT(EDATE($D79,Milestones!$AA$82),"dd mmm yy"))&amp;" "&amp;Milestones!$AB$82&amp;" "&amp;Milestones!$AC$82&amp;";  ","")&amp;IF(AND(EDATE($D79,Milestones!$AA$83)&lt;=AsOfDate,IF($R79=0,$X79,IF(AND($T79&lt;&gt;"",EDATE($D79,Milestones!$AA$83)&gt;=$T79),$W79,IF(AND($S79&lt;&gt;"",EDATE($D79,Milestones!$AA$83)&gt;=$S79),$V79,$U79)))=Milestones!$AB$83),UPPER(TEXT(EDATE($D79,Milestones!$AA$83),"dd mmm yy"))&amp;" "&amp;Milestones!$AB$83&amp;" "&amp;Milestones!$AC$83&amp;";  ","")&amp;IF(AND(EDATE($D79,Milestones!$AA$84)&lt;=AsOfDate,IF($R79=0,$X79,IF(AND($T79&lt;&gt;"",EDATE($D79,Milestones!$AA$84)&gt;=$T79),$W79,IF(AND($S79&lt;&gt;"",EDATE($D79,Milestones!$AA$84)&gt;=$S79),$V79,$U79)))=Milestones!$AB$84),UPPER(TEXT(EDATE($D79,Milestones!$AA$84),"dd mmm yy"))&amp;" "&amp;Milestones!$AB$84&amp;" "&amp;Milestones!$AC$84&amp;";  ","")&amp;IF(AND(EDATE($D79,Milestones!$AA$85)&lt;=AsOfDate,IF($R79=0,$X79,IF(AND($T79&lt;&gt;"",EDATE($D79,Milestones!$AA$85)&gt;=$T79),$W79,IF(AND($S79&lt;&gt;"",EDATE($D79,Milestones!$AA$85)&gt;=$S79),$V79,$U79)))=Milestones!$AB$85),UPPER(TEXT(EDATE($D79,Milestones!$AA$85),"dd mmm yy"))&amp;" "&amp;Milestones!$AB$85&amp;" "&amp;Milestones!$AC$85&amp;";  ","")&amp;IF(AND(EDATE($D79,Milestones!$AA$86)&lt;=AsOfDate,IF($R79=0,$X79,IF(AND($T79&lt;&gt;"",EDATE($D79,Milestones!$AA$86)&gt;=$T79),$W79,IF(AND($S79&lt;&gt;"",EDATE($D79,Milestones!$AA$86)&gt;=$S79),$V79,$U79)))=Milestones!$AB$86),UPPER(TEXT(EDATE($D79,Milestones!$AA$86),"dd mmm yy"))&amp;" "&amp;Milestones!$AB$86&amp;" "&amp;Milestones!$AC$86&amp;";  ","")&amp;IF(AND(EDATE($D79,Milestones!$AA$87)&lt;=AsOfDate,IF($R79=0,$X79,IF(AND($T79&lt;&gt;"",EDATE($D79,Milestones!$AA$87)&gt;=$T79),$W79,IF(AND($S79&lt;&gt;"",EDATE($D79,Milestones!$AA$87)&gt;=$S79),$V79,$U79)))=Milestones!$AB$87),UPPER(TEXT(EDATE($D79,Milestones!$AA$87),"dd mmm yy"))&amp;" "&amp;Milestones!$AB$87&amp;" "&amp;Milestones!$AC$87&amp;";  ","")&amp;IF(AND(EDATE($D79,Milestones!$AA$88)&lt;=AsOfDate,IF($R79=0,$X79,IF(AND($T79&lt;&gt;"",EDATE($D79,Milestones!$AA$88)&gt;=$T79),$W79,IF(AND($S79&lt;&gt;"",EDATE($D79,Milestones!$AA$88)&gt;=$S79),$V79,$U79)))=Milestones!$AB$88),UPPER(TEXT(EDATE($D79,Milestones!$AA$88),"dd mmm yy"))&amp;" "&amp;Milestones!$AB$88&amp;" "&amp;Milestones!$AC$88&amp;";  ","")&amp;IF(AND(EDATE($D79,Milestones!$AA$89)&lt;=AsOfDate,IF($R79=0,$X79,IF(AND($T79&lt;&gt;"",EDATE($D79,Milestones!$AA$89)&gt;=$T79),$W79,IF(AND($S79&lt;&gt;"",EDATE($D79,Milestones!$AA$89)&gt;=$S79),$V79,$U79)))=Milestones!$AB$89),UPPER(TEXT(EDATE($D79,Milestones!$AA$89),"dd mmm yy"))&amp;" "&amp;Milestones!$AB$89&amp;" "&amp;Milestones!$AC$89&amp;";  ","")&amp;IF(AND(EDATE($D79,Milestones!$AA$90)&lt;=AsOfDate,IF($R79=0,$X79,IF(AND($T79&lt;&gt;"",EDATE($D79,Milestones!$AA$90)&gt;=$T79),$W79,IF(AND($S79&lt;&gt;"",EDATE($D79,Milestones!$AA$90)&gt;=$S79),$V79,$U79)))=Milestones!$AB$90),UPPER(TEXT(EDATE($D79,Milestones!$AA$90),"dd mmm yy"))&amp;" "&amp;Milestones!$AB$90&amp;" "&amp;Milestones!$AC$90&amp;";  ","")&amp;IF(AND(EDATE($D79,Milestones!$AA$91)&lt;=AsOfDate,IF($R79=0,$X79,IF(AND($T79&lt;&gt;"",EDATE($D79,Milestones!$AA$91)&gt;=$T79),$W79,IF(AND($S79&lt;&gt;"",EDATE($D79,Milestones!$AA$91)&gt;=$S79),$V79,$U79)))=Milestones!$AB$91),UPPER(TEXT(EDATE($D79,Milestones!$AA$91),"dd mmm yy"))&amp;" "&amp;Milestones!$AB$91&amp;" "&amp;Milestones!$AC$91&amp;";  ","")&amp;IF(AND(EDATE($D79,Milestones!$AA$92)&lt;=AsOfDate,IF($R79=0,$X79,IF(AND($T79&lt;&gt;"",EDATE($D79,Milestones!$AA$92)&gt;=$T79),$W79,IF(AND($S79&lt;&gt;"",EDATE($D79,Milestones!$AA$92)&gt;=$S79),$V79,$U79)))=Milestones!$AB$92),UPPER(TEXT(EDATE($D79,Milestones!$AA$92),"dd mmm yy"))&amp;" "&amp;Milestones!$AB$92&amp;" "&amp;Milestones!$AC$92&amp;";  ","")&amp;IF(AND(EDATE($D79,Milestones!$AA$93)&lt;=AsOfDate,IF($R79=0,$X79,IF(AND($T79&lt;&gt;"",EDATE($D79,Milestones!$AA$93)&gt;=$T79),$W79,IF(AND($S79&lt;&gt;"",EDATE($D79,Milestones!$AA$93)&gt;=$S79),$V79,$U79)))=Milestones!$AB$93),UPPER(TEXT(EDATE($D79,Milestones!$AA$93),"dd mmm yy"))&amp;" "&amp;Milestones!$AB$93&amp;" "&amp;Milestones!$AC$93&amp;";  ","")&amp;IF(AND(EDATE($D79,Milestones!$AA$94)&lt;=AsOfDate,IF($R79=0,$X79,IF(AND($T79&lt;&gt;"",EDATE($D79,Milestones!$AA$94)&gt;=$T79),$W79,IF(AND($S79&lt;&gt;"",EDATE($D79,Milestones!$AA$94)&gt;=$S79),$V79,$U79)))=Milestones!$AB$94),UPPER(TEXT(EDATE($D79,Milestones!$AA$94),"dd mmm yy"))&amp;" "&amp;Milestones!$AB$94&amp;" "&amp;Milestones!$AC$94&amp;";  ","")&amp;IF(AND(EDATE($D79,Milestones!$AA$95)&lt;=AsOfDate,IF($R79=0,$X79,IF(AND($T79&lt;&gt;"",EDATE($D79,Milestones!$AA$95)&gt;=$T79),$W79,IF(AND($S79&lt;&gt;"",EDATE($D79,Milestones!$AA$95)&gt;=$S79),$V79,$U79)))=Milestones!$AB$95),UPPER(TEXT(EDATE($D79,Milestones!$AA$95),"dd mmm yy"))&amp;" "&amp;Milestones!$AB$95&amp;" "&amp;Milestones!$AC$95&amp;";  ","")&amp;IF(AND(EDATE($D79,Milestones!$AA$96)&lt;=AsOfDate,IF($R79=0,$X79,IF(AND($T79&lt;&gt;"",EDATE($D79,Milestones!$AA$96)&gt;=$T79),$W79,IF(AND($S79&lt;&gt;"",EDATE($D79,Milestones!$AA$96)&gt;=$S79),$V79,$U79)))=Milestones!$AB$96),UPPER(TEXT(EDATE($D79,Milestones!$AA$96),"dd mmm yy"))&amp;" "&amp;Milestones!$AB$96&amp;" "&amp;Milestones!$AC$96&amp;";  ","")&amp;IF(AND(EDATE($D79,Milestones!$AA$97)&lt;=AsOfDate,IF($R79=0,$X79,IF(AND($T79&lt;&gt;"",EDATE($D79,Milestones!$AA$97)&gt;=$T79),$W79,IF(AND($S79&lt;&gt;"",EDATE($D79,Milestones!$AA$97)&gt;=$S79),$V79,$U79)))=Milestones!$AB$97),UPPER(TEXT(EDATE($D79,Milestones!$AA$97),"dd mmm yy"))&amp;" "&amp;Milestones!$AB$97&amp;" "&amp;Milestones!$AC$97&amp;";  ","")&amp;IF(AND(EDATE($D79,Milestones!$AA$98)&lt;=AsOfDate,IF($R79=0,$X79,IF(AND($T79&lt;&gt;"",EDATE($D79,Milestones!$AA$98)&gt;=$T79),$W79,IF(AND($S79&lt;&gt;"",EDATE($D79,Milestones!$AA$98)&gt;=$S79),$V79,$U79)))=Milestones!$AB$98),UPPER(TEXT(EDATE($D79,Milestones!$AA$98),"dd mmm yy"))&amp;" "&amp;Milestones!$AB$98&amp;" "&amp;Milestones!$AC$98&amp;";  ","")&amp;IF(AND(EDATE($D79,Milestones!$AA$99)&lt;=AsOfDate,IF($R79=0,$X79,IF(AND($T79&lt;&gt;"",EDATE($D79,Milestones!$AA$99)&gt;=$T79),$W79,IF(AND($S79&lt;&gt;"",EDATE($D79,Milestones!$AA$99)&gt;=$S79),$V79,$U79)))=Milestones!$AB$99),UPPER(TEXT(EDATE($D79,Milestones!$AA$99),"dd mmm yy"))&amp;" "&amp;Milestones!$AB$99&amp;" "&amp;Milestones!$AC$99&amp;";  ",""))</f>
        <v/>
      </c>
      <c r="M79" s="0" t="str">
        <f aca="false">IF(OR($A79="",$D79=""),"",IF(AND(EDATE($D79,Milestones!$AA$100)&lt;=AsOfDate,IF($R79=0,$X79,IF(AND($T79&lt;&gt;"",EDATE($D79,Milestones!$AA$100)&gt;=$T79),$W79,IF(AND($S79&lt;&gt;"",EDATE($D79,Milestones!$AA$100)&gt;=$S79),$V79,$U79)))=Milestones!$AB$100),UPPER(TEXT(EDATE($D79,Milestones!$AA$100),"dd mmm yy"))&amp;" "&amp;Milestones!$AB$100&amp;" "&amp;Milestones!$AC$100&amp;";  ","")&amp;IF(AND(EDATE($D79,Milestones!$AA$101)&lt;=AsOfDate,IF($R79=0,$X79,IF(AND($T79&lt;&gt;"",EDATE($D79,Milestones!$AA$101)&gt;=$T79),$W79,IF(AND($S79&lt;&gt;"",EDATE($D79,Milestones!$AA$101)&gt;=$S79),$V79,$U79)))=Milestones!$AB$101),UPPER(TEXT(EDATE($D79,Milestones!$AA$101),"dd mmm yy"))&amp;" "&amp;Milestones!$AB$101&amp;" "&amp;Milestones!$AC$101&amp;";  ","")&amp;IF(AND(EDATE($D79,Milestones!$AA$102)&lt;=AsOfDate,IF($R79=0,$X79,IF(AND($T79&lt;&gt;"",EDATE($D79,Milestones!$AA$102)&gt;=$T79),$W79,IF(AND($S79&lt;&gt;"",EDATE($D79,Milestones!$AA$102)&gt;=$S79),$V79,$U79)))=Milestones!$AB$102),UPPER(TEXT(EDATE($D79,Milestones!$AA$102),"dd mmm yy"))&amp;" "&amp;Milestones!$AB$102&amp;" "&amp;Milestones!$AC$102&amp;";  ","")&amp;IF(AND(EDATE($D79,Milestones!$AA$103)&lt;=AsOfDate,IF($R79=0,$X79,IF(AND($T79&lt;&gt;"",EDATE($D79,Milestones!$AA$103)&gt;=$T79),$W79,IF(AND($S79&lt;&gt;"",EDATE($D79,Milestones!$AA$103)&gt;=$S79),$V79,$U79)))=Milestones!$AB$103),UPPER(TEXT(EDATE($D79,Milestones!$AA$103),"dd mmm yy"))&amp;" "&amp;Milestones!$AB$103&amp;" "&amp;Milestones!$AC$103&amp;";  ","")&amp;IF(AND(EDATE($D79,Milestones!$AA$104)&lt;=AsOfDate,IF($R79=0,$X79,IF(AND($T79&lt;&gt;"",EDATE($D79,Milestones!$AA$104)&gt;=$T79),$W79,IF(AND($S79&lt;&gt;"",EDATE($D79,Milestones!$AA$104)&gt;=$S79),$V79,$U79)))=Milestones!$AB$104),UPPER(TEXT(EDATE($D79,Milestones!$AA$104),"dd mmm yy"))&amp;" "&amp;Milestones!$AB$104&amp;" "&amp;Milestones!$AC$104&amp;";  ","")&amp;IF(AND(EDATE($D79,Milestones!$AA$105)&lt;=AsOfDate,IF($R79=0,$X79,IF(AND($T79&lt;&gt;"",EDATE($D79,Milestones!$AA$105)&gt;=$T79),$W79,IF(AND($S79&lt;&gt;"",EDATE($D79,Milestones!$AA$105)&gt;=$S79),$V79,$U79)))=Milestones!$AB$105),UPPER(TEXT(EDATE($D79,Milestones!$AA$105),"dd mmm yy"))&amp;" "&amp;Milestones!$AB$105&amp;" "&amp;Milestones!$AC$105&amp;";  ","")&amp;IF(AND(EDATE($D79,Milestones!$AA$106)&lt;=AsOfDate,IF($R79=0,$X79,IF(AND($T79&lt;&gt;"",EDATE($D79,Milestones!$AA$106)&gt;=$T79),$W79,IF(AND($S79&lt;&gt;"",EDATE($D79,Milestones!$AA$106)&gt;=$S79),$V79,$U79)))=Milestones!$AB$106),UPPER(TEXT(EDATE($D79,Milestones!$AA$106),"dd mmm yy"))&amp;" "&amp;Milestones!$AB$106&amp;" "&amp;Milestones!$AC$106&amp;";  ","")&amp;IF(AND(EDATE($D79,Milestones!$AA$107)&lt;=AsOfDate,IF($R79=0,$X79,IF(AND($T79&lt;&gt;"",EDATE($D79,Milestones!$AA$107)&gt;=$T79),$W79,IF(AND($S79&lt;&gt;"",EDATE($D79,Milestones!$AA$107)&gt;=$S79),$V79,$U79)))=Milestones!$AB$107),UPPER(TEXT(EDATE($D79,Milestones!$AA$107),"dd mmm yy"))&amp;" "&amp;Milestones!$AB$107&amp;" "&amp;Milestones!$AC$107&amp;";  ","")&amp;IF(AND(EDATE($D79,Milestones!$AA$108)&lt;=AsOfDate,IF($R79=0,$X79,IF(AND($T79&lt;&gt;"",EDATE($D79,Milestones!$AA$108)&gt;=$T79),$W79,IF(AND($S79&lt;&gt;"",EDATE($D79,Milestones!$AA$108)&gt;=$S79),$V79,$U79)))=Milestones!$AB$108),UPPER(TEXT(EDATE($D79,Milestones!$AA$108),"dd mmm yy"))&amp;" "&amp;Milestones!$AB$108&amp;" "&amp;Milestones!$AC$108&amp;";  ","")&amp;IF(AND(EDATE($D79,Milestones!$AA$109)&lt;=AsOfDate,IF($R79=0,$X79,IF(AND($T79&lt;&gt;"",EDATE($D79,Milestones!$AA$109)&gt;=$T79),$W79,IF(AND($S79&lt;&gt;"",EDATE($D79,Milestones!$AA$109)&gt;=$S79),$V79,$U79)))=Milestones!$AB$109),UPPER(TEXT(EDATE($D79,Milestones!$AA$109),"dd mmm yy"))&amp;" "&amp;Milestones!$AB$109&amp;" "&amp;Milestones!$AC$109&amp;";  ","")&amp;IF(AND(EDATE($D79,Milestones!$AA$110)&lt;=AsOfDate,IF($R79=0,$X79,IF(AND($T79&lt;&gt;"",EDATE($D79,Milestones!$AA$110)&gt;=$T79),$W79,IF(AND($S79&lt;&gt;"",EDATE($D79,Milestones!$AA$110)&gt;=$S79),$V79,$U79)))=Milestones!$AB$110),UPPER(TEXT(EDATE($D79,Milestones!$AA$110),"dd mmm yy"))&amp;" "&amp;Milestones!$AB$110&amp;" "&amp;Milestones!$AC$110&amp;";  ","")&amp;IF(AND(EDATE($D79,Milestones!$AA$111)&lt;=AsOfDate,IF($R79=0,$X79,IF(AND($T79&lt;&gt;"",EDATE($D79,Milestones!$AA$111)&gt;=$T79),$W79,IF(AND($S79&lt;&gt;"",EDATE($D79,Milestones!$AA$111)&gt;=$S79),$V79,$U79)))=Milestones!$AB$111),UPPER(TEXT(EDATE($D79,Milestones!$AA$111),"dd mmm yy"))&amp;" "&amp;Milestones!$AB$111&amp;" "&amp;Milestones!$AC$111&amp;";  ","")&amp;IF(AND(EDATE($D79,Milestones!$AA$112)&lt;=AsOfDate,IF($R79=0,$X79,IF(AND($T79&lt;&gt;"",EDATE($D79,Milestones!$AA$112)&gt;=$T79),$W79,IF(AND($S79&lt;&gt;"",EDATE($D79,Milestones!$AA$112)&gt;=$S79),$V79,$U79)))=Milestones!$AB$112),UPPER(TEXT(EDATE($D79,Milestones!$AA$112),"dd mmm yy"))&amp;" "&amp;Milestones!$AB$112&amp;" "&amp;Milestones!$AC$112&amp;";  ","")&amp;IF(AND(EDATE($D79,Milestones!$AA$113)&lt;=AsOfDate,IF($R79=0,$X79,IF(AND($T79&lt;&gt;"",EDATE($D79,Milestones!$AA$113)&gt;=$T79),$W79,IF(AND($S79&lt;&gt;"",EDATE($D79,Milestones!$AA$113)&gt;=$S79),$V79,$U79)))=Milestones!$AB$113),UPPER(TEXT(EDATE($D79,Milestones!$AA$113),"dd mmm yy"))&amp;" "&amp;Milestones!$AB$113&amp;" "&amp;Milestones!$AC$113&amp;";  ","")&amp;IF(AND(EDATE($D79,Milestones!$AA$114)&lt;=AsOfDate,IF($R79=0,$X79,IF(AND($T79&lt;&gt;"",EDATE($D79,Milestones!$AA$114)&gt;=$T79),$W79,IF(AND($S79&lt;&gt;"",EDATE($D79,Milestones!$AA$114)&gt;=$S79),$V79,$U79)))=Milestones!$AB$114),UPPER(TEXT(EDATE($D79,Milestones!$AA$114),"dd mmm yy"))&amp;" "&amp;Milestones!$AB$114&amp;" "&amp;Milestones!$AC$114&amp;";  ","")&amp;IF(AND(EDATE($D79,Milestones!$AA$115)&lt;=AsOfDate,IF($R79=0,$X79,IF(AND($T79&lt;&gt;"",EDATE($D79,Milestones!$AA$115)&gt;=$T79),$W79,IF(AND($S79&lt;&gt;"",EDATE($D79,Milestones!$AA$115)&gt;=$S79),$V79,$U79)))=Milestones!$AB$115),UPPER(TEXT(EDATE($D79,Milestones!$AA$115),"dd mmm yy"))&amp;" "&amp;Milestones!$AB$115&amp;" "&amp;Milestones!$AC$115&amp;";  ","")&amp;IF(AND(EDATE($D79,Milestones!$AA$116)&lt;=AsOfDate,IF($R79=0,$X79,IF(AND($T79&lt;&gt;"",EDATE($D79,Milestones!$AA$116)&gt;=$T79),$W79,IF(AND($S79&lt;&gt;"",EDATE($D79,Milestones!$AA$116)&gt;=$S79),$V79,$U79)))=Milestones!$AB$116),UPPER(TEXT(EDATE($D79,Milestones!$AA$116),"dd mmm yy"))&amp;" "&amp;Milestones!$AB$116&amp;" "&amp;Milestones!$AC$116&amp;";  ","")&amp;IF(AND(EDATE($D79,Milestones!$AA$117)&lt;=AsOfDate,IF($R79=0,$X79,IF(AND($T79&lt;&gt;"",EDATE($D79,Milestones!$AA$117)&gt;=$T79),$W79,IF(AND($S79&lt;&gt;"",EDATE($D79,Milestones!$AA$117)&gt;=$S79),$V79,$U79)))=Milestones!$AB$117),UPPER(TEXT(EDATE($D79,Milestones!$AA$117),"dd mmm yy"))&amp;" "&amp;Milestones!$AB$117&amp;" "&amp;Milestones!$AC$117&amp;";  ","")&amp;IF(AND(EDATE($D79,Milestones!$AA$118)&lt;=AsOfDate,IF($R79=0,$X79,IF(AND($T79&lt;&gt;"",EDATE($D79,Milestones!$AA$118)&gt;=$T79),$W79,IF(AND($S79&lt;&gt;"",EDATE($D79,Milestones!$AA$118)&gt;=$S79),$V79,$U79)))=Milestones!$AB$118),UPPER(TEXT(EDATE($D79,Milestones!$AA$118),"dd mmm yy"))&amp;" "&amp;Milestones!$AB$118&amp;" "&amp;Milestones!$AC$118&amp;";  ","")&amp;IF(AND(EDATE($D79,Milestones!$AA$119)&lt;=AsOfDate,IF($R79=0,$X79,IF(AND($T79&lt;&gt;"",EDATE($D79,Milestones!$AA$119)&gt;=$T79),$W79,IF(AND($S79&lt;&gt;"",EDATE($D79,Milestones!$AA$119)&gt;=$S79),$V79,$U79)))=Milestones!$AB$119),UPPER(TEXT(EDATE($D79,Milestones!$AA$119),"dd mmm yy"))&amp;" "&amp;Milestones!$AB$119&amp;" "&amp;Milestones!$AC$119&amp;";  ",""))</f>
        <v/>
      </c>
      <c r="N79" s="0" t="str">
        <f aca="false">IF(OR($A79="",$D79=""),"",IF(AND(EDATE($D79,Milestones!$AA$120)&lt;=AsOfDate,IF($R79=0,$X79,IF(AND($T79&lt;&gt;"",EDATE($D79,Milestones!$AA$120)&gt;=$T79),$W79,IF(AND($S79&lt;&gt;"",EDATE($D79,Milestones!$AA$120)&gt;=$S79),$V79,$U79)))=Milestones!$AB$120),UPPER(TEXT(EDATE($D79,Milestones!$AA$120),"dd mmm yy"))&amp;" "&amp;Milestones!$AB$120&amp;" "&amp;Milestones!$AC$120&amp;";  ","")&amp;IF(AND(EDATE($D79,Milestones!$AA$121)&lt;=AsOfDate,IF($R79=0,$X79,IF(AND($T79&lt;&gt;"",EDATE($D79,Milestones!$AA$121)&gt;=$T79),$W79,IF(AND($S79&lt;&gt;"",EDATE($D79,Milestones!$AA$121)&gt;=$S79),$V79,$U79)))=Milestones!$AB$121),UPPER(TEXT(EDATE($D79,Milestones!$AA$121),"dd mmm yy"))&amp;" "&amp;Milestones!$AB$121&amp;" "&amp;Milestones!$AC$121&amp;";  ","")&amp;IF(AND(EDATE($D79,Milestones!$AA$122)&lt;=AsOfDate,IF($R79=0,$X79,IF(AND($T79&lt;&gt;"",EDATE($D79,Milestones!$AA$122)&gt;=$T79),$W79,IF(AND($S79&lt;&gt;"",EDATE($D79,Milestones!$AA$122)&gt;=$S79),$V79,$U79)))=Milestones!$AB$122),UPPER(TEXT(EDATE($D79,Milestones!$AA$122),"dd mmm yy"))&amp;" "&amp;Milestones!$AB$122&amp;" "&amp;Milestones!$AC$122&amp;";  ","")&amp;IF(AND(EDATE($D79,Milestones!$AA$123)&lt;=AsOfDate,IF($R79=0,$X79,IF(AND($T79&lt;&gt;"",EDATE($D79,Milestones!$AA$123)&gt;=$T79),$W79,IF(AND($S79&lt;&gt;"",EDATE($D79,Milestones!$AA$123)&gt;=$S79),$V79,$U79)))=Milestones!$AB$123),UPPER(TEXT(EDATE($D79,Milestones!$AA$123),"dd mmm yy"))&amp;" "&amp;Milestones!$AB$123&amp;" "&amp;Milestones!$AC$123&amp;";  ","")&amp;IF(AND(EDATE($D79,Milestones!$AA$124)&lt;=AsOfDate,IF($R79=0,$X79,IF(AND($T79&lt;&gt;"",EDATE($D79,Milestones!$AA$124)&gt;=$T79),$W79,IF(AND($S79&lt;&gt;"",EDATE($D79,Milestones!$AA$124)&gt;=$S79),$V79,$U79)))=Milestones!$AB$124),UPPER(TEXT(EDATE($D79,Milestones!$AA$124),"dd mmm yy"))&amp;" "&amp;Milestones!$AB$124&amp;" "&amp;Milestones!$AC$124&amp;";  ","")&amp;IF(AND(EDATE($D79,Milestones!$AA$125)&lt;=AsOfDate,IF($R79=0,$X79,IF(AND($T79&lt;&gt;"",EDATE($D79,Milestones!$AA$125)&gt;=$T79),$W79,IF(AND($S79&lt;&gt;"",EDATE($D79,Milestones!$AA$125)&gt;=$S79),$V79,$U79)))=Milestones!$AB$125),UPPER(TEXT(EDATE($D79,Milestones!$AA$125),"dd mmm yy"))&amp;" "&amp;Milestones!$AB$125&amp;" "&amp;Milestones!$AC$125&amp;";  ","")&amp;IF(AND(EDATE($D79,Milestones!$AA$126)&lt;=AsOfDate,IF($R79=0,$X79,IF(AND($T79&lt;&gt;"",EDATE($D79,Milestones!$AA$126)&gt;=$T79),$W79,IF(AND($S79&lt;&gt;"",EDATE($D79,Milestones!$AA$126)&gt;=$S79),$V79,$U79)))=Milestones!$AB$126),UPPER(TEXT(EDATE($D79,Milestones!$AA$126),"dd mmm yy"))&amp;" "&amp;Milestones!$AB$126&amp;" "&amp;Milestones!$AC$126&amp;";  ","")&amp;IF(AND(EDATE($D79,Milestones!$AA$127)&lt;=AsOfDate,IF($R79=0,$X79,IF(AND($T79&lt;&gt;"",EDATE($D79,Milestones!$AA$127)&gt;=$T79),$W79,IF(AND($S79&lt;&gt;"",EDATE($D79,Milestones!$AA$127)&gt;=$S79),$V79,$U79)))=Milestones!$AB$127),UPPER(TEXT(EDATE($D79,Milestones!$AA$127),"dd mmm yy"))&amp;" "&amp;Milestones!$AB$127&amp;" "&amp;Milestones!$AC$127&amp;";  ","")&amp;IF(AND(EDATE($D79,Milestones!$AA$128)&lt;=AsOfDate,IF($R79=0,$X79,IF(AND($T79&lt;&gt;"",EDATE($D79,Milestones!$AA$128)&gt;=$T79),$W79,IF(AND($S79&lt;&gt;"",EDATE($D79,Milestones!$AA$128)&gt;=$S79),$V79,$U79)))=Milestones!$AB$128),UPPER(TEXT(EDATE($D79,Milestones!$AA$128),"dd mmm yy"))&amp;" "&amp;Milestones!$AB$128&amp;" "&amp;Milestones!$AC$128&amp;";  ","")&amp;IF(AND(EDATE($D79,Milestones!$AA$129)&lt;=AsOfDate,IF($R79=0,$X79,IF(AND($T79&lt;&gt;"",EDATE($D79,Milestones!$AA$129)&gt;=$T79),$W79,IF(AND($S79&lt;&gt;"",EDATE($D79,Milestones!$AA$129)&gt;=$S79),$V79,$U79)))=Milestones!$AB$129),UPPER(TEXT(EDATE($D79,Milestones!$AA$129),"dd mmm yy"))&amp;" "&amp;Milestones!$AB$129&amp;" "&amp;Milestones!$AC$129&amp;";  ","")&amp;IF(AND(EDATE($D79,Milestones!$AA$130)&lt;=AsOfDate,IF($R79=0,$X79,IF(AND($T79&lt;&gt;"",EDATE($D79,Milestones!$AA$130)&gt;=$T79),$W79,IF(AND($S79&lt;&gt;"",EDATE($D79,Milestones!$AA$130)&gt;=$S79),$V79,$U79)))=Milestones!$AB$130),UPPER(TEXT(EDATE($D79,Milestones!$AA$130),"dd mmm yy"))&amp;" "&amp;Milestones!$AB$130&amp;" "&amp;Milestones!$AC$130&amp;";  ","")&amp;IF(AND(EDATE($D79,Milestones!$AA$131)&lt;=AsOfDate,IF($R79=0,$X79,IF(AND($T79&lt;&gt;"",EDATE($D79,Milestones!$AA$131)&gt;=$T79),$W79,IF(AND($S79&lt;&gt;"",EDATE($D79,Milestones!$AA$131)&gt;=$S79),$V79,$U79)))=Milestones!$AB$131),UPPER(TEXT(EDATE($D79,Milestones!$AA$131),"dd mmm yy"))&amp;" "&amp;Milestones!$AB$131&amp;" "&amp;Milestones!$AC$131&amp;";  ","")&amp;IF(AND(EDATE($D79,Milestones!$AA$132)&lt;=AsOfDate,IF($R79=0,$X79,IF(AND($T79&lt;&gt;"",EDATE($D79,Milestones!$AA$132)&gt;=$T79),$W79,IF(AND($S79&lt;&gt;"",EDATE($D79,Milestones!$AA$132)&gt;=$S79),$V79,$U79)))=Milestones!$AB$132),UPPER(TEXT(EDATE($D79,Milestones!$AA$132),"dd mmm yy"))&amp;" "&amp;Milestones!$AB$132&amp;" "&amp;Milestones!$AC$132&amp;";  ","")&amp;IF(AND(EDATE($D79,Milestones!$AA$133)&lt;=AsOfDate,IF($R79=0,$X79,IF(AND($T79&lt;&gt;"",EDATE($D79,Milestones!$AA$133)&gt;=$T79),$W79,IF(AND($S79&lt;&gt;"",EDATE($D79,Milestones!$AA$133)&gt;=$S79),$V79,$U79)))=Milestones!$AB$133),UPPER(TEXT(EDATE($D79,Milestones!$AA$133),"dd mmm yy"))&amp;" "&amp;Milestones!$AB$133&amp;" "&amp;Milestones!$AC$133&amp;";  ","")&amp;IF(AND(EDATE($D79,Milestones!$AA$134)&lt;=AsOfDate,IF($R79=0,$X79,IF(AND($T79&lt;&gt;"",EDATE($D79,Milestones!$AA$134)&gt;=$T79),$W79,IF(AND($S79&lt;&gt;"",EDATE($D79,Milestones!$AA$134)&gt;=$S79),$V79,$U79)))=Milestones!$AB$134),UPPER(TEXT(EDATE($D79,Milestones!$AA$134),"dd mmm yy"))&amp;" "&amp;Milestones!$AB$134&amp;" "&amp;Milestones!$AC$134&amp;";  ","")&amp;IF(AND(EDATE($D79,Milestones!$AA$135)&lt;=AsOfDate,IF($R79=0,$X79,IF(AND($T79&lt;&gt;"",EDATE($D79,Milestones!$AA$135)&gt;=$T79),$W79,IF(AND($S79&lt;&gt;"",EDATE($D79,Milestones!$AA$135)&gt;=$S79),$V79,$U79)))=Milestones!$AB$135),UPPER(TEXT(EDATE($D79,Milestones!$AA$135),"dd mmm yy"))&amp;" "&amp;Milestones!$AB$135&amp;" "&amp;Milestones!$AC$135&amp;";  ","")&amp;IF(AND(EDATE($D79,Milestones!$AA$136)&lt;=AsOfDate,IF($R79=0,$X79,IF(AND($T79&lt;&gt;"",EDATE($D79,Milestones!$AA$136)&gt;=$T79),$W79,IF(AND($S79&lt;&gt;"",EDATE($D79,Milestones!$AA$136)&gt;=$S79),$V79,$U79)))=Milestones!$AB$136),UPPER(TEXT(EDATE($D79,Milestones!$AA$136),"dd mmm yy"))&amp;" "&amp;Milestones!$AB$136&amp;" "&amp;Milestones!$AC$136&amp;";  ","")&amp;IF(AND(EDATE($D79,Milestones!$AA$137)&lt;=AsOfDate,IF($R79=0,$X79,IF(AND($T79&lt;&gt;"",EDATE($D79,Milestones!$AA$137)&gt;=$T79),$W79,IF(AND($S79&lt;&gt;"",EDATE($D79,Milestones!$AA$137)&gt;=$S79),$V79,$U79)))=Milestones!$AB$137),UPPER(TEXT(EDATE($D79,Milestones!$AA$137),"dd mmm yy"))&amp;" "&amp;Milestones!$AB$137&amp;" "&amp;Milestones!$AC$137&amp;";  ","")&amp;IF(AND(EDATE($D79,Milestones!$AA$138)&lt;=AsOfDate,IF($R79=0,$X79,IF(AND($T79&lt;&gt;"",EDATE($D79,Milestones!$AA$138)&gt;=$T79),$W79,IF(AND($S79&lt;&gt;"",EDATE($D79,Milestones!$AA$138)&gt;=$S79),$V79,$U79)))=Milestones!$AB$138),UPPER(TEXT(EDATE($D79,Milestones!$AA$138),"dd mmm yy"))&amp;" "&amp;Milestones!$AB$138&amp;" "&amp;Milestones!$AC$138&amp;";  ","")&amp;IF(AND(EDATE($D79,Milestones!$AA$139)&lt;=AsOfDate,IF($R79=0,$X79,IF(AND($T79&lt;&gt;"",EDATE($D79,Milestones!$AA$139)&gt;=$T79),$W79,IF(AND($S79&lt;&gt;"",EDATE($D79,Milestones!$AA$139)&gt;=$S79),$V79,$U79)))=Milestones!$AB$139),UPPER(TEXT(EDATE($D79,Milestones!$AA$139),"dd mmm yy"))&amp;" "&amp;Milestones!$AB$139&amp;" "&amp;Milestones!$AC$139&amp;";  ",""))</f>
        <v/>
      </c>
      <c r="O79" s="0" t="str">
        <f aca="false">IF(OR($A79="",$D79=""),"",IF(AND(EDATE($D79,Milestones!$AA$140)&lt;=AsOfDate,IF($R79=0,$X79,IF(AND($T79&lt;&gt;"",EDATE($D79,Milestones!$AA$140)&gt;=$T79),$W79,IF(AND($S79&lt;&gt;"",EDATE($D79,Milestones!$AA$140)&gt;=$S79),$V79,$U79)))=Milestones!$AB$140),UPPER(TEXT(EDATE($D79,Milestones!$AA$140),"dd mmm yy"))&amp;" "&amp;Milestones!$AB$140&amp;" "&amp;Milestones!$AC$140&amp;";  ","")&amp;IF(AND(EDATE($D79,Milestones!$AA$141)&lt;=AsOfDate,IF($R79=0,$X79,IF(AND($T79&lt;&gt;"",EDATE($D79,Milestones!$AA$141)&gt;=$T79),$W79,IF(AND($S79&lt;&gt;"",EDATE($D79,Milestones!$AA$141)&gt;=$S79),$V79,$U79)))=Milestones!$AB$141),UPPER(TEXT(EDATE($D79,Milestones!$AA$141),"dd mmm yy"))&amp;" "&amp;Milestones!$AB$141&amp;" "&amp;Milestones!$AC$141&amp;";  ","")&amp;IF(AND(EDATE($D79,Milestones!$AA$142)&lt;=AsOfDate,IF($R79=0,$X79,IF(AND($T79&lt;&gt;"",EDATE($D79,Milestones!$AA$142)&gt;=$T79),$W79,IF(AND($S79&lt;&gt;"",EDATE($D79,Milestones!$AA$142)&gt;=$S79),$V79,$U79)))=Milestones!$AB$142),UPPER(TEXT(EDATE($D79,Milestones!$AA$142),"dd mmm yy"))&amp;" "&amp;Milestones!$AB$142&amp;" "&amp;Milestones!$AC$142&amp;";  ","")&amp;IF(AND(EDATE($D79,Milestones!$AA$143)&lt;=AsOfDate,IF($R79=0,$X79,IF(AND($T79&lt;&gt;"",EDATE($D79,Milestones!$AA$143)&gt;=$T79),$W79,IF(AND($S79&lt;&gt;"",EDATE($D79,Milestones!$AA$143)&gt;=$S79),$V79,$U79)))=Milestones!$AB$143),UPPER(TEXT(EDATE($D79,Milestones!$AA$143),"dd mmm yy"))&amp;" "&amp;Milestones!$AB$143&amp;" "&amp;Milestones!$AC$143&amp;";  ","")&amp;IF(AND(EDATE($D79,Milestones!$AA$144)&lt;=AsOfDate,IF($R79=0,$X79,IF(AND($T79&lt;&gt;"",EDATE($D79,Milestones!$AA$144)&gt;=$T79),$W79,IF(AND($S79&lt;&gt;"",EDATE($D79,Milestones!$AA$144)&gt;=$S79),$V79,$U79)))=Milestones!$AB$144),UPPER(TEXT(EDATE($D79,Milestones!$AA$144),"dd mmm yy"))&amp;" "&amp;Milestones!$AB$144&amp;" "&amp;Milestones!$AC$144&amp;";  ","")&amp;IF(AND(EDATE($D79,Milestones!$AA$145)&lt;=AsOfDate,IF($R79=0,$X79,IF(AND($T79&lt;&gt;"",EDATE($D79,Milestones!$AA$145)&gt;=$T79),$W79,IF(AND($S79&lt;&gt;"",EDATE($D79,Milestones!$AA$145)&gt;=$S79),$V79,$U79)))=Milestones!$AB$145),UPPER(TEXT(EDATE($D79,Milestones!$AA$145),"dd mmm yy"))&amp;" "&amp;Milestones!$AB$145&amp;" "&amp;Milestones!$AC$145&amp;";  ","")&amp;IF(AND(EDATE($D79,Milestones!$AA$146)&lt;=AsOfDate,IF($R79=0,$X79,IF(AND($T79&lt;&gt;"",EDATE($D79,Milestones!$AA$146)&gt;=$T79),$W79,IF(AND($S79&lt;&gt;"",EDATE($D79,Milestones!$AA$146)&gt;=$S79),$V79,$U79)))=Milestones!$AB$146),UPPER(TEXT(EDATE($D79,Milestones!$AA$146),"dd mmm yy"))&amp;" "&amp;Milestones!$AB$146&amp;" "&amp;Milestones!$AC$146&amp;";  ","")&amp;IF(AND(EDATE($D79,Milestones!$AA$147)&lt;=AsOfDate,IF($R79=0,$X79,IF(AND($T79&lt;&gt;"",EDATE($D79,Milestones!$AA$147)&gt;=$T79),$W79,IF(AND($S79&lt;&gt;"",EDATE($D79,Milestones!$AA$147)&gt;=$S79),$V79,$U79)))=Milestones!$AB$147),UPPER(TEXT(EDATE($D79,Milestones!$AA$147),"dd mmm yy"))&amp;" "&amp;Milestones!$AB$147&amp;" "&amp;Milestones!$AC$147&amp;";  ","")&amp;IF(AND(EDATE($D79,Milestones!$AA$148)&lt;=AsOfDate,IF($R79=0,$X79,IF(AND($T79&lt;&gt;"",EDATE($D79,Milestones!$AA$148)&gt;=$T79),$W79,IF(AND($S79&lt;&gt;"",EDATE($D79,Milestones!$AA$148)&gt;=$S79),$V79,$U79)))=Milestones!$AB$148),UPPER(TEXT(EDATE($D79,Milestones!$AA$148),"dd mmm yy"))&amp;" "&amp;Milestones!$AB$148&amp;" "&amp;Milestones!$AC$148&amp;";  ","")&amp;IF(AND(EDATE($D79,Milestones!$AA$149)&lt;=AsOfDate,IF($R79=0,$X79,IF(AND($T79&lt;&gt;"",EDATE($D79,Milestones!$AA$149)&gt;=$T79),$W79,IF(AND($S79&lt;&gt;"",EDATE($D79,Milestones!$AA$149)&gt;=$S79),$V79,$U79)))=Milestones!$AB$149),UPPER(TEXT(EDATE($D79,Milestones!$AA$149),"dd mmm yy"))&amp;" "&amp;Milestones!$AB$149&amp;" "&amp;Milestones!$AC$149&amp;";  ","")&amp;IF(AND(EDATE($D79,Milestones!$AA$150)&lt;=AsOfDate,IF($R79=0,$X79,IF(AND($T79&lt;&gt;"",EDATE($D79,Milestones!$AA$150)&gt;=$T79),$W79,IF(AND($S79&lt;&gt;"",EDATE($D79,Milestones!$AA$150)&gt;=$S79),$V79,$U79)))=Milestones!$AB$150),UPPER(TEXT(EDATE($D79,Milestones!$AA$150),"dd mmm yy"))&amp;" "&amp;Milestones!$AB$150&amp;" "&amp;Milestones!$AC$150&amp;";  ","")&amp;IF(AND(EDATE($D79,Milestones!$AA$151)&lt;=AsOfDate,IF($R79=0,$X79,IF(AND($T79&lt;&gt;"",EDATE($D79,Milestones!$AA$151)&gt;=$T79),$W79,IF(AND($S79&lt;&gt;"",EDATE($D79,Milestones!$AA$151)&gt;=$S79),$V79,$U79)))=Milestones!$AB$151),UPPER(TEXT(EDATE($D79,Milestones!$AA$151),"dd mmm yy"))&amp;" "&amp;Milestones!$AB$151&amp;" "&amp;Milestones!$AC$151&amp;";  ","")&amp;IF(AND(EDATE($D79,Milestones!$AA$152)&lt;=AsOfDate,IF($R79=0,$X79,IF(AND($T79&lt;&gt;"",EDATE($D79,Milestones!$AA$152)&gt;=$T79),$W79,IF(AND($S79&lt;&gt;"",EDATE($D79,Milestones!$AA$152)&gt;=$S79),$V79,$U79)))=Milestones!$AB$152),UPPER(TEXT(EDATE($D79,Milestones!$AA$152),"dd mmm yy"))&amp;" "&amp;Milestones!$AB$152&amp;" "&amp;Milestones!$AC$152&amp;";  ","")&amp;IF(AND(EDATE($D79,Milestones!$AA$153)&lt;=AsOfDate,IF($R79=0,$X79,IF(AND($T79&lt;&gt;"",EDATE($D79,Milestones!$AA$153)&gt;=$T79),$W79,IF(AND($S79&lt;&gt;"",EDATE($D79,Milestones!$AA$153)&gt;=$S79),$V79,$U79)))=Milestones!$AB$153),UPPER(TEXT(EDATE($D79,Milestones!$AA$153),"dd mmm yy"))&amp;" "&amp;Milestones!$AB$153&amp;" "&amp;Milestones!$AC$153&amp;";  ","")&amp;IF(AND(EDATE($D79,Milestones!$AA$154)&lt;=AsOfDate,IF($R79=0,$X79,IF(AND($T79&lt;&gt;"",EDATE($D79,Milestones!$AA$154)&gt;=$T79),$W79,IF(AND($S79&lt;&gt;"",EDATE($D79,Milestones!$AA$154)&gt;=$S79),$V79,$U79)))=Milestones!$AB$154),UPPER(TEXT(EDATE($D79,Milestones!$AA$154),"dd mmm yy"))&amp;" "&amp;Milestones!$AB$154&amp;" "&amp;Milestones!$AC$154&amp;";  ","")&amp;IF(AND(EDATE($D79,Milestones!$AA$155)&lt;=AsOfDate,IF($R79=0,$X79,IF(AND($T79&lt;&gt;"",EDATE($D79,Milestones!$AA$155)&gt;=$T79),$W79,IF(AND($S79&lt;&gt;"",EDATE($D79,Milestones!$AA$155)&gt;=$S79),$V79,$U79)))=Milestones!$AB$155),UPPER(TEXT(EDATE($D79,Milestones!$AA$155),"dd mmm yy"))&amp;" "&amp;Milestones!$AB$155&amp;" "&amp;Milestones!$AC$155&amp;";  ","")&amp;IF(AND(EDATE($D79,Milestones!$AA$156)&lt;=AsOfDate,IF($R79=0,$X79,IF(AND($T79&lt;&gt;"",EDATE($D79,Milestones!$AA$156)&gt;=$T79),$W79,IF(AND($S79&lt;&gt;"",EDATE($D79,Milestones!$AA$156)&gt;=$S79),$V79,$U79)))=Milestones!$AB$156),UPPER(TEXT(EDATE($D79,Milestones!$AA$156),"dd mmm yy"))&amp;" "&amp;Milestones!$AB$156&amp;" "&amp;Milestones!$AC$156&amp;";  ","")&amp;IF(AND(EDATE($D79,Milestones!$AA$157)&lt;=AsOfDate,IF($R79=0,$X79,IF(AND($T79&lt;&gt;"",EDATE($D79,Milestones!$AA$157)&gt;=$T79),$W79,IF(AND($S79&lt;&gt;"",EDATE($D79,Milestones!$AA$157)&gt;=$S79),$V79,$U79)))=Milestones!$AB$157),UPPER(TEXT(EDATE($D79,Milestones!$AA$157),"dd mmm yy"))&amp;" "&amp;Milestones!$AB$157&amp;" "&amp;Milestones!$AC$157&amp;";  ","")&amp;IF(AND(EDATE($D79,Milestones!$AA$158)&lt;=AsOfDate,IF($R79=0,$X79,IF(AND($T79&lt;&gt;"",EDATE($D79,Milestones!$AA$158)&gt;=$T79),$W79,IF(AND($S79&lt;&gt;"",EDATE($D79,Milestones!$AA$158)&gt;=$S79),$V79,$U79)))=Milestones!$AB$158),UPPER(TEXT(EDATE($D79,Milestones!$AA$158),"dd mmm yy"))&amp;" "&amp;Milestones!$AB$158&amp;" "&amp;Milestones!$AC$158&amp;";  ","")&amp;IF(AND(EDATE($D79,Milestones!$AA$159)&lt;=AsOfDate,IF($R79=0,$X79,IF(AND($T79&lt;&gt;"",EDATE($D79,Milestones!$AA$159)&gt;=$T79),$W79,IF(AND($S79&lt;&gt;"",EDATE($D79,Milestones!$AA$159)&gt;=$S79),$V79,$U79)))=Milestones!$AB$159),UPPER(TEXT(EDATE($D79,Milestones!$AA$159),"dd mmm yy"))&amp;" "&amp;Milestones!$AB$159&amp;" "&amp;Milestones!$AC$159&amp;";  ",""))</f>
        <v/>
      </c>
      <c r="P79" s="0" t="str">
        <f aca="false">IF(OR($A79="",$D79=""),"",IF(AND(EDATE($D79,Milestones!$AA$160)&lt;=AsOfDate,IF($R79=0,$X79,IF(AND($T79&lt;&gt;"",EDATE($D79,Milestones!$AA$160)&gt;=$T79),$W79,IF(AND($S79&lt;&gt;"",EDATE($D79,Milestones!$AA$160)&gt;=$S79),$V79,$U79)))=Milestones!$AB$160),UPPER(TEXT(EDATE($D79,Milestones!$AA$160),"dd mmm yy"))&amp;" "&amp;Milestones!$AB$160&amp;" "&amp;Milestones!$AC$160&amp;";  ","")&amp;IF(AND(EDATE($D79,Milestones!$AA$161)&lt;=AsOfDate,IF($R79=0,$X79,IF(AND($T79&lt;&gt;"",EDATE($D79,Milestones!$AA$161)&gt;=$T79),$W79,IF(AND($S79&lt;&gt;"",EDATE($D79,Milestones!$AA$161)&gt;=$S79),$V79,$U79)))=Milestones!$AB$161),UPPER(TEXT(EDATE($D79,Milestones!$AA$161),"dd mmm yy"))&amp;" "&amp;Milestones!$AB$161&amp;" "&amp;Milestones!$AC$161&amp;";  ","")&amp;IF(AND(EDATE($D79,Milestones!$AA$162)&lt;=AsOfDate,IF($R79=0,$X79,IF(AND($T79&lt;&gt;"",EDATE($D79,Milestones!$AA$162)&gt;=$T79),$W79,IF(AND($S79&lt;&gt;"",EDATE($D79,Milestones!$AA$162)&gt;=$S79),$V79,$U79)))=Milestones!$AB$162),UPPER(TEXT(EDATE($D79,Milestones!$AA$162),"dd mmm yy"))&amp;" "&amp;Milestones!$AB$162&amp;" "&amp;Milestones!$AC$162&amp;";  ","")&amp;IF(AND(EDATE($D79,Milestones!$AA$163)&lt;=AsOfDate,IF($R79=0,$X79,IF(AND($T79&lt;&gt;"",EDATE($D79,Milestones!$AA$163)&gt;=$T79),$W79,IF(AND($S79&lt;&gt;"",EDATE($D79,Milestones!$AA$163)&gt;=$S79),$V79,$U79)))=Milestones!$AB$163),UPPER(TEXT(EDATE($D79,Milestones!$AA$163),"dd mmm yy"))&amp;" "&amp;Milestones!$AB$163&amp;" "&amp;Milestones!$AC$163&amp;";  ","")&amp;IF(AND(EDATE($D79,Milestones!$AA$164)&lt;=AsOfDate,IF($R79=0,$X79,IF(AND($T79&lt;&gt;"",EDATE($D79,Milestones!$AA$164)&gt;=$T79),$W79,IF(AND($S79&lt;&gt;"",EDATE($D79,Milestones!$AA$164)&gt;=$S79),$V79,$U79)))=Milestones!$AB$164),UPPER(TEXT(EDATE($D79,Milestones!$AA$164),"dd mmm yy"))&amp;" "&amp;Milestones!$AB$164&amp;" "&amp;Milestones!$AC$164&amp;";  ","")&amp;IF(AND(EDATE($D79,Milestones!$AA$165)&lt;=AsOfDate,IF($R79=0,$X79,IF(AND($T79&lt;&gt;"",EDATE($D79,Milestones!$AA$165)&gt;=$T79),$W79,IF(AND($S79&lt;&gt;"",EDATE($D79,Milestones!$AA$165)&gt;=$S79),$V79,$U79)))=Milestones!$AB$165),UPPER(TEXT(EDATE($D79,Milestones!$AA$165),"dd mmm yy"))&amp;" "&amp;Milestones!$AB$165&amp;" "&amp;Milestones!$AC$165&amp;";  ","")&amp;IF(AND(EDATE($D79,Milestones!$AA$166)&lt;=AsOfDate,IF($R79=0,$X79,IF(AND($T79&lt;&gt;"",EDATE($D79,Milestones!$AA$166)&gt;=$T79),$W79,IF(AND($S79&lt;&gt;"",EDATE($D79,Milestones!$AA$166)&gt;=$S79),$V79,$U79)))=Milestones!$AB$166),UPPER(TEXT(EDATE($D79,Milestones!$AA$166),"dd mmm yy"))&amp;" "&amp;Milestones!$AB$166&amp;" "&amp;Milestones!$AC$166&amp;";  ","")&amp;IF(AND(EDATE($D79,Milestones!$AA$167)&lt;=AsOfDate,IF($R79=0,$X79,IF(AND($T79&lt;&gt;"",EDATE($D79,Milestones!$AA$167)&gt;=$T79),$W79,IF(AND($S79&lt;&gt;"",EDATE($D79,Milestones!$AA$167)&gt;=$S79),$V79,$U79)))=Milestones!$AB$167),UPPER(TEXT(EDATE($D79,Milestones!$AA$167),"dd mmm yy"))&amp;" "&amp;Milestones!$AB$167&amp;" "&amp;Milestones!$AC$167&amp;";  ","")&amp;IF(AND(EDATE($D79,Milestones!$AA$168)&lt;=AsOfDate,IF($R79=0,$X79,IF(AND($T79&lt;&gt;"",EDATE($D79,Milestones!$AA$168)&gt;=$T79),$W79,IF(AND($S79&lt;&gt;"",EDATE($D79,Milestones!$AA$168)&gt;=$S79),$V79,$U79)))=Milestones!$AB$168),UPPER(TEXT(EDATE($D79,Milestones!$AA$168),"dd mmm yy"))&amp;" "&amp;Milestones!$AB$168&amp;" "&amp;Milestones!$AC$168&amp;";  ","")&amp;IF(AND(EDATE($D79,Milestones!$AA$169)&lt;=AsOfDate,IF($R79=0,$X79,IF(AND($T79&lt;&gt;"",EDATE($D79,Milestones!$AA$169)&gt;=$T79),$W79,IF(AND($S79&lt;&gt;"",EDATE($D79,Milestones!$AA$169)&gt;=$S79),$V79,$U79)))=Milestones!$AB$169),UPPER(TEXT(EDATE($D79,Milestones!$AA$169),"dd mmm yy"))&amp;" "&amp;Milestones!$AB$169&amp;" "&amp;Milestones!$AC$169&amp;";  ","")&amp;IF(AND(EDATE($D79,Milestones!$AA$170)&lt;=AsOfDate,IF($R79=0,$X79,IF(AND($T79&lt;&gt;"",EDATE($D79,Milestones!$AA$170)&gt;=$T79),$W79,IF(AND($S79&lt;&gt;"",EDATE($D79,Milestones!$AA$170)&gt;=$S79),$V79,$U79)))=Milestones!$AB$170),UPPER(TEXT(EDATE($D79,Milestones!$AA$170),"dd mmm yy"))&amp;" "&amp;Milestones!$AB$170&amp;" "&amp;Milestones!$AC$170&amp;";  ","")&amp;IF(AND(EDATE($D79,Milestones!$AA$171)&lt;=AsOfDate,IF($R79=0,$X79,IF(AND($T79&lt;&gt;"",EDATE($D79,Milestones!$AA$171)&gt;=$T79),$W79,IF(AND($S79&lt;&gt;"",EDATE($D79,Milestones!$AA$171)&gt;=$S79),$V79,$U79)))=Milestones!$AB$171),UPPER(TEXT(EDATE($D79,Milestones!$AA$171),"dd mmm yy"))&amp;" "&amp;Milestones!$AB$171&amp;" "&amp;Milestones!$AC$171&amp;";  ","")&amp;IF(AND(EDATE($D79,Milestones!$AA$172)&lt;=AsOfDate,IF($R79=0,$X79,IF(AND($T79&lt;&gt;"",EDATE($D79,Milestones!$AA$172)&gt;=$T79),$W79,IF(AND($S79&lt;&gt;"",EDATE($D79,Milestones!$AA$172)&gt;=$S79),$V79,$U79)))=Milestones!$AB$172),UPPER(TEXT(EDATE($D79,Milestones!$AA$172),"dd mmm yy"))&amp;" "&amp;Milestones!$AB$172&amp;" "&amp;Milestones!$AC$172&amp;";  ","")&amp;IF(AND(EDATE($D79,Milestones!$AA$173)&lt;=AsOfDate,IF($R79=0,$X79,IF(AND($T79&lt;&gt;"",EDATE($D79,Milestones!$AA$173)&gt;=$T79),$W79,IF(AND($S79&lt;&gt;"",EDATE($D79,Milestones!$AA$173)&gt;=$S79),$V79,$U79)))=Milestones!$AB$173),UPPER(TEXT(EDATE($D79,Milestones!$AA$173),"dd mmm yy"))&amp;" "&amp;Milestones!$AB$173&amp;" "&amp;Milestones!$AC$173&amp;";  ","")&amp;IF(AND(EDATE($D79,Milestones!$AA$174)&lt;=AsOfDate,IF($R79=0,$X79,IF(AND($T79&lt;&gt;"",EDATE($D79,Milestones!$AA$174)&gt;=$T79),$W79,IF(AND($S79&lt;&gt;"",EDATE($D79,Milestones!$AA$174)&gt;=$S79),$V79,$U79)))=Milestones!$AB$174),UPPER(TEXT(EDATE($D79,Milestones!$AA$174),"dd mmm yy"))&amp;" "&amp;Milestones!$AB$174&amp;" "&amp;Milestones!$AC$174&amp;";  ","")&amp;IF(AND(EDATE($D79,Milestones!$AA$175)&lt;=AsOfDate,IF($R79=0,$X79,IF(AND($T79&lt;&gt;"",EDATE($D79,Milestones!$AA$175)&gt;=$T79),$W79,IF(AND($S79&lt;&gt;"",EDATE($D79,Milestones!$AA$175)&gt;=$S79),$V79,$U79)))=Milestones!$AB$175),UPPER(TEXT(EDATE($D79,Milestones!$AA$175),"dd mmm yy"))&amp;" "&amp;Milestones!$AB$175&amp;" "&amp;Milestones!$AC$175&amp;";  ","")&amp;IF(AND(EDATE($D79,Milestones!$AA$176)&lt;=AsOfDate,IF($R79=0,$X79,IF(AND($T79&lt;&gt;"",EDATE($D79,Milestones!$AA$176)&gt;=$T79),$W79,IF(AND($S79&lt;&gt;"",EDATE($D79,Milestones!$AA$176)&gt;=$S79),$V79,$U79)))=Milestones!$AB$176),UPPER(TEXT(EDATE($D79,Milestones!$AA$176),"dd mmm yy"))&amp;" "&amp;Milestones!$AB$176&amp;" "&amp;Milestones!$AC$176&amp;";  ","")&amp;IF(AND(EDATE($D79,Milestones!$AA$177)&lt;=AsOfDate,IF($R79=0,$X79,IF(AND($T79&lt;&gt;"",EDATE($D79,Milestones!$AA$177)&gt;=$T79),$W79,IF(AND($S79&lt;&gt;"",EDATE($D79,Milestones!$AA$177)&gt;=$S79),$V79,$U79)))=Milestones!$AB$177),UPPER(TEXT(EDATE($D79,Milestones!$AA$177),"dd mmm yy"))&amp;" "&amp;Milestones!$AB$177&amp;" "&amp;Milestones!$AC$177&amp;";  ","")&amp;IF(AND(EDATE($D79,Milestones!$AA$178)&lt;=AsOfDate,IF($R79=0,$X79,IF(AND($T79&lt;&gt;"",EDATE($D79,Milestones!$AA$178)&gt;=$T79),$W79,IF(AND($S79&lt;&gt;"",EDATE($D79,Milestones!$AA$178)&gt;=$S79),$V79,$U79)))=Milestones!$AB$178),UPPER(TEXT(EDATE($D79,Milestones!$AA$178),"dd mmm yy"))&amp;" "&amp;Milestones!$AB$178&amp;" "&amp;Milestones!$AC$178&amp;";  ","")&amp;IF(AND(EDATE($D79,Milestones!$AA$179)&lt;=AsOfDate,IF($R79=0,$X79,IF(AND($T79&lt;&gt;"",EDATE($D79,Milestones!$AA$179)&gt;=$T79),$W79,IF(AND($S79&lt;&gt;"",EDATE($D79,Milestones!$AA$179)&gt;=$S79),$V79,$U79)))=Milestones!$AB$179),UPPER(TEXT(EDATE($D79,Milestones!$AA$179),"dd mmm yy"))&amp;" "&amp;Milestones!$AB$179&amp;" "&amp;Milestones!$AC$179&amp;";  ",""))</f>
        <v/>
      </c>
      <c r="Q79" s="0" t="str">
        <f aca="false">IF(OR($A79="",$D79=""),"",IF(AND(EDATE($D79,Milestones!$AA$180)&lt;=AsOfDate,IF($R79=0,$X79,IF(AND($T79&lt;&gt;"",EDATE($D79,Milestones!$AA$180)&gt;=$T79),$W79,IF(AND($S79&lt;&gt;"",EDATE($D79,Milestones!$AA$180)&gt;=$S79),$V79,$U79)))=Milestones!$AB$180),UPPER(TEXT(EDATE($D79,Milestones!$AA$180),"dd mmm yy"))&amp;" "&amp;Milestones!$AB$180&amp;" "&amp;Milestones!$AC$180&amp;";  ","")&amp;IF(AND(EDATE($D79,Milestones!$AA$181)&lt;=AsOfDate,IF($R79=0,$X79,IF(AND($T79&lt;&gt;"",EDATE($D79,Milestones!$AA$181)&gt;=$T79),$W79,IF(AND($S79&lt;&gt;"",EDATE($D79,Milestones!$AA$181)&gt;=$S79),$V79,$U79)))=Milestones!$AB$181),UPPER(TEXT(EDATE($D79,Milestones!$AA$181),"dd mmm yy"))&amp;" "&amp;Milestones!$AB$181&amp;" "&amp;Milestones!$AC$181&amp;";  ","")&amp;IF(AND(EDATE($D79,Milestones!$AA$182)&lt;=AsOfDate,IF($R79=0,$X79,IF(AND($T79&lt;&gt;"",EDATE($D79,Milestones!$AA$182)&gt;=$T79),$W79,IF(AND($S79&lt;&gt;"",EDATE($D79,Milestones!$AA$182)&gt;=$S79),$V79,$U79)))=Milestones!$AB$182),UPPER(TEXT(EDATE($D79,Milestones!$AA$182),"dd mmm yy"))&amp;" "&amp;Milestones!$AB$182&amp;" "&amp;Milestones!$AC$182&amp;";  ","")&amp;IF(AND(EDATE($D79,Milestones!$AA$183)&lt;=AsOfDate,IF($R79=0,$X79,IF(AND($T79&lt;&gt;"",EDATE($D79,Milestones!$AA$183)&gt;=$T79),$W79,IF(AND($S79&lt;&gt;"",EDATE($D79,Milestones!$AA$183)&gt;=$S79),$V79,$U79)))=Milestones!$AB$183),UPPER(TEXT(EDATE($D79,Milestones!$AA$183),"dd mmm yy"))&amp;" "&amp;Milestones!$AB$183&amp;" "&amp;Milestones!$AC$183&amp;";  ","")&amp;IF(AND(EDATE($D79,Milestones!$AA$184)&lt;=AsOfDate,IF($R79=0,$X79,IF(AND($T79&lt;&gt;"",EDATE($D79,Milestones!$AA$184)&gt;=$T79),$W79,IF(AND($S79&lt;&gt;"",EDATE($D79,Milestones!$AA$184)&gt;=$S79),$V79,$U79)))=Milestones!$AB$184),UPPER(TEXT(EDATE($D79,Milestones!$AA$184),"dd mmm yy"))&amp;" "&amp;Milestones!$AB$184&amp;" "&amp;Milestones!$AC$184&amp;";  ","")&amp;IF(AND(EDATE($D79,Milestones!$AA$185)&lt;=AsOfDate,IF($R79=0,$X79,IF(AND($T79&lt;&gt;"",EDATE($D79,Milestones!$AA$185)&gt;=$T79),$W79,IF(AND($S79&lt;&gt;"",EDATE($D79,Milestones!$AA$185)&gt;=$S79),$V79,$U79)))=Milestones!$AB$185),UPPER(TEXT(EDATE($D79,Milestones!$AA$185),"dd mmm yy"))&amp;" "&amp;Milestones!$AB$185&amp;" "&amp;Milestones!$AC$185&amp;";  ","")&amp;IF(AND(EDATE($D79,Milestones!$AA$186)&lt;=AsOfDate,IF($R79=0,$X79,IF(AND($T79&lt;&gt;"",EDATE($D79,Milestones!$AA$186)&gt;=$T79),$W79,IF(AND($S79&lt;&gt;"",EDATE($D79,Milestones!$AA$186)&gt;=$S79),$V79,$U79)))=Milestones!$AB$186),UPPER(TEXT(EDATE($D79,Milestones!$AA$186),"dd mmm yy"))&amp;" "&amp;Milestones!$AB$186&amp;" "&amp;Milestones!$AC$186&amp;";  ","")&amp;IF(AND(EDATE($D79,Milestones!$AA$187)&lt;=AsOfDate,IF($R79=0,$X79,IF(AND($T79&lt;&gt;"",EDATE($D79,Milestones!$AA$187)&gt;=$T79),$W79,IF(AND($S79&lt;&gt;"",EDATE($D79,Milestones!$AA$187)&gt;=$S79),$V79,$U79)))=Milestones!$AB$187),UPPER(TEXT(EDATE($D79,Milestones!$AA$187),"dd mmm yy"))&amp;" "&amp;Milestones!$AB$187&amp;" "&amp;Milestones!$AC$187&amp;";  ","")&amp;IF(AND(EDATE($D79,Milestones!$AA$188)&lt;=AsOfDate,IF($R79=0,$X79,IF(AND($T79&lt;&gt;"",EDATE($D79,Milestones!$AA$188)&gt;=$T79),$W79,IF(AND($S79&lt;&gt;"",EDATE($D79,Milestones!$AA$188)&gt;=$S79),$V79,$U79)))=Milestones!$AB$188),UPPER(TEXT(EDATE($D79,Milestones!$AA$188),"dd mmm yy"))&amp;" "&amp;Milestones!$AB$188&amp;" "&amp;Milestones!$AC$188&amp;";  ","")&amp;IF(AND(EDATE($D79,Milestones!$AA$189)&lt;=AsOfDate,IF($R79=0,$X79,IF(AND($T79&lt;&gt;"",EDATE($D79,Milestones!$AA$189)&gt;=$T79),$W79,IF(AND($S79&lt;&gt;"",EDATE($D79,Milestones!$AA$189)&gt;=$S79),$V79,$U79)))=Milestones!$AB$189),UPPER(TEXT(EDATE($D79,Milestones!$AA$189),"dd mmm yy"))&amp;" "&amp;Milestones!$AB$189&amp;" "&amp;Milestones!$AC$189&amp;";  ","")&amp;IF(AND(EDATE($D79,Milestones!$AA$190)&lt;=AsOfDate,IF($R79=0,$X79,IF(AND($T79&lt;&gt;"",EDATE($D79,Milestones!$AA$190)&gt;=$T79),$W79,IF(AND($S79&lt;&gt;"",EDATE($D79,Milestones!$AA$190)&gt;=$S79),$V79,$U79)))=Milestones!$AB$190),UPPER(TEXT(EDATE($D79,Milestones!$AA$190),"dd mmm yy"))&amp;" "&amp;Milestones!$AB$190&amp;" "&amp;Milestones!$AC$190&amp;";  ","")&amp;IF(AND(EDATE($D79,Milestones!$AA$191)&lt;=AsOfDate,IF($R79=0,$X79,IF(AND($T79&lt;&gt;"",EDATE($D79,Milestones!$AA$191)&gt;=$T79),$W79,IF(AND($S79&lt;&gt;"",EDATE($D79,Milestones!$AA$191)&gt;=$S79),$V79,$U79)))=Milestones!$AB$191),UPPER(TEXT(EDATE($D79,Milestones!$AA$191),"dd mmm yy"))&amp;" "&amp;Milestones!$AB$191&amp;" "&amp;Milestones!$AC$191&amp;";  ","")&amp;IF(AND(EDATE($D79,Milestones!$AA$192)&lt;=AsOfDate,IF($R79=0,$X79,IF(AND($T79&lt;&gt;"",EDATE($D79,Milestones!$AA$192)&gt;=$T79),$W79,IF(AND($S79&lt;&gt;"",EDATE($D79,Milestones!$AA$192)&gt;=$S79),$V79,$U79)))=Milestones!$AB$192),UPPER(TEXT(EDATE($D79,Milestones!$AA$192),"dd mmm yy"))&amp;" "&amp;Milestones!$AB$192&amp;" "&amp;Milestones!$AC$192&amp;";  ","")&amp;IF(AND(EDATE($D79,Milestones!$AA$193)&lt;=AsOfDate,IF($R79=0,$X79,IF(AND($T79&lt;&gt;"",EDATE($D79,Milestones!$AA$193)&gt;=$T79),$W79,IF(AND($S79&lt;&gt;"",EDATE($D79,Milestones!$AA$193)&gt;=$S79),$V79,$U79)))=Milestones!$AB$193),UPPER(TEXT(EDATE($D79,Milestones!$AA$193),"dd mmm yy"))&amp;" "&amp;Milestones!$AB$193&amp;" "&amp;Milestones!$AC$193&amp;";  ","")&amp;IF(AND(EDATE($D79,Milestones!$AA$194)&lt;=AsOfDate,IF($R79=0,$X79,IF(AND($T79&lt;&gt;"",EDATE($D79,Milestones!$AA$194)&gt;=$T79),$W79,IF(AND($S79&lt;&gt;"",EDATE($D79,Milestones!$AA$194)&gt;=$S79),$V79,$U79)))=Milestones!$AB$194),UPPER(TEXT(EDATE($D79,Milestones!$AA$194),"dd mmm yy"))&amp;" "&amp;Milestones!$AB$194&amp;" "&amp;Milestones!$AC$194&amp;";  ","")&amp;IF(AND(EDATE($D79,Milestones!$AA$195)&lt;=AsOfDate,IF($R79=0,$X79,IF(AND($T79&lt;&gt;"",EDATE($D79,Milestones!$AA$195)&gt;=$T79),$W79,IF(AND($S79&lt;&gt;"",EDATE($D79,Milestones!$AA$195)&gt;=$S79),$V79,$U79)))=Milestones!$AB$195),UPPER(TEXT(EDATE($D79,Milestones!$AA$195),"dd mmm yy"))&amp;" "&amp;Milestones!$AB$195&amp;" "&amp;Milestones!$AC$195&amp;";  ","")&amp;IF(AND(EDATE($D79,Milestones!$AA$196)&lt;=AsOfDate,IF($R79=0,$X79,IF(AND($T79&lt;&gt;"",EDATE($D79,Milestones!$AA$196)&gt;=$T79),$W79,IF(AND($S79&lt;&gt;"",EDATE($D79,Milestones!$AA$196)&gt;=$S79),$V79,$U79)))=Milestones!$AB$196),UPPER(TEXT(EDATE($D79,Milestones!$AA$196),"dd mmm yy"))&amp;" "&amp;Milestones!$AB$196&amp;" "&amp;Milestones!$AC$196&amp;";  ","")&amp;IF(AND(EDATE($D79,Milestones!$AA$197)&lt;=AsOfDate,IF($R79=0,$X79,IF(AND($T79&lt;&gt;"",EDATE($D79,Milestones!$AA$197)&gt;=$T79),$W79,IF(AND($S79&lt;&gt;"",EDATE($D79,Milestones!$AA$197)&gt;=$S79),$V79,$U79)))=Milestones!$AB$197),UPPER(TEXT(EDATE($D79,Milestones!$AA$197),"dd mmm yy"))&amp;" "&amp;Milestones!$AB$197&amp;" "&amp;Milestones!$AC$197&amp;";  ","")&amp;IF(AND(EDATE($D79,Milestones!$AA$198)&lt;=AsOfDate,IF($R79=0,$X79,IF(AND($T79&lt;&gt;"",EDATE($D79,Milestones!$AA$198)&gt;=$T79),$W79,IF(AND($S79&lt;&gt;"",EDATE($D79,Milestones!$AA$198)&gt;=$S79),$V79,$U79)))=Milestones!$AB$198),UPPER(TEXT(EDATE($D79,Milestones!$AA$198),"dd mmm yy"))&amp;" "&amp;Milestones!$AB$198&amp;" "&amp;Milestones!$AC$198&amp;";  ","")&amp;IF(AND(EDATE($D79,Milestones!$AA$199)&lt;=AsOfDate,IF($R79=0,$X79,IF(AND($T79&lt;&gt;"",EDATE($D79,Milestones!$AA$199)&gt;=$T79),$W79,IF(AND($S79&lt;&gt;"",EDATE($D79,Milestones!$AA$199)&gt;=$S79),$V79,$U79)))=Milestones!$AB$199),UPPER(TEXT(EDATE($D79,Milestones!$AA$199),"dd mmm yy"))&amp;" "&amp;Milestones!$AB$199&amp;" "&amp;Milestones!$AC$199&amp;";  ",""))</f>
        <v/>
      </c>
      <c r="R79" s="0" t="str">
        <f aca="false">IF(Staff!$A79="","",Staff!$AI79)</f>
        <v/>
      </c>
      <c r="S79" s="0" t="str">
        <f aca="false">IF(Staff!$A79="","",Staff!$AK79)</f>
        <v/>
      </c>
      <c r="T79" s="0" t="str">
        <f aca="false">IF(Staff!$A79="","",Staff!$AL79)</f>
        <v/>
      </c>
      <c r="U79" s="0" t="str">
        <f aca="false">IF(Staff!$A79="","",Staff!$AP79)</f>
        <v/>
      </c>
      <c r="V79" s="0" t="str">
        <f aca="false">IF(Staff!$A79="","",Staff!$AQ79)</f>
        <v/>
      </c>
      <c r="W79" s="0" t="str">
        <f aca="false">IF(Staff!$A79="","",Staff!$AR79)</f>
        <v/>
      </c>
      <c r="X79" s="0" t="str">
        <f aca="false">IF(Staff!$A79="","",Staff!$AS79)</f>
        <v/>
      </c>
    </row>
    <row r="80" customFormat="false" ht="15" hidden="false" customHeight="false" outlineLevel="0" collapsed="false">
      <c r="A80" s="19" t="str">
        <f aca="false">IF(Staff!$A80="","",Staff!$A80)</f>
        <v/>
      </c>
      <c r="B80" s="19" t="str">
        <f aca="false">IF(Staff!$A80="","",Staff!$B80)</f>
        <v/>
      </c>
      <c r="C80" s="19" t="str">
        <f aca="false">IF(Staff!$A80="","",Staff!$C80)</f>
        <v/>
      </c>
      <c r="D80" s="17" t="str">
        <f aca="false">IF(Staff!$A80="","",Staff!$AH80)</f>
        <v/>
      </c>
      <c r="E80" s="19" t="str">
        <f aca="false">IF(Staff!$A80="","",Staff!$O80)</f>
        <v/>
      </c>
      <c r="F80" s="19" t="str">
        <f aca="false">IF(E80="","",E80*HoursPerDay)</f>
        <v/>
      </c>
      <c r="G80" s="19" t="str">
        <f aca="false">IF(Staff!$A80="","",Staff!$AE80)</f>
        <v/>
      </c>
      <c r="H80" s="32" t="str">
        <f aca="false">IF($A80="","",I80&amp;J80&amp;K80&amp;L80&amp;M80&amp;N80&amp;O80&amp;P80&amp;Q80)</f>
        <v/>
      </c>
      <c r="I80" s="0" t="str">
        <f aca="false">IF(OR($A80="",$D80=""),"",IF(AND(EDATE($D80,Milestones!$AA$20)&lt;=AsOfDate,IF($R80=0,$X80,IF(AND($T80&lt;&gt;"",EDATE($D80,Milestones!$AA$20)&gt;=$T80),$W80,IF(AND($S80&lt;&gt;"",EDATE($D80,Milestones!$AA$20)&gt;=$S80),$V80,$U80)))=Milestones!$AB$20),UPPER(TEXT(EDATE($D80,Milestones!$AA$20),"dd mmm yy"))&amp;" "&amp;Milestones!$AB$20&amp;" "&amp;Milestones!$AC$20&amp;";  ","")&amp;IF(AND(EDATE($D80,Milestones!$AA$21)&lt;=AsOfDate,IF($R80=0,$X80,IF(AND($T80&lt;&gt;"",EDATE($D80,Milestones!$AA$21)&gt;=$T80),$W80,IF(AND($S80&lt;&gt;"",EDATE($D80,Milestones!$AA$21)&gt;=$S80),$V80,$U80)))=Milestones!$AB$21),UPPER(TEXT(EDATE($D80,Milestones!$AA$21),"dd mmm yy"))&amp;" "&amp;Milestones!$AB$21&amp;" "&amp;Milestones!$AC$21&amp;";  ","")&amp;IF(AND(EDATE($D80,Milestones!$AA$22)&lt;=AsOfDate,IF($R80=0,$X80,IF(AND($T80&lt;&gt;"",EDATE($D80,Milestones!$AA$22)&gt;=$T80),$W80,IF(AND($S80&lt;&gt;"",EDATE($D80,Milestones!$AA$22)&gt;=$S80),$V80,$U80)))=Milestones!$AB$22),UPPER(TEXT(EDATE($D80,Milestones!$AA$22),"dd mmm yy"))&amp;" "&amp;Milestones!$AB$22&amp;" "&amp;Milestones!$AC$22&amp;";  ","")&amp;IF(AND(EDATE($D80,Milestones!$AA$23)&lt;=AsOfDate,IF($R80=0,$X80,IF(AND($T80&lt;&gt;"",EDATE($D80,Milestones!$AA$23)&gt;=$T80),$W80,IF(AND($S80&lt;&gt;"",EDATE($D80,Milestones!$AA$23)&gt;=$S80),$V80,$U80)))=Milestones!$AB$23),UPPER(TEXT(EDATE($D80,Milestones!$AA$23),"dd mmm yy"))&amp;" "&amp;Milestones!$AB$23&amp;" "&amp;Milestones!$AC$23&amp;";  ","")&amp;IF(AND(EDATE($D80,Milestones!$AA$24)&lt;=AsOfDate,IF($R80=0,$X80,IF(AND($T80&lt;&gt;"",EDATE($D80,Milestones!$AA$24)&gt;=$T80),$W80,IF(AND($S80&lt;&gt;"",EDATE($D80,Milestones!$AA$24)&gt;=$S80),$V80,$U80)))=Milestones!$AB$24),UPPER(TEXT(EDATE($D80,Milestones!$AA$24),"dd mmm yy"))&amp;" "&amp;Milestones!$AB$24&amp;" "&amp;Milestones!$AC$24&amp;";  ","")&amp;IF(AND(EDATE($D80,Milestones!$AA$25)&lt;=AsOfDate,IF($R80=0,$X80,IF(AND($T80&lt;&gt;"",EDATE($D80,Milestones!$AA$25)&gt;=$T80),$W80,IF(AND($S80&lt;&gt;"",EDATE($D80,Milestones!$AA$25)&gt;=$S80),$V80,$U80)))=Milestones!$AB$25),UPPER(TEXT(EDATE($D80,Milestones!$AA$25),"dd mmm yy"))&amp;" "&amp;Milestones!$AB$25&amp;" "&amp;Milestones!$AC$25&amp;";  ","")&amp;IF(AND(EDATE($D80,Milestones!$AA$26)&lt;=AsOfDate,IF($R80=0,$X80,IF(AND($T80&lt;&gt;"",EDATE($D80,Milestones!$AA$26)&gt;=$T80),$W80,IF(AND($S80&lt;&gt;"",EDATE($D80,Milestones!$AA$26)&gt;=$S80),$V80,$U80)))=Milestones!$AB$26),UPPER(TEXT(EDATE($D80,Milestones!$AA$26),"dd mmm yy"))&amp;" "&amp;Milestones!$AB$26&amp;" "&amp;Milestones!$AC$26&amp;";  ","")&amp;IF(AND(EDATE($D80,Milestones!$AA$27)&lt;=AsOfDate,IF($R80=0,$X80,IF(AND($T80&lt;&gt;"",EDATE($D80,Milestones!$AA$27)&gt;=$T80),$W80,IF(AND($S80&lt;&gt;"",EDATE($D80,Milestones!$AA$27)&gt;=$S80),$V80,$U80)))=Milestones!$AB$27),UPPER(TEXT(EDATE($D80,Milestones!$AA$27),"dd mmm yy"))&amp;" "&amp;Milestones!$AB$27&amp;" "&amp;Milestones!$AC$27&amp;";  ","")&amp;IF(AND(EDATE($D80,Milestones!$AA$28)&lt;=AsOfDate,IF($R80=0,$X80,IF(AND($T80&lt;&gt;"",EDATE($D80,Milestones!$AA$28)&gt;=$T80),$W80,IF(AND($S80&lt;&gt;"",EDATE($D80,Milestones!$AA$28)&gt;=$S80),$V80,$U80)))=Milestones!$AB$28),UPPER(TEXT(EDATE($D80,Milestones!$AA$28),"dd mmm yy"))&amp;" "&amp;Milestones!$AB$28&amp;" "&amp;Milestones!$AC$28&amp;";  ","")&amp;IF(AND(EDATE($D80,Milestones!$AA$29)&lt;=AsOfDate,IF($R80=0,$X80,IF(AND($T80&lt;&gt;"",EDATE($D80,Milestones!$AA$29)&gt;=$T80),$W80,IF(AND($S80&lt;&gt;"",EDATE($D80,Milestones!$AA$29)&gt;=$S80),$V80,$U80)))=Milestones!$AB$29),UPPER(TEXT(EDATE($D80,Milestones!$AA$29),"dd mmm yy"))&amp;" "&amp;Milestones!$AB$29&amp;" "&amp;Milestones!$AC$29&amp;";  ","")&amp;IF(AND(EDATE($D80,Milestones!$AA$30)&lt;=AsOfDate,IF($R80=0,$X80,IF(AND($T80&lt;&gt;"",EDATE($D80,Milestones!$AA$30)&gt;=$T80),$W80,IF(AND($S80&lt;&gt;"",EDATE($D80,Milestones!$AA$30)&gt;=$S80),$V80,$U80)))=Milestones!$AB$30),UPPER(TEXT(EDATE($D80,Milestones!$AA$30),"dd mmm yy"))&amp;" "&amp;Milestones!$AB$30&amp;" "&amp;Milestones!$AC$30&amp;";  ","")&amp;IF(AND(EDATE($D80,Milestones!$AA$31)&lt;=AsOfDate,IF($R80=0,$X80,IF(AND($T80&lt;&gt;"",EDATE($D80,Milestones!$AA$31)&gt;=$T80),$W80,IF(AND($S80&lt;&gt;"",EDATE($D80,Milestones!$AA$31)&gt;=$S80),$V80,$U80)))=Milestones!$AB$31),UPPER(TEXT(EDATE($D80,Milestones!$AA$31),"dd mmm yy"))&amp;" "&amp;Milestones!$AB$31&amp;" "&amp;Milestones!$AC$31&amp;";  ","")&amp;IF(AND(EDATE($D80,Milestones!$AA$32)&lt;=AsOfDate,IF($R80=0,$X80,IF(AND($T80&lt;&gt;"",EDATE($D80,Milestones!$AA$32)&gt;=$T80),$W80,IF(AND($S80&lt;&gt;"",EDATE($D80,Milestones!$AA$32)&gt;=$S80),$V80,$U80)))=Milestones!$AB$32),UPPER(TEXT(EDATE($D80,Milestones!$AA$32),"dd mmm yy"))&amp;" "&amp;Milestones!$AB$32&amp;" "&amp;Milestones!$AC$32&amp;";  ","")&amp;IF(AND(EDATE($D80,Milestones!$AA$33)&lt;=AsOfDate,IF($R80=0,$X80,IF(AND($T80&lt;&gt;"",EDATE($D80,Milestones!$AA$33)&gt;=$T80),$W80,IF(AND($S80&lt;&gt;"",EDATE($D80,Milestones!$AA$33)&gt;=$S80),$V80,$U80)))=Milestones!$AB$33),UPPER(TEXT(EDATE($D80,Milestones!$AA$33),"dd mmm yy"))&amp;" "&amp;Milestones!$AB$33&amp;" "&amp;Milestones!$AC$33&amp;";  ","")&amp;IF(AND(EDATE($D80,Milestones!$AA$34)&lt;=AsOfDate,IF($R80=0,$X80,IF(AND($T80&lt;&gt;"",EDATE($D80,Milestones!$AA$34)&gt;=$T80),$W80,IF(AND($S80&lt;&gt;"",EDATE($D80,Milestones!$AA$34)&gt;=$S80),$V80,$U80)))=Milestones!$AB$34),UPPER(TEXT(EDATE($D80,Milestones!$AA$34),"dd mmm yy"))&amp;" "&amp;Milestones!$AB$34&amp;" "&amp;Milestones!$AC$34&amp;";  ","")&amp;IF(AND(EDATE($D80,Milestones!$AA$35)&lt;=AsOfDate,IF($R80=0,$X80,IF(AND($T80&lt;&gt;"",EDATE($D80,Milestones!$AA$35)&gt;=$T80),$W80,IF(AND($S80&lt;&gt;"",EDATE($D80,Milestones!$AA$35)&gt;=$S80),$V80,$U80)))=Milestones!$AB$35),UPPER(TEXT(EDATE($D80,Milestones!$AA$35),"dd mmm yy"))&amp;" "&amp;Milestones!$AB$35&amp;" "&amp;Milestones!$AC$35&amp;";  ","")&amp;IF(AND(EDATE($D80,Milestones!$AA$36)&lt;=AsOfDate,IF($R80=0,$X80,IF(AND($T80&lt;&gt;"",EDATE($D80,Milestones!$AA$36)&gt;=$T80),$W80,IF(AND($S80&lt;&gt;"",EDATE($D80,Milestones!$AA$36)&gt;=$S80),$V80,$U80)))=Milestones!$AB$36),UPPER(TEXT(EDATE($D80,Milestones!$AA$36),"dd mmm yy"))&amp;" "&amp;Milestones!$AB$36&amp;" "&amp;Milestones!$AC$36&amp;";  ","")&amp;IF(AND(EDATE($D80,Milestones!$AA$37)&lt;=AsOfDate,IF($R80=0,$X80,IF(AND($T80&lt;&gt;"",EDATE($D80,Milestones!$AA$37)&gt;=$T80),$W80,IF(AND($S80&lt;&gt;"",EDATE($D80,Milestones!$AA$37)&gt;=$S80),$V80,$U80)))=Milestones!$AB$37),UPPER(TEXT(EDATE($D80,Milestones!$AA$37),"dd mmm yy"))&amp;" "&amp;Milestones!$AB$37&amp;" "&amp;Milestones!$AC$37&amp;";  ","")&amp;IF(AND(EDATE($D80,Milestones!$AA$38)&lt;=AsOfDate,IF($R80=0,$X80,IF(AND($T80&lt;&gt;"",EDATE($D80,Milestones!$AA$38)&gt;=$T80),$W80,IF(AND($S80&lt;&gt;"",EDATE($D80,Milestones!$AA$38)&gt;=$S80),$V80,$U80)))=Milestones!$AB$38),UPPER(TEXT(EDATE($D80,Milestones!$AA$38),"dd mmm yy"))&amp;" "&amp;Milestones!$AB$38&amp;" "&amp;Milestones!$AC$38&amp;";  ","")&amp;IF(AND(EDATE($D80,Milestones!$AA$39)&lt;=AsOfDate,IF($R80=0,$X80,IF(AND($T80&lt;&gt;"",EDATE($D80,Milestones!$AA$39)&gt;=$T80),$W80,IF(AND($S80&lt;&gt;"",EDATE($D80,Milestones!$AA$39)&gt;=$S80),$V80,$U80)))=Milestones!$AB$39),UPPER(TEXT(EDATE($D80,Milestones!$AA$39),"dd mmm yy"))&amp;" "&amp;Milestones!$AB$39&amp;" "&amp;Milestones!$AC$39&amp;";  ",""))</f>
        <v/>
      </c>
      <c r="J80" s="0" t="str">
        <f aca="false">IF(OR($A80="",$D80=""),"",IF(AND(EDATE($D80,Milestones!$AA$40)&lt;=AsOfDate,IF($R80=0,$X80,IF(AND($T80&lt;&gt;"",EDATE($D80,Milestones!$AA$40)&gt;=$T80),$W80,IF(AND($S80&lt;&gt;"",EDATE($D80,Milestones!$AA$40)&gt;=$S80),$V80,$U80)))=Milestones!$AB$40),UPPER(TEXT(EDATE($D80,Milestones!$AA$40),"dd mmm yy"))&amp;" "&amp;Milestones!$AB$40&amp;" "&amp;Milestones!$AC$40&amp;";  ","")&amp;IF(AND(EDATE($D80,Milestones!$AA$41)&lt;=AsOfDate,IF($R80=0,$X80,IF(AND($T80&lt;&gt;"",EDATE($D80,Milestones!$AA$41)&gt;=$T80),$W80,IF(AND($S80&lt;&gt;"",EDATE($D80,Milestones!$AA$41)&gt;=$S80),$V80,$U80)))=Milestones!$AB$41),UPPER(TEXT(EDATE($D80,Milestones!$AA$41),"dd mmm yy"))&amp;" "&amp;Milestones!$AB$41&amp;" "&amp;Milestones!$AC$41&amp;";  ","")&amp;IF(AND(EDATE($D80,Milestones!$AA$42)&lt;=AsOfDate,IF($R80=0,$X80,IF(AND($T80&lt;&gt;"",EDATE($D80,Milestones!$AA$42)&gt;=$T80),$W80,IF(AND($S80&lt;&gt;"",EDATE($D80,Milestones!$AA$42)&gt;=$S80),$V80,$U80)))=Milestones!$AB$42),UPPER(TEXT(EDATE($D80,Milestones!$AA$42),"dd mmm yy"))&amp;" "&amp;Milestones!$AB$42&amp;" "&amp;Milestones!$AC$42&amp;";  ","")&amp;IF(AND(EDATE($D80,Milestones!$AA$43)&lt;=AsOfDate,IF($R80=0,$X80,IF(AND($T80&lt;&gt;"",EDATE($D80,Milestones!$AA$43)&gt;=$T80),$W80,IF(AND($S80&lt;&gt;"",EDATE($D80,Milestones!$AA$43)&gt;=$S80),$V80,$U80)))=Milestones!$AB$43),UPPER(TEXT(EDATE($D80,Milestones!$AA$43),"dd mmm yy"))&amp;" "&amp;Milestones!$AB$43&amp;" "&amp;Milestones!$AC$43&amp;";  ","")&amp;IF(AND(EDATE($D80,Milestones!$AA$44)&lt;=AsOfDate,IF($R80=0,$X80,IF(AND($T80&lt;&gt;"",EDATE($D80,Milestones!$AA$44)&gt;=$T80),$W80,IF(AND($S80&lt;&gt;"",EDATE($D80,Milestones!$AA$44)&gt;=$S80),$V80,$U80)))=Milestones!$AB$44),UPPER(TEXT(EDATE($D80,Milestones!$AA$44),"dd mmm yy"))&amp;" "&amp;Milestones!$AB$44&amp;" "&amp;Milestones!$AC$44&amp;";  ","")&amp;IF(AND(EDATE($D80,Milestones!$AA$45)&lt;=AsOfDate,IF($R80=0,$X80,IF(AND($T80&lt;&gt;"",EDATE($D80,Milestones!$AA$45)&gt;=$T80),$W80,IF(AND($S80&lt;&gt;"",EDATE($D80,Milestones!$AA$45)&gt;=$S80),$V80,$U80)))=Milestones!$AB$45),UPPER(TEXT(EDATE($D80,Milestones!$AA$45),"dd mmm yy"))&amp;" "&amp;Milestones!$AB$45&amp;" "&amp;Milestones!$AC$45&amp;";  ","")&amp;IF(AND(EDATE($D80,Milestones!$AA$46)&lt;=AsOfDate,IF($R80=0,$X80,IF(AND($T80&lt;&gt;"",EDATE($D80,Milestones!$AA$46)&gt;=$T80),$W80,IF(AND($S80&lt;&gt;"",EDATE($D80,Milestones!$AA$46)&gt;=$S80),$V80,$U80)))=Milestones!$AB$46),UPPER(TEXT(EDATE($D80,Milestones!$AA$46),"dd mmm yy"))&amp;" "&amp;Milestones!$AB$46&amp;" "&amp;Milestones!$AC$46&amp;";  ","")&amp;IF(AND(EDATE($D80,Milestones!$AA$47)&lt;=AsOfDate,IF($R80=0,$X80,IF(AND($T80&lt;&gt;"",EDATE($D80,Milestones!$AA$47)&gt;=$T80),$W80,IF(AND($S80&lt;&gt;"",EDATE($D80,Milestones!$AA$47)&gt;=$S80),$V80,$U80)))=Milestones!$AB$47),UPPER(TEXT(EDATE($D80,Milestones!$AA$47),"dd mmm yy"))&amp;" "&amp;Milestones!$AB$47&amp;" "&amp;Milestones!$AC$47&amp;";  ","")&amp;IF(AND(EDATE($D80,Milestones!$AA$48)&lt;=AsOfDate,IF($R80=0,$X80,IF(AND($T80&lt;&gt;"",EDATE($D80,Milestones!$AA$48)&gt;=$T80),$W80,IF(AND($S80&lt;&gt;"",EDATE($D80,Milestones!$AA$48)&gt;=$S80),$V80,$U80)))=Milestones!$AB$48),UPPER(TEXT(EDATE($D80,Milestones!$AA$48),"dd mmm yy"))&amp;" "&amp;Milestones!$AB$48&amp;" "&amp;Milestones!$AC$48&amp;";  ","")&amp;IF(AND(EDATE($D80,Milestones!$AA$49)&lt;=AsOfDate,IF($R80=0,$X80,IF(AND($T80&lt;&gt;"",EDATE($D80,Milestones!$AA$49)&gt;=$T80),$W80,IF(AND($S80&lt;&gt;"",EDATE($D80,Milestones!$AA$49)&gt;=$S80),$V80,$U80)))=Milestones!$AB$49),UPPER(TEXT(EDATE($D80,Milestones!$AA$49),"dd mmm yy"))&amp;" "&amp;Milestones!$AB$49&amp;" "&amp;Milestones!$AC$49&amp;";  ","")&amp;IF(AND(EDATE($D80,Milestones!$AA$50)&lt;=AsOfDate,IF($R80=0,$X80,IF(AND($T80&lt;&gt;"",EDATE($D80,Milestones!$AA$50)&gt;=$T80),$W80,IF(AND($S80&lt;&gt;"",EDATE($D80,Milestones!$AA$50)&gt;=$S80),$V80,$U80)))=Milestones!$AB$50),UPPER(TEXT(EDATE($D80,Milestones!$AA$50),"dd mmm yy"))&amp;" "&amp;Milestones!$AB$50&amp;" "&amp;Milestones!$AC$50&amp;";  ","")&amp;IF(AND(EDATE($D80,Milestones!$AA$51)&lt;=AsOfDate,IF($R80=0,$X80,IF(AND($T80&lt;&gt;"",EDATE($D80,Milestones!$AA$51)&gt;=$T80),$W80,IF(AND($S80&lt;&gt;"",EDATE($D80,Milestones!$AA$51)&gt;=$S80),$V80,$U80)))=Milestones!$AB$51),UPPER(TEXT(EDATE($D80,Milestones!$AA$51),"dd mmm yy"))&amp;" "&amp;Milestones!$AB$51&amp;" "&amp;Milestones!$AC$51&amp;";  ","")&amp;IF(AND(EDATE($D80,Milestones!$AA$52)&lt;=AsOfDate,IF($R80=0,$X80,IF(AND($T80&lt;&gt;"",EDATE($D80,Milestones!$AA$52)&gt;=$T80),$W80,IF(AND($S80&lt;&gt;"",EDATE($D80,Milestones!$AA$52)&gt;=$S80),$V80,$U80)))=Milestones!$AB$52),UPPER(TEXT(EDATE($D80,Milestones!$AA$52),"dd mmm yy"))&amp;" "&amp;Milestones!$AB$52&amp;" "&amp;Milestones!$AC$52&amp;";  ","")&amp;IF(AND(EDATE($D80,Milestones!$AA$53)&lt;=AsOfDate,IF($R80=0,$X80,IF(AND($T80&lt;&gt;"",EDATE($D80,Milestones!$AA$53)&gt;=$T80),$W80,IF(AND($S80&lt;&gt;"",EDATE($D80,Milestones!$AA$53)&gt;=$S80),$V80,$U80)))=Milestones!$AB$53),UPPER(TEXT(EDATE($D80,Milestones!$AA$53),"dd mmm yy"))&amp;" "&amp;Milestones!$AB$53&amp;" "&amp;Milestones!$AC$53&amp;";  ","")&amp;IF(AND(EDATE($D80,Milestones!$AA$54)&lt;=AsOfDate,IF($R80=0,$X80,IF(AND($T80&lt;&gt;"",EDATE($D80,Milestones!$AA$54)&gt;=$T80),$W80,IF(AND($S80&lt;&gt;"",EDATE($D80,Milestones!$AA$54)&gt;=$S80),$V80,$U80)))=Milestones!$AB$54),UPPER(TEXT(EDATE($D80,Milestones!$AA$54),"dd mmm yy"))&amp;" "&amp;Milestones!$AB$54&amp;" "&amp;Milestones!$AC$54&amp;";  ","")&amp;IF(AND(EDATE($D80,Milestones!$AA$55)&lt;=AsOfDate,IF($R80=0,$X80,IF(AND($T80&lt;&gt;"",EDATE($D80,Milestones!$AA$55)&gt;=$T80),$W80,IF(AND($S80&lt;&gt;"",EDATE($D80,Milestones!$AA$55)&gt;=$S80),$V80,$U80)))=Milestones!$AB$55),UPPER(TEXT(EDATE($D80,Milestones!$AA$55),"dd mmm yy"))&amp;" "&amp;Milestones!$AB$55&amp;" "&amp;Milestones!$AC$55&amp;";  ","")&amp;IF(AND(EDATE($D80,Milestones!$AA$56)&lt;=AsOfDate,IF($R80=0,$X80,IF(AND($T80&lt;&gt;"",EDATE($D80,Milestones!$AA$56)&gt;=$T80),$W80,IF(AND($S80&lt;&gt;"",EDATE($D80,Milestones!$AA$56)&gt;=$S80),$V80,$U80)))=Milestones!$AB$56),UPPER(TEXT(EDATE($D80,Milestones!$AA$56),"dd mmm yy"))&amp;" "&amp;Milestones!$AB$56&amp;" "&amp;Milestones!$AC$56&amp;";  ","")&amp;IF(AND(EDATE($D80,Milestones!$AA$57)&lt;=AsOfDate,IF($R80=0,$X80,IF(AND($T80&lt;&gt;"",EDATE($D80,Milestones!$AA$57)&gt;=$T80),$W80,IF(AND($S80&lt;&gt;"",EDATE($D80,Milestones!$AA$57)&gt;=$S80),$V80,$U80)))=Milestones!$AB$57),UPPER(TEXT(EDATE($D80,Milestones!$AA$57),"dd mmm yy"))&amp;" "&amp;Milestones!$AB$57&amp;" "&amp;Milestones!$AC$57&amp;";  ","")&amp;IF(AND(EDATE($D80,Milestones!$AA$58)&lt;=AsOfDate,IF($R80=0,$X80,IF(AND($T80&lt;&gt;"",EDATE($D80,Milestones!$AA$58)&gt;=$T80),$W80,IF(AND($S80&lt;&gt;"",EDATE($D80,Milestones!$AA$58)&gt;=$S80),$V80,$U80)))=Milestones!$AB$58),UPPER(TEXT(EDATE($D80,Milestones!$AA$58),"dd mmm yy"))&amp;" "&amp;Milestones!$AB$58&amp;" "&amp;Milestones!$AC$58&amp;";  ","")&amp;IF(AND(EDATE($D80,Milestones!$AA$59)&lt;=AsOfDate,IF($R80=0,$X80,IF(AND($T80&lt;&gt;"",EDATE($D80,Milestones!$AA$59)&gt;=$T80),$W80,IF(AND($S80&lt;&gt;"",EDATE($D80,Milestones!$AA$59)&gt;=$S80),$V80,$U80)))=Milestones!$AB$59),UPPER(TEXT(EDATE($D80,Milestones!$AA$59),"dd mmm yy"))&amp;" "&amp;Milestones!$AB$59&amp;" "&amp;Milestones!$AC$59&amp;";  ",""))</f>
        <v/>
      </c>
      <c r="K80" s="0" t="str">
        <f aca="false">IF(OR($A80="",$D80=""),"",IF(AND(EDATE($D80,Milestones!$AA$60)&lt;=AsOfDate,IF($R80=0,$X80,IF(AND($T80&lt;&gt;"",EDATE($D80,Milestones!$AA$60)&gt;=$T80),$W80,IF(AND($S80&lt;&gt;"",EDATE($D80,Milestones!$AA$60)&gt;=$S80),$V80,$U80)))=Milestones!$AB$60),UPPER(TEXT(EDATE($D80,Milestones!$AA$60),"dd mmm yy"))&amp;" "&amp;Milestones!$AB$60&amp;" "&amp;Milestones!$AC$60&amp;";  ","")&amp;IF(AND(EDATE($D80,Milestones!$AA$61)&lt;=AsOfDate,IF($R80=0,$X80,IF(AND($T80&lt;&gt;"",EDATE($D80,Milestones!$AA$61)&gt;=$T80),$W80,IF(AND($S80&lt;&gt;"",EDATE($D80,Milestones!$AA$61)&gt;=$S80),$V80,$U80)))=Milestones!$AB$61),UPPER(TEXT(EDATE($D80,Milestones!$AA$61),"dd mmm yy"))&amp;" "&amp;Milestones!$AB$61&amp;" "&amp;Milestones!$AC$61&amp;";  ","")&amp;IF(AND(EDATE($D80,Milestones!$AA$62)&lt;=AsOfDate,IF($R80=0,$X80,IF(AND($T80&lt;&gt;"",EDATE($D80,Milestones!$AA$62)&gt;=$T80),$W80,IF(AND($S80&lt;&gt;"",EDATE($D80,Milestones!$AA$62)&gt;=$S80),$V80,$U80)))=Milestones!$AB$62),UPPER(TEXT(EDATE($D80,Milestones!$AA$62),"dd mmm yy"))&amp;" "&amp;Milestones!$AB$62&amp;" "&amp;Milestones!$AC$62&amp;";  ","")&amp;IF(AND(EDATE($D80,Milestones!$AA$63)&lt;=AsOfDate,IF($R80=0,$X80,IF(AND($T80&lt;&gt;"",EDATE($D80,Milestones!$AA$63)&gt;=$T80),$W80,IF(AND($S80&lt;&gt;"",EDATE($D80,Milestones!$AA$63)&gt;=$S80),$V80,$U80)))=Milestones!$AB$63),UPPER(TEXT(EDATE($D80,Milestones!$AA$63),"dd mmm yy"))&amp;" "&amp;Milestones!$AB$63&amp;" "&amp;Milestones!$AC$63&amp;";  ","")&amp;IF(AND(EDATE($D80,Milestones!$AA$64)&lt;=AsOfDate,IF($R80=0,$X80,IF(AND($T80&lt;&gt;"",EDATE($D80,Milestones!$AA$64)&gt;=$T80),$W80,IF(AND($S80&lt;&gt;"",EDATE($D80,Milestones!$AA$64)&gt;=$S80),$V80,$U80)))=Milestones!$AB$64),UPPER(TEXT(EDATE($D80,Milestones!$AA$64),"dd mmm yy"))&amp;" "&amp;Milestones!$AB$64&amp;" "&amp;Milestones!$AC$64&amp;";  ","")&amp;IF(AND(EDATE($D80,Milestones!$AA$65)&lt;=AsOfDate,IF($R80=0,$X80,IF(AND($T80&lt;&gt;"",EDATE($D80,Milestones!$AA$65)&gt;=$T80),$W80,IF(AND($S80&lt;&gt;"",EDATE($D80,Milestones!$AA$65)&gt;=$S80),$V80,$U80)))=Milestones!$AB$65),UPPER(TEXT(EDATE($D80,Milestones!$AA$65),"dd mmm yy"))&amp;" "&amp;Milestones!$AB$65&amp;" "&amp;Milestones!$AC$65&amp;";  ","")&amp;IF(AND(EDATE($D80,Milestones!$AA$66)&lt;=AsOfDate,IF($R80=0,$X80,IF(AND($T80&lt;&gt;"",EDATE($D80,Milestones!$AA$66)&gt;=$T80),$W80,IF(AND($S80&lt;&gt;"",EDATE($D80,Milestones!$AA$66)&gt;=$S80),$V80,$U80)))=Milestones!$AB$66),UPPER(TEXT(EDATE($D80,Milestones!$AA$66),"dd mmm yy"))&amp;" "&amp;Milestones!$AB$66&amp;" "&amp;Milestones!$AC$66&amp;";  ","")&amp;IF(AND(EDATE($D80,Milestones!$AA$67)&lt;=AsOfDate,IF($R80=0,$X80,IF(AND($T80&lt;&gt;"",EDATE($D80,Milestones!$AA$67)&gt;=$T80),$W80,IF(AND($S80&lt;&gt;"",EDATE($D80,Milestones!$AA$67)&gt;=$S80),$V80,$U80)))=Milestones!$AB$67),UPPER(TEXT(EDATE($D80,Milestones!$AA$67),"dd mmm yy"))&amp;" "&amp;Milestones!$AB$67&amp;" "&amp;Milestones!$AC$67&amp;";  ","")&amp;IF(AND(EDATE($D80,Milestones!$AA$68)&lt;=AsOfDate,IF($R80=0,$X80,IF(AND($T80&lt;&gt;"",EDATE($D80,Milestones!$AA$68)&gt;=$T80),$W80,IF(AND($S80&lt;&gt;"",EDATE($D80,Milestones!$AA$68)&gt;=$S80),$V80,$U80)))=Milestones!$AB$68),UPPER(TEXT(EDATE($D80,Milestones!$AA$68),"dd mmm yy"))&amp;" "&amp;Milestones!$AB$68&amp;" "&amp;Milestones!$AC$68&amp;";  ","")&amp;IF(AND(EDATE($D80,Milestones!$AA$69)&lt;=AsOfDate,IF($R80=0,$X80,IF(AND($T80&lt;&gt;"",EDATE($D80,Milestones!$AA$69)&gt;=$T80),$W80,IF(AND($S80&lt;&gt;"",EDATE($D80,Milestones!$AA$69)&gt;=$S80),$V80,$U80)))=Milestones!$AB$69),UPPER(TEXT(EDATE($D80,Milestones!$AA$69),"dd mmm yy"))&amp;" "&amp;Milestones!$AB$69&amp;" "&amp;Milestones!$AC$69&amp;";  ","")&amp;IF(AND(EDATE($D80,Milestones!$AA$70)&lt;=AsOfDate,IF($R80=0,$X80,IF(AND($T80&lt;&gt;"",EDATE($D80,Milestones!$AA$70)&gt;=$T80),$W80,IF(AND($S80&lt;&gt;"",EDATE($D80,Milestones!$AA$70)&gt;=$S80),$V80,$U80)))=Milestones!$AB$70),UPPER(TEXT(EDATE($D80,Milestones!$AA$70),"dd mmm yy"))&amp;" "&amp;Milestones!$AB$70&amp;" "&amp;Milestones!$AC$70&amp;";  ","")&amp;IF(AND(EDATE($D80,Milestones!$AA$71)&lt;=AsOfDate,IF($R80=0,$X80,IF(AND($T80&lt;&gt;"",EDATE($D80,Milestones!$AA$71)&gt;=$T80),$W80,IF(AND($S80&lt;&gt;"",EDATE($D80,Milestones!$AA$71)&gt;=$S80),$V80,$U80)))=Milestones!$AB$71),UPPER(TEXT(EDATE($D80,Milestones!$AA$71),"dd mmm yy"))&amp;" "&amp;Milestones!$AB$71&amp;" "&amp;Milestones!$AC$71&amp;";  ","")&amp;IF(AND(EDATE($D80,Milestones!$AA$72)&lt;=AsOfDate,IF($R80=0,$X80,IF(AND($T80&lt;&gt;"",EDATE($D80,Milestones!$AA$72)&gt;=$T80),$W80,IF(AND($S80&lt;&gt;"",EDATE($D80,Milestones!$AA$72)&gt;=$S80),$V80,$U80)))=Milestones!$AB$72),UPPER(TEXT(EDATE($D80,Milestones!$AA$72),"dd mmm yy"))&amp;" "&amp;Milestones!$AB$72&amp;" "&amp;Milestones!$AC$72&amp;";  ","")&amp;IF(AND(EDATE($D80,Milestones!$AA$73)&lt;=AsOfDate,IF($R80=0,$X80,IF(AND($T80&lt;&gt;"",EDATE($D80,Milestones!$AA$73)&gt;=$T80),$W80,IF(AND($S80&lt;&gt;"",EDATE($D80,Milestones!$AA$73)&gt;=$S80),$V80,$U80)))=Milestones!$AB$73),UPPER(TEXT(EDATE($D80,Milestones!$AA$73),"dd mmm yy"))&amp;" "&amp;Milestones!$AB$73&amp;" "&amp;Milestones!$AC$73&amp;";  ","")&amp;IF(AND(EDATE($D80,Milestones!$AA$74)&lt;=AsOfDate,IF($R80=0,$X80,IF(AND($T80&lt;&gt;"",EDATE($D80,Milestones!$AA$74)&gt;=$T80),$W80,IF(AND($S80&lt;&gt;"",EDATE($D80,Milestones!$AA$74)&gt;=$S80),$V80,$U80)))=Milestones!$AB$74),UPPER(TEXT(EDATE($D80,Milestones!$AA$74),"dd mmm yy"))&amp;" "&amp;Milestones!$AB$74&amp;" "&amp;Milestones!$AC$74&amp;";  ","")&amp;IF(AND(EDATE($D80,Milestones!$AA$75)&lt;=AsOfDate,IF($R80=0,$X80,IF(AND($T80&lt;&gt;"",EDATE($D80,Milestones!$AA$75)&gt;=$T80),$W80,IF(AND($S80&lt;&gt;"",EDATE($D80,Milestones!$AA$75)&gt;=$S80),$V80,$U80)))=Milestones!$AB$75),UPPER(TEXT(EDATE($D80,Milestones!$AA$75),"dd mmm yy"))&amp;" "&amp;Milestones!$AB$75&amp;" "&amp;Milestones!$AC$75&amp;";  ","")&amp;IF(AND(EDATE($D80,Milestones!$AA$76)&lt;=AsOfDate,IF($R80=0,$X80,IF(AND($T80&lt;&gt;"",EDATE($D80,Milestones!$AA$76)&gt;=$T80),$W80,IF(AND($S80&lt;&gt;"",EDATE($D80,Milestones!$AA$76)&gt;=$S80),$V80,$U80)))=Milestones!$AB$76),UPPER(TEXT(EDATE($D80,Milestones!$AA$76),"dd mmm yy"))&amp;" "&amp;Milestones!$AB$76&amp;" "&amp;Milestones!$AC$76&amp;";  ","")&amp;IF(AND(EDATE($D80,Milestones!$AA$77)&lt;=AsOfDate,IF($R80=0,$X80,IF(AND($T80&lt;&gt;"",EDATE($D80,Milestones!$AA$77)&gt;=$T80),$W80,IF(AND($S80&lt;&gt;"",EDATE($D80,Milestones!$AA$77)&gt;=$S80),$V80,$U80)))=Milestones!$AB$77),UPPER(TEXT(EDATE($D80,Milestones!$AA$77),"dd mmm yy"))&amp;" "&amp;Milestones!$AB$77&amp;" "&amp;Milestones!$AC$77&amp;";  ","")&amp;IF(AND(EDATE($D80,Milestones!$AA$78)&lt;=AsOfDate,IF($R80=0,$X80,IF(AND($T80&lt;&gt;"",EDATE($D80,Milestones!$AA$78)&gt;=$T80),$W80,IF(AND($S80&lt;&gt;"",EDATE($D80,Milestones!$AA$78)&gt;=$S80),$V80,$U80)))=Milestones!$AB$78),UPPER(TEXT(EDATE($D80,Milestones!$AA$78),"dd mmm yy"))&amp;" "&amp;Milestones!$AB$78&amp;" "&amp;Milestones!$AC$78&amp;";  ","")&amp;IF(AND(EDATE($D80,Milestones!$AA$79)&lt;=AsOfDate,IF($R80=0,$X80,IF(AND($T80&lt;&gt;"",EDATE($D80,Milestones!$AA$79)&gt;=$T80),$W80,IF(AND($S80&lt;&gt;"",EDATE($D80,Milestones!$AA$79)&gt;=$S80),$V80,$U80)))=Milestones!$AB$79),UPPER(TEXT(EDATE($D80,Milestones!$AA$79),"dd mmm yy"))&amp;" "&amp;Milestones!$AB$79&amp;" "&amp;Milestones!$AC$79&amp;";  ",""))</f>
        <v/>
      </c>
      <c r="L80" s="0" t="str">
        <f aca="false">IF(OR($A80="",$D80=""),"",IF(AND(EDATE($D80,Milestones!$AA$80)&lt;=AsOfDate,IF($R80=0,$X80,IF(AND($T80&lt;&gt;"",EDATE($D80,Milestones!$AA$80)&gt;=$T80),$W80,IF(AND($S80&lt;&gt;"",EDATE($D80,Milestones!$AA$80)&gt;=$S80),$V80,$U80)))=Milestones!$AB$80),UPPER(TEXT(EDATE($D80,Milestones!$AA$80),"dd mmm yy"))&amp;" "&amp;Milestones!$AB$80&amp;" "&amp;Milestones!$AC$80&amp;";  ","")&amp;IF(AND(EDATE($D80,Milestones!$AA$81)&lt;=AsOfDate,IF($R80=0,$X80,IF(AND($T80&lt;&gt;"",EDATE($D80,Milestones!$AA$81)&gt;=$T80),$W80,IF(AND($S80&lt;&gt;"",EDATE($D80,Milestones!$AA$81)&gt;=$S80),$V80,$U80)))=Milestones!$AB$81),UPPER(TEXT(EDATE($D80,Milestones!$AA$81),"dd mmm yy"))&amp;" "&amp;Milestones!$AB$81&amp;" "&amp;Milestones!$AC$81&amp;";  ","")&amp;IF(AND(EDATE($D80,Milestones!$AA$82)&lt;=AsOfDate,IF($R80=0,$X80,IF(AND($T80&lt;&gt;"",EDATE($D80,Milestones!$AA$82)&gt;=$T80),$W80,IF(AND($S80&lt;&gt;"",EDATE($D80,Milestones!$AA$82)&gt;=$S80),$V80,$U80)))=Milestones!$AB$82),UPPER(TEXT(EDATE($D80,Milestones!$AA$82),"dd mmm yy"))&amp;" "&amp;Milestones!$AB$82&amp;" "&amp;Milestones!$AC$82&amp;";  ","")&amp;IF(AND(EDATE($D80,Milestones!$AA$83)&lt;=AsOfDate,IF($R80=0,$X80,IF(AND($T80&lt;&gt;"",EDATE($D80,Milestones!$AA$83)&gt;=$T80),$W80,IF(AND($S80&lt;&gt;"",EDATE($D80,Milestones!$AA$83)&gt;=$S80),$V80,$U80)))=Milestones!$AB$83),UPPER(TEXT(EDATE($D80,Milestones!$AA$83),"dd mmm yy"))&amp;" "&amp;Milestones!$AB$83&amp;" "&amp;Milestones!$AC$83&amp;";  ","")&amp;IF(AND(EDATE($D80,Milestones!$AA$84)&lt;=AsOfDate,IF($R80=0,$X80,IF(AND($T80&lt;&gt;"",EDATE($D80,Milestones!$AA$84)&gt;=$T80),$W80,IF(AND($S80&lt;&gt;"",EDATE($D80,Milestones!$AA$84)&gt;=$S80),$V80,$U80)))=Milestones!$AB$84),UPPER(TEXT(EDATE($D80,Milestones!$AA$84),"dd mmm yy"))&amp;" "&amp;Milestones!$AB$84&amp;" "&amp;Milestones!$AC$84&amp;";  ","")&amp;IF(AND(EDATE($D80,Milestones!$AA$85)&lt;=AsOfDate,IF($R80=0,$X80,IF(AND($T80&lt;&gt;"",EDATE($D80,Milestones!$AA$85)&gt;=$T80),$W80,IF(AND($S80&lt;&gt;"",EDATE($D80,Milestones!$AA$85)&gt;=$S80),$V80,$U80)))=Milestones!$AB$85),UPPER(TEXT(EDATE($D80,Milestones!$AA$85),"dd mmm yy"))&amp;" "&amp;Milestones!$AB$85&amp;" "&amp;Milestones!$AC$85&amp;";  ","")&amp;IF(AND(EDATE($D80,Milestones!$AA$86)&lt;=AsOfDate,IF($R80=0,$X80,IF(AND($T80&lt;&gt;"",EDATE($D80,Milestones!$AA$86)&gt;=$T80),$W80,IF(AND($S80&lt;&gt;"",EDATE($D80,Milestones!$AA$86)&gt;=$S80),$V80,$U80)))=Milestones!$AB$86),UPPER(TEXT(EDATE($D80,Milestones!$AA$86),"dd mmm yy"))&amp;" "&amp;Milestones!$AB$86&amp;" "&amp;Milestones!$AC$86&amp;";  ","")&amp;IF(AND(EDATE($D80,Milestones!$AA$87)&lt;=AsOfDate,IF($R80=0,$X80,IF(AND($T80&lt;&gt;"",EDATE($D80,Milestones!$AA$87)&gt;=$T80),$W80,IF(AND($S80&lt;&gt;"",EDATE($D80,Milestones!$AA$87)&gt;=$S80),$V80,$U80)))=Milestones!$AB$87),UPPER(TEXT(EDATE($D80,Milestones!$AA$87),"dd mmm yy"))&amp;" "&amp;Milestones!$AB$87&amp;" "&amp;Milestones!$AC$87&amp;";  ","")&amp;IF(AND(EDATE($D80,Milestones!$AA$88)&lt;=AsOfDate,IF($R80=0,$X80,IF(AND($T80&lt;&gt;"",EDATE($D80,Milestones!$AA$88)&gt;=$T80),$W80,IF(AND($S80&lt;&gt;"",EDATE($D80,Milestones!$AA$88)&gt;=$S80),$V80,$U80)))=Milestones!$AB$88),UPPER(TEXT(EDATE($D80,Milestones!$AA$88),"dd mmm yy"))&amp;" "&amp;Milestones!$AB$88&amp;" "&amp;Milestones!$AC$88&amp;";  ","")&amp;IF(AND(EDATE($D80,Milestones!$AA$89)&lt;=AsOfDate,IF($R80=0,$X80,IF(AND($T80&lt;&gt;"",EDATE($D80,Milestones!$AA$89)&gt;=$T80),$W80,IF(AND($S80&lt;&gt;"",EDATE($D80,Milestones!$AA$89)&gt;=$S80),$V80,$U80)))=Milestones!$AB$89),UPPER(TEXT(EDATE($D80,Milestones!$AA$89),"dd mmm yy"))&amp;" "&amp;Milestones!$AB$89&amp;" "&amp;Milestones!$AC$89&amp;";  ","")&amp;IF(AND(EDATE($D80,Milestones!$AA$90)&lt;=AsOfDate,IF($R80=0,$X80,IF(AND($T80&lt;&gt;"",EDATE($D80,Milestones!$AA$90)&gt;=$T80),$W80,IF(AND($S80&lt;&gt;"",EDATE($D80,Milestones!$AA$90)&gt;=$S80),$V80,$U80)))=Milestones!$AB$90),UPPER(TEXT(EDATE($D80,Milestones!$AA$90),"dd mmm yy"))&amp;" "&amp;Milestones!$AB$90&amp;" "&amp;Milestones!$AC$90&amp;";  ","")&amp;IF(AND(EDATE($D80,Milestones!$AA$91)&lt;=AsOfDate,IF($R80=0,$X80,IF(AND($T80&lt;&gt;"",EDATE($D80,Milestones!$AA$91)&gt;=$T80),$W80,IF(AND($S80&lt;&gt;"",EDATE($D80,Milestones!$AA$91)&gt;=$S80),$V80,$U80)))=Milestones!$AB$91),UPPER(TEXT(EDATE($D80,Milestones!$AA$91),"dd mmm yy"))&amp;" "&amp;Milestones!$AB$91&amp;" "&amp;Milestones!$AC$91&amp;";  ","")&amp;IF(AND(EDATE($D80,Milestones!$AA$92)&lt;=AsOfDate,IF($R80=0,$X80,IF(AND($T80&lt;&gt;"",EDATE($D80,Milestones!$AA$92)&gt;=$T80),$W80,IF(AND($S80&lt;&gt;"",EDATE($D80,Milestones!$AA$92)&gt;=$S80),$V80,$U80)))=Milestones!$AB$92),UPPER(TEXT(EDATE($D80,Milestones!$AA$92),"dd mmm yy"))&amp;" "&amp;Milestones!$AB$92&amp;" "&amp;Milestones!$AC$92&amp;";  ","")&amp;IF(AND(EDATE($D80,Milestones!$AA$93)&lt;=AsOfDate,IF($R80=0,$X80,IF(AND($T80&lt;&gt;"",EDATE($D80,Milestones!$AA$93)&gt;=$T80),$W80,IF(AND($S80&lt;&gt;"",EDATE($D80,Milestones!$AA$93)&gt;=$S80),$V80,$U80)))=Milestones!$AB$93),UPPER(TEXT(EDATE($D80,Milestones!$AA$93),"dd mmm yy"))&amp;" "&amp;Milestones!$AB$93&amp;" "&amp;Milestones!$AC$93&amp;";  ","")&amp;IF(AND(EDATE($D80,Milestones!$AA$94)&lt;=AsOfDate,IF($R80=0,$X80,IF(AND($T80&lt;&gt;"",EDATE($D80,Milestones!$AA$94)&gt;=$T80),$W80,IF(AND($S80&lt;&gt;"",EDATE($D80,Milestones!$AA$94)&gt;=$S80),$V80,$U80)))=Milestones!$AB$94),UPPER(TEXT(EDATE($D80,Milestones!$AA$94),"dd mmm yy"))&amp;" "&amp;Milestones!$AB$94&amp;" "&amp;Milestones!$AC$94&amp;";  ","")&amp;IF(AND(EDATE($D80,Milestones!$AA$95)&lt;=AsOfDate,IF($R80=0,$X80,IF(AND($T80&lt;&gt;"",EDATE($D80,Milestones!$AA$95)&gt;=$T80),$W80,IF(AND($S80&lt;&gt;"",EDATE($D80,Milestones!$AA$95)&gt;=$S80),$V80,$U80)))=Milestones!$AB$95),UPPER(TEXT(EDATE($D80,Milestones!$AA$95),"dd mmm yy"))&amp;" "&amp;Milestones!$AB$95&amp;" "&amp;Milestones!$AC$95&amp;";  ","")&amp;IF(AND(EDATE($D80,Milestones!$AA$96)&lt;=AsOfDate,IF($R80=0,$X80,IF(AND($T80&lt;&gt;"",EDATE($D80,Milestones!$AA$96)&gt;=$T80),$W80,IF(AND($S80&lt;&gt;"",EDATE($D80,Milestones!$AA$96)&gt;=$S80),$V80,$U80)))=Milestones!$AB$96),UPPER(TEXT(EDATE($D80,Milestones!$AA$96),"dd mmm yy"))&amp;" "&amp;Milestones!$AB$96&amp;" "&amp;Milestones!$AC$96&amp;";  ","")&amp;IF(AND(EDATE($D80,Milestones!$AA$97)&lt;=AsOfDate,IF($R80=0,$X80,IF(AND($T80&lt;&gt;"",EDATE($D80,Milestones!$AA$97)&gt;=$T80),$W80,IF(AND($S80&lt;&gt;"",EDATE($D80,Milestones!$AA$97)&gt;=$S80),$V80,$U80)))=Milestones!$AB$97),UPPER(TEXT(EDATE($D80,Milestones!$AA$97),"dd mmm yy"))&amp;" "&amp;Milestones!$AB$97&amp;" "&amp;Milestones!$AC$97&amp;";  ","")&amp;IF(AND(EDATE($D80,Milestones!$AA$98)&lt;=AsOfDate,IF($R80=0,$X80,IF(AND($T80&lt;&gt;"",EDATE($D80,Milestones!$AA$98)&gt;=$T80),$W80,IF(AND($S80&lt;&gt;"",EDATE($D80,Milestones!$AA$98)&gt;=$S80),$V80,$U80)))=Milestones!$AB$98),UPPER(TEXT(EDATE($D80,Milestones!$AA$98),"dd mmm yy"))&amp;" "&amp;Milestones!$AB$98&amp;" "&amp;Milestones!$AC$98&amp;";  ","")&amp;IF(AND(EDATE($D80,Milestones!$AA$99)&lt;=AsOfDate,IF($R80=0,$X80,IF(AND($T80&lt;&gt;"",EDATE($D80,Milestones!$AA$99)&gt;=$T80),$W80,IF(AND($S80&lt;&gt;"",EDATE($D80,Milestones!$AA$99)&gt;=$S80),$V80,$U80)))=Milestones!$AB$99),UPPER(TEXT(EDATE($D80,Milestones!$AA$99),"dd mmm yy"))&amp;" "&amp;Milestones!$AB$99&amp;" "&amp;Milestones!$AC$99&amp;";  ",""))</f>
        <v/>
      </c>
      <c r="M80" s="0" t="str">
        <f aca="false">IF(OR($A80="",$D80=""),"",IF(AND(EDATE($D80,Milestones!$AA$100)&lt;=AsOfDate,IF($R80=0,$X80,IF(AND($T80&lt;&gt;"",EDATE($D80,Milestones!$AA$100)&gt;=$T80),$W80,IF(AND($S80&lt;&gt;"",EDATE($D80,Milestones!$AA$100)&gt;=$S80),$V80,$U80)))=Milestones!$AB$100),UPPER(TEXT(EDATE($D80,Milestones!$AA$100),"dd mmm yy"))&amp;" "&amp;Milestones!$AB$100&amp;" "&amp;Milestones!$AC$100&amp;";  ","")&amp;IF(AND(EDATE($D80,Milestones!$AA$101)&lt;=AsOfDate,IF($R80=0,$X80,IF(AND($T80&lt;&gt;"",EDATE($D80,Milestones!$AA$101)&gt;=$T80),$W80,IF(AND($S80&lt;&gt;"",EDATE($D80,Milestones!$AA$101)&gt;=$S80),$V80,$U80)))=Milestones!$AB$101),UPPER(TEXT(EDATE($D80,Milestones!$AA$101),"dd mmm yy"))&amp;" "&amp;Milestones!$AB$101&amp;" "&amp;Milestones!$AC$101&amp;";  ","")&amp;IF(AND(EDATE($D80,Milestones!$AA$102)&lt;=AsOfDate,IF($R80=0,$X80,IF(AND($T80&lt;&gt;"",EDATE($D80,Milestones!$AA$102)&gt;=$T80),$W80,IF(AND($S80&lt;&gt;"",EDATE($D80,Milestones!$AA$102)&gt;=$S80),$V80,$U80)))=Milestones!$AB$102),UPPER(TEXT(EDATE($D80,Milestones!$AA$102),"dd mmm yy"))&amp;" "&amp;Milestones!$AB$102&amp;" "&amp;Milestones!$AC$102&amp;";  ","")&amp;IF(AND(EDATE($D80,Milestones!$AA$103)&lt;=AsOfDate,IF($R80=0,$X80,IF(AND($T80&lt;&gt;"",EDATE($D80,Milestones!$AA$103)&gt;=$T80),$W80,IF(AND($S80&lt;&gt;"",EDATE($D80,Milestones!$AA$103)&gt;=$S80),$V80,$U80)))=Milestones!$AB$103),UPPER(TEXT(EDATE($D80,Milestones!$AA$103),"dd mmm yy"))&amp;" "&amp;Milestones!$AB$103&amp;" "&amp;Milestones!$AC$103&amp;";  ","")&amp;IF(AND(EDATE($D80,Milestones!$AA$104)&lt;=AsOfDate,IF($R80=0,$X80,IF(AND($T80&lt;&gt;"",EDATE($D80,Milestones!$AA$104)&gt;=$T80),$W80,IF(AND($S80&lt;&gt;"",EDATE($D80,Milestones!$AA$104)&gt;=$S80),$V80,$U80)))=Milestones!$AB$104),UPPER(TEXT(EDATE($D80,Milestones!$AA$104),"dd mmm yy"))&amp;" "&amp;Milestones!$AB$104&amp;" "&amp;Milestones!$AC$104&amp;";  ","")&amp;IF(AND(EDATE($D80,Milestones!$AA$105)&lt;=AsOfDate,IF($R80=0,$X80,IF(AND($T80&lt;&gt;"",EDATE($D80,Milestones!$AA$105)&gt;=$T80),$W80,IF(AND($S80&lt;&gt;"",EDATE($D80,Milestones!$AA$105)&gt;=$S80),$V80,$U80)))=Milestones!$AB$105),UPPER(TEXT(EDATE($D80,Milestones!$AA$105),"dd mmm yy"))&amp;" "&amp;Milestones!$AB$105&amp;" "&amp;Milestones!$AC$105&amp;";  ","")&amp;IF(AND(EDATE($D80,Milestones!$AA$106)&lt;=AsOfDate,IF($R80=0,$X80,IF(AND($T80&lt;&gt;"",EDATE($D80,Milestones!$AA$106)&gt;=$T80),$W80,IF(AND($S80&lt;&gt;"",EDATE($D80,Milestones!$AA$106)&gt;=$S80),$V80,$U80)))=Milestones!$AB$106),UPPER(TEXT(EDATE($D80,Milestones!$AA$106),"dd mmm yy"))&amp;" "&amp;Milestones!$AB$106&amp;" "&amp;Milestones!$AC$106&amp;";  ","")&amp;IF(AND(EDATE($D80,Milestones!$AA$107)&lt;=AsOfDate,IF($R80=0,$X80,IF(AND($T80&lt;&gt;"",EDATE($D80,Milestones!$AA$107)&gt;=$T80),$W80,IF(AND($S80&lt;&gt;"",EDATE($D80,Milestones!$AA$107)&gt;=$S80),$V80,$U80)))=Milestones!$AB$107),UPPER(TEXT(EDATE($D80,Milestones!$AA$107),"dd mmm yy"))&amp;" "&amp;Milestones!$AB$107&amp;" "&amp;Milestones!$AC$107&amp;";  ","")&amp;IF(AND(EDATE($D80,Milestones!$AA$108)&lt;=AsOfDate,IF($R80=0,$X80,IF(AND($T80&lt;&gt;"",EDATE($D80,Milestones!$AA$108)&gt;=$T80),$W80,IF(AND($S80&lt;&gt;"",EDATE($D80,Milestones!$AA$108)&gt;=$S80),$V80,$U80)))=Milestones!$AB$108),UPPER(TEXT(EDATE($D80,Milestones!$AA$108),"dd mmm yy"))&amp;" "&amp;Milestones!$AB$108&amp;" "&amp;Milestones!$AC$108&amp;";  ","")&amp;IF(AND(EDATE($D80,Milestones!$AA$109)&lt;=AsOfDate,IF($R80=0,$X80,IF(AND($T80&lt;&gt;"",EDATE($D80,Milestones!$AA$109)&gt;=$T80),$W80,IF(AND($S80&lt;&gt;"",EDATE($D80,Milestones!$AA$109)&gt;=$S80),$V80,$U80)))=Milestones!$AB$109),UPPER(TEXT(EDATE($D80,Milestones!$AA$109),"dd mmm yy"))&amp;" "&amp;Milestones!$AB$109&amp;" "&amp;Milestones!$AC$109&amp;";  ","")&amp;IF(AND(EDATE($D80,Milestones!$AA$110)&lt;=AsOfDate,IF($R80=0,$X80,IF(AND($T80&lt;&gt;"",EDATE($D80,Milestones!$AA$110)&gt;=$T80),$W80,IF(AND($S80&lt;&gt;"",EDATE($D80,Milestones!$AA$110)&gt;=$S80),$V80,$U80)))=Milestones!$AB$110),UPPER(TEXT(EDATE($D80,Milestones!$AA$110),"dd mmm yy"))&amp;" "&amp;Milestones!$AB$110&amp;" "&amp;Milestones!$AC$110&amp;";  ","")&amp;IF(AND(EDATE($D80,Milestones!$AA$111)&lt;=AsOfDate,IF($R80=0,$X80,IF(AND($T80&lt;&gt;"",EDATE($D80,Milestones!$AA$111)&gt;=$T80),$W80,IF(AND($S80&lt;&gt;"",EDATE($D80,Milestones!$AA$111)&gt;=$S80),$V80,$U80)))=Milestones!$AB$111),UPPER(TEXT(EDATE($D80,Milestones!$AA$111),"dd mmm yy"))&amp;" "&amp;Milestones!$AB$111&amp;" "&amp;Milestones!$AC$111&amp;";  ","")&amp;IF(AND(EDATE($D80,Milestones!$AA$112)&lt;=AsOfDate,IF($R80=0,$X80,IF(AND($T80&lt;&gt;"",EDATE($D80,Milestones!$AA$112)&gt;=$T80),$W80,IF(AND($S80&lt;&gt;"",EDATE($D80,Milestones!$AA$112)&gt;=$S80),$V80,$U80)))=Milestones!$AB$112),UPPER(TEXT(EDATE($D80,Milestones!$AA$112),"dd mmm yy"))&amp;" "&amp;Milestones!$AB$112&amp;" "&amp;Milestones!$AC$112&amp;";  ","")&amp;IF(AND(EDATE($D80,Milestones!$AA$113)&lt;=AsOfDate,IF($R80=0,$X80,IF(AND($T80&lt;&gt;"",EDATE($D80,Milestones!$AA$113)&gt;=$T80),$W80,IF(AND($S80&lt;&gt;"",EDATE($D80,Milestones!$AA$113)&gt;=$S80),$V80,$U80)))=Milestones!$AB$113),UPPER(TEXT(EDATE($D80,Milestones!$AA$113),"dd mmm yy"))&amp;" "&amp;Milestones!$AB$113&amp;" "&amp;Milestones!$AC$113&amp;";  ","")&amp;IF(AND(EDATE($D80,Milestones!$AA$114)&lt;=AsOfDate,IF($R80=0,$X80,IF(AND($T80&lt;&gt;"",EDATE($D80,Milestones!$AA$114)&gt;=$T80),$W80,IF(AND($S80&lt;&gt;"",EDATE($D80,Milestones!$AA$114)&gt;=$S80),$V80,$U80)))=Milestones!$AB$114),UPPER(TEXT(EDATE($D80,Milestones!$AA$114),"dd mmm yy"))&amp;" "&amp;Milestones!$AB$114&amp;" "&amp;Milestones!$AC$114&amp;";  ","")&amp;IF(AND(EDATE($D80,Milestones!$AA$115)&lt;=AsOfDate,IF($R80=0,$X80,IF(AND($T80&lt;&gt;"",EDATE($D80,Milestones!$AA$115)&gt;=$T80),$W80,IF(AND($S80&lt;&gt;"",EDATE($D80,Milestones!$AA$115)&gt;=$S80),$V80,$U80)))=Milestones!$AB$115),UPPER(TEXT(EDATE($D80,Milestones!$AA$115),"dd mmm yy"))&amp;" "&amp;Milestones!$AB$115&amp;" "&amp;Milestones!$AC$115&amp;";  ","")&amp;IF(AND(EDATE($D80,Milestones!$AA$116)&lt;=AsOfDate,IF($R80=0,$X80,IF(AND($T80&lt;&gt;"",EDATE($D80,Milestones!$AA$116)&gt;=$T80),$W80,IF(AND($S80&lt;&gt;"",EDATE($D80,Milestones!$AA$116)&gt;=$S80),$V80,$U80)))=Milestones!$AB$116),UPPER(TEXT(EDATE($D80,Milestones!$AA$116),"dd mmm yy"))&amp;" "&amp;Milestones!$AB$116&amp;" "&amp;Milestones!$AC$116&amp;";  ","")&amp;IF(AND(EDATE($D80,Milestones!$AA$117)&lt;=AsOfDate,IF($R80=0,$X80,IF(AND($T80&lt;&gt;"",EDATE($D80,Milestones!$AA$117)&gt;=$T80),$W80,IF(AND($S80&lt;&gt;"",EDATE($D80,Milestones!$AA$117)&gt;=$S80),$V80,$U80)))=Milestones!$AB$117),UPPER(TEXT(EDATE($D80,Milestones!$AA$117),"dd mmm yy"))&amp;" "&amp;Milestones!$AB$117&amp;" "&amp;Milestones!$AC$117&amp;";  ","")&amp;IF(AND(EDATE($D80,Milestones!$AA$118)&lt;=AsOfDate,IF($R80=0,$X80,IF(AND($T80&lt;&gt;"",EDATE($D80,Milestones!$AA$118)&gt;=$T80),$W80,IF(AND($S80&lt;&gt;"",EDATE($D80,Milestones!$AA$118)&gt;=$S80),$V80,$U80)))=Milestones!$AB$118),UPPER(TEXT(EDATE($D80,Milestones!$AA$118),"dd mmm yy"))&amp;" "&amp;Milestones!$AB$118&amp;" "&amp;Milestones!$AC$118&amp;";  ","")&amp;IF(AND(EDATE($D80,Milestones!$AA$119)&lt;=AsOfDate,IF($R80=0,$X80,IF(AND($T80&lt;&gt;"",EDATE($D80,Milestones!$AA$119)&gt;=$T80),$W80,IF(AND($S80&lt;&gt;"",EDATE($D80,Milestones!$AA$119)&gt;=$S80),$V80,$U80)))=Milestones!$AB$119),UPPER(TEXT(EDATE($D80,Milestones!$AA$119),"dd mmm yy"))&amp;" "&amp;Milestones!$AB$119&amp;" "&amp;Milestones!$AC$119&amp;";  ",""))</f>
        <v/>
      </c>
      <c r="N80" s="0" t="str">
        <f aca="false">IF(OR($A80="",$D80=""),"",IF(AND(EDATE($D80,Milestones!$AA$120)&lt;=AsOfDate,IF($R80=0,$X80,IF(AND($T80&lt;&gt;"",EDATE($D80,Milestones!$AA$120)&gt;=$T80),$W80,IF(AND($S80&lt;&gt;"",EDATE($D80,Milestones!$AA$120)&gt;=$S80),$V80,$U80)))=Milestones!$AB$120),UPPER(TEXT(EDATE($D80,Milestones!$AA$120),"dd mmm yy"))&amp;" "&amp;Milestones!$AB$120&amp;" "&amp;Milestones!$AC$120&amp;";  ","")&amp;IF(AND(EDATE($D80,Milestones!$AA$121)&lt;=AsOfDate,IF($R80=0,$X80,IF(AND($T80&lt;&gt;"",EDATE($D80,Milestones!$AA$121)&gt;=$T80),$W80,IF(AND($S80&lt;&gt;"",EDATE($D80,Milestones!$AA$121)&gt;=$S80),$V80,$U80)))=Milestones!$AB$121),UPPER(TEXT(EDATE($D80,Milestones!$AA$121),"dd mmm yy"))&amp;" "&amp;Milestones!$AB$121&amp;" "&amp;Milestones!$AC$121&amp;";  ","")&amp;IF(AND(EDATE($D80,Milestones!$AA$122)&lt;=AsOfDate,IF($R80=0,$X80,IF(AND($T80&lt;&gt;"",EDATE($D80,Milestones!$AA$122)&gt;=$T80),$W80,IF(AND($S80&lt;&gt;"",EDATE($D80,Milestones!$AA$122)&gt;=$S80),$V80,$U80)))=Milestones!$AB$122),UPPER(TEXT(EDATE($D80,Milestones!$AA$122),"dd mmm yy"))&amp;" "&amp;Milestones!$AB$122&amp;" "&amp;Milestones!$AC$122&amp;";  ","")&amp;IF(AND(EDATE($D80,Milestones!$AA$123)&lt;=AsOfDate,IF($R80=0,$X80,IF(AND($T80&lt;&gt;"",EDATE($D80,Milestones!$AA$123)&gt;=$T80),$W80,IF(AND($S80&lt;&gt;"",EDATE($D80,Milestones!$AA$123)&gt;=$S80),$V80,$U80)))=Milestones!$AB$123),UPPER(TEXT(EDATE($D80,Milestones!$AA$123),"dd mmm yy"))&amp;" "&amp;Milestones!$AB$123&amp;" "&amp;Milestones!$AC$123&amp;";  ","")&amp;IF(AND(EDATE($D80,Milestones!$AA$124)&lt;=AsOfDate,IF($R80=0,$X80,IF(AND($T80&lt;&gt;"",EDATE($D80,Milestones!$AA$124)&gt;=$T80),$W80,IF(AND($S80&lt;&gt;"",EDATE($D80,Milestones!$AA$124)&gt;=$S80),$V80,$U80)))=Milestones!$AB$124),UPPER(TEXT(EDATE($D80,Milestones!$AA$124),"dd mmm yy"))&amp;" "&amp;Milestones!$AB$124&amp;" "&amp;Milestones!$AC$124&amp;";  ","")&amp;IF(AND(EDATE($D80,Milestones!$AA$125)&lt;=AsOfDate,IF($R80=0,$X80,IF(AND($T80&lt;&gt;"",EDATE($D80,Milestones!$AA$125)&gt;=$T80),$W80,IF(AND($S80&lt;&gt;"",EDATE($D80,Milestones!$AA$125)&gt;=$S80),$V80,$U80)))=Milestones!$AB$125),UPPER(TEXT(EDATE($D80,Milestones!$AA$125),"dd mmm yy"))&amp;" "&amp;Milestones!$AB$125&amp;" "&amp;Milestones!$AC$125&amp;";  ","")&amp;IF(AND(EDATE($D80,Milestones!$AA$126)&lt;=AsOfDate,IF($R80=0,$X80,IF(AND($T80&lt;&gt;"",EDATE($D80,Milestones!$AA$126)&gt;=$T80),$W80,IF(AND($S80&lt;&gt;"",EDATE($D80,Milestones!$AA$126)&gt;=$S80),$V80,$U80)))=Milestones!$AB$126),UPPER(TEXT(EDATE($D80,Milestones!$AA$126),"dd mmm yy"))&amp;" "&amp;Milestones!$AB$126&amp;" "&amp;Milestones!$AC$126&amp;";  ","")&amp;IF(AND(EDATE($D80,Milestones!$AA$127)&lt;=AsOfDate,IF($R80=0,$X80,IF(AND($T80&lt;&gt;"",EDATE($D80,Milestones!$AA$127)&gt;=$T80),$W80,IF(AND($S80&lt;&gt;"",EDATE($D80,Milestones!$AA$127)&gt;=$S80),$V80,$U80)))=Milestones!$AB$127),UPPER(TEXT(EDATE($D80,Milestones!$AA$127),"dd mmm yy"))&amp;" "&amp;Milestones!$AB$127&amp;" "&amp;Milestones!$AC$127&amp;";  ","")&amp;IF(AND(EDATE($D80,Milestones!$AA$128)&lt;=AsOfDate,IF($R80=0,$X80,IF(AND($T80&lt;&gt;"",EDATE($D80,Milestones!$AA$128)&gt;=$T80),$W80,IF(AND($S80&lt;&gt;"",EDATE($D80,Milestones!$AA$128)&gt;=$S80),$V80,$U80)))=Milestones!$AB$128),UPPER(TEXT(EDATE($D80,Milestones!$AA$128),"dd mmm yy"))&amp;" "&amp;Milestones!$AB$128&amp;" "&amp;Milestones!$AC$128&amp;";  ","")&amp;IF(AND(EDATE($D80,Milestones!$AA$129)&lt;=AsOfDate,IF($R80=0,$X80,IF(AND($T80&lt;&gt;"",EDATE($D80,Milestones!$AA$129)&gt;=$T80),$W80,IF(AND($S80&lt;&gt;"",EDATE($D80,Milestones!$AA$129)&gt;=$S80),$V80,$U80)))=Milestones!$AB$129),UPPER(TEXT(EDATE($D80,Milestones!$AA$129),"dd mmm yy"))&amp;" "&amp;Milestones!$AB$129&amp;" "&amp;Milestones!$AC$129&amp;";  ","")&amp;IF(AND(EDATE($D80,Milestones!$AA$130)&lt;=AsOfDate,IF($R80=0,$X80,IF(AND($T80&lt;&gt;"",EDATE($D80,Milestones!$AA$130)&gt;=$T80),$W80,IF(AND($S80&lt;&gt;"",EDATE($D80,Milestones!$AA$130)&gt;=$S80),$V80,$U80)))=Milestones!$AB$130),UPPER(TEXT(EDATE($D80,Milestones!$AA$130),"dd mmm yy"))&amp;" "&amp;Milestones!$AB$130&amp;" "&amp;Milestones!$AC$130&amp;";  ","")&amp;IF(AND(EDATE($D80,Milestones!$AA$131)&lt;=AsOfDate,IF($R80=0,$X80,IF(AND($T80&lt;&gt;"",EDATE($D80,Milestones!$AA$131)&gt;=$T80),$W80,IF(AND($S80&lt;&gt;"",EDATE($D80,Milestones!$AA$131)&gt;=$S80),$V80,$U80)))=Milestones!$AB$131),UPPER(TEXT(EDATE($D80,Milestones!$AA$131),"dd mmm yy"))&amp;" "&amp;Milestones!$AB$131&amp;" "&amp;Milestones!$AC$131&amp;";  ","")&amp;IF(AND(EDATE($D80,Milestones!$AA$132)&lt;=AsOfDate,IF($R80=0,$X80,IF(AND($T80&lt;&gt;"",EDATE($D80,Milestones!$AA$132)&gt;=$T80),$W80,IF(AND($S80&lt;&gt;"",EDATE($D80,Milestones!$AA$132)&gt;=$S80),$V80,$U80)))=Milestones!$AB$132),UPPER(TEXT(EDATE($D80,Milestones!$AA$132),"dd mmm yy"))&amp;" "&amp;Milestones!$AB$132&amp;" "&amp;Milestones!$AC$132&amp;";  ","")&amp;IF(AND(EDATE($D80,Milestones!$AA$133)&lt;=AsOfDate,IF($R80=0,$X80,IF(AND($T80&lt;&gt;"",EDATE($D80,Milestones!$AA$133)&gt;=$T80),$W80,IF(AND($S80&lt;&gt;"",EDATE($D80,Milestones!$AA$133)&gt;=$S80),$V80,$U80)))=Milestones!$AB$133),UPPER(TEXT(EDATE($D80,Milestones!$AA$133),"dd mmm yy"))&amp;" "&amp;Milestones!$AB$133&amp;" "&amp;Milestones!$AC$133&amp;";  ","")&amp;IF(AND(EDATE($D80,Milestones!$AA$134)&lt;=AsOfDate,IF($R80=0,$X80,IF(AND($T80&lt;&gt;"",EDATE($D80,Milestones!$AA$134)&gt;=$T80),$W80,IF(AND($S80&lt;&gt;"",EDATE($D80,Milestones!$AA$134)&gt;=$S80),$V80,$U80)))=Milestones!$AB$134),UPPER(TEXT(EDATE($D80,Milestones!$AA$134),"dd mmm yy"))&amp;" "&amp;Milestones!$AB$134&amp;" "&amp;Milestones!$AC$134&amp;";  ","")&amp;IF(AND(EDATE($D80,Milestones!$AA$135)&lt;=AsOfDate,IF($R80=0,$X80,IF(AND($T80&lt;&gt;"",EDATE($D80,Milestones!$AA$135)&gt;=$T80),$W80,IF(AND($S80&lt;&gt;"",EDATE($D80,Milestones!$AA$135)&gt;=$S80),$V80,$U80)))=Milestones!$AB$135),UPPER(TEXT(EDATE($D80,Milestones!$AA$135),"dd mmm yy"))&amp;" "&amp;Milestones!$AB$135&amp;" "&amp;Milestones!$AC$135&amp;";  ","")&amp;IF(AND(EDATE($D80,Milestones!$AA$136)&lt;=AsOfDate,IF($R80=0,$X80,IF(AND($T80&lt;&gt;"",EDATE($D80,Milestones!$AA$136)&gt;=$T80),$W80,IF(AND($S80&lt;&gt;"",EDATE($D80,Milestones!$AA$136)&gt;=$S80),$V80,$U80)))=Milestones!$AB$136),UPPER(TEXT(EDATE($D80,Milestones!$AA$136),"dd mmm yy"))&amp;" "&amp;Milestones!$AB$136&amp;" "&amp;Milestones!$AC$136&amp;";  ","")&amp;IF(AND(EDATE($D80,Milestones!$AA$137)&lt;=AsOfDate,IF($R80=0,$X80,IF(AND($T80&lt;&gt;"",EDATE($D80,Milestones!$AA$137)&gt;=$T80),$W80,IF(AND($S80&lt;&gt;"",EDATE($D80,Milestones!$AA$137)&gt;=$S80),$V80,$U80)))=Milestones!$AB$137),UPPER(TEXT(EDATE($D80,Milestones!$AA$137),"dd mmm yy"))&amp;" "&amp;Milestones!$AB$137&amp;" "&amp;Milestones!$AC$137&amp;";  ","")&amp;IF(AND(EDATE($D80,Milestones!$AA$138)&lt;=AsOfDate,IF($R80=0,$X80,IF(AND($T80&lt;&gt;"",EDATE($D80,Milestones!$AA$138)&gt;=$T80),$W80,IF(AND($S80&lt;&gt;"",EDATE($D80,Milestones!$AA$138)&gt;=$S80),$V80,$U80)))=Milestones!$AB$138),UPPER(TEXT(EDATE($D80,Milestones!$AA$138),"dd mmm yy"))&amp;" "&amp;Milestones!$AB$138&amp;" "&amp;Milestones!$AC$138&amp;";  ","")&amp;IF(AND(EDATE($D80,Milestones!$AA$139)&lt;=AsOfDate,IF($R80=0,$X80,IF(AND($T80&lt;&gt;"",EDATE($D80,Milestones!$AA$139)&gt;=$T80),$W80,IF(AND($S80&lt;&gt;"",EDATE($D80,Milestones!$AA$139)&gt;=$S80),$V80,$U80)))=Milestones!$AB$139),UPPER(TEXT(EDATE($D80,Milestones!$AA$139),"dd mmm yy"))&amp;" "&amp;Milestones!$AB$139&amp;" "&amp;Milestones!$AC$139&amp;";  ",""))</f>
        <v/>
      </c>
      <c r="O80" s="0" t="str">
        <f aca="false">IF(OR($A80="",$D80=""),"",IF(AND(EDATE($D80,Milestones!$AA$140)&lt;=AsOfDate,IF($R80=0,$X80,IF(AND($T80&lt;&gt;"",EDATE($D80,Milestones!$AA$140)&gt;=$T80),$W80,IF(AND($S80&lt;&gt;"",EDATE($D80,Milestones!$AA$140)&gt;=$S80),$V80,$U80)))=Milestones!$AB$140),UPPER(TEXT(EDATE($D80,Milestones!$AA$140),"dd mmm yy"))&amp;" "&amp;Milestones!$AB$140&amp;" "&amp;Milestones!$AC$140&amp;";  ","")&amp;IF(AND(EDATE($D80,Milestones!$AA$141)&lt;=AsOfDate,IF($R80=0,$X80,IF(AND($T80&lt;&gt;"",EDATE($D80,Milestones!$AA$141)&gt;=$T80),$W80,IF(AND($S80&lt;&gt;"",EDATE($D80,Milestones!$AA$141)&gt;=$S80),$V80,$U80)))=Milestones!$AB$141),UPPER(TEXT(EDATE($D80,Milestones!$AA$141),"dd mmm yy"))&amp;" "&amp;Milestones!$AB$141&amp;" "&amp;Milestones!$AC$141&amp;";  ","")&amp;IF(AND(EDATE($D80,Milestones!$AA$142)&lt;=AsOfDate,IF($R80=0,$X80,IF(AND($T80&lt;&gt;"",EDATE($D80,Milestones!$AA$142)&gt;=$T80),$W80,IF(AND($S80&lt;&gt;"",EDATE($D80,Milestones!$AA$142)&gt;=$S80),$V80,$U80)))=Milestones!$AB$142),UPPER(TEXT(EDATE($D80,Milestones!$AA$142),"dd mmm yy"))&amp;" "&amp;Milestones!$AB$142&amp;" "&amp;Milestones!$AC$142&amp;";  ","")&amp;IF(AND(EDATE($D80,Milestones!$AA$143)&lt;=AsOfDate,IF($R80=0,$X80,IF(AND($T80&lt;&gt;"",EDATE($D80,Milestones!$AA$143)&gt;=$T80),$W80,IF(AND($S80&lt;&gt;"",EDATE($D80,Milestones!$AA$143)&gt;=$S80),$V80,$U80)))=Milestones!$AB$143),UPPER(TEXT(EDATE($D80,Milestones!$AA$143),"dd mmm yy"))&amp;" "&amp;Milestones!$AB$143&amp;" "&amp;Milestones!$AC$143&amp;";  ","")&amp;IF(AND(EDATE($D80,Milestones!$AA$144)&lt;=AsOfDate,IF($R80=0,$X80,IF(AND($T80&lt;&gt;"",EDATE($D80,Milestones!$AA$144)&gt;=$T80),$W80,IF(AND($S80&lt;&gt;"",EDATE($D80,Milestones!$AA$144)&gt;=$S80),$V80,$U80)))=Milestones!$AB$144),UPPER(TEXT(EDATE($D80,Milestones!$AA$144),"dd mmm yy"))&amp;" "&amp;Milestones!$AB$144&amp;" "&amp;Milestones!$AC$144&amp;";  ","")&amp;IF(AND(EDATE($D80,Milestones!$AA$145)&lt;=AsOfDate,IF($R80=0,$X80,IF(AND($T80&lt;&gt;"",EDATE($D80,Milestones!$AA$145)&gt;=$T80),$W80,IF(AND($S80&lt;&gt;"",EDATE($D80,Milestones!$AA$145)&gt;=$S80),$V80,$U80)))=Milestones!$AB$145),UPPER(TEXT(EDATE($D80,Milestones!$AA$145),"dd mmm yy"))&amp;" "&amp;Milestones!$AB$145&amp;" "&amp;Milestones!$AC$145&amp;";  ","")&amp;IF(AND(EDATE($D80,Milestones!$AA$146)&lt;=AsOfDate,IF($R80=0,$X80,IF(AND($T80&lt;&gt;"",EDATE($D80,Milestones!$AA$146)&gt;=$T80),$W80,IF(AND($S80&lt;&gt;"",EDATE($D80,Milestones!$AA$146)&gt;=$S80),$V80,$U80)))=Milestones!$AB$146),UPPER(TEXT(EDATE($D80,Milestones!$AA$146),"dd mmm yy"))&amp;" "&amp;Milestones!$AB$146&amp;" "&amp;Milestones!$AC$146&amp;";  ","")&amp;IF(AND(EDATE($D80,Milestones!$AA$147)&lt;=AsOfDate,IF($R80=0,$X80,IF(AND($T80&lt;&gt;"",EDATE($D80,Milestones!$AA$147)&gt;=$T80),$W80,IF(AND($S80&lt;&gt;"",EDATE($D80,Milestones!$AA$147)&gt;=$S80),$V80,$U80)))=Milestones!$AB$147),UPPER(TEXT(EDATE($D80,Milestones!$AA$147),"dd mmm yy"))&amp;" "&amp;Milestones!$AB$147&amp;" "&amp;Milestones!$AC$147&amp;";  ","")&amp;IF(AND(EDATE($D80,Milestones!$AA$148)&lt;=AsOfDate,IF($R80=0,$X80,IF(AND($T80&lt;&gt;"",EDATE($D80,Milestones!$AA$148)&gt;=$T80),$W80,IF(AND($S80&lt;&gt;"",EDATE($D80,Milestones!$AA$148)&gt;=$S80),$V80,$U80)))=Milestones!$AB$148),UPPER(TEXT(EDATE($D80,Milestones!$AA$148),"dd mmm yy"))&amp;" "&amp;Milestones!$AB$148&amp;" "&amp;Milestones!$AC$148&amp;";  ","")&amp;IF(AND(EDATE($D80,Milestones!$AA$149)&lt;=AsOfDate,IF($R80=0,$X80,IF(AND($T80&lt;&gt;"",EDATE($D80,Milestones!$AA$149)&gt;=$T80),$W80,IF(AND($S80&lt;&gt;"",EDATE($D80,Milestones!$AA$149)&gt;=$S80),$V80,$U80)))=Milestones!$AB$149),UPPER(TEXT(EDATE($D80,Milestones!$AA$149),"dd mmm yy"))&amp;" "&amp;Milestones!$AB$149&amp;" "&amp;Milestones!$AC$149&amp;";  ","")&amp;IF(AND(EDATE($D80,Milestones!$AA$150)&lt;=AsOfDate,IF($R80=0,$X80,IF(AND($T80&lt;&gt;"",EDATE($D80,Milestones!$AA$150)&gt;=$T80),$W80,IF(AND($S80&lt;&gt;"",EDATE($D80,Milestones!$AA$150)&gt;=$S80),$V80,$U80)))=Milestones!$AB$150),UPPER(TEXT(EDATE($D80,Milestones!$AA$150),"dd mmm yy"))&amp;" "&amp;Milestones!$AB$150&amp;" "&amp;Milestones!$AC$150&amp;";  ","")&amp;IF(AND(EDATE($D80,Milestones!$AA$151)&lt;=AsOfDate,IF($R80=0,$X80,IF(AND($T80&lt;&gt;"",EDATE($D80,Milestones!$AA$151)&gt;=$T80),$W80,IF(AND($S80&lt;&gt;"",EDATE($D80,Milestones!$AA$151)&gt;=$S80),$V80,$U80)))=Milestones!$AB$151),UPPER(TEXT(EDATE($D80,Milestones!$AA$151),"dd mmm yy"))&amp;" "&amp;Milestones!$AB$151&amp;" "&amp;Milestones!$AC$151&amp;";  ","")&amp;IF(AND(EDATE($D80,Milestones!$AA$152)&lt;=AsOfDate,IF($R80=0,$X80,IF(AND($T80&lt;&gt;"",EDATE($D80,Milestones!$AA$152)&gt;=$T80),$W80,IF(AND($S80&lt;&gt;"",EDATE($D80,Milestones!$AA$152)&gt;=$S80),$V80,$U80)))=Milestones!$AB$152),UPPER(TEXT(EDATE($D80,Milestones!$AA$152),"dd mmm yy"))&amp;" "&amp;Milestones!$AB$152&amp;" "&amp;Milestones!$AC$152&amp;";  ","")&amp;IF(AND(EDATE($D80,Milestones!$AA$153)&lt;=AsOfDate,IF($R80=0,$X80,IF(AND($T80&lt;&gt;"",EDATE($D80,Milestones!$AA$153)&gt;=$T80),$W80,IF(AND($S80&lt;&gt;"",EDATE($D80,Milestones!$AA$153)&gt;=$S80),$V80,$U80)))=Milestones!$AB$153),UPPER(TEXT(EDATE($D80,Milestones!$AA$153),"dd mmm yy"))&amp;" "&amp;Milestones!$AB$153&amp;" "&amp;Milestones!$AC$153&amp;";  ","")&amp;IF(AND(EDATE($D80,Milestones!$AA$154)&lt;=AsOfDate,IF($R80=0,$X80,IF(AND($T80&lt;&gt;"",EDATE($D80,Milestones!$AA$154)&gt;=$T80),$W80,IF(AND($S80&lt;&gt;"",EDATE($D80,Milestones!$AA$154)&gt;=$S80),$V80,$U80)))=Milestones!$AB$154),UPPER(TEXT(EDATE($D80,Milestones!$AA$154),"dd mmm yy"))&amp;" "&amp;Milestones!$AB$154&amp;" "&amp;Milestones!$AC$154&amp;";  ","")&amp;IF(AND(EDATE($D80,Milestones!$AA$155)&lt;=AsOfDate,IF($R80=0,$X80,IF(AND($T80&lt;&gt;"",EDATE($D80,Milestones!$AA$155)&gt;=$T80),$W80,IF(AND($S80&lt;&gt;"",EDATE($D80,Milestones!$AA$155)&gt;=$S80),$V80,$U80)))=Milestones!$AB$155),UPPER(TEXT(EDATE($D80,Milestones!$AA$155),"dd mmm yy"))&amp;" "&amp;Milestones!$AB$155&amp;" "&amp;Milestones!$AC$155&amp;";  ","")&amp;IF(AND(EDATE($D80,Milestones!$AA$156)&lt;=AsOfDate,IF($R80=0,$X80,IF(AND($T80&lt;&gt;"",EDATE($D80,Milestones!$AA$156)&gt;=$T80),$W80,IF(AND($S80&lt;&gt;"",EDATE($D80,Milestones!$AA$156)&gt;=$S80),$V80,$U80)))=Milestones!$AB$156),UPPER(TEXT(EDATE($D80,Milestones!$AA$156),"dd mmm yy"))&amp;" "&amp;Milestones!$AB$156&amp;" "&amp;Milestones!$AC$156&amp;";  ","")&amp;IF(AND(EDATE($D80,Milestones!$AA$157)&lt;=AsOfDate,IF($R80=0,$X80,IF(AND($T80&lt;&gt;"",EDATE($D80,Milestones!$AA$157)&gt;=$T80),$W80,IF(AND($S80&lt;&gt;"",EDATE($D80,Milestones!$AA$157)&gt;=$S80),$V80,$U80)))=Milestones!$AB$157),UPPER(TEXT(EDATE($D80,Milestones!$AA$157),"dd mmm yy"))&amp;" "&amp;Milestones!$AB$157&amp;" "&amp;Milestones!$AC$157&amp;";  ","")&amp;IF(AND(EDATE($D80,Milestones!$AA$158)&lt;=AsOfDate,IF($R80=0,$X80,IF(AND($T80&lt;&gt;"",EDATE($D80,Milestones!$AA$158)&gt;=$T80),$W80,IF(AND($S80&lt;&gt;"",EDATE($D80,Milestones!$AA$158)&gt;=$S80),$V80,$U80)))=Milestones!$AB$158),UPPER(TEXT(EDATE($D80,Milestones!$AA$158),"dd mmm yy"))&amp;" "&amp;Milestones!$AB$158&amp;" "&amp;Milestones!$AC$158&amp;";  ","")&amp;IF(AND(EDATE($D80,Milestones!$AA$159)&lt;=AsOfDate,IF($R80=0,$X80,IF(AND($T80&lt;&gt;"",EDATE($D80,Milestones!$AA$159)&gt;=$T80),$W80,IF(AND($S80&lt;&gt;"",EDATE($D80,Milestones!$AA$159)&gt;=$S80),$V80,$U80)))=Milestones!$AB$159),UPPER(TEXT(EDATE($D80,Milestones!$AA$159),"dd mmm yy"))&amp;" "&amp;Milestones!$AB$159&amp;" "&amp;Milestones!$AC$159&amp;";  ",""))</f>
        <v/>
      </c>
      <c r="P80" s="0" t="str">
        <f aca="false">IF(OR($A80="",$D80=""),"",IF(AND(EDATE($D80,Milestones!$AA$160)&lt;=AsOfDate,IF($R80=0,$X80,IF(AND($T80&lt;&gt;"",EDATE($D80,Milestones!$AA$160)&gt;=$T80),$W80,IF(AND($S80&lt;&gt;"",EDATE($D80,Milestones!$AA$160)&gt;=$S80),$V80,$U80)))=Milestones!$AB$160),UPPER(TEXT(EDATE($D80,Milestones!$AA$160),"dd mmm yy"))&amp;" "&amp;Milestones!$AB$160&amp;" "&amp;Milestones!$AC$160&amp;";  ","")&amp;IF(AND(EDATE($D80,Milestones!$AA$161)&lt;=AsOfDate,IF($R80=0,$X80,IF(AND($T80&lt;&gt;"",EDATE($D80,Milestones!$AA$161)&gt;=$T80),$W80,IF(AND($S80&lt;&gt;"",EDATE($D80,Milestones!$AA$161)&gt;=$S80),$V80,$U80)))=Milestones!$AB$161),UPPER(TEXT(EDATE($D80,Milestones!$AA$161),"dd mmm yy"))&amp;" "&amp;Milestones!$AB$161&amp;" "&amp;Milestones!$AC$161&amp;";  ","")&amp;IF(AND(EDATE($D80,Milestones!$AA$162)&lt;=AsOfDate,IF($R80=0,$X80,IF(AND($T80&lt;&gt;"",EDATE($D80,Milestones!$AA$162)&gt;=$T80),$W80,IF(AND($S80&lt;&gt;"",EDATE($D80,Milestones!$AA$162)&gt;=$S80),$V80,$U80)))=Milestones!$AB$162),UPPER(TEXT(EDATE($D80,Milestones!$AA$162),"dd mmm yy"))&amp;" "&amp;Milestones!$AB$162&amp;" "&amp;Milestones!$AC$162&amp;";  ","")&amp;IF(AND(EDATE($D80,Milestones!$AA$163)&lt;=AsOfDate,IF($R80=0,$X80,IF(AND($T80&lt;&gt;"",EDATE($D80,Milestones!$AA$163)&gt;=$T80),$W80,IF(AND($S80&lt;&gt;"",EDATE($D80,Milestones!$AA$163)&gt;=$S80),$V80,$U80)))=Milestones!$AB$163),UPPER(TEXT(EDATE($D80,Milestones!$AA$163),"dd mmm yy"))&amp;" "&amp;Milestones!$AB$163&amp;" "&amp;Milestones!$AC$163&amp;";  ","")&amp;IF(AND(EDATE($D80,Milestones!$AA$164)&lt;=AsOfDate,IF($R80=0,$X80,IF(AND($T80&lt;&gt;"",EDATE($D80,Milestones!$AA$164)&gt;=$T80),$W80,IF(AND($S80&lt;&gt;"",EDATE($D80,Milestones!$AA$164)&gt;=$S80),$V80,$U80)))=Milestones!$AB$164),UPPER(TEXT(EDATE($D80,Milestones!$AA$164),"dd mmm yy"))&amp;" "&amp;Milestones!$AB$164&amp;" "&amp;Milestones!$AC$164&amp;";  ","")&amp;IF(AND(EDATE($D80,Milestones!$AA$165)&lt;=AsOfDate,IF($R80=0,$X80,IF(AND($T80&lt;&gt;"",EDATE($D80,Milestones!$AA$165)&gt;=$T80),$W80,IF(AND($S80&lt;&gt;"",EDATE($D80,Milestones!$AA$165)&gt;=$S80),$V80,$U80)))=Milestones!$AB$165),UPPER(TEXT(EDATE($D80,Milestones!$AA$165),"dd mmm yy"))&amp;" "&amp;Milestones!$AB$165&amp;" "&amp;Milestones!$AC$165&amp;";  ","")&amp;IF(AND(EDATE($D80,Milestones!$AA$166)&lt;=AsOfDate,IF($R80=0,$X80,IF(AND($T80&lt;&gt;"",EDATE($D80,Milestones!$AA$166)&gt;=$T80),$W80,IF(AND($S80&lt;&gt;"",EDATE($D80,Milestones!$AA$166)&gt;=$S80),$V80,$U80)))=Milestones!$AB$166),UPPER(TEXT(EDATE($D80,Milestones!$AA$166),"dd mmm yy"))&amp;" "&amp;Milestones!$AB$166&amp;" "&amp;Milestones!$AC$166&amp;";  ","")&amp;IF(AND(EDATE($D80,Milestones!$AA$167)&lt;=AsOfDate,IF($R80=0,$X80,IF(AND($T80&lt;&gt;"",EDATE($D80,Milestones!$AA$167)&gt;=$T80),$W80,IF(AND($S80&lt;&gt;"",EDATE($D80,Milestones!$AA$167)&gt;=$S80),$V80,$U80)))=Milestones!$AB$167),UPPER(TEXT(EDATE($D80,Milestones!$AA$167),"dd mmm yy"))&amp;" "&amp;Milestones!$AB$167&amp;" "&amp;Milestones!$AC$167&amp;";  ","")&amp;IF(AND(EDATE($D80,Milestones!$AA$168)&lt;=AsOfDate,IF($R80=0,$X80,IF(AND($T80&lt;&gt;"",EDATE($D80,Milestones!$AA$168)&gt;=$T80),$W80,IF(AND($S80&lt;&gt;"",EDATE($D80,Milestones!$AA$168)&gt;=$S80),$V80,$U80)))=Milestones!$AB$168),UPPER(TEXT(EDATE($D80,Milestones!$AA$168),"dd mmm yy"))&amp;" "&amp;Milestones!$AB$168&amp;" "&amp;Milestones!$AC$168&amp;";  ","")&amp;IF(AND(EDATE($D80,Milestones!$AA$169)&lt;=AsOfDate,IF($R80=0,$X80,IF(AND($T80&lt;&gt;"",EDATE($D80,Milestones!$AA$169)&gt;=$T80),$W80,IF(AND($S80&lt;&gt;"",EDATE($D80,Milestones!$AA$169)&gt;=$S80),$V80,$U80)))=Milestones!$AB$169),UPPER(TEXT(EDATE($D80,Milestones!$AA$169),"dd mmm yy"))&amp;" "&amp;Milestones!$AB$169&amp;" "&amp;Milestones!$AC$169&amp;";  ","")&amp;IF(AND(EDATE($D80,Milestones!$AA$170)&lt;=AsOfDate,IF($R80=0,$X80,IF(AND($T80&lt;&gt;"",EDATE($D80,Milestones!$AA$170)&gt;=$T80),$W80,IF(AND($S80&lt;&gt;"",EDATE($D80,Milestones!$AA$170)&gt;=$S80),$V80,$U80)))=Milestones!$AB$170),UPPER(TEXT(EDATE($D80,Milestones!$AA$170),"dd mmm yy"))&amp;" "&amp;Milestones!$AB$170&amp;" "&amp;Milestones!$AC$170&amp;";  ","")&amp;IF(AND(EDATE($D80,Milestones!$AA$171)&lt;=AsOfDate,IF($R80=0,$X80,IF(AND($T80&lt;&gt;"",EDATE($D80,Milestones!$AA$171)&gt;=$T80),$W80,IF(AND($S80&lt;&gt;"",EDATE($D80,Milestones!$AA$171)&gt;=$S80),$V80,$U80)))=Milestones!$AB$171),UPPER(TEXT(EDATE($D80,Milestones!$AA$171),"dd mmm yy"))&amp;" "&amp;Milestones!$AB$171&amp;" "&amp;Milestones!$AC$171&amp;";  ","")&amp;IF(AND(EDATE($D80,Milestones!$AA$172)&lt;=AsOfDate,IF($R80=0,$X80,IF(AND($T80&lt;&gt;"",EDATE($D80,Milestones!$AA$172)&gt;=$T80),$W80,IF(AND($S80&lt;&gt;"",EDATE($D80,Milestones!$AA$172)&gt;=$S80),$V80,$U80)))=Milestones!$AB$172),UPPER(TEXT(EDATE($D80,Milestones!$AA$172),"dd mmm yy"))&amp;" "&amp;Milestones!$AB$172&amp;" "&amp;Milestones!$AC$172&amp;";  ","")&amp;IF(AND(EDATE($D80,Milestones!$AA$173)&lt;=AsOfDate,IF($R80=0,$X80,IF(AND($T80&lt;&gt;"",EDATE($D80,Milestones!$AA$173)&gt;=$T80),$W80,IF(AND($S80&lt;&gt;"",EDATE($D80,Milestones!$AA$173)&gt;=$S80),$V80,$U80)))=Milestones!$AB$173),UPPER(TEXT(EDATE($D80,Milestones!$AA$173),"dd mmm yy"))&amp;" "&amp;Milestones!$AB$173&amp;" "&amp;Milestones!$AC$173&amp;";  ","")&amp;IF(AND(EDATE($D80,Milestones!$AA$174)&lt;=AsOfDate,IF($R80=0,$X80,IF(AND($T80&lt;&gt;"",EDATE($D80,Milestones!$AA$174)&gt;=$T80),$W80,IF(AND($S80&lt;&gt;"",EDATE($D80,Milestones!$AA$174)&gt;=$S80),$V80,$U80)))=Milestones!$AB$174),UPPER(TEXT(EDATE($D80,Milestones!$AA$174),"dd mmm yy"))&amp;" "&amp;Milestones!$AB$174&amp;" "&amp;Milestones!$AC$174&amp;";  ","")&amp;IF(AND(EDATE($D80,Milestones!$AA$175)&lt;=AsOfDate,IF($R80=0,$X80,IF(AND($T80&lt;&gt;"",EDATE($D80,Milestones!$AA$175)&gt;=$T80),$W80,IF(AND($S80&lt;&gt;"",EDATE($D80,Milestones!$AA$175)&gt;=$S80),$V80,$U80)))=Milestones!$AB$175),UPPER(TEXT(EDATE($D80,Milestones!$AA$175),"dd mmm yy"))&amp;" "&amp;Milestones!$AB$175&amp;" "&amp;Milestones!$AC$175&amp;";  ","")&amp;IF(AND(EDATE($D80,Milestones!$AA$176)&lt;=AsOfDate,IF($R80=0,$X80,IF(AND($T80&lt;&gt;"",EDATE($D80,Milestones!$AA$176)&gt;=$T80),$W80,IF(AND($S80&lt;&gt;"",EDATE($D80,Milestones!$AA$176)&gt;=$S80),$V80,$U80)))=Milestones!$AB$176),UPPER(TEXT(EDATE($D80,Milestones!$AA$176),"dd mmm yy"))&amp;" "&amp;Milestones!$AB$176&amp;" "&amp;Milestones!$AC$176&amp;";  ","")&amp;IF(AND(EDATE($D80,Milestones!$AA$177)&lt;=AsOfDate,IF($R80=0,$X80,IF(AND($T80&lt;&gt;"",EDATE($D80,Milestones!$AA$177)&gt;=$T80),$W80,IF(AND($S80&lt;&gt;"",EDATE($D80,Milestones!$AA$177)&gt;=$S80),$V80,$U80)))=Milestones!$AB$177),UPPER(TEXT(EDATE($D80,Milestones!$AA$177),"dd mmm yy"))&amp;" "&amp;Milestones!$AB$177&amp;" "&amp;Milestones!$AC$177&amp;";  ","")&amp;IF(AND(EDATE($D80,Milestones!$AA$178)&lt;=AsOfDate,IF($R80=0,$X80,IF(AND($T80&lt;&gt;"",EDATE($D80,Milestones!$AA$178)&gt;=$T80),$W80,IF(AND($S80&lt;&gt;"",EDATE($D80,Milestones!$AA$178)&gt;=$S80),$V80,$U80)))=Milestones!$AB$178),UPPER(TEXT(EDATE($D80,Milestones!$AA$178),"dd mmm yy"))&amp;" "&amp;Milestones!$AB$178&amp;" "&amp;Milestones!$AC$178&amp;";  ","")&amp;IF(AND(EDATE($D80,Milestones!$AA$179)&lt;=AsOfDate,IF($R80=0,$X80,IF(AND($T80&lt;&gt;"",EDATE($D80,Milestones!$AA$179)&gt;=$T80),$W80,IF(AND($S80&lt;&gt;"",EDATE($D80,Milestones!$AA$179)&gt;=$S80),$V80,$U80)))=Milestones!$AB$179),UPPER(TEXT(EDATE($D80,Milestones!$AA$179),"dd mmm yy"))&amp;" "&amp;Milestones!$AB$179&amp;" "&amp;Milestones!$AC$179&amp;";  ",""))</f>
        <v/>
      </c>
      <c r="Q80" s="0" t="str">
        <f aca="false">IF(OR($A80="",$D80=""),"",IF(AND(EDATE($D80,Milestones!$AA$180)&lt;=AsOfDate,IF($R80=0,$X80,IF(AND($T80&lt;&gt;"",EDATE($D80,Milestones!$AA$180)&gt;=$T80),$W80,IF(AND($S80&lt;&gt;"",EDATE($D80,Milestones!$AA$180)&gt;=$S80),$V80,$U80)))=Milestones!$AB$180),UPPER(TEXT(EDATE($D80,Milestones!$AA$180),"dd mmm yy"))&amp;" "&amp;Milestones!$AB$180&amp;" "&amp;Milestones!$AC$180&amp;";  ","")&amp;IF(AND(EDATE($D80,Milestones!$AA$181)&lt;=AsOfDate,IF($R80=0,$X80,IF(AND($T80&lt;&gt;"",EDATE($D80,Milestones!$AA$181)&gt;=$T80),$W80,IF(AND($S80&lt;&gt;"",EDATE($D80,Milestones!$AA$181)&gt;=$S80),$V80,$U80)))=Milestones!$AB$181),UPPER(TEXT(EDATE($D80,Milestones!$AA$181),"dd mmm yy"))&amp;" "&amp;Milestones!$AB$181&amp;" "&amp;Milestones!$AC$181&amp;";  ","")&amp;IF(AND(EDATE($D80,Milestones!$AA$182)&lt;=AsOfDate,IF($R80=0,$X80,IF(AND($T80&lt;&gt;"",EDATE($D80,Milestones!$AA$182)&gt;=$T80),$W80,IF(AND($S80&lt;&gt;"",EDATE($D80,Milestones!$AA$182)&gt;=$S80),$V80,$U80)))=Milestones!$AB$182),UPPER(TEXT(EDATE($D80,Milestones!$AA$182),"dd mmm yy"))&amp;" "&amp;Milestones!$AB$182&amp;" "&amp;Milestones!$AC$182&amp;";  ","")&amp;IF(AND(EDATE($D80,Milestones!$AA$183)&lt;=AsOfDate,IF($R80=0,$X80,IF(AND($T80&lt;&gt;"",EDATE($D80,Milestones!$AA$183)&gt;=$T80),$W80,IF(AND($S80&lt;&gt;"",EDATE($D80,Milestones!$AA$183)&gt;=$S80),$V80,$U80)))=Milestones!$AB$183),UPPER(TEXT(EDATE($D80,Milestones!$AA$183),"dd mmm yy"))&amp;" "&amp;Milestones!$AB$183&amp;" "&amp;Milestones!$AC$183&amp;";  ","")&amp;IF(AND(EDATE($D80,Milestones!$AA$184)&lt;=AsOfDate,IF($R80=0,$X80,IF(AND($T80&lt;&gt;"",EDATE($D80,Milestones!$AA$184)&gt;=$T80),$W80,IF(AND($S80&lt;&gt;"",EDATE($D80,Milestones!$AA$184)&gt;=$S80),$V80,$U80)))=Milestones!$AB$184),UPPER(TEXT(EDATE($D80,Milestones!$AA$184),"dd mmm yy"))&amp;" "&amp;Milestones!$AB$184&amp;" "&amp;Milestones!$AC$184&amp;";  ","")&amp;IF(AND(EDATE($D80,Milestones!$AA$185)&lt;=AsOfDate,IF($R80=0,$X80,IF(AND($T80&lt;&gt;"",EDATE($D80,Milestones!$AA$185)&gt;=$T80),$W80,IF(AND($S80&lt;&gt;"",EDATE($D80,Milestones!$AA$185)&gt;=$S80),$V80,$U80)))=Milestones!$AB$185),UPPER(TEXT(EDATE($D80,Milestones!$AA$185),"dd mmm yy"))&amp;" "&amp;Milestones!$AB$185&amp;" "&amp;Milestones!$AC$185&amp;";  ","")&amp;IF(AND(EDATE($D80,Milestones!$AA$186)&lt;=AsOfDate,IF($R80=0,$X80,IF(AND($T80&lt;&gt;"",EDATE($D80,Milestones!$AA$186)&gt;=$T80),$W80,IF(AND($S80&lt;&gt;"",EDATE($D80,Milestones!$AA$186)&gt;=$S80),$V80,$U80)))=Milestones!$AB$186),UPPER(TEXT(EDATE($D80,Milestones!$AA$186),"dd mmm yy"))&amp;" "&amp;Milestones!$AB$186&amp;" "&amp;Milestones!$AC$186&amp;";  ","")&amp;IF(AND(EDATE($D80,Milestones!$AA$187)&lt;=AsOfDate,IF($R80=0,$X80,IF(AND($T80&lt;&gt;"",EDATE($D80,Milestones!$AA$187)&gt;=$T80),$W80,IF(AND($S80&lt;&gt;"",EDATE($D80,Milestones!$AA$187)&gt;=$S80),$V80,$U80)))=Milestones!$AB$187),UPPER(TEXT(EDATE($D80,Milestones!$AA$187),"dd mmm yy"))&amp;" "&amp;Milestones!$AB$187&amp;" "&amp;Milestones!$AC$187&amp;";  ","")&amp;IF(AND(EDATE($D80,Milestones!$AA$188)&lt;=AsOfDate,IF($R80=0,$X80,IF(AND($T80&lt;&gt;"",EDATE($D80,Milestones!$AA$188)&gt;=$T80),$W80,IF(AND($S80&lt;&gt;"",EDATE($D80,Milestones!$AA$188)&gt;=$S80),$V80,$U80)))=Milestones!$AB$188),UPPER(TEXT(EDATE($D80,Milestones!$AA$188),"dd mmm yy"))&amp;" "&amp;Milestones!$AB$188&amp;" "&amp;Milestones!$AC$188&amp;";  ","")&amp;IF(AND(EDATE($D80,Milestones!$AA$189)&lt;=AsOfDate,IF($R80=0,$X80,IF(AND($T80&lt;&gt;"",EDATE($D80,Milestones!$AA$189)&gt;=$T80),$W80,IF(AND($S80&lt;&gt;"",EDATE($D80,Milestones!$AA$189)&gt;=$S80),$V80,$U80)))=Milestones!$AB$189),UPPER(TEXT(EDATE($D80,Milestones!$AA$189),"dd mmm yy"))&amp;" "&amp;Milestones!$AB$189&amp;" "&amp;Milestones!$AC$189&amp;";  ","")&amp;IF(AND(EDATE($D80,Milestones!$AA$190)&lt;=AsOfDate,IF($R80=0,$X80,IF(AND($T80&lt;&gt;"",EDATE($D80,Milestones!$AA$190)&gt;=$T80),$W80,IF(AND($S80&lt;&gt;"",EDATE($D80,Milestones!$AA$190)&gt;=$S80),$V80,$U80)))=Milestones!$AB$190),UPPER(TEXT(EDATE($D80,Milestones!$AA$190),"dd mmm yy"))&amp;" "&amp;Milestones!$AB$190&amp;" "&amp;Milestones!$AC$190&amp;";  ","")&amp;IF(AND(EDATE($D80,Milestones!$AA$191)&lt;=AsOfDate,IF($R80=0,$X80,IF(AND($T80&lt;&gt;"",EDATE($D80,Milestones!$AA$191)&gt;=$T80),$W80,IF(AND($S80&lt;&gt;"",EDATE($D80,Milestones!$AA$191)&gt;=$S80),$V80,$U80)))=Milestones!$AB$191),UPPER(TEXT(EDATE($D80,Milestones!$AA$191),"dd mmm yy"))&amp;" "&amp;Milestones!$AB$191&amp;" "&amp;Milestones!$AC$191&amp;";  ","")&amp;IF(AND(EDATE($D80,Milestones!$AA$192)&lt;=AsOfDate,IF($R80=0,$X80,IF(AND($T80&lt;&gt;"",EDATE($D80,Milestones!$AA$192)&gt;=$T80),$W80,IF(AND($S80&lt;&gt;"",EDATE($D80,Milestones!$AA$192)&gt;=$S80),$V80,$U80)))=Milestones!$AB$192),UPPER(TEXT(EDATE($D80,Milestones!$AA$192),"dd mmm yy"))&amp;" "&amp;Milestones!$AB$192&amp;" "&amp;Milestones!$AC$192&amp;";  ","")&amp;IF(AND(EDATE($D80,Milestones!$AA$193)&lt;=AsOfDate,IF($R80=0,$X80,IF(AND($T80&lt;&gt;"",EDATE($D80,Milestones!$AA$193)&gt;=$T80),$W80,IF(AND($S80&lt;&gt;"",EDATE($D80,Milestones!$AA$193)&gt;=$S80),$V80,$U80)))=Milestones!$AB$193),UPPER(TEXT(EDATE($D80,Milestones!$AA$193),"dd mmm yy"))&amp;" "&amp;Milestones!$AB$193&amp;" "&amp;Milestones!$AC$193&amp;";  ","")&amp;IF(AND(EDATE($D80,Milestones!$AA$194)&lt;=AsOfDate,IF($R80=0,$X80,IF(AND($T80&lt;&gt;"",EDATE($D80,Milestones!$AA$194)&gt;=$T80),$W80,IF(AND($S80&lt;&gt;"",EDATE($D80,Milestones!$AA$194)&gt;=$S80),$V80,$U80)))=Milestones!$AB$194),UPPER(TEXT(EDATE($D80,Milestones!$AA$194),"dd mmm yy"))&amp;" "&amp;Milestones!$AB$194&amp;" "&amp;Milestones!$AC$194&amp;";  ","")&amp;IF(AND(EDATE($D80,Milestones!$AA$195)&lt;=AsOfDate,IF($R80=0,$X80,IF(AND($T80&lt;&gt;"",EDATE($D80,Milestones!$AA$195)&gt;=$T80),$W80,IF(AND($S80&lt;&gt;"",EDATE($D80,Milestones!$AA$195)&gt;=$S80),$V80,$U80)))=Milestones!$AB$195),UPPER(TEXT(EDATE($D80,Milestones!$AA$195),"dd mmm yy"))&amp;" "&amp;Milestones!$AB$195&amp;" "&amp;Milestones!$AC$195&amp;";  ","")&amp;IF(AND(EDATE($D80,Milestones!$AA$196)&lt;=AsOfDate,IF($R80=0,$X80,IF(AND($T80&lt;&gt;"",EDATE($D80,Milestones!$AA$196)&gt;=$T80),$W80,IF(AND($S80&lt;&gt;"",EDATE($D80,Milestones!$AA$196)&gt;=$S80),$V80,$U80)))=Milestones!$AB$196),UPPER(TEXT(EDATE($D80,Milestones!$AA$196),"dd mmm yy"))&amp;" "&amp;Milestones!$AB$196&amp;" "&amp;Milestones!$AC$196&amp;";  ","")&amp;IF(AND(EDATE($D80,Milestones!$AA$197)&lt;=AsOfDate,IF($R80=0,$X80,IF(AND($T80&lt;&gt;"",EDATE($D80,Milestones!$AA$197)&gt;=$T80),$W80,IF(AND($S80&lt;&gt;"",EDATE($D80,Milestones!$AA$197)&gt;=$S80),$V80,$U80)))=Milestones!$AB$197),UPPER(TEXT(EDATE($D80,Milestones!$AA$197),"dd mmm yy"))&amp;" "&amp;Milestones!$AB$197&amp;" "&amp;Milestones!$AC$197&amp;";  ","")&amp;IF(AND(EDATE($D80,Milestones!$AA$198)&lt;=AsOfDate,IF($R80=0,$X80,IF(AND($T80&lt;&gt;"",EDATE($D80,Milestones!$AA$198)&gt;=$T80),$W80,IF(AND($S80&lt;&gt;"",EDATE($D80,Milestones!$AA$198)&gt;=$S80),$V80,$U80)))=Milestones!$AB$198),UPPER(TEXT(EDATE($D80,Milestones!$AA$198),"dd mmm yy"))&amp;" "&amp;Milestones!$AB$198&amp;" "&amp;Milestones!$AC$198&amp;";  ","")&amp;IF(AND(EDATE($D80,Milestones!$AA$199)&lt;=AsOfDate,IF($R80=0,$X80,IF(AND($T80&lt;&gt;"",EDATE($D80,Milestones!$AA$199)&gt;=$T80),$W80,IF(AND($S80&lt;&gt;"",EDATE($D80,Milestones!$AA$199)&gt;=$S80),$V80,$U80)))=Milestones!$AB$199),UPPER(TEXT(EDATE($D80,Milestones!$AA$199),"dd mmm yy"))&amp;" "&amp;Milestones!$AB$199&amp;" "&amp;Milestones!$AC$199&amp;";  ",""))</f>
        <v/>
      </c>
      <c r="R80" s="0" t="str">
        <f aca="false">IF(Staff!$A80="","",Staff!$AI80)</f>
        <v/>
      </c>
      <c r="S80" s="0" t="str">
        <f aca="false">IF(Staff!$A80="","",Staff!$AK80)</f>
        <v/>
      </c>
      <c r="T80" s="0" t="str">
        <f aca="false">IF(Staff!$A80="","",Staff!$AL80)</f>
        <v/>
      </c>
      <c r="U80" s="0" t="str">
        <f aca="false">IF(Staff!$A80="","",Staff!$AP80)</f>
        <v/>
      </c>
      <c r="V80" s="0" t="str">
        <f aca="false">IF(Staff!$A80="","",Staff!$AQ80)</f>
        <v/>
      </c>
      <c r="W80" s="0" t="str">
        <f aca="false">IF(Staff!$A80="","",Staff!$AR80)</f>
        <v/>
      </c>
      <c r="X80" s="0" t="str">
        <f aca="false">IF(Staff!$A80="","",Staff!$AS80)</f>
        <v/>
      </c>
    </row>
    <row r="81" customFormat="false" ht="15" hidden="false" customHeight="false" outlineLevel="0" collapsed="false">
      <c r="A81" s="19" t="str">
        <f aca="false">IF(Staff!$A81="","",Staff!$A81)</f>
        <v/>
      </c>
      <c r="B81" s="19" t="str">
        <f aca="false">IF(Staff!$A81="","",Staff!$B81)</f>
        <v/>
      </c>
      <c r="C81" s="19" t="str">
        <f aca="false">IF(Staff!$A81="","",Staff!$C81)</f>
        <v/>
      </c>
      <c r="D81" s="17" t="str">
        <f aca="false">IF(Staff!$A81="","",Staff!$AH81)</f>
        <v/>
      </c>
      <c r="E81" s="19" t="str">
        <f aca="false">IF(Staff!$A81="","",Staff!$O81)</f>
        <v/>
      </c>
      <c r="F81" s="19" t="str">
        <f aca="false">IF(E81="","",E81*HoursPerDay)</f>
        <v/>
      </c>
      <c r="G81" s="19" t="str">
        <f aca="false">IF(Staff!$A81="","",Staff!$AE81)</f>
        <v/>
      </c>
      <c r="H81" s="32" t="str">
        <f aca="false">IF($A81="","",I81&amp;J81&amp;K81&amp;L81&amp;M81&amp;N81&amp;O81&amp;P81&amp;Q81)</f>
        <v/>
      </c>
      <c r="I81" s="0" t="str">
        <f aca="false">IF(OR($A81="",$D81=""),"",IF(AND(EDATE($D81,Milestones!$AA$20)&lt;=AsOfDate,IF($R81=0,$X81,IF(AND($T81&lt;&gt;"",EDATE($D81,Milestones!$AA$20)&gt;=$T81),$W81,IF(AND($S81&lt;&gt;"",EDATE($D81,Milestones!$AA$20)&gt;=$S81),$V81,$U81)))=Milestones!$AB$20),UPPER(TEXT(EDATE($D81,Milestones!$AA$20),"dd mmm yy"))&amp;" "&amp;Milestones!$AB$20&amp;" "&amp;Milestones!$AC$20&amp;";  ","")&amp;IF(AND(EDATE($D81,Milestones!$AA$21)&lt;=AsOfDate,IF($R81=0,$X81,IF(AND($T81&lt;&gt;"",EDATE($D81,Milestones!$AA$21)&gt;=$T81),$W81,IF(AND($S81&lt;&gt;"",EDATE($D81,Milestones!$AA$21)&gt;=$S81),$V81,$U81)))=Milestones!$AB$21),UPPER(TEXT(EDATE($D81,Milestones!$AA$21),"dd mmm yy"))&amp;" "&amp;Milestones!$AB$21&amp;" "&amp;Milestones!$AC$21&amp;";  ","")&amp;IF(AND(EDATE($D81,Milestones!$AA$22)&lt;=AsOfDate,IF($R81=0,$X81,IF(AND($T81&lt;&gt;"",EDATE($D81,Milestones!$AA$22)&gt;=$T81),$W81,IF(AND($S81&lt;&gt;"",EDATE($D81,Milestones!$AA$22)&gt;=$S81),$V81,$U81)))=Milestones!$AB$22),UPPER(TEXT(EDATE($D81,Milestones!$AA$22),"dd mmm yy"))&amp;" "&amp;Milestones!$AB$22&amp;" "&amp;Milestones!$AC$22&amp;";  ","")&amp;IF(AND(EDATE($D81,Milestones!$AA$23)&lt;=AsOfDate,IF($R81=0,$X81,IF(AND($T81&lt;&gt;"",EDATE($D81,Milestones!$AA$23)&gt;=$T81),$W81,IF(AND($S81&lt;&gt;"",EDATE($D81,Milestones!$AA$23)&gt;=$S81),$V81,$U81)))=Milestones!$AB$23),UPPER(TEXT(EDATE($D81,Milestones!$AA$23),"dd mmm yy"))&amp;" "&amp;Milestones!$AB$23&amp;" "&amp;Milestones!$AC$23&amp;";  ","")&amp;IF(AND(EDATE($D81,Milestones!$AA$24)&lt;=AsOfDate,IF($R81=0,$X81,IF(AND($T81&lt;&gt;"",EDATE($D81,Milestones!$AA$24)&gt;=$T81),$W81,IF(AND($S81&lt;&gt;"",EDATE($D81,Milestones!$AA$24)&gt;=$S81),$V81,$U81)))=Milestones!$AB$24),UPPER(TEXT(EDATE($D81,Milestones!$AA$24),"dd mmm yy"))&amp;" "&amp;Milestones!$AB$24&amp;" "&amp;Milestones!$AC$24&amp;";  ","")&amp;IF(AND(EDATE($D81,Milestones!$AA$25)&lt;=AsOfDate,IF($R81=0,$X81,IF(AND($T81&lt;&gt;"",EDATE($D81,Milestones!$AA$25)&gt;=$T81),$W81,IF(AND($S81&lt;&gt;"",EDATE($D81,Milestones!$AA$25)&gt;=$S81),$V81,$U81)))=Milestones!$AB$25),UPPER(TEXT(EDATE($D81,Milestones!$AA$25),"dd mmm yy"))&amp;" "&amp;Milestones!$AB$25&amp;" "&amp;Milestones!$AC$25&amp;";  ","")&amp;IF(AND(EDATE($D81,Milestones!$AA$26)&lt;=AsOfDate,IF($R81=0,$X81,IF(AND($T81&lt;&gt;"",EDATE($D81,Milestones!$AA$26)&gt;=$T81),$W81,IF(AND($S81&lt;&gt;"",EDATE($D81,Milestones!$AA$26)&gt;=$S81),$V81,$U81)))=Milestones!$AB$26),UPPER(TEXT(EDATE($D81,Milestones!$AA$26),"dd mmm yy"))&amp;" "&amp;Milestones!$AB$26&amp;" "&amp;Milestones!$AC$26&amp;";  ","")&amp;IF(AND(EDATE($D81,Milestones!$AA$27)&lt;=AsOfDate,IF($R81=0,$X81,IF(AND($T81&lt;&gt;"",EDATE($D81,Milestones!$AA$27)&gt;=$T81),$W81,IF(AND($S81&lt;&gt;"",EDATE($D81,Milestones!$AA$27)&gt;=$S81),$V81,$U81)))=Milestones!$AB$27),UPPER(TEXT(EDATE($D81,Milestones!$AA$27),"dd mmm yy"))&amp;" "&amp;Milestones!$AB$27&amp;" "&amp;Milestones!$AC$27&amp;";  ","")&amp;IF(AND(EDATE($D81,Milestones!$AA$28)&lt;=AsOfDate,IF($R81=0,$X81,IF(AND($T81&lt;&gt;"",EDATE($D81,Milestones!$AA$28)&gt;=$T81),$W81,IF(AND($S81&lt;&gt;"",EDATE($D81,Milestones!$AA$28)&gt;=$S81),$V81,$U81)))=Milestones!$AB$28),UPPER(TEXT(EDATE($D81,Milestones!$AA$28),"dd mmm yy"))&amp;" "&amp;Milestones!$AB$28&amp;" "&amp;Milestones!$AC$28&amp;";  ","")&amp;IF(AND(EDATE($D81,Milestones!$AA$29)&lt;=AsOfDate,IF($R81=0,$X81,IF(AND($T81&lt;&gt;"",EDATE($D81,Milestones!$AA$29)&gt;=$T81),$W81,IF(AND($S81&lt;&gt;"",EDATE($D81,Milestones!$AA$29)&gt;=$S81),$V81,$U81)))=Milestones!$AB$29),UPPER(TEXT(EDATE($D81,Milestones!$AA$29),"dd mmm yy"))&amp;" "&amp;Milestones!$AB$29&amp;" "&amp;Milestones!$AC$29&amp;";  ","")&amp;IF(AND(EDATE($D81,Milestones!$AA$30)&lt;=AsOfDate,IF($R81=0,$X81,IF(AND($T81&lt;&gt;"",EDATE($D81,Milestones!$AA$30)&gt;=$T81),$W81,IF(AND($S81&lt;&gt;"",EDATE($D81,Milestones!$AA$30)&gt;=$S81),$V81,$U81)))=Milestones!$AB$30),UPPER(TEXT(EDATE($D81,Milestones!$AA$30),"dd mmm yy"))&amp;" "&amp;Milestones!$AB$30&amp;" "&amp;Milestones!$AC$30&amp;";  ","")&amp;IF(AND(EDATE($D81,Milestones!$AA$31)&lt;=AsOfDate,IF($R81=0,$X81,IF(AND($T81&lt;&gt;"",EDATE($D81,Milestones!$AA$31)&gt;=$T81),$W81,IF(AND($S81&lt;&gt;"",EDATE($D81,Milestones!$AA$31)&gt;=$S81),$V81,$U81)))=Milestones!$AB$31),UPPER(TEXT(EDATE($D81,Milestones!$AA$31),"dd mmm yy"))&amp;" "&amp;Milestones!$AB$31&amp;" "&amp;Milestones!$AC$31&amp;";  ","")&amp;IF(AND(EDATE($D81,Milestones!$AA$32)&lt;=AsOfDate,IF($R81=0,$X81,IF(AND($T81&lt;&gt;"",EDATE($D81,Milestones!$AA$32)&gt;=$T81),$W81,IF(AND($S81&lt;&gt;"",EDATE($D81,Milestones!$AA$32)&gt;=$S81),$V81,$U81)))=Milestones!$AB$32),UPPER(TEXT(EDATE($D81,Milestones!$AA$32),"dd mmm yy"))&amp;" "&amp;Milestones!$AB$32&amp;" "&amp;Milestones!$AC$32&amp;";  ","")&amp;IF(AND(EDATE($D81,Milestones!$AA$33)&lt;=AsOfDate,IF($R81=0,$X81,IF(AND($T81&lt;&gt;"",EDATE($D81,Milestones!$AA$33)&gt;=$T81),$W81,IF(AND($S81&lt;&gt;"",EDATE($D81,Milestones!$AA$33)&gt;=$S81),$V81,$U81)))=Milestones!$AB$33),UPPER(TEXT(EDATE($D81,Milestones!$AA$33),"dd mmm yy"))&amp;" "&amp;Milestones!$AB$33&amp;" "&amp;Milestones!$AC$33&amp;";  ","")&amp;IF(AND(EDATE($D81,Milestones!$AA$34)&lt;=AsOfDate,IF($R81=0,$X81,IF(AND($T81&lt;&gt;"",EDATE($D81,Milestones!$AA$34)&gt;=$T81),$W81,IF(AND($S81&lt;&gt;"",EDATE($D81,Milestones!$AA$34)&gt;=$S81),$V81,$U81)))=Milestones!$AB$34),UPPER(TEXT(EDATE($D81,Milestones!$AA$34),"dd mmm yy"))&amp;" "&amp;Milestones!$AB$34&amp;" "&amp;Milestones!$AC$34&amp;";  ","")&amp;IF(AND(EDATE($D81,Milestones!$AA$35)&lt;=AsOfDate,IF($R81=0,$X81,IF(AND($T81&lt;&gt;"",EDATE($D81,Milestones!$AA$35)&gt;=$T81),$W81,IF(AND($S81&lt;&gt;"",EDATE($D81,Milestones!$AA$35)&gt;=$S81),$V81,$U81)))=Milestones!$AB$35),UPPER(TEXT(EDATE($D81,Milestones!$AA$35),"dd mmm yy"))&amp;" "&amp;Milestones!$AB$35&amp;" "&amp;Milestones!$AC$35&amp;";  ","")&amp;IF(AND(EDATE($D81,Milestones!$AA$36)&lt;=AsOfDate,IF($R81=0,$X81,IF(AND($T81&lt;&gt;"",EDATE($D81,Milestones!$AA$36)&gt;=$T81),$W81,IF(AND($S81&lt;&gt;"",EDATE($D81,Milestones!$AA$36)&gt;=$S81),$V81,$U81)))=Milestones!$AB$36),UPPER(TEXT(EDATE($D81,Milestones!$AA$36),"dd mmm yy"))&amp;" "&amp;Milestones!$AB$36&amp;" "&amp;Milestones!$AC$36&amp;";  ","")&amp;IF(AND(EDATE($D81,Milestones!$AA$37)&lt;=AsOfDate,IF($R81=0,$X81,IF(AND($T81&lt;&gt;"",EDATE($D81,Milestones!$AA$37)&gt;=$T81),$W81,IF(AND($S81&lt;&gt;"",EDATE($D81,Milestones!$AA$37)&gt;=$S81),$V81,$U81)))=Milestones!$AB$37),UPPER(TEXT(EDATE($D81,Milestones!$AA$37),"dd mmm yy"))&amp;" "&amp;Milestones!$AB$37&amp;" "&amp;Milestones!$AC$37&amp;";  ","")&amp;IF(AND(EDATE($D81,Milestones!$AA$38)&lt;=AsOfDate,IF($R81=0,$X81,IF(AND($T81&lt;&gt;"",EDATE($D81,Milestones!$AA$38)&gt;=$T81),$W81,IF(AND($S81&lt;&gt;"",EDATE($D81,Milestones!$AA$38)&gt;=$S81),$V81,$U81)))=Milestones!$AB$38),UPPER(TEXT(EDATE($D81,Milestones!$AA$38),"dd mmm yy"))&amp;" "&amp;Milestones!$AB$38&amp;" "&amp;Milestones!$AC$38&amp;";  ","")&amp;IF(AND(EDATE($D81,Milestones!$AA$39)&lt;=AsOfDate,IF($R81=0,$X81,IF(AND($T81&lt;&gt;"",EDATE($D81,Milestones!$AA$39)&gt;=$T81),$W81,IF(AND($S81&lt;&gt;"",EDATE($D81,Milestones!$AA$39)&gt;=$S81),$V81,$U81)))=Milestones!$AB$39),UPPER(TEXT(EDATE($D81,Milestones!$AA$39),"dd mmm yy"))&amp;" "&amp;Milestones!$AB$39&amp;" "&amp;Milestones!$AC$39&amp;";  ",""))</f>
        <v/>
      </c>
      <c r="J81" s="0" t="str">
        <f aca="false">IF(OR($A81="",$D81=""),"",IF(AND(EDATE($D81,Milestones!$AA$40)&lt;=AsOfDate,IF($R81=0,$X81,IF(AND($T81&lt;&gt;"",EDATE($D81,Milestones!$AA$40)&gt;=$T81),$W81,IF(AND($S81&lt;&gt;"",EDATE($D81,Milestones!$AA$40)&gt;=$S81),$V81,$U81)))=Milestones!$AB$40),UPPER(TEXT(EDATE($D81,Milestones!$AA$40),"dd mmm yy"))&amp;" "&amp;Milestones!$AB$40&amp;" "&amp;Milestones!$AC$40&amp;";  ","")&amp;IF(AND(EDATE($D81,Milestones!$AA$41)&lt;=AsOfDate,IF($R81=0,$X81,IF(AND($T81&lt;&gt;"",EDATE($D81,Milestones!$AA$41)&gt;=$T81),$W81,IF(AND($S81&lt;&gt;"",EDATE($D81,Milestones!$AA$41)&gt;=$S81),$V81,$U81)))=Milestones!$AB$41),UPPER(TEXT(EDATE($D81,Milestones!$AA$41),"dd mmm yy"))&amp;" "&amp;Milestones!$AB$41&amp;" "&amp;Milestones!$AC$41&amp;";  ","")&amp;IF(AND(EDATE($D81,Milestones!$AA$42)&lt;=AsOfDate,IF($R81=0,$X81,IF(AND($T81&lt;&gt;"",EDATE($D81,Milestones!$AA$42)&gt;=$T81),$W81,IF(AND($S81&lt;&gt;"",EDATE($D81,Milestones!$AA$42)&gt;=$S81),$V81,$U81)))=Milestones!$AB$42),UPPER(TEXT(EDATE($D81,Milestones!$AA$42),"dd mmm yy"))&amp;" "&amp;Milestones!$AB$42&amp;" "&amp;Milestones!$AC$42&amp;";  ","")&amp;IF(AND(EDATE($D81,Milestones!$AA$43)&lt;=AsOfDate,IF($R81=0,$X81,IF(AND($T81&lt;&gt;"",EDATE($D81,Milestones!$AA$43)&gt;=$T81),$W81,IF(AND($S81&lt;&gt;"",EDATE($D81,Milestones!$AA$43)&gt;=$S81),$V81,$U81)))=Milestones!$AB$43),UPPER(TEXT(EDATE($D81,Milestones!$AA$43),"dd mmm yy"))&amp;" "&amp;Milestones!$AB$43&amp;" "&amp;Milestones!$AC$43&amp;";  ","")&amp;IF(AND(EDATE($D81,Milestones!$AA$44)&lt;=AsOfDate,IF($R81=0,$X81,IF(AND($T81&lt;&gt;"",EDATE($D81,Milestones!$AA$44)&gt;=$T81),$W81,IF(AND($S81&lt;&gt;"",EDATE($D81,Milestones!$AA$44)&gt;=$S81),$V81,$U81)))=Milestones!$AB$44),UPPER(TEXT(EDATE($D81,Milestones!$AA$44),"dd mmm yy"))&amp;" "&amp;Milestones!$AB$44&amp;" "&amp;Milestones!$AC$44&amp;";  ","")&amp;IF(AND(EDATE($D81,Milestones!$AA$45)&lt;=AsOfDate,IF($R81=0,$X81,IF(AND($T81&lt;&gt;"",EDATE($D81,Milestones!$AA$45)&gt;=$T81),$W81,IF(AND($S81&lt;&gt;"",EDATE($D81,Milestones!$AA$45)&gt;=$S81),$V81,$U81)))=Milestones!$AB$45),UPPER(TEXT(EDATE($D81,Milestones!$AA$45),"dd mmm yy"))&amp;" "&amp;Milestones!$AB$45&amp;" "&amp;Milestones!$AC$45&amp;";  ","")&amp;IF(AND(EDATE($D81,Milestones!$AA$46)&lt;=AsOfDate,IF($R81=0,$X81,IF(AND($T81&lt;&gt;"",EDATE($D81,Milestones!$AA$46)&gt;=$T81),$W81,IF(AND($S81&lt;&gt;"",EDATE($D81,Milestones!$AA$46)&gt;=$S81),$V81,$U81)))=Milestones!$AB$46),UPPER(TEXT(EDATE($D81,Milestones!$AA$46),"dd mmm yy"))&amp;" "&amp;Milestones!$AB$46&amp;" "&amp;Milestones!$AC$46&amp;";  ","")&amp;IF(AND(EDATE($D81,Milestones!$AA$47)&lt;=AsOfDate,IF($R81=0,$X81,IF(AND($T81&lt;&gt;"",EDATE($D81,Milestones!$AA$47)&gt;=$T81),$W81,IF(AND($S81&lt;&gt;"",EDATE($D81,Milestones!$AA$47)&gt;=$S81),$V81,$U81)))=Milestones!$AB$47),UPPER(TEXT(EDATE($D81,Milestones!$AA$47),"dd mmm yy"))&amp;" "&amp;Milestones!$AB$47&amp;" "&amp;Milestones!$AC$47&amp;";  ","")&amp;IF(AND(EDATE($D81,Milestones!$AA$48)&lt;=AsOfDate,IF($R81=0,$X81,IF(AND($T81&lt;&gt;"",EDATE($D81,Milestones!$AA$48)&gt;=$T81),$W81,IF(AND($S81&lt;&gt;"",EDATE($D81,Milestones!$AA$48)&gt;=$S81),$V81,$U81)))=Milestones!$AB$48),UPPER(TEXT(EDATE($D81,Milestones!$AA$48),"dd mmm yy"))&amp;" "&amp;Milestones!$AB$48&amp;" "&amp;Milestones!$AC$48&amp;";  ","")&amp;IF(AND(EDATE($D81,Milestones!$AA$49)&lt;=AsOfDate,IF($R81=0,$X81,IF(AND($T81&lt;&gt;"",EDATE($D81,Milestones!$AA$49)&gt;=$T81),$W81,IF(AND($S81&lt;&gt;"",EDATE($D81,Milestones!$AA$49)&gt;=$S81),$V81,$U81)))=Milestones!$AB$49),UPPER(TEXT(EDATE($D81,Milestones!$AA$49),"dd mmm yy"))&amp;" "&amp;Milestones!$AB$49&amp;" "&amp;Milestones!$AC$49&amp;";  ","")&amp;IF(AND(EDATE($D81,Milestones!$AA$50)&lt;=AsOfDate,IF($R81=0,$X81,IF(AND($T81&lt;&gt;"",EDATE($D81,Milestones!$AA$50)&gt;=$T81),$W81,IF(AND($S81&lt;&gt;"",EDATE($D81,Milestones!$AA$50)&gt;=$S81),$V81,$U81)))=Milestones!$AB$50),UPPER(TEXT(EDATE($D81,Milestones!$AA$50),"dd mmm yy"))&amp;" "&amp;Milestones!$AB$50&amp;" "&amp;Milestones!$AC$50&amp;";  ","")&amp;IF(AND(EDATE($D81,Milestones!$AA$51)&lt;=AsOfDate,IF($R81=0,$X81,IF(AND($T81&lt;&gt;"",EDATE($D81,Milestones!$AA$51)&gt;=$T81),$W81,IF(AND($S81&lt;&gt;"",EDATE($D81,Milestones!$AA$51)&gt;=$S81),$V81,$U81)))=Milestones!$AB$51),UPPER(TEXT(EDATE($D81,Milestones!$AA$51),"dd mmm yy"))&amp;" "&amp;Milestones!$AB$51&amp;" "&amp;Milestones!$AC$51&amp;";  ","")&amp;IF(AND(EDATE($D81,Milestones!$AA$52)&lt;=AsOfDate,IF($R81=0,$X81,IF(AND($T81&lt;&gt;"",EDATE($D81,Milestones!$AA$52)&gt;=$T81),$W81,IF(AND($S81&lt;&gt;"",EDATE($D81,Milestones!$AA$52)&gt;=$S81),$V81,$U81)))=Milestones!$AB$52),UPPER(TEXT(EDATE($D81,Milestones!$AA$52),"dd mmm yy"))&amp;" "&amp;Milestones!$AB$52&amp;" "&amp;Milestones!$AC$52&amp;";  ","")&amp;IF(AND(EDATE($D81,Milestones!$AA$53)&lt;=AsOfDate,IF($R81=0,$X81,IF(AND($T81&lt;&gt;"",EDATE($D81,Milestones!$AA$53)&gt;=$T81),$W81,IF(AND($S81&lt;&gt;"",EDATE($D81,Milestones!$AA$53)&gt;=$S81),$V81,$U81)))=Milestones!$AB$53),UPPER(TEXT(EDATE($D81,Milestones!$AA$53),"dd mmm yy"))&amp;" "&amp;Milestones!$AB$53&amp;" "&amp;Milestones!$AC$53&amp;";  ","")&amp;IF(AND(EDATE($D81,Milestones!$AA$54)&lt;=AsOfDate,IF($R81=0,$X81,IF(AND($T81&lt;&gt;"",EDATE($D81,Milestones!$AA$54)&gt;=$T81),$W81,IF(AND($S81&lt;&gt;"",EDATE($D81,Milestones!$AA$54)&gt;=$S81),$V81,$U81)))=Milestones!$AB$54),UPPER(TEXT(EDATE($D81,Milestones!$AA$54),"dd mmm yy"))&amp;" "&amp;Milestones!$AB$54&amp;" "&amp;Milestones!$AC$54&amp;";  ","")&amp;IF(AND(EDATE($D81,Milestones!$AA$55)&lt;=AsOfDate,IF($R81=0,$X81,IF(AND($T81&lt;&gt;"",EDATE($D81,Milestones!$AA$55)&gt;=$T81),$W81,IF(AND($S81&lt;&gt;"",EDATE($D81,Milestones!$AA$55)&gt;=$S81),$V81,$U81)))=Milestones!$AB$55),UPPER(TEXT(EDATE($D81,Milestones!$AA$55),"dd mmm yy"))&amp;" "&amp;Milestones!$AB$55&amp;" "&amp;Milestones!$AC$55&amp;";  ","")&amp;IF(AND(EDATE($D81,Milestones!$AA$56)&lt;=AsOfDate,IF($R81=0,$X81,IF(AND($T81&lt;&gt;"",EDATE($D81,Milestones!$AA$56)&gt;=$T81),$W81,IF(AND($S81&lt;&gt;"",EDATE($D81,Milestones!$AA$56)&gt;=$S81),$V81,$U81)))=Milestones!$AB$56),UPPER(TEXT(EDATE($D81,Milestones!$AA$56),"dd mmm yy"))&amp;" "&amp;Milestones!$AB$56&amp;" "&amp;Milestones!$AC$56&amp;";  ","")&amp;IF(AND(EDATE($D81,Milestones!$AA$57)&lt;=AsOfDate,IF($R81=0,$X81,IF(AND($T81&lt;&gt;"",EDATE($D81,Milestones!$AA$57)&gt;=$T81),$W81,IF(AND($S81&lt;&gt;"",EDATE($D81,Milestones!$AA$57)&gt;=$S81),$V81,$U81)))=Milestones!$AB$57),UPPER(TEXT(EDATE($D81,Milestones!$AA$57),"dd mmm yy"))&amp;" "&amp;Milestones!$AB$57&amp;" "&amp;Milestones!$AC$57&amp;";  ","")&amp;IF(AND(EDATE($D81,Milestones!$AA$58)&lt;=AsOfDate,IF($R81=0,$X81,IF(AND($T81&lt;&gt;"",EDATE($D81,Milestones!$AA$58)&gt;=$T81),$W81,IF(AND($S81&lt;&gt;"",EDATE($D81,Milestones!$AA$58)&gt;=$S81),$V81,$U81)))=Milestones!$AB$58),UPPER(TEXT(EDATE($D81,Milestones!$AA$58),"dd mmm yy"))&amp;" "&amp;Milestones!$AB$58&amp;" "&amp;Milestones!$AC$58&amp;";  ","")&amp;IF(AND(EDATE($D81,Milestones!$AA$59)&lt;=AsOfDate,IF($R81=0,$X81,IF(AND($T81&lt;&gt;"",EDATE($D81,Milestones!$AA$59)&gt;=$T81),$W81,IF(AND($S81&lt;&gt;"",EDATE($D81,Milestones!$AA$59)&gt;=$S81),$V81,$U81)))=Milestones!$AB$59),UPPER(TEXT(EDATE($D81,Milestones!$AA$59),"dd mmm yy"))&amp;" "&amp;Milestones!$AB$59&amp;" "&amp;Milestones!$AC$59&amp;";  ",""))</f>
        <v/>
      </c>
      <c r="K81" s="0" t="str">
        <f aca="false">IF(OR($A81="",$D81=""),"",IF(AND(EDATE($D81,Milestones!$AA$60)&lt;=AsOfDate,IF($R81=0,$X81,IF(AND($T81&lt;&gt;"",EDATE($D81,Milestones!$AA$60)&gt;=$T81),$W81,IF(AND($S81&lt;&gt;"",EDATE($D81,Milestones!$AA$60)&gt;=$S81),$V81,$U81)))=Milestones!$AB$60),UPPER(TEXT(EDATE($D81,Milestones!$AA$60),"dd mmm yy"))&amp;" "&amp;Milestones!$AB$60&amp;" "&amp;Milestones!$AC$60&amp;";  ","")&amp;IF(AND(EDATE($D81,Milestones!$AA$61)&lt;=AsOfDate,IF($R81=0,$X81,IF(AND($T81&lt;&gt;"",EDATE($D81,Milestones!$AA$61)&gt;=$T81),$W81,IF(AND($S81&lt;&gt;"",EDATE($D81,Milestones!$AA$61)&gt;=$S81),$V81,$U81)))=Milestones!$AB$61),UPPER(TEXT(EDATE($D81,Milestones!$AA$61),"dd mmm yy"))&amp;" "&amp;Milestones!$AB$61&amp;" "&amp;Milestones!$AC$61&amp;";  ","")&amp;IF(AND(EDATE($D81,Milestones!$AA$62)&lt;=AsOfDate,IF($R81=0,$X81,IF(AND($T81&lt;&gt;"",EDATE($D81,Milestones!$AA$62)&gt;=$T81),$W81,IF(AND($S81&lt;&gt;"",EDATE($D81,Milestones!$AA$62)&gt;=$S81),$V81,$U81)))=Milestones!$AB$62),UPPER(TEXT(EDATE($D81,Milestones!$AA$62),"dd mmm yy"))&amp;" "&amp;Milestones!$AB$62&amp;" "&amp;Milestones!$AC$62&amp;";  ","")&amp;IF(AND(EDATE($D81,Milestones!$AA$63)&lt;=AsOfDate,IF($R81=0,$X81,IF(AND($T81&lt;&gt;"",EDATE($D81,Milestones!$AA$63)&gt;=$T81),$W81,IF(AND($S81&lt;&gt;"",EDATE($D81,Milestones!$AA$63)&gt;=$S81),$V81,$U81)))=Milestones!$AB$63),UPPER(TEXT(EDATE($D81,Milestones!$AA$63),"dd mmm yy"))&amp;" "&amp;Milestones!$AB$63&amp;" "&amp;Milestones!$AC$63&amp;";  ","")&amp;IF(AND(EDATE($D81,Milestones!$AA$64)&lt;=AsOfDate,IF($R81=0,$X81,IF(AND($T81&lt;&gt;"",EDATE($D81,Milestones!$AA$64)&gt;=$T81),$W81,IF(AND($S81&lt;&gt;"",EDATE($D81,Milestones!$AA$64)&gt;=$S81),$V81,$U81)))=Milestones!$AB$64),UPPER(TEXT(EDATE($D81,Milestones!$AA$64),"dd mmm yy"))&amp;" "&amp;Milestones!$AB$64&amp;" "&amp;Milestones!$AC$64&amp;";  ","")&amp;IF(AND(EDATE($D81,Milestones!$AA$65)&lt;=AsOfDate,IF($R81=0,$X81,IF(AND($T81&lt;&gt;"",EDATE($D81,Milestones!$AA$65)&gt;=$T81),$W81,IF(AND($S81&lt;&gt;"",EDATE($D81,Milestones!$AA$65)&gt;=$S81),$V81,$U81)))=Milestones!$AB$65),UPPER(TEXT(EDATE($D81,Milestones!$AA$65),"dd mmm yy"))&amp;" "&amp;Milestones!$AB$65&amp;" "&amp;Milestones!$AC$65&amp;";  ","")&amp;IF(AND(EDATE($D81,Milestones!$AA$66)&lt;=AsOfDate,IF($R81=0,$X81,IF(AND($T81&lt;&gt;"",EDATE($D81,Milestones!$AA$66)&gt;=$T81),$W81,IF(AND($S81&lt;&gt;"",EDATE($D81,Milestones!$AA$66)&gt;=$S81),$V81,$U81)))=Milestones!$AB$66),UPPER(TEXT(EDATE($D81,Milestones!$AA$66),"dd mmm yy"))&amp;" "&amp;Milestones!$AB$66&amp;" "&amp;Milestones!$AC$66&amp;";  ","")&amp;IF(AND(EDATE($D81,Milestones!$AA$67)&lt;=AsOfDate,IF($R81=0,$X81,IF(AND($T81&lt;&gt;"",EDATE($D81,Milestones!$AA$67)&gt;=$T81),$W81,IF(AND($S81&lt;&gt;"",EDATE($D81,Milestones!$AA$67)&gt;=$S81),$V81,$U81)))=Milestones!$AB$67),UPPER(TEXT(EDATE($D81,Milestones!$AA$67),"dd mmm yy"))&amp;" "&amp;Milestones!$AB$67&amp;" "&amp;Milestones!$AC$67&amp;";  ","")&amp;IF(AND(EDATE($D81,Milestones!$AA$68)&lt;=AsOfDate,IF($R81=0,$X81,IF(AND($T81&lt;&gt;"",EDATE($D81,Milestones!$AA$68)&gt;=$T81),$W81,IF(AND($S81&lt;&gt;"",EDATE($D81,Milestones!$AA$68)&gt;=$S81),$V81,$U81)))=Milestones!$AB$68),UPPER(TEXT(EDATE($D81,Milestones!$AA$68),"dd mmm yy"))&amp;" "&amp;Milestones!$AB$68&amp;" "&amp;Milestones!$AC$68&amp;";  ","")&amp;IF(AND(EDATE($D81,Milestones!$AA$69)&lt;=AsOfDate,IF($R81=0,$X81,IF(AND($T81&lt;&gt;"",EDATE($D81,Milestones!$AA$69)&gt;=$T81),$W81,IF(AND($S81&lt;&gt;"",EDATE($D81,Milestones!$AA$69)&gt;=$S81),$V81,$U81)))=Milestones!$AB$69),UPPER(TEXT(EDATE($D81,Milestones!$AA$69),"dd mmm yy"))&amp;" "&amp;Milestones!$AB$69&amp;" "&amp;Milestones!$AC$69&amp;";  ","")&amp;IF(AND(EDATE($D81,Milestones!$AA$70)&lt;=AsOfDate,IF($R81=0,$X81,IF(AND($T81&lt;&gt;"",EDATE($D81,Milestones!$AA$70)&gt;=$T81),$W81,IF(AND($S81&lt;&gt;"",EDATE($D81,Milestones!$AA$70)&gt;=$S81),$V81,$U81)))=Milestones!$AB$70),UPPER(TEXT(EDATE($D81,Milestones!$AA$70),"dd mmm yy"))&amp;" "&amp;Milestones!$AB$70&amp;" "&amp;Milestones!$AC$70&amp;";  ","")&amp;IF(AND(EDATE($D81,Milestones!$AA$71)&lt;=AsOfDate,IF($R81=0,$X81,IF(AND($T81&lt;&gt;"",EDATE($D81,Milestones!$AA$71)&gt;=$T81),$W81,IF(AND($S81&lt;&gt;"",EDATE($D81,Milestones!$AA$71)&gt;=$S81),$V81,$U81)))=Milestones!$AB$71),UPPER(TEXT(EDATE($D81,Milestones!$AA$71),"dd mmm yy"))&amp;" "&amp;Milestones!$AB$71&amp;" "&amp;Milestones!$AC$71&amp;";  ","")&amp;IF(AND(EDATE($D81,Milestones!$AA$72)&lt;=AsOfDate,IF($R81=0,$X81,IF(AND($T81&lt;&gt;"",EDATE($D81,Milestones!$AA$72)&gt;=$T81),$W81,IF(AND($S81&lt;&gt;"",EDATE($D81,Milestones!$AA$72)&gt;=$S81),$V81,$U81)))=Milestones!$AB$72),UPPER(TEXT(EDATE($D81,Milestones!$AA$72),"dd mmm yy"))&amp;" "&amp;Milestones!$AB$72&amp;" "&amp;Milestones!$AC$72&amp;";  ","")&amp;IF(AND(EDATE($D81,Milestones!$AA$73)&lt;=AsOfDate,IF($R81=0,$X81,IF(AND($T81&lt;&gt;"",EDATE($D81,Milestones!$AA$73)&gt;=$T81),$W81,IF(AND($S81&lt;&gt;"",EDATE($D81,Milestones!$AA$73)&gt;=$S81),$V81,$U81)))=Milestones!$AB$73),UPPER(TEXT(EDATE($D81,Milestones!$AA$73),"dd mmm yy"))&amp;" "&amp;Milestones!$AB$73&amp;" "&amp;Milestones!$AC$73&amp;";  ","")&amp;IF(AND(EDATE($D81,Milestones!$AA$74)&lt;=AsOfDate,IF($R81=0,$X81,IF(AND($T81&lt;&gt;"",EDATE($D81,Milestones!$AA$74)&gt;=$T81),$W81,IF(AND($S81&lt;&gt;"",EDATE($D81,Milestones!$AA$74)&gt;=$S81),$V81,$U81)))=Milestones!$AB$74),UPPER(TEXT(EDATE($D81,Milestones!$AA$74),"dd mmm yy"))&amp;" "&amp;Milestones!$AB$74&amp;" "&amp;Milestones!$AC$74&amp;";  ","")&amp;IF(AND(EDATE($D81,Milestones!$AA$75)&lt;=AsOfDate,IF($R81=0,$X81,IF(AND($T81&lt;&gt;"",EDATE($D81,Milestones!$AA$75)&gt;=$T81),$W81,IF(AND($S81&lt;&gt;"",EDATE($D81,Milestones!$AA$75)&gt;=$S81),$V81,$U81)))=Milestones!$AB$75),UPPER(TEXT(EDATE($D81,Milestones!$AA$75),"dd mmm yy"))&amp;" "&amp;Milestones!$AB$75&amp;" "&amp;Milestones!$AC$75&amp;";  ","")&amp;IF(AND(EDATE($D81,Milestones!$AA$76)&lt;=AsOfDate,IF($R81=0,$X81,IF(AND($T81&lt;&gt;"",EDATE($D81,Milestones!$AA$76)&gt;=$T81),$W81,IF(AND($S81&lt;&gt;"",EDATE($D81,Milestones!$AA$76)&gt;=$S81),$V81,$U81)))=Milestones!$AB$76),UPPER(TEXT(EDATE($D81,Milestones!$AA$76),"dd mmm yy"))&amp;" "&amp;Milestones!$AB$76&amp;" "&amp;Milestones!$AC$76&amp;";  ","")&amp;IF(AND(EDATE($D81,Milestones!$AA$77)&lt;=AsOfDate,IF($R81=0,$X81,IF(AND($T81&lt;&gt;"",EDATE($D81,Milestones!$AA$77)&gt;=$T81),$W81,IF(AND($S81&lt;&gt;"",EDATE($D81,Milestones!$AA$77)&gt;=$S81),$V81,$U81)))=Milestones!$AB$77),UPPER(TEXT(EDATE($D81,Milestones!$AA$77),"dd mmm yy"))&amp;" "&amp;Milestones!$AB$77&amp;" "&amp;Milestones!$AC$77&amp;";  ","")&amp;IF(AND(EDATE($D81,Milestones!$AA$78)&lt;=AsOfDate,IF($R81=0,$X81,IF(AND($T81&lt;&gt;"",EDATE($D81,Milestones!$AA$78)&gt;=$T81),$W81,IF(AND($S81&lt;&gt;"",EDATE($D81,Milestones!$AA$78)&gt;=$S81),$V81,$U81)))=Milestones!$AB$78),UPPER(TEXT(EDATE($D81,Milestones!$AA$78),"dd mmm yy"))&amp;" "&amp;Milestones!$AB$78&amp;" "&amp;Milestones!$AC$78&amp;";  ","")&amp;IF(AND(EDATE($D81,Milestones!$AA$79)&lt;=AsOfDate,IF($R81=0,$X81,IF(AND($T81&lt;&gt;"",EDATE($D81,Milestones!$AA$79)&gt;=$T81),$W81,IF(AND($S81&lt;&gt;"",EDATE($D81,Milestones!$AA$79)&gt;=$S81),$V81,$U81)))=Milestones!$AB$79),UPPER(TEXT(EDATE($D81,Milestones!$AA$79),"dd mmm yy"))&amp;" "&amp;Milestones!$AB$79&amp;" "&amp;Milestones!$AC$79&amp;";  ",""))</f>
        <v/>
      </c>
      <c r="L81" s="0" t="str">
        <f aca="false">IF(OR($A81="",$D81=""),"",IF(AND(EDATE($D81,Milestones!$AA$80)&lt;=AsOfDate,IF($R81=0,$X81,IF(AND($T81&lt;&gt;"",EDATE($D81,Milestones!$AA$80)&gt;=$T81),$W81,IF(AND($S81&lt;&gt;"",EDATE($D81,Milestones!$AA$80)&gt;=$S81),$V81,$U81)))=Milestones!$AB$80),UPPER(TEXT(EDATE($D81,Milestones!$AA$80),"dd mmm yy"))&amp;" "&amp;Milestones!$AB$80&amp;" "&amp;Milestones!$AC$80&amp;";  ","")&amp;IF(AND(EDATE($D81,Milestones!$AA$81)&lt;=AsOfDate,IF($R81=0,$X81,IF(AND($T81&lt;&gt;"",EDATE($D81,Milestones!$AA$81)&gt;=$T81),$W81,IF(AND($S81&lt;&gt;"",EDATE($D81,Milestones!$AA$81)&gt;=$S81),$V81,$U81)))=Milestones!$AB$81),UPPER(TEXT(EDATE($D81,Milestones!$AA$81),"dd mmm yy"))&amp;" "&amp;Milestones!$AB$81&amp;" "&amp;Milestones!$AC$81&amp;";  ","")&amp;IF(AND(EDATE($D81,Milestones!$AA$82)&lt;=AsOfDate,IF($R81=0,$X81,IF(AND($T81&lt;&gt;"",EDATE($D81,Milestones!$AA$82)&gt;=$T81),$W81,IF(AND($S81&lt;&gt;"",EDATE($D81,Milestones!$AA$82)&gt;=$S81),$V81,$U81)))=Milestones!$AB$82),UPPER(TEXT(EDATE($D81,Milestones!$AA$82),"dd mmm yy"))&amp;" "&amp;Milestones!$AB$82&amp;" "&amp;Milestones!$AC$82&amp;";  ","")&amp;IF(AND(EDATE($D81,Milestones!$AA$83)&lt;=AsOfDate,IF($R81=0,$X81,IF(AND($T81&lt;&gt;"",EDATE($D81,Milestones!$AA$83)&gt;=$T81),$W81,IF(AND($S81&lt;&gt;"",EDATE($D81,Milestones!$AA$83)&gt;=$S81),$V81,$U81)))=Milestones!$AB$83),UPPER(TEXT(EDATE($D81,Milestones!$AA$83),"dd mmm yy"))&amp;" "&amp;Milestones!$AB$83&amp;" "&amp;Milestones!$AC$83&amp;";  ","")&amp;IF(AND(EDATE($D81,Milestones!$AA$84)&lt;=AsOfDate,IF($R81=0,$X81,IF(AND($T81&lt;&gt;"",EDATE($D81,Milestones!$AA$84)&gt;=$T81),$W81,IF(AND($S81&lt;&gt;"",EDATE($D81,Milestones!$AA$84)&gt;=$S81),$V81,$U81)))=Milestones!$AB$84),UPPER(TEXT(EDATE($D81,Milestones!$AA$84),"dd mmm yy"))&amp;" "&amp;Milestones!$AB$84&amp;" "&amp;Milestones!$AC$84&amp;";  ","")&amp;IF(AND(EDATE($D81,Milestones!$AA$85)&lt;=AsOfDate,IF($R81=0,$X81,IF(AND($T81&lt;&gt;"",EDATE($D81,Milestones!$AA$85)&gt;=$T81),$W81,IF(AND($S81&lt;&gt;"",EDATE($D81,Milestones!$AA$85)&gt;=$S81),$V81,$U81)))=Milestones!$AB$85),UPPER(TEXT(EDATE($D81,Milestones!$AA$85),"dd mmm yy"))&amp;" "&amp;Milestones!$AB$85&amp;" "&amp;Milestones!$AC$85&amp;";  ","")&amp;IF(AND(EDATE($D81,Milestones!$AA$86)&lt;=AsOfDate,IF($R81=0,$X81,IF(AND($T81&lt;&gt;"",EDATE($D81,Milestones!$AA$86)&gt;=$T81),$W81,IF(AND($S81&lt;&gt;"",EDATE($D81,Milestones!$AA$86)&gt;=$S81),$V81,$U81)))=Milestones!$AB$86),UPPER(TEXT(EDATE($D81,Milestones!$AA$86),"dd mmm yy"))&amp;" "&amp;Milestones!$AB$86&amp;" "&amp;Milestones!$AC$86&amp;";  ","")&amp;IF(AND(EDATE($D81,Milestones!$AA$87)&lt;=AsOfDate,IF($R81=0,$X81,IF(AND($T81&lt;&gt;"",EDATE($D81,Milestones!$AA$87)&gt;=$T81),$W81,IF(AND($S81&lt;&gt;"",EDATE($D81,Milestones!$AA$87)&gt;=$S81),$V81,$U81)))=Milestones!$AB$87),UPPER(TEXT(EDATE($D81,Milestones!$AA$87),"dd mmm yy"))&amp;" "&amp;Milestones!$AB$87&amp;" "&amp;Milestones!$AC$87&amp;";  ","")&amp;IF(AND(EDATE($D81,Milestones!$AA$88)&lt;=AsOfDate,IF($R81=0,$X81,IF(AND($T81&lt;&gt;"",EDATE($D81,Milestones!$AA$88)&gt;=$T81),$W81,IF(AND($S81&lt;&gt;"",EDATE($D81,Milestones!$AA$88)&gt;=$S81),$V81,$U81)))=Milestones!$AB$88),UPPER(TEXT(EDATE($D81,Milestones!$AA$88),"dd mmm yy"))&amp;" "&amp;Milestones!$AB$88&amp;" "&amp;Milestones!$AC$88&amp;";  ","")&amp;IF(AND(EDATE($D81,Milestones!$AA$89)&lt;=AsOfDate,IF($R81=0,$X81,IF(AND($T81&lt;&gt;"",EDATE($D81,Milestones!$AA$89)&gt;=$T81),$W81,IF(AND($S81&lt;&gt;"",EDATE($D81,Milestones!$AA$89)&gt;=$S81),$V81,$U81)))=Milestones!$AB$89),UPPER(TEXT(EDATE($D81,Milestones!$AA$89),"dd mmm yy"))&amp;" "&amp;Milestones!$AB$89&amp;" "&amp;Milestones!$AC$89&amp;";  ","")&amp;IF(AND(EDATE($D81,Milestones!$AA$90)&lt;=AsOfDate,IF($R81=0,$X81,IF(AND($T81&lt;&gt;"",EDATE($D81,Milestones!$AA$90)&gt;=$T81),$W81,IF(AND($S81&lt;&gt;"",EDATE($D81,Milestones!$AA$90)&gt;=$S81),$V81,$U81)))=Milestones!$AB$90),UPPER(TEXT(EDATE($D81,Milestones!$AA$90),"dd mmm yy"))&amp;" "&amp;Milestones!$AB$90&amp;" "&amp;Milestones!$AC$90&amp;";  ","")&amp;IF(AND(EDATE($D81,Milestones!$AA$91)&lt;=AsOfDate,IF($R81=0,$X81,IF(AND($T81&lt;&gt;"",EDATE($D81,Milestones!$AA$91)&gt;=$T81),$W81,IF(AND($S81&lt;&gt;"",EDATE($D81,Milestones!$AA$91)&gt;=$S81),$V81,$U81)))=Milestones!$AB$91),UPPER(TEXT(EDATE($D81,Milestones!$AA$91),"dd mmm yy"))&amp;" "&amp;Milestones!$AB$91&amp;" "&amp;Milestones!$AC$91&amp;";  ","")&amp;IF(AND(EDATE($D81,Milestones!$AA$92)&lt;=AsOfDate,IF($R81=0,$X81,IF(AND($T81&lt;&gt;"",EDATE($D81,Milestones!$AA$92)&gt;=$T81),$W81,IF(AND($S81&lt;&gt;"",EDATE($D81,Milestones!$AA$92)&gt;=$S81),$V81,$U81)))=Milestones!$AB$92),UPPER(TEXT(EDATE($D81,Milestones!$AA$92),"dd mmm yy"))&amp;" "&amp;Milestones!$AB$92&amp;" "&amp;Milestones!$AC$92&amp;";  ","")&amp;IF(AND(EDATE($D81,Milestones!$AA$93)&lt;=AsOfDate,IF($R81=0,$X81,IF(AND($T81&lt;&gt;"",EDATE($D81,Milestones!$AA$93)&gt;=$T81),$W81,IF(AND($S81&lt;&gt;"",EDATE($D81,Milestones!$AA$93)&gt;=$S81),$V81,$U81)))=Milestones!$AB$93),UPPER(TEXT(EDATE($D81,Milestones!$AA$93),"dd mmm yy"))&amp;" "&amp;Milestones!$AB$93&amp;" "&amp;Milestones!$AC$93&amp;";  ","")&amp;IF(AND(EDATE($D81,Milestones!$AA$94)&lt;=AsOfDate,IF($R81=0,$X81,IF(AND($T81&lt;&gt;"",EDATE($D81,Milestones!$AA$94)&gt;=$T81),$W81,IF(AND($S81&lt;&gt;"",EDATE($D81,Milestones!$AA$94)&gt;=$S81),$V81,$U81)))=Milestones!$AB$94),UPPER(TEXT(EDATE($D81,Milestones!$AA$94),"dd mmm yy"))&amp;" "&amp;Milestones!$AB$94&amp;" "&amp;Milestones!$AC$94&amp;";  ","")&amp;IF(AND(EDATE($D81,Milestones!$AA$95)&lt;=AsOfDate,IF($R81=0,$X81,IF(AND($T81&lt;&gt;"",EDATE($D81,Milestones!$AA$95)&gt;=$T81),$W81,IF(AND($S81&lt;&gt;"",EDATE($D81,Milestones!$AA$95)&gt;=$S81),$V81,$U81)))=Milestones!$AB$95),UPPER(TEXT(EDATE($D81,Milestones!$AA$95),"dd mmm yy"))&amp;" "&amp;Milestones!$AB$95&amp;" "&amp;Milestones!$AC$95&amp;";  ","")&amp;IF(AND(EDATE($D81,Milestones!$AA$96)&lt;=AsOfDate,IF($R81=0,$X81,IF(AND($T81&lt;&gt;"",EDATE($D81,Milestones!$AA$96)&gt;=$T81),$W81,IF(AND($S81&lt;&gt;"",EDATE($D81,Milestones!$AA$96)&gt;=$S81),$V81,$U81)))=Milestones!$AB$96),UPPER(TEXT(EDATE($D81,Milestones!$AA$96),"dd mmm yy"))&amp;" "&amp;Milestones!$AB$96&amp;" "&amp;Milestones!$AC$96&amp;";  ","")&amp;IF(AND(EDATE($D81,Milestones!$AA$97)&lt;=AsOfDate,IF($R81=0,$X81,IF(AND($T81&lt;&gt;"",EDATE($D81,Milestones!$AA$97)&gt;=$T81),$W81,IF(AND($S81&lt;&gt;"",EDATE($D81,Milestones!$AA$97)&gt;=$S81),$V81,$U81)))=Milestones!$AB$97),UPPER(TEXT(EDATE($D81,Milestones!$AA$97),"dd mmm yy"))&amp;" "&amp;Milestones!$AB$97&amp;" "&amp;Milestones!$AC$97&amp;";  ","")&amp;IF(AND(EDATE($D81,Milestones!$AA$98)&lt;=AsOfDate,IF($R81=0,$X81,IF(AND($T81&lt;&gt;"",EDATE($D81,Milestones!$AA$98)&gt;=$T81),$W81,IF(AND($S81&lt;&gt;"",EDATE($D81,Milestones!$AA$98)&gt;=$S81),$V81,$U81)))=Milestones!$AB$98),UPPER(TEXT(EDATE($D81,Milestones!$AA$98),"dd mmm yy"))&amp;" "&amp;Milestones!$AB$98&amp;" "&amp;Milestones!$AC$98&amp;";  ","")&amp;IF(AND(EDATE($D81,Milestones!$AA$99)&lt;=AsOfDate,IF($R81=0,$X81,IF(AND($T81&lt;&gt;"",EDATE($D81,Milestones!$AA$99)&gt;=$T81),$W81,IF(AND($S81&lt;&gt;"",EDATE($D81,Milestones!$AA$99)&gt;=$S81),$V81,$U81)))=Milestones!$AB$99),UPPER(TEXT(EDATE($D81,Milestones!$AA$99),"dd mmm yy"))&amp;" "&amp;Milestones!$AB$99&amp;" "&amp;Milestones!$AC$99&amp;";  ",""))</f>
        <v/>
      </c>
      <c r="M81" s="0" t="str">
        <f aca="false">IF(OR($A81="",$D81=""),"",IF(AND(EDATE($D81,Milestones!$AA$100)&lt;=AsOfDate,IF($R81=0,$X81,IF(AND($T81&lt;&gt;"",EDATE($D81,Milestones!$AA$100)&gt;=$T81),$W81,IF(AND($S81&lt;&gt;"",EDATE($D81,Milestones!$AA$100)&gt;=$S81),$V81,$U81)))=Milestones!$AB$100),UPPER(TEXT(EDATE($D81,Milestones!$AA$100),"dd mmm yy"))&amp;" "&amp;Milestones!$AB$100&amp;" "&amp;Milestones!$AC$100&amp;";  ","")&amp;IF(AND(EDATE($D81,Milestones!$AA$101)&lt;=AsOfDate,IF($R81=0,$X81,IF(AND($T81&lt;&gt;"",EDATE($D81,Milestones!$AA$101)&gt;=$T81),$W81,IF(AND($S81&lt;&gt;"",EDATE($D81,Milestones!$AA$101)&gt;=$S81),$V81,$U81)))=Milestones!$AB$101),UPPER(TEXT(EDATE($D81,Milestones!$AA$101),"dd mmm yy"))&amp;" "&amp;Milestones!$AB$101&amp;" "&amp;Milestones!$AC$101&amp;";  ","")&amp;IF(AND(EDATE($D81,Milestones!$AA$102)&lt;=AsOfDate,IF($R81=0,$X81,IF(AND($T81&lt;&gt;"",EDATE($D81,Milestones!$AA$102)&gt;=$T81),$W81,IF(AND($S81&lt;&gt;"",EDATE($D81,Milestones!$AA$102)&gt;=$S81),$V81,$U81)))=Milestones!$AB$102),UPPER(TEXT(EDATE($D81,Milestones!$AA$102),"dd mmm yy"))&amp;" "&amp;Milestones!$AB$102&amp;" "&amp;Milestones!$AC$102&amp;";  ","")&amp;IF(AND(EDATE($D81,Milestones!$AA$103)&lt;=AsOfDate,IF($R81=0,$X81,IF(AND($T81&lt;&gt;"",EDATE($D81,Milestones!$AA$103)&gt;=$T81),$W81,IF(AND($S81&lt;&gt;"",EDATE($D81,Milestones!$AA$103)&gt;=$S81),$V81,$U81)))=Milestones!$AB$103),UPPER(TEXT(EDATE($D81,Milestones!$AA$103),"dd mmm yy"))&amp;" "&amp;Milestones!$AB$103&amp;" "&amp;Milestones!$AC$103&amp;";  ","")&amp;IF(AND(EDATE($D81,Milestones!$AA$104)&lt;=AsOfDate,IF($R81=0,$X81,IF(AND($T81&lt;&gt;"",EDATE($D81,Milestones!$AA$104)&gt;=$T81),$W81,IF(AND($S81&lt;&gt;"",EDATE($D81,Milestones!$AA$104)&gt;=$S81),$V81,$U81)))=Milestones!$AB$104),UPPER(TEXT(EDATE($D81,Milestones!$AA$104),"dd mmm yy"))&amp;" "&amp;Milestones!$AB$104&amp;" "&amp;Milestones!$AC$104&amp;";  ","")&amp;IF(AND(EDATE($D81,Milestones!$AA$105)&lt;=AsOfDate,IF($R81=0,$X81,IF(AND($T81&lt;&gt;"",EDATE($D81,Milestones!$AA$105)&gt;=$T81),$W81,IF(AND($S81&lt;&gt;"",EDATE($D81,Milestones!$AA$105)&gt;=$S81),$V81,$U81)))=Milestones!$AB$105),UPPER(TEXT(EDATE($D81,Milestones!$AA$105),"dd mmm yy"))&amp;" "&amp;Milestones!$AB$105&amp;" "&amp;Milestones!$AC$105&amp;";  ","")&amp;IF(AND(EDATE($D81,Milestones!$AA$106)&lt;=AsOfDate,IF($R81=0,$X81,IF(AND($T81&lt;&gt;"",EDATE($D81,Milestones!$AA$106)&gt;=$T81),$W81,IF(AND($S81&lt;&gt;"",EDATE($D81,Milestones!$AA$106)&gt;=$S81),$V81,$U81)))=Milestones!$AB$106),UPPER(TEXT(EDATE($D81,Milestones!$AA$106),"dd mmm yy"))&amp;" "&amp;Milestones!$AB$106&amp;" "&amp;Milestones!$AC$106&amp;";  ","")&amp;IF(AND(EDATE($D81,Milestones!$AA$107)&lt;=AsOfDate,IF($R81=0,$X81,IF(AND($T81&lt;&gt;"",EDATE($D81,Milestones!$AA$107)&gt;=$T81),$W81,IF(AND($S81&lt;&gt;"",EDATE($D81,Milestones!$AA$107)&gt;=$S81),$V81,$U81)))=Milestones!$AB$107),UPPER(TEXT(EDATE($D81,Milestones!$AA$107),"dd mmm yy"))&amp;" "&amp;Milestones!$AB$107&amp;" "&amp;Milestones!$AC$107&amp;";  ","")&amp;IF(AND(EDATE($D81,Milestones!$AA$108)&lt;=AsOfDate,IF($R81=0,$X81,IF(AND($T81&lt;&gt;"",EDATE($D81,Milestones!$AA$108)&gt;=$T81),$W81,IF(AND($S81&lt;&gt;"",EDATE($D81,Milestones!$AA$108)&gt;=$S81),$V81,$U81)))=Milestones!$AB$108),UPPER(TEXT(EDATE($D81,Milestones!$AA$108),"dd mmm yy"))&amp;" "&amp;Milestones!$AB$108&amp;" "&amp;Milestones!$AC$108&amp;";  ","")&amp;IF(AND(EDATE($D81,Milestones!$AA$109)&lt;=AsOfDate,IF($R81=0,$X81,IF(AND($T81&lt;&gt;"",EDATE($D81,Milestones!$AA$109)&gt;=$T81),$W81,IF(AND($S81&lt;&gt;"",EDATE($D81,Milestones!$AA$109)&gt;=$S81),$V81,$U81)))=Milestones!$AB$109),UPPER(TEXT(EDATE($D81,Milestones!$AA$109),"dd mmm yy"))&amp;" "&amp;Milestones!$AB$109&amp;" "&amp;Milestones!$AC$109&amp;";  ","")&amp;IF(AND(EDATE($D81,Milestones!$AA$110)&lt;=AsOfDate,IF($R81=0,$X81,IF(AND($T81&lt;&gt;"",EDATE($D81,Milestones!$AA$110)&gt;=$T81),$W81,IF(AND($S81&lt;&gt;"",EDATE($D81,Milestones!$AA$110)&gt;=$S81),$V81,$U81)))=Milestones!$AB$110),UPPER(TEXT(EDATE($D81,Milestones!$AA$110),"dd mmm yy"))&amp;" "&amp;Milestones!$AB$110&amp;" "&amp;Milestones!$AC$110&amp;";  ","")&amp;IF(AND(EDATE($D81,Milestones!$AA$111)&lt;=AsOfDate,IF($R81=0,$X81,IF(AND($T81&lt;&gt;"",EDATE($D81,Milestones!$AA$111)&gt;=$T81),$W81,IF(AND($S81&lt;&gt;"",EDATE($D81,Milestones!$AA$111)&gt;=$S81),$V81,$U81)))=Milestones!$AB$111),UPPER(TEXT(EDATE($D81,Milestones!$AA$111),"dd mmm yy"))&amp;" "&amp;Milestones!$AB$111&amp;" "&amp;Milestones!$AC$111&amp;";  ","")&amp;IF(AND(EDATE($D81,Milestones!$AA$112)&lt;=AsOfDate,IF($R81=0,$X81,IF(AND($T81&lt;&gt;"",EDATE($D81,Milestones!$AA$112)&gt;=$T81),$W81,IF(AND($S81&lt;&gt;"",EDATE($D81,Milestones!$AA$112)&gt;=$S81),$V81,$U81)))=Milestones!$AB$112),UPPER(TEXT(EDATE($D81,Milestones!$AA$112),"dd mmm yy"))&amp;" "&amp;Milestones!$AB$112&amp;" "&amp;Milestones!$AC$112&amp;";  ","")&amp;IF(AND(EDATE($D81,Milestones!$AA$113)&lt;=AsOfDate,IF($R81=0,$X81,IF(AND($T81&lt;&gt;"",EDATE($D81,Milestones!$AA$113)&gt;=$T81),$W81,IF(AND($S81&lt;&gt;"",EDATE($D81,Milestones!$AA$113)&gt;=$S81),$V81,$U81)))=Milestones!$AB$113),UPPER(TEXT(EDATE($D81,Milestones!$AA$113),"dd mmm yy"))&amp;" "&amp;Milestones!$AB$113&amp;" "&amp;Milestones!$AC$113&amp;";  ","")&amp;IF(AND(EDATE($D81,Milestones!$AA$114)&lt;=AsOfDate,IF($R81=0,$X81,IF(AND($T81&lt;&gt;"",EDATE($D81,Milestones!$AA$114)&gt;=$T81),$W81,IF(AND($S81&lt;&gt;"",EDATE($D81,Milestones!$AA$114)&gt;=$S81),$V81,$U81)))=Milestones!$AB$114),UPPER(TEXT(EDATE($D81,Milestones!$AA$114),"dd mmm yy"))&amp;" "&amp;Milestones!$AB$114&amp;" "&amp;Milestones!$AC$114&amp;";  ","")&amp;IF(AND(EDATE($D81,Milestones!$AA$115)&lt;=AsOfDate,IF($R81=0,$X81,IF(AND($T81&lt;&gt;"",EDATE($D81,Milestones!$AA$115)&gt;=$T81),$W81,IF(AND($S81&lt;&gt;"",EDATE($D81,Milestones!$AA$115)&gt;=$S81),$V81,$U81)))=Milestones!$AB$115),UPPER(TEXT(EDATE($D81,Milestones!$AA$115),"dd mmm yy"))&amp;" "&amp;Milestones!$AB$115&amp;" "&amp;Milestones!$AC$115&amp;";  ","")&amp;IF(AND(EDATE($D81,Milestones!$AA$116)&lt;=AsOfDate,IF($R81=0,$X81,IF(AND($T81&lt;&gt;"",EDATE($D81,Milestones!$AA$116)&gt;=$T81),$W81,IF(AND($S81&lt;&gt;"",EDATE($D81,Milestones!$AA$116)&gt;=$S81),$V81,$U81)))=Milestones!$AB$116),UPPER(TEXT(EDATE($D81,Milestones!$AA$116),"dd mmm yy"))&amp;" "&amp;Milestones!$AB$116&amp;" "&amp;Milestones!$AC$116&amp;";  ","")&amp;IF(AND(EDATE($D81,Milestones!$AA$117)&lt;=AsOfDate,IF($R81=0,$X81,IF(AND($T81&lt;&gt;"",EDATE($D81,Milestones!$AA$117)&gt;=$T81),$W81,IF(AND($S81&lt;&gt;"",EDATE($D81,Milestones!$AA$117)&gt;=$S81),$V81,$U81)))=Milestones!$AB$117),UPPER(TEXT(EDATE($D81,Milestones!$AA$117),"dd mmm yy"))&amp;" "&amp;Milestones!$AB$117&amp;" "&amp;Milestones!$AC$117&amp;";  ","")&amp;IF(AND(EDATE($D81,Milestones!$AA$118)&lt;=AsOfDate,IF($R81=0,$X81,IF(AND($T81&lt;&gt;"",EDATE($D81,Milestones!$AA$118)&gt;=$T81),$W81,IF(AND($S81&lt;&gt;"",EDATE($D81,Milestones!$AA$118)&gt;=$S81),$V81,$U81)))=Milestones!$AB$118),UPPER(TEXT(EDATE($D81,Milestones!$AA$118),"dd mmm yy"))&amp;" "&amp;Milestones!$AB$118&amp;" "&amp;Milestones!$AC$118&amp;";  ","")&amp;IF(AND(EDATE($D81,Milestones!$AA$119)&lt;=AsOfDate,IF($R81=0,$X81,IF(AND($T81&lt;&gt;"",EDATE($D81,Milestones!$AA$119)&gt;=$T81),$W81,IF(AND($S81&lt;&gt;"",EDATE($D81,Milestones!$AA$119)&gt;=$S81),$V81,$U81)))=Milestones!$AB$119),UPPER(TEXT(EDATE($D81,Milestones!$AA$119),"dd mmm yy"))&amp;" "&amp;Milestones!$AB$119&amp;" "&amp;Milestones!$AC$119&amp;";  ",""))</f>
        <v/>
      </c>
      <c r="N81" s="0" t="str">
        <f aca="false">IF(OR($A81="",$D81=""),"",IF(AND(EDATE($D81,Milestones!$AA$120)&lt;=AsOfDate,IF($R81=0,$X81,IF(AND($T81&lt;&gt;"",EDATE($D81,Milestones!$AA$120)&gt;=$T81),$W81,IF(AND($S81&lt;&gt;"",EDATE($D81,Milestones!$AA$120)&gt;=$S81),$V81,$U81)))=Milestones!$AB$120),UPPER(TEXT(EDATE($D81,Milestones!$AA$120),"dd mmm yy"))&amp;" "&amp;Milestones!$AB$120&amp;" "&amp;Milestones!$AC$120&amp;";  ","")&amp;IF(AND(EDATE($D81,Milestones!$AA$121)&lt;=AsOfDate,IF($R81=0,$X81,IF(AND($T81&lt;&gt;"",EDATE($D81,Milestones!$AA$121)&gt;=$T81),$W81,IF(AND($S81&lt;&gt;"",EDATE($D81,Milestones!$AA$121)&gt;=$S81),$V81,$U81)))=Milestones!$AB$121),UPPER(TEXT(EDATE($D81,Milestones!$AA$121),"dd mmm yy"))&amp;" "&amp;Milestones!$AB$121&amp;" "&amp;Milestones!$AC$121&amp;";  ","")&amp;IF(AND(EDATE($D81,Milestones!$AA$122)&lt;=AsOfDate,IF($R81=0,$X81,IF(AND($T81&lt;&gt;"",EDATE($D81,Milestones!$AA$122)&gt;=$T81),$W81,IF(AND($S81&lt;&gt;"",EDATE($D81,Milestones!$AA$122)&gt;=$S81),$V81,$U81)))=Milestones!$AB$122),UPPER(TEXT(EDATE($D81,Milestones!$AA$122),"dd mmm yy"))&amp;" "&amp;Milestones!$AB$122&amp;" "&amp;Milestones!$AC$122&amp;";  ","")&amp;IF(AND(EDATE($D81,Milestones!$AA$123)&lt;=AsOfDate,IF($R81=0,$X81,IF(AND($T81&lt;&gt;"",EDATE($D81,Milestones!$AA$123)&gt;=$T81),$W81,IF(AND($S81&lt;&gt;"",EDATE($D81,Milestones!$AA$123)&gt;=$S81),$V81,$U81)))=Milestones!$AB$123),UPPER(TEXT(EDATE($D81,Milestones!$AA$123),"dd mmm yy"))&amp;" "&amp;Milestones!$AB$123&amp;" "&amp;Milestones!$AC$123&amp;";  ","")&amp;IF(AND(EDATE($D81,Milestones!$AA$124)&lt;=AsOfDate,IF($R81=0,$X81,IF(AND($T81&lt;&gt;"",EDATE($D81,Milestones!$AA$124)&gt;=$T81),$W81,IF(AND($S81&lt;&gt;"",EDATE($D81,Milestones!$AA$124)&gt;=$S81),$V81,$U81)))=Milestones!$AB$124),UPPER(TEXT(EDATE($D81,Milestones!$AA$124),"dd mmm yy"))&amp;" "&amp;Milestones!$AB$124&amp;" "&amp;Milestones!$AC$124&amp;";  ","")&amp;IF(AND(EDATE($D81,Milestones!$AA$125)&lt;=AsOfDate,IF($R81=0,$X81,IF(AND($T81&lt;&gt;"",EDATE($D81,Milestones!$AA$125)&gt;=$T81),$W81,IF(AND($S81&lt;&gt;"",EDATE($D81,Milestones!$AA$125)&gt;=$S81),$V81,$U81)))=Milestones!$AB$125),UPPER(TEXT(EDATE($D81,Milestones!$AA$125),"dd mmm yy"))&amp;" "&amp;Milestones!$AB$125&amp;" "&amp;Milestones!$AC$125&amp;";  ","")&amp;IF(AND(EDATE($D81,Milestones!$AA$126)&lt;=AsOfDate,IF($R81=0,$X81,IF(AND($T81&lt;&gt;"",EDATE($D81,Milestones!$AA$126)&gt;=$T81),$W81,IF(AND($S81&lt;&gt;"",EDATE($D81,Milestones!$AA$126)&gt;=$S81),$V81,$U81)))=Milestones!$AB$126),UPPER(TEXT(EDATE($D81,Milestones!$AA$126),"dd mmm yy"))&amp;" "&amp;Milestones!$AB$126&amp;" "&amp;Milestones!$AC$126&amp;";  ","")&amp;IF(AND(EDATE($D81,Milestones!$AA$127)&lt;=AsOfDate,IF($R81=0,$X81,IF(AND($T81&lt;&gt;"",EDATE($D81,Milestones!$AA$127)&gt;=$T81),$W81,IF(AND($S81&lt;&gt;"",EDATE($D81,Milestones!$AA$127)&gt;=$S81),$V81,$U81)))=Milestones!$AB$127),UPPER(TEXT(EDATE($D81,Milestones!$AA$127),"dd mmm yy"))&amp;" "&amp;Milestones!$AB$127&amp;" "&amp;Milestones!$AC$127&amp;";  ","")&amp;IF(AND(EDATE($D81,Milestones!$AA$128)&lt;=AsOfDate,IF($R81=0,$X81,IF(AND($T81&lt;&gt;"",EDATE($D81,Milestones!$AA$128)&gt;=$T81),$W81,IF(AND($S81&lt;&gt;"",EDATE($D81,Milestones!$AA$128)&gt;=$S81),$V81,$U81)))=Milestones!$AB$128),UPPER(TEXT(EDATE($D81,Milestones!$AA$128),"dd mmm yy"))&amp;" "&amp;Milestones!$AB$128&amp;" "&amp;Milestones!$AC$128&amp;";  ","")&amp;IF(AND(EDATE($D81,Milestones!$AA$129)&lt;=AsOfDate,IF($R81=0,$X81,IF(AND($T81&lt;&gt;"",EDATE($D81,Milestones!$AA$129)&gt;=$T81),$W81,IF(AND($S81&lt;&gt;"",EDATE($D81,Milestones!$AA$129)&gt;=$S81),$V81,$U81)))=Milestones!$AB$129),UPPER(TEXT(EDATE($D81,Milestones!$AA$129),"dd mmm yy"))&amp;" "&amp;Milestones!$AB$129&amp;" "&amp;Milestones!$AC$129&amp;";  ","")&amp;IF(AND(EDATE($D81,Milestones!$AA$130)&lt;=AsOfDate,IF($R81=0,$X81,IF(AND($T81&lt;&gt;"",EDATE($D81,Milestones!$AA$130)&gt;=$T81),$W81,IF(AND($S81&lt;&gt;"",EDATE($D81,Milestones!$AA$130)&gt;=$S81),$V81,$U81)))=Milestones!$AB$130),UPPER(TEXT(EDATE($D81,Milestones!$AA$130),"dd mmm yy"))&amp;" "&amp;Milestones!$AB$130&amp;" "&amp;Milestones!$AC$130&amp;";  ","")&amp;IF(AND(EDATE($D81,Milestones!$AA$131)&lt;=AsOfDate,IF($R81=0,$X81,IF(AND($T81&lt;&gt;"",EDATE($D81,Milestones!$AA$131)&gt;=$T81),$W81,IF(AND($S81&lt;&gt;"",EDATE($D81,Milestones!$AA$131)&gt;=$S81),$V81,$U81)))=Milestones!$AB$131),UPPER(TEXT(EDATE($D81,Milestones!$AA$131),"dd mmm yy"))&amp;" "&amp;Milestones!$AB$131&amp;" "&amp;Milestones!$AC$131&amp;";  ","")&amp;IF(AND(EDATE($D81,Milestones!$AA$132)&lt;=AsOfDate,IF($R81=0,$X81,IF(AND($T81&lt;&gt;"",EDATE($D81,Milestones!$AA$132)&gt;=$T81),$W81,IF(AND($S81&lt;&gt;"",EDATE($D81,Milestones!$AA$132)&gt;=$S81),$V81,$U81)))=Milestones!$AB$132),UPPER(TEXT(EDATE($D81,Milestones!$AA$132),"dd mmm yy"))&amp;" "&amp;Milestones!$AB$132&amp;" "&amp;Milestones!$AC$132&amp;";  ","")&amp;IF(AND(EDATE($D81,Milestones!$AA$133)&lt;=AsOfDate,IF($R81=0,$X81,IF(AND($T81&lt;&gt;"",EDATE($D81,Milestones!$AA$133)&gt;=$T81),$W81,IF(AND($S81&lt;&gt;"",EDATE($D81,Milestones!$AA$133)&gt;=$S81),$V81,$U81)))=Milestones!$AB$133),UPPER(TEXT(EDATE($D81,Milestones!$AA$133),"dd mmm yy"))&amp;" "&amp;Milestones!$AB$133&amp;" "&amp;Milestones!$AC$133&amp;";  ","")&amp;IF(AND(EDATE($D81,Milestones!$AA$134)&lt;=AsOfDate,IF($R81=0,$X81,IF(AND($T81&lt;&gt;"",EDATE($D81,Milestones!$AA$134)&gt;=$T81),$W81,IF(AND($S81&lt;&gt;"",EDATE($D81,Milestones!$AA$134)&gt;=$S81),$V81,$U81)))=Milestones!$AB$134),UPPER(TEXT(EDATE($D81,Milestones!$AA$134),"dd mmm yy"))&amp;" "&amp;Milestones!$AB$134&amp;" "&amp;Milestones!$AC$134&amp;";  ","")&amp;IF(AND(EDATE($D81,Milestones!$AA$135)&lt;=AsOfDate,IF($R81=0,$X81,IF(AND($T81&lt;&gt;"",EDATE($D81,Milestones!$AA$135)&gt;=$T81),$W81,IF(AND($S81&lt;&gt;"",EDATE($D81,Milestones!$AA$135)&gt;=$S81),$V81,$U81)))=Milestones!$AB$135),UPPER(TEXT(EDATE($D81,Milestones!$AA$135),"dd mmm yy"))&amp;" "&amp;Milestones!$AB$135&amp;" "&amp;Milestones!$AC$135&amp;";  ","")&amp;IF(AND(EDATE($D81,Milestones!$AA$136)&lt;=AsOfDate,IF($R81=0,$X81,IF(AND($T81&lt;&gt;"",EDATE($D81,Milestones!$AA$136)&gt;=$T81),$W81,IF(AND($S81&lt;&gt;"",EDATE($D81,Milestones!$AA$136)&gt;=$S81),$V81,$U81)))=Milestones!$AB$136),UPPER(TEXT(EDATE($D81,Milestones!$AA$136),"dd mmm yy"))&amp;" "&amp;Milestones!$AB$136&amp;" "&amp;Milestones!$AC$136&amp;";  ","")&amp;IF(AND(EDATE($D81,Milestones!$AA$137)&lt;=AsOfDate,IF($R81=0,$X81,IF(AND($T81&lt;&gt;"",EDATE($D81,Milestones!$AA$137)&gt;=$T81),$W81,IF(AND($S81&lt;&gt;"",EDATE($D81,Milestones!$AA$137)&gt;=$S81),$V81,$U81)))=Milestones!$AB$137),UPPER(TEXT(EDATE($D81,Milestones!$AA$137),"dd mmm yy"))&amp;" "&amp;Milestones!$AB$137&amp;" "&amp;Milestones!$AC$137&amp;";  ","")&amp;IF(AND(EDATE($D81,Milestones!$AA$138)&lt;=AsOfDate,IF($R81=0,$X81,IF(AND($T81&lt;&gt;"",EDATE($D81,Milestones!$AA$138)&gt;=$T81),$W81,IF(AND($S81&lt;&gt;"",EDATE($D81,Milestones!$AA$138)&gt;=$S81),$V81,$U81)))=Milestones!$AB$138),UPPER(TEXT(EDATE($D81,Milestones!$AA$138),"dd mmm yy"))&amp;" "&amp;Milestones!$AB$138&amp;" "&amp;Milestones!$AC$138&amp;";  ","")&amp;IF(AND(EDATE($D81,Milestones!$AA$139)&lt;=AsOfDate,IF($R81=0,$X81,IF(AND($T81&lt;&gt;"",EDATE($D81,Milestones!$AA$139)&gt;=$T81),$W81,IF(AND($S81&lt;&gt;"",EDATE($D81,Milestones!$AA$139)&gt;=$S81),$V81,$U81)))=Milestones!$AB$139),UPPER(TEXT(EDATE($D81,Milestones!$AA$139),"dd mmm yy"))&amp;" "&amp;Milestones!$AB$139&amp;" "&amp;Milestones!$AC$139&amp;";  ",""))</f>
        <v/>
      </c>
      <c r="O81" s="0" t="str">
        <f aca="false">IF(OR($A81="",$D81=""),"",IF(AND(EDATE($D81,Milestones!$AA$140)&lt;=AsOfDate,IF($R81=0,$X81,IF(AND($T81&lt;&gt;"",EDATE($D81,Milestones!$AA$140)&gt;=$T81),$W81,IF(AND($S81&lt;&gt;"",EDATE($D81,Milestones!$AA$140)&gt;=$S81),$V81,$U81)))=Milestones!$AB$140),UPPER(TEXT(EDATE($D81,Milestones!$AA$140),"dd mmm yy"))&amp;" "&amp;Milestones!$AB$140&amp;" "&amp;Milestones!$AC$140&amp;";  ","")&amp;IF(AND(EDATE($D81,Milestones!$AA$141)&lt;=AsOfDate,IF($R81=0,$X81,IF(AND($T81&lt;&gt;"",EDATE($D81,Milestones!$AA$141)&gt;=$T81),$W81,IF(AND($S81&lt;&gt;"",EDATE($D81,Milestones!$AA$141)&gt;=$S81),$V81,$U81)))=Milestones!$AB$141),UPPER(TEXT(EDATE($D81,Milestones!$AA$141),"dd mmm yy"))&amp;" "&amp;Milestones!$AB$141&amp;" "&amp;Milestones!$AC$141&amp;";  ","")&amp;IF(AND(EDATE($D81,Milestones!$AA$142)&lt;=AsOfDate,IF($R81=0,$X81,IF(AND($T81&lt;&gt;"",EDATE($D81,Milestones!$AA$142)&gt;=$T81),$W81,IF(AND($S81&lt;&gt;"",EDATE($D81,Milestones!$AA$142)&gt;=$S81),$V81,$U81)))=Milestones!$AB$142),UPPER(TEXT(EDATE($D81,Milestones!$AA$142),"dd mmm yy"))&amp;" "&amp;Milestones!$AB$142&amp;" "&amp;Milestones!$AC$142&amp;";  ","")&amp;IF(AND(EDATE($D81,Milestones!$AA$143)&lt;=AsOfDate,IF($R81=0,$X81,IF(AND($T81&lt;&gt;"",EDATE($D81,Milestones!$AA$143)&gt;=$T81),$W81,IF(AND($S81&lt;&gt;"",EDATE($D81,Milestones!$AA$143)&gt;=$S81),$V81,$U81)))=Milestones!$AB$143),UPPER(TEXT(EDATE($D81,Milestones!$AA$143),"dd mmm yy"))&amp;" "&amp;Milestones!$AB$143&amp;" "&amp;Milestones!$AC$143&amp;";  ","")&amp;IF(AND(EDATE($D81,Milestones!$AA$144)&lt;=AsOfDate,IF($R81=0,$X81,IF(AND($T81&lt;&gt;"",EDATE($D81,Milestones!$AA$144)&gt;=$T81),$W81,IF(AND($S81&lt;&gt;"",EDATE($D81,Milestones!$AA$144)&gt;=$S81),$V81,$U81)))=Milestones!$AB$144),UPPER(TEXT(EDATE($D81,Milestones!$AA$144),"dd mmm yy"))&amp;" "&amp;Milestones!$AB$144&amp;" "&amp;Milestones!$AC$144&amp;";  ","")&amp;IF(AND(EDATE($D81,Milestones!$AA$145)&lt;=AsOfDate,IF($R81=0,$X81,IF(AND($T81&lt;&gt;"",EDATE($D81,Milestones!$AA$145)&gt;=$T81),$W81,IF(AND($S81&lt;&gt;"",EDATE($D81,Milestones!$AA$145)&gt;=$S81),$V81,$U81)))=Milestones!$AB$145),UPPER(TEXT(EDATE($D81,Milestones!$AA$145),"dd mmm yy"))&amp;" "&amp;Milestones!$AB$145&amp;" "&amp;Milestones!$AC$145&amp;";  ","")&amp;IF(AND(EDATE($D81,Milestones!$AA$146)&lt;=AsOfDate,IF($R81=0,$X81,IF(AND($T81&lt;&gt;"",EDATE($D81,Milestones!$AA$146)&gt;=$T81),$W81,IF(AND($S81&lt;&gt;"",EDATE($D81,Milestones!$AA$146)&gt;=$S81),$V81,$U81)))=Milestones!$AB$146),UPPER(TEXT(EDATE($D81,Milestones!$AA$146),"dd mmm yy"))&amp;" "&amp;Milestones!$AB$146&amp;" "&amp;Milestones!$AC$146&amp;";  ","")&amp;IF(AND(EDATE($D81,Milestones!$AA$147)&lt;=AsOfDate,IF($R81=0,$X81,IF(AND($T81&lt;&gt;"",EDATE($D81,Milestones!$AA$147)&gt;=$T81),$W81,IF(AND($S81&lt;&gt;"",EDATE($D81,Milestones!$AA$147)&gt;=$S81),$V81,$U81)))=Milestones!$AB$147),UPPER(TEXT(EDATE($D81,Milestones!$AA$147),"dd mmm yy"))&amp;" "&amp;Milestones!$AB$147&amp;" "&amp;Milestones!$AC$147&amp;";  ","")&amp;IF(AND(EDATE($D81,Milestones!$AA$148)&lt;=AsOfDate,IF($R81=0,$X81,IF(AND($T81&lt;&gt;"",EDATE($D81,Milestones!$AA$148)&gt;=$T81),$W81,IF(AND($S81&lt;&gt;"",EDATE($D81,Milestones!$AA$148)&gt;=$S81),$V81,$U81)))=Milestones!$AB$148),UPPER(TEXT(EDATE($D81,Milestones!$AA$148),"dd mmm yy"))&amp;" "&amp;Milestones!$AB$148&amp;" "&amp;Milestones!$AC$148&amp;";  ","")&amp;IF(AND(EDATE($D81,Milestones!$AA$149)&lt;=AsOfDate,IF($R81=0,$X81,IF(AND($T81&lt;&gt;"",EDATE($D81,Milestones!$AA$149)&gt;=$T81),$W81,IF(AND($S81&lt;&gt;"",EDATE($D81,Milestones!$AA$149)&gt;=$S81),$V81,$U81)))=Milestones!$AB$149),UPPER(TEXT(EDATE($D81,Milestones!$AA$149),"dd mmm yy"))&amp;" "&amp;Milestones!$AB$149&amp;" "&amp;Milestones!$AC$149&amp;";  ","")&amp;IF(AND(EDATE($D81,Milestones!$AA$150)&lt;=AsOfDate,IF($R81=0,$X81,IF(AND($T81&lt;&gt;"",EDATE($D81,Milestones!$AA$150)&gt;=$T81),$W81,IF(AND($S81&lt;&gt;"",EDATE($D81,Milestones!$AA$150)&gt;=$S81),$V81,$U81)))=Milestones!$AB$150),UPPER(TEXT(EDATE($D81,Milestones!$AA$150),"dd mmm yy"))&amp;" "&amp;Milestones!$AB$150&amp;" "&amp;Milestones!$AC$150&amp;";  ","")&amp;IF(AND(EDATE($D81,Milestones!$AA$151)&lt;=AsOfDate,IF($R81=0,$X81,IF(AND($T81&lt;&gt;"",EDATE($D81,Milestones!$AA$151)&gt;=$T81),$W81,IF(AND($S81&lt;&gt;"",EDATE($D81,Milestones!$AA$151)&gt;=$S81),$V81,$U81)))=Milestones!$AB$151),UPPER(TEXT(EDATE($D81,Milestones!$AA$151),"dd mmm yy"))&amp;" "&amp;Milestones!$AB$151&amp;" "&amp;Milestones!$AC$151&amp;";  ","")&amp;IF(AND(EDATE($D81,Milestones!$AA$152)&lt;=AsOfDate,IF($R81=0,$X81,IF(AND($T81&lt;&gt;"",EDATE($D81,Milestones!$AA$152)&gt;=$T81),$W81,IF(AND($S81&lt;&gt;"",EDATE($D81,Milestones!$AA$152)&gt;=$S81),$V81,$U81)))=Milestones!$AB$152),UPPER(TEXT(EDATE($D81,Milestones!$AA$152),"dd mmm yy"))&amp;" "&amp;Milestones!$AB$152&amp;" "&amp;Milestones!$AC$152&amp;";  ","")&amp;IF(AND(EDATE($D81,Milestones!$AA$153)&lt;=AsOfDate,IF($R81=0,$X81,IF(AND($T81&lt;&gt;"",EDATE($D81,Milestones!$AA$153)&gt;=$T81),$W81,IF(AND($S81&lt;&gt;"",EDATE($D81,Milestones!$AA$153)&gt;=$S81),$V81,$U81)))=Milestones!$AB$153),UPPER(TEXT(EDATE($D81,Milestones!$AA$153),"dd mmm yy"))&amp;" "&amp;Milestones!$AB$153&amp;" "&amp;Milestones!$AC$153&amp;";  ","")&amp;IF(AND(EDATE($D81,Milestones!$AA$154)&lt;=AsOfDate,IF($R81=0,$X81,IF(AND($T81&lt;&gt;"",EDATE($D81,Milestones!$AA$154)&gt;=$T81),$W81,IF(AND($S81&lt;&gt;"",EDATE($D81,Milestones!$AA$154)&gt;=$S81),$V81,$U81)))=Milestones!$AB$154),UPPER(TEXT(EDATE($D81,Milestones!$AA$154),"dd mmm yy"))&amp;" "&amp;Milestones!$AB$154&amp;" "&amp;Milestones!$AC$154&amp;";  ","")&amp;IF(AND(EDATE($D81,Milestones!$AA$155)&lt;=AsOfDate,IF($R81=0,$X81,IF(AND($T81&lt;&gt;"",EDATE($D81,Milestones!$AA$155)&gt;=$T81),$W81,IF(AND($S81&lt;&gt;"",EDATE($D81,Milestones!$AA$155)&gt;=$S81),$V81,$U81)))=Milestones!$AB$155),UPPER(TEXT(EDATE($D81,Milestones!$AA$155),"dd mmm yy"))&amp;" "&amp;Milestones!$AB$155&amp;" "&amp;Milestones!$AC$155&amp;";  ","")&amp;IF(AND(EDATE($D81,Milestones!$AA$156)&lt;=AsOfDate,IF($R81=0,$X81,IF(AND($T81&lt;&gt;"",EDATE($D81,Milestones!$AA$156)&gt;=$T81),$W81,IF(AND($S81&lt;&gt;"",EDATE($D81,Milestones!$AA$156)&gt;=$S81),$V81,$U81)))=Milestones!$AB$156),UPPER(TEXT(EDATE($D81,Milestones!$AA$156),"dd mmm yy"))&amp;" "&amp;Milestones!$AB$156&amp;" "&amp;Milestones!$AC$156&amp;";  ","")&amp;IF(AND(EDATE($D81,Milestones!$AA$157)&lt;=AsOfDate,IF($R81=0,$X81,IF(AND($T81&lt;&gt;"",EDATE($D81,Milestones!$AA$157)&gt;=$T81),$W81,IF(AND($S81&lt;&gt;"",EDATE($D81,Milestones!$AA$157)&gt;=$S81),$V81,$U81)))=Milestones!$AB$157),UPPER(TEXT(EDATE($D81,Milestones!$AA$157),"dd mmm yy"))&amp;" "&amp;Milestones!$AB$157&amp;" "&amp;Milestones!$AC$157&amp;";  ","")&amp;IF(AND(EDATE($D81,Milestones!$AA$158)&lt;=AsOfDate,IF($R81=0,$X81,IF(AND($T81&lt;&gt;"",EDATE($D81,Milestones!$AA$158)&gt;=$T81),$W81,IF(AND($S81&lt;&gt;"",EDATE($D81,Milestones!$AA$158)&gt;=$S81),$V81,$U81)))=Milestones!$AB$158),UPPER(TEXT(EDATE($D81,Milestones!$AA$158),"dd mmm yy"))&amp;" "&amp;Milestones!$AB$158&amp;" "&amp;Milestones!$AC$158&amp;";  ","")&amp;IF(AND(EDATE($D81,Milestones!$AA$159)&lt;=AsOfDate,IF($R81=0,$X81,IF(AND($T81&lt;&gt;"",EDATE($D81,Milestones!$AA$159)&gt;=$T81),$W81,IF(AND($S81&lt;&gt;"",EDATE($D81,Milestones!$AA$159)&gt;=$S81),$V81,$U81)))=Milestones!$AB$159),UPPER(TEXT(EDATE($D81,Milestones!$AA$159),"dd mmm yy"))&amp;" "&amp;Milestones!$AB$159&amp;" "&amp;Milestones!$AC$159&amp;";  ",""))</f>
        <v/>
      </c>
      <c r="P81" s="0" t="str">
        <f aca="false">IF(OR($A81="",$D81=""),"",IF(AND(EDATE($D81,Milestones!$AA$160)&lt;=AsOfDate,IF($R81=0,$X81,IF(AND($T81&lt;&gt;"",EDATE($D81,Milestones!$AA$160)&gt;=$T81),$W81,IF(AND($S81&lt;&gt;"",EDATE($D81,Milestones!$AA$160)&gt;=$S81),$V81,$U81)))=Milestones!$AB$160),UPPER(TEXT(EDATE($D81,Milestones!$AA$160),"dd mmm yy"))&amp;" "&amp;Milestones!$AB$160&amp;" "&amp;Milestones!$AC$160&amp;";  ","")&amp;IF(AND(EDATE($D81,Milestones!$AA$161)&lt;=AsOfDate,IF($R81=0,$X81,IF(AND($T81&lt;&gt;"",EDATE($D81,Milestones!$AA$161)&gt;=$T81),$W81,IF(AND($S81&lt;&gt;"",EDATE($D81,Milestones!$AA$161)&gt;=$S81),$V81,$U81)))=Milestones!$AB$161),UPPER(TEXT(EDATE($D81,Milestones!$AA$161),"dd mmm yy"))&amp;" "&amp;Milestones!$AB$161&amp;" "&amp;Milestones!$AC$161&amp;";  ","")&amp;IF(AND(EDATE($D81,Milestones!$AA$162)&lt;=AsOfDate,IF($R81=0,$X81,IF(AND($T81&lt;&gt;"",EDATE($D81,Milestones!$AA$162)&gt;=$T81),$W81,IF(AND($S81&lt;&gt;"",EDATE($D81,Milestones!$AA$162)&gt;=$S81),$V81,$U81)))=Milestones!$AB$162),UPPER(TEXT(EDATE($D81,Milestones!$AA$162),"dd mmm yy"))&amp;" "&amp;Milestones!$AB$162&amp;" "&amp;Milestones!$AC$162&amp;";  ","")&amp;IF(AND(EDATE($D81,Milestones!$AA$163)&lt;=AsOfDate,IF($R81=0,$X81,IF(AND($T81&lt;&gt;"",EDATE($D81,Milestones!$AA$163)&gt;=$T81),$W81,IF(AND($S81&lt;&gt;"",EDATE($D81,Milestones!$AA$163)&gt;=$S81),$V81,$U81)))=Milestones!$AB$163),UPPER(TEXT(EDATE($D81,Milestones!$AA$163),"dd mmm yy"))&amp;" "&amp;Milestones!$AB$163&amp;" "&amp;Milestones!$AC$163&amp;";  ","")&amp;IF(AND(EDATE($D81,Milestones!$AA$164)&lt;=AsOfDate,IF($R81=0,$X81,IF(AND($T81&lt;&gt;"",EDATE($D81,Milestones!$AA$164)&gt;=$T81),$W81,IF(AND($S81&lt;&gt;"",EDATE($D81,Milestones!$AA$164)&gt;=$S81),$V81,$U81)))=Milestones!$AB$164),UPPER(TEXT(EDATE($D81,Milestones!$AA$164),"dd mmm yy"))&amp;" "&amp;Milestones!$AB$164&amp;" "&amp;Milestones!$AC$164&amp;";  ","")&amp;IF(AND(EDATE($D81,Milestones!$AA$165)&lt;=AsOfDate,IF($R81=0,$X81,IF(AND($T81&lt;&gt;"",EDATE($D81,Milestones!$AA$165)&gt;=$T81),$W81,IF(AND($S81&lt;&gt;"",EDATE($D81,Milestones!$AA$165)&gt;=$S81),$V81,$U81)))=Milestones!$AB$165),UPPER(TEXT(EDATE($D81,Milestones!$AA$165),"dd mmm yy"))&amp;" "&amp;Milestones!$AB$165&amp;" "&amp;Milestones!$AC$165&amp;";  ","")&amp;IF(AND(EDATE($D81,Milestones!$AA$166)&lt;=AsOfDate,IF($R81=0,$X81,IF(AND($T81&lt;&gt;"",EDATE($D81,Milestones!$AA$166)&gt;=$T81),$W81,IF(AND($S81&lt;&gt;"",EDATE($D81,Milestones!$AA$166)&gt;=$S81),$V81,$U81)))=Milestones!$AB$166),UPPER(TEXT(EDATE($D81,Milestones!$AA$166),"dd mmm yy"))&amp;" "&amp;Milestones!$AB$166&amp;" "&amp;Milestones!$AC$166&amp;";  ","")&amp;IF(AND(EDATE($D81,Milestones!$AA$167)&lt;=AsOfDate,IF($R81=0,$X81,IF(AND($T81&lt;&gt;"",EDATE($D81,Milestones!$AA$167)&gt;=$T81),$W81,IF(AND($S81&lt;&gt;"",EDATE($D81,Milestones!$AA$167)&gt;=$S81),$V81,$U81)))=Milestones!$AB$167),UPPER(TEXT(EDATE($D81,Milestones!$AA$167),"dd mmm yy"))&amp;" "&amp;Milestones!$AB$167&amp;" "&amp;Milestones!$AC$167&amp;";  ","")&amp;IF(AND(EDATE($D81,Milestones!$AA$168)&lt;=AsOfDate,IF($R81=0,$X81,IF(AND($T81&lt;&gt;"",EDATE($D81,Milestones!$AA$168)&gt;=$T81),$W81,IF(AND($S81&lt;&gt;"",EDATE($D81,Milestones!$AA$168)&gt;=$S81),$V81,$U81)))=Milestones!$AB$168),UPPER(TEXT(EDATE($D81,Milestones!$AA$168),"dd mmm yy"))&amp;" "&amp;Milestones!$AB$168&amp;" "&amp;Milestones!$AC$168&amp;";  ","")&amp;IF(AND(EDATE($D81,Milestones!$AA$169)&lt;=AsOfDate,IF($R81=0,$X81,IF(AND($T81&lt;&gt;"",EDATE($D81,Milestones!$AA$169)&gt;=$T81),$W81,IF(AND($S81&lt;&gt;"",EDATE($D81,Milestones!$AA$169)&gt;=$S81),$V81,$U81)))=Milestones!$AB$169),UPPER(TEXT(EDATE($D81,Milestones!$AA$169),"dd mmm yy"))&amp;" "&amp;Milestones!$AB$169&amp;" "&amp;Milestones!$AC$169&amp;";  ","")&amp;IF(AND(EDATE($D81,Milestones!$AA$170)&lt;=AsOfDate,IF($R81=0,$X81,IF(AND($T81&lt;&gt;"",EDATE($D81,Milestones!$AA$170)&gt;=$T81),$W81,IF(AND($S81&lt;&gt;"",EDATE($D81,Milestones!$AA$170)&gt;=$S81),$V81,$U81)))=Milestones!$AB$170),UPPER(TEXT(EDATE($D81,Milestones!$AA$170),"dd mmm yy"))&amp;" "&amp;Milestones!$AB$170&amp;" "&amp;Milestones!$AC$170&amp;";  ","")&amp;IF(AND(EDATE($D81,Milestones!$AA$171)&lt;=AsOfDate,IF($R81=0,$X81,IF(AND($T81&lt;&gt;"",EDATE($D81,Milestones!$AA$171)&gt;=$T81),$W81,IF(AND($S81&lt;&gt;"",EDATE($D81,Milestones!$AA$171)&gt;=$S81),$V81,$U81)))=Milestones!$AB$171),UPPER(TEXT(EDATE($D81,Milestones!$AA$171),"dd mmm yy"))&amp;" "&amp;Milestones!$AB$171&amp;" "&amp;Milestones!$AC$171&amp;";  ","")&amp;IF(AND(EDATE($D81,Milestones!$AA$172)&lt;=AsOfDate,IF($R81=0,$X81,IF(AND($T81&lt;&gt;"",EDATE($D81,Milestones!$AA$172)&gt;=$T81),$W81,IF(AND($S81&lt;&gt;"",EDATE($D81,Milestones!$AA$172)&gt;=$S81),$V81,$U81)))=Milestones!$AB$172),UPPER(TEXT(EDATE($D81,Milestones!$AA$172),"dd mmm yy"))&amp;" "&amp;Milestones!$AB$172&amp;" "&amp;Milestones!$AC$172&amp;";  ","")&amp;IF(AND(EDATE($D81,Milestones!$AA$173)&lt;=AsOfDate,IF($R81=0,$X81,IF(AND($T81&lt;&gt;"",EDATE($D81,Milestones!$AA$173)&gt;=$T81),$W81,IF(AND($S81&lt;&gt;"",EDATE($D81,Milestones!$AA$173)&gt;=$S81),$V81,$U81)))=Milestones!$AB$173),UPPER(TEXT(EDATE($D81,Milestones!$AA$173),"dd mmm yy"))&amp;" "&amp;Milestones!$AB$173&amp;" "&amp;Milestones!$AC$173&amp;";  ","")&amp;IF(AND(EDATE($D81,Milestones!$AA$174)&lt;=AsOfDate,IF($R81=0,$X81,IF(AND($T81&lt;&gt;"",EDATE($D81,Milestones!$AA$174)&gt;=$T81),$W81,IF(AND($S81&lt;&gt;"",EDATE($D81,Milestones!$AA$174)&gt;=$S81),$V81,$U81)))=Milestones!$AB$174),UPPER(TEXT(EDATE($D81,Milestones!$AA$174),"dd mmm yy"))&amp;" "&amp;Milestones!$AB$174&amp;" "&amp;Milestones!$AC$174&amp;";  ","")&amp;IF(AND(EDATE($D81,Milestones!$AA$175)&lt;=AsOfDate,IF($R81=0,$X81,IF(AND($T81&lt;&gt;"",EDATE($D81,Milestones!$AA$175)&gt;=$T81),$W81,IF(AND($S81&lt;&gt;"",EDATE($D81,Milestones!$AA$175)&gt;=$S81),$V81,$U81)))=Milestones!$AB$175),UPPER(TEXT(EDATE($D81,Milestones!$AA$175),"dd mmm yy"))&amp;" "&amp;Milestones!$AB$175&amp;" "&amp;Milestones!$AC$175&amp;";  ","")&amp;IF(AND(EDATE($D81,Milestones!$AA$176)&lt;=AsOfDate,IF($R81=0,$X81,IF(AND($T81&lt;&gt;"",EDATE($D81,Milestones!$AA$176)&gt;=$T81),$W81,IF(AND($S81&lt;&gt;"",EDATE($D81,Milestones!$AA$176)&gt;=$S81),$V81,$U81)))=Milestones!$AB$176),UPPER(TEXT(EDATE($D81,Milestones!$AA$176),"dd mmm yy"))&amp;" "&amp;Milestones!$AB$176&amp;" "&amp;Milestones!$AC$176&amp;";  ","")&amp;IF(AND(EDATE($D81,Milestones!$AA$177)&lt;=AsOfDate,IF($R81=0,$X81,IF(AND($T81&lt;&gt;"",EDATE($D81,Milestones!$AA$177)&gt;=$T81),$W81,IF(AND($S81&lt;&gt;"",EDATE($D81,Milestones!$AA$177)&gt;=$S81),$V81,$U81)))=Milestones!$AB$177),UPPER(TEXT(EDATE($D81,Milestones!$AA$177),"dd mmm yy"))&amp;" "&amp;Milestones!$AB$177&amp;" "&amp;Milestones!$AC$177&amp;";  ","")&amp;IF(AND(EDATE($D81,Milestones!$AA$178)&lt;=AsOfDate,IF($R81=0,$X81,IF(AND($T81&lt;&gt;"",EDATE($D81,Milestones!$AA$178)&gt;=$T81),$W81,IF(AND($S81&lt;&gt;"",EDATE($D81,Milestones!$AA$178)&gt;=$S81),$V81,$U81)))=Milestones!$AB$178),UPPER(TEXT(EDATE($D81,Milestones!$AA$178),"dd mmm yy"))&amp;" "&amp;Milestones!$AB$178&amp;" "&amp;Milestones!$AC$178&amp;";  ","")&amp;IF(AND(EDATE($D81,Milestones!$AA$179)&lt;=AsOfDate,IF($R81=0,$X81,IF(AND($T81&lt;&gt;"",EDATE($D81,Milestones!$AA$179)&gt;=$T81),$W81,IF(AND($S81&lt;&gt;"",EDATE($D81,Milestones!$AA$179)&gt;=$S81),$V81,$U81)))=Milestones!$AB$179),UPPER(TEXT(EDATE($D81,Milestones!$AA$179),"dd mmm yy"))&amp;" "&amp;Milestones!$AB$179&amp;" "&amp;Milestones!$AC$179&amp;";  ",""))</f>
        <v/>
      </c>
      <c r="Q81" s="0" t="str">
        <f aca="false">IF(OR($A81="",$D81=""),"",IF(AND(EDATE($D81,Milestones!$AA$180)&lt;=AsOfDate,IF($R81=0,$X81,IF(AND($T81&lt;&gt;"",EDATE($D81,Milestones!$AA$180)&gt;=$T81),$W81,IF(AND($S81&lt;&gt;"",EDATE($D81,Milestones!$AA$180)&gt;=$S81),$V81,$U81)))=Milestones!$AB$180),UPPER(TEXT(EDATE($D81,Milestones!$AA$180),"dd mmm yy"))&amp;" "&amp;Milestones!$AB$180&amp;" "&amp;Milestones!$AC$180&amp;";  ","")&amp;IF(AND(EDATE($D81,Milestones!$AA$181)&lt;=AsOfDate,IF($R81=0,$X81,IF(AND($T81&lt;&gt;"",EDATE($D81,Milestones!$AA$181)&gt;=$T81),$W81,IF(AND($S81&lt;&gt;"",EDATE($D81,Milestones!$AA$181)&gt;=$S81),$V81,$U81)))=Milestones!$AB$181),UPPER(TEXT(EDATE($D81,Milestones!$AA$181),"dd mmm yy"))&amp;" "&amp;Milestones!$AB$181&amp;" "&amp;Milestones!$AC$181&amp;";  ","")&amp;IF(AND(EDATE($D81,Milestones!$AA$182)&lt;=AsOfDate,IF($R81=0,$X81,IF(AND($T81&lt;&gt;"",EDATE($D81,Milestones!$AA$182)&gt;=$T81),$W81,IF(AND($S81&lt;&gt;"",EDATE($D81,Milestones!$AA$182)&gt;=$S81),$V81,$U81)))=Milestones!$AB$182),UPPER(TEXT(EDATE($D81,Milestones!$AA$182),"dd mmm yy"))&amp;" "&amp;Milestones!$AB$182&amp;" "&amp;Milestones!$AC$182&amp;";  ","")&amp;IF(AND(EDATE($D81,Milestones!$AA$183)&lt;=AsOfDate,IF($R81=0,$X81,IF(AND($T81&lt;&gt;"",EDATE($D81,Milestones!$AA$183)&gt;=$T81),$W81,IF(AND($S81&lt;&gt;"",EDATE($D81,Milestones!$AA$183)&gt;=$S81),$V81,$U81)))=Milestones!$AB$183),UPPER(TEXT(EDATE($D81,Milestones!$AA$183),"dd mmm yy"))&amp;" "&amp;Milestones!$AB$183&amp;" "&amp;Milestones!$AC$183&amp;";  ","")&amp;IF(AND(EDATE($D81,Milestones!$AA$184)&lt;=AsOfDate,IF($R81=0,$X81,IF(AND($T81&lt;&gt;"",EDATE($D81,Milestones!$AA$184)&gt;=$T81),$W81,IF(AND($S81&lt;&gt;"",EDATE($D81,Milestones!$AA$184)&gt;=$S81),$V81,$U81)))=Milestones!$AB$184),UPPER(TEXT(EDATE($D81,Milestones!$AA$184),"dd mmm yy"))&amp;" "&amp;Milestones!$AB$184&amp;" "&amp;Milestones!$AC$184&amp;";  ","")&amp;IF(AND(EDATE($D81,Milestones!$AA$185)&lt;=AsOfDate,IF($R81=0,$X81,IF(AND($T81&lt;&gt;"",EDATE($D81,Milestones!$AA$185)&gt;=$T81),$W81,IF(AND($S81&lt;&gt;"",EDATE($D81,Milestones!$AA$185)&gt;=$S81),$V81,$U81)))=Milestones!$AB$185),UPPER(TEXT(EDATE($D81,Milestones!$AA$185),"dd mmm yy"))&amp;" "&amp;Milestones!$AB$185&amp;" "&amp;Milestones!$AC$185&amp;";  ","")&amp;IF(AND(EDATE($D81,Milestones!$AA$186)&lt;=AsOfDate,IF($R81=0,$X81,IF(AND($T81&lt;&gt;"",EDATE($D81,Milestones!$AA$186)&gt;=$T81),$W81,IF(AND($S81&lt;&gt;"",EDATE($D81,Milestones!$AA$186)&gt;=$S81),$V81,$U81)))=Milestones!$AB$186),UPPER(TEXT(EDATE($D81,Milestones!$AA$186),"dd mmm yy"))&amp;" "&amp;Milestones!$AB$186&amp;" "&amp;Milestones!$AC$186&amp;";  ","")&amp;IF(AND(EDATE($D81,Milestones!$AA$187)&lt;=AsOfDate,IF($R81=0,$X81,IF(AND($T81&lt;&gt;"",EDATE($D81,Milestones!$AA$187)&gt;=$T81),$W81,IF(AND($S81&lt;&gt;"",EDATE($D81,Milestones!$AA$187)&gt;=$S81),$V81,$U81)))=Milestones!$AB$187),UPPER(TEXT(EDATE($D81,Milestones!$AA$187),"dd mmm yy"))&amp;" "&amp;Milestones!$AB$187&amp;" "&amp;Milestones!$AC$187&amp;";  ","")&amp;IF(AND(EDATE($D81,Milestones!$AA$188)&lt;=AsOfDate,IF($R81=0,$X81,IF(AND($T81&lt;&gt;"",EDATE($D81,Milestones!$AA$188)&gt;=$T81),$W81,IF(AND($S81&lt;&gt;"",EDATE($D81,Milestones!$AA$188)&gt;=$S81),$V81,$U81)))=Milestones!$AB$188),UPPER(TEXT(EDATE($D81,Milestones!$AA$188),"dd mmm yy"))&amp;" "&amp;Milestones!$AB$188&amp;" "&amp;Milestones!$AC$188&amp;";  ","")&amp;IF(AND(EDATE($D81,Milestones!$AA$189)&lt;=AsOfDate,IF($R81=0,$X81,IF(AND($T81&lt;&gt;"",EDATE($D81,Milestones!$AA$189)&gt;=$T81),$W81,IF(AND($S81&lt;&gt;"",EDATE($D81,Milestones!$AA$189)&gt;=$S81),$V81,$U81)))=Milestones!$AB$189),UPPER(TEXT(EDATE($D81,Milestones!$AA$189),"dd mmm yy"))&amp;" "&amp;Milestones!$AB$189&amp;" "&amp;Milestones!$AC$189&amp;";  ","")&amp;IF(AND(EDATE($D81,Milestones!$AA$190)&lt;=AsOfDate,IF($R81=0,$X81,IF(AND($T81&lt;&gt;"",EDATE($D81,Milestones!$AA$190)&gt;=$T81),$W81,IF(AND($S81&lt;&gt;"",EDATE($D81,Milestones!$AA$190)&gt;=$S81),$V81,$U81)))=Milestones!$AB$190),UPPER(TEXT(EDATE($D81,Milestones!$AA$190),"dd mmm yy"))&amp;" "&amp;Milestones!$AB$190&amp;" "&amp;Milestones!$AC$190&amp;";  ","")&amp;IF(AND(EDATE($D81,Milestones!$AA$191)&lt;=AsOfDate,IF($R81=0,$X81,IF(AND($T81&lt;&gt;"",EDATE($D81,Milestones!$AA$191)&gt;=$T81),$W81,IF(AND($S81&lt;&gt;"",EDATE($D81,Milestones!$AA$191)&gt;=$S81),$V81,$U81)))=Milestones!$AB$191),UPPER(TEXT(EDATE($D81,Milestones!$AA$191),"dd mmm yy"))&amp;" "&amp;Milestones!$AB$191&amp;" "&amp;Milestones!$AC$191&amp;";  ","")&amp;IF(AND(EDATE($D81,Milestones!$AA$192)&lt;=AsOfDate,IF($R81=0,$X81,IF(AND($T81&lt;&gt;"",EDATE($D81,Milestones!$AA$192)&gt;=$T81),$W81,IF(AND($S81&lt;&gt;"",EDATE($D81,Milestones!$AA$192)&gt;=$S81),$V81,$U81)))=Milestones!$AB$192),UPPER(TEXT(EDATE($D81,Milestones!$AA$192),"dd mmm yy"))&amp;" "&amp;Milestones!$AB$192&amp;" "&amp;Milestones!$AC$192&amp;";  ","")&amp;IF(AND(EDATE($D81,Milestones!$AA$193)&lt;=AsOfDate,IF($R81=0,$X81,IF(AND($T81&lt;&gt;"",EDATE($D81,Milestones!$AA$193)&gt;=$T81),$W81,IF(AND($S81&lt;&gt;"",EDATE($D81,Milestones!$AA$193)&gt;=$S81),$V81,$U81)))=Milestones!$AB$193),UPPER(TEXT(EDATE($D81,Milestones!$AA$193),"dd mmm yy"))&amp;" "&amp;Milestones!$AB$193&amp;" "&amp;Milestones!$AC$193&amp;";  ","")&amp;IF(AND(EDATE($D81,Milestones!$AA$194)&lt;=AsOfDate,IF($R81=0,$X81,IF(AND($T81&lt;&gt;"",EDATE($D81,Milestones!$AA$194)&gt;=$T81),$W81,IF(AND($S81&lt;&gt;"",EDATE($D81,Milestones!$AA$194)&gt;=$S81),$V81,$U81)))=Milestones!$AB$194),UPPER(TEXT(EDATE($D81,Milestones!$AA$194),"dd mmm yy"))&amp;" "&amp;Milestones!$AB$194&amp;" "&amp;Milestones!$AC$194&amp;";  ","")&amp;IF(AND(EDATE($D81,Milestones!$AA$195)&lt;=AsOfDate,IF($R81=0,$X81,IF(AND($T81&lt;&gt;"",EDATE($D81,Milestones!$AA$195)&gt;=$T81),$W81,IF(AND($S81&lt;&gt;"",EDATE($D81,Milestones!$AA$195)&gt;=$S81),$V81,$U81)))=Milestones!$AB$195),UPPER(TEXT(EDATE($D81,Milestones!$AA$195),"dd mmm yy"))&amp;" "&amp;Milestones!$AB$195&amp;" "&amp;Milestones!$AC$195&amp;";  ","")&amp;IF(AND(EDATE($D81,Milestones!$AA$196)&lt;=AsOfDate,IF($R81=0,$X81,IF(AND($T81&lt;&gt;"",EDATE($D81,Milestones!$AA$196)&gt;=$T81),$W81,IF(AND($S81&lt;&gt;"",EDATE($D81,Milestones!$AA$196)&gt;=$S81),$V81,$U81)))=Milestones!$AB$196),UPPER(TEXT(EDATE($D81,Milestones!$AA$196),"dd mmm yy"))&amp;" "&amp;Milestones!$AB$196&amp;" "&amp;Milestones!$AC$196&amp;";  ","")&amp;IF(AND(EDATE($D81,Milestones!$AA$197)&lt;=AsOfDate,IF($R81=0,$X81,IF(AND($T81&lt;&gt;"",EDATE($D81,Milestones!$AA$197)&gt;=$T81),$W81,IF(AND($S81&lt;&gt;"",EDATE($D81,Milestones!$AA$197)&gt;=$S81),$V81,$U81)))=Milestones!$AB$197),UPPER(TEXT(EDATE($D81,Milestones!$AA$197),"dd mmm yy"))&amp;" "&amp;Milestones!$AB$197&amp;" "&amp;Milestones!$AC$197&amp;";  ","")&amp;IF(AND(EDATE($D81,Milestones!$AA$198)&lt;=AsOfDate,IF($R81=0,$X81,IF(AND($T81&lt;&gt;"",EDATE($D81,Milestones!$AA$198)&gt;=$T81),$W81,IF(AND($S81&lt;&gt;"",EDATE($D81,Milestones!$AA$198)&gt;=$S81),$V81,$U81)))=Milestones!$AB$198),UPPER(TEXT(EDATE($D81,Milestones!$AA$198),"dd mmm yy"))&amp;" "&amp;Milestones!$AB$198&amp;" "&amp;Milestones!$AC$198&amp;";  ","")&amp;IF(AND(EDATE($D81,Milestones!$AA$199)&lt;=AsOfDate,IF($R81=0,$X81,IF(AND($T81&lt;&gt;"",EDATE($D81,Milestones!$AA$199)&gt;=$T81),$W81,IF(AND($S81&lt;&gt;"",EDATE($D81,Milestones!$AA$199)&gt;=$S81),$V81,$U81)))=Milestones!$AB$199),UPPER(TEXT(EDATE($D81,Milestones!$AA$199),"dd mmm yy"))&amp;" "&amp;Milestones!$AB$199&amp;" "&amp;Milestones!$AC$199&amp;";  ",""))</f>
        <v/>
      </c>
      <c r="R81" s="0" t="str">
        <f aca="false">IF(Staff!$A81="","",Staff!$AI81)</f>
        <v/>
      </c>
      <c r="S81" s="0" t="str">
        <f aca="false">IF(Staff!$A81="","",Staff!$AK81)</f>
        <v/>
      </c>
      <c r="T81" s="0" t="str">
        <f aca="false">IF(Staff!$A81="","",Staff!$AL81)</f>
        <v/>
      </c>
      <c r="U81" s="0" t="str">
        <f aca="false">IF(Staff!$A81="","",Staff!$AP81)</f>
        <v/>
      </c>
      <c r="V81" s="0" t="str">
        <f aca="false">IF(Staff!$A81="","",Staff!$AQ81)</f>
        <v/>
      </c>
      <c r="W81" s="0" t="str">
        <f aca="false">IF(Staff!$A81="","",Staff!$AR81)</f>
        <v/>
      </c>
      <c r="X81" s="0" t="str">
        <f aca="false">IF(Staff!$A81="","",Staff!$AS81)</f>
        <v/>
      </c>
    </row>
    <row r="82" customFormat="false" ht="15" hidden="false" customHeight="false" outlineLevel="0" collapsed="false">
      <c r="A82" s="19" t="str">
        <f aca="false">IF(Staff!$A82="","",Staff!$A82)</f>
        <v/>
      </c>
      <c r="B82" s="19" t="str">
        <f aca="false">IF(Staff!$A82="","",Staff!$B82)</f>
        <v/>
      </c>
      <c r="C82" s="19" t="str">
        <f aca="false">IF(Staff!$A82="","",Staff!$C82)</f>
        <v/>
      </c>
      <c r="D82" s="17" t="str">
        <f aca="false">IF(Staff!$A82="","",Staff!$AH82)</f>
        <v/>
      </c>
      <c r="E82" s="19" t="str">
        <f aca="false">IF(Staff!$A82="","",Staff!$O82)</f>
        <v/>
      </c>
      <c r="F82" s="19" t="str">
        <f aca="false">IF(E82="","",E82*HoursPerDay)</f>
        <v/>
      </c>
      <c r="G82" s="19" t="str">
        <f aca="false">IF(Staff!$A82="","",Staff!$AE82)</f>
        <v/>
      </c>
      <c r="H82" s="32" t="str">
        <f aca="false">IF($A82="","",I82&amp;J82&amp;K82&amp;L82&amp;M82&amp;N82&amp;O82&amp;P82&amp;Q82)</f>
        <v/>
      </c>
      <c r="I82" s="0" t="str">
        <f aca="false">IF(OR($A82="",$D82=""),"",IF(AND(EDATE($D82,Milestones!$AA$20)&lt;=AsOfDate,IF($R82=0,$X82,IF(AND($T82&lt;&gt;"",EDATE($D82,Milestones!$AA$20)&gt;=$T82),$W82,IF(AND($S82&lt;&gt;"",EDATE($D82,Milestones!$AA$20)&gt;=$S82),$V82,$U82)))=Milestones!$AB$20),UPPER(TEXT(EDATE($D82,Milestones!$AA$20),"dd mmm yy"))&amp;" "&amp;Milestones!$AB$20&amp;" "&amp;Milestones!$AC$20&amp;";  ","")&amp;IF(AND(EDATE($D82,Milestones!$AA$21)&lt;=AsOfDate,IF($R82=0,$X82,IF(AND($T82&lt;&gt;"",EDATE($D82,Milestones!$AA$21)&gt;=$T82),$W82,IF(AND($S82&lt;&gt;"",EDATE($D82,Milestones!$AA$21)&gt;=$S82),$V82,$U82)))=Milestones!$AB$21),UPPER(TEXT(EDATE($D82,Milestones!$AA$21),"dd mmm yy"))&amp;" "&amp;Milestones!$AB$21&amp;" "&amp;Milestones!$AC$21&amp;";  ","")&amp;IF(AND(EDATE($D82,Milestones!$AA$22)&lt;=AsOfDate,IF($R82=0,$X82,IF(AND($T82&lt;&gt;"",EDATE($D82,Milestones!$AA$22)&gt;=$T82),$W82,IF(AND($S82&lt;&gt;"",EDATE($D82,Milestones!$AA$22)&gt;=$S82),$V82,$U82)))=Milestones!$AB$22),UPPER(TEXT(EDATE($D82,Milestones!$AA$22),"dd mmm yy"))&amp;" "&amp;Milestones!$AB$22&amp;" "&amp;Milestones!$AC$22&amp;";  ","")&amp;IF(AND(EDATE($D82,Milestones!$AA$23)&lt;=AsOfDate,IF($R82=0,$X82,IF(AND($T82&lt;&gt;"",EDATE($D82,Milestones!$AA$23)&gt;=$T82),$W82,IF(AND($S82&lt;&gt;"",EDATE($D82,Milestones!$AA$23)&gt;=$S82),$V82,$U82)))=Milestones!$AB$23),UPPER(TEXT(EDATE($D82,Milestones!$AA$23),"dd mmm yy"))&amp;" "&amp;Milestones!$AB$23&amp;" "&amp;Milestones!$AC$23&amp;";  ","")&amp;IF(AND(EDATE($D82,Milestones!$AA$24)&lt;=AsOfDate,IF($R82=0,$X82,IF(AND($T82&lt;&gt;"",EDATE($D82,Milestones!$AA$24)&gt;=$T82),$W82,IF(AND($S82&lt;&gt;"",EDATE($D82,Milestones!$AA$24)&gt;=$S82),$V82,$U82)))=Milestones!$AB$24),UPPER(TEXT(EDATE($D82,Milestones!$AA$24),"dd mmm yy"))&amp;" "&amp;Milestones!$AB$24&amp;" "&amp;Milestones!$AC$24&amp;";  ","")&amp;IF(AND(EDATE($D82,Milestones!$AA$25)&lt;=AsOfDate,IF($R82=0,$X82,IF(AND($T82&lt;&gt;"",EDATE($D82,Milestones!$AA$25)&gt;=$T82),$W82,IF(AND($S82&lt;&gt;"",EDATE($D82,Milestones!$AA$25)&gt;=$S82),$V82,$U82)))=Milestones!$AB$25),UPPER(TEXT(EDATE($D82,Milestones!$AA$25),"dd mmm yy"))&amp;" "&amp;Milestones!$AB$25&amp;" "&amp;Milestones!$AC$25&amp;";  ","")&amp;IF(AND(EDATE($D82,Milestones!$AA$26)&lt;=AsOfDate,IF($R82=0,$X82,IF(AND($T82&lt;&gt;"",EDATE($D82,Milestones!$AA$26)&gt;=$T82),$W82,IF(AND($S82&lt;&gt;"",EDATE($D82,Milestones!$AA$26)&gt;=$S82),$V82,$U82)))=Milestones!$AB$26),UPPER(TEXT(EDATE($D82,Milestones!$AA$26),"dd mmm yy"))&amp;" "&amp;Milestones!$AB$26&amp;" "&amp;Milestones!$AC$26&amp;";  ","")&amp;IF(AND(EDATE($D82,Milestones!$AA$27)&lt;=AsOfDate,IF($R82=0,$X82,IF(AND($T82&lt;&gt;"",EDATE($D82,Milestones!$AA$27)&gt;=$T82),$W82,IF(AND($S82&lt;&gt;"",EDATE($D82,Milestones!$AA$27)&gt;=$S82),$V82,$U82)))=Milestones!$AB$27),UPPER(TEXT(EDATE($D82,Milestones!$AA$27),"dd mmm yy"))&amp;" "&amp;Milestones!$AB$27&amp;" "&amp;Milestones!$AC$27&amp;";  ","")&amp;IF(AND(EDATE($D82,Milestones!$AA$28)&lt;=AsOfDate,IF($R82=0,$X82,IF(AND($T82&lt;&gt;"",EDATE($D82,Milestones!$AA$28)&gt;=$T82),$W82,IF(AND($S82&lt;&gt;"",EDATE($D82,Milestones!$AA$28)&gt;=$S82),$V82,$U82)))=Milestones!$AB$28),UPPER(TEXT(EDATE($D82,Milestones!$AA$28),"dd mmm yy"))&amp;" "&amp;Milestones!$AB$28&amp;" "&amp;Milestones!$AC$28&amp;";  ","")&amp;IF(AND(EDATE($D82,Milestones!$AA$29)&lt;=AsOfDate,IF($R82=0,$X82,IF(AND($T82&lt;&gt;"",EDATE($D82,Milestones!$AA$29)&gt;=$T82),$W82,IF(AND($S82&lt;&gt;"",EDATE($D82,Milestones!$AA$29)&gt;=$S82),$V82,$U82)))=Milestones!$AB$29),UPPER(TEXT(EDATE($D82,Milestones!$AA$29),"dd mmm yy"))&amp;" "&amp;Milestones!$AB$29&amp;" "&amp;Milestones!$AC$29&amp;";  ","")&amp;IF(AND(EDATE($D82,Milestones!$AA$30)&lt;=AsOfDate,IF($R82=0,$X82,IF(AND($T82&lt;&gt;"",EDATE($D82,Milestones!$AA$30)&gt;=$T82),$W82,IF(AND($S82&lt;&gt;"",EDATE($D82,Milestones!$AA$30)&gt;=$S82),$V82,$U82)))=Milestones!$AB$30),UPPER(TEXT(EDATE($D82,Milestones!$AA$30),"dd mmm yy"))&amp;" "&amp;Milestones!$AB$30&amp;" "&amp;Milestones!$AC$30&amp;";  ","")&amp;IF(AND(EDATE($D82,Milestones!$AA$31)&lt;=AsOfDate,IF($R82=0,$X82,IF(AND($T82&lt;&gt;"",EDATE($D82,Milestones!$AA$31)&gt;=$T82),$W82,IF(AND($S82&lt;&gt;"",EDATE($D82,Milestones!$AA$31)&gt;=$S82),$V82,$U82)))=Milestones!$AB$31),UPPER(TEXT(EDATE($D82,Milestones!$AA$31),"dd mmm yy"))&amp;" "&amp;Milestones!$AB$31&amp;" "&amp;Milestones!$AC$31&amp;";  ","")&amp;IF(AND(EDATE($D82,Milestones!$AA$32)&lt;=AsOfDate,IF($R82=0,$X82,IF(AND($T82&lt;&gt;"",EDATE($D82,Milestones!$AA$32)&gt;=$T82),$W82,IF(AND($S82&lt;&gt;"",EDATE($D82,Milestones!$AA$32)&gt;=$S82),$V82,$U82)))=Milestones!$AB$32),UPPER(TEXT(EDATE($D82,Milestones!$AA$32),"dd mmm yy"))&amp;" "&amp;Milestones!$AB$32&amp;" "&amp;Milestones!$AC$32&amp;";  ","")&amp;IF(AND(EDATE($D82,Milestones!$AA$33)&lt;=AsOfDate,IF($R82=0,$X82,IF(AND($T82&lt;&gt;"",EDATE($D82,Milestones!$AA$33)&gt;=$T82),$W82,IF(AND($S82&lt;&gt;"",EDATE($D82,Milestones!$AA$33)&gt;=$S82),$V82,$U82)))=Milestones!$AB$33),UPPER(TEXT(EDATE($D82,Milestones!$AA$33),"dd mmm yy"))&amp;" "&amp;Milestones!$AB$33&amp;" "&amp;Milestones!$AC$33&amp;";  ","")&amp;IF(AND(EDATE($D82,Milestones!$AA$34)&lt;=AsOfDate,IF($R82=0,$X82,IF(AND($T82&lt;&gt;"",EDATE($D82,Milestones!$AA$34)&gt;=$T82),$W82,IF(AND($S82&lt;&gt;"",EDATE($D82,Milestones!$AA$34)&gt;=$S82),$V82,$U82)))=Milestones!$AB$34),UPPER(TEXT(EDATE($D82,Milestones!$AA$34),"dd mmm yy"))&amp;" "&amp;Milestones!$AB$34&amp;" "&amp;Milestones!$AC$34&amp;";  ","")&amp;IF(AND(EDATE($D82,Milestones!$AA$35)&lt;=AsOfDate,IF($R82=0,$X82,IF(AND($T82&lt;&gt;"",EDATE($D82,Milestones!$AA$35)&gt;=$T82),$W82,IF(AND($S82&lt;&gt;"",EDATE($D82,Milestones!$AA$35)&gt;=$S82),$V82,$U82)))=Milestones!$AB$35),UPPER(TEXT(EDATE($D82,Milestones!$AA$35),"dd mmm yy"))&amp;" "&amp;Milestones!$AB$35&amp;" "&amp;Milestones!$AC$35&amp;";  ","")&amp;IF(AND(EDATE($D82,Milestones!$AA$36)&lt;=AsOfDate,IF($R82=0,$X82,IF(AND($T82&lt;&gt;"",EDATE($D82,Milestones!$AA$36)&gt;=$T82),$W82,IF(AND($S82&lt;&gt;"",EDATE($D82,Milestones!$AA$36)&gt;=$S82),$V82,$U82)))=Milestones!$AB$36),UPPER(TEXT(EDATE($D82,Milestones!$AA$36),"dd mmm yy"))&amp;" "&amp;Milestones!$AB$36&amp;" "&amp;Milestones!$AC$36&amp;";  ","")&amp;IF(AND(EDATE($D82,Milestones!$AA$37)&lt;=AsOfDate,IF($R82=0,$X82,IF(AND($T82&lt;&gt;"",EDATE($D82,Milestones!$AA$37)&gt;=$T82),$W82,IF(AND($S82&lt;&gt;"",EDATE($D82,Milestones!$AA$37)&gt;=$S82),$V82,$U82)))=Milestones!$AB$37),UPPER(TEXT(EDATE($D82,Milestones!$AA$37),"dd mmm yy"))&amp;" "&amp;Milestones!$AB$37&amp;" "&amp;Milestones!$AC$37&amp;";  ","")&amp;IF(AND(EDATE($D82,Milestones!$AA$38)&lt;=AsOfDate,IF($R82=0,$X82,IF(AND($T82&lt;&gt;"",EDATE($D82,Milestones!$AA$38)&gt;=$T82),$W82,IF(AND($S82&lt;&gt;"",EDATE($D82,Milestones!$AA$38)&gt;=$S82),$V82,$U82)))=Milestones!$AB$38),UPPER(TEXT(EDATE($D82,Milestones!$AA$38),"dd mmm yy"))&amp;" "&amp;Milestones!$AB$38&amp;" "&amp;Milestones!$AC$38&amp;";  ","")&amp;IF(AND(EDATE($D82,Milestones!$AA$39)&lt;=AsOfDate,IF($R82=0,$X82,IF(AND($T82&lt;&gt;"",EDATE($D82,Milestones!$AA$39)&gt;=$T82),$W82,IF(AND($S82&lt;&gt;"",EDATE($D82,Milestones!$AA$39)&gt;=$S82),$V82,$U82)))=Milestones!$AB$39),UPPER(TEXT(EDATE($D82,Milestones!$AA$39),"dd mmm yy"))&amp;" "&amp;Milestones!$AB$39&amp;" "&amp;Milestones!$AC$39&amp;";  ",""))</f>
        <v/>
      </c>
      <c r="J82" s="0" t="str">
        <f aca="false">IF(OR($A82="",$D82=""),"",IF(AND(EDATE($D82,Milestones!$AA$40)&lt;=AsOfDate,IF($R82=0,$X82,IF(AND($T82&lt;&gt;"",EDATE($D82,Milestones!$AA$40)&gt;=$T82),$W82,IF(AND($S82&lt;&gt;"",EDATE($D82,Milestones!$AA$40)&gt;=$S82),$V82,$U82)))=Milestones!$AB$40),UPPER(TEXT(EDATE($D82,Milestones!$AA$40),"dd mmm yy"))&amp;" "&amp;Milestones!$AB$40&amp;" "&amp;Milestones!$AC$40&amp;";  ","")&amp;IF(AND(EDATE($D82,Milestones!$AA$41)&lt;=AsOfDate,IF($R82=0,$X82,IF(AND($T82&lt;&gt;"",EDATE($D82,Milestones!$AA$41)&gt;=$T82),$W82,IF(AND($S82&lt;&gt;"",EDATE($D82,Milestones!$AA$41)&gt;=$S82),$V82,$U82)))=Milestones!$AB$41),UPPER(TEXT(EDATE($D82,Milestones!$AA$41),"dd mmm yy"))&amp;" "&amp;Milestones!$AB$41&amp;" "&amp;Milestones!$AC$41&amp;";  ","")&amp;IF(AND(EDATE($D82,Milestones!$AA$42)&lt;=AsOfDate,IF($R82=0,$X82,IF(AND($T82&lt;&gt;"",EDATE($D82,Milestones!$AA$42)&gt;=$T82),$W82,IF(AND($S82&lt;&gt;"",EDATE($D82,Milestones!$AA$42)&gt;=$S82),$V82,$U82)))=Milestones!$AB$42),UPPER(TEXT(EDATE($D82,Milestones!$AA$42),"dd mmm yy"))&amp;" "&amp;Milestones!$AB$42&amp;" "&amp;Milestones!$AC$42&amp;";  ","")&amp;IF(AND(EDATE($D82,Milestones!$AA$43)&lt;=AsOfDate,IF($R82=0,$X82,IF(AND($T82&lt;&gt;"",EDATE($D82,Milestones!$AA$43)&gt;=$T82),$W82,IF(AND($S82&lt;&gt;"",EDATE($D82,Milestones!$AA$43)&gt;=$S82),$V82,$U82)))=Milestones!$AB$43),UPPER(TEXT(EDATE($D82,Milestones!$AA$43),"dd mmm yy"))&amp;" "&amp;Milestones!$AB$43&amp;" "&amp;Milestones!$AC$43&amp;";  ","")&amp;IF(AND(EDATE($D82,Milestones!$AA$44)&lt;=AsOfDate,IF($R82=0,$X82,IF(AND($T82&lt;&gt;"",EDATE($D82,Milestones!$AA$44)&gt;=$T82),$W82,IF(AND($S82&lt;&gt;"",EDATE($D82,Milestones!$AA$44)&gt;=$S82),$V82,$U82)))=Milestones!$AB$44),UPPER(TEXT(EDATE($D82,Milestones!$AA$44),"dd mmm yy"))&amp;" "&amp;Milestones!$AB$44&amp;" "&amp;Milestones!$AC$44&amp;";  ","")&amp;IF(AND(EDATE($D82,Milestones!$AA$45)&lt;=AsOfDate,IF($R82=0,$X82,IF(AND($T82&lt;&gt;"",EDATE($D82,Milestones!$AA$45)&gt;=$T82),$W82,IF(AND($S82&lt;&gt;"",EDATE($D82,Milestones!$AA$45)&gt;=$S82),$V82,$U82)))=Milestones!$AB$45),UPPER(TEXT(EDATE($D82,Milestones!$AA$45),"dd mmm yy"))&amp;" "&amp;Milestones!$AB$45&amp;" "&amp;Milestones!$AC$45&amp;";  ","")&amp;IF(AND(EDATE($D82,Milestones!$AA$46)&lt;=AsOfDate,IF($R82=0,$X82,IF(AND($T82&lt;&gt;"",EDATE($D82,Milestones!$AA$46)&gt;=$T82),$W82,IF(AND($S82&lt;&gt;"",EDATE($D82,Milestones!$AA$46)&gt;=$S82),$V82,$U82)))=Milestones!$AB$46),UPPER(TEXT(EDATE($D82,Milestones!$AA$46),"dd mmm yy"))&amp;" "&amp;Milestones!$AB$46&amp;" "&amp;Milestones!$AC$46&amp;";  ","")&amp;IF(AND(EDATE($D82,Milestones!$AA$47)&lt;=AsOfDate,IF($R82=0,$X82,IF(AND($T82&lt;&gt;"",EDATE($D82,Milestones!$AA$47)&gt;=$T82),$W82,IF(AND($S82&lt;&gt;"",EDATE($D82,Milestones!$AA$47)&gt;=$S82),$V82,$U82)))=Milestones!$AB$47),UPPER(TEXT(EDATE($D82,Milestones!$AA$47),"dd mmm yy"))&amp;" "&amp;Milestones!$AB$47&amp;" "&amp;Milestones!$AC$47&amp;";  ","")&amp;IF(AND(EDATE($D82,Milestones!$AA$48)&lt;=AsOfDate,IF($R82=0,$X82,IF(AND($T82&lt;&gt;"",EDATE($D82,Milestones!$AA$48)&gt;=$T82),$W82,IF(AND($S82&lt;&gt;"",EDATE($D82,Milestones!$AA$48)&gt;=$S82),$V82,$U82)))=Milestones!$AB$48),UPPER(TEXT(EDATE($D82,Milestones!$AA$48),"dd mmm yy"))&amp;" "&amp;Milestones!$AB$48&amp;" "&amp;Milestones!$AC$48&amp;";  ","")&amp;IF(AND(EDATE($D82,Milestones!$AA$49)&lt;=AsOfDate,IF($R82=0,$X82,IF(AND($T82&lt;&gt;"",EDATE($D82,Milestones!$AA$49)&gt;=$T82),$W82,IF(AND($S82&lt;&gt;"",EDATE($D82,Milestones!$AA$49)&gt;=$S82),$V82,$U82)))=Milestones!$AB$49),UPPER(TEXT(EDATE($D82,Milestones!$AA$49),"dd mmm yy"))&amp;" "&amp;Milestones!$AB$49&amp;" "&amp;Milestones!$AC$49&amp;";  ","")&amp;IF(AND(EDATE($D82,Milestones!$AA$50)&lt;=AsOfDate,IF($R82=0,$X82,IF(AND($T82&lt;&gt;"",EDATE($D82,Milestones!$AA$50)&gt;=$T82),$W82,IF(AND($S82&lt;&gt;"",EDATE($D82,Milestones!$AA$50)&gt;=$S82),$V82,$U82)))=Milestones!$AB$50),UPPER(TEXT(EDATE($D82,Milestones!$AA$50),"dd mmm yy"))&amp;" "&amp;Milestones!$AB$50&amp;" "&amp;Milestones!$AC$50&amp;";  ","")&amp;IF(AND(EDATE($D82,Milestones!$AA$51)&lt;=AsOfDate,IF($R82=0,$X82,IF(AND($T82&lt;&gt;"",EDATE($D82,Milestones!$AA$51)&gt;=$T82),$W82,IF(AND($S82&lt;&gt;"",EDATE($D82,Milestones!$AA$51)&gt;=$S82),$V82,$U82)))=Milestones!$AB$51),UPPER(TEXT(EDATE($D82,Milestones!$AA$51),"dd mmm yy"))&amp;" "&amp;Milestones!$AB$51&amp;" "&amp;Milestones!$AC$51&amp;";  ","")&amp;IF(AND(EDATE($D82,Milestones!$AA$52)&lt;=AsOfDate,IF($R82=0,$X82,IF(AND($T82&lt;&gt;"",EDATE($D82,Milestones!$AA$52)&gt;=$T82),$W82,IF(AND($S82&lt;&gt;"",EDATE($D82,Milestones!$AA$52)&gt;=$S82),$V82,$U82)))=Milestones!$AB$52),UPPER(TEXT(EDATE($D82,Milestones!$AA$52),"dd mmm yy"))&amp;" "&amp;Milestones!$AB$52&amp;" "&amp;Milestones!$AC$52&amp;";  ","")&amp;IF(AND(EDATE($D82,Milestones!$AA$53)&lt;=AsOfDate,IF($R82=0,$X82,IF(AND($T82&lt;&gt;"",EDATE($D82,Milestones!$AA$53)&gt;=$T82),$W82,IF(AND($S82&lt;&gt;"",EDATE($D82,Milestones!$AA$53)&gt;=$S82),$V82,$U82)))=Milestones!$AB$53),UPPER(TEXT(EDATE($D82,Milestones!$AA$53),"dd mmm yy"))&amp;" "&amp;Milestones!$AB$53&amp;" "&amp;Milestones!$AC$53&amp;";  ","")&amp;IF(AND(EDATE($D82,Milestones!$AA$54)&lt;=AsOfDate,IF($R82=0,$X82,IF(AND($T82&lt;&gt;"",EDATE($D82,Milestones!$AA$54)&gt;=$T82),$W82,IF(AND($S82&lt;&gt;"",EDATE($D82,Milestones!$AA$54)&gt;=$S82),$V82,$U82)))=Milestones!$AB$54),UPPER(TEXT(EDATE($D82,Milestones!$AA$54),"dd mmm yy"))&amp;" "&amp;Milestones!$AB$54&amp;" "&amp;Milestones!$AC$54&amp;";  ","")&amp;IF(AND(EDATE($D82,Milestones!$AA$55)&lt;=AsOfDate,IF($R82=0,$X82,IF(AND($T82&lt;&gt;"",EDATE($D82,Milestones!$AA$55)&gt;=$T82),$W82,IF(AND($S82&lt;&gt;"",EDATE($D82,Milestones!$AA$55)&gt;=$S82),$V82,$U82)))=Milestones!$AB$55),UPPER(TEXT(EDATE($D82,Milestones!$AA$55),"dd mmm yy"))&amp;" "&amp;Milestones!$AB$55&amp;" "&amp;Milestones!$AC$55&amp;";  ","")&amp;IF(AND(EDATE($D82,Milestones!$AA$56)&lt;=AsOfDate,IF($R82=0,$X82,IF(AND($T82&lt;&gt;"",EDATE($D82,Milestones!$AA$56)&gt;=$T82),$W82,IF(AND($S82&lt;&gt;"",EDATE($D82,Milestones!$AA$56)&gt;=$S82),$V82,$U82)))=Milestones!$AB$56),UPPER(TEXT(EDATE($D82,Milestones!$AA$56),"dd mmm yy"))&amp;" "&amp;Milestones!$AB$56&amp;" "&amp;Milestones!$AC$56&amp;";  ","")&amp;IF(AND(EDATE($D82,Milestones!$AA$57)&lt;=AsOfDate,IF($R82=0,$X82,IF(AND($T82&lt;&gt;"",EDATE($D82,Milestones!$AA$57)&gt;=$T82),$W82,IF(AND($S82&lt;&gt;"",EDATE($D82,Milestones!$AA$57)&gt;=$S82),$V82,$U82)))=Milestones!$AB$57),UPPER(TEXT(EDATE($D82,Milestones!$AA$57),"dd mmm yy"))&amp;" "&amp;Milestones!$AB$57&amp;" "&amp;Milestones!$AC$57&amp;";  ","")&amp;IF(AND(EDATE($D82,Milestones!$AA$58)&lt;=AsOfDate,IF($R82=0,$X82,IF(AND($T82&lt;&gt;"",EDATE($D82,Milestones!$AA$58)&gt;=$T82),$W82,IF(AND($S82&lt;&gt;"",EDATE($D82,Milestones!$AA$58)&gt;=$S82),$V82,$U82)))=Milestones!$AB$58),UPPER(TEXT(EDATE($D82,Milestones!$AA$58),"dd mmm yy"))&amp;" "&amp;Milestones!$AB$58&amp;" "&amp;Milestones!$AC$58&amp;";  ","")&amp;IF(AND(EDATE($D82,Milestones!$AA$59)&lt;=AsOfDate,IF($R82=0,$X82,IF(AND($T82&lt;&gt;"",EDATE($D82,Milestones!$AA$59)&gt;=$T82),$W82,IF(AND($S82&lt;&gt;"",EDATE($D82,Milestones!$AA$59)&gt;=$S82),$V82,$U82)))=Milestones!$AB$59),UPPER(TEXT(EDATE($D82,Milestones!$AA$59),"dd mmm yy"))&amp;" "&amp;Milestones!$AB$59&amp;" "&amp;Milestones!$AC$59&amp;";  ",""))</f>
        <v/>
      </c>
      <c r="K82" s="0" t="str">
        <f aca="false">IF(OR($A82="",$D82=""),"",IF(AND(EDATE($D82,Milestones!$AA$60)&lt;=AsOfDate,IF($R82=0,$X82,IF(AND($T82&lt;&gt;"",EDATE($D82,Milestones!$AA$60)&gt;=$T82),$W82,IF(AND($S82&lt;&gt;"",EDATE($D82,Milestones!$AA$60)&gt;=$S82),$V82,$U82)))=Milestones!$AB$60),UPPER(TEXT(EDATE($D82,Milestones!$AA$60),"dd mmm yy"))&amp;" "&amp;Milestones!$AB$60&amp;" "&amp;Milestones!$AC$60&amp;";  ","")&amp;IF(AND(EDATE($D82,Milestones!$AA$61)&lt;=AsOfDate,IF($R82=0,$X82,IF(AND($T82&lt;&gt;"",EDATE($D82,Milestones!$AA$61)&gt;=$T82),$W82,IF(AND($S82&lt;&gt;"",EDATE($D82,Milestones!$AA$61)&gt;=$S82),$V82,$U82)))=Milestones!$AB$61),UPPER(TEXT(EDATE($D82,Milestones!$AA$61),"dd mmm yy"))&amp;" "&amp;Milestones!$AB$61&amp;" "&amp;Milestones!$AC$61&amp;";  ","")&amp;IF(AND(EDATE($D82,Milestones!$AA$62)&lt;=AsOfDate,IF($R82=0,$X82,IF(AND($T82&lt;&gt;"",EDATE($D82,Milestones!$AA$62)&gt;=$T82),$W82,IF(AND($S82&lt;&gt;"",EDATE($D82,Milestones!$AA$62)&gt;=$S82),$V82,$U82)))=Milestones!$AB$62),UPPER(TEXT(EDATE($D82,Milestones!$AA$62),"dd mmm yy"))&amp;" "&amp;Milestones!$AB$62&amp;" "&amp;Milestones!$AC$62&amp;";  ","")&amp;IF(AND(EDATE($D82,Milestones!$AA$63)&lt;=AsOfDate,IF($R82=0,$X82,IF(AND($T82&lt;&gt;"",EDATE($D82,Milestones!$AA$63)&gt;=$T82),$W82,IF(AND($S82&lt;&gt;"",EDATE($D82,Milestones!$AA$63)&gt;=$S82),$V82,$U82)))=Milestones!$AB$63),UPPER(TEXT(EDATE($D82,Milestones!$AA$63),"dd mmm yy"))&amp;" "&amp;Milestones!$AB$63&amp;" "&amp;Milestones!$AC$63&amp;";  ","")&amp;IF(AND(EDATE($D82,Milestones!$AA$64)&lt;=AsOfDate,IF($R82=0,$X82,IF(AND($T82&lt;&gt;"",EDATE($D82,Milestones!$AA$64)&gt;=$T82),$W82,IF(AND($S82&lt;&gt;"",EDATE($D82,Milestones!$AA$64)&gt;=$S82),$V82,$U82)))=Milestones!$AB$64),UPPER(TEXT(EDATE($D82,Milestones!$AA$64),"dd mmm yy"))&amp;" "&amp;Milestones!$AB$64&amp;" "&amp;Milestones!$AC$64&amp;";  ","")&amp;IF(AND(EDATE($D82,Milestones!$AA$65)&lt;=AsOfDate,IF($R82=0,$X82,IF(AND($T82&lt;&gt;"",EDATE($D82,Milestones!$AA$65)&gt;=$T82),$W82,IF(AND($S82&lt;&gt;"",EDATE($D82,Milestones!$AA$65)&gt;=$S82),$V82,$U82)))=Milestones!$AB$65),UPPER(TEXT(EDATE($D82,Milestones!$AA$65),"dd mmm yy"))&amp;" "&amp;Milestones!$AB$65&amp;" "&amp;Milestones!$AC$65&amp;";  ","")&amp;IF(AND(EDATE($D82,Milestones!$AA$66)&lt;=AsOfDate,IF($R82=0,$X82,IF(AND($T82&lt;&gt;"",EDATE($D82,Milestones!$AA$66)&gt;=$T82),$W82,IF(AND($S82&lt;&gt;"",EDATE($D82,Milestones!$AA$66)&gt;=$S82),$V82,$U82)))=Milestones!$AB$66),UPPER(TEXT(EDATE($D82,Milestones!$AA$66),"dd mmm yy"))&amp;" "&amp;Milestones!$AB$66&amp;" "&amp;Milestones!$AC$66&amp;";  ","")&amp;IF(AND(EDATE($D82,Milestones!$AA$67)&lt;=AsOfDate,IF($R82=0,$X82,IF(AND($T82&lt;&gt;"",EDATE($D82,Milestones!$AA$67)&gt;=$T82),$W82,IF(AND($S82&lt;&gt;"",EDATE($D82,Milestones!$AA$67)&gt;=$S82),$V82,$U82)))=Milestones!$AB$67),UPPER(TEXT(EDATE($D82,Milestones!$AA$67),"dd mmm yy"))&amp;" "&amp;Milestones!$AB$67&amp;" "&amp;Milestones!$AC$67&amp;";  ","")&amp;IF(AND(EDATE($D82,Milestones!$AA$68)&lt;=AsOfDate,IF($R82=0,$X82,IF(AND($T82&lt;&gt;"",EDATE($D82,Milestones!$AA$68)&gt;=$T82),$W82,IF(AND($S82&lt;&gt;"",EDATE($D82,Milestones!$AA$68)&gt;=$S82),$V82,$U82)))=Milestones!$AB$68),UPPER(TEXT(EDATE($D82,Milestones!$AA$68),"dd mmm yy"))&amp;" "&amp;Milestones!$AB$68&amp;" "&amp;Milestones!$AC$68&amp;";  ","")&amp;IF(AND(EDATE($D82,Milestones!$AA$69)&lt;=AsOfDate,IF($R82=0,$X82,IF(AND($T82&lt;&gt;"",EDATE($D82,Milestones!$AA$69)&gt;=$T82),$W82,IF(AND($S82&lt;&gt;"",EDATE($D82,Milestones!$AA$69)&gt;=$S82),$V82,$U82)))=Milestones!$AB$69),UPPER(TEXT(EDATE($D82,Milestones!$AA$69),"dd mmm yy"))&amp;" "&amp;Milestones!$AB$69&amp;" "&amp;Milestones!$AC$69&amp;";  ","")&amp;IF(AND(EDATE($D82,Milestones!$AA$70)&lt;=AsOfDate,IF($R82=0,$X82,IF(AND($T82&lt;&gt;"",EDATE($D82,Milestones!$AA$70)&gt;=$T82),$W82,IF(AND($S82&lt;&gt;"",EDATE($D82,Milestones!$AA$70)&gt;=$S82),$V82,$U82)))=Milestones!$AB$70),UPPER(TEXT(EDATE($D82,Milestones!$AA$70),"dd mmm yy"))&amp;" "&amp;Milestones!$AB$70&amp;" "&amp;Milestones!$AC$70&amp;";  ","")&amp;IF(AND(EDATE($D82,Milestones!$AA$71)&lt;=AsOfDate,IF($R82=0,$X82,IF(AND($T82&lt;&gt;"",EDATE($D82,Milestones!$AA$71)&gt;=$T82),$W82,IF(AND($S82&lt;&gt;"",EDATE($D82,Milestones!$AA$71)&gt;=$S82),$V82,$U82)))=Milestones!$AB$71),UPPER(TEXT(EDATE($D82,Milestones!$AA$71),"dd mmm yy"))&amp;" "&amp;Milestones!$AB$71&amp;" "&amp;Milestones!$AC$71&amp;";  ","")&amp;IF(AND(EDATE($D82,Milestones!$AA$72)&lt;=AsOfDate,IF($R82=0,$X82,IF(AND($T82&lt;&gt;"",EDATE($D82,Milestones!$AA$72)&gt;=$T82),$W82,IF(AND($S82&lt;&gt;"",EDATE($D82,Milestones!$AA$72)&gt;=$S82),$V82,$U82)))=Milestones!$AB$72),UPPER(TEXT(EDATE($D82,Milestones!$AA$72),"dd mmm yy"))&amp;" "&amp;Milestones!$AB$72&amp;" "&amp;Milestones!$AC$72&amp;";  ","")&amp;IF(AND(EDATE($D82,Milestones!$AA$73)&lt;=AsOfDate,IF($R82=0,$X82,IF(AND($T82&lt;&gt;"",EDATE($D82,Milestones!$AA$73)&gt;=$T82),$W82,IF(AND($S82&lt;&gt;"",EDATE($D82,Milestones!$AA$73)&gt;=$S82),$V82,$U82)))=Milestones!$AB$73),UPPER(TEXT(EDATE($D82,Milestones!$AA$73),"dd mmm yy"))&amp;" "&amp;Milestones!$AB$73&amp;" "&amp;Milestones!$AC$73&amp;";  ","")&amp;IF(AND(EDATE($D82,Milestones!$AA$74)&lt;=AsOfDate,IF($R82=0,$X82,IF(AND($T82&lt;&gt;"",EDATE($D82,Milestones!$AA$74)&gt;=$T82),$W82,IF(AND($S82&lt;&gt;"",EDATE($D82,Milestones!$AA$74)&gt;=$S82),$V82,$U82)))=Milestones!$AB$74),UPPER(TEXT(EDATE($D82,Milestones!$AA$74),"dd mmm yy"))&amp;" "&amp;Milestones!$AB$74&amp;" "&amp;Milestones!$AC$74&amp;";  ","")&amp;IF(AND(EDATE($D82,Milestones!$AA$75)&lt;=AsOfDate,IF($R82=0,$X82,IF(AND($T82&lt;&gt;"",EDATE($D82,Milestones!$AA$75)&gt;=$T82),$W82,IF(AND($S82&lt;&gt;"",EDATE($D82,Milestones!$AA$75)&gt;=$S82),$V82,$U82)))=Milestones!$AB$75),UPPER(TEXT(EDATE($D82,Milestones!$AA$75),"dd mmm yy"))&amp;" "&amp;Milestones!$AB$75&amp;" "&amp;Milestones!$AC$75&amp;";  ","")&amp;IF(AND(EDATE($D82,Milestones!$AA$76)&lt;=AsOfDate,IF($R82=0,$X82,IF(AND($T82&lt;&gt;"",EDATE($D82,Milestones!$AA$76)&gt;=$T82),$W82,IF(AND($S82&lt;&gt;"",EDATE($D82,Milestones!$AA$76)&gt;=$S82),$V82,$U82)))=Milestones!$AB$76),UPPER(TEXT(EDATE($D82,Milestones!$AA$76),"dd mmm yy"))&amp;" "&amp;Milestones!$AB$76&amp;" "&amp;Milestones!$AC$76&amp;";  ","")&amp;IF(AND(EDATE($D82,Milestones!$AA$77)&lt;=AsOfDate,IF($R82=0,$X82,IF(AND($T82&lt;&gt;"",EDATE($D82,Milestones!$AA$77)&gt;=$T82),$W82,IF(AND($S82&lt;&gt;"",EDATE($D82,Milestones!$AA$77)&gt;=$S82),$V82,$U82)))=Milestones!$AB$77),UPPER(TEXT(EDATE($D82,Milestones!$AA$77),"dd mmm yy"))&amp;" "&amp;Milestones!$AB$77&amp;" "&amp;Milestones!$AC$77&amp;";  ","")&amp;IF(AND(EDATE($D82,Milestones!$AA$78)&lt;=AsOfDate,IF($R82=0,$X82,IF(AND($T82&lt;&gt;"",EDATE($D82,Milestones!$AA$78)&gt;=$T82),$W82,IF(AND($S82&lt;&gt;"",EDATE($D82,Milestones!$AA$78)&gt;=$S82),$V82,$U82)))=Milestones!$AB$78),UPPER(TEXT(EDATE($D82,Milestones!$AA$78),"dd mmm yy"))&amp;" "&amp;Milestones!$AB$78&amp;" "&amp;Milestones!$AC$78&amp;";  ","")&amp;IF(AND(EDATE($D82,Milestones!$AA$79)&lt;=AsOfDate,IF($R82=0,$X82,IF(AND($T82&lt;&gt;"",EDATE($D82,Milestones!$AA$79)&gt;=$T82),$W82,IF(AND($S82&lt;&gt;"",EDATE($D82,Milestones!$AA$79)&gt;=$S82),$V82,$U82)))=Milestones!$AB$79),UPPER(TEXT(EDATE($D82,Milestones!$AA$79),"dd mmm yy"))&amp;" "&amp;Milestones!$AB$79&amp;" "&amp;Milestones!$AC$79&amp;";  ",""))</f>
        <v/>
      </c>
      <c r="L82" s="0" t="str">
        <f aca="false">IF(OR($A82="",$D82=""),"",IF(AND(EDATE($D82,Milestones!$AA$80)&lt;=AsOfDate,IF($R82=0,$X82,IF(AND($T82&lt;&gt;"",EDATE($D82,Milestones!$AA$80)&gt;=$T82),$W82,IF(AND($S82&lt;&gt;"",EDATE($D82,Milestones!$AA$80)&gt;=$S82),$V82,$U82)))=Milestones!$AB$80),UPPER(TEXT(EDATE($D82,Milestones!$AA$80),"dd mmm yy"))&amp;" "&amp;Milestones!$AB$80&amp;" "&amp;Milestones!$AC$80&amp;";  ","")&amp;IF(AND(EDATE($D82,Milestones!$AA$81)&lt;=AsOfDate,IF($R82=0,$X82,IF(AND($T82&lt;&gt;"",EDATE($D82,Milestones!$AA$81)&gt;=$T82),$W82,IF(AND($S82&lt;&gt;"",EDATE($D82,Milestones!$AA$81)&gt;=$S82),$V82,$U82)))=Milestones!$AB$81),UPPER(TEXT(EDATE($D82,Milestones!$AA$81),"dd mmm yy"))&amp;" "&amp;Milestones!$AB$81&amp;" "&amp;Milestones!$AC$81&amp;";  ","")&amp;IF(AND(EDATE($D82,Milestones!$AA$82)&lt;=AsOfDate,IF($R82=0,$X82,IF(AND($T82&lt;&gt;"",EDATE($D82,Milestones!$AA$82)&gt;=$T82),$W82,IF(AND($S82&lt;&gt;"",EDATE($D82,Milestones!$AA$82)&gt;=$S82),$V82,$U82)))=Milestones!$AB$82),UPPER(TEXT(EDATE($D82,Milestones!$AA$82),"dd mmm yy"))&amp;" "&amp;Milestones!$AB$82&amp;" "&amp;Milestones!$AC$82&amp;";  ","")&amp;IF(AND(EDATE($D82,Milestones!$AA$83)&lt;=AsOfDate,IF($R82=0,$X82,IF(AND($T82&lt;&gt;"",EDATE($D82,Milestones!$AA$83)&gt;=$T82),$W82,IF(AND($S82&lt;&gt;"",EDATE($D82,Milestones!$AA$83)&gt;=$S82),$V82,$U82)))=Milestones!$AB$83),UPPER(TEXT(EDATE($D82,Milestones!$AA$83),"dd mmm yy"))&amp;" "&amp;Milestones!$AB$83&amp;" "&amp;Milestones!$AC$83&amp;";  ","")&amp;IF(AND(EDATE($D82,Milestones!$AA$84)&lt;=AsOfDate,IF($R82=0,$X82,IF(AND($T82&lt;&gt;"",EDATE($D82,Milestones!$AA$84)&gt;=$T82),$W82,IF(AND($S82&lt;&gt;"",EDATE($D82,Milestones!$AA$84)&gt;=$S82),$V82,$U82)))=Milestones!$AB$84),UPPER(TEXT(EDATE($D82,Milestones!$AA$84),"dd mmm yy"))&amp;" "&amp;Milestones!$AB$84&amp;" "&amp;Milestones!$AC$84&amp;";  ","")&amp;IF(AND(EDATE($D82,Milestones!$AA$85)&lt;=AsOfDate,IF($R82=0,$X82,IF(AND($T82&lt;&gt;"",EDATE($D82,Milestones!$AA$85)&gt;=$T82),$W82,IF(AND($S82&lt;&gt;"",EDATE($D82,Milestones!$AA$85)&gt;=$S82),$V82,$U82)))=Milestones!$AB$85),UPPER(TEXT(EDATE($D82,Milestones!$AA$85),"dd mmm yy"))&amp;" "&amp;Milestones!$AB$85&amp;" "&amp;Milestones!$AC$85&amp;";  ","")&amp;IF(AND(EDATE($D82,Milestones!$AA$86)&lt;=AsOfDate,IF($R82=0,$X82,IF(AND($T82&lt;&gt;"",EDATE($D82,Milestones!$AA$86)&gt;=$T82),$W82,IF(AND($S82&lt;&gt;"",EDATE($D82,Milestones!$AA$86)&gt;=$S82),$V82,$U82)))=Milestones!$AB$86),UPPER(TEXT(EDATE($D82,Milestones!$AA$86),"dd mmm yy"))&amp;" "&amp;Milestones!$AB$86&amp;" "&amp;Milestones!$AC$86&amp;";  ","")&amp;IF(AND(EDATE($D82,Milestones!$AA$87)&lt;=AsOfDate,IF($R82=0,$X82,IF(AND($T82&lt;&gt;"",EDATE($D82,Milestones!$AA$87)&gt;=$T82),$W82,IF(AND($S82&lt;&gt;"",EDATE($D82,Milestones!$AA$87)&gt;=$S82),$V82,$U82)))=Milestones!$AB$87),UPPER(TEXT(EDATE($D82,Milestones!$AA$87),"dd mmm yy"))&amp;" "&amp;Milestones!$AB$87&amp;" "&amp;Milestones!$AC$87&amp;";  ","")&amp;IF(AND(EDATE($D82,Milestones!$AA$88)&lt;=AsOfDate,IF($R82=0,$X82,IF(AND($T82&lt;&gt;"",EDATE($D82,Milestones!$AA$88)&gt;=$T82),$W82,IF(AND($S82&lt;&gt;"",EDATE($D82,Milestones!$AA$88)&gt;=$S82),$V82,$U82)))=Milestones!$AB$88),UPPER(TEXT(EDATE($D82,Milestones!$AA$88),"dd mmm yy"))&amp;" "&amp;Milestones!$AB$88&amp;" "&amp;Milestones!$AC$88&amp;";  ","")&amp;IF(AND(EDATE($D82,Milestones!$AA$89)&lt;=AsOfDate,IF($R82=0,$X82,IF(AND($T82&lt;&gt;"",EDATE($D82,Milestones!$AA$89)&gt;=$T82),$W82,IF(AND($S82&lt;&gt;"",EDATE($D82,Milestones!$AA$89)&gt;=$S82),$V82,$U82)))=Milestones!$AB$89),UPPER(TEXT(EDATE($D82,Milestones!$AA$89),"dd mmm yy"))&amp;" "&amp;Milestones!$AB$89&amp;" "&amp;Milestones!$AC$89&amp;";  ","")&amp;IF(AND(EDATE($D82,Milestones!$AA$90)&lt;=AsOfDate,IF($R82=0,$X82,IF(AND($T82&lt;&gt;"",EDATE($D82,Milestones!$AA$90)&gt;=$T82),$W82,IF(AND($S82&lt;&gt;"",EDATE($D82,Milestones!$AA$90)&gt;=$S82),$V82,$U82)))=Milestones!$AB$90),UPPER(TEXT(EDATE($D82,Milestones!$AA$90),"dd mmm yy"))&amp;" "&amp;Milestones!$AB$90&amp;" "&amp;Milestones!$AC$90&amp;";  ","")&amp;IF(AND(EDATE($D82,Milestones!$AA$91)&lt;=AsOfDate,IF($R82=0,$X82,IF(AND($T82&lt;&gt;"",EDATE($D82,Milestones!$AA$91)&gt;=$T82),$W82,IF(AND($S82&lt;&gt;"",EDATE($D82,Milestones!$AA$91)&gt;=$S82),$V82,$U82)))=Milestones!$AB$91),UPPER(TEXT(EDATE($D82,Milestones!$AA$91),"dd mmm yy"))&amp;" "&amp;Milestones!$AB$91&amp;" "&amp;Milestones!$AC$91&amp;";  ","")&amp;IF(AND(EDATE($D82,Milestones!$AA$92)&lt;=AsOfDate,IF($R82=0,$X82,IF(AND($T82&lt;&gt;"",EDATE($D82,Milestones!$AA$92)&gt;=$T82),$W82,IF(AND($S82&lt;&gt;"",EDATE($D82,Milestones!$AA$92)&gt;=$S82),$V82,$U82)))=Milestones!$AB$92),UPPER(TEXT(EDATE($D82,Milestones!$AA$92),"dd mmm yy"))&amp;" "&amp;Milestones!$AB$92&amp;" "&amp;Milestones!$AC$92&amp;";  ","")&amp;IF(AND(EDATE($D82,Milestones!$AA$93)&lt;=AsOfDate,IF($R82=0,$X82,IF(AND($T82&lt;&gt;"",EDATE($D82,Milestones!$AA$93)&gt;=$T82),$W82,IF(AND($S82&lt;&gt;"",EDATE($D82,Milestones!$AA$93)&gt;=$S82),$V82,$U82)))=Milestones!$AB$93),UPPER(TEXT(EDATE($D82,Milestones!$AA$93),"dd mmm yy"))&amp;" "&amp;Milestones!$AB$93&amp;" "&amp;Milestones!$AC$93&amp;";  ","")&amp;IF(AND(EDATE($D82,Milestones!$AA$94)&lt;=AsOfDate,IF($R82=0,$X82,IF(AND($T82&lt;&gt;"",EDATE($D82,Milestones!$AA$94)&gt;=$T82),$W82,IF(AND($S82&lt;&gt;"",EDATE($D82,Milestones!$AA$94)&gt;=$S82),$V82,$U82)))=Milestones!$AB$94),UPPER(TEXT(EDATE($D82,Milestones!$AA$94),"dd mmm yy"))&amp;" "&amp;Milestones!$AB$94&amp;" "&amp;Milestones!$AC$94&amp;";  ","")&amp;IF(AND(EDATE($D82,Milestones!$AA$95)&lt;=AsOfDate,IF($R82=0,$X82,IF(AND($T82&lt;&gt;"",EDATE($D82,Milestones!$AA$95)&gt;=$T82),$W82,IF(AND($S82&lt;&gt;"",EDATE($D82,Milestones!$AA$95)&gt;=$S82),$V82,$U82)))=Milestones!$AB$95),UPPER(TEXT(EDATE($D82,Milestones!$AA$95),"dd mmm yy"))&amp;" "&amp;Milestones!$AB$95&amp;" "&amp;Milestones!$AC$95&amp;";  ","")&amp;IF(AND(EDATE($D82,Milestones!$AA$96)&lt;=AsOfDate,IF($R82=0,$X82,IF(AND($T82&lt;&gt;"",EDATE($D82,Milestones!$AA$96)&gt;=$T82),$W82,IF(AND($S82&lt;&gt;"",EDATE($D82,Milestones!$AA$96)&gt;=$S82),$V82,$U82)))=Milestones!$AB$96),UPPER(TEXT(EDATE($D82,Milestones!$AA$96),"dd mmm yy"))&amp;" "&amp;Milestones!$AB$96&amp;" "&amp;Milestones!$AC$96&amp;";  ","")&amp;IF(AND(EDATE($D82,Milestones!$AA$97)&lt;=AsOfDate,IF($R82=0,$X82,IF(AND($T82&lt;&gt;"",EDATE($D82,Milestones!$AA$97)&gt;=$T82),$W82,IF(AND($S82&lt;&gt;"",EDATE($D82,Milestones!$AA$97)&gt;=$S82),$V82,$U82)))=Milestones!$AB$97),UPPER(TEXT(EDATE($D82,Milestones!$AA$97),"dd mmm yy"))&amp;" "&amp;Milestones!$AB$97&amp;" "&amp;Milestones!$AC$97&amp;";  ","")&amp;IF(AND(EDATE($D82,Milestones!$AA$98)&lt;=AsOfDate,IF($R82=0,$X82,IF(AND($T82&lt;&gt;"",EDATE($D82,Milestones!$AA$98)&gt;=$T82),$W82,IF(AND($S82&lt;&gt;"",EDATE($D82,Milestones!$AA$98)&gt;=$S82),$V82,$U82)))=Milestones!$AB$98),UPPER(TEXT(EDATE($D82,Milestones!$AA$98),"dd mmm yy"))&amp;" "&amp;Milestones!$AB$98&amp;" "&amp;Milestones!$AC$98&amp;";  ","")&amp;IF(AND(EDATE($D82,Milestones!$AA$99)&lt;=AsOfDate,IF($R82=0,$X82,IF(AND($T82&lt;&gt;"",EDATE($D82,Milestones!$AA$99)&gt;=$T82),$W82,IF(AND($S82&lt;&gt;"",EDATE($D82,Milestones!$AA$99)&gt;=$S82),$V82,$U82)))=Milestones!$AB$99),UPPER(TEXT(EDATE($D82,Milestones!$AA$99),"dd mmm yy"))&amp;" "&amp;Milestones!$AB$99&amp;" "&amp;Milestones!$AC$99&amp;";  ",""))</f>
        <v/>
      </c>
      <c r="M82" s="0" t="str">
        <f aca="false">IF(OR($A82="",$D82=""),"",IF(AND(EDATE($D82,Milestones!$AA$100)&lt;=AsOfDate,IF($R82=0,$X82,IF(AND($T82&lt;&gt;"",EDATE($D82,Milestones!$AA$100)&gt;=$T82),$W82,IF(AND($S82&lt;&gt;"",EDATE($D82,Milestones!$AA$100)&gt;=$S82),$V82,$U82)))=Milestones!$AB$100),UPPER(TEXT(EDATE($D82,Milestones!$AA$100),"dd mmm yy"))&amp;" "&amp;Milestones!$AB$100&amp;" "&amp;Milestones!$AC$100&amp;";  ","")&amp;IF(AND(EDATE($D82,Milestones!$AA$101)&lt;=AsOfDate,IF($R82=0,$X82,IF(AND($T82&lt;&gt;"",EDATE($D82,Milestones!$AA$101)&gt;=$T82),$W82,IF(AND($S82&lt;&gt;"",EDATE($D82,Milestones!$AA$101)&gt;=$S82),$V82,$U82)))=Milestones!$AB$101),UPPER(TEXT(EDATE($D82,Milestones!$AA$101),"dd mmm yy"))&amp;" "&amp;Milestones!$AB$101&amp;" "&amp;Milestones!$AC$101&amp;";  ","")&amp;IF(AND(EDATE($D82,Milestones!$AA$102)&lt;=AsOfDate,IF($R82=0,$X82,IF(AND($T82&lt;&gt;"",EDATE($D82,Milestones!$AA$102)&gt;=$T82),$W82,IF(AND($S82&lt;&gt;"",EDATE($D82,Milestones!$AA$102)&gt;=$S82),$V82,$U82)))=Milestones!$AB$102),UPPER(TEXT(EDATE($D82,Milestones!$AA$102),"dd mmm yy"))&amp;" "&amp;Milestones!$AB$102&amp;" "&amp;Milestones!$AC$102&amp;";  ","")&amp;IF(AND(EDATE($D82,Milestones!$AA$103)&lt;=AsOfDate,IF($R82=0,$X82,IF(AND($T82&lt;&gt;"",EDATE($D82,Milestones!$AA$103)&gt;=$T82),$W82,IF(AND($S82&lt;&gt;"",EDATE($D82,Milestones!$AA$103)&gt;=$S82),$V82,$U82)))=Milestones!$AB$103),UPPER(TEXT(EDATE($D82,Milestones!$AA$103),"dd mmm yy"))&amp;" "&amp;Milestones!$AB$103&amp;" "&amp;Milestones!$AC$103&amp;";  ","")&amp;IF(AND(EDATE($D82,Milestones!$AA$104)&lt;=AsOfDate,IF($R82=0,$X82,IF(AND($T82&lt;&gt;"",EDATE($D82,Milestones!$AA$104)&gt;=$T82),$W82,IF(AND($S82&lt;&gt;"",EDATE($D82,Milestones!$AA$104)&gt;=$S82),$V82,$U82)))=Milestones!$AB$104),UPPER(TEXT(EDATE($D82,Milestones!$AA$104),"dd mmm yy"))&amp;" "&amp;Milestones!$AB$104&amp;" "&amp;Milestones!$AC$104&amp;";  ","")&amp;IF(AND(EDATE($D82,Milestones!$AA$105)&lt;=AsOfDate,IF($R82=0,$X82,IF(AND($T82&lt;&gt;"",EDATE($D82,Milestones!$AA$105)&gt;=$T82),$W82,IF(AND($S82&lt;&gt;"",EDATE($D82,Milestones!$AA$105)&gt;=$S82),$V82,$U82)))=Milestones!$AB$105),UPPER(TEXT(EDATE($D82,Milestones!$AA$105),"dd mmm yy"))&amp;" "&amp;Milestones!$AB$105&amp;" "&amp;Milestones!$AC$105&amp;";  ","")&amp;IF(AND(EDATE($D82,Milestones!$AA$106)&lt;=AsOfDate,IF($R82=0,$X82,IF(AND($T82&lt;&gt;"",EDATE($D82,Milestones!$AA$106)&gt;=$T82),$W82,IF(AND($S82&lt;&gt;"",EDATE($D82,Milestones!$AA$106)&gt;=$S82),$V82,$U82)))=Milestones!$AB$106),UPPER(TEXT(EDATE($D82,Milestones!$AA$106),"dd mmm yy"))&amp;" "&amp;Milestones!$AB$106&amp;" "&amp;Milestones!$AC$106&amp;";  ","")&amp;IF(AND(EDATE($D82,Milestones!$AA$107)&lt;=AsOfDate,IF($R82=0,$X82,IF(AND($T82&lt;&gt;"",EDATE($D82,Milestones!$AA$107)&gt;=$T82),$W82,IF(AND($S82&lt;&gt;"",EDATE($D82,Milestones!$AA$107)&gt;=$S82),$V82,$U82)))=Milestones!$AB$107),UPPER(TEXT(EDATE($D82,Milestones!$AA$107),"dd mmm yy"))&amp;" "&amp;Milestones!$AB$107&amp;" "&amp;Milestones!$AC$107&amp;";  ","")&amp;IF(AND(EDATE($D82,Milestones!$AA$108)&lt;=AsOfDate,IF($R82=0,$X82,IF(AND($T82&lt;&gt;"",EDATE($D82,Milestones!$AA$108)&gt;=$T82),$W82,IF(AND($S82&lt;&gt;"",EDATE($D82,Milestones!$AA$108)&gt;=$S82),$V82,$U82)))=Milestones!$AB$108),UPPER(TEXT(EDATE($D82,Milestones!$AA$108),"dd mmm yy"))&amp;" "&amp;Milestones!$AB$108&amp;" "&amp;Milestones!$AC$108&amp;";  ","")&amp;IF(AND(EDATE($D82,Milestones!$AA$109)&lt;=AsOfDate,IF($R82=0,$X82,IF(AND($T82&lt;&gt;"",EDATE($D82,Milestones!$AA$109)&gt;=$T82),$W82,IF(AND($S82&lt;&gt;"",EDATE($D82,Milestones!$AA$109)&gt;=$S82),$V82,$U82)))=Milestones!$AB$109),UPPER(TEXT(EDATE($D82,Milestones!$AA$109),"dd mmm yy"))&amp;" "&amp;Milestones!$AB$109&amp;" "&amp;Milestones!$AC$109&amp;";  ","")&amp;IF(AND(EDATE($D82,Milestones!$AA$110)&lt;=AsOfDate,IF($R82=0,$X82,IF(AND($T82&lt;&gt;"",EDATE($D82,Milestones!$AA$110)&gt;=$T82),$W82,IF(AND($S82&lt;&gt;"",EDATE($D82,Milestones!$AA$110)&gt;=$S82),$V82,$U82)))=Milestones!$AB$110),UPPER(TEXT(EDATE($D82,Milestones!$AA$110),"dd mmm yy"))&amp;" "&amp;Milestones!$AB$110&amp;" "&amp;Milestones!$AC$110&amp;";  ","")&amp;IF(AND(EDATE($D82,Milestones!$AA$111)&lt;=AsOfDate,IF($R82=0,$X82,IF(AND($T82&lt;&gt;"",EDATE($D82,Milestones!$AA$111)&gt;=$T82),$W82,IF(AND($S82&lt;&gt;"",EDATE($D82,Milestones!$AA$111)&gt;=$S82),$V82,$U82)))=Milestones!$AB$111),UPPER(TEXT(EDATE($D82,Milestones!$AA$111),"dd mmm yy"))&amp;" "&amp;Milestones!$AB$111&amp;" "&amp;Milestones!$AC$111&amp;";  ","")&amp;IF(AND(EDATE($D82,Milestones!$AA$112)&lt;=AsOfDate,IF($R82=0,$X82,IF(AND($T82&lt;&gt;"",EDATE($D82,Milestones!$AA$112)&gt;=$T82),$W82,IF(AND($S82&lt;&gt;"",EDATE($D82,Milestones!$AA$112)&gt;=$S82),$V82,$U82)))=Milestones!$AB$112),UPPER(TEXT(EDATE($D82,Milestones!$AA$112),"dd mmm yy"))&amp;" "&amp;Milestones!$AB$112&amp;" "&amp;Milestones!$AC$112&amp;";  ","")&amp;IF(AND(EDATE($D82,Milestones!$AA$113)&lt;=AsOfDate,IF($R82=0,$X82,IF(AND($T82&lt;&gt;"",EDATE($D82,Milestones!$AA$113)&gt;=$T82),$W82,IF(AND($S82&lt;&gt;"",EDATE($D82,Milestones!$AA$113)&gt;=$S82),$V82,$U82)))=Milestones!$AB$113),UPPER(TEXT(EDATE($D82,Milestones!$AA$113),"dd mmm yy"))&amp;" "&amp;Milestones!$AB$113&amp;" "&amp;Milestones!$AC$113&amp;";  ","")&amp;IF(AND(EDATE($D82,Milestones!$AA$114)&lt;=AsOfDate,IF($R82=0,$X82,IF(AND($T82&lt;&gt;"",EDATE($D82,Milestones!$AA$114)&gt;=$T82),$W82,IF(AND($S82&lt;&gt;"",EDATE($D82,Milestones!$AA$114)&gt;=$S82),$V82,$U82)))=Milestones!$AB$114),UPPER(TEXT(EDATE($D82,Milestones!$AA$114),"dd mmm yy"))&amp;" "&amp;Milestones!$AB$114&amp;" "&amp;Milestones!$AC$114&amp;";  ","")&amp;IF(AND(EDATE($D82,Milestones!$AA$115)&lt;=AsOfDate,IF($R82=0,$X82,IF(AND($T82&lt;&gt;"",EDATE($D82,Milestones!$AA$115)&gt;=$T82),$W82,IF(AND($S82&lt;&gt;"",EDATE($D82,Milestones!$AA$115)&gt;=$S82),$V82,$U82)))=Milestones!$AB$115),UPPER(TEXT(EDATE($D82,Milestones!$AA$115),"dd mmm yy"))&amp;" "&amp;Milestones!$AB$115&amp;" "&amp;Milestones!$AC$115&amp;";  ","")&amp;IF(AND(EDATE($D82,Milestones!$AA$116)&lt;=AsOfDate,IF($R82=0,$X82,IF(AND($T82&lt;&gt;"",EDATE($D82,Milestones!$AA$116)&gt;=$T82),$W82,IF(AND($S82&lt;&gt;"",EDATE($D82,Milestones!$AA$116)&gt;=$S82),$V82,$U82)))=Milestones!$AB$116),UPPER(TEXT(EDATE($D82,Milestones!$AA$116),"dd mmm yy"))&amp;" "&amp;Milestones!$AB$116&amp;" "&amp;Milestones!$AC$116&amp;";  ","")&amp;IF(AND(EDATE($D82,Milestones!$AA$117)&lt;=AsOfDate,IF($R82=0,$X82,IF(AND($T82&lt;&gt;"",EDATE($D82,Milestones!$AA$117)&gt;=$T82),$W82,IF(AND($S82&lt;&gt;"",EDATE($D82,Milestones!$AA$117)&gt;=$S82),$V82,$U82)))=Milestones!$AB$117),UPPER(TEXT(EDATE($D82,Milestones!$AA$117),"dd mmm yy"))&amp;" "&amp;Milestones!$AB$117&amp;" "&amp;Milestones!$AC$117&amp;";  ","")&amp;IF(AND(EDATE($D82,Milestones!$AA$118)&lt;=AsOfDate,IF($R82=0,$X82,IF(AND($T82&lt;&gt;"",EDATE($D82,Milestones!$AA$118)&gt;=$T82),$W82,IF(AND($S82&lt;&gt;"",EDATE($D82,Milestones!$AA$118)&gt;=$S82),$V82,$U82)))=Milestones!$AB$118),UPPER(TEXT(EDATE($D82,Milestones!$AA$118),"dd mmm yy"))&amp;" "&amp;Milestones!$AB$118&amp;" "&amp;Milestones!$AC$118&amp;";  ","")&amp;IF(AND(EDATE($D82,Milestones!$AA$119)&lt;=AsOfDate,IF($R82=0,$X82,IF(AND($T82&lt;&gt;"",EDATE($D82,Milestones!$AA$119)&gt;=$T82),$W82,IF(AND($S82&lt;&gt;"",EDATE($D82,Milestones!$AA$119)&gt;=$S82),$V82,$U82)))=Milestones!$AB$119),UPPER(TEXT(EDATE($D82,Milestones!$AA$119),"dd mmm yy"))&amp;" "&amp;Milestones!$AB$119&amp;" "&amp;Milestones!$AC$119&amp;";  ",""))</f>
        <v/>
      </c>
      <c r="N82" s="0" t="str">
        <f aca="false">IF(OR($A82="",$D82=""),"",IF(AND(EDATE($D82,Milestones!$AA$120)&lt;=AsOfDate,IF($R82=0,$X82,IF(AND($T82&lt;&gt;"",EDATE($D82,Milestones!$AA$120)&gt;=$T82),$W82,IF(AND($S82&lt;&gt;"",EDATE($D82,Milestones!$AA$120)&gt;=$S82),$V82,$U82)))=Milestones!$AB$120),UPPER(TEXT(EDATE($D82,Milestones!$AA$120),"dd mmm yy"))&amp;" "&amp;Milestones!$AB$120&amp;" "&amp;Milestones!$AC$120&amp;";  ","")&amp;IF(AND(EDATE($D82,Milestones!$AA$121)&lt;=AsOfDate,IF($R82=0,$X82,IF(AND($T82&lt;&gt;"",EDATE($D82,Milestones!$AA$121)&gt;=$T82),$W82,IF(AND($S82&lt;&gt;"",EDATE($D82,Milestones!$AA$121)&gt;=$S82),$V82,$U82)))=Milestones!$AB$121),UPPER(TEXT(EDATE($D82,Milestones!$AA$121),"dd mmm yy"))&amp;" "&amp;Milestones!$AB$121&amp;" "&amp;Milestones!$AC$121&amp;";  ","")&amp;IF(AND(EDATE($D82,Milestones!$AA$122)&lt;=AsOfDate,IF($R82=0,$X82,IF(AND($T82&lt;&gt;"",EDATE($D82,Milestones!$AA$122)&gt;=$T82),$W82,IF(AND($S82&lt;&gt;"",EDATE($D82,Milestones!$AA$122)&gt;=$S82),$V82,$U82)))=Milestones!$AB$122),UPPER(TEXT(EDATE($D82,Milestones!$AA$122),"dd mmm yy"))&amp;" "&amp;Milestones!$AB$122&amp;" "&amp;Milestones!$AC$122&amp;";  ","")&amp;IF(AND(EDATE($D82,Milestones!$AA$123)&lt;=AsOfDate,IF($R82=0,$X82,IF(AND($T82&lt;&gt;"",EDATE($D82,Milestones!$AA$123)&gt;=$T82),$W82,IF(AND($S82&lt;&gt;"",EDATE($D82,Milestones!$AA$123)&gt;=$S82),$V82,$U82)))=Milestones!$AB$123),UPPER(TEXT(EDATE($D82,Milestones!$AA$123),"dd mmm yy"))&amp;" "&amp;Milestones!$AB$123&amp;" "&amp;Milestones!$AC$123&amp;";  ","")&amp;IF(AND(EDATE($D82,Milestones!$AA$124)&lt;=AsOfDate,IF($R82=0,$X82,IF(AND($T82&lt;&gt;"",EDATE($D82,Milestones!$AA$124)&gt;=$T82),$W82,IF(AND($S82&lt;&gt;"",EDATE($D82,Milestones!$AA$124)&gt;=$S82),$V82,$U82)))=Milestones!$AB$124),UPPER(TEXT(EDATE($D82,Milestones!$AA$124),"dd mmm yy"))&amp;" "&amp;Milestones!$AB$124&amp;" "&amp;Milestones!$AC$124&amp;";  ","")&amp;IF(AND(EDATE($D82,Milestones!$AA$125)&lt;=AsOfDate,IF($R82=0,$X82,IF(AND($T82&lt;&gt;"",EDATE($D82,Milestones!$AA$125)&gt;=$T82),$W82,IF(AND($S82&lt;&gt;"",EDATE($D82,Milestones!$AA$125)&gt;=$S82),$V82,$U82)))=Milestones!$AB$125),UPPER(TEXT(EDATE($D82,Milestones!$AA$125),"dd mmm yy"))&amp;" "&amp;Milestones!$AB$125&amp;" "&amp;Milestones!$AC$125&amp;";  ","")&amp;IF(AND(EDATE($D82,Milestones!$AA$126)&lt;=AsOfDate,IF($R82=0,$X82,IF(AND($T82&lt;&gt;"",EDATE($D82,Milestones!$AA$126)&gt;=$T82),$W82,IF(AND($S82&lt;&gt;"",EDATE($D82,Milestones!$AA$126)&gt;=$S82),$V82,$U82)))=Milestones!$AB$126),UPPER(TEXT(EDATE($D82,Milestones!$AA$126),"dd mmm yy"))&amp;" "&amp;Milestones!$AB$126&amp;" "&amp;Milestones!$AC$126&amp;";  ","")&amp;IF(AND(EDATE($D82,Milestones!$AA$127)&lt;=AsOfDate,IF($R82=0,$X82,IF(AND($T82&lt;&gt;"",EDATE($D82,Milestones!$AA$127)&gt;=$T82),$W82,IF(AND($S82&lt;&gt;"",EDATE($D82,Milestones!$AA$127)&gt;=$S82),$V82,$U82)))=Milestones!$AB$127),UPPER(TEXT(EDATE($D82,Milestones!$AA$127),"dd mmm yy"))&amp;" "&amp;Milestones!$AB$127&amp;" "&amp;Milestones!$AC$127&amp;";  ","")&amp;IF(AND(EDATE($D82,Milestones!$AA$128)&lt;=AsOfDate,IF($R82=0,$X82,IF(AND($T82&lt;&gt;"",EDATE($D82,Milestones!$AA$128)&gt;=$T82),$W82,IF(AND($S82&lt;&gt;"",EDATE($D82,Milestones!$AA$128)&gt;=$S82),$V82,$U82)))=Milestones!$AB$128),UPPER(TEXT(EDATE($D82,Milestones!$AA$128),"dd mmm yy"))&amp;" "&amp;Milestones!$AB$128&amp;" "&amp;Milestones!$AC$128&amp;";  ","")&amp;IF(AND(EDATE($D82,Milestones!$AA$129)&lt;=AsOfDate,IF($R82=0,$X82,IF(AND($T82&lt;&gt;"",EDATE($D82,Milestones!$AA$129)&gt;=$T82),$W82,IF(AND($S82&lt;&gt;"",EDATE($D82,Milestones!$AA$129)&gt;=$S82),$V82,$U82)))=Milestones!$AB$129),UPPER(TEXT(EDATE($D82,Milestones!$AA$129),"dd mmm yy"))&amp;" "&amp;Milestones!$AB$129&amp;" "&amp;Milestones!$AC$129&amp;";  ","")&amp;IF(AND(EDATE($D82,Milestones!$AA$130)&lt;=AsOfDate,IF($R82=0,$X82,IF(AND($T82&lt;&gt;"",EDATE($D82,Milestones!$AA$130)&gt;=$T82),$W82,IF(AND($S82&lt;&gt;"",EDATE($D82,Milestones!$AA$130)&gt;=$S82),$V82,$U82)))=Milestones!$AB$130),UPPER(TEXT(EDATE($D82,Milestones!$AA$130),"dd mmm yy"))&amp;" "&amp;Milestones!$AB$130&amp;" "&amp;Milestones!$AC$130&amp;";  ","")&amp;IF(AND(EDATE($D82,Milestones!$AA$131)&lt;=AsOfDate,IF($R82=0,$X82,IF(AND($T82&lt;&gt;"",EDATE($D82,Milestones!$AA$131)&gt;=$T82),$W82,IF(AND($S82&lt;&gt;"",EDATE($D82,Milestones!$AA$131)&gt;=$S82),$V82,$U82)))=Milestones!$AB$131),UPPER(TEXT(EDATE($D82,Milestones!$AA$131),"dd mmm yy"))&amp;" "&amp;Milestones!$AB$131&amp;" "&amp;Milestones!$AC$131&amp;";  ","")&amp;IF(AND(EDATE($D82,Milestones!$AA$132)&lt;=AsOfDate,IF($R82=0,$X82,IF(AND($T82&lt;&gt;"",EDATE($D82,Milestones!$AA$132)&gt;=$T82),$W82,IF(AND($S82&lt;&gt;"",EDATE($D82,Milestones!$AA$132)&gt;=$S82),$V82,$U82)))=Milestones!$AB$132),UPPER(TEXT(EDATE($D82,Milestones!$AA$132),"dd mmm yy"))&amp;" "&amp;Milestones!$AB$132&amp;" "&amp;Milestones!$AC$132&amp;";  ","")&amp;IF(AND(EDATE($D82,Milestones!$AA$133)&lt;=AsOfDate,IF($R82=0,$X82,IF(AND($T82&lt;&gt;"",EDATE($D82,Milestones!$AA$133)&gt;=$T82),$W82,IF(AND($S82&lt;&gt;"",EDATE($D82,Milestones!$AA$133)&gt;=$S82),$V82,$U82)))=Milestones!$AB$133),UPPER(TEXT(EDATE($D82,Milestones!$AA$133),"dd mmm yy"))&amp;" "&amp;Milestones!$AB$133&amp;" "&amp;Milestones!$AC$133&amp;";  ","")&amp;IF(AND(EDATE($D82,Milestones!$AA$134)&lt;=AsOfDate,IF($R82=0,$X82,IF(AND($T82&lt;&gt;"",EDATE($D82,Milestones!$AA$134)&gt;=$T82),$W82,IF(AND($S82&lt;&gt;"",EDATE($D82,Milestones!$AA$134)&gt;=$S82),$V82,$U82)))=Milestones!$AB$134),UPPER(TEXT(EDATE($D82,Milestones!$AA$134),"dd mmm yy"))&amp;" "&amp;Milestones!$AB$134&amp;" "&amp;Milestones!$AC$134&amp;";  ","")&amp;IF(AND(EDATE($D82,Milestones!$AA$135)&lt;=AsOfDate,IF($R82=0,$X82,IF(AND($T82&lt;&gt;"",EDATE($D82,Milestones!$AA$135)&gt;=$T82),$W82,IF(AND($S82&lt;&gt;"",EDATE($D82,Milestones!$AA$135)&gt;=$S82),$V82,$U82)))=Milestones!$AB$135),UPPER(TEXT(EDATE($D82,Milestones!$AA$135),"dd mmm yy"))&amp;" "&amp;Milestones!$AB$135&amp;" "&amp;Milestones!$AC$135&amp;";  ","")&amp;IF(AND(EDATE($D82,Milestones!$AA$136)&lt;=AsOfDate,IF($R82=0,$X82,IF(AND($T82&lt;&gt;"",EDATE($D82,Milestones!$AA$136)&gt;=$T82),$W82,IF(AND($S82&lt;&gt;"",EDATE($D82,Milestones!$AA$136)&gt;=$S82),$V82,$U82)))=Milestones!$AB$136),UPPER(TEXT(EDATE($D82,Milestones!$AA$136),"dd mmm yy"))&amp;" "&amp;Milestones!$AB$136&amp;" "&amp;Milestones!$AC$136&amp;";  ","")&amp;IF(AND(EDATE($D82,Milestones!$AA$137)&lt;=AsOfDate,IF($R82=0,$X82,IF(AND($T82&lt;&gt;"",EDATE($D82,Milestones!$AA$137)&gt;=$T82),$W82,IF(AND($S82&lt;&gt;"",EDATE($D82,Milestones!$AA$137)&gt;=$S82),$V82,$U82)))=Milestones!$AB$137),UPPER(TEXT(EDATE($D82,Milestones!$AA$137),"dd mmm yy"))&amp;" "&amp;Milestones!$AB$137&amp;" "&amp;Milestones!$AC$137&amp;";  ","")&amp;IF(AND(EDATE($D82,Milestones!$AA$138)&lt;=AsOfDate,IF($R82=0,$X82,IF(AND($T82&lt;&gt;"",EDATE($D82,Milestones!$AA$138)&gt;=$T82),$W82,IF(AND($S82&lt;&gt;"",EDATE($D82,Milestones!$AA$138)&gt;=$S82),$V82,$U82)))=Milestones!$AB$138),UPPER(TEXT(EDATE($D82,Milestones!$AA$138),"dd mmm yy"))&amp;" "&amp;Milestones!$AB$138&amp;" "&amp;Milestones!$AC$138&amp;";  ","")&amp;IF(AND(EDATE($D82,Milestones!$AA$139)&lt;=AsOfDate,IF($R82=0,$X82,IF(AND($T82&lt;&gt;"",EDATE($D82,Milestones!$AA$139)&gt;=$T82),$W82,IF(AND($S82&lt;&gt;"",EDATE($D82,Milestones!$AA$139)&gt;=$S82),$V82,$U82)))=Milestones!$AB$139),UPPER(TEXT(EDATE($D82,Milestones!$AA$139),"dd mmm yy"))&amp;" "&amp;Milestones!$AB$139&amp;" "&amp;Milestones!$AC$139&amp;";  ",""))</f>
        <v/>
      </c>
      <c r="O82" s="0" t="str">
        <f aca="false">IF(OR($A82="",$D82=""),"",IF(AND(EDATE($D82,Milestones!$AA$140)&lt;=AsOfDate,IF($R82=0,$X82,IF(AND($T82&lt;&gt;"",EDATE($D82,Milestones!$AA$140)&gt;=$T82),$W82,IF(AND($S82&lt;&gt;"",EDATE($D82,Milestones!$AA$140)&gt;=$S82),$V82,$U82)))=Milestones!$AB$140),UPPER(TEXT(EDATE($D82,Milestones!$AA$140),"dd mmm yy"))&amp;" "&amp;Milestones!$AB$140&amp;" "&amp;Milestones!$AC$140&amp;";  ","")&amp;IF(AND(EDATE($D82,Milestones!$AA$141)&lt;=AsOfDate,IF($R82=0,$X82,IF(AND($T82&lt;&gt;"",EDATE($D82,Milestones!$AA$141)&gt;=$T82),$W82,IF(AND($S82&lt;&gt;"",EDATE($D82,Milestones!$AA$141)&gt;=$S82),$V82,$U82)))=Milestones!$AB$141),UPPER(TEXT(EDATE($D82,Milestones!$AA$141),"dd mmm yy"))&amp;" "&amp;Milestones!$AB$141&amp;" "&amp;Milestones!$AC$141&amp;";  ","")&amp;IF(AND(EDATE($D82,Milestones!$AA$142)&lt;=AsOfDate,IF($R82=0,$X82,IF(AND($T82&lt;&gt;"",EDATE($D82,Milestones!$AA$142)&gt;=$T82),$W82,IF(AND($S82&lt;&gt;"",EDATE($D82,Milestones!$AA$142)&gt;=$S82),$V82,$U82)))=Milestones!$AB$142),UPPER(TEXT(EDATE($D82,Milestones!$AA$142),"dd mmm yy"))&amp;" "&amp;Milestones!$AB$142&amp;" "&amp;Milestones!$AC$142&amp;";  ","")&amp;IF(AND(EDATE($D82,Milestones!$AA$143)&lt;=AsOfDate,IF($R82=0,$X82,IF(AND($T82&lt;&gt;"",EDATE($D82,Milestones!$AA$143)&gt;=$T82),$W82,IF(AND($S82&lt;&gt;"",EDATE($D82,Milestones!$AA$143)&gt;=$S82),$V82,$U82)))=Milestones!$AB$143),UPPER(TEXT(EDATE($D82,Milestones!$AA$143),"dd mmm yy"))&amp;" "&amp;Milestones!$AB$143&amp;" "&amp;Milestones!$AC$143&amp;";  ","")&amp;IF(AND(EDATE($D82,Milestones!$AA$144)&lt;=AsOfDate,IF($R82=0,$X82,IF(AND($T82&lt;&gt;"",EDATE($D82,Milestones!$AA$144)&gt;=$T82),$W82,IF(AND($S82&lt;&gt;"",EDATE($D82,Milestones!$AA$144)&gt;=$S82),$V82,$U82)))=Milestones!$AB$144),UPPER(TEXT(EDATE($D82,Milestones!$AA$144),"dd mmm yy"))&amp;" "&amp;Milestones!$AB$144&amp;" "&amp;Milestones!$AC$144&amp;";  ","")&amp;IF(AND(EDATE($D82,Milestones!$AA$145)&lt;=AsOfDate,IF($R82=0,$X82,IF(AND($T82&lt;&gt;"",EDATE($D82,Milestones!$AA$145)&gt;=$T82),$W82,IF(AND($S82&lt;&gt;"",EDATE($D82,Milestones!$AA$145)&gt;=$S82),$V82,$U82)))=Milestones!$AB$145),UPPER(TEXT(EDATE($D82,Milestones!$AA$145),"dd mmm yy"))&amp;" "&amp;Milestones!$AB$145&amp;" "&amp;Milestones!$AC$145&amp;";  ","")&amp;IF(AND(EDATE($D82,Milestones!$AA$146)&lt;=AsOfDate,IF($R82=0,$X82,IF(AND($T82&lt;&gt;"",EDATE($D82,Milestones!$AA$146)&gt;=$T82),$W82,IF(AND($S82&lt;&gt;"",EDATE($D82,Milestones!$AA$146)&gt;=$S82),$V82,$U82)))=Milestones!$AB$146),UPPER(TEXT(EDATE($D82,Milestones!$AA$146),"dd mmm yy"))&amp;" "&amp;Milestones!$AB$146&amp;" "&amp;Milestones!$AC$146&amp;";  ","")&amp;IF(AND(EDATE($D82,Milestones!$AA$147)&lt;=AsOfDate,IF($R82=0,$X82,IF(AND($T82&lt;&gt;"",EDATE($D82,Milestones!$AA$147)&gt;=$T82),$W82,IF(AND($S82&lt;&gt;"",EDATE($D82,Milestones!$AA$147)&gt;=$S82),$V82,$U82)))=Milestones!$AB$147),UPPER(TEXT(EDATE($D82,Milestones!$AA$147),"dd mmm yy"))&amp;" "&amp;Milestones!$AB$147&amp;" "&amp;Milestones!$AC$147&amp;";  ","")&amp;IF(AND(EDATE($D82,Milestones!$AA$148)&lt;=AsOfDate,IF($R82=0,$X82,IF(AND($T82&lt;&gt;"",EDATE($D82,Milestones!$AA$148)&gt;=$T82),$W82,IF(AND($S82&lt;&gt;"",EDATE($D82,Milestones!$AA$148)&gt;=$S82),$V82,$U82)))=Milestones!$AB$148),UPPER(TEXT(EDATE($D82,Milestones!$AA$148),"dd mmm yy"))&amp;" "&amp;Milestones!$AB$148&amp;" "&amp;Milestones!$AC$148&amp;";  ","")&amp;IF(AND(EDATE($D82,Milestones!$AA$149)&lt;=AsOfDate,IF($R82=0,$X82,IF(AND($T82&lt;&gt;"",EDATE($D82,Milestones!$AA$149)&gt;=$T82),$W82,IF(AND($S82&lt;&gt;"",EDATE($D82,Milestones!$AA$149)&gt;=$S82),$V82,$U82)))=Milestones!$AB$149),UPPER(TEXT(EDATE($D82,Milestones!$AA$149),"dd mmm yy"))&amp;" "&amp;Milestones!$AB$149&amp;" "&amp;Milestones!$AC$149&amp;";  ","")&amp;IF(AND(EDATE($D82,Milestones!$AA$150)&lt;=AsOfDate,IF($R82=0,$X82,IF(AND($T82&lt;&gt;"",EDATE($D82,Milestones!$AA$150)&gt;=$T82),$W82,IF(AND($S82&lt;&gt;"",EDATE($D82,Milestones!$AA$150)&gt;=$S82),$V82,$U82)))=Milestones!$AB$150),UPPER(TEXT(EDATE($D82,Milestones!$AA$150),"dd mmm yy"))&amp;" "&amp;Milestones!$AB$150&amp;" "&amp;Milestones!$AC$150&amp;";  ","")&amp;IF(AND(EDATE($D82,Milestones!$AA$151)&lt;=AsOfDate,IF($R82=0,$X82,IF(AND($T82&lt;&gt;"",EDATE($D82,Milestones!$AA$151)&gt;=$T82),$W82,IF(AND($S82&lt;&gt;"",EDATE($D82,Milestones!$AA$151)&gt;=$S82),$V82,$U82)))=Milestones!$AB$151),UPPER(TEXT(EDATE($D82,Milestones!$AA$151),"dd mmm yy"))&amp;" "&amp;Milestones!$AB$151&amp;" "&amp;Milestones!$AC$151&amp;";  ","")&amp;IF(AND(EDATE($D82,Milestones!$AA$152)&lt;=AsOfDate,IF($R82=0,$X82,IF(AND($T82&lt;&gt;"",EDATE($D82,Milestones!$AA$152)&gt;=$T82),$W82,IF(AND($S82&lt;&gt;"",EDATE($D82,Milestones!$AA$152)&gt;=$S82),$V82,$U82)))=Milestones!$AB$152),UPPER(TEXT(EDATE($D82,Milestones!$AA$152),"dd mmm yy"))&amp;" "&amp;Milestones!$AB$152&amp;" "&amp;Milestones!$AC$152&amp;";  ","")&amp;IF(AND(EDATE($D82,Milestones!$AA$153)&lt;=AsOfDate,IF($R82=0,$X82,IF(AND($T82&lt;&gt;"",EDATE($D82,Milestones!$AA$153)&gt;=$T82),$W82,IF(AND($S82&lt;&gt;"",EDATE($D82,Milestones!$AA$153)&gt;=$S82),$V82,$U82)))=Milestones!$AB$153),UPPER(TEXT(EDATE($D82,Milestones!$AA$153),"dd mmm yy"))&amp;" "&amp;Milestones!$AB$153&amp;" "&amp;Milestones!$AC$153&amp;";  ","")&amp;IF(AND(EDATE($D82,Milestones!$AA$154)&lt;=AsOfDate,IF($R82=0,$X82,IF(AND($T82&lt;&gt;"",EDATE($D82,Milestones!$AA$154)&gt;=$T82),$W82,IF(AND($S82&lt;&gt;"",EDATE($D82,Milestones!$AA$154)&gt;=$S82),$V82,$U82)))=Milestones!$AB$154),UPPER(TEXT(EDATE($D82,Milestones!$AA$154),"dd mmm yy"))&amp;" "&amp;Milestones!$AB$154&amp;" "&amp;Milestones!$AC$154&amp;";  ","")&amp;IF(AND(EDATE($D82,Milestones!$AA$155)&lt;=AsOfDate,IF($R82=0,$X82,IF(AND($T82&lt;&gt;"",EDATE($D82,Milestones!$AA$155)&gt;=$T82),$W82,IF(AND($S82&lt;&gt;"",EDATE($D82,Milestones!$AA$155)&gt;=$S82),$V82,$U82)))=Milestones!$AB$155),UPPER(TEXT(EDATE($D82,Milestones!$AA$155),"dd mmm yy"))&amp;" "&amp;Milestones!$AB$155&amp;" "&amp;Milestones!$AC$155&amp;";  ","")&amp;IF(AND(EDATE($D82,Milestones!$AA$156)&lt;=AsOfDate,IF($R82=0,$X82,IF(AND($T82&lt;&gt;"",EDATE($D82,Milestones!$AA$156)&gt;=$T82),$W82,IF(AND($S82&lt;&gt;"",EDATE($D82,Milestones!$AA$156)&gt;=$S82),$V82,$U82)))=Milestones!$AB$156),UPPER(TEXT(EDATE($D82,Milestones!$AA$156),"dd mmm yy"))&amp;" "&amp;Milestones!$AB$156&amp;" "&amp;Milestones!$AC$156&amp;";  ","")&amp;IF(AND(EDATE($D82,Milestones!$AA$157)&lt;=AsOfDate,IF($R82=0,$X82,IF(AND($T82&lt;&gt;"",EDATE($D82,Milestones!$AA$157)&gt;=$T82),$W82,IF(AND($S82&lt;&gt;"",EDATE($D82,Milestones!$AA$157)&gt;=$S82),$V82,$U82)))=Milestones!$AB$157),UPPER(TEXT(EDATE($D82,Milestones!$AA$157),"dd mmm yy"))&amp;" "&amp;Milestones!$AB$157&amp;" "&amp;Milestones!$AC$157&amp;";  ","")&amp;IF(AND(EDATE($D82,Milestones!$AA$158)&lt;=AsOfDate,IF($R82=0,$X82,IF(AND($T82&lt;&gt;"",EDATE($D82,Milestones!$AA$158)&gt;=$T82),$W82,IF(AND($S82&lt;&gt;"",EDATE($D82,Milestones!$AA$158)&gt;=$S82),$V82,$U82)))=Milestones!$AB$158),UPPER(TEXT(EDATE($D82,Milestones!$AA$158),"dd mmm yy"))&amp;" "&amp;Milestones!$AB$158&amp;" "&amp;Milestones!$AC$158&amp;";  ","")&amp;IF(AND(EDATE($D82,Milestones!$AA$159)&lt;=AsOfDate,IF($R82=0,$X82,IF(AND($T82&lt;&gt;"",EDATE($D82,Milestones!$AA$159)&gt;=$T82),$W82,IF(AND($S82&lt;&gt;"",EDATE($D82,Milestones!$AA$159)&gt;=$S82),$V82,$U82)))=Milestones!$AB$159),UPPER(TEXT(EDATE($D82,Milestones!$AA$159),"dd mmm yy"))&amp;" "&amp;Milestones!$AB$159&amp;" "&amp;Milestones!$AC$159&amp;";  ",""))</f>
        <v/>
      </c>
      <c r="P82" s="0" t="str">
        <f aca="false">IF(OR($A82="",$D82=""),"",IF(AND(EDATE($D82,Milestones!$AA$160)&lt;=AsOfDate,IF($R82=0,$X82,IF(AND($T82&lt;&gt;"",EDATE($D82,Milestones!$AA$160)&gt;=$T82),$W82,IF(AND($S82&lt;&gt;"",EDATE($D82,Milestones!$AA$160)&gt;=$S82),$V82,$U82)))=Milestones!$AB$160),UPPER(TEXT(EDATE($D82,Milestones!$AA$160),"dd mmm yy"))&amp;" "&amp;Milestones!$AB$160&amp;" "&amp;Milestones!$AC$160&amp;";  ","")&amp;IF(AND(EDATE($D82,Milestones!$AA$161)&lt;=AsOfDate,IF($R82=0,$X82,IF(AND($T82&lt;&gt;"",EDATE($D82,Milestones!$AA$161)&gt;=$T82),$W82,IF(AND($S82&lt;&gt;"",EDATE($D82,Milestones!$AA$161)&gt;=$S82),$V82,$U82)))=Milestones!$AB$161),UPPER(TEXT(EDATE($D82,Milestones!$AA$161),"dd mmm yy"))&amp;" "&amp;Milestones!$AB$161&amp;" "&amp;Milestones!$AC$161&amp;";  ","")&amp;IF(AND(EDATE($D82,Milestones!$AA$162)&lt;=AsOfDate,IF($R82=0,$X82,IF(AND($T82&lt;&gt;"",EDATE($D82,Milestones!$AA$162)&gt;=$T82),$W82,IF(AND($S82&lt;&gt;"",EDATE($D82,Milestones!$AA$162)&gt;=$S82),$V82,$U82)))=Milestones!$AB$162),UPPER(TEXT(EDATE($D82,Milestones!$AA$162),"dd mmm yy"))&amp;" "&amp;Milestones!$AB$162&amp;" "&amp;Milestones!$AC$162&amp;";  ","")&amp;IF(AND(EDATE($D82,Milestones!$AA$163)&lt;=AsOfDate,IF($R82=0,$X82,IF(AND($T82&lt;&gt;"",EDATE($D82,Milestones!$AA$163)&gt;=$T82),$W82,IF(AND($S82&lt;&gt;"",EDATE($D82,Milestones!$AA$163)&gt;=$S82),$V82,$U82)))=Milestones!$AB$163),UPPER(TEXT(EDATE($D82,Milestones!$AA$163),"dd mmm yy"))&amp;" "&amp;Milestones!$AB$163&amp;" "&amp;Milestones!$AC$163&amp;";  ","")&amp;IF(AND(EDATE($D82,Milestones!$AA$164)&lt;=AsOfDate,IF($R82=0,$X82,IF(AND($T82&lt;&gt;"",EDATE($D82,Milestones!$AA$164)&gt;=$T82),$W82,IF(AND($S82&lt;&gt;"",EDATE($D82,Milestones!$AA$164)&gt;=$S82),$V82,$U82)))=Milestones!$AB$164),UPPER(TEXT(EDATE($D82,Milestones!$AA$164),"dd mmm yy"))&amp;" "&amp;Milestones!$AB$164&amp;" "&amp;Milestones!$AC$164&amp;";  ","")&amp;IF(AND(EDATE($D82,Milestones!$AA$165)&lt;=AsOfDate,IF($R82=0,$X82,IF(AND($T82&lt;&gt;"",EDATE($D82,Milestones!$AA$165)&gt;=$T82),$W82,IF(AND($S82&lt;&gt;"",EDATE($D82,Milestones!$AA$165)&gt;=$S82),$V82,$U82)))=Milestones!$AB$165),UPPER(TEXT(EDATE($D82,Milestones!$AA$165),"dd mmm yy"))&amp;" "&amp;Milestones!$AB$165&amp;" "&amp;Milestones!$AC$165&amp;";  ","")&amp;IF(AND(EDATE($D82,Milestones!$AA$166)&lt;=AsOfDate,IF($R82=0,$X82,IF(AND($T82&lt;&gt;"",EDATE($D82,Milestones!$AA$166)&gt;=$T82),$W82,IF(AND($S82&lt;&gt;"",EDATE($D82,Milestones!$AA$166)&gt;=$S82),$V82,$U82)))=Milestones!$AB$166),UPPER(TEXT(EDATE($D82,Milestones!$AA$166),"dd mmm yy"))&amp;" "&amp;Milestones!$AB$166&amp;" "&amp;Milestones!$AC$166&amp;";  ","")&amp;IF(AND(EDATE($D82,Milestones!$AA$167)&lt;=AsOfDate,IF($R82=0,$X82,IF(AND($T82&lt;&gt;"",EDATE($D82,Milestones!$AA$167)&gt;=$T82),$W82,IF(AND($S82&lt;&gt;"",EDATE($D82,Milestones!$AA$167)&gt;=$S82),$V82,$U82)))=Milestones!$AB$167),UPPER(TEXT(EDATE($D82,Milestones!$AA$167),"dd mmm yy"))&amp;" "&amp;Milestones!$AB$167&amp;" "&amp;Milestones!$AC$167&amp;";  ","")&amp;IF(AND(EDATE($D82,Milestones!$AA$168)&lt;=AsOfDate,IF($R82=0,$X82,IF(AND($T82&lt;&gt;"",EDATE($D82,Milestones!$AA$168)&gt;=$T82),$W82,IF(AND($S82&lt;&gt;"",EDATE($D82,Milestones!$AA$168)&gt;=$S82),$V82,$U82)))=Milestones!$AB$168),UPPER(TEXT(EDATE($D82,Milestones!$AA$168),"dd mmm yy"))&amp;" "&amp;Milestones!$AB$168&amp;" "&amp;Milestones!$AC$168&amp;";  ","")&amp;IF(AND(EDATE($D82,Milestones!$AA$169)&lt;=AsOfDate,IF($R82=0,$X82,IF(AND($T82&lt;&gt;"",EDATE($D82,Milestones!$AA$169)&gt;=$T82),$W82,IF(AND($S82&lt;&gt;"",EDATE($D82,Milestones!$AA$169)&gt;=$S82),$V82,$U82)))=Milestones!$AB$169),UPPER(TEXT(EDATE($D82,Milestones!$AA$169),"dd mmm yy"))&amp;" "&amp;Milestones!$AB$169&amp;" "&amp;Milestones!$AC$169&amp;";  ","")&amp;IF(AND(EDATE($D82,Milestones!$AA$170)&lt;=AsOfDate,IF($R82=0,$X82,IF(AND($T82&lt;&gt;"",EDATE($D82,Milestones!$AA$170)&gt;=$T82),$W82,IF(AND($S82&lt;&gt;"",EDATE($D82,Milestones!$AA$170)&gt;=$S82),$V82,$U82)))=Milestones!$AB$170),UPPER(TEXT(EDATE($D82,Milestones!$AA$170),"dd mmm yy"))&amp;" "&amp;Milestones!$AB$170&amp;" "&amp;Milestones!$AC$170&amp;";  ","")&amp;IF(AND(EDATE($D82,Milestones!$AA$171)&lt;=AsOfDate,IF($R82=0,$X82,IF(AND($T82&lt;&gt;"",EDATE($D82,Milestones!$AA$171)&gt;=$T82),$W82,IF(AND($S82&lt;&gt;"",EDATE($D82,Milestones!$AA$171)&gt;=$S82),$V82,$U82)))=Milestones!$AB$171),UPPER(TEXT(EDATE($D82,Milestones!$AA$171),"dd mmm yy"))&amp;" "&amp;Milestones!$AB$171&amp;" "&amp;Milestones!$AC$171&amp;";  ","")&amp;IF(AND(EDATE($D82,Milestones!$AA$172)&lt;=AsOfDate,IF($R82=0,$X82,IF(AND($T82&lt;&gt;"",EDATE($D82,Milestones!$AA$172)&gt;=$T82),$W82,IF(AND($S82&lt;&gt;"",EDATE($D82,Milestones!$AA$172)&gt;=$S82),$V82,$U82)))=Milestones!$AB$172),UPPER(TEXT(EDATE($D82,Milestones!$AA$172),"dd mmm yy"))&amp;" "&amp;Milestones!$AB$172&amp;" "&amp;Milestones!$AC$172&amp;";  ","")&amp;IF(AND(EDATE($D82,Milestones!$AA$173)&lt;=AsOfDate,IF($R82=0,$X82,IF(AND($T82&lt;&gt;"",EDATE($D82,Milestones!$AA$173)&gt;=$T82),$W82,IF(AND($S82&lt;&gt;"",EDATE($D82,Milestones!$AA$173)&gt;=$S82),$V82,$U82)))=Milestones!$AB$173),UPPER(TEXT(EDATE($D82,Milestones!$AA$173),"dd mmm yy"))&amp;" "&amp;Milestones!$AB$173&amp;" "&amp;Milestones!$AC$173&amp;";  ","")&amp;IF(AND(EDATE($D82,Milestones!$AA$174)&lt;=AsOfDate,IF($R82=0,$X82,IF(AND($T82&lt;&gt;"",EDATE($D82,Milestones!$AA$174)&gt;=$T82),$W82,IF(AND($S82&lt;&gt;"",EDATE($D82,Milestones!$AA$174)&gt;=$S82),$V82,$U82)))=Milestones!$AB$174),UPPER(TEXT(EDATE($D82,Milestones!$AA$174),"dd mmm yy"))&amp;" "&amp;Milestones!$AB$174&amp;" "&amp;Milestones!$AC$174&amp;";  ","")&amp;IF(AND(EDATE($D82,Milestones!$AA$175)&lt;=AsOfDate,IF($R82=0,$X82,IF(AND($T82&lt;&gt;"",EDATE($D82,Milestones!$AA$175)&gt;=$T82),$W82,IF(AND($S82&lt;&gt;"",EDATE($D82,Milestones!$AA$175)&gt;=$S82),$V82,$U82)))=Milestones!$AB$175),UPPER(TEXT(EDATE($D82,Milestones!$AA$175),"dd mmm yy"))&amp;" "&amp;Milestones!$AB$175&amp;" "&amp;Milestones!$AC$175&amp;";  ","")&amp;IF(AND(EDATE($D82,Milestones!$AA$176)&lt;=AsOfDate,IF($R82=0,$X82,IF(AND($T82&lt;&gt;"",EDATE($D82,Milestones!$AA$176)&gt;=$T82),$W82,IF(AND($S82&lt;&gt;"",EDATE($D82,Milestones!$AA$176)&gt;=$S82),$V82,$U82)))=Milestones!$AB$176),UPPER(TEXT(EDATE($D82,Milestones!$AA$176),"dd mmm yy"))&amp;" "&amp;Milestones!$AB$176&amp;" "&amp;Milestones!$AC$176&amp;";  ","")&amp;IF(AND(EDATE($D82,Milestones!$AA$177)&lt;=AsOfDate,IF($R82=0,$X82,IF(AND($T82&lt;&gt;"",EDATE($D82,Milestones!$AA$177)&gt;=$T82),$W82,IF(AND($S82&lt;&gt;"",EDATE($D82,Milestones!$AA$177)&gt;=$S82),$V82,$U82)))=Milestones!$AB$177),UPPER(TEXT(EDATE($D82,Milestones!$AA$177),"dd mmm yy"))&amp;" "&amp;Milestones!$AB$177&amp;" "&amp;Milestones!$AC$177&amp;";  ","")&amp;IF(AND(EDATE($D82,Milestones!$AA$178)&lt;=AsOfDate,IF($R82=0,$X82,IF(AND($T82&lt;&gt;"",EDATE($D82,Milestones!$AA$178)&gt;=$T82),$W82,IF(AND($S82&lt;&gt;"",EDATE($D82,Milestones!$AA$178)&gt;=$S82),$V82,$U82)))=Milestones!$AB$178),UPPER(TEXT(EDATE($D82,Milestones!$AA$178),"dd mmm yy"))&amp;" "&amp;Milestones!$AB$178&amp;" "&amp;Milestones!$AC$178&amp;";  ","")&amp;IF(AND(EDATE($D82,Milestones!$AA$179)&lt;=AsOfDate,IF($R82=0,$X82,IF(AND($T82&lt;&gt;"",EDATE($D82,Milestones!$AA$179)&gt;=$T82),$W82,IF(AND($S82&lt;&gt;"",EDATE($D82,Milestones!$AA$179)&gt;=$S82),$V82,$U82)))=Milestones!$AB$179),UPPER(TEXT(EDATE($D82,Milestones!$AA$179),"dd mmm yy"))&amp;" "&amp;Milestones!$AB$179&amp;" "&amp;Milestones!$AC$179&amp;";  ",""))</f>
        <v/>
      </c>
      <c r="Q82" s="0" t="str">
        <f aca="false">IF(OR($A82="",$D82=""),"",IF(AND(EDATE($D82,Milestones!$AA$180)&lt;=AsOfDate,IF($R82=0,$X82,IF(AND($T82&lt;&gt;"",EDATE($D82,Milestones!$AA$180)&gt;=$T82),$W82,IF(AND($S82&lt;&gt;"",EDATE($D82,Milestones!$AA$180)&gt;=$S82),$V82,$U82)))=Milestones!$AB$180),UPPER(TEXT(EDATE($D82,Milestones!$AA$180),"dd mmm yy"))&amp;" "&amp;Milestones!$AB$180&amp;" "&amp;Milestones!$AC$180&amp;";  ","")&amp;IF(AND(EDATE($D82,Milestones!$AA$181)&lt;=AsOfDate,IF($R82=0,$X82,IF(AND($T82&lt;&gt;"",EDATE($D82,Milestones!$AA$181)&gt;=$T82),$W82,IF(AND($S82&lt;&gt;"",EDATE($D82,Milestones!$AA$181)&gt;=$S82),$V82,$U82)))=Milestones!$AB$181),UPPER(TEXT(EDATE($D82,Milestones!$AA$181),"dd mmm yy"))&amp;" "&amp;Milestones!$AB$181&amp;" "&amp;Milestones!$AC$181&amp;";  ","")&amp;IF(AND(EDATE($D82,Milestones!$AA$182)&lt;=AsOfDate,IF($R82=0,$X82,IF(AND($T82&lt;&gt;"",EDATE($D82,Milestones!$AA$182)&gt;=$T82),$W82,IF(AND($S82&lt;&gt;"",EDATE($D82,Milestones!$AA$182)&gt;=$S82),$V82,$U82)))=Milestones!$AB$182),UPPER(TEXT(EDATE($D82,Milestones!$AA$182),"dd mmm yy"))&amp;" "&amp;Milestones!$AB$182&amp;" "&amp;Milestones!$AC$182&amp;";  ","")&amp;IF(AND(EDATE($D82,Milestones!$AA$183)&lt;=AsOfDate,IF($R82=0,$X82,IF(AND($T82&lt;&gt;"",EDATE($D82,Milestones!$AA$183)&gt;=$T82),$W82,IF(AND($S82&lt;&gt;"",EDATE($D82,Milestones!$AA$183)&gt;=$S82),$V82,$U82)))=Milestones!$AB$183),UPPER(TEXT(EDATE($D82,Milestones!$AA$183),"dd mmm yy"))&amp;" "&amp;Milestones!$AB$183&amp;" "&amp;Milestones!$AC$183&amp;";  ","")&amp;IF(AND(EDATE($D82,Milestones!$AA$184)&lt;=AsOfDate,IF($R82=0,$X82,IF(AND($T82&lt;&gt;"",EDATE($D82,Milestones!$AA$184)&gt;=$T82),$W82,IF(AND($S82&lt;&gt;"",EDATE($D82,Milestones!$AA$184)&gt;=$S82),$V82,$U82)))=Milestones!$AB$184),UPPER(TEXT(EDATE($D82,Milestones!$AA$184),"dd mmm yy"))&amp;" "&amp;Milestones!$AB$184&amp;" "&amp;Milestones!$AC$184&amp;";  ","")&amp;IF(AND(EDATE($D82,Milestones!$AA$185)&lt;=AsOfDate,IF($R82=0,$X82,IF(AND($T82&lt;&gt;"",EDATE($D82,Milestones!$AA$185)&gt;=$T82),$W82,IF(AND($S82&lt;&gt;"",EDATE($D82,Milestones!$AA$185)&gt;=$S82),$V82,$U82)))=Milestones!$AB$185),UPPER(TEXT(EDATE($D82,Milestones!$AA$185),"dd mmm yy"))&amp;" "&amp;Milestones!$AB$185&amp;" "&amp;Milestones!$AC$185&amp;";  ","")&amp;IF(AND(EDATE($D82,Milestones!$AA$186)&lt;=AsOfDate,IF($R82=0,$X82,IF(AND($T82&lt;&gt;"",EDATE($D82,Milestones!$AA$186)&gt;=$T82),$W82,IF(AND($S82&lt;&gt;"",EDATE($D82,Milestones!$AA$186)&gt;=$S82),$V82,$U82)))=Milestones!$AB$186),UPPER(TEXT(EDATE($D82,Milestones!$AA$186),"dd mmm yy"))&amp;" "&amp;Milestones!$AB$186&amp;" "&amp;Milestones!$AC$186&amp;";  ","")&amp;IF(AND(EDATE($D82,Milestones!$AA$187)&lt;=AsOfDate,IF($R82=0,$X82,IF(AND($T82&lt;&gt;"",EDATE($D82,Milestones!$AA$187)&gt;=$T82),$W82,IF(AND($S82&lt;&gt;"",EDATE($D82,Milestones!$AA$187)&gt;=$S82),$V82,$U82)))=Milestones!$AB$187),UPPER(TEXT(EDATE($D82,Milestones!$AA$187),"dd mmm yy"))&amp;" "&amp;Milestones!$AB$187&amp;" "&amp;Milestones!$AC$187&amp;";  ","")&amp;IF(AND(EDATE($D82,Milestones!$AA$188)&lt;=AsOfDate,IF($R82=0,$X82,IF(AND($T82&lt;&gt;"",EDATE($D82,Milestones!$AA$188)&gt;=$T82),$W82,IF(AND($S82&lt;&gt;"",EDATE($D82,Milestones!$AA$188)&gt;=$S82),$V82,$U82)))=Milestones!$AB$188),UPPER(TEXT(EDATE($D82,Milestones!$AA$188),"dd mmm yy"))&amp;" "&amp;Milestones!$AB$188&amp;" "&amp;Milestones!$AC$188&amp;";  ","")&amp;IF(AND(EDATE($D82,Milestones!$AA$189)&lt;=AsOfDate,IF($R82=0,$X82,IF(AND($T82&lt;&gt;"",EDATE($D82,Milestones!$AA$189)&gt;=$T82),$W82,IF(AND($S82&lt;&gt;"",EDATE($D82,Milestones!$AA$189)&gt;=$S82),$V82,$U82)))=Milestones!$AB$189),UPPER(TEXT(EDATE($D82,Milestones!$AA$189),"dd mmm yy"))&amp;" "&amp;Milestones!$AB$189&amp;" "&amp;Milestones!$AC$189&amp;";  ","")&amp;IF(AND(EDATE($D82,Milestones!$AA$190)&lt;=AsOfDate,IF($R82=0,$X82,IF(AND($T82&lt;&gt;"",EDATE($D82,Milestones!$AA$190)&gt;=$T82),$W82,IF(AND($S82&lt;&gt;"",EDATE($D82,Milestones!$AA$190)&gt;=$S82),$V82,$U82)))=Milestones!$AB$190),UPPER(TEXT(EDATE($D82,Milestones!$AA$190),"dd mmm yy"))&amp;" "&amp;Milestones!$AB$190&amp;" "&amp;Milestones!$AC$190&amp;";  ","")&amp;IF(AND(EDATE($D82,Milestones!$AA$191)&lt;=AsOfDate,IF($R82=0,$X82,IF(AND($T82&lt;&gt;"",EDATE($D82,Milestones!$AA$191)&gt;=$T82),$W82,IF(AND($S82&lt;&gt;"",EDATE($D82,Milestones!$AA$191)&gt;=$S82),$V82,$U82)))=Milestones!$AB$191),UPPER(TEXT(EDATE($D82,Milestones!$AA$191),"dd mmm yy"))&amp;" "&amp;Milestones!$AB$191&amp;" "&amp;Milestones!$AC$191&amp;";  ","")&amp;IF(AND(EDATE($D82,Milestones!$AA$192)&lt;=AsOfDate,IF($R82=0,$X82,IF(AND($T82&lt;&gt;"",EDATE($D82,Milestones!$AA$192)&gt;=$T82),$W82,IF(AND($S82&lt;&gt;"",EDATE($D82,Milestones!$AA$192)&gt;=$S82),$V82,$U82)))=Milestones!$AB$192),UPPER(TEXT(EDATE($D82,Milestones!$AA$192),"dd mmm yy"))&amp;" "&amp;Milestones!$AB$192&amp;" "&amp;Milestones!$AC$192&amp;";  ","")&amp;IF(AND(EDATE($D82,Milestones!$AA$193)&lt;=AsOfDate,IF($R82=0,$X82,IF(AND($T82&lt;&gt;"",EDATE($D82,Milestones!$AA$193)&gt;=$T82),$W82,IF(AND($S82&lt;&gt;"",EDATE($D82,Milestones!$AA$193)&gt;=$S82),$V82,$U82)))=Milestones!$AB$193),UPPER(TEXT(EDATE($D82,Milestones!$AA$193),"dd mmm yy"))&amp;" "&amp;Milestones!$AB$193&amp;" "&amp;Milestones!$AC$193&amp;";  ","")&amp;IF(AND(EDATE($D82,Milestones!$AA$194)&lt;=AsOfDate,IF($R82=0,$X82,IF(AND($T82&lt;&gt;"",EDATE($D82,Milestones!$AA$194)&gt;=$T82),$W82,IF(AND($S82&lt;&gt;"",EDATE($D82,Milestones!$AA$194)&gt;=$S82),$V82,$U82)))=Milestones!$AB$194),UPPER(TEXT(EDATE($D82,Milestones!$AA$194),"dd mmm yy"))&amp;" "&amp;Milestones!$AB$194&amp;" "&amp;Milestones!$AC$194&amp;";  ","")&amp;IF(AND(EDATE($D82,Milestones!$AA$195)&lt;=AsOfDate,IF($R82=0,$X82,IF(AND($T82&lt;&gt;"",EDATE($D82,Milestones!$AA$195)&gt;=$T82),$W82,IF(AND($S82&lt;&gt;"",EDATE($D82,Milestones!$AA$195)&gt;=$S82),$V82,$U82)))=Milestones!$AB$195),UPPER(TEXT(EDATE($D82,Milestones!$AA$195),"dd mmm yy"))&amp;" "&amp;Milestones!$AB$195&amp;" "&amp;Milestones!$AC$195&amp;";  ","")&amp;IF(AND(EDATE($D82,Milestones!$AA$196)&lt;=AsOfDate,IF($R82=0,$X82,IF(AND($T82&lt;&gt;"",EDATE($D82,Milestones!$AA$196)&gt;=$T82),$W82,IF(AND($S82&lt;&gt;"",EDATE($D82,Milestones!$AA$196)&gt;=$S82),$V82,$U82)))=Milestones!$AB$196),UPPER(TEXT(EDATE($D82,Milestones!$AA$196),"dd mmm yy"))&amp;" "&amp;Milestones!$AB$196&amp;" "&amp;Milestones!$AC$196&amp;";  ","")&amp;IF(AND(EDATE($D82,Milestones!$AA$197)&lt;=AsOfDate,IF($R82=0,$X82,IF(AND($T82&lt;&gt;"",EDATE($D82,Milestones!$AA$197)&gt;=$T82),$W82,IF(AND($S82&lt;&gt;"",EDATE($D82,Milestones!$AA$197)&gt;=$S82),$V82,$U82)))=Milestones!$AB$197),UPPER(TEXT(EDATE($D82,Milestones!$AA$197),"dd mmm yy"))&amp;" "&amp;Milestones!$AB$197&amp;" "&amp;Milestones!$AC$197&amp;";  ","")&amp;IF(AND(EDATE($D82,Milestones!$AA$198)&lt;=AsOfDate,IF($R82=0,$X82,IF(AND($T82&lt;&gt;"",EDATE($D82,Milestones!$AA$198)&gt;=$T82),$W82,IF(AND($S82&lt;&gt;"",EDATE($D82,Milestones!$AA$198)&gt;=$S82),$V82,$U82)))=Milestones!$AB$198),UPPER(TEXT(EDATE($D82,Milestones!$AA$198),"dd mmm yy"))&amp;" "&amp;Milestones!$AB$198&amp;" "&amp;Milestones!$AC$198&amp;";  ","")&amp;IF(AND(EDATE($D82,Milestones!$AA$199)&lt;=AsOfDate,IF($R82=0,$X82,IF(AND($T82&lt;&gt;"",EDATE($D82,Milestones!$AA$199)&gt;=$T82),$W82,IF(AND($S82&lt;&gt;"",EDATE($D82,Milestones!$AA$199)&gt;=$S82),$V82,$U82)))=Milestones!$AB$199),UPPER(TEXT(EDATE($D82,Milestones!$AA$199),"dd mmm yy"))&amp;" "&amp;Milestones!$AB$199&amp;" "&amp;Milestones!$AC$199&amp;";  ",""))</f>
        <v/>
      </c>
      <c r="R82" s="0" t="str">
        <f aca="false">IF(Staff!$A82="","",Staff!$AI82)</f>
        <v/>
      </c>
      <c r="S82" s="0" t="str">
        <f aca="false">IF(Staff!$A82="","",Staff!$AK82)</f>
        <v/>
      </c>
      <c r="T82" s="0" t="str">
        <f aca="false">IF(Staff!$A82="","",Staff!$AL82)</f>
        <v/>
      </c>
      <c r="U82" s="0" t="str">
        <f aca="false">IF(Staff!$A82="","",Staff!$AP82)</f>
        <v/>
      </c>
      <c r="V82" s="0" t="str">
        <f aca="false">IF(Staff!$A82="","",Staff!$AQ82)</f>
        <v/>
      </c>
      <c r="W82" s="0" t="str">
        <f aca="false">IF(Staff!$A82="","",Staff!$AR82)</f>
        <v/>
      </c>
      <c r="X82" s="0" t="str">
        <f aca="false">IF(Staff!$A82="","",Staff!$AS82)</f>
        <v/>
      </c>
    </row>
    <row r="83" customFormat="false" ht="15" hidden="false" customHeight="false" outlineLevel="0" collapsed="false">
      <c r="A83" s="19" t="str">
        <f aca="false">IF(Staff!$A83="","",Staff!$A83)</f>
        <v/>
      </c>
      <c r="B83" s="19" t="str">
        <f aca="false">IF(Staff!$A83="","",Staff!$B83)</f>
        <v/>
      </c>
      <c r="C83" s="19" t="str">
        <f aca="false">IF(Staff!$A83="","",Staff!$C83)</f>
        <v/>
      </c>
      <c r="D83" s="17" t="str">
        <f aca="false">IF(Staff!$A83="","",Staff!$AH83)</f>
        <v/>
      </c>
      <c r="E83" s="19" t="str">
        <f aca="false">IF(Staff!$A83="","",Staff!$O83)</f>
        <v/>
      </c>
      <c r="F83" s="19" t="str">
        <f aca="false">IF(E83="","",E83*HoursPerDay)</f>
        <v/>
      </c>
      <c r="G83" s="19" t="str">
        <f aca="false">IF(Staff!$A83="","",Staff!$AE83)</f>
        <v/>
      </c>
      <c r="H83" s="32" t="str">
        <f aca="false">IF($A83="","",I83&amp;J83&amp;K83&amp;L83&amp;M83&amp;N83&amp;O83&amp;P83&amp;Q83)</f>
        <v/>
      </c>
      <c r="I83" s="0" t="str">
        <f aca="false">IF(OR($A83="",$D83=""),"",IF(AND(EDATE($D83,Milestones!$AA$20)&lt;=AsOfDate,IF($R83=0,$X83,IF(AND($T83&lt;&gt;"",EDATE($D83,Milestones!$AA$20)&gt;=$T83),$W83,IF(AND($S83&lt;&gt;"",EDATE($D83,Milestones!$AA$20)&gt;=$S83),$V83,$U83)))=Milestones!$AB$20),UPPER(TEXT(EDATE($D83,Milestones!$AA$20),"dd mmm yy"))&amp;" "&amp;Milestones!$AB$20&amp;" "&amp;Milestones!$AC$20&amp;";  ","")&amp;IF(AND(EDATE($D83,Milestones!$AA$21)&lt;=AsOfDate,IF($R83=0,$X83,IF(AND($T83&lt;&gt;"",EDATE($D83,Milestones!$AA$21)&gt;=$T83),$W83,IF(AND($S83&lt;&gt;"",EDATE($D83,Milestones!$AA$21)&gt;=$S83),$V83,$U83)))=Milestones!$AB$21),UPPER(TEXT(EDATE($D83,Milestones!$AA$21),"dd mmm yy"))&amp;" "&amp;Milestones!$AB$21&amp;" "&amp;Milestones!$AC$21&amp;";  ","")&amp;IF(AND(EDATE($D83,Milestones!$AA$22)&lt;=AsOfDate,IF($R83=0,$X83,IF(AND($T83&lt;&gt;"",EDATE($D83,Milestones!$AA$22)&gt;=$T83),$W83,IF(AND($S83&lt;&gt;"",EDATE($D83,Milestones!$AA$22)&gt;=$S83),$V83,$U83)))=Milestones!$AB$22),UPPER(TEXT(EDATE($D83,Milestones!$AA$22),"dd mmm yy"))&amp;" "&amp;Milestones!$AB$22&amp;" "&amp;Milestones!$AC$22&amp;";  ","")&amp;IF(AND(EDATE($D83,Milestones!$AA$23)&lt;=AsOfDate,IF($R83=0,$X83,IF(AND($T83&lt;&gt;"",EDATE($D83,Milestones!$AA$23)&gt;=$T83),$W83,IF(AND($S83&lt;&gt;"",EDATE($D83,Milestones!$AA$23)&gt;=$S83),$V83,$U83)))=Milestones!$AB$23),UPPER(TEXT(EDATE($D83,Milestones!$AA$23),"dd mmm yy"))&amp;" "&amp;Milestones!$AB$23&amp;" "&amp;Milestones!$AC$23&amp;";  ","")&amp;IF(AND(EDATE($D83,Milestones!$AA$24)&lt;=AsOfDate,IF($R83=0,$X83,IF(AND($T83&lt;&gt;"",EDATE($D83,Milestones!$AA$24)&gt;=$T83),$W83,IF(AND($S83&lt;&gt;"",EDATE($D83,Milestones!$AA$24)&gt;=$S83),$V83,$U83)))=Milestones!$AB$24),UPPER(TEXT(EDATE($D83,Milestones!$AA$24),"dd mmm yy"))&amp;" "&amp;Milestones!$AB$24&amp;" "&amp;Milestones!$AC$24&amp;";  ","")&amp;IF(AND(EDATE($D83,Milestones!$AA$25)&lt;=AsOfDate,IF($R83=0,$X83,IF(AND($T83&lt;&gt;"",EDATE($D83,Milestones!$AA$25)&gt;=$T83),$W83,IF(AND($S83&lt;&gt;"",EDATE($D83,Milestones!$AA$25)&gt;=$S83),$V83,$U83)))=Milestones!$AB$25),UPPER(TEXT(EDATE($D83,Milestones!$AA$25),"dd mmm yy"))&amp;" "&amp;Milestones!$AB$25&amp;" "&amp;Milestones!$AC$25&amp;";  ","")&amp;IF(AND(EDATE($D83,Milestones!$AA$26)&lt;=AsOfDate,IF($R83=0,$X83,IF(AND($T83&lt;&gt;"",EDATE($D83,Milestones!$AA$26)&gt;=$T83),$W83,IF(AND($S83&lt;&gt;"",EDATE($D83,Milestones!$AA$26)&gt;=$S83),$V83,$U83)))=Milestones!$AB$26),UPPER(TEXT(EDATE($D83,Milestones!$AA$26),"dd mmm yy"))&amp;" "&amp;Milestones!$AB$26&amp;" "&amp;Milestones!$AC$26&amp;";  ","")&amp;IF(AND(EDATE($D83,Milestones!$AA$27)&lt;=AsOfDate,IF($R83=0,$X83,IF(AND($T83&lt;&gt;"",EDATE($D83,Milestones!$AA$27)&gt;=$T83),$W83,IF(AND($S83&lt;&gt;"",EDATE($D83,Milestones!$AA$27)&gt;=$S83),$V83,$U83)))=Milestones!$AB$27),UPPER(TEXT(EDATE($D83,Milestones!$AA$27),"dd mmm yy"))&amp;" "&amp;Milestones!$AB$27&amp;" "&amp;Milestones!$AC$27&amp;";  ","")&amp;IF(AND(EDATE($D83,Milestones!$AA$28)&lt;=AsOfDate,IF($R83=0,$X83,IF(AND($T83&lt;&gt;"",EDATE($D83,Milestones!$AA$28)&gt;=$T83),$W83,IF(AND($S83&lt;&gt;"",EDATE($D83,Milestones!$AA$28)&gt;=$S83),$V83,$U83)))=Milestones!$AB$28),UPPER(TEXT(EDATE($D83,Milestones!$AA$28),"dd mmm yy"))&amp;" "&amp;Milestones!$AB$28&amp;" "&amp;Milestones!$AC$28&amp;";  ","")&amp;IF(AND(EDATE($D83,Milestones!$AA$29)&lt;=AsOfDate,IF($R83=0,$X83,IF(AND($T83&lt;&gt;"",EDATE($D83,Milestones!$AA$29)&gt;=$T83),$W83,IF(AND($S83&lt;&gt;"",EDATE($D83,Milestones!$AA$29)&gt;=$S83),$V83,$U83)))=Milestones!$AB$29),UPPER(TEXT(EDATE($D83,Milestones!$AA$29),"dd mmm yy"))&amp;" "&amp;Milestones!$AB$29&amp;" "&amp;Milestones!$AC$29&amp;";  ","")&amp;IF(AND(EDATE($D83,Milestones!$AA$30)&lt;=AsOfDate,IF($R83=0,$X83,IF(AND($T83&lt;&gt;"",EDATE($D83,Milestones!$AA$30)&gt;=$T83),$W83,IF(AND($S83&lt;&gt;"",EDATE($D83,Milestones!$AA$30)&gt;=$S83),$V83,$U83)))=Milestones!$AB$30),UPPER(TEXT(EDATE($D83,Milestones!$AA$30),"dd mmm yy"))&amp;" "&amp;Milestones!$AB$30&amp;" "&amp;Milestones!$AC$30&amp;";  ","")&amp;IF(AND(EDATE($D83,Milestones!$AA$31)&lt;=AsOfDate,IF($R83=0,$X83,IF(AND($T83&lt;&gt;"",EDATE($D83,Milestones!$AA$31)&gt;=$T83),$W83,IF(AND($S83&lt;&gt;"",EDATE($D83,Milestones!$AA$31)&gt;=$S83),$V83,$U83)))=Milestones!$AB$31),UPPER(TEXT(EDATE($D83,Milestones!$AA$31),"dd mmm yy"))&amp;" "&amp;Milestones!$AB$31&amp;" "&amp;Milestones!$AC$31&amp;";  ","")&amp;IF(AND(EDATE($D83,Milestones!$AA$32)&lt;=AsOfDate,IF($R83=0,$X83,IF(AND($T83&lt;&gt;"",EDATE($D83,Milestones!$AA$32)&gt;=$T83),$W83,IF(AND($S83&lt;&gt;"",EDATE($D83,Milestones!$AA$32)&gt;=$S83),$V83,$U83)))=Milestones!$AB$32),UPPER(TEXT(EDATE($D83,Milestones!$AA$32),"dd mmm yy"))&amp;" "&amp;Milestones!$AB$32&amp;" "&amp;Milestones!$AC$32&amp;";  ","")&amp;IF(AND(EDATE($D83,Milestones!$AA$33)&lt;=AsOfDate,IF($R83=0,$X83,IF(AND($T83&lt;&gt;"",EDATE($D83,Milestones!$AA$33)&gt;=$T83),$W83,IF(AND($S83&lt;&gt;"",EDATE($D83,Milestones!$AA$33)&gt;=$S83),$V83,$U83)))=Milestones!$AB$33),UPPER(TEXT(EDATE($D83,Milestones!$AA$33),"dd mmm yy"))&amp;" "&amp;Milestones!$AB$33&amp;" "&amp;Milestones!$AC$33&amp;";  ","")&amp;IF(AND(EDATE($D83,Milestones!$AA$34)&lt;=AsOfDate,IF($R83=0,$X83,IF(AND($T83&lt;&gt;"",EDATE($D83,Milestones!$AA$34)&gt;=$T83),$W83,IF(AND($S83&lt;&gt;"",EDATE($D83,Milestones!$AA$34)&gt;=$S83),$V83,$U83)))=Milestones!$AB$34),UPPER(TEXT(EDATE($D83,Milestones!$AA$34),"dd mmm yy"))&amp;" "&amp;Milestones!$AB$34&amp;" "&amp;Milestones!$AC$34&amp;";  ","")&amp;IF(AND(EDATE($D83,Milestones!$AA$35)&lt;=AsOfDate,IF($R83=0,$X83,IF(AND($T83&lt;&gt;"",EDATE($D83,Milestones!$AA$35)&gt;=$T83),$W83,IF(AND($S83&lt;&gt;"",EDATE($D83,Milestones!$AA$35)&gt;=$S83),$V83,$U83)))=Milestones!$AB$35),UPPER(TEXT(EDATE($D83,Milestones!$AA$35),"dd mmm yy"))&amp;" "&amp;Milestones!$AB$35&amp;" "&amp;Milestones!$AC$35&amp;";  ","")&amp;IF(AND(EDATE($D83,Milestones!$AA$36)&lt;=AsOfDate,IF($R83=0,$X83,IF(AND($T83&lt;&gt;"",EDATE($D83,Milestones!$AA$36)&gt;=$T83),$W83,IF(AND($S83&lt;&gt;"",EDATE($D83,Milestones!$AA$36)&gt;=$S83),$V83,$U83)))=Milestones!$AB$36),UPPER(TEXT(EDATE($D83,Milestones!$AA$36),"dd mmm yy"))&amp;" "&amp;Milestones!$AB$36&amp;" "&amp;Milestones!$AC$36&amp;";  ","")&amp;IF(AND(EDATE($D83,Milestones!$AA$37)&lt;=AsOfDate,IF($R83=0,$X83,IF(AND($T83&lt;&gt;"",EDATE($D83,Milestones!$AA$37)&gt;=$T83),$W83,IF(AND($S83&lt;&gt;"",EDATE($D83,Milestones!$AA$37)&gt;=$S83),$V83,$U83)))=Milestones!$AB$37),UPPER(TEXT(EDATE($D83,Milestones!$AA$37),"dd mmm yy"))&amp;" "&amp;Milestones!$AB$37&amp;" "&amp;Milestones!$AC$37&amp;";  ","")&amp;IF(AND(EDATE($D83,Milestones!$AA$38)&lt;=AsOfDate,IF($R83=0,$X83,IF(AND($T83&lt;&gt;"",EDATE($D83,Milestones!$AA$38)&gt;=$T83),$W83,IF(AND($S83&lt;&gt;"",EDATE($D83,Milestones!$AA$38)&gt;=$S83),$V83,$U83)))=Milestones!$AB$38),UPPER(TEXT(EDATE($D83,Milestones!$AA$38),"dd mmm yy"))&amp;" "&amp;Milestones!$AB$38&amp;" "&amp;Milestones!$AC$38&amp;";  ","")&amp;IF(AND(EDATE($D83,Milestones!$AA$39)&lt;=AsOfDate,IF($R83=0,$X83,IF(AND($T83&lt;&gt;"",EDATE($D83,Milestones!$AA$39)&gt;=$T83),$W83,IF(AND($S83&lt;&gt;"",EDATE($D83,Milestones!$AA$39)&gt;=$S83),$V83,$U83)))=Milestones!$AB$39),UPPER(TEXT(EDATE($D83,Milestones!$AA$39),"dd mmm yy"))&amp;" "&amp;Milestones!$AB$39&amp;" "&amp;Milestones!$AC$39&amp;";  ",""))</f>
        <v/>
      </c>
      <c r="J83" s="0" t="str">
        <f aca="false">IF(OR($A83="",$D83=""),"",IF(AND(EDATE($D83,Milestones!$AA$40)&lt;=AsOfDate,IF($R83=0,$X83,IF(AND($T83&lt;&gt;"",EDATE($D83,Milestones!$AA$40)&gt;=$T83),$W83,IF(AND($S83&lt;&gt;"",EDATE($D83,Milestones!$AA$40)&gt;=$S83),$V83,$U83)))=Milestones!$AB$40),UPPER(TEXT(EDATE($D83,Milestones!$AA$40),"dd mmm yy"))&amp;" "&amp;Milestones!$AB$40&amp;" "&amp;Milestones!$AC$40&amp;";  ","")&amp;IF(AND(EDATE($D83,Milestones!$AA$41)&lt;=AsOfDate,IF($R83=0,$X83,IF(AND($T83&lt;&gt;"",EDATE($D83,Milestones!$AA$41)&gt;=$T83),$W83,IF(AND($S83&lt;&gt;"",EDATE($D83,Milestones!$AA$41)&gt;=$S83),$V83,$U83)))=Milestones!$AB$41),UPPER(TEXT(EDATE($D83,Milestones!$AA$41),"dd mmm yy"))&amp;" "&amp;Milestones!$AB$41&amp;" "&amp;Milestones!$AC$41&amp;";  ","")&amp;IF(AND(EDATE($D83,Milestones!$AA$42)&lt;=AsOfDate,IF($R83=0,$X83,IF(AND($T83&lt;&gt;"",EDATE($D83,Milestones!$AA$42)&gt;=$T83),$W83,IF(AND($S83&lt;&gt;"",EDATE($D83,Milestones!$AA$42)&gt;=$S83),$V83,$U83)))=Milestones!$AB$42),UPPER(TEXT(EDATE($D83,Milestones!$AA$42),"dd mmm yy"))&amp;" "&amp;Milestones!$AB$42&amp;" "&amp;Milestones!$AC$42&amp;";  ","")&amp;IF(AND(EDATE($D83,Milestones!$AA$43)&lt;=AsOfDate,IF($R83=0,$X83,IF(AND($T83&lt;&gt;"",EDATE($D83,Milestones!$AA$43)&gt;=$T83),$W83,IF(AND($S83&lt;&gt;"",EDATE($D83,Milestones!$AA$43)&gt;=$S83),$V83,$U83)))=Milestones!$AB$43),UPPER(TEXT(EDATE($D83,Milestones!$AA$43),"dd mmm yy"))&amp;" "&amp;Milestones!$AB$43&amp;" "&amp;Milestones!$AC$43&amp;";  ","")&amp;IF(AND(EDATE($D83,Milestones!$AA$44)&lt;=AsOfDate,IF($R83=0,$X83,IF(AND($T83&lt;&gt;"",EDATE($D83,Milestones!$AA$44)&gt;=$T83),$W83,IF(AND($S83&lt;&gt;"",EDATE($D83,Milestones!$AA$44)&gt;=$S83),$V83,$U83)))=Milestones!$AB$44),UPPER(TEXT(EDATE($D83,Milestones!$AA$44),"dd mmm yy"))&amp;" "&amp;Milestones!$AB$44&amp;" "&amp;Milestones!$AC$44&amp;";  ","")&amp;IF(AND(EDATE($D83,Milestones!$AA$45)&lt;=AsOfDate,IF($R83=0,$X83,IF(AND($T83&lt;&gt;"",EDATE($D83,Milestones!$AA$45)&gt;=$T83),$W83,IF(AND($S83&lt;&gt;"",EDATE($D83,Milestones!$AA$45)&gt;=$S83),$V83,$U83)))=Milestones!$AB$45),UPPER(TEXT(EDATE($D83,Milestones!$AA$45),"dd mmm yy"))&amp;" "&amp;Milestones!$AB$45&amp;" "&amp;Milestones!$AC$45&amp;";  ","")&amp;IF(AND(EDATE($D83,Milestones!$AA$46)&lt;=AsOfDate,IF($R83=0,$X83,IF(AND($T83&lt;&gt;"",EDATE($D83,Milestones!$AA$46)&gt;=$T83),$W83,IF(AND($S83&lt;&gt;"",EDATE($D83,Milestones!$AA$46)&gt;=$S83),$V83,$U83)))=Milestones!$AB$46),UPPER(TEXT(EDATE($D83,Milestones!$AA$46),"dd mmm yy"))&amp;" "&amp;Milestones!$AB$46&amp;" "&amp;Milestones!$AC$46&amp;";  ","")&amp;IF(AND(EDATE($D83,Milestones!$AA$47)&lt;=AsOfDate,IF($R83=0,$X83,IF(AND($T83&lt;&gt;"",EDATE($D83,Milestones!$AA$47)&gt;=$T83),$W83,IF(AND($S83&lt;&gt;"",EDATE($D83,Milestones!$AA$47)&gt;=$S83),$V83,$U83)))=Milestones!$AB$47),UPPER(TEXT(EDATE($D83,Milestones!$AA$47),"dd mmm yy"))&amp;" "&amp;Milestones!$AB$47&amp;" "&amp;Milestones!$AC$47&amp;";  ","")&amp;IF(AND(EDATE($D83,Milestones!$AA$48)&lt;=AsOfDate,IF($R83=0,$X83,IF(AND($T83&lt;&gt;"",EDATE($D83,Milestones!$AA$48)&gt;=$T83),$W83,IF(AND($S83&lt;&gt;"",EDATE($D83,Milestones!$AA$48)&gt;=$S83),$V83,$U83)))=Milestones!$AB$48),UPPER(TEXT(EDATE($D83,Milestones!$AA$48),"dd mmm yy"))&amp;" "&amp;Milestones!$AB$48&amp;" "&amp;Milestones!$AC$48&amp;";  ","")&amp;IF(AND(EDATE($D83,Milestones!$AA$49)&lt;=AsOfDate,IF($R83=0,$X83,IF(AND($T83&lt;&gt;"",EDATE($D83,Milestones!$AA$49)&gt;=$T83),$W83,IF(AND($S83&lt;&gt;"",EDATE($D83,Milestones!$AA$49)&gt;=$S83),$V83,$U83)))=Milestones!$AB$49),UPPER(TEXT(EDATE($D83,Milestones!$AA$49),"dd mmm yy"))&amp;" "&amp;Milestones!$AB$49&amp;" "&amp;Milestones!$AC$49&amp;";  ","")&amp;IF(AND(EDATE($D83,Milestones!$AA$50)&lt;=AsOfDate,IF($R83=0,$X83,IF(AND($T83&lt;&gt;"",EDATE($D83,Milestones!$AA$50)&gt;=$T83),$W83,IF(AND($S83&lt;&gt;"",EDATE($D83,Milestones!$AA$50)&gt;=$S83),$V83,$U83)))=Milestones!$AB$50),UPPER(TEXT(EDATE($D83,Milestones!$AA$50),"dd mmm yy"))&amp;" "&amp;Milestones!$AB$50&amp;" "&amp;Milestones!$AC$50&amp;";  ","")&amp;IF(AND(EDATE($D83,Milestones!$AA$51)&lt;=AsOfDate,IF($R83=0,$X83,IF(AND($T83&lt;&gt;"",EDATE($D83,Milestones!$AA$51)&gt;=$T83),$W83,IF(AND($S83&lt;&gt;"",EDATE($D83,Milestones!$AA$51)&gt;=$S83),$V83,$U83)))=Milestones!$AB$51),UPPER(TEXT(EDATE($D83,Milestones!$AA$51),"dd mmm yy"))&amp;" "&amp;Milestones!$AB$51&amp;" "&amp;Milestones!$AC$51&amp;";  ","")&amp;IF(AND(EDATE($D83,Milestones!$AA$52)&lt;=AsOfDate,IF($R83=0,$X83,IF(AND($T83&lt;&gt;"",EDATE($D83,Milestones!$AA$52)&gt;=$T83),$W83,IF(AND($S83&lt;&gt;"",EDATE($D83,Milestones!$AA$52)&gt;=$S83),$V83,$U83)))=Milestones!$AB$52),UPPER(TEXT(EDATE($D83,Milestones!$AA$52),"dd mmm yy"))&amp;" "&amp;Milestones!$AB$52&amp;" "&amp;Milestones!$AC$52&amp;";  ","")&amp;IF(AND(EDATE($D83,Milestones!$AA$53)&lt;=AsOfDate,IF($R83=0,$X83,IF(AND($T83&lt;&gt;"",EDATE($D83,Milestones!$AA$53)&gt;=$T83),$W83,IF(AND($S83&lt;&gt;"",EDATE($D83,Milestones!$AA$53)&gt;=$S83),$V83,$U83)))=Milestones!$AB$53),UPPER(TEXT(EDATE($D83,Milestones!$AA$53),"dd mmm yy"))&amp;" "&amp;Milestones!$AB$53&amp;" "&amp;Milestones!$AC$53&amp;";  ","")&amp;IF(AND(EDATE($D83,Milestones!$AA$54)&lt;=AsOfDate,IF($R83=0,$X83,IF(AND($T83&lt;&gt;"",EDATE($D83,Milestones!$AA$54)&gt;=$T83),$W83,IF(AND($S83&lt;&gt;"",EDATE($D83,Milestones!$AA$54)&gt;=$S83),$V83,$U83)))=Milestones!$AB$54),UPPER(TEXT(EDATE($D83,Milestones!$AA$54),"dd mmm yy"))&amp;" "&amp;Milestones!$AB$54&amp;" "&amp;Milestones!$AC$54&amp;";  ","")&amp;IF(AND(EDATE($D83,Milestones!$AA$55)&lt;=AsOfDate,IF($R83=0,$X83,IF(AND($T83&lt;&gt;"",EDATE($D83,Milestones!$AA$55)&gt;=$T83),$W83,IF(AND($S83&lt;&gt;"",EDATE($D83,Milestones!$AA$55)&gt;=$S83),$V83,$U83)))=Milestones!$AB$55),UPPER(TEXT(EDATE($D83,Milestones!$AA$55),"dd mmm yy"))&amp;" "&amp;Milestones!$AB$55&amp;" "&amp;Milestones!$AC$55&amp;";  ","")&amp;IF(AND(EDATE($D83,Milestones!$AA$56)&lt;=AsOfDate,IF($R83=0,$X83,IF(AND($T83&lt;&gt;"",EDATE($D83,Milestones!$AA$56)&gt;=$T83),$W83,IF(AND($S83&lt;&gt;"",EDATE($D83,Milestones!$AA$56)&gt;=$S83),$V83,$U83)))=Milestones!$AB$56),UPPER(TEXT(EDATE($D83,Milestones!$AA$56),"dd mmm yy"))&amp;" "&amp;Milestones!$AB$56&amp;" "&amp;Milestones!$AC$56&amp;";  ","")&amp;IF(AND(EDATE($D83,Milestones!$AA$57)&lt;=AsOfDate,IF($R83=0,$X83,IF(AND($T83&lt;&gt;"",EDATE($D83,Milestones!$AA$57)&gt;=$T83),$W83,IF(AND($S83&lt;&gt;"",EDATE($D83,Milestones!$AA$57)&gt;=$S83),$V83,$U83)))=Milestones!$AB$57),UPPER(TEXT(EDATE($D83,Milestones!$AA$57),"dd mmm yy"))&amp;" "&amp;Milestones!$AB$57&amp;" "&amp;Milestones!$AC$57&amp;";  ","")&amp;IF(AND(EDATE($D83,Milestones!$AA$58)&lt;=AsOfDate,IF($R83=0,$X83,IF(AND($T83&lt;&gt;"",EDATE($D83,Milestones!$AA$58)&gt;=$T83),$W83,IF(AND($S83&lt;&gt;"",EDATE($D83,Milestones!$AA$58)&gt;=$S83),$V83,$U83)))=Milestones!$AB$58),UPPER(TEXT(EDATE($D83,Milestones!$AA$58),"dd mmm yy"))&amp;" "&amp;Milestones!$AB$58&amp;" "&amp;Milestones!$AC$58&amp;";  ","")&amp;IF(AND(EDATE($D83,Milestones!$AA$59)&lt;=AsOfDate,IF($R83=0,$X83,IF(AND($T83&lt;&gt;"",EDATE($D83,Milestones!$AA$59)&gt;=$T83),$W83,IF(AND($S83&lt;&gt;"",EDATE($D83,Milestones!$AA$59)&gt;=$S83),$V83,$U83)))=Milestones!$AB$59),UPPER(TEXT(EDATE($D83,Milestones!$AA$59),"dd mmm yy"))&amp;" "&amp;Milestones!$AB$59&amp;" "&amp;Milestones!$AC$59&amp;";  ",""))</f>
        <v/>
      </c>
      <c r="K83" s="0" t="str">
        <f aca="false">IF(OR($A83="",$D83=""),"",IF(AND(EDATE($D83,Milestones!$AA$60)&lt;=AsOfDate,IF($R83=0,$X83,IF(AND($T83&lt;&gt;"",EDATE($D83,Milestones!$AA$60)&gt;=$T83),$W83,IF(AND($S83&lt;&gt;"",EDATE($D83,Milestones!$AA$60)&gt;=$S83),$V83,$U83)))=Milestones!$AB$60),UPPER(TEXT(EDATE($D83,Milestones!$AA$60),"dd mmm yy"))&amp;" "&amp;Milestones!$AB$60&amp;" "&amp;Milestones!$AC$60&amp;";  ","")&amp;IF(AND(EDATE($D83,Milestones!$AA$61)&lt;=AsOfDate,IF($R83=0,$X83,IF(AND($T83&lt;&gt;"",EDATE($D83,Milestones!$AA$61)&gt;=$T83),$W83,IF(AND($S83&lt;&gt;"",EDATE($D83,Milestones!$AA$61)&gt;=$S83),$V83,$U83)))=Milestones!$AB$61),UPPER(TEXT(EDATE($D83,Milestones!$AA$61),"dd mmm yy"))&amp;" "&amp;Milestones!$AB$61&amp;" "&amp;Milestones!$AC$61&amp;";  ","")&amp;IF(AND(EDATE($D83,Milestones!$AA$62)&lt;=AsOfDate,IF($R83=0,$X83,IF(AND($T83&lt;&gt;"",EDATE($D83,Milestones!$AA$62)&gt;=$T83),$W83,IF(AND($S83&lt;&gt;"",EDATE($D83,Milestones!$AA$62)&gt;=$S83),$V83,$U83)))=Milestones!$AB$62),UPPER(TEXT(EDATE($D83,Milestones!$AA$62),"dd mmm yy"))&amp;" "&amp;Milestones!$AB$62&amp;" "&amp;Milestones!$AC$62&amp;";  ","")&amp;IF(AND(EDATE($D83,Milestones!$AA$63)&lt;=AsOfDate,IF($R83=0,$X83,IF(AND($T83&lt;&gt;"",EDATE($D83,Milestones!$AA$63)&gt;=$T83),$W83,IF(AND($S83&lt;&gt;"",EDATE($D83,Milestones!$AA$63)&gt;=$S83),$V83,$U83)))=Milestones!$AB$63),UPPER(TEXT(EDATE($D83,Milestones!$AA$63),"dd mmm yy"))&amp;" "&amp;Milestones!$AB$63&amp;" "&amp;Milestones!$AC$63&amp;";  ","")&amp;IF(AND(EDATE($D83,Milestones!$AA$64)&lt;=AsOfDate,IF($R83=0,$X83,IF(AND($T83&lt;&gt;"",EDATE($D83,Milestones!$AA$64)&gt;=$T83),$W83,IF(AND($S83&lt;&gt;"",EDATE($D83,Milestones!$AA$64)&gt;=$S83),$V83,$U83)))=Milestones!$AB$64),UPPER(TEXT(EDATE($D83,Milestones!$AA$64),"dd mmm yy"))&amp;" "&amp;Milestones!$AB$64&amp;" "&amp;Milestones!$AC$64&amp;";  ","")&amp;IF(AND(EDATE($D83,Milestones!$AA$65)&lt;=AsOfDate,IF($R83=0,$X83,IF(AND($T83&lt;&gt;"",EDATE($D83,Milestones!$AA$65)&gt;=$T83),$W83,IF(AND($S83&lt;&gt;"",EDATE($D83,Milestones!$AA$65)&gt;=$S83),$V83,$U83)))=Milestones!$AB$65),UPPER(TEXT(EDATE($D83,Milestones!$AA$65),"dd mmm yy"))&amp;" "&amp;Milestones!$AB$65&amp;" "&amp;Milestones!$AC$65&amp;";  ","")&amp;IF(AND(EDATE($D83,Milestones!$AA$66)&lt;=AsOfDate,IF($R83=0,$X83,IF(AND($T83&lt;&gt;"",EDATE($D83,Milestones!$AA$66)&gt;=$T83),$W83,IF(AND($S83&lt;&gt;"",EDATE($D83,Milestones!$AA$66)&gt;=$S83),$V83,$U83)))=Milestones!$AB$66),UPPER(TEXT(EDATE($D83,Milestones!$AA$66),"dd mmm yy"))&amp;" "&amp;Milestones!$AB$66&amp;" "&amp;Milestones!$AC$66&amp;";  ","")&amp;IF(AND(EDATE($D83,Milestones!$AA$67)&lt;=AsOfDate,IF($R83=0,$X83,IF(AND($T83&lt;&gt;"",EDATE($D83,Milestones!$AA$67)&gt;=$T83),$W83,IF(AND($S83&lt;&gt;"",EDATE($D83,Milestones!$AA$67)&gt;=$S83),$V83,$U83)))=Milestones!$AB$67),UPPER(TEXT(EDATE($D83,Milestones!$AA$67),"dd mmm yy"))&amp;" "&amp;Milestones!$AB$67&amp;" "&amp;Milestones!$AC$67&amp;";  ","")&amp;IF(AND(EDATE($D83,Milestones!$AA$68)&lt;=AsOfDate,IF($R83=0,$X83,IF(AND($T83&lt;&gt;"",EDATE($D83,Milestones!$AA$68)&gt;=$T83),$W83,IF(AND($S83&lt;&gt;"",EDATE($D83,Milestones!$AA$68)&gt;=$S83),$V83,$U83)))=Milestones!$AB$68),UPPER(TEXT(EDATE($D83,Milestones!$AA$68),"dd mmm yy"))&amp;" "&amp;Milestones!$AB$68&amp;" "&amp;Milestones!$AC$68&amp;";  ","")&amp;IF(AND(EDATE($D83,Milestones!$AA$69)&lt;=AsOfDate,IF($R83=0,$X83,IF(AND($T83&lt;&gt;"",EDATE($D83,Milestones!$AA$69)&gt;=$T83),$W83,IF(AND($S83&lt;&gt;"",EDATE($D83,Milestones!$AA$69)&gt;=$S83),$V83,$U83)))=Milestones!$AB$69),UPPER(TEXT(EDATE($D83,Milestones!$AA$69),"dd mmm yy"))&amp;" "&amp;Milestones!$AB$69&amp;" "&amp;Milestones!$AC$69&amp;";  ","")&amp;IF(AND(EDATE($D83,Milestones!$AA$70)&lt;=AsOfDate,IF($R83=0,$X83,IF(AND($T83&lt;&gt;"",EDATE($D83,Milestones!$AA$70)&gt;=$T83),$W83,IF(AND($S83&lt;&gt;"",EDATE($D83,Milestones!$AA$70)&gt;=$S83),$V83,$U83)))=Milestones!$AB$70),UPPER(TEXT(EDATE($D83,Milestones!$AA$70),"dd mmm yy"))&amp;" "&amp;Milestones!$AB$70&amp;" "&amp;Milestones!$AC$70&amp;";  ","")&amp;IF(AND(EDATE($D83,Milestones!$AA$71)&lt;=AsOfDate,IF($R83=0,$X83,IF(AND($T83&lt;&gt;"",EDATE($D83,Milestones!$AA$71)&gt;=$T83),$W83,IF(AND($S83&lt;&gt;"",EDATE($D83,Milestones!$AA$71)&gt;=$S83),$V83,$U83)))=Milestones!$AB$71),UPPER(TEXT(EDATE($D83,Milestones!$AA$71),"dd mmm yy"))&amp;" "&amp;Milestones!$AB$71&amp;" "&amp;Milestones!$AC$71&amp;";  ","")&amp;IF(AND(EDATE($D83,Milestones!$AA$72)&lt;=AsOfDate,IF($R83=0,$X83,IF(AND($T83&lt;&gt;"",EDATE($D83,Milestones!$AA$72)&gt;=$T83),$W83,IF(AND($S83&lt;&gt;"",EDATE($D83,Milestones!$AA$72)&gt;=$S83),$V83,$U83)))=Milestones!$AB$72),UPPER(TEXT(EDATE($D83,Milestones!$AA$72),"dd mmm yy"))&amp;" "&amp;Milestones!$AB$72&amp;" "&amp;Milestones!$AC$72&amp;";  ","")&amp;IF(AND(EDATE($D83,Milestones!$AA$73)&lt;=AsOfDate,IF($R83=0,$X83,IF(AND($T83&lt;&gt;"",EDATE($D83,Milestones!$AA$73)&gt;=$T83),$W83,IF(AND($S83&lt;&gt;"",EDATE($D83,Milestones!$AA$73)&gt;=$S83),$V83,$U83)))=Milestones!$AB$73),UPPER(TEXT(EDATE($D83,Milestones!$AA$73),"dd mmm yy"))&amp;" "&amp;Milestones!$AB$73&amp;" "&amp;Milestones!$AC$73&amp;";  ","")&amp;IF(AND(EDATE($D83,Milestones!$AA$74)&lt;=AsOfDate,IF($R83=0,$X83,IF(AND($T83&lt;&gt;"",EDATE($D83,Milestones!$AA$74)&gt;=$T83),$W83,IF(AND($S83&lt;&gt;"",EDATE($D83,Milestones!$AA$74)&gt;=$S83),$V83,$U83)))=Milestones!$AB$74),UPPER(TEXT(EDATE($D83,Milestones!$AA$74),"dd mmm yy"))&amp;" "&amp;Milestones!$AB$74&amp;" "&amp;Milestones!$AC$74&amp;";  ","")&amp;IF(AND(EDATE($D83,Milestones!$AA$75)&lt;=AsOfDate,IF($R83=0,$X83,IF(AND($T83&lt;&gt;"",EDATE($D83,Milestones!$AA$75)&gt;=$T83),$W83,IF(AND($S83&lt;&gt;"",EDATE($D83,Milestones!$AA$75)&gt;=$S83),$V83,$U83)))=Milestones!$AB$75),UPPER(TEXT(EDATE($D83,Milestones!$AA$75),"dd mmm yy"))&amp;" "&amp;Milestones!$AB$75&amp;" "&amp;Milestones!$AC$75&amp;";  ","")&amp;IF(AND(EDATE($D83,Milestones!$AA$76)&lt;=AsOfDate,IF($R83=0,$X83,IF(AND($T83&lt;&gt;"",EDATE($D83,Milestones!$AA$76)&gt;=$T83),$W83,IF(AND($S83&lt;&gt;"",EDATE($D83,Milestones!$AA$76)&gt;=$S83),$V83,$U83)))=Milestones!$AB$76),UPPER(TEXT(EDATE($D83,Milestones!$AA$76),"dd mmm yy"))&amp;" "&amp;Milestones!$AB$76&amp;" "&amp;Milestones!$AC$76&amp;";  ","")&amp;IF(AND(EDATE($D83,Milestones!$AA$77)&lt;=AsOfDate,IF($R83=0,$X83,IF(AND($T83&lt;&gt;"",EDATE($D83,Milestones!$AA$77)&gt;=$T83),$W83,IF(AND($S83&lt;&gt;"",EDATE($D83,Milestones!$AA$77)&gt;=$S83),$V83,$U83)))=Milestones!$AB$77),UPPER(TEXT(EDATE($D83,Milestones!$AA$77),"dd mmm yy"))&amp;" "&amp;Milestones!$AB$77&amp;" "&amp;Milestones!$AC$77&amp;";  ","")&amp;IF(AND(EDATE($D83,Milestones!$AA$78)&lt;=AsOfDate,IF($R83=0,$X83,IF(AND($T83&lt;&gt;"",EDATE($D83,Milestones!$AA$78)&gt;=$T83),$W83,IF(AND($S83&lt;&gt;"",EDATE($D83,Milestones!$AA$78)&gt;=$S83),$V83,$U83)))=Milestones!$AB$78),UPPER(TEXT(EDATE($D83,Milestones!$AA$78),"dd mmm yy"))&amp;" "&amp;Milestones!$AB$78&amp;" "&amp;Milestones!$AC$78&amp;";  ","")&amp;IF(AND(EDATE($D83,Milestones!$AA$79)&lt;=AsOfDate,IF($R83=0,$X83,IF(AND($T83&lt;&gt;"",EDATE($D83,Milestones!$AA$79)&gt;=$T83),$W83,IF(AND($S83&lt;&gt;"",EDATE($D83,Milestones!$AA$79)&gt;=$S83),$V83,$U83)))=Milestones!$AB$79),UPPER(TEXT(EDATE($D83,Milestones!$AA$79),"dd mmm yy"))&amp;" "&amp;Milestones!$AB$79&amp;" "&amp;Milestones!$AC$79&amp;";  ",""))</f>
        <v/>
      </c>
      <c r="L83" s="0" t="str">
        <f aca="false">IF(OR($A83="",$D83=""),"",IF(AND(EDATE($D83,Milestones!$AA$80)&lt;=AsOfDate,IF($R83=0,$X83,IF(AND($T83&lt;&gt;"",EDATE($D83,Milestones!$AA$80)&gt;=$T83),$W83,IF(AND($S83&lt;&gt;"",EDATE($D83,Milestones!$AA$80)&gt;=$S83),$V83,$U83)))=Milestones!$AB$80),UPPER(TEXT(EDATE($D83,Milestones!$AA$80),"dd mmm yy"))&amp;" "&amp;Milestones!$AB$80&amp;" "&amp;Milestones!$AC$80&amp;";  ","")&amp;IF(AND(EDATE($D83,Milestones!$AA$81)&lt;=AsOfDate,IF($R83=0,$X83,IF(AND($T83&lt;&gt;"",EDATE($D83,Milestones!$AA$81)&gt;=$T83),$W83,IF(AND($S83&lt;&gt;"",EDATE($D83,Milestones!$AA$81)&gt;=$S83),$V83,$U83)))=Milestones!$AB$81),UPPER(TEXT(EDATE($D83,Milestones!$AA$81),"dd mmm yy"))&amp;" "&amp;Milestones!$AB$81&amp;" "&amp;Milestones!$AC$81&amp;";  ","")&amp;IF(AND(EDATE($D83,Milestones!$AA$82)&lt;=AsOfDate,IF($R83=0,$X83,IF(AND($T83&lt;&gt;"",EDATE($D83,Milestones!$AA$82)&gt;=$T83),$W83,IF(AND($S83&lt;&gt;"",EDATE($D83,Milestones!$AA$82)&gt;=$S83),$V83,$U83)))=Milestones!$AB$82),UPPER(TEXT(EDATE($D83,Milestones!$AA$82),"dd mmm yy"))&amp;" "&amp;Milestones!$AB$82&amp;" "&amp;Milestones!$AC$82&amp;";  ","")&amp;IF(AND(EDATE($D83,Milestones!$AA$83)&lt;=AsOfDate,IF($R83=0,$X83,IF(AND($T83&lt;&gt;"",EDATE($D83,Milestones!$AA$83)&gt;=$T83),$W83,IF(AND($S83&lt;&gt;"",EDATE($D83,Milestones!$AA$83)&gt;=$S83),$V83,$U83)))=Milestones!$AB$83),UPPER(TEXT(EDATE($D83,Milestones!$AA$83),"dd mmm yy"))&amp;" "&amp;Milestones!$AB$83&amp;" "&amp;Milestones!$AC$83&amp;";  ","")&amp;IF(AND(EDATE($D83,Milestones!$AA$84)&lt;=AsOfDate,IF($R83=0,$X83,IF(AND($T83&lt;&gt;"",EDATE($D83,Milestones!$AA$84)&gt;=$T83),$W83,IF(AND($S83&lt;&gt;"",EDATE($D83,Milestones!$AA$84)&gt;=$S83),$V83,$U83)))=Milestones!$AB$84),UPPER(TEXT(EDATE($D83,Milestones!$AA$84),"dd mmm yy"))&amp;" "&amp;Milestones!$AB$84&amp;" "&amp;Milestones!$AC$84&amp;";  ","")&amp;IF(AND(EDATE($D83,Milestones!$AA$85)&lt;=AsOfDate,IF($R83=0,$X83,IF(AND($T83&lt;&gt;"",EDATE($D83,Milestones!$AA$85)&gt;=$T83),$W83,IF(AND($S83&lt;&gt;"",EDATE($D83,Milestones!$AA$85)&gt;=$S83),$V83,$U83)))=Milestones!$AB$85),UPPER(TEXT(EDATE($D83,Milestones!$AA$85),"dd mmm yy"))&amp;" "&amp;Milestones!$AB$85&amp;" "&amp;Milestones!$AC$85&amp;";  ","")&amp;IF(AND(EDATE($D83,Milestones!$AA$86)&lt;=AsOfDate,IF($R83=0,$X83,IF(AND($T83&lt;&gt;"",EDATE($D83,Milestones!$AA$86)&gt;=$T83),$W83,IF(AND($S83&lt;&gt;"",EDATE($D83,Milestones!$AA$86)&gt;=$S83),$V83,$U83)))=Milestones!$AB$86),UPPER(TEXT(EDATE($D83,Milestones!$AA$86),"dd mmm yy"))&amp;" "&amp;Milestones!$AB$86&amp;" "&amp;Milestones!$AC$86&amp;";  ","")&amp;IF(AND(EDATE($D83,Milestones!$AA$87)&lt;=AsOfDate,IF($R83=0,$X83,IF(AND($T83&lt;&gt;"",EDATE($D83,Milestones!$AA$87)&gt;=$T83),$W83,IF(AND($S83&lt;&gt;"",EDATE($D83,Milestones!$AA$87)&gt;=$S83),$V83,$U83)))=Milestones!$AB$87),UPPER(TEXT(EDATE($D83,Milestones!$AA$87),"dd mmm yy"))&amp;" "&amp;Milestones!$AB$87&amp;" "&amp;Milestones!$AC$87&amp;";  ","")&amp;IF(AND(EDATE($D83,Milestones!$AA$88)&lt;=AsOfDate,IF($R83=0,$X83,IF(AND($T83&lt;&gt;"",EDATE($D83,Milestones!$AA$88)&gt;=$T83),$W83,IF(AND($S83&lt;&gt;"",EDATE($D83,Milestones!$AA$88)&gt;=$S83),$V83,$U83)))=Milestones!$AB$88),UPPER(TEXT(EDATE($D83,Milestones!$AA$88),"dd mmm yy"))&amp;" "&amp;Milestones!$AB$88&amp;" "&amp;Milestones!$AC$88&amp;";  ","")&amp;IF(AND(EDATE($D83,Milestones!$AA$89)&lt;=AsOfDate,IF($R83=0,$X83,IF(AND($T83&lt;&gt;"",EDATE($D83,Milestones!$AA$89)&gt;=$T83),$W83,IF(AND($S83&lt;&gt;"",EDATE($D83,Milestones!$AA$89)&gt;=$S83),$V83,$U83)))=Milestones!$AB$89),UPPER(TEXT(EDATE($D83,Milestones!$AA$89),"dd mmm yy"))&amp;" "&amp;Milestones!$AB$89&amp;" "&amp;Milestones!$AC$89&amp;";  ","")&amp;IF(AND(EDATE($D83,Milestones!$AA$90)&lt;=AsOfDate,IF($R83=0,$X83,IF(AND($T83&lt;&gt;"",EDATE($D83,Milestones!$AA$90)&gt;=$T83),$W83,IF(AND($S83&lt;&gt;"",EDATE($D83,Milestones!$AA$90)&gt;=$S83),$V83,$U83)))=Milestones!$AB$90),UPPER(TEXT(EDATE($D83,Milestones!$AA$90),"dd mmm yy"))&amp;" "&amp;Milestones!$AB$90&amp;" "&amp;Milestones!$AC$90&amp;";  ","")&amp;IF(AND(EDATE($D83,Milestones!$AA$91)&lt;=AsOfDate,IF($R83=0,$X83,IF(AND($T83&lt;&gt;"",EDATE($D83,Milestones!$AA$91)&gt;=$T83),$W83,IF(AND($S83&lt;&gt;"",EDATE($D83,Milestones!$AA$91)&gt;=$S83),$V83,$U83)))=Milestones!$AB$91),UPPER(TEXT(EDATE($D83,Milestones!$AA$91),"dd mmm yy"))&amp;" "&amp;Milestones!$AB$91&amp;" "&amp;Milestones!$AC$91&amp;";  ","")&amp;IF(AND(EDATE($D83,Milestones!$AA$92)&lt;=AsOfDate,IF($R83=0,$X83,IF(AND($T83&lt;&gt;"",EDATE($D83,Milestones!$AA$92)&gt;=$T83),$W83,IF(AND($S83&lt;&gt;"",EDATE($D83,Milestones!$AA$92)&gt;=$S83),$V83,$U83)))=Milestones!$AB$92),UPPER(TEXT(EDATE($D83,Milestones!$AA$92),"dd mmm yy"))&amp;" "&amp;Milestones!$AB$92&amp;" "&amp;Milestones!$AC$92&amp;";  ","")&amp;IF(AND(EDATE($D83,Milestones!$AA$93)&lt;=AsOfDate,IF($R83=0,$X83,IF(AND($T83&lt;&gt;"",EDATE($D83,Milestones!$AA$93)&gt;=$T83),$W83,IF(AND($S83&lt;&gt;"",EDATE($D83,Milestones!$AA$93)&gt;=$S83),$V83,$U83)))=Milestones!$AB$93),UPPER(TEXT(EDATE($D83,Milestones!$AA$93),"dd mmm yy"))&amp;" "&amp;Milestones!$AB$93&amp;" "&amp;Milestones!$AC$93&amp;";  ","")&amp;IF(AND(EDATE($D83,Milestones!$AA$94)&lt;=AsOfDate,IF($R83=0,$X83,IF(AND($T83&lt;&gt;"",EDATE($D83,Milestones!$AA$94)&gt;=$T83),$W83,IF(AND($S83&lt;&gt;"",EDATE($D83,Milestones!$AA$94)&gt;=$S83),$V83,$U83)))=Milestones!$AB$94),UPPER(TEXT(EDATE($D83,Milestones!$AA$94),"dd mmm yy"))&amp;" "&amp;Milestones!$AB$94&amp;" "&amp;Milestones!$AC$94&amp;";  ","")&amp;IF(AND(EDATE($D83,Milestones!$AA$95)&lt;=AsOfDate,IF($R83=0,$X83,IF(AND($T83&lt;&gt;"",EDATE($D83,Milestones!$AA$95)&gt;=$T83),$W83,IF(AND($S83&lt;&gt;"",EDATE($D83,Milestones!$AA$95)&gt;=$S83),$V83,$U83)))=Milestones!$AB$95),UPPER(TEXT(EDATE($D83,Milestones!$AA$95),"dd mmm yy"))&amp;" "&amp;Milestones!$AB$95&amp;" "&amp;Milestones!$AC$95&amp;";  ","")&amp;IF(AND(EDATE($D83,Milestones!$AA$96)&lt;=AsOfDate,IF($R83=0,$X83,IF(AND($T83&lt;&gt;"",EDATE($D83,Milestones!$AA$96)&gt;=$T83),$W83,IF(AND($S83&lt;&gt;"",EDATE($D83,Milestones!$AA$96)&gt;=$S83),$V83,$U83)))=Milestones!$AB$96),UPPER(TEXT(EDATE($D83,Milestones!$AA$96),"dd mmm yy"))&amp;" "&amp;Milestones!$AB$96&amp;" "&amp;Milestones!$AC$96&amp;";  ","")&amp;IF(AND(EDATE($D83,Milestones!$AA$97)&lt;=AsOfDate,IF($R83=0,$X83,IF(AND($T83&lt;&gt;"",EDATE($D83,Milestones!$AA$97)&gt;=$T83),$W83,IF(AND($S83&lt;&gt;"",EDATE($D83,Milestones!$AA$97)&gt;=$S83),$V83,$U83)))=Milestones!$AB$97),UPPER(TEXT(EDATE($D83,Milestones!$AA$97),"dd mmm yy"))&amp;" "&amp;Milestones!$AB$97&amp;" "&amp;Milestones!$AC$97&amp;";  ","")&amp;IF(AND(EDATE($D83,Milestones!$AA$98)&lt;=AsOfDate,IF($R83=0,$X83,IF(AND($T83&lt;&gt;"",EDATE($D83,Milestones!$AA$98)&gt;=$T83),$W83,IF(AND($S83&lt;&gt;"",EDATE($D83,Milestones!$AA$98)&gt;=$S83),$V83,$U83)))=Milestones!$AB$98),UPPER(TEXT(EDATE($D83,Milestones!$AA$98),"dd mmm yy"))&amp;" "&amp;Milestones!$AB$98&amp;" "&amp;Milestones!$AC$98&amp;";  ","")&amp;IF(AND(EDATE($D83,Milestones!$AA$99)&lt;=AsOfDate,IF($R83=0,$X83,IF(AND($T83&lt;&gt;"",EDATE($D83,Milestones!$AA$99)&gt;=$T83),$W83,IF(AND($S83&lt;&gt;"",EDATE($D83,Milestones!$AA$99)&gt;=$S83),$V83,$U83)))=Milestones!$AB$99),UPPER(TEXT(EDATE($D83,Milestones!$AA$99),"dd mmm yy"))&amp;" "&amp;Milestones!$AB$99&amp;" "&amp;Milestones!$AC$99&amp;";  ",""))</f>
        <v/>
      </c>
      <c r="M83" s="0" t="str">
        <f aca="false">IF(OR($A83="",$D83=""),"",IF(AND(EDATE($D83,Milestones!$AA$100)&lt;=AsOfDate,IF($R83=0,$X83,IF(AND($T83&lt;&gt;"",EDATE($D83,Milestones!$AA$100)&gt;=$T83),$W83,IF(AND($S83&lt;&gt;"",EDATE($D83,Milestones!$AA$100)&gt;=$S83),$V83,$U83)))=Milestones!$AB$100),UPPER(TEXT(EDATE($D83,Milestones!$AA$100),"dd mmm yy"))&amp;" "&amp;Milestones!$AB$100&amp;" "&amp;Milestones!$AC$100&amp;";  ","")&amp;IF(AND(EDATE($D83,Milestones!$AA$101)&lt;=AsOfDate,IF($R83=0,$X83,IF(AND($T83&lt;&gt;"",EDATE($D83,Milestones!$AA$101)&gt;=$T83),$W83,IF(AND($S83&lt;&gt;"",EDATE($D83,Milestones!$AA$101)&gt;=$S83),$V83,$U83)))=Milestones!$AB$101),UPPER(TEXT(EDATE($D83,Milestones!$AA$101),"dd mmm yy"))&amp;" "&amp;Milestones!$AB$101&amp;" "&amp;Milestones!$AC$101&amp;";  ","")&amp;IF(AND(EDATE($D83,Milestones!$AA$102)&lt;=AsOfDate,IF($R83=0,$X83,IF(AND($T83&lt;&gt;"",EDATE($D83,Milestones!$AA$102)&gt;=$T83),$W83,IF(AND($S83&lt;&gt;"",EDATE($D83,Milestones!$AA$102)&gt;=$S83),$V83,$U83)))=Milestones!$AB$102),UPPER(TEXT(EDATE($D83,Milestones!$AA$102),"dd mmm yy"))&amp;" "&amp;Milestones!$AB$102&amp;" "&amp;Milestones!$AC$102&amp;";  ","")&amp;IF(AND(EDATE($D83,Milestones!$AA$103)&lt;=AsOfDate,IF($R83=0,$X83,IF(AND($T83&lt;&gt;"",EDATE($D83,Milestones!$AA$103)&gt;=$T83),$W83,IF(AND($S83&lt;&gt;"",EDATE($D83,Milestones!$AA$103)&gt;=$S83),$V83,$U83)))=Milestones!$AB$103),UPPER(TEXT(EDATE($D83,Milestones!$AA$103),"dd mmm yy"))&amp;" "&amp;Milestones!$AB$103&amp;" "&amp;Milestones!$AC$103&amp;";  ","")&amp;IF(AND(EDATE($D83,Milestones!$AA$104)&lt;=AsOfDate,IF($R83=0,$X83,IF(AND($T83&lt;&gt;"",EDATE($D83,Milestones!$AA$104)&gt;=$T83),$W83,IF(AND($S83&lt;&gt;"",EDATE($D83,Milestones!$AA$104)&gt;=$S83),$V83,$U83)))=Milestones!$AB$104),UPPER(TEXT(EDATE($D83,Milestones!$AA$104),"dd mmm yy"))&amp;" "&amp;Milestones!$AB$104&amp;" "&amp;Milestones!$AC$104&amp;";  ","")&amp;IF(AND(EDATE($D83,Milestones!$AA$105)&lt;=AsOfDate,IF($R83=0,$X83,IF(AND($T83&lt;&gt;"",EDATE($D83,Milestones!$AA$105)&gt;=$T83),$W83,IF(AND($S83&lt;&gt;"",EDATE($D83,Milestones!$AA$105)&gt;=$S83),$V83,$U83)))=Milestones!$AB$105),UPPER(TEXT(EDATE($D83,Milestones!$AA$105),"dd mmm yy"))&amp;" "&amp;Milestones!$AB$105&amp;" "&amp;Milestones!$AC$105&amp;";  ","")&amp;IF(AND(EDATE($D83,Milestones!$AA$106)&lt;=AsOfDate,IF($R83=0,$X83,IF(AND($T83&lt;&gt;"",EDATE($D83,Milestones!$AA$106)&gt;=$T83),$W83,IF(AND($S83&lt;&gt;"",EDATE($D83,Milestones!$AA$106)&gt;=$S83),$V83,$U83)))=Milestones!$AB$106),UPPER(TEXT(EDATE($D83,Milestones!$AA$106),"dd mmm yy"))&amp;" "&amp;Milestones!$AB$106&amp;" "&amp;Milestones!$AC$106&amp;";  ","")&amp;IF(AND(EDATE($D83,Milestones!$AA$107)&lt;=AsOfDate,IF($R83=0,$X83,IF(AND($T83&lt;&gt;"",EDATE($D83,Milestones!$AA$107)&gt;=$T83),$W83,IF(AND($S83&lt;&gt;"",EDATE($D83,Milestones!$AA$107)&gt;=$S83),$V83,$U83)))=Milestones!$AB$107),UPPER(TEXT(EDATE($D83,Milestones!$AA$107),"dd mmm yy"))&amp;" "&amp;Milestones!$AB$107&amp;" "&amp;Milestones!$AC$107&amp;";  ","")&amp;IF(AND(EDATE($D83,Milestones!$AA$108)&lt;=AsOfDate,IF($R83=0,$X83,IF(AND($T83&lt;&gt;"",EDATE($D83,Milestones!$AA$108)&gt;=$T83),$W83,IF(AND($S83&lt;&gt;"",EDATE($D83,Milestones!$AA$108)&gt;=$S83),$V83,$U83)))=Milestones!$AB$108),UPPER(TEXT(EDATE($D83,Milestones!$AA$108),"dd mmm yy"))&amp;" "&amp;Milestones!$AB$108&amp;" "&amp;Milestones!$AC$108&amp;";  ","")&amp;IF(AND(EDATE($D83,Milestones!$AA$109)&lt;=AsOfDate,IF($R83=0,$X83,IF(AND($T83&lt;&gt;"",EDATE($D83,Milestones!$AA$109)&gt;=$T83),$W83,IF(AND($S83&lt;&gt;"",EDATE($D83,Milestones!$AA$109)&gt;=$S83),$V83,$U83)))=Milestones!$AB$109),UPPER(TEXT(EDATE($D83,Milestones!$AA$109),"dd mmm yy"))&amp;" "&amp;Milestones!$AB$109&amp;" "&amp;Milestones!$AC$109&amp;";  ","")&amp;IF(AND(EDATE($D83,Milestones!$AA$110)&lt;=AsOfDate,IF($R83=0,$X83,IF(AND($T83&lt;&gt;"",EDATE($D83,Milestones!$AA$110)&gt;=$T83),$W83,IF(AND($S83&lt;&gt;"",EDATE($D83,Milestones!$AA$110)&gt;=$S83),$V83,$U83)))=Milestones!$AB$110),UPPER(TEXT(EDATE($D83,Milestones!$AA$110),"dd mmm yy"))&amp;" "&amp;Milestones!$AB$110&amp;" "&amp;Milestones!$AC$110&amp;";  ","")&amp;IF(AND(EDATE($D83,Milestones!$AA$111)&lt;=AsOfDate,IF($R83=0,$X83,IF(AND($T83&lt;&gt;"",EDATE($D83,Milestones!$AA$111)&gt;=$T83),$W83,IF(AND($S83&lt;&gt;"",EDATE($D83,Milestones!$AA$111)&gt;=$S83),$V83,$U83)))=Milestones!$AB$111),UPPER(TEXT(EDATE($D83,Milestones!$AA$111),"dd mmm yy"))&amp;" "&amp;Milestones!$AB$111&amp;" "&amp;Milestones!$AC$111&amp;";  ","")&amp;IF(AND(EDATE($D83,Milestones!$AA$112)&lt;=AsOfDate,IF($R83=0,$X83,IF(AND($T83&lt;&gt;"",EDATE($D83,Milestones!$AA$112)&gt;=$T83),$W83,IF(AND($S83&lt;&gt;"",EDATE($D83,Milestones!$AA$112)&gt;=$S83),$V83,$U83)))=Milestones!$AB$112),UPPER(TEXT(EDATE($D83,Milestones!$AA$112),"dd mmm yy"))&amp;" "&amp;Milestones!$AB$112&amp;" "&amp;Milestones!$AC$112&amp;";  ","")&amp;IF(AND(EDATE($D83,Milestones!$AA$113)&lt;=AsOfDate,IF($R83=0,$X83,IF(AND($T83&lt;&gt;"",EDATE($D83,Milestones!$AA$113)&gt;=$T83),$W83,IF(AND($S83&lt;&gt;"",EDATE($D83,Milestones!$AA$113)&gt;=$S83),$V83,$U83)))=Milestones!$AB$113),UPPER(TEXT(EDATE($D83,Milestones!$AA$113),"dd mmm yy"))&amp;" "&amp;Milestones!$AB$113&amp;" "&amp;Milestones!$AC$113&amp;";  ","")&amp;IF(AND(EDATE($D83,Milestones!$AA$114)&lt;=AsOfDate,IF($R83=0,$X83,IF(AND($T83&lt;&gt;"",EDATE($D83,Milestones!$AA$114)&gt;=$T83),$W83,IF(AND($S83&lt;&gt;"",EDATE($D83,Milestones!$AA$114)&gt;=$S83),$V83,$U83)))=Milestones!$AB$114),UPPER(TEXT(EDATE($D83,Milestones!$AA$114),"dd mmm yy"))&amp;" "&amp;Milestones!$AB$114&amp;" "&amp;Milestones!$AC$114&amp;";  ","")&amp;IF(AND(EDATE($D83,Milestones!$AA$115)&lt;=AsOfDate,IF($R83=0,$X83,IF(AND($T83&lt;&gt;"",EDATE($D83,Milestones!$AA$115)&gt;=$T83),$W83,IF(AND($S83&lt;&gt;"",EDATE($D83,Milestones!$AA$115)&gt;=$S83),$V83,$U83)))=Milestones!$AB$115),UPPER(TEXT(EDATE($D83,Milestones!$AA$115),"dd mmm yy"))&amp;" "&amp;Milestones!$AB$115&amp;" "&amp;Milestones!$AC$115&amp;";  ","")&amp;IF(AND(EDATE($D83,Milestones!$AA$116)&lt;=AsOfDate,IF($R83=0,$X83,IF(AND($T83&lt;&gt;"",EDATE($D83,Milestones!$AA$116)&gt;=$T83),$W83,IF(AND($S83&lt;&gt;"",EDATE($D83,Milestones!$AA$116)&gt;=$S83),$V83,$U83)))=Milestones!$AB$116),UPPER(TEXT(EDATE($D83,Milestones!$AA$116),"dd mmm yy"))&amp;" "&amp;Milestones!$AB$116&amp;" "&amp;Milestones!$AC$116&amp;";  ","")&amp;IF(AND(EDATE($D83,Milestones!$AA$117)&lt;=AsOfDate,IF($R83=0,$X83,IF(AND($T83&lt;&gt;"",EDATE($D83,Milestones!$AA$117)&gt;=$T83),$W83,IF(AND($S83&lt;&gt;"",EDATE($D83,Milestones!$AA$117)&gt;=$S83),$V83,$U83)))=Milestones!$AB$117),UPPER(TEXT(EDATE($D83,Milestones!$AA$117),"dd mmm yy"))&amp;" "&amp;Milestones!$AB$117&amp;" "&amp;Milestones!$AC$117&amp;";  ","")&amp;IF(AND(EDATE($D83,Milestones!$AA$118)&lt;=AsOfDate,IF($R83=0,$X83,IF(AND($T83&lt;&gt;"",EDATE($D83,Milestones!$AA$118)&gt;=$T83),$W83,IF(AND($S83&lt;&gt;"",EDATE($D83,Milestones!$AA$118)&gt;=$S83),$V83,$U83)))=Milestones!$AB$118),UPPER(TEXT(EDATE($D83,Milestones!$AA$118),"dd mmm yy"))&amp;" "&amp;Milestones!$AB$118&amp;" "&amp;Milestones!$AC$118&amp;";  ","")&amp;IF(AND(EDATE($D83,Milestones!$AA$119)&lt;=AsOfDate,IF($R83=0,$X83,IF(AND($T83&lt;&gt;"",EDATE($D83,Milestones!$AA$119)&gt;=$T83),$W83,IF(AND($S83&lt;&gt;"",EDATE($D83,Milestones!$AA$119)&gt;=$S83),$V83,$U83)))=Milestones!$AB$119),UPPER(TEXT(EDATE($D83,Milestones!$AA$119),"dd mmm yy"))&amp;" "&amp;Milestones!$AB$119&amp;" "&amp;Milestones!$AC$119&amp;";  ",""))</f>
        <v/>
      </c>
      <c r="N83" s="0" t="str">
        <f aca="false">IF(OR($A83="",$D83=""),"",IF(AND(EDATE($D83,Milestones!$AA$120)&lt;=AsOfDate,IF($R83=0,$X83,IF(AND($T83&lt;&gt;"",EDATE($D83,Milestones!$AA$120)&gt;=$T83),$W83,IF(AND($S83&lt;&gt;"",EDATE($D83,Milestones!$AA$120)&gt;=$S83),$V83,$U83)))=Milestones!$AB$120),UPPER(TEXT(EDATE($D83,Milestones!$AA$120),"dd mmm yy"))&amp;" "&amp;Milestones!$AB$120&amp;" "&amp;Milestones!$AC$120&amp;";  ","")&amp;IF(AND(EDATE($D83,Milestones!$AA$121)&lt;=AsOfDate,IF($R83=0,$X83,IF(AND($T83&lt;&gt;"",EDATE($D83,Milestones!$AA$121)&gt;=$T83),$W83,IF(AND($S83&lt;&gt;"",EDATE($D83,Milestones!$AA$121)&gt;=$S83),$V83,$U83)))=Milestones!$AB$121),UPPER(TEXT(EDATE($D83,Milestones!$AA$121),"dd mmm yy"))&amp;" "&amp;Milestones!$AB$121&amp;" "&amp;Milestones!$AC$121&amp;";  ","")&amp;IF(AND(EDATE($D83,Milestones!$AA$122)&lt;=AsOfDate,IF($R83=0,$X83,IF(AND($T83&lt;&gt;"",EDATE($D83,Milestones!$AA$122)&gt;=$T83),$W83,IF(AND($S83&lt;&gt;"",EDATE($D83,Milestones!$AA$122)&gt;=$S83),$V83,$U83)))=Milestones!$AB$122),UPPER(TEXT(EDATE($D83,Milestones!$AA$122),"dd mmm yy"))&amp;" "&amp;Milestones!$AB$122&amp;" "&amp;Milestones!$AC$122&amp;";  ","")&amp;IF(AND(EDATE($D83,Milestones!$AA$123)&lt;=AsOfDate,IF($R83=0,$X83,IF(AND($T83&lt;&gt;"",EDATE($D83,Milestones!$AA$123)&gt;=$T83),$W83,IF(AND($S83&lt;&gt;"",EDATE($D83,Milestones!$AA$123)&gt;=$S83),$V83,$U83)))=Milestones!$AB$123),UPPER(TEXT(EDATE($D83,Milestones!$AA$123),"dd mmm yy"))&amp;" "&amp;Milestones!$AB$123&amp;" "&amp;Milestones!$AC$123&amp;";  ","")&amp;IF(AND(EDATE($D83,Milestones!$AA$124)&lt;=AsOfDate,IF($R83=0,$X83,IF(AND($T83&lt;&gt;"",EDATE($D83,Milestones!$AA$124)&gt;=$T83),$W83,IF(AND($S83&lt;&gt;"",EDATE($D83,Milestones!$AA$124)&gt;=$S83),$V83,$U83)))=Milestones!$AB$124),UPPER(TEXT(EDATE($D83,Milestones!$AA$124),"dd mmm yy"))&amp;" "&amp;Milestones!$AB$124&amp;" "&amp;Milestones!$AC$124&amp;";  ","")&amp;IF(AND(EDATE($D83,Milestones!$AA$125)&lt;=AsOfDate,IF($R83=0,$X83,IF(AND($T83&lt;&gt;"",EDATE($D83,Milestones!$AA$125)&gt;=$T83),$W83,IF(AND($S83&lt;&gt;"",EDATE($D83,Milestones!$AA$125)&gt;=$S83),$V83,$U83)))=Milestones!$AB$125),UPPER(TEXT(EDATE($D83,Milestones!$AA$125),"dd mmm yy"))&amp;" "&amp;Milestones!$AB$125&amp;" "&amp;Milestones!$AC$125&amp;";  ","")&amp;IF(AND(EDATE($D83,Milestones!$AA$126)&lt;=AsOfDate,IF($R83=0,$X83,IF(AND($T83&lt;&gt;"",EDATE($D83,Milestones!$AA$126)&gt;=$T83),$W83,IF(AND($S83&lt;&gt;"",EDATE($D83,Milestones!$AA$126)&gt;=$S83),$V83,$U83)))=Milestones!$AB$126),UPPER(TEXT(EDATE($D83,Milestones!$AA$126),"dd mmm yy"))&amp;" "&amp;Milestones!$AB$126&amp;" "&amp;Milestones!$AC$126&amp;";  ","")&amp;IF(AND(EDATE($D83,Milestones!$AA$127)&lt;=AsOfDate,IF($R83=0,$X83,IF(AND($T83&lt;&gt;"",EDATE($D83,Milestones!$AA$127)&gt;=$T83),$W83,IF(AND($S83&lt;&gt;"",EDATE($D83,Milestones!$AA$127)&gt;=$S83),$V83,$U83)))=Milestones!$AB$127),UPPER(TEXT(EDATE($D83,Milestones!$AA$127),"dd mmm yy"))&amp;" "&amp;Milestones!$AB$127&amp;" "&amp;Milestones!$AC$127&amp;";  ","")&amp;IF(AND(EDATE($D83,Milestones!$AA$128)&lt;=AsOfDate,IF($R83=0,$X83,IF(AND($T83&lt;&gt;"",EDATE($D83,Milestones!$AA$128)&gt;=$T83),$W83,IF(AND($S83&lt;&gt;"",EDATE($D83,Milestones!$AA$128)&gt;=$S83),$V83,$U83)))=Milestones!$AB$128),UPPER(TEXT(EDATE($D83,Milestones!$AA$128),"dd mmm yy"))&amp;" "&amp;Milestones!$AB$128&amp;" "&amp;Milestones!$AC$128&amp;";  ","")&amp;IF(AND(EDATE($D83,Milestones!$AA$129)&lt;=AsOfDate,IF($R83=0,$X83,IF(AND($T83&lt;&gt;"",EDATE($D83,Milestones!$AA$129)&gt;=$T83),$W83,IF(AND($S83&lt;&gt;"",EDATE($D83,Milestones!$AA$129)&gt;=$S83),$V83,$U83)))=Milestones!$AB$129),UPPER(TEXT(EDATE($D83,Milestones!$AA$129),"dd mmm yy"))&amp;" "&amp;Milestones!$AB$129&amp;" "&amp;Milestones!$AC$129&amp;";  ","")&amp;IF(AND(EDATE($D83,Milestones!$AA$130)&lt;=AsOfDate,IF($R83=0,$X83,IF(AND($T83&lt;&gt;"",EDATE($D83,Milestones!$AA$130)&gt;=$T83),$W83,IF(AND($S83&lt;&gt;"",EDATE($D83,Milestones!$AA$130)&gt;=$S83),$V83,$U83)))=Milestones!$AB$130),UPPER(TEXT(EDATE($D83,Milestones!$AA$130),"dd mmm yy"))&amp;" "&amp;Milestones!$AB$130&amp;" "&amp;Milestones!$AC$130&amp;";  ","")&amp;IF(AND(EDATE($D83,Milestones!$AA$131)&lt;=AsOfDate,IF($R83=0,$X83,IF(AND($T83&lt;&gt;"",EDATE($D83,Milestones!$AA$131)&gt;=$T83),$W83,IF(AND($S83&lt;&gt;"",EDATE($D83,Milestones!$AA$131)&gt;=$S83),$V83,$U83)))=Milestones!$AB$131),UPPER(TEXT(EDATE($D83,Milestones!$AA$131),"dd mmm yy"))&amp;" "&amp;Milestones!$AB$131&amp;" "&amp;Milestones!$AC$131&amp;";  ","")&amp;IF(AND(EDATE($D83,Milestones!$AA$132)&lt;=AsOfDate,IF($R83=0,$X83,IF(AND($T83&lt;&gt;"",EDATE($D83,Milestones!$AA$132)&gt;=$T83),$W83,IF(AND($S83&lt;&gt;"",EDATE($D83,Milestones!$AA$132)&gt;=$S83),$V83,$U83)))=Milestones!$AB$132),UPPER(TEXT(EDATE($D83,Milestones!$AA$132),"dd mmm yy"))&amp;" "&amp;Milestones!$AB$132&amp;" "&amp;Milestones!$AC$132&amp;";  ","")&amp;IF(AND(EDATE($D83,Milestones!$AA$133)&lt;=AsOfDate,IF($R83=0,$X83,IF(AND($T83&lt;&gt;"",EDATE($D83,Milestones!$AA$133)&gt;=$T83),$W83,IF(AND($S83&lt;&gt;"",EDATE($D83,Milestones!$AA$133)&gt;=$S83),$V83,$U83)))=Milestones!$AB$133),UPPER(TEXT(EDATE($D83,Milestones!$AA$133),"dd mmm yy"))&amp;" "&amp;Milestones!$AB$133&amp;" "&amp;Milestones!$AC$133&amp;";  ","")&amp;IF(AND(EDATE($D83,Milestones!$AA$134)&lt;=AsOfDate,IF($R83=0,$X83,IF(AND($T83&lt;&gt;"",EDATE($D83,Milestones!$AA$134)&gt;=$T83),$W83,IF(AND($S83&lt;&gt;"",EDATE($D83,Milestones!$AA$134)&gt;=$S83),$V83,$U83)))=Milestones!$AB$134),UPPER(TEXT(EDATE($D83,Milestones!$AA$134),"dd mmm yy"))&amp;" "&amp;Milestones!$AB$134&amp;" "&amp;Milestones!$AC$134&amp;";  ","")&amp;IF(AND(EDATE($D83,Milestones!$AA$135)&lt;=AsOfDate,IF($R83=0,$X83,IF(AND($T83&lt;&gt;"",EDATE($D83,Milestones!$AA$135)&gt;=$T83),$W83,IF(AND($S83&lt;&gt;"",EDATE($D83,Milestones!$AA$135)&gt;=$S83),$V83,$U83)))=Milestones!$AB$135),UPPER(TEXT(EDATE($D83,Milestones!$AA$135),"dd mmm yy"))&amp;" "&amp;Milestones!$AB$135&amp;" "&amp;Milestones!$AC$135&amp;";  ","")&amp;IF(AND(EDATE($D83,Milestones!$AA$136)&lt;=AsOfDate,IF($R83=0,$X83,IF(AND($T83&lt;&gt;"",EDATE($D83,Milestones!$AA$136)&gt;=$T83),$W83,IF(AND($S83&lt;&gt;"",EDATE($D83,Milestones!$AA$136)&gt;=$S83),$V83,$U83)))=Milestones!$AB$136),UPPER(TEXT(EDATE($D83,Milestones!$AA$136),"dd mmm yy"))&amp;" "&amp;Milestones!$AB$136&amp;" "&amp;Milestones!$AC$136&amp;";  ","")&amp;IF(AND(EDATE($D83,Milestones!$AA$137)&lt;=AsOfDate,IF($R83=0,$X83,IF(AND($T83&lt;&gt;"",EDATE($D83,Milestones!$AA$137)&gt;=$T83),$W83,IF(AND($S83&lt;&gt;"",EDATE($D83,Milestones!$AA$137)&gt;=$S83),$V83,$U83)))=Milestones!$AB$137),UPPER(TEXT(EDATE($D83,Milestones!$AA$137),"dd mmm yy"))&amp;" "&amp;Milestones!$AB$137&amp;" "&amp;Milestones!$AC$137&amp;";  ","")&amp;IF(AND(EDATE($D83,Milestones!$AA$138)&lt;=AsOfDate,IF($R83=0,$X83,IF(AND($T83&lt;&gt;"",EDATE($D83,Milestones!$AA$138)&gt;=$T83),$W83,IF(AND($S83&lt;&gt;"",EDATE($D83,Milestones!$AA$138)&gt;=$S83),$V83,$U83)))=Milestones!$AB$138),UPPER(TEXT(EDATE($D83,Milestones!$AA$138),"dd mmm yy"))&amp;" "&amp;Milestones!$AB$138&amp;" "&amp;Milestones!$AC$138&amp;";  ","")&amp;IF(AND(EDATE($D83,Milestones!$AA$139)&lt;=AsOfDate,IF($R83=0,$X83,IF(AND($T83&lt;&gt;"",EDATE($D83,Milestones!$AA$139)&gt;=$T83),$W83,IF(AND($S83&lt;&gt;"",EDATE($D83,Milestones!$AA$139)&gt;=$S83),$V83,$U83)))=Milestones!$AB$139),UPPER(TEXT(EDATE($D83,Milestones!$AA$139),"dd mmm yy"))&amp;" "&amp;Milestones!$AB$139&amp;" "&amp;Milestones!$AC$139&amp;";  ",""))</f>
        <v/>
      </c>
      <c r="O83" s="0" t="str">
        <f aca="false">IF(OR($A83="",$D83=""),"",IF(AND(EDATE($D83,Milestones!$AA$140)&lt;=AsOfDate,IF($R83=0,$X83,IF(AND($T83&lt;&gt;"",EDATE($D83,Milestones!$AA$140)&gt;=$T83),$W83,IF(AND($S83&lt;&gt;"",EDATE($D83,Milestones!$AA$140)&gt;=$S83),$V83,$U83)))=Milestones!$AB$140),UPPER(TEXT(EDATE($D83,Milestones!$AA$140),"dd mmm yy"))&amp;" "&amp;Milestones!$AB$140&amp;" "&amp;Milestones!$AC$140&amp;";  ","")&amp;IF(AND(EDATE($D83,Milestones!$AA$141)&lt;=AsOfDate,IF($R83=0,$X83,IF(AND($T83&lt;&gt;"",EDATE($D83,Milestones!$AA$141)&gt;=$T83),$W83,IF(AND($S83&lt;&gt;"",EDATE($D83,Milestones!$AA$141)&gt;=$S83),$V83,$U83)))=Milestones!$AB$141),UPPER(TEXT(EDATE($D83,Milestones!$AA$141),"dd mmm yy"))&amp;" "&amp;Milestones!$AB$141&amp;" "&amp;Milestones!$AC$141&amp;";  ","")&amp;IF(AND(EDATE($D83,Milestones!$AA$142)&lt;=AsOfDate,IF($R83=0,$X83,IF(AND($T83&lt;&gt;"",EDATE($D83,Milestones!$AA$142)&gt;=$T83),$W83,IF(AND($S83&lt;&gt;"",EDATE($D83,Milestones!$AA$142)&gt;=$S83),$V83,$U83)))=Milestones!$AB$142),UPPER(TEXT(EDATE($D83,Milestones!$AA$142),"dd mmm yy"))&amp;" "&amp;Milestones!$AB$142&amp;" "&amp;Milestones!$AC$142&amp;";  ","")&amp;IF(AND(EDATE($D83,Milestones!$AA$143)&lt;=AsOfDate,IF($R83=0,$X83,IF(AND($T83&lt;&gt;"",EDATE($D83,Milestones!$AA$143)&gt;=$T83),$W83,IF(AND($S83&lt;&gt;"",EDATE($D83,Milestones!$AA$143)&gt;=$S83),$V83,$U83)))=Milestones!$AB$143),UPPER(TEXT(EDATE($D83,Milestones!$AA$143),"dd mmm yy"))&amp;" "&amp;Milestones!$AB$143&amp;" "&amp;Milestones!$AC$143&amp;";  ","")&amp;IF(AND(EDATE($D83,Milestones!$AA$144)&lt;=AsOfDate,IF($R83=0,$X83,IF(AND($T83&lt;&gt;"",EDATE($D83,Milestones!$AA$144)&gt;=$T83),$W83,IF(AND($S83&lt;&gt;"",EDATE($D83,Milestones!$AA$144)&gt;=$S83),$V83,$U83)))=Milestones!$AB$144),UPPER(TEXT(EDATE($D83,Milestones!$AA$144),"dd mmm yy"))&amp;" "&amp;Milestones!$AB$144&amp;" "&amp;Milestones!$AC$144&amp;";  ","")&amp;IF(AND(EDATE($D83,Milestones!$AA$145)&lt;=AsOfDate,IF($R83=0,$X83,IF(AND($T83&lt;&gt;"",EDATE($D83,Milestones!$AA$145)&gt;=$T83),$W83,IF(AND($S83&lt;&gt;"",EDATE($D83,Milestones!$AA$145)&gt;=$S83),$V83,$U83)))=Milestones!$AB$145),UPPER(TEXT(EDATE($D83,Milestones!$AA$145),"dd mmm yy"))&amp;" "&amp;Milestones!$AB$145&amp;" "&amp;Milestones!$AC$145&amp;";  ","")&amp;IF(AND(EDATE($D83,Milestones!$AA$146)&lt;=AsOfDate,IF($R83=0,$X83,IF(AND($T83&lt;&gt;"",EDATE($D83,Milestones!$AA$146)&gt;=$T83),$W83,IF(AND($S83&lt;&gt;"",EDATE($D83,Milestones!$AA$146)&gt;=$S83),$V83,$U83)))=Milestones!$AB$146),UPPER(TEXT(EDATE($D83,Milestones!$AA$146),"dd mmm yy"))&amp;" "&amp;Milestones!$AB$146&amp;" "&amp;Milestones!$AC$146&amp;";  ","")&amp;IF(AND(EDATE($D83,Milestones!$AA$147)&lt;=AsOfDate,IF($R83=0,$X83,IF(AND($T83&lt;&gt;"",EDATE($D83,Milestones!$AA$147)&gt;=$T83),$W83,IF(AND($S83&lt;&gt;"",EDATE($D83,Milestones!$AA$147)&gt;=$S83),$V83,$U83)))=Milestones!$AB$147),UPPER(TEXT(EDATE($D83,Milestones!$AA$147),"dd mmm yy"))&amp;" "&amp;Milestones!$AB$147&amp;" "&amp;Milestones!$AC$147&amp;";  ","")&amp;IF(AND(EDATE($D83,Milestones!$AA$148)&lt;=AsOfDate,IF($R83=0,$X83,IF(AND($T83&lt;&gt;"",EDATE($D83,Milestones!$AA$148)&gt;=$T83),$W83,IF(AND($S83&lt;&gt;"",EDATE($D83,Milestones!$AA$148)&gt;=$S83),$V83,$U83)))=Milestones!$AB$148),UPPER(TEXT(EDATE($D83,Milestones!$AA$148),"dd mmm yy"))&amp;" "&amp;Milestones!$AB$148&amp;" "&amp;Milestones!$AC$148&amp;";  ","")&amp;IF(AND(EDATE($D83,Milestones!$AA$149)&lt;=AsOfDate,IF($R83=0,$X83,IF(AND($T83&lt;&gt;"",EDATE($D83,Milestones!$AA$149)&gt;=$T83),$W83,IF(AND($S83&lt;&gt;"",EDATE($D83,Milestones!$AA$149)&gt;=$S83),$V83,$U83)))=Milestones!$AB$149),UPPER(TEXT(EDATE($D83,Milestones!$AA$149),"dd mmm yy"))&amp;" "&amp;Milestones!$AB$149&amp;" "&amp;Milestones!$AC$149&amp;";  ","")&amp;IF(AND(EDATE($D83,Milestones!$AA$150)&lt;=AsOfDate,IF($R83=0,$X83,IF(AND($T83&lt;&gt;"",EDATE($D83,Milestones!$AA$150)&gt;=$T83),$W83,IF(AND($S83&lt;&gt;"",EDATE($D83,Milestones!$AA$150)&gt;=$S83),$V83,$U83)))=Milestones!$AB$150),UPPER(TEXT(EDATE($D83,Milestones!$AA$150),"dd mmm yy"))&amp;" "&amp;Milestones!$AB$150&amp;" "&amp;Milestones!$AC$150&amp;";  ","")&amp;IF(AND(EDATE($D83,Milestones!$AA$151)&lt;=AsOfDate,IF($R83=0,$X83,IF(AND($T83&lt;&gt;"",EDATE($D83,Milestones!$AA$151)&gt;=$T83),$W83,IF(AND($S83&lt;&gt;"",EDATE($D83,Milestones!$AA$151)&gt;=$S83),$V83,$U83)))=Milestones!$AB$151),UPPER(TEXT(EDATE($D83,Milestones!$AA$151),"dd mmm yy"))&amp;" "&amp;Milestones!$AB$151&amp;" "&amp;Milestones!$AC$151&amp;";  ","")&amp;IF(AND(EDATE($D83,Milestones!$AA$152)&lt;=AsOfDate,IF($R83=0,$X83,IF(AND($T83&lt;&gt;"",EDATE($D83,Milestones!$AA$152)&gt;=$T83),$W83,IF(AND($S83&lt;&gt;"",EDATE($D83,Milestones!$AA$152)&gt;=$S83),$V83,$U83)))=Milestones!$AB$152),UPPER(TEXT(EDATE($D83,Milestones!$AA$152),"dd mmm yy"))&amp;" "&amp;Milestones!$AB$152&amp;" "&amp;Milestones!$AC$152&amp;";  ","")&amp;IF(AND(EDATE($D83,Milestones!$AA$153)&lt;=AsOfDate,IF($R83=0,$X83,IF(AND($T83&lt;&gt;"",EDATE($D83,Milestones!$AA$153)&gt;=$T83),$W83,IF(AND($S83&lt;&gt;"",EDATE($D83,Milestones!$AA$153)&gt;=$S83),$V83,$U83)))=Milestones!$AB$153),UPPER(TEXT(EDATE($D83,Milestones!$AA$153),"dd mmm yy"))&amp;" "&amp;Milestones!$AB$153&amp;" "&amp;Milestones!$AC$153&amp;";  ","")&amp;IF(AND(EDATE($D83,Milestones!$AA$154)&lt;=AsOfDate,IF($R83=0,$X83,IF(AND($T83&lt;&gt;"",EDATE($D83,Milestones!$AA$154)&gt;=$T83),$W83,IF(AND($S83&lt;&gt;"",EDATE($D83,Milestones!$AA$154)&gt;=$S83),$V83,$U83)))=Milestones!$AB$154),UPPER(TEXT(EDATE($D83,Milestones!$AA$154),"dd mmm yy"))&amp;" "&amp;Milestones!$AB$154&amp;" "&amp;Milestones!$AC$154&amp;";  ","")&amp;IF(AND(EDATE($D83,Milestones!$AA$155)&lt;=AsOfDate,IF($R83=0,$X83,IF(AND($T83&lt;&gt;"",EDATE($D83,Milestones!$AA$155)&gt;=$T83),$W83,IF(AND($S83&lt;&gt;"",EDATE($D83,Milestones!$AA$155)&gt;=$S83),$V83,$U83)))=Milestones!$AB$155),UPPER(TEXT(EDATE($D83,Milestones!$AA$155),"dd mmm yy"))&amp;" "&amp;Milestones!$AB$155&amp;" "&amp;Milestones!$AC$155&amp;";  ","")&amp;IF(AND(EDATE($D83,Milestones!$AA$156)&lt;=AsOfDate,IF($R83=0,$X83,IF(AND($T83&lt;&gt;"",EDATE($D83,Milestones!$AA$156)&gt;=$T83),$W83,IF(AND($S83&lt;&gt;"",EDATE($D83,Milestones!$AA$156)&gt;=$S83),$V83,$U83)))=Milestones!$AB$156),UPPER(TEXT(EDATE($D83,Milestones!$AA$156),"dd mmm yy"))&amp;" "&amp;Milestones!$AB$156&amp;" "&amp;Milestones!$AC$156&amp;";  ","")&amp;IF(AND(EDATE($D83,Milestones!$AA$157)&lt;=AsOfDate,IF($R83=0,$X83,IF(AND($T83&lt;&gt;"",EDATE($D83,Milestones!$AA$157)&gt;=$T83),$W83,IF(AND($S83&lt;&gt;"",EDATE($D83,Milestones!$AA$157)&gt;=$S83),$V83,$U83)))=Milestones!$AB$157),UPPER(TEXT(EDATE($D83,Milestones!$AA$157),"dd mmm yy"))&amp;" "&amp;Milestones!$AB$157&amp;" "&amp;Milestones!$AC$157&amp;";  ","")&amp;IF(AND(EDATE($D83,Milestones!$AA$158)&lt;=AsOfDate,IF($R83=0,$X83,IF(AND($T83&lt;&gt;"",EDATE($D83,Milestones!$AA$158)&gt;=$T83),$W83,IF(AND($S83&lt;&gt;"",EDATE($D83,Milestones!$AA$158)&gt;=$S83),$V83,$U83)))=Milestones!$AB$158),UPPER(TEXT(EDATE($D83,Milestones!$AA$158),"dd mmm yy"))&amp;" "&amp;Milestones!$AB$158&amp;" "&amp;Milestones!$AC$158&amp;";  ","")&amp;IF(AND(EDATE($D83,Milestones!$AA$159)&lt;=AsOfDate,IF($R83=0,$X83,IF(AND($T83&lt;&gt;"",EDATE($D83,Milestones!$AA$159)&gt;=$T83),$W83,IF(AND($S83&lt;&gt;"",EDATE($D83,Milestones!$AA$159)&gt;=$S83),$V83,$U83)))=Milestones!$AB$159),UPPER(TEXT(EDATE($D83,Milestones!$AA$159),"dd mmm yy"))&amp;" "&amp;Milestones!$AB$159&amp;" "&amp;Milestones!$AC$159&amp;";  ",""))</f>
        <v/>
      </c>
      <c r="P83" s="0" t="str">
        <f aca="false">IF(OR($A83="",$D83=""),"",IF(AND(EDATE($D83,Milestones!$AA$160)&lt;=AsOfDate,IF($R83=0,$X83,IF(AND($T83&lt;&gt;"",EDATE($D83,Milestones!$AA$160)&gt;=$T83),$W83,IF(AND($S83&lt;&gt;"",EDATE($D83,Milestones!$AA$160)&gt;=$S83),$V83,$U83)))=Milestones!$AB$160),UPPER(TEXT(EDATE($D83,Milestones!$AA$160),"dd mmm yy"))&amp;" "&amp;Milestones!$AB$160&amp;" "&amp;Milestones!$AC$160&amp;";  ","")&amp;IF(AND(EDATE($D83,Milestones!$AA$161)&lt;=AsOfDate,IF($R83=0,$X83,IF(AND($T83&lt;&gt;"",EDATE($D83,Milestones!$AA$161)&gt;=$T83),$W83,IF(AND($S83&lt;&gt;"",EDATE($D83,Milestones!$AA$161)&gt;=$S83),$V83,$U83)))=Milestones!$AB$161),UPPER(TEXT(EDATE($D83,Milestones!$AA$161),"dd mmm yy"))&amp;" "&amp;Milestones!$AB$161&amp;" "&amp;Milestones!$AC$161&amp;";  ","")&amp;IF(AND(EDATE($D83,Milestones!$AA$162)&lt;=AsOfDate,IF($R83=0,$X83,IF(AND($T83&lt;&gt;"",EDATE($D83,Milestones!$AA$162)&gt;=$T83),$W83,IF(AND($S83&lt;&gt;"",EDATE($D83,Milestones!$AA$162)&gt;=$S83),$V83,$U83)))=Milestones!$AB$162),UPPER(TEXT(EDATE($D83,Milestones!$AA$162),"dd mmm yy"))&amp;" "&amp;Milestones!$AB$162&amp;" "&amp;Milestones!$AC$162&amp;";  ","")&amp;IF(AND(EDATE($D83,Milestones!$AA$163)&lt;=AsOfDate,IF($R83=0,$X83,IF(AND($T83&lt;&gt;"",EDATE($D83,Milestones!$AA$163)&gt;=$T83),$W83,IF(AND($S83&lt;&gt;"",EDATE($D83,Milestones!$AA$163)&gt;=$S83),$V83,$U83)))=Milestones!$AB$163),UPPER(TEXT(EDATE($D83,Milestones!$AA$163),"dd mmm yy"))&amp;" "&amp;Milestones!$AB$163&amp;" "&amp;Milestones!$AC$163&amp;";  ","")&amp;IF(AND(EDATE($D83,Milestones!$AA$164)&lt;=AsOfDate,IF($R83=0,$X83,IF(AND($T83&lt;&gt;"",EDATE($D83,Milestones!$AA$164)&gt;=$T83),$W83,IF(AND($S83&lt;&gt;"",EDATE($D83,Milestones!$AA$164)&gt;=$S83),$V83,$U83)))=Milestones!$AB$164),UPPER(TEXT(EDATE($D83,Milestones!$AA$164),"dd mmm yy"))&amp;" "&amp;Milestones!$AB$164&amp;" "&amp;Milestones!$AC$164&amp;";  ","")&amp;IF(AND(EDATE($D83,Milestones!$AA$165)&lt;=AsOfDate,IF($R83=0,$X83,IF(AND($T83&lt;&gt;"",EDATE($D83,Milestones!$AA$165)&gt;=$T83),$W83,IF(AND($S83&lt;&gt;"",EDATE($D83,Milestones!$AA$165)&gt;=$S83),$V83,$U83)))=Milestones!$AB$165),UPPER(TEXT(EDATE($D83,Milestones!$AA$165),"dd mmm yy"))&amp;" "&amp;Milestones!$AB$165&amp;" "&amp;Milestones!$AC$165&amp;";  ","")&amp;IF(AND(EDATE($D83,Milestones!$AA$166)&lt;=AsOfDate,IF($R83=0,$X83,IF(AND($T83&lt;&gt;"",EDATE($D83,Milestones!$AA$166)&gt;=$T83),$W83,IF(AND($S83&lt;&gt;"",EDATE($D83,Milestones!$AA$166)&gt;=$S83),$V83,$U83)))=Milestones!$AB$166),UPPER(TEXT(EDATE($D83,Milestones!$AA$166),"dd mmm yy"))&amp;" "&amp;Milestones!$AB$166&amp;" "&amp;Milestones!$AC$166&amp;";  ","")&amp;IF(AND(EDATE($D83,Milestones!$AA$167)&lt;=AsOfDate,IF($R83=0,$X83,IF(AND($T83&lt;&gt;"",EDATE($D83,Milestones!$AA$167)&gt;=$T83),$W83,IF(AND($S83&lt;&gt;"",EDATE($D83,Milestones!$AA$167)&gt;=$S83),$V83,$U83)))=Milestones!$AB$167),UPPER(TEXT(EDATE($D83,Milestones!$AA$167),"dd mmm yy"))&amp;" "&amp;Milestones!$AB$167&amp;" "&amp;Milestones!$AC$167&amp;";  ","")&amp;IF(AND(EDATE($D83,Milestones!$AA$168)&lt;=AsOfDate,IF($R83=0,$X83,IF(AND($T83&lt;&gt;"",EDATE($D83,Milestones!$AA$168)&gt;=$T83),$W83,IF(AND($S83&lt;&gt;"",EDATE($D83,Milestones!$AA$168)&gt;=$S83),$V83,$U83)))=Milestones!$AB$168),UPPER(TEXT(EDATE($D83,Milestones!$AA$168),"dd mmm yy"))&amp;" "&amp;Milestones!$AB$168&amp;" "&amp;Milestones!$AC$168&amp;";  ","")&amp;IF(AND(EDATE($D83,Milestones!$AA$169)&lt;=AsOfDate,IF($R83=0,$X83,IF(AND($T83&lt;&gt;"",EDATE($D83,Milestones!$AA$169)&gt;=$T83),$W83,IF(AND($S83&lt;&gt;"",EDATE($D83,Milestones!$AA$169)&gt;=$S83),$V83,$U83)))=Milestones!$AB$169),UPPER(TEXT(EDATE($D83,Milestones!$AA$169),"dd mmm yy"))&amp;" "&amp;Milestones!$AB$169&amp;" "&amp;Milestones!$AC$169&amp;";  ","")&amp;IF(AND(EDATE($D83,Milestones!$AA$170)&lt;=AsOfDate,IF($R83=0,$X83,IF(AND($T83&lt;&gt;"",EDATE($D83,Milestones!$AA$170)&gt;=$T83),$W83,IF(AND($S83&lt;&gt;"",EDATE($D83,Milestones!$AA$170)&gt;=$S83),$V83,$U83)))=Milestones!$AB$170),UPPER(TEXT(EDATE($D83,Milestones!$AA$170),"dd mmm yy"))&amp;" "&amp;Milestones!$AB$170&amp;" "&amp;Milestones!$AC$170&amp;";  ","")&amp;IF(AND(EDATE($D83,Milestones!$AA$171)&lt;=AsOfDate,IF($R83=0,$X83,IF(AND($T83&lt;&gt;"",EDATE($D83,Milestones!$AA$171)&gt;=$T83),$W83,IF(AND($S83&lt;&gt;"",EDATE($D83,Milestones!$AA$171)&gt;=$S83),$V83,$U83)))=Milestones!$AB$171),UPPER(TEXT(EDATE($D83,Milestones!$AA$171),"dd mmm yy"))&amp;" "&amp;Milestones!$AB$171&amp;" "&amp;Milestones!$AC$171&amp;";  ","")&amp;IF(AND(EDATE($D83,Milestones!$AA$172)&lt;=AsOfDate,IF($R83=0,$X83,IF(AND($T83&lt;&gt;"",EDATE($D83,Milestones!$AA$172)&gt;=$T83),$W83,IF(AND($S83&lt;&gt;"",EDATE($D83,Milestones!$AA$172)&gt;=$S83),$V83,$U83)))=Milestones!$AB$172),UPPER(TEXT(EDATE($D83,Milestones!$AA$172),"dd mmm yy"))&amp;" "&amp;Milestones!$AB$172&amp;" "&amp;Milestones!$AC$172&amp;";  ","")&amp;IF(AND(EDATE($D83,Milestones!$AA$173)&lt;=AsOfDate,IF($R83=0,$X83,IF(AND($T83&lt;&gt;"",EDATE($D83,Milestones!$AA$173)&gt;=$T83),$W83,IF(AND($S83&lt;&gt;"",EDATE($D83,Milestones!$AA$173)&gt;=$S83),$V83,$U83)))=Milestones!$AB$173),UPPER(TEXT(EDATE($D83,Milestones!$AA$173),"dd mmm yy"))&amp;" "&amp;Milestones!$AB$173&amp;" "&amp;Milestones!$AC$173&amp;";  ","")&amp;IF(AND(EDATE($D83,Milestones!$AA$174)&lt;=AsOfDate,IF($R83=0,$X83,IF(AND($T83&lt;&gt;"",EDATE($D83,Milestones!$AA$174)&gt;=$T83),$W83,IF(AND($S83&lt;&gt;"",EDATE($D83,Milestones!$AA$174)&gt;=$S83),$V83,$U83)))=Milestones!$AB$174),UPPER(TEXT(EDATE($D83,Milestones!$AA$174),"dd mmm yy"))&amp;" "&amp;Milestones!$AB$174&amp;" "&amp;Milestones!$AC$174&amp;";  ","")&amp;IF(AND(EDATE($D83,Milestones!$AA$175)&lt;=AsOfDate,IF($R83=0,$X83,IF(AND($T83&lt;&gt;"",EDATE($D83,Milestones!$AA$175)&gt;=$T83),$W83,IF(AND($S83&lt;&gt;"",EDATE($D83,Milestones!$AA$175)&gt;=$S83),$V83,$U83)))=Milestones!$AB$175),UPPER(TEXT(EDATE($D83,Milestones!$AA$175),"dd mmm yy"))&amp;" "&amp;Milestones!$AB$175&amp;" "&amp;Milestones!$AC$175&amp;";  ","")&amp;IF(AND(EDATE($D83,Milestones!$AA$176)&lt;=AsOfDate,IF($R83=0,$X83,IF(AND($T83&lt;&gt;"",EDATE($D83,Milestones!$AA$176)&gt;=$T83),$W83,IF(AND($S83&lt;&gt;"",EDATE($D83,Milestones!$AA$176)&gt;=$S83),$V83,$U83)))=Milestones!$AB$176),UPPER(TEXT(EDATE($D83,Milestones!$AA$176),"dd mmm yy"))&amp;" "&amp;Milestones!$AB$176&amp;" "&amp;Milestones!$AC$176&amp;";  ","")&amp;IF(AND(EDATE($D83,Milestones!$AA$177)&lt;=AsOfDate,IF($R83=0,$X83,IF(AND($T83&lt;&gt;"",EDATE($D83,Milestones!$AA$177)&gt;=$T83),$W83,IF(AND($S83&lt;&gt;"",EDATE($D83,Milestones!$AA$177)&gt;=$S83),$V83,$U83)))=Milestones!$AB$177),UPPER(TEXT(EDATE($D83,Milestones!$AA$177),"dd mmm yy"))&amp;" "&amp;Milestones!$AB$177&amp;" "&amp;Milestones!$AC$177&amp;";  ","")&amp;IF(AND(EDATE($D83,Milestones!$AA$178)&lt;=AsOfDate,IF($R83=0,$X83,IF(AND($T83&lt;&gt;"",EDATE($D83,Milestones!$AA$178)&gt;=$T83),$W83,IF(AND($S83&lt;&gt;"",EDATE($D83,Milestones!$AA$178)&gt;=$S83),$V83,$U83)))=Milestones!$AB$178),UPPER(TEXT(EDATE($D83,Milestones!$AA$178),"dd mmm yy"))&amp;" "&amp;Milestones!$AB$178&amp;" "&amp;Milestones!$AC$178&amp;";  ","")&amp;IF(AND(EDATE($D83,Milestones!$AA$179)&lt;=AsOfDate,IF($R83=0,$X83,IF(AND($T83&lt;&gt;"",EDATE($D83,Milestones!$AA$179)&gt;=$T83),$W83,IF(AND($S83&lt;&gt;"",EDATE($D83,Milestones!$AA$179)&gt;=$S83),$V83,$U83)))=Milestones!$AB$179),UPPER(TEXT(EDATE($D83,Milestones!$AA$179),"dd mmm yy"))&amp;" "&amp;Milestones!$AB$179&amp;" "&amp;Milestones!$AC$179&amp;";  ",""))</f>
        <v/>
      </c>
      <c r="Q83" s="0" t="str">
        <f aca="false">IF(OR($A83="",$D83=""),"",IF(AND(EDATE($D83,Milestones!$AA$180)&lt;=AsOfDate,IF($R83=0,$X83,IF(AND($T83&lt;&gt;"",EDATE($D83,Milestones!$AA$180)&gt;=$T83),$W83,IF(AND($S83&lt;&gt;"",EDATE($D83,Milestones!$AA$180)&gt;=$S83),$V83,$U83)))=Milestones!$AB$180),UPPER(TEXT(EDATE($D83,Milestones!$AA$180),"dd mmm yy"))&amp;" "&amp;Milestones!$AB$180&amp;" "&amp;Milestones!$AC$180&amp;";  ","")&amp;IF(AND(EDATE($D83,Milestones!$AA$181)&lt;=AsOfDate,IF($R83=0,$X83,IF(AND($T83&lt;&gt;"",EDATE($D83,Milestones!$AA$181)&gt;=$T83),$W83,IF(AND($S83&lt;&gt;"",EDATE($D83,Milestones!$AA$181)&gt;=$S83),$V83,$U83)))=Milestones!$AB$181),UPPER(TEXT(EDATE($D83,Milestones!$AA$181),"dd mmm yy"))&amp;" "&amp;Milestones!$AB$181&amp;" "&amp;Milestones!$AC$181&amp;";  ","")&amp;IF(AND(EDATE($D83,Milestones!$AA$182)&lt;=AsOfDate,IF($R83=0,$X83,IF(AND($T83&lt;&gt;"",EDATE($D83,Milestones!$AA$182)&gt;=$T83),$W83,IF(AND($S83&lt;&gt;"",EDATE($D83,Milestones!$AA$182)&gt;=$S83),$V83,$U83)))=Milestones!$AB$182),UPPER(TEXT(EDATE($D83,Milestones!$AA$182),"dd mmm yy"))&amp;" "&amp;Milestones!$AB$182&amp;" "&amp;Milestones!$AC$182&amp;";  ","")&amp;IF(AND(EDATE($D83,Milestones!$AA$183)&lt;=AsOfDate,IF($R83=0,$X83,IF(AND($T83&lt;&gt;"",EDATE($D83,Milestones!$AA$183)&gt;=$T83),$W83,IF(AND($S83&lt;&gt;"",EDATE($D83,Milestones!$AA$183)&gt;=$S83),$V83,$U83)))=Milestones!$AB$183),UPPER(TEXT(EDATE($D83,Milestones!$AA$183),"dd mmm yy"))&amp;" "&amp;Milestones!$AB$183&amp;" "&amp;Milestones!$AC$183&amp;";  ","")&amp;IF(AND(EDATE($D83,Milestones!$AA$184)&lt;=AsOfDate,IF($R83=0,$X83,IF(AND($T83&lt;&gt;"",EDATE($D83,Milestones!$AA$184)&gt;=$T83),$W83,IF(AND($S83&lt;&gt;"",EDATE($D83,Milestones!$AA$184)&gt;=$S83),$V83,$U83)))=Milestones!$AB$184),UPPER(TEXT(EDATE($D83,Milestones!$AA$184),"dd mmm yy"))&amp;" "&amp;Milestones!$AB$184&amp;" "&amp;Milestones!$AC$184&amp;";  ","")&amp;IF(AND(EDATE($D83,Milestones!$AA$185)&lt;=AsOfDate,IF($R83=0,$X83,IF(AND($T83&lt;&gt;"",EDATE($D83,Milestones!$AA$185)&gt;=$T83),$W83,IF(AND($S83&lt;&gt;"",EDATE($D83,Milestones!$AA$185)&gt;=$S83),$V83,$U83)))=Milestones!$AB$185),UPPER(TEXT(EDATE($D83,Milestones!$AA$185),"dd mmm yy"))&amp;" "&amp;Milestones!$AB$185&amp;" "&amp;Milestones!$AC$185&amp;";  ","")&amp;IF(AND(EDATE($D83,Milestones!$AA$186)&lt;=AsOfDate,IF($R83=0,$X83,IF(AND($T83&lt;&gt;"",EDATE($D83,Milestones!$AA$186)&gt;=$T83),$W83,IF(AND($S83&lt;&gt;"",EDATE($D83,Milestones!$AA$186)&gt;=$S83),$V83,$U83)))=Milestones!$AB$186),UPPER(TEXT(EDATE($D83,Milestones!$AA$186),"dd mmm yy"))&amp;" "&amp;Milestones!$AB$186&amp;" "&amp;Milestones!$AC$186&amp;";  ","")&amp;IF(AND(EDATE($D83,Milestones!$AA$187)&lt;=AsOfDate,IF($R83=0,$X83,IF(AND($T83&lt;&gt;"",EDATE($D83,Milestones!$AA$187)&gt;=$T83),$W83,IF(AND($S83&lt;&gt;"",EDATE($D83,Milestones!$AA$187)&gt;=$S83),$V83,$U83)))=Milestones!$AB$187),UPPER(TEXT(EDATE($D83,Milestones!$AA$187),"dd mmm yy"))&amp;" "&amp;Milestones!$AB$187&amp;" "&amp;Milestones!$AC$187&amp;";  ","")&amp;IF(AND(EDATE($D83,Milestones!$AA$188)&lt;=AsOfDate,IF($R83=0,$X83,IF(AND($T83&lt;&gt;"",EDATE($D83,Milestones!$AA$188)&gt;=$T83),$W83,IF(AND($S83&lt;&gt;"",EDATE($D83,Milestones!$AA$188)&gt;=$S83),$V83,$U83)))=Milestones!$AB$188),UPPER(TEXT(EDATE($D83,Milestones!$AA$188),"dd mmm yy"))&amp;" "&amp;Milestones!$AB$188&amp;" "&amp;Milestones!$AC$188&amp;";  ","")&amp;IF(AND(EDATE($D83,Milestones!$AA$189)&lt;=AsOfDate,IF($R83=0,$X83,IF(AND($T83&lt;&gt;"",EDATE($D83,Milestones!$AA$189)&gt;=$T83),$W83,IF(AND($S83&lt;&gt;"",EDATE($D83,Milestones!$AA$189)&gt;=$S83),$V83,$U83)))=Milestones!$AB$189),UPPER(TEXT(EDATE($D83,Milestones!$AA$189),"dd mmm yy"))&amp;" "&amp;Milestones!$AB$189&amp;" "&amp;Milestones!$AC$189&amp;";  ","")&amp;IF(AND(EDATE($D83,Milestones!$AA$190)&lt;=AsOfDate,IF($R83=0,$X83,IF(AND($T83&lt;&gt;"",EDATE($D83,Milestones!$AA$190)&gt;=$T83),$W83,IF(AND($S83&lt;&gt;"",EDATE($D83,Milestones!$AA$190)&gt;=$S83),$V83,$U83)))=Milestones!$AB$190),UPPER(TEXT(EDATE($D83,Milestones!$AA$190),"dd mmm yy"))&amp;" "&amp;Milestones!$AB$190&amp;" "&amp;Milestones!$AC$190&amp;";  ","")&amp;IF(AND(EDATE($D83,Milestones!$AA$191)&lt;=AsOfDate,IF($R83=0,$X83,IF(AND($T83&lt;&gt;"",EDATE($D83,Milestones!$AA$191)&gt;=$T83),$W83,IF(AND($S83&lt;&gt;"",EDATE($D83,Milestones!$AA$191)&gt;=$S83),$V83,$U83)))=Milestones!$AB$191),UPPER(TEXT(EDATE($D83,Milestones!$AA$191),"dd mmm yy"))&amp;" "&amp;Milestones!$AB$191&amp;" "&amp;Milestones!$AC$191&amp;";  ","")&amp;IF(AND(EDATE($D83,Milestones!$AA$192)&lt;=AsOfDate,IF($R83=0,$X83,IF(AND($T83&lt;&gt;"",EDATE($D83,Milestones!$AA$192)&gt;=$T83),$W83,IF(AND($S83&lt;&gt;"",EDATE($D83,Milestones!$AA$192)&gt;=$S83),$V83,$U83)))=Milestones!$AB$192),UPPER(TEXT(EDATE($D83,Milestones!$AA$192),"dd mmm yy"))&amp;" "&amp;Milestones!$AB$192&amp;" "&amp;Milestones!$AC$192&amp;";  ","")&amp;IF(AND(EDATE($D83,Milestones!$AA$193)&lt;=AsOfDate,IF($R83=0,$X83,IF(AND($T83&lt;&gt;"",EDATE($D83,Milestones!$AA$193)&gt;=$T83),$W83,IF(AND($S83&lt;&gt;"",EDATE($D83,Milestones!$AA$193)&gt;=$S83),$V83,$U83)))=Milestones!$AB$193),UPPER(TEXT(EDATE($D83,Milestones!$AA$193),"dd mmm yy"))&amp;" "&amp;Milestones!$AB$193&amp;" "&amp;Milestones!$AC$193&amp;";  ","")&amp;IF(AND(EDATE($D83,Milestones!$AA$194)&lt;=AsOfDate,IF($R83=0,$X83,IF(AND($T83&lt;&gt;"",EDATE($D83,Milestones!$AA$194)&gt;=$T83),$W83,IF(AND($S83&lt;&gt;"",EDATE($D83,Milestones!$AA$194)&gt;=$S83),$V83,$U83)))=Milestones!$AB$194),UPPER(TEXT(EDATE($D83,Milestones!$AA$194),"dd mmm yy"))&amp;" "&amp;Milestones!$AB$194&amp;" "&amp;Milestones!$AC$194&amp;";  ","")&amp;IF(AND(EDATE($D83,Milestones!$AA$195)&lt;=AsOfDate,IF($R83=0,$X83,IF(AND($T83&lt;&gt;"",EDATE($D83,Milestones!$AA$195)&gt;=$T83),$W83,IF(AND($S83&lt;&gt;"",EDATE($D83,Milestones!$AA$195)&gt;=$S83),$V83,$U83)))=Milestones!$AB$195),UPPER(TEXT(EDATE($D83,Milestones!$AA$195),"dd mmm yy"))&amp;" "&amp;Milestones!$AB$195&amp;" "&amp;Milestones!$AC$195&amp;";  ","")&amp;IF(AND(EDATE($D83,Milestones!$AA$196)&lt;=AsOfDate,IF($R83=0,$X83,IF(AND($T83&lt;&gt;"",EDATE($D83,Milestones!$AA$196)&gt;=$T83),$W83,IF(AND($S83&lt;&gt;"",EDATE($D83,Milestones!$AA$196)&gt;=$S83),$V83,$U83)))=Milestones!$AB$196),UPPER(TEXT(EDATE($D83,Milestones!$AA$196),"dd mmm yy"))&amp;" "&amp;Milestones!$AB$196&amp;" "&amp;Milestones!$AC$196&amp;";  ","")&amp;IF(AND(EDATE($D83,Milestones!$AA$197)&lt;=AsOfDate,IF($R83=0,$X83,IF(AND($T83&lt;&gt;"",EDATE($D83,Milestones!$AA$197)&gt;=$T83),$W83,IF(AND($S83&lt;&gt;"",EDATE($D83,Milestones!$AA$197)&gt;=$S83),$V83,$U83)))=Milestones!$AB$197),UPPER(TEXT(EDATE($D83,Milestones!$AA$197),"dd mmm yy"))&amp;" "&amp;Milestones!$AB$197&amp;" "&amp;Milestones!$AC$197&amp;";  ","")&amp;IF(AND(EDATE($D83,Milestones!$AA$198)&lt;=AsOfDate,IF($R83=0,$X83,IF(AND($T83&lt;&gt;"",EDATE($D83,Milestones!$AA$198)&gt;=$T83),$W83,IF(AND($S83&lt;&gt;"",EDATE($D83,Milestones!$AA$198)&gt;=$S83),$V83,$U83)))=Milestones!$AB$198),UPPER(TEXT(EDATE($D83,Milestones!$AA$198),"dd mmm yy"))&amp;" "&amp;Milestones!$AB$198&amp;" "&amp;Milestones!$AC$198&amp;";  ","")&amp;IF(AND(EDATE($D83,Milestones!$AA$199)&lt;=AsOfDate,IF($R83=0,$X83,IF(AND($T83&lt;&gt;"",EDATE($D83,Milestones!$AA$199)&gt;=$T83),$W83,IF(AND($S83&lt;&gt;"",EDATE($D83,Milestones!$AA$199)&gt;=$S83),$V83,$U83)))=Milestones!$AB$199),UPPER(TEXT(EDATE($D83,Milestones!$AA$199),"dd mmm yy"))&amp;" "&amp;Milestones!$AB$199&amp;" "&amp;Milestones!$AC$199&amp;";  ",""))</f>
        <v/>
      </c>
      <c r="R83" s="0" t="str">
        <f aca="false">IF(Staff!$A83="","",Staff!$AI83)</f>
        <v/>
      </c>
      <c r="S83" s="0" t="str">
        <f aca="false">IF(Staff!$A83="","",Staff!$AK83)</f>
        <v/>
      </c>
      <c r="T83" s="0" t="str">
        <f aca="false">IF(Staff!$A83="","",Staff!$AL83)</f>
        <v/>
      </c>
      <c r="U83" s="0" t="str">
        <f aca="false">IF(Staff!$A83="","",Staff!$AP83)</f>
        <v/>
      </c>
      <c r="V83" s="0" t="str">
        <f aca="false">IF(Staff!$A83="","",Staff!$AQ83)</f>
        <v/>
      </c>
      <c r="W83" s="0" t="str">
        <f aca="false">IF(Staff!$A83="","",Staff!$AR83)</f>
        <v/>
      </c>
      <c r="X83" s="0" t="str">
        <f aca="false">IF(Staff!$A83="","",Staff!$AS83)</f>
        <v/>
      </c>
    </row>
    <row r="84" customFormat="false" ht="15" hidden="false" customHeight="false" outlineLevel="0" collapsed="false">
      <c r="A84" s="19" t="str">
        <f aca="false">IF(Staff!$A84="","",Staff!$A84)</f>
        <v/>
      </c>
      <c r="B84" s="19" t="str">
        <f aca="false">IF(Staff!$A84="","",Staff!$B84)</f>
        <v/>
      </c>
      <c r="C84" s="19" t="str">
        <f aca="false">IF(Staff!$A84="","",Staff!$C84)</f>
        <v/>
      </c>
      <c r="D84" s="17" t="str">
        <f aca="false">IF(Staff!$A84="","",Staff!$AH84)</f>
        <v/>
      </c>
      <c r="E84" s="19" t="str">
        <f aca="false">IF(Staff!$A84="","",Staff!$O84)</f>
        <v/>
      </c>
      <c r="F84" s="19" t="str">
        <f aca="false">IF(E84="","",E84*HoursPerDay)</f>
        <v/>
      </c>
      <c r="G84" s="19" t="str">
        <f aca="false">IF(Staff!$A84="","",Staff!$AE84)</f>
        <v/>
      </c>
      <c r="H84" s="32" t="str">
        <f aca="false">IF($A84="","",I84&amp;J84&amp;K84&amp;L84&amp;M84&amp;N84&amp;O84&amp;P84&amp;Q84)</f>
        <v/>
      </c>
      <c r="I84" s="0" t="str">
        <f aca="false">IF(OR($A84="",$D84=""),"",IF(AND(EDATE($D84,Milestones!$AA$20)&lt;=AsOfDate,IF($R84=0,$X84,IF(AND($T84&lt;&gt;"",EDATE($D84,Milestones!$AA$20)&gt;=$T84),$W84,IF(AND($S84&lt;&gt;"",EDATE($D84,Milestones!$AA$20)&gt;=$S84),$V84,$U84)))=Milestones!$AB$20),UPPER(TEXT(EDATE($D84,Milestones!$AA$20),"dd mmm yy"))&amp;" "&amp;Milestones!$AB$20&amp;" "&amp;Milestones!$AC$20&amp;";  ","")&amp;IF(AND(EDATE($D84,Milestones!$AA$21)&lt;=AsOfDate,IF($R84=0,$X84,IF(AND($T84&lt;&gt;"",EDATE($D84,Milestones!$AA$21)&gt;=$T84),$W84,IF(AND($S84&lt;&gt;"",EDATE($D84,Milestones!$AA$21)&gt;=$S84),$V84,$U84)))=Milestones!$AB$21),UPPER(TEXT(EDATE($D84,Milestones!$AA$21),"dd mmm yy"))&amp;" "&amp;Milestones!$AB$21&amp;" "&amp;Milestones!$AC$21&amp;";  ","")&amp;IF(AND(EDATE($D84,Milestones!$AA$22)&lt;=AsOfDate,IF($R84=0,$X84,IF(AND($T84&lt;&gt;"",EDATE($D84,Milestones!$AA$22)&gt;=$T84),$W84,IF(AND($S84&lt;&gt;"",EDATE($D84,Milestones!$AA$22)&gt;=$S84),$V84,$U84)))=Milestones!$AB$22),UPPER(TEXT(EDATE($D84,Milestones!$AA$22),"dd mmm yy"))&amp;" "&amp;Milestones!$AB$22&amp;" "&amp;Milestones!$AC$22&amp;";  ","")&amp;IF(AND(EDATE($D84,Milestones!$AA$23)&lt;=AsOfDate,IF($R84=0,$X84,IF(AND($T84&lt;&gt;"",EDATE($D84,Milestones!$AA$23)&gt;=$T84),$W84,IF(AND($S84&lt;&gt;"",EDATE($D84,Milestones!$AA$23)&gt;=$S84),$V84,$U84)))=Milestones!$AB$23),UPPER(TEXT(EDATE($D84,Milestones!$AA$23),"dd mmm yy"))&amp;" "&amp;Milestones!$AB$23&amp;" "&amp;Milestones!$AC$23&amp;";  ","")&amp;IF(AND(EDATE($D84,Milestones!$AA$24)&lt;=AsOfDate,IF($R84=0,$X84,IF(AND($T84&lt;&gt;"",EDATE($D84,Milestones!$AA$24)&gt;=$T84),$W84,IF(AND($S84&lt;&gt;"",EDATE($D84,Milestones!$AA$24)&gt;=$S84),$V84,$U84)))=Milestones!$AB$24),UPPER(TEXT(EDATE($D84,Milestones!$AA$24),"dd mmm yy"))&amp;" "&amp;Milestones!$AB$24&amp;" "&amp;Milestones!$AC$24&amp;";  ","")&amp;IF(AND(EDATE($D84,Milestones!$AA$25)&lt;=AsOfDate,IF($R84=0,$X84,IF(AND($T84&lt;&gt;"",EDATE($D84,Milestones!$AA$25)&gt;=$T84),$W84,IF(AND($S84&lt;&gt;"",EDATE($D84,Milestones!$AA$25)&gt;=$S84),$V84,$U84)))=Milestones!$AB$25),UPPER(TEXT(EDATE($D84,Milestones!$AA$25),"dd mmm yy"))&amp;" "&amp;Milestones!$AB$25&amp;" "&amp;Milestones!$AC$25&amp;";  ","")&amp;IF(AND(EDATE($D84,Milestones!$AA$26)&lt;=AsOfDate,IF($R84=0,$X84,IF(AND($T84&lt;&gt;"",EDATE($D84,Milestones!$AA$26)&gt;=$T84),$W84,IF(AND($S84&lt;&gt;"",EDATE($D84,Milestones!$AA$26)&gt;=$S84),$V84,$U84)))=Milestones!$AB$26),UPPER(TEXT(EDATE($D84,Milestones!$AA$26),"dd mmm yy"))&amp;" "&amp;Milestones!$AB$26&amp;" "&amp;Milestones!$AC$26&amp;";  ","")&amp;IF(AND(EDATE($D84,Milestones!$AA$27)&lt;=AsOfDate,IF($R84=0,$X84,IF(AND($T84&lt;&gt;"",EDATE($D84,Milestones!$AA$27)&gt;=$T84),$W84,IF(AND($S84&lt;&gt;"",EDATE($D84,Milestones!$AA$27)&gt;=$S84),$V84,$U84)))=Milestones!$AB$27),UPPER(TEXT(EDATE($D84,Milestones!$AA$27),"dd mmm yy"))&amp;" "&amp;Milestones!$AB$27&amp;" "&amp;Milestones!$AC$27&amp;";  ","")&amp;IF(AND(EDATE($D84,Milestones!$AA$28)&lt;=AsOfDate,IF($R84=0,$X84,IF(AND($T84&lt;&gt;"",EDATE($D84,Milestones!$AA$28)&gt;=$T84),$W84,IF(AND($S84&lt;&gt;"",EDATE($D84,Milestones!$AA$28)&gt;=$S84),$V84,$U84)))=Milestones!$AB$28),UPPER(TEXT(EDATE($D84,Milestones!$AA$28),"dd mmm yy"))&amp;" "&amp;Milestones!$AB$28&amp;" "&amp;Milestones!$AC$28&amp;";  ","")&amp;IF(AND(EDATE($D84,Milestones!$AA$29)&lt;=AsOfDate,IF($R84=0,$X84,IF(AND($T84&lt;&gt;"",EDATE($D84,Milestones!$AA$29)&gt;=$T84),$W84,IF(AND($S84&lt;&gt;"",EDATE($D84,Milestones!$AA$29)&gt;=$S84),$V84,$U84)))=Milestones!$AB$29),UPPER(TEXT(EDATE($D84,Milestones!$AA$29),"dd mmm yy"))&amp;" "&amp;Milestones!$AB$29&amp;" "&amp;Milestones!$AC$29&amp;";  ","")&amp;IF(AND(EDATE($D84,Milestones!$AA$30)&lt;=AsOfDate,IF($R84=0,$X84,IF(AND($T84&lt;&gt;"",EDATE($D84,Milestones!$AA$30)&gt;=$T84),$W84,IF(AND($S84&lt;&gt;"",EDATE($D84,Milestones!$AA$30)&gt;=$S84),$V84,$U84)))=Milestones!$AB$30),UPPER(TEXT(EDATE($D84,Milestones!$AA$30),"dd mmm yy"))&amp;" "&amp;Milestones!$AB$30&amp;" "&amp;Milestones!$AC$30&amp;";  ","")&amp;IF(AND(EDATE($D84,Milestones!$AA$31)&lt;=AsOfDate,IF($R84=0,$X84,IF(AND($T84&lt;&gt;"",EDATE($D84,Milestones!$AA$31)&gt;=$T84),$W84,IF(AND($S84&lt;&gt;"",EDATE($D84,Milestones!$AA$31)&gt;=$S84),$V84,$U84)))=Milestones!$AB$31),UPPER(TEXT(EDATE($D84,Milestones!$AA$31),"dd mmm yy"))&amp;" "&amp;Milestones!$AB$31&amp;" "&amp;Milestones!$AC$31&amp;";  ","")&amp;IF(AND(EDATE($D84,Milestones!$AA$32)&lt;=AsOfDate,IF($R84=0,$X84,IF(AND($T84&lt;&gt;"",EDATE($D84,Milestones!$AA$32)&gt;=$T84),$W84,IF(AND($S84&lt;&gt;"",EDATE($D84,Milestones!$AA$32)&gt;=$S84),$V84,$U84)))=Milestones!$AB$32),UPPER(TEXT(EDATE($D84,Milestones!$AA$32),"dd mmm yy"))&amp;" "&amp;Milestones!$AB$32&amp;" "&amp;Milestones!$AC$32&amp;";  ","")&amp;IF(AND(EDATE($D84,Milestones!$AA$33)&lt;=AsOfDate,IF($R84=0,$X84,IF(AND($T84&lt;&gt;"",EDATE($D84,Milestones!$AA$33)&gt;=$T84),$W84,IF(AND($S84&lt;&gt;"",EDATE($D84,Milestones!$AA$33)&gt;=$S84),$V84,$U84)))=Milestones!$AB$33),UPPER(TEXT(EDATE($D84,Milestones!$AA$33),"dd mmm yy"))&amp;" "&amp;Milestones!$AB$33&amp;" "&amp;Milestones!$AC$33&amp;";  ","")&amp;IF(AND(EDATE($D84,Milestones!$AA$34)&lt;=AsOfDate,IF($R84=0,$X84,IF(AND($T84&lt;&gt;"",EDATE($D84,Milestones!$AA$34)&gt;=$T84),$W84,IF(AND($S84&lt;&gt;"",EDATE($D84,Milestones!$AA$34)&gt;=$S84),$V84,$U84)))=Milestones!$AB$34),UPPER(TEXT(EDATE($D84,Milestones!$AA$34),"dd mmm yy"))&amp;" "&amp;Milestones!$AB$34&amp;" "&amp;Milestones!$AC$34&amp;";  ","")&amp;IF(AND(EDATE($D84,Milestones!$AA$35)&lt;=AsOfDate,IF($R84=0,$X84,IF(AND($T84&lt;&gt;"",EDATE($D84,Milestones!$AA$35)&gt;=$T84),$W84,IF(AND($S84&lt;&gt;"",EDATE($D84,Milestones!$AA$35)&gt;=$S84),$V84,$U84)))=Milestones!$AB$35),UPPER(TEXT(EDATE($D84,Milestones!$AA$35),"dd mmm yy"))&amp;" "&amp;Milestones!$AB$35&amp;" "&amp;Milestones!$AC$35&amp;";  ","")&amp;IF(AND(EDATE($D84,Milestones!$AA$36)&lt;=AsOfDate,IF($R84=0,$X84,IF(AND($T84&lt;&gt;"",EDATE($D84,Milestones!$AA$36)&gt;=$T84),$W84,IF(AND($S84&lt;&gt;"",EDATE($D84,Milestones!$AA$36)&gt;=$S84),$V84,$U84)))=Milestones!$AB$36),UPPER(TEXT(EDATE($D84,Milestones!$AA$36),"dd mmm yy"))&amp;" "&amp;Milestones!$AB$36&amp;" "&amp;Milestones!$AC$36&amp;";  ","")&amp;IF(AND(EDATE($D84,Milestones!$AA$37)&lt;=AsOfDate,IF($R84=0,$X84,IF(AND($T84&lt;&gt;"",EDATE($D84,Milestones!$AA$37)&gt;=$T84),$W84,IF(AND($S84&lt;&gt;"",EDATE($D84,Milestones!$AA$37)&gt;=$S84),$V84,$U84)))=Milestones!$AB$37),UPPER(TEXT(EDATE($D84,Milestones!$AA$37),"dd mmm yy"))&amp;" "&amp;Milestones!$AB$37&amp;" "&amp;Milestones!$AC$37&amp;";  ","")&amp;IF(AND(EDATE($D84,Milestones!$AA$38)&lt;=AsOfDate,IF($R84=0,$X84,IF(AND($T84&lt;&gt;"",EDATE($D84,Milestones!$AA$38)&gt;=$T84),$W84,IF(AND($S84&lt;&gt;"",EDATE($D84,Milestones!$AA$38)&gt;=$S84),$V84,$U84)))=Milestones!$AB$38),UPPER(TEXT(EDATE($D84,Milestones!$AA$38),"dd mmm yy"))&amp;" "&amp;Milestones!$AB$38&amp;" "&amp;Milestones!$AC$38&amp;";  ","")&amp;IF(AND(EDATE($D84,Milestones!$AA$39)&lt;=AsOfDate,IF($R84=0,$X84,IF(AND($T84&lt;&gt;"",EDATE($D84,Milestones!$AA$39)&gt;=$T84),$W84,IF(AND($S84&lt;&gt;"",EDATE($D84,Milestones!$AA$39)&gt;=$S84),$V84,$U84)))=Milestones!$AB$39),UPPER(TEXT(EDATE($D84,Milestones!$AA$39),"dd mmm yy"))&amp;" "&amp;Milestones!$AB$39&amp;" "&amp;Milestones!$AC$39&amp;";  ",""))</f>
        <v/>
      </c>
      <c r="J84" s="0" t="str">
        <f aca="false">IF(OR($A84="",$D84=""),"",IF(AND(EDATE($D84,Milestones!$AA$40)&lt;=AsOfDate,IF($R84=0,$X84,IF(AND($T84&lt;&gt;"",EDATE($D84,Milestones!$AA$40)&gt;=$T84),$W84,IF(AND($S84&lt;&gt;"",EDATE($D84,Milestones!$AA$40)&gt;=$S84),$V84,$U84)))=Milestones!$AB$40),UPPER(TEXT(EDATE($D84,Milestones!$AA$40),"dd mmm yy"))&amp;" "&amp;Milestones!$AB$40&amp;" "&amp;Milestones!$AC$40&amp;";  ","")&amp;IF(AND(EDATE($D84,Milestones!$AA$41)&lt;=AsOfDate,IF($R84=0,$X84,IF(AND($T84&lt;&gt;"",EDATE($D84,Milestones!$AA$41)&gt;=$T84),$W84,IF(AND($S84&lt;&gt;"",EDATE($D84,Milestones!$AA$41)&gt;=$S84),$V84,$U84)))=Milestones!$AB$41),UPPER(TEXT(EDATE($D84,Milestones!$AA$41),"dd mmm yy"))&amp;" "&amp;Milestones!$AB$41&amp;" "&amp;Milestones!$AC$41&amp;";  ","")&amp;IF(AND(EDATE($D84,Milestones!$AA$42)&lt;=AsOfDate,IF($R84=0,$X84,IF(AND($T84&lt;&gt;"",EDATE($D84,Milestones!$AA$42)&gt;=$T84),$W84,IF(AND($S84&lt;&gt;"",EDATE($D84,Milestones!$AA$42)&gt;=$S84),$V84,$U84)))=Milestones!$AB$42),UPPER(TEXT(EDATE($D84,Milestones!$AA$42),"dd mmm yy"))&amp;" "&amp;Milestones!$AB$42&amp;" "&amp;Milestones!$AC$42&amp;";  ","")&amp;IF(AND(EDATE($D84,Milestones!$AA$43)&lt;=AsOfDate,IF($R84=0,$X84,IF(AND($T84&lt;&gt;"",EDATE($D84,Milestones!$AA$43)&gt;=$T84),$W84,IF(AND($S84&lt;&gt;"",EDATE($D84,Milestones!$AA$43)&gt;=$S84),$V84,$U84)))=Milestones!$AB$43),UPPER(TEXT(EDATE($D84,Milestones!$AA$43),"dd mmm yy"))&amp;" "&amp;Milestones!$AB$43&amp;" "&amp;Milestones!$AC$43&amp;";  ","")&amp;IF(AND(EDATE($D84,Milestones!$AA$44)&lt;=AsOfDate,IF($R84=0,$X84,IF(AND($T84&lt;&gt;"",EDATE($D84,Milestones!$AA$44)&gt;=$T84),$W84,IF(AND($S84&lt;&gt;"",EDATE($D84,Milestones!$AA$44)&gt;=$S84),$V84,$U84)))=Milestones!$AB$44),UPPER(TEXT(EDATE($D84,Milestones!$AA$44),"dd mmm yy"))&amp;" "&amp;Milestones!$AB$44&amp;" "&amp;Milestones!$AC$44&amp;";  ","")&amp;IF(AND(EDATE($D84,Milestones!$AA$45)&lt;=AsOfDate,IF($R84=0,$X84,IF(AND($T84&lt;&gt;"",EDATE($D84,Milestones!$AA$45)&gt;=$T84),$W84,IF(AND($S84&lt;&gt;"",EDATE($D84,Milestones!$AA$45)&gt;=$S84),$V84,$U84)))=Milestones!$AB$45),UPPER(TEXT(EDATE($D84,Milestones!$AA$45),"dd mmm yy"))&amp;" "&amp;Milestones!$AB$45&amp;" "&amp;Milestones!$AC$45&amp;";  ","")&amp;IF(AND(EDATE($D84,Milestones!$AA$46)&lt;=AsOfDate,IF($R84=0,$X84,IF(AND($T84&lt;&gt;"",EDATE($D84,Milestones!$AA$46)&gt;=$T84),$W84,IF(AND($S84&lt;&gt;"",EDATE($D84,Milestones!$AA$46)&gt;=$S84),$V84,$U84)))=Milestones!$AB$46),UPPER(TEXT(EDATE($D84,Milestones!$AA$46),"dd mmm yy"))&amp;" "&amp;Milestones!$AB$46&amp;" "&amp;Milestones!$AC$46&amp;";  ","")&amp;IF(AND(EDATE($D84,Milestones!$AA$47)&lt;=AsOfDate,IF($R84=0,$X84,IF(AND($T84&lt;&gt;"",EDATE($D84,Milestones!$AA$47)&gt;=$T84),$W84,IF(AND($S84&lt;&gt;"",EDATE($D84,Milestones!$AA$47)&gt;=$S84),$V84,$U84)))=Milestones!$AB$47),UPPER(TEXT(EDATE($D84,Milestones!$AA$47),"dd mmm yy"))&amp;" "&amp;Milestones!$AB$47&amp;" "&amp;Milestones!$AC$47&amp;";  ","")&amp;IF(AND(EDATE($D84,Milestones!$AA$48)&lt;=AsOfDate,IF($R84=0,$X84,IF(AND($T84&lt;&gt;"",EDATE($D84,Milestones!$AA$48)&gt;=$T84),$W84,IF(AND($S84&lt;&gt;"",EDATE($D84,Milestones!$AA$48)&gt;=$S84),$V84,$U84)))=Milestones!$AB$48),UPPER(TEXT(EDATE($D84,Milestones!$AA$48),"dd mmm yy"))&amp;" "&amp;Milestones!$AB$48&amp;" "&amp;Milestones!$AC$48&amp;";  ","")&amp;IF(AND(EDATE($D84,Milestones!$AA$49)&lt;=AsOfDate,IF($R84=0,$X84,IF(AND($T84&lt;&gt;"",EDATE($D84,Milestones!$AA$49)&gt;=$T84),$W84,IF(AND($S84&lt;&gt;"",EDATE($D84,Milestones!$AA$49)&gt;=$S84),$V84,$U84)))=Milestones!$AB$49),UPPER(TEXT(EDATE($D84,Milestones!$AA$49),"dd mmm yy"))&amp;" "&amp;Milestones!$AB$49&amp;" "&amp;Milestones!$AC$49&amp;";  ","")&amp;IF(AND(EDATE($D84,Milestones!$AA$50)&lt;=AsOfDate,IF($R84=0,$X84,IF(AND($T84&lt;&gt;"",EDATE($D84,Milestones!$AA$50)&gt;=$T84),$W84,IF(AND($S84&lt;&gt;"",EDATE($D84,Milestones!$AA$50)&gt;=$S84),$V84,$U84)))=Milestones!$AB$50),UPPER(TEXT(EDATE($D84,Milestones!$AA$50),"dd mmm yy"))&amp;" "&amp;Milestones!$AB$50&amp;" "&amp;Milestones!$AC$50&amp;";  ","")&amp;IF(AND(EDATE($D84,Milestones!$AA$51)&lt;=AsOfDate,IF($R84=0,$X84,IF(AND($T84&lt;&gt;"",EDATE($D84,Milestones!$AA$51)&gt;=$T84),$W84,IF(AND($S84&lt;&gt;"",EDATE($D84,Milestones!$AA$51)&gt;=$S84),$V84,$U84)))=Milestones!$AB$51),UPPER(TEXT(EDATE($D84,Milestones!$AA$51),"dd mmm yy"))&amp;" "&amp;Milestones!$AB$51&amp;" "&amp;Milestones!$AC$51&amp;";  ","")&amp;IF(AND(EDATE($D84,Milestones!$AA$52)&lt;=AsOfDate,IF($R84=0,$X84,IF(AND($T84&lt;&gt;"",EDATE($D84,Milestones!$AA$52)&gt;=$T84),$W84,IF(AND($S84&lt;&gt;"",EDATE($D84,Milestones!$AA$52)&gt;=$S84),$V84,$U84)))=Milestones!$AB$52),UPPER(TEXT(EDATE($D84,Milestones!$AA$52),"dd mmm yy"))&amp;" "&amp;Milestones!$AB$52&amp;" "&amp;Milestones!$AC$52&amp;";  ","")&amp;IF(AND(EDATE($D84,Milestones!$AA$53)&lt;=AsOfDate,IF($R84=0,$X84,IF(AND($T84&lt;&gt;"",EDATE($D84,Milestones!$AA$53)&gt;=$T84),$W84,IF(AND($S84&lt;&gt;"",EDATE($D84,Milestones!$AA$53)&gt;=$S84),$V84,$U84)))=Milestones!$AB$53),UPPER(TEXT(EDATE($D84,Milestones!$AA$53),"dd mmm yy"))&amp;" "&amp;Milestones!$AB$53&amp;" "&amp;Milestones!$AC$53&amp;";  ","")&amp;IF(AND(EDATE($D84,Milestones!$AA$54)&lt;=AsOfDate,IF($R84=0,$X84,IF(AND($T84&lt;&gt;"",EDATE($D84,Milestones!$AA$54)&gt;=$T84),$W84,IF(AND($S84&lt;&gt;"",EDATE($D84,Milestones!$AA$54)&gt;=$S84),$V84,$U84)))=Milestones!$AB$54),UPPER(TEXT(EDATE($D84,Milestones!$AA$54),"dd mmm yy"))&amp;" "&amp;Milestones!$AB$54&amp;" "&amp;Milestones!$AC$54&amp;";  ","")&amp;IF(AND(EDATE($D84,Milestones!$AA$55)&lt;=AsOfDate,IF($R84=0,$X84,IF(AND($T84&lt;&gt;"",EDATE($D84,Milestones!$AA$55)&gt;=$T84),$W84,IF(AND($S84&lt;&gt;"",EDATE($D84,Milestones!$AA$55)&gt;=$S84),$V84,$U84)))=Milestones!$AB$55),UPPER(TEXT(EDATE($D84,Milestones!$AA$55),"dd mmm yy"))&amp;" "&amp;Milestones!$AB$55&amp;" "&amp;Milestones!$AC$55&amp;";  ","")&amp;IF(AND(EDATE($D84,Milestones!$AA$56)&lt;=AsOfDate,IF($R84=0,$X84,IF(AND($T84&lt;&gt;"",EDATE($D84,Milestones!$AA$56)&gt;=$T84),$W84,IF(AND($S84&lt;&gt;"",EDATE($D84,Milestones!$AA$56)&gt;=$S84),$V84,$U84)))=Milestones!$AB$56),UPPER(TEXT(EDATE($D84,Milestones!$AA$56),"dd mmm yy"))&amp;" "&amp;Milestones!$AB$56&amp;" "&amp;Milestones!$AC$56&amp;";  ","")&amp;IF(AND(EDATE($D84,Milestones!$AA$57)&lt;=AsOfDate,IF($R84=0,$X84,IF(AND($T84&lt;&gt;"",EDATE($D84,Milestones!$AA$57)&gt;=$T84),$W84,IF(AND($S84&lt;&gt;"",EDATE($D84,Milestones!$AA$57)&gt;=$S84),$V84,$U84)))=Milestones!$AB$57),UPPER(TEXT(EDATE($D84,Milestones!$AA$57),"dd mmm yy"))&amp;" "&amp;Milestones!$AB$57&amp;" "&amp;Milestones!$AC$57&amp;";  ","")&amp;IF(AND(EDATE($D84,Milestones!$AA$58)&lt;=AsOfDate,IF($R84=0,$X84,IF(AND($T84&lt;&gt;"",EDATE($D84,Milestones!$AA$58)&gt;=$T84),$W84,IF(AND($S84&lt;&gt;"",EDATE($D84,Milestones!$AA$58)&gt;=$S84),$V84,$U84)))=Milestones!$AB$58),UPPER(TEXT(EDATE($D84,Milestones!$AA$58),"dd mmm yy"))&amp;" "&amp;Milestones!$AB$58&amp;" "&amp;Milestones!$AC$58&amp;";  ","")&amp;IF(AND(EDATE($D84,Milestones!$AA$59)&lt;=AsOfDate,IF($R84=0,$X84,IF(AND($T84&lt;&gt;"",EDATE($D84,Milestones!$AA$59)&gt;=$T84),$W84,IF(AND($S84&lt;&gt;"",EDATE($D84,Milestones!$AA$59)&gt;=$S84),$V84,$U84)))=Milestones!$AB$59),UPPER(TEXT(EDATE($D84,Milestones!$AA$59),"dd mmm yy"))&amp;" "&amp;Milestones!$AB$59&amp;" "&amp;Milestones!$AC$59&amp;";  ",""))</f>
        <v/>
      </c>
      <c r="K84" s="0" t="str">
        <f aca="false">IF(OR($A84="",$D84=""),"",IF(AND(EDATE($D84,Milestones!$AA$60)&lt;=AsOfDate,IF($R84=0,$X84,IF(AND($T84&lt;&gt;"",EDATE($D84,Milestones!$AA$60)&gt;=$T84),$W84,IF(AND($S84&lt;&gt;"",EDATE($D84,Milestones!$AA$60)&gt;=$S84),$V84,$U84)))=Milestones!$AB$60),UPPER(TEXT(EDATE($D84,Milestones!$AA$60),"dd mmm yy"))&amp;" "&amp;Milestones!$AB$60&amp;" "&amp;Milestones!$AC$60&amp;";  ","")&amp;IF(AND(EDATE($D84,Milestones!$AA$61)&lt;=AsOfDate,IF($R84=0,$X84,IF(AND($T84&lt;&gt;"",EDATE($D84,Milestones!$AA$61)&gt;=$T84),$W84,IF(AND($S84&lt;&gt;"",EDATE($D84,Milestones!$AA$61)&gt;=$S84),$V84,$U84)))=Milestones!$AB$61),UPPER(TEXT(EDATE($D84,Milestones!$AA$61),"dd mmm yy"))&amp;" "&amp;Milestones!$AB$61&amp;" "&amp;Milestones!$AC$61&amp;";  ","")&amp;IF(AND(EDATE($D84,Milestones!$AA$62)&lt;=AsOfDate,IF($R84=0,$X84,IF(AND($T84&lt;&gt;"",EDATE($D84,Milestones!$AA$62)&gt;=$T84),$W84,IF(AND($S84&lt;&gt;"",EDATE($D84,Milestones!$AA$62)&gt;=$S84),$V84,$U84)))=Milestones!$AB$62),UPPER(TEXT(EDATE($D84,Milestones!$AA$62),"dd mmm yy"))&amp;" "&amp;Milestones!$AB$62&amp;" "&amp;Milestones!$AC$62&amp;";  ","")&amp;IF(AND(EDATE($D84,Milestones!$AA$63)&lt;=AsOfDate,IF($R84=0,$X84,IF(AND($T84&lt;&gt;"",EDATE($D84,Milestones!$AA$63)&gt;=$T84),$W84,IF(AND($S84&lt;&gt;"",EDATE($D84,Milestones!$AA$63)&gt;=$S84),$V84,$U84)))=Milestones!$AB$63),UPPER(TEXT(EDATE($D84,Milestones!$AA$63),"dd mmm yy"))&amp;" "&amp;Milestones!$AB$63&amp;" "&amp;Milestones!$AC$63&amp;";  ","")&amp;IF(AND(EDATE($D84,Milestones!$AA$64)&lt;=AsOfDate,IF($R84=0,$X84,IF(AND($T84&lt;&gt;"",EDATE($D84,Milestones!$AA$64)&gt;=$T84),$W84,IF(AND($S84&lt;&gt;"",EDATE($D84,Milestones!$AA$64)&gt;=$S84),$V84,$U84)))=Milestones!$AB$64),UPPER(TEXT(EDATE($D84,Milestones!$AA$64),"dd mmm yy"))&amp;" "&amp;Milestones!$AB$64&amp;" "&amp;Milestones!$AC$64&amp;";  ","")&amp;IF(AND(EDATE($D84,Milestones!$AA$65)&lt;=AsOfDate,IF($R84=0,$X84,IF(AND($T84&lt;&gt;"",EDATE($D84,Milestones!$AA$65)&gt;=$T84),$W84,IF(AND($S84&lt;&gt;"",EDATE($D84,Milestones!$AA$65)&gt;=$S84),$V84,$U84)))=Milestones!$AB$65),UPPER(TEXT(EDATE($D84,Milestones!$AA$65),"dd mmm yy"))&amp;" "&amp;Milestones!$AB$65&amp;" "&amp;Milestones!$AC$65&amp;";  ","")&amp;IF(AND(EDATE($D84,Milestones!$AA$66)&lt;=AsOfDate,IF($R84=0,$X84,IF(AND($T84&lt;&gt;"",EDATE($D84,Milestones!$AA$66)&gt;=$T84),$W84,IF(AND($S84&lt;&gt;"",EDATE($D84,Milestones!$AA$66)&gt;=$S84),$V84,$U84)))=Milestones!$AB$66),UPPER(TEXT(EDATE($D84,Milestones!$AA$66),"dd mmm yy"))&amp;" "&amp;Milestones!$AB$66&amp;" "&amp;Milestones!$AC$66&amp;";  ","")&amp;IF(AND(EDATE($D84,Milestones!$AA$67)&lt;=AsOfDate,IF($R84=0,$X84,IF(AND($T84&lt;&gt;"",EDATE($D84,Milestones!$AA$67)&gt;=$T84),$W84,IF(AND($S84&lt;&gt;"",EDATE($D84,Milestones!$AA$67)&gt;=$S84),$V84,$U84)))=Milestones!$AB$67),UPPER(TEXT(EDATE($D84,Milestones!$AA$67),"dd mmm yy"))&amp;" "&amp;Milestones!$AB$67&amp;" "&amp;Milestones!$AC$67&amp;";  ","")&amp;IF(AND(EDATE($D84,Milestones!$AA$68)&lt;=AsOfDate,IF($R84=0,$X84,IF(AND($T84&lt;&gt;"",EDATE($D84,Milestones!$AA$68)&gt;=$T84),$W84,IF(AND($S84&lt;&gt;"",EDATE($D84,Milestones!$AA$68)&gt;=$S84),$V84,$U84)))=Milestones!$AB$68),UPPER(TEXT(EDATE($D84,Milestones!$AA$68),"dd mmm yy"))&amp;" "&amp;Milestones!$AB$68&amp;" "&amp;Milestones!$AC$68&amp;";  ","")&amp;IF(AND(EDATE($D84,Milestones!$AA$69)&lt;=AsOfDate,IF($R84=0,$X84,IF(AND($T84&lt;&gt;"",EDATE($D84,Milestones!$AA$69)&gt;=$T84),$W84,IF(AND($S84&lt;&gt;"",EDATE($D84,Milestones!$AA$69)&gt;=$S84),$V84,$U84)))=Milestones!$AB$69),UPPER(TEXT(EDATE($D84,Milestones!$AA$69),"dd mmm yy"))&amp;" "&amp;Milestones!$AB$69&amp;" "&amp;Milestones!$AC$69&amp;";  ","")&amp;IF(AND(EDATE($D84,Milestones!$AA$70)&lt;=AsOfDate,IF($R84=0,$X84,IF(AND($T84&lt;&gt;"",EDATE($D84,Milestones!$AA$70)&gt;=$T84),$W84,IF(AND($S84&lt;&gt;"",EDATE($D84,Milestones!$AA$70)&gt;=$S84),$V84,$U84)))=Milestones!$AB$70),UPPER(TEXT(EDATE($D84,Milestones!$AA$70),"dd mmm yy"))&amp;" "&amp;Milestones!$AB$70&amp;" "&amp;Milestones!$AC$70&amp;";  ","")&amp;IF(AND(EDATE($D84,Milestones!$AA$71)&lt;=AsOfDate,IF($R84=0,$X84,IF(AND($T84&lt;&gt;"",EDATE($D84,Milestones!$AA$71)&gt;=$T84),$W84,IF(AND($S84&lt;&gt;"",EDATE($D84,Milestones!$AA$71)&gt;=$S84),$V84,$U84)))=Milestones!$AB$71),UPPER(TEXT(EDATE($D84,Milestones!$AA$71),"dd mmm yy"))&amp;" "&amp;Milestones!$AB$71&amp;" "&amp;Milestones!$AC$71&amp;";  ","")&amp;IF(AND(EDATE($D84,Milestones!$AA$72)&lt;=AsOfDate,IF($R84=0,$X84,IF(AND($T84&lt;&gt;"",EDATE($D84,Milestones!$AA$72)&gt;=$T84),$W84,IF(AND($S84&lt;&gt;"",EDATE($D84,Milestones!$AA$72)&gt;=$S84),$V84,$U84)))=Milestones!$AB$72),UPPER(TEXT(EDATE($D84,Milestones!$AA$72),"dd mmm yy"))&amp;" "&amp;Milestones!$AB$72&amp;" "&amp;Milestones!$AC$72&amp;";  ","")&amp;IF(AND(EDATE($D84,Milestones!$AA$73)&lt;=AsOfDate,IF($R84=0,$X84,IF(AND($T84&lt;&gt;"",EDATE($D84,Milestones!$AA$73)&gt;=$T84),$W84,IF(AND($S84&lt;&gt;"",EDATE($D84,Milestones!$AA$73)&gt;=$S84),$V84,$U84)))=Milestones!$AB$73),UPPER(TEXT(EDATE($D84,Milestones!$AA$73),"dd mmm yy"))&amp;" "&amp;Milestones!$AB$73&amp;" "&amp;Milestones!$AC$73&amp;";  ","")&amp;IF(AND(EDATE($D84,Milestones!$AA$74)&lt;=AsOfDate,IF($R84=0,$X84,IF(AND($T84&lt;&gt;"",EDATE($D84,Milestones!$AA$74)&gt;=$T84),$W84,IF(AND($S84&lt;&gt;"",EDATE($D84,Milestones!$AA$74)&gt;=$S84),$V84,$U84)))=Milestones!$AB$74),UPPER(TEXT(EDATE($D84,Milestones!$AA$74),"dd mmm yy"))&amp;" "&amp;Milestones!$AB$74&amp;" "&amp;Milestones!$AC$74&amp;";  ","")&amp;IF(AND(EDATE($D84,Milestones!$AA$75)&lt;=AsOfDate,IF($R84=0,$X84,IF(AND($T84&lt;&gt;"",EDATE($D84,Milestones!$AA$75)&gt;=$T84),$W84,IF(AND($S84&lt;&gt;"",EDATE($D84,Milestones!$AA$75)&gt;=$S84),$V84,$U84)))=Milestones!$AB$75),UPPER(TEXT(EDATE($D84,Milestones!$AA$75),"dd mmm yy"))&amp;" "&amp;Milestones!$AB$75&amp;" "&amp;Milestones!$AC$75&amp;";  ","")&amp;IF(AND(EDATE($D84,Milestones!$AA$76)&lt;=AsOfDate,IF($R84=0,$X84,IF(AND($T84&lt;&gt;"",EDATE($D84,Milestones!$AA$76)&gt;=$T84),$W84,IF(AND($S84&lt;&gt;"",EDATE($D84,Milestones!$AA$76)&gt;=$S84),$V84,$U84)))=Milestones!$AB$76),UPPER(TEXT(EDATE($D84,Milestones!$AA$76),"dd mmm yy"))&amp;" "&amp;Milestones!$AB$76&amp;" "&amp;Milestones!$AC$76&amp;";  ","")&amp;IF(AND(EDATE($D84,Milestones!$AA$77)&lt;=AsOfDate,IF($R84=0,$X84,IF(AND($T84&lt;&gt;"",EDATE($D84,Milestones!$AA$77)&gt;=$T84),$W84,IF(AND($S84&lt;&gt;"",EDATE($D84,Milestones!$AA$77)&gt;=$S84),$V84,$U84)))=Milestones!$AB$77),UPPER(TEXT(EDATE($D84,Milestones!$AA$77),"dd mmm yy"))&amp;" "&amp;Milestones!$AB$77&amp;" "&amp;Milestones!$AC$77&amp;";  ","")&amp;IF(AND(EDATE($D84,Milestones!$AA$78)&lt;=AsOfDate,IF($R84=0,$X84,IF(AND($T84&lt;&gt;"",EDATE($D84,Milestones!$AA$78)&gt;=$T84),$W84,IF(AND($S84&lt;&gt;"",EDATE($D84,Milestones!$AA$78)&gt;=$S84),$V84,$U84)))=Milestones!$AB$78),UPPER(TEXT(EDATE($D84,Milestones!$AA$78),"dd mmm yy"))&amp;" "&amp;Milestones!$AB$78&amp;" "&amp;Milestones!$AC$78&amp;";  ","")&amp;IF(AND(EDATE($D84,Milestones!$AA$79)&lt;=AsOfDate,IF($R84=0,$X84,IF(AND($T84&lt;&gt;"",EDATE($D84,Milestones!$AA$79)&gt;=$T84),$W84,IF(AND($S84&lt;&gt;"",EDATE($D84,Milestones!$AA$79)&gt;=$S84),$V84,$U84)))=Milestones!$AB$79),UPPER(TEXT(EDATE($D84,Milestones!$AA$79),"dd mmm yy"))&amp;" "&amp;Milestones!$AB$79&amp;" "&amp;Milestones!$AC$79&amp;";  ",""))</f>
        <v/>
      </c>
      <c r="L84" s="0" t="str">
        <f aca="false">IF(OR($A84="",$D84=""),"",IF(AND(EDATE($D84,Milestones!$AA$80)&lt;=AsOfDate,IF($R84=0,$X84,IF(AND($T84&lt;&gt;"",EDATE($D84,Milestones!$AA$80)&gt;=$T84),$W84,IF(AND($S84&lt;&gt;"",EDATE($D84,Milestones!$AA$80)&gt;=$S84),$V84,$U84)))=Milestones!$AB$80),UPPER(TEXT(EDATE($D84,Milestones!$AA$80),"dd mmm yy"))&amp;" "&amp;Milestones!$AB$80&amp;" "&amp;Milestones!$AC$80&amp;";  ","")&amp;IF(AND(EDATE($D84,Milestones!$AA$81)&lt;=AsOfDate,IF($R84=0,$X84,IF(AND($T84&lt;&gt;"",EDATE($D84,Milestones!$AA$81)&gt;=$T84),$W84,IF(AND($S84&lt;&gt;"",EDATE($D84,Milestones!$AA$81)&gt;=$S84),$V84,$U84)))=Milestones!$AB$81),UPPER(TEXT(EDATE($D84,Milestones!$AA$81),"dd mmm yy"))&amp;" "&amp;Milestones!$AB$81&amp;" "&amp;Milestones!$AC$81&amp;";  ","")&amp;IF(AND(EDATE($D84,Milestones!$AA$82)&lt;=AsOfDate,IF($R84=0,$X84,IF(AND($T84&lt;&gt;"",EDATE($D84,Milestones!$AA$82)&gt;=$T84),$W84,IF(AND($S84&lt;&gt;"",EDATE($D84,Milestones!$AA$82)&gt;=$S84),$V84,$U84)))=Milestones!$AB$82),UPPER(TEXT(EDATE($D84,Milestones!$AA$82),"dd mmm yy"))&amp;" "&amp;Milestones!$AB$82&amp;" "&amp;Milestones!$AC$82&amp;";  ","")&amp;IF(AND(EDATE($D84,Milestones!$AA$83)&lt;=AsOfDate,IF($R84=0,$X84,IF(AND($T84&lt;&gt;"",EDATE($D84,Milestones!$AA$83)&gt;=$T84),$W84,IF(AND($S84&lt;&gt;"",EDATE($D84,Milestones!$AA$83)&gt;=$S84),$V84,$U84)))=Milestones!$AB$83),UPPER(TEXT(EDATE($D84,Milestones!$AA$83),"dd mmm yy"))&amp;" "&amp;Milestones!$AB$83&amp;" "&amp;Milestones!$AC$83&amp;";  ","")&amp;IF(AND(EDATE($D84,Milestones!$AA$84)&lt;=AsOfDate,IF($R84=0,$X84,IF(AND($T84&lt;&gt;"",EDATE($D84,Milestones!$AA$84)&gt;=$T84),$W84,IF(AND($S84&lt;&gt;"",EDATE($D84,Milestones!$AA$84)&gt;=$S84),$V84,$U84)))=Milestones!$AB$84),UPPER(TEXT(EDATE($D84,Milestones!$AA$84),"dd mmm yy"))&amp;" "&amp;Milestones!$AB$84&amp;" "&amp;Milestones!$AC$84&amp;";  ","")&amp;IF(AND(EDATE($D84,Milestones!$AA$85)&lt;=AsOfDate,IF($R84=0,$X84,IF(AND($T84&lt;&gt;"",EDATE($D84,Milestones!$AA$85)&gt;=$T84),$W84,IF(AND($S84&lt;&gt;"",EDATE($D84,Milestones!$AA$85)&gt;=$S84),$V84,$U84)))=Milestones!$AB$85),UPPER(TEXT(EDATE($D84,Milestones!$AA$85),"dd mmm yy"))&amp;" "&amp;Milestones!$AB$85&amp;" "&amp;Milestones!$AC$85&amp;";  ","")&amp;IF(AND(EDATE($D84,Milestones!$AA$86)&lt;=AsOfDate,IF($R84=0,$X84,IF(AND($T84&lt;&gt;"",EDATE($D84,Milestones!$AA$86)&gt;=$T84),$W84,IF(AND($S84&lt;&gt;"",EDATE($D84,Milestones!$AA$86)&gt;=$S84),$V84,$U84)))=Milestones!$AB$86),UPPER(TEXT(EDATE($D84,Milestones!$AA$86),"dd mmm yy"))&amp;" "&amp;Milestones!$AB$86&amp;" "&amp;Milestones!$AC$86&amp;";  ","")&amp;IF(AND(EDATE($D84,Milestones!$AA$87)&lt;=AsOfDate,IF($R84=0,$X84,IF(AND($T84&lt;&gt;"",EDATE($D84,Milestones!$AA$87)&gt;=$T84),$W84,IF(AND($S84&lt;&gt;"",EDATE($D84,Milestones!$AA$87)&gt;=$S84),$V84,$U84)))=Milestones!$AB$87),UPPER(TEXT(EDATE($D84,Milestones!$AA$87),"dd mmm yy"))&amp;" "&amp;Milestones!$AB$87&amp;" "&amp;Milestones!$AC$87&amp;";  ","")&amp;IF(AND(EDATE($D84,Milestones!$AA$88)&lt;=AsOfDate,IF($R84=0,$X84,IF(AND($T84&lt;&gt;"",EDATE($D84,Milestones!$AA$88)&gt;=$T84),$W84,IF(AND($S84&lt;&gt;"",EDATE($D84,Milestones!$AA$88)&gt;=$S84),$V84,$U84)))=Milestones!$AB$88),UPPER(TEXT(EDATE($D84,Milestones!$AA$88),"dd mmm yy"))&amp;" "&amp;Milestones!$AB$88&amp;" "&amp;Milestones!$AC$88&amp;";  ","")&amp;IF(AND(EDATE($D84,Milestones!$AA$89)&lt;=AsOfDate,IF($R84=0,$X84,IF(AND($T84&lt;&gt;"",EDATE($D84,Milestones!$AA$89)&gt;=$T84),$W84,IF(AND($S84&lt;&gt;"",EDATE($D84,Milestones!$AA$89)&gt;=$S84),$V84,$U84)))=Milestones!$AB$89),UPPER(TEXT(EDATE($D84,Milestones!$AA$89),"dd mmm yy"))&amp;" "&amp;Milestones!$AB$89&amp;" "&amp;Milestones!$AC$89&amp;";  ","")&amp;IF(AND(EDATE($D84,Milestones!$AA$90)&lt;=AsOfDate,IF($R84=0,$X84,IF(AND($T84&lt;&gt;"",EDATE($D84,Milestones!$AA$90)&gt;=$T84),$W84,IF(AND($S84&lt;&gt;"",EDATE($D84,Milestones!$AA$90)&gt;=$S84),$V84,$U84)))=Milestones!$AB$90),UPPER(TEXT(EDATE($D84,Milestones!$AA$90),"dd mmm yy"))&amp;" "&amp;Milestones!$AB$90&amp;" "&amp;Milestones!$AC$90&amp;";  ","")&amp;IF(AND(EDATE($D84,Milestones!$AA$91)&lt;=AsOfDate,IF($R84=0,$X84,IF(AND($T84&lt;&gt;"",EDATE($D84,Milestones!$AA$91)&gt;=$T84),$W84,IF(AND($S84&lt;&gt;"",EDATE($D84,Milestones!$AA$91)&gt;=$S84),$V84,$U84)))=Milestones!$AB$91),UPPER(TEXT(EDATE($D84,Milestones!$AA$91),"dd mmm yy"))&amp;" "&amp;Milestones!$AB$91&amp;" "&amp;Milestones!$AC$91&amp;";  ","")&amp;IF(AND(EDATE($D84,Milestones!$AA$92)&lt;=AsOfDate,IF($R84=0,$X84,IF(AND($T84&lt;&gt;"",EDATE($D84,Milestones!$AA$92)&gt;=$T84),$W84,IF(AND($S84&lt;&gt;"",EDATE($D84,Milestones!$AA$92)&gt;=$S84),$V84,$U84)))=Milestones!$AB$92),UPPER(TEXT(EDATE($D84,Milestones!$AA$92),"dd mmm yy"))&amp;" "&amp;Milestones!$AB$92&amp;" "&amp;Milestones!$AC$92&amp;";  ","")&amp;IF(AND(EDATE($D84,Milestones!$AA$93)&lt;=AsOfDate,IF($R84=0,$X84,IF(AND($T84&lt;&gt;"",EDATE($D84,Milestones!$AA$93)&gt;=$T84),$W84,IF(AND($S84&lt;&gt;"",EDATE($D84,Milestones!$AA$93)&gt;=$S84),$V84,$U84)))=Milestones!$AB$93),UPPER(TEXT(EDATE($D84,Milestones!$AA$93),"dd mmm yy"))&amp;" "&amp;Milestones!$AB$93&amp;" "&amp;Milestones!$AC$93&amp;";  ","")&amp;IF(AND(EDATE($D84,Milestones!$AA$94)&lt;=AsOfDate,IF($R84=0,$X84,IF(AND($T84&lt;&gt;"",EDATE($D84,Milestones!$AA$94)&gt;=$T84),$W84,IF(AND($S84&lt;&gt;"",EDATE($D84,Milestones!$AA$94)&gt;=$S84),$V84,$U84)))=Milestones!$AB$94),UPPER(TEXT(EDATE($D84,Milestones!$AA$94),"dd mmm yy"))&amp;" "&amp;Milestones!$AB$94&amp;" "&amp;Milestones!$AC$94&amp;";  ","")&amp;IF(AND(EDATE($D84,Milestones!$AA$95)&lt;=AsOfDate,IF($R84=0,$X84,IF(AND($T84&lt;&gt;"",EDATE($D84,Milestones!$AA$95)&gt;=$T84),$W84,IF(AND($S84&lt;&gt;"",EDATE($D84,Milestones!$AA$95)&gt;=$S84),$V84,$U84)))=Milestones!$AB$95),UPPER(TEXT(EDATE($D84,Milestones!$AA$95),"dd mmm yy"))&amp;" "&amp;Milestones!$AB$95&amp;" "&amp;Milestones!$AC$95&amp;";  ","")&amp;IF(AND(EDATE($D84,Milestones!$AA$96)&lt;=AsOfDate,IF($R84=0,$X84,IF(AND($T84&lt;&gt;"",EDATE($D84,Milestones!$AA$96)&gt;=$T84),$W84,IF(AND($S84&lt;&gt;"",EDATE($D84,Milestones!$AA$96)&gt;=$S84),$V84,$U84)))=Milestones!$AB$96),UPPER(TEXT(EDATE($D84,Milestones!$AA$96),"dd mmm yy"))&amp;" "&amp;Milestones!$AB$96&amp;" "&amp;Milestones!$AC$96&amp;";  ","")&amp;IF(AND(EDATE($D84,Milestones!$AA$97)&lt;=AsOfDate,IF($R84=0,$X84,IF(AND($T84&lt;&gt;"",EDATE($D84,Milestones!$AA$97)&gt;=$T84),$W84,IF(AND($S84&lt;&gt;"",EDATE($D84,Milestones!$AA$97)&gt;=$S84),$V84,$U84)))=Milestones!$AB$97),UPPER(TEXT(EDATE($D84,Milestones!$AA$97),"dd mmm yy"))&amp;" "&amp;Milestones!$AB$97&amp;" "&amp;Milestones!$AC$97&amp;";  ","")&amp;IF(AND(EDATE($D84,Milestones!$AA$98)&lt;=AsOfDate,IF($R84=0,$X84,IF(AND($T84&lt;&gt;"",EDATE($D84,Milestones!$AA$98)&gt;=$T84),$W84,IF(AND($S84&lt;&gt;"",EDATE($D84,Milestones!$AA$98)&gt;=$S84),$V84,$U84)))=Milestones!$AB$98),UPPER(TEXT(EDATE($D84,Milestones!$AA$98),"dd mmm yy"))&amp;" "&amp;Milestones!$AB$98&amp;" "&amp;Milestones!$AC$98&amp;";  ","")&amp;IF(AND(EDATE($D84,Milestones!$AA$99)&lt;=AsOfDate,IF($R84=0,$X84,IF(AND($T84&lt;&gt;"",EDATE($D84,Milestones!$AA$99)&gt;=$T84),$W84,IF(AND($S84&lt;&gt;"",EDATE($D84,Milestones!$AA$99)&gt;=$S84),$V84,$U84)))=Milestones!$AB$99),UPPER(TEXT(EDATE($D84,Milestones!$AA$99),"dd mmm yy"))&amp;" "&amp;Milestones!$AB$99&amp;" "&amp;Milestones!$AC$99&amp;";  ",""))</f>
        <v/>
      </c>
      <c r="M84" s="0" t="str">
        <f aca="false">IF(OR($A84="",$D84=""),"",IF(AND(EDATE($D84,Milestones!$AA$100)&lt;=AsOfDate,IF($R84=0,$X84,IF(AND($T84&lt;&gt;"",EDATE($D84,Milestones!$AA$100)&gt;=$T84),$W84,IF(AND($S84&lt;&gt;"",EDATE($D84,Milestones!$AA$100)&gt;=$S84),$V84,$U84)))=Milestones!$AB$100),UPPER(TEXT(EDATE($D84,Milestones!$AA$100),"dd mmm yy"))&amp;" "&amp;Milestones!$AB$100&amp;" "&amp;Milestones!$AC$100&amp;";  ","")&amp;IF(AND(EDATE($D84,Milestones!$AA$101)&lt;=AsOfDate,IF($R84=0,$X84,IF(AND($T84&lt;&gt;"",EDATE($D84,Milestones!$AA$101)&gt;=$T84),$W84,IF(AND($S84&lt;&gt;"",EDATE($D84,Milestones!$AA$101)&gt;=$S84),$V84,$U84)))=Milestones!$AB$101),UPPER(TEXT(EDATE($D84,Milestones!$AA$101),"dd mmm yy"))&amp;" "&amp;Milestones!$AB$101&amp;" "&amp;Milestones!$AC$101&amp;";  ","")&amp;IF(AND(EDATE($D84,Milestones!$AA$102)&lt;=AsOfDate,IF($R84=0,$X84,IF(AND($T84&lt;&gt;"",EDATE($D84,Milestones!$AA$102)&gt;=$T84),$W84,IF(AND($S84&lt;&gt;"",EDATE($D84,Milestones!$AA$102)&gt;=$S84),$V84,$U84)))=Milestones!$AB$102),UPPER(TEXT(EDATE($D84,Milestones!$AA$102),"dd mmm yy"))&amp;" "&amp;Milestones!$AB$102&amp;" "&amp;Milestones!$AC$102&amp;";  ","")&amp;IF(AND(EDATE($D84,Milestones!$AA$103)&lt;=AsOfDate,IF($R84=0,$X84,IF(AND($T84&lt;&gt;"",EDATE($D84,Milestones!$AA$103)&gt;=$T84),$W84,IF(AND($S84&lt;&gt;"",EDATE($D84,Milestones!$AA$103)&gt;=$S84),$V84,$U84)))=Milestones!$AB$103),UPPER(TEXT(EDATE($D84,Milestones!$AA$103),"dd mmm yy"))&amp;" "&amp;Milestones!$AB$103&amp;" "&amp;Milestones!$AC$103&amp;";  ","")&amp;IF(AND(EDATE($D84,Milestones!$AA$104)&lt;=AsOfDate,IF($R84=0,$X84,IF(AND($T84&lt;&gt;"",EDATE($D84,Milestones!$AA$104)&gt;=$T84),$W84,IF(AND($S84&lt;&gt;"",EDATE($D84,Milestones!$AA$104)&gt;=$S84),$V84,$U84)))=Milestones!$AB$104),UPPER(TEXT(EDATE($D84,Milestones!$AA$104),"dd mmm yy"))&amp;" "&amp;Milestones!$AB$104&amp;" "&amp;Milestones!$AC$104&amp;";  ","")&amp;IF(AND(EDATE($D84,Milestones!$AA$105)&lt;=AsOfDate,IF($R84=0,$X84,IF(AND($T84&lt;&gt;"",EDATE($D84,Milestones!$AA$105)&gt;=$T84),$W84,IF(AND($S84&lt;&gt;"",EDATE($D84,Milestones!$AA$105)&gt;=$S84),$V84,$U84)))=Milestones!$AB$105),UPPER(TEXT(EDATE($D84,Milestones!$AA$105),"dd mmm yy"))&amp;" "&amp;Milestones!$AB$105&amp;" "&amp;Milestones!$AC$105&amp;";  ","")&amp;IF(AND(EDATE($D84,Milestones!$AA$106)&lt;=AsOfDate,IF($R84=0,$X84,IF(AND($T84&lt;&gt;"",EDATE($D84,Milestones!$AA$106)&gt;=$T84),$W84,IF(AND($S84&lt;&gt;"",EDATE($D84,Milestones!$AA$106)&gt;=$S84),$V84,$U84)))=Milestones!$AB$106),UPPER(TEXT(EDATE($D84,Milestones!$AA$106),"dd mmm yy"))&amp;" "&amp;Milestones!$AB$106&amp;" "&amp;Milestones!$AC$106&amp;";  ","")&amp;IF(AND(EDATE($D84,Milestones!$AA$107)&lt;=AsOfDate,IF($R84=0,$X84,IF(AND($T84&lt;&gt;"",EDATE($D84,Milestones!$AA$107)&gt;=$T84),$W84,IF(AND($S84&lt;&gt;"",EDATE($D84,Milestones!$AA$107)&gt;=$S84),$V84,$U84)))=Milestones!$AB$107),UPPER(TEXT(EDATE($D84,Milestones!$AA$107),"dd mmm yy"))&amp;" "&amp;Milestones!$AB$107&amp;" "&amp;Milestones!$AC$107&amp;";  ","")&amp;IF(AND(EDATE($D84,Milestones!$AA$108)&lt;=AsOfDate,IF($R84=0,$X84,IF(AND($T84&lt;&gt;"",EDATE($D84,Milestones!$AA$108)&gt;=$T84),$W84,IF(AND($S84&lt;&gt;"",EDATE($D84,Milestones!$AA$108)&gt;=$S84),$V84,$U84)))=Milestones!$AB$108),UPPER(TEXT(EDATE($D84,Milestones!$AA$108),"dd mmm yy"))&amp;" "&amp;Milestones!$AB$108&amp;" "&amp;Milestones!$AC$108&amp;";  ","")&amp;IF(AND(EDATE($D84,Milestones!$AA$109)&lt;=AsOfDate,IF($R84=0,$X84,IF(AND($T84&lt;&gt;"",EDATE($D84,Milestones!$AA$109)&gt;=$T84),$W84,IF(AND($S84&lt;&gt;"",EDATE($D84,Milestones!$AA$109)&gt;=$S84),$V84,$U84)))=Milestones!$AB$109),UPPER(TEXT(EDATE($D84,Milestones!$AA$109),"dd mmm yy"))&amp;" "&amp;Milestones!$AB$109&amp;" "&amp;Milestones!$AC$109&amp;";  ","")&amp;IF(AND(EDATE($D84,Milestones!$AA$110)&lt;=AsOfDate,IF($R84=0,$X84,IF(AND($T84&lt;&gt;"",EDATE($D84,Milestones!$AA$110)&gt;=$T84),$W84,IF(AND($S84&lt;&gt;"",EDATE($D84,Milestones!$AA$110)&gt;=$S84),$V84,$U84)))=Milestones!$AB$110),UPPER(TEXT(EDATE($D84,Milestones!$AA$110),"dd mmm yy"))&amp;" "&amp;Milestones!$AB$110&amp;" "&amp;Milestones!$AC$110&amp;";  ","")&amp;IF(AND(EDATE($D84,Milestones!$AA$111)&lt;=AsOfDate,IF($R84=0,$X84,IF(AND($T84&lt;&gt;"",EDATE($D84,Milestones!$AA$111)&gt;=$T84),$W84,IF(AND($S84&lt;&gt;"",EDATE($D84,Milestones!$AA$111)&gt;=$S84),$V84,$U84)))=Milestones!$AB$111),UPPER(TEXT(EDATE($D84,Milestones!$AA$111),"dd mmm yy"))&amp;" "&amp;Milestones!$AB$111&amp;" "&amp;Milestones!$AC$111&amp;";  ","")&amp;IF(AND(EDATE($D84,Milestones!$AA$112)&lt;=AsOfDate,IF($R84=0,$X84,IF(AND($T84&lt;&gt;"",EDATE($D84,Milestones!$AA$112)&gt;=$T84),$W84,IF(AND($S84&lt;&gt;"",EDATE($D84,Milestones!$AA$112)&gt;=$S84),$V84,$U84)))=Milestones!$AB$112),UPPER(TEXT(EDATE($D84,Milestones!$AA$112),"dd mmm yy"))&amp;" "&amp;Milestones!$AB$112&amp;" "&amp;Milestones!$AC$112&amp;";  ","")&amp;IF(AND(EDATE($D84,Milestones!$AA$113)&lt;=AsOfDate,IF($R84=0,$X84,IF(AND($T84&lt;&gt;"",EDATE($D84,Milestones!$AA$113)&gt;=$T84),$W84,IF(AND($S84&lt;&gt;"",EDATE($D84,Milestones!$AA$113)&gt;=$S84),$V84,$U84)))=Milestones!$AB$113),UPPER(TEXT(EDATE($D84,Milestones!$AA$113),"dd mmm yy"))&amp;" "&amp;Milestones!$AB$113&amp;" "&amp;Milestones!$AC$113&amp;";  ","")&amp;IF(AND(EDATE($D84,Milestones!$AA$114)&lt;=AsOfDate,IF($R84=0,$X84,IF(AND($T84&lt;&gt;"",EDATE($D84,Milestones!$AA$114)&gt;=$T84),$W84,IF(AND($S84&lt;&gt;"",EDATE($D84,Milestones!$AA$114)&gt;=$S84),$V84,$U84)))=Milestones!$AB$114),UPPER(TEXT(EDATE($D84,Milestones!$AA$114),"dd mmm yy"))&amp;" "&amp;Milestones!$AB$114&amp;" "&amp;Milestones!$AC$114&amp;";  ","")&amp;IF(AND(EDATE($D84,Milestones!$AA$115)&lt;=AsOfDate,IF($R84=0,$X84,IF(AND($T84&lt;&gt;"",EDATE($D84,Milestones!$AA$115)&gt;=$T84),$W84,IF(AND($S84&lt;&gt;"",EDATE($D84,Milestones!$AA$115)&gt;=$S84),$V84,$U84)))=Milestones!$AB$115),UPPER(TEXT(EDATE($D84,Milestones!$AA$115),"dd mmm yy"))&amp;" "&amp;Milestones!$AB$115&amp;" "&amp;Milestones!$AC$115&amp;";  ","")&amp;IF(AND(EDATE($D84,Milestones!$AA$116)&lt;=AsOfDate,IF($R84=0,$X84,IF(AND($T84&lt;&gt;"",EDATE($D84,Milestones!$AA$116)&gt;=$T84),$W84,IF(AND($S84&lt;&gt;"",EDATE($D84,Milestones!$AA$116)&gt;=$S84),$V84,$U84)))=Milestones!$AB$116),UPPER(TEXT(EDATE($D84,Milestones!$AA$116),"dd mmm yy"))&amp;" "&amp;Milestones!$AB$116&amp;" "&amp;Milestones!$AC$116&amp;";  ","")&amp;IF(AND(EDATE($D84,Milestones!$AA$117)&lt;=AsOfDate,IF($R84=0,$X84,IF(AND($T84&lt;&gt;"",EDATE($D84,Milestones!$AA$117)&gt;=$T84),$W84,IF(AND($S84&lt;&gt;"",EDATE($D84,Milestones!$AA$117)&gt;=$S84),$V84,$U84)))=Milestones!$AB$117),UPPER(TEXT(EDATE($D84,Milestones!$AA$117),"dd mmm yy"))&amp;" "&amp;Milestones!$AB$117&amp;" "&amp;Milestones!$AC$117&amp;";  ","")&amp;IF(AND(EDATE($D84,Milestones!$AA$118)&lt;=AsOfDate,IF($R84=0,$X84,IF(AND($T84&lt;&gt;"",EDATE($D84,Milestones!$AA$118)&gt;=$T84),$W84,IF(AND($S84&lt;&gt;"",EDATE($D84,Milestones!$AA$118)&gt;=$S84),$V84,$U84)))=Milestones!$AB$118),UPPER(TEXT(EDATE($D84,Milestones!$AA$118),"dd mmm yy"))&amp;" "&amp;Milestones!$AB$118&amp;" "&amp;Milestones!$AC$118&amp;";  ","")&amp;IF(AND(EDATE($D84,Milestones!$AA$119)&lt;=AsOfDate,IF($R84=0,$X84,IF(AND($T84&lt;&gt;"",EDATE($D84,Milestones!$AA$119)&gt;=$T84),$W84,IF(AND($S84&lt;&gt;"",EDATE($D84,Milestones!$AA$119)&gt;=$S84),$V84,$U84)))=Milestones!$AB$119),UPPER(TEXT(EDATE($D84,Milestones!$AA$119),"dd mmm yy"))&amp;" "&amp;Milestones!$AB$119&amp;" "&amp;Milestones!$AC$119&amp;";  ",""))</f>
        <v/>
      </c>
      <c r="N84" s="0" t="str">
        <f aca="false">IF(OR($A84="",$D84=""),"",IF(AND(EDATE($D84,Milestones!$AA$120)&lt;=AsOfDate,IF($R84=0,$X84,IF(AND($T84&lt;&gt;"",EDATE($D84,Milestones!$AA$120)&gt;=$T84),$W84,IF(AND($S84&lt;&gt;"",EDATE($D84,Milestones!$AA$120)&gt;=$S84),$V84,$U84)))=Milestones!$AB$120),UPPER(TEXT(EDATE($D84,Milestones!$AA$120),"dd mmm yy"))&amp;" "&amp;Milestones!$AB$120&amp;" "&amp;Milestones!$AC$120&amp;";  ","")&amp;IF(AND(EDATE($D84,Milestones!$AA$121)&lt;=AsOfDate,IF($R84=0,$X84,IF(AND($T84&lt;&gt;"",EDATE($D84,Milestones!$AA$121)&gt;=$T84),$W84,IF(AND($S84&lt;&gt;"",EDATE($D84,Milestones!$AA$121)&gt;=$S84),$V84,$U84)))=Milestones!$AB$121),UPPER(TEXT(EDATE($D84,Milestones!$AA$121),"dd mmm yy"))&amp;" "&amp;Milestones!$AB$121&amp;" "&amp;Milestones!$AC$121&amp;";  ","")&amp;IF(AND(EDATE($D84,Milestones!$AA$122)&lt;=AsOfDate,IF($R84=0,$X84,IF(AND($T84&lt;&gt;"",EDATE($D84,Milestones!$AA$122)&gt;=$T84),$W84,IF(AND($S84&lt;&gt;"",EDATE($D84,Milestones!$AA$122)&gt;=$S84),$V84,$U84)))=Milestones!$AB$122),UPPER(TEXT(EDATE($D84,Milestones!$AA$122),"dd mmm yy"))&amp;" "&amp;Milestones!$AB$122&amp;" "&amp;Milestones!$AC$122&amp;";  ","")&amp;IF(AND(EDATE($D84,Milestones!$AA$123)&lt;=AsOfDate,IF($R84=0,$X84,IF(AND($T84&lt;&gt;"",EDATE($D84,Milestones!$AA$123)&gt;=$T84),$W84,IF(AND($S84&lt;&gt;"",EDATE($D84,Milestones!$AA$123)&gt;=$S84),$V84,$U84)))=Milestones!$AB$123),UPPER(TEXT(EDATE($D84,Milestones!$AA$123),"dd mmm yy"))&amp;" "&amp;Milestones!$AB$123&amp;" "&amp;Milestones!$AC$123&amp;";  ","")&amp;IF(AND(EDATE($D84,Milestones!$AA$124)&lt;=AsOfDate,IF($R84=0,$X84,IF(AND($T84&lt;&gt;"",EDATE($D84,Milestones!$AA$124)&gt;=$T84),$W84,IF(AND($S84&lt;&gt;"",EDATE($D84,Milestones!$AA$124)&gt;=$S84),$V84,$U84)))=Milestones!$AB$124),UPPER(TEXT(EDATE($D84,Milestones!$AA$124),"dd mmm yy"))&amp;" "&amp;Milestones!$AB$124&amp;" "&amp;Milestones!$AC$124&amp;";  ","")&amp;IF(AND(EDATE($D84,Milestones!$AA$125)&lt;=AsOfDate,IF($R84=0,$X84,IF(AND($T84&lt;&gt;"",EDATE($D84,Milestones!$AA$125)&gt;=$T84),$W84,IF(AND($S84&lt;&gt;"",EDATE($D84,Milestones!$AA$125)&gt;=$S84),$V84,$U84)))=Milestones!$AB$125),UPPER(TEXT(EDATE($D84,Milestones!$AA$125),"dd mmm yy"))&amp;" "&amp;Milestones!$AB$125&amp;" "&amp;Milestones!$AC$125&amp;";  ","")&amp;IF(AND(EDATE($D84,Milestones!$AA$126)&lt;=AsOfDate,IF($R84=0,$X84,IF(AND($T84&lt;&gt;"",EDATE($D84,Milestones!$AA$126)&gt;=$T84),$W84,IF(AND($S84&lt;&gt;"",EDATE($D84,Milestones!$AA$126)&gt;=$S84),$V84,$U84)))=Milestones!$AB$126),UPPER(TEXT(EDATE($D84,Milestones!$AA$126),"dd mmm yy"))&amp;" "&amp;Milestones!$AB$126&amp;" "&amp;Milestones!$AC$126&amp;";  ","")&amp;IF(AND(EDATE($D84,Milestones!$AA$127)&lt;=AsOfDate,IF($R84=0,$X84,IF(AND($T84&lt;&gt;"",EDATE($D84,Milestones!$AA$127)&gt;=$T84),$W84,IF(AND($S84&lt;&gt;"",EDATE($D84,Milestones!$AA$127)&gt;=$S84),$V84,$U84)))=Milestones!$AB$127),UPPER(TEXT(EDATE($D84,Milestones!$AA$127),"dd mmm yy"))&amp;" "&amp;Milestones!$AB$127&amp;" "&amp;Milestones!$AC$127&amp;";  ","")&amp;IF(AND(EDATE($D84,Milestones!$AA$128)&lt;=AsOfDate,IF($R84=0,$X84,IF(AND($T84&lt;&gt;"",EDATE($D84,Milestones!$AA$128)&gt;=$T84),$W84,IF(AND($S84&lt;&gt;"",EDATE($D84,Milestones!$AA$128)&gt;=$S84),$V84,$U84)))=Milestones!$AB$128),UPPER(TEXT(EDATE($D84,Milestones!$AA$128),"dd mmm yy"))&amp;" "&amp;Milestones!$AB$128&amp;" "&amp;Milestones!$AC$128&amp;";  ","")&amp;IF(AND(EDATE($D84,Milestones!$AA$129)&lt;=AsOfDate,IF($R84=0,$X84,IF(AND($T84&lt;&gt;"",EDATE($D84,Milestones!$AA$129)&gt;=$T84),$W84,IF(AND($S84&lt;&gt;"",EDATE($D84,Milestones!$AA$129)&gt;=$S84),$V84,$U84)))=Milestones!$AB$129),UPPER(TEXT(EDATE($D84,Milestones!$AA$129),"dd mmm yy"))&amp;" "&amp;Milestones!$AB$129&amp;" "&amp;Milestones!$AC$129&amp;";  ","")&amp;IF(AND(EDATE($D84,Milestones!$AA$130)&lt;=AsOfDate,IF($R84=0,$X84,IF(AND($T84&lt;&gt;"",EDATE($D84,Milestones!$AA$130)&gt;=$T84),$W84,IF(AND($S84&lt;&gt;"",EDATE($D84,Milestones!$AA$130)&gt;=$S84),$V84,$U84)))=Milestones!$AB$130),UPPER(TEXT(EDATE($D84,Milestones!$AA$130),"dd mmm yy"))&amp;" "&amp;Milestones!$AB$130&amp;" "&amp;Milestones!$AC$130&amp;";  ","")&amp;IF(AND(EDATE($D84,Milestones!$AA$131)&lt;=AsOfDate,IF($R84=0,$X84,IF(AND($T84&lt;&gt;"",EDATE($D84,Milestones!$AA$131)&gt;=$T84),$W84,IF(AND($S84&lt;&gt;"",EDATE($D84,Milestones!$AA$131)&gt;=$S84),$V84,$U84)))=Milestones!$AB$131),UPPER(TEXT(EDATE($D84,Milestones!$AA$131),"dd mmm yy"))&amp;" "&amp;Milestones!$AB$131&amp;" "&amp;Milestones!$AC$131&amp;";  ","")&amp;IF(AND(EDATE($D84,Milestones!$AA$132)&lt;=AsOfDate,IF($R84=0,$X84,IF(AND($T84&lt;&gt;"",EDATE($D84,Milestones!$AA$132)&gt;=$T84),$W84,IF(AND($S84&lt;&gt;"",EDATE($D84,Milestones!$AA$132)&gt;=$S84),$V84,$U84)))=Milestones!$AB$132),UPPER(TEXT(EDATE($D84,Milestones!$AA$132),"dd mmm yy"))&amp;" "&amp;Milestones!$AB$132&amp;" "&amp;Milestones!$AC$132&amp;";  ","")&amp;IF(AND(EDATE($D84,Milestones!$AA$133)&lt;=AsOfDate,IF($R84=0,$X84,IF(AND($T84&lt;&gt;"",EDATE($D84,Milestones!$AA$133)&gt;=$T84),$W84,IF(AND($S84&lt;&gt;"",EDATE($D84,Milestones!$AA$133)&gt;=$S84),$V84,$U84)))=Milestones!$AB$133),UPPER(TEXT(EDATE($D84,Milestones!$AA$133),"dd mmm yy"))&amp;" "&amp;Milestones!$AB$133&amp;" "&amp;Milestones!$AC$133&amp;";  ","")&amp;IF(AND(EDATE($D84,Milestones!$AA$134)&lt;=AsOfDate,IF($R84=0,$X84,IF(AND($T84&lt;&gt;"",EDATE($D84,Milestones!$AA$134)&gt;=$T84),$W84,IF(AND($S84&lt;&gt;"",EDATE($D84,Milestones!$AA$134)&gt;=$S84),$V84,$U84)))=Milestones!$AB$134),UPPER(TEXT(EDATE($D84,Milestones!$AA$134),"dd mmm yy"))&amp;" "&amp;Milestones!$AB$134&amp;" "&amp;Milestones!$AC$134&amp;";  ","")&amp;IF(AND(EDATE($D84,Milestones!$AA$135)&lt;=AsOfDate,IF($R84=0,$X84,IF(AND($T84&lt;&gt;"",EDATE($D84,Milestones!$AA$135)&gt;=$T84),$W84,IF(AND($S84&lt;&gt;"",EDATE($D84,Milestones!$AA$135)&gt;=$S84),$V84,$U84)))=Milestones!$AB$135),UPPER(TEXT(EDATE($D84,Milestones!$AA$135),"dd mmm yy"))&amp;" "&amp;Milestones!$AB$135&amp;" "&amp;Milestones!$AC$135&amp;";  ","")&amp;IF(AND(EDATE($D84,Milestones!$AA$136)&lt;=AsOfDate,IF($R84=0,$X84,IF(AND($T84&lt;&gt;"",EDATE($D84,Milestones!$AA$136)&gt;=$T84),$W84,IF(AND($S84&lt;&gt;"",EDATE($D84,Milestones!$AA$136)&gt;=$S84),$V84,$U84)))=Milestones!$AB$136),UPPER(TEXT(EDATE($D84,Milestones!$AA$136),"dd mmm yy"))&amp;" "&amp;Milestones!$AB$136&amp;" "&amp;Milestones!$AC$136&amp;";  ","")&amp;IF(AND(EDATE($D84,Milestones!$AA$137)&lt;=AsOfDate,IF($R84=0,$X84,IF(AND($T84&lt;&gt;"",EDATE($D84,Milestones!$AA$137)&gt;=$T84),$W84,IF(AND($S84&lt;&gt;"",EDATE($D84,Milestones!$AA$137)&gt;=$S84),$V84,$U84)))=Milestones!$AB$137),UPPER(TEXT(EDATE($D84,Milestones!$AA$137),"dd mmm yy"))&amp;" "&amp;Milestones!$AB$137&amp;" "&amp;Milestones!$AC$137&amp;";  ","")&amp;IF(AND(EDATE($D84,Milestones!$AA$138)&lt;=AsOfDate,IF($R84=0,$X84,IF(AND($T84&lt;&gt;"",EDATE($D84,Milestones!$AA$138)&gt;=$T84),$W84,IF(AND($S84&lt;&gt;"",EDATE($D84,Milestones!$AA$138)&gt;=$S84),$V84,$U84)))=Milestones!$AB$138),UPPER(TEXT(EDATE($D84,Milestones!$AA$138),"dd mmm yy"))&amp;" "&amp;Milestones!$AB$138&amp;" "&amp;Milestones!$AC$138&amp;";  ","")&amp;IF(AND(EDATE($D84,Milestones!$AA$139)&lt;=AsOfDate,IF($R84=0,$X84,IF(AND($T84&lt;&gt;"",EDATE($D84,Milestones!$AA$139)&gt;=$T84),$W84,IF(AND($S84&lt;&gt;"",EDATE($D84,Milestones!$AA$139)&gt;=$S84),$V84,$U84)))=Milestones!$AB$139),UPPER(TEXT(EDATE($D84,Milestones!$AA$139),"dd mmm yy"))&amp;" "&amp;Milestones!$AB$139&amp;" "&amp;Milestones!$AC$139&amp;";  ",""))</f>
        <v/>
      </c>
      <c r="O84" s="0" t="str">
        <f aca="false">IF(OR($A84="",$D84=""),"",IF(AND(EDATE($D84,Milestones!$AA$140)&lt;=AsOfDate,IF($R84=0,$X84,IF(AND($T84&lt;&gt;"",EDATE($D84,Milestones!$AA$140)&gt;=$T84),$W84,IF(AND($S84&lt;&gt;"",EDATE($D84,Milestones!$AA$140)&gt;=$S84),$V84,$U84)))=Milestones!$AB$140),UPPER(TEXT(EDATE($D84,Milestones!$AA$140),"dd mmm yy"))&amp;" "&amp;Milestones!$AB$140&amp;" "&amp;Milestones!$AC$140&amp;";  ","")&amp;IF(AND(EDATE($D84,Milestones!$AA$141)&lt;=AsOfDate,IF($R84=0,$X84,IF(AND($T84&lt;&gt;"",EDATE($D84,Milestones!$AA$141)&gt;=$T84),$W84,IF(AND($S84&lt;&gt;"",EDATE($D84,Milestones!$AA$141)&gt;=$S84),$V84,$U84)))=Milestones!$AB$141),UPPER(TEXT(EDATE($D84,Milestones!$AA$141),"dd mmm yy"))&amp;" "&amp;Milestones!$AB$141&amp;" "&amp;Milestones!$AC$141&amp;";  ","")&amp;IF(AND(EDATE($D84,Milestones!$AA$142)&lt;=AsOfDate,IF($R84=0,$X84,IF(AND($T84&lt;&gt;"",EDATE($D84,Milestones!$AA$142)&gt;=$T84),$W84,IF(AND($S84&lt;&gt;"",EDATE($D84,Milestones!$AA$142)&gt;=$S84),$V84,$U84)))=Milestones!$AB$142),UPPER(TEXT(EDATE($D84,Milestones!$AA$142),"dd mmm yy"))&amp;" "&amp;Milestones!$AB$142&amp;" "&amp;Milestones!$AC$142&amp;";  ","")&amp;IF(AND(EDATE($D84,Milestones!$AA$143)&lt;=AsOfDate,IF($R84=0,$X84,IF(AND($T84&lt;&gt;"",EDATE($D84,Milestones!$AA$143)&gt;=$T84),$W84,IF(AND($S84&lt;&gt;"",EDATE($D84,Milestones!$AA$143)&gt;=$S84),$V84,$U84)))=Milestones!$AB$143),UPPER(TEXT(EDATE($D84,Milestones!$AA$143),"dd mmm yy"))&amp;" "&amp;Milestones!$AB$143&amp;" "&amp;Milestones!$AC$143&amp;";  ","")&amp;IF(AND(EDATE($D84,Milestones!$AA$144)&lt;=AsOfDate,IF($R84=0,$X84,IF(AND($T84&lt;&gt;"",EDATE($D84,Milestones!$AA$144)&gt;=$T84),$W84,IF(AND($S84&lt;&gt;"",EDATE($D84,Milestones!$AA$144)&gt;=$S84),$V84,$U84)))=Milestones!$AB$144),UPPER(TEXT(EDATE($D84,Milestones!$AA$144),"dd mmm yy"))&amp;" "&amp;Milestones!$AB$144&amp;" "&amp;Milestones!$AC$144&amp;";  ","")&amp;IF(AND(EDATE($D84,Milestones!$AA$145)&lt;=AsOfDate,IF($R84=0,$X84,IF(AND($T84&lt;&gt;"",EDATE($D84,Milestones!$AA$145)&gt;=$T84),$W84,IF(AND($S84&lt;&gt;"",EDATE($D84,Milestones!$AA$145)&gt;=$S84),$V84,$U84)))=Milestones!$AB$145),UPPER(TEXT(EDATE($D84,Milestones!$AA$145),"dd mmm yy"))&amp;" "&amp;Milestones!$AB$145&amp;" "&amp;Milestones!$AC$145&amp;";  ","")&amp;IF(AND(EDATE($D84,Milestones!$AA$146)&lt;=AsOfDate,IF($R84=0,$X84,IF(AND($T84&lt;&gt;"",EDATE($D84,Milestones!$AA$146)&gt;=$T84),$W84,IF(AND($S84&lt;&gt;"",EDATE($D84,Milestones!$AA$146)&gt;=$S84),$V84,$U84)))=Milestones!$AB$146),UPPER(TEXT(EDATE($D84,Milestones!$AA$146),"dd mmm yy"))&amp;" "&amp;Milestones!$AB$146&amp;" "&amp;Milestones!$AC$146&amp;";  ","")&amp;IF(AND(EDATE($D84,Milestones!$AA$147)&lt;=AsOfDate,IF($R84=0,$X84,IF(AND($T84&lt;&gt;"",EDATE($D84,Milestones!$AA$147)&gt;=$T84),$W84,IF(AND($S84&lt;&gt;"",EDATE($D84,Milestones!$AA$147)&gt;=$S84),$V84,$U84)))=Milestones!$AB$147),UPPER(TEXT(EDATE($D84,Milestones!$AA$147),"dd mmm yy"))&amp;" "&amp;Milestones!$AB$147&amp;" "&amp;Milestones!$AC$147&amp;";  ","")&amp;IF(AND(EDATE($D84,Milestones!$AA$148)&lt;=AsOfDate,IF($R84=0,$X84,IF(AND($T84&lt;&gt;"",EDATE($D84,Milestones!$AA$148)&gt;=$T84),$W84,IF(AND($S84&lt;&gt;"",EDATE($D84,Milestones!$AA$148)&gt;=$S84),$V84,$U84)))=Milestones!$AB$148),UPPER(TEXT(EDATE($D84,Milestones!$AA$148),"dd mmm yy"))&amp;" "&amp;Milestones!$AB$148&amp;" "&amp;Milestones!$AC$148&amp;";  ","")&amp;IF(AND(EDATE($D84,Milestones!$AA$149)&lt;=AsOfDate,IF($R84=0,$X84,IF(AND($T84&lt;&gt;"",EDATE($D84,Milestones!$AA$149)&gt;=$T84),$W84,IF(AND($S84&lt;&gt;"",EDATE($D84,Milestones!$AA$149)&gt;=$S84),$V84,$U84)))=Milestones!$AB$149),UPPER(TEXT(EDATE($D84,Milestones!$AA$149),"dd mmm yy"))&amp;" "&amp;Milestones!$AB$149&amp;" "&amp;Milestones!$AC$149&amp;";  ","")&amp;IF(AND(EDATE($D84,Milestones!$AA$150)&lt;=AsOfDate,IF($R84=0,$X84,IF(AND($T84&lt;&gt;"",EDATE($D84,Milestones!$AA$150)&gt;=$T84),$W84,IF(AND($S84&lt;&gt;"",EDATE($D84,Milestones!$AA$150)&gt;=$S84),$V84,$U84)))=Milestones!$AB$150),UPPER(TEXT(EDATE($D84,Milestones!$AA$150),"dd mmm yy"))&amp;" "&amp;Milestones!$AB$150&amp;" "&amp;Milestones!$AC$150&amp;";  ","")&amp;IF(AND(EDATE($D84,Milestones!$AA$151)&lt;=AsOfDate,IF($R84=0,$X84,IF(AND($T84&lt;&gt;"",EDATE($D84,Milestones!$AA$151)&gt;=$T84),$W84,IF(AND($S84&lt;&gt;"",EDATE($D84,Milestones!$AA$151)&gt;=$S84),$V84,$U84)))=Milestones!$AB$151),UPPER(TEXT(EDATE($D84,Milestones!$AA$151),"dd mmm yy"))&amp;" "&amp;Milestones!$AB$151&amp;" "&amp;Milestones!$AC$151&amp;";  ","")&amp;IF(AND(EDATE($D84,Milestones!$AA$152)&lt;=AsOfDate,IF($R84=0,$X84,IF(AND($T84&lt;&gt;"",EDATE($D84,Milestones!$AA$152)&gt;=$T84),$W84,IF(AND($S84&lt;&gt;"",EDATE($D84,Milestones!$AA$152)&gt;=$S84),$V84,$U84)))=Milestones!$AB$152),UPPER(TEXT(EDATE($D84,Milestones!$AA$152),"dd mmm yy"))&amp;" "&amp;Milestones!$AB$152&amp;" "&amp;Milestones!$AC$152&amp;";  ","")&amp;IF(AND(EDATE($D84,Milestones!$AA$153)&lt;=AsOfDate,IF($R84=0,$X84,IF(AND($T84&lt;&gt;"",EDATE($D84,Milestones!$AA$153)&gt;=$T84),$W84,IF(AND($S84&lt;&gt;"",EDATE($D84,Milestones!$AA$153)&gt;=$S84),$V84,$U84)))=Milestones!$AB$153),UPPER(TEXT(EDATE($D84,Milestones!$AA$153),"dd mmm yy"))&amp;" "&amp;Milestones!$AB$153&amp;" "&amp;Milestones!$AC$153&amp;";  ","")&amp;IF(AND(EDATE($D84,Milestones!$AA$154)&lt;=AsOfDate,IF($R84=0,$X84,IF(AND($T84&lt;&gt;"",EDATE($D84,Milestones!$AA$154)&gt;=$T84),$W84,IF(AND($S84&lt;&gt;"",EDATE($D84,Milestones!$AA$154)&gt;=$S84),$V84,$U84)))=Milestones!$AB$154),UPPER(TEXT(EDATE($D84,Milestones!$AA$154),"dd mmm yy"))&amp;" "&amp;Milestones!$AB$154&amp;" "&amp;Milestones!$AC$154&amp;";  ","")&amp;IF(AND(EDATE($D84,Milestones!$AA$155)&lt;=AsOfDate,IF($R84=0,$X84,IF(AND($T84&lt;&gt;"",EDATE($D84,Milestones!$AA$155)&gt;=$T84),$W84,IF(AND($S84&lt;&gt;"",EDATE($D84,Milestones!$AA$155)&gt;=$S84),$V84,$U84)))=Milestones!$AB$155),UPPER(TEXT(EDATE($D84,Milestones!$AA$155),"dd mmm yy"))&amp;" "&amp;Milestones!$AB$155&amp;" "&amp;Milestones!$AC$155&amp;";  ","")&amp;IF(AND(EDATE($D84,Milestones!$AA$156)&lt;=AsOfDate,IF($R84=0,$X84,IF(AND($T84&lt;&gt;"",EDATE($D84,Milestones!$AA$156)&gt;=$T84),$W84,IF(AND($S84&lt;&gt;"",EDATE($D84,Milestones!$AA$156)&gt;=$S84),$V84,$U84)))=Milestones!$AB$156),UPPER(TEXT(EDATE($D84,Milestones!$AA$156),"dd mmm yy"))&amp;" "&amp;Milestones!$AB$156&amp;" "&amp;Milestones!$AC$156&amp;";  ","")&amp;IF(AND(EDATE($D84,Milestones!$AA$157)&lt;=AsOfDate,IF($R84=0,$X84,IF(AND($T84&lt;&gt;"",EDATE($D84,Milestones!$AA$157)&gt;=$T84),$W84,IF(AND($S84&lt;&gt;"",EDATE($D84,Milestones!$AA$157)&gt;=$S84),$V84,$U84)))=Milestones!$AB$157),UPPER(TEXT(EDATE($D84,Milestones!$AA$157),"dd mmm yy"))&amp;" "&amp;Milestones!$AB$157&amp;" "&amp;Milestones!$AC$157&amp;";  ","")&amp;IF(AND(EDATE($D84,Milestones!$AA$158)&lt;=AsOfDate,IF($R84=0,$X84,IF(AND($T84&lt;&gt;"",EDATE($D84,Milestones!$AA$158)&gt;=$T84),$W84,IF(AND($S84&lt;&gt;"",EDATE($D84,Milestones!$AA$158)&gt;=$S84),$V84,$U84)))=Milestones!$AB$158),UPPER(TEXT(EDATE($D84,Milestones!$AA$158),"dd mmm yy"))&amp;" "&amp;Milestones!$AB$158&amp;" "&amp;Milestones!$AC$158&amp;";  ","")&amp;IF(AND(EDATE($D84,Milestones!$AA$159)&lt;=AsOfDate,IF($R84=0,$X84,IF(AND($T84&lt;&gt;"",EDATE($D84,Milestones!$AA$159)&gt;=$T84),$W84,IF(AND($S84&lt;&gt;"",EDATE($D84,Milestones!$AA$159)&gt;=$S84),$V84,$U84)))=Milestones!$AB$159),UPPER(TEXT(EDATE($D84,Milestones!$AA$159),"dd mmm yy"))&amp;" "&amp;Milestones!$AB$159&amp;" "&amp;Milestones!$AC$159&amp;";  ",""))</f>
        <v/>
      </c>
      <c r="P84" s="0" t="str">
        <f aca="false">IF(OR($A84="",$D84=""),"",IF(AND(EDATE($D84,Milestones!$AA$160)&lt;=AsOfDate,IF($R84=0,$X84,IF(AND($T84&lt;&gt;"",EDATE($D84,Milestones!$AA$160)&gt;=$T84),$W84,IF(AND($S84&lt;&gt;"",EDATE($D84,Milestones!$AA$160)&gt;=$S84),$V84,$U84)))=Milestones!$AB$160),UPPER(TEXT(EDATE($D84,Milestones!$AA$160),"dd mmm yy"))&amp;" "&amp;Milestones!$AB$160&amp;" "&amp;Milestones!$AC$160&amp;";  ","")&amp;IF(AND(EDATE($D84,Milestones!$AA$161)&lt;=AsOfDate,IF($R84=0,$X84,IF(AND($T84&lt;&gt;"",EDATE($D84,Milestones!$AA$161)&gt;=$T84),$W84,IF(AND($S84&lt;&gt;"",EDATE($D84,Milestones!$AA$161)&gt;=$S84),$V84,$U84)))=Milestones!$AB$161),UPPER(TEXT(EDATE($D84,Milestones!$AA$161),"dd mmm yy"))&amp;" "&amp;Milestones!$AB$161&amp;" "&amp;Milestones!$AC$161&amp;";  ","")&amp;IF(AND(EDATE($D84,Milestones!$AA$162)&lt;=AsOfDate,IF($R84=0,$X84,IF(AND($T84&lt;&gt;"",EDATE($D84,Milestones!$AA$162)&gt;=$T84),$W84,IF(AND($S84&lt;&gt;"",EDATE($D84,Milestones!$AA$162)&gt;=$S84),$V84,$U84)))=Milestones!$AB$162),UPPER(TEXT(EDATE($D84,Milestones!$AA$162),"dd mmm yy"))&amp;" "&amp;Milestones!$AB$162&amp;" "&amp;Milestones!$AC$162&amp;";  ","")&amp;IF(AND(EDATE($D84,Milestones!$AA$163)&lt;=AsOfDate,IF($R84=0,$X84,IF(AND($T84&lt;&gt;"",EDATE($D84,Milestones!$AA$163)&gt;=$T84),$W84,IF(AND($S84&lt;&gt;"",EDATE($D84,Milestones!$AA$163)&gt;=$S84),$V84,$U84)))=Milestones!$AB$163),UPPER(TEXT(EDATE($D84,Milestones!$AA$163),"dd mmm yy"))&amp;" "&amp;Milestones!$AB$163&amp;" "&amp;Milestones!$AC$163&amp;";  ","")&amp;IF(AND(EDATE($D84,Milestones!$AA$164)&lt;=AsOfDate,IF($R84=0,$X84,IF(AND($T84&lt;&gt;"",EDATE($D84,Milestones!$AA$164)&gt;=$T84),$W84,IF(AND($S84&lt;&gt;"",EDATE($D84,Milestones!$AA$164)&gt;=$S84),$V84,$U84)))=Milestones!$AB$164),UPPER(TEXT(EDATE($D84,Milestones!$AA$164),"dd mmm yy"))&amp;" "&amp;Milestones!$AB$164&amp;" "&amp;Milestones!$AC$164&amp;";  ","")&amp;IF(AND(EDATE($D84,Milestones!$AA$165)&lt;=AsOfDate,IF($R84=0,$X84,IF(AND($T84&lt;&gt;"",EDATE($D84,Milestones!$AA$165)&gt;=$T84),$W84,IF(AND($S84&lt;&gt;"",EDATE($D84,Milestones!$AA$165)&gt;=$S84),$V84,$U84)))=Milestones!$AB$165),UPPER(TEXT(EDATE($D84,Milestones!$AA$165),"dd mmm yy"))&amp;" "&amp;Milestones!$AB$165&amp;" "&amp;Milestones!$AC$165&amp;";  ","")&amp;IF(AND(EDATE($D84,Milestones!$AA$166)&lt;=AsOfDate,IF($R84=0,$X84,IF(AND($T84&lt;&gt;"",EDATE($D84,Milestones!$AA$166)&gt;=$T84),$W84,IF(AND($S84&lt;&gt;"",EDATE($D84,Milestones!$AA$166)&gt;=$S84),$V84,$U84)))=Milestones!$AB$166),UPPER(TEXT(EDATE($D84,Milestones!$AA$166),"dd mmm yy"))&amp;" "&amp;Milestones!$AB$166&amp;" "&amp;Milestones!$AC$166&amp;";  ","")&amp;IF(AND(EDATE($D84,Milestones!$AA$167)&lt;=AsOfDate,IF($R84=0,$X84,IF(AND($T84&lt;&gt;"",EDATE($D84,Milestones!$AA$167)&gt;=$T84),$W84,IF(AND($S84&lt;&gt;"",EDATE($D84,Milestones!$AA$167)&gt;=$S84),$V84,$U84)))=Milestones!$AB$167),UPPER(TEXT(EDATE($D84,Milestones!$AA$167),"dd mmm yy"))&amp;" "&amp;Milestones!$AB$167&amp;" "&amp;Milestones!$AC$167&amp;";  ","")&amp;IF(AND(EDATE($D84,Milestones!$AA$168)&lt;=AsOfDate,IF($R84=0,$X84,IF(AND($T84&lt;&gt;"",EDATE($D84,Milestones!$AA$168)&gt;=$T84),$W84,IF(AND($S84&lt;&gt;"",EDATE($D84,Milestones!$AA$168)&gt;=$S84),$V84,$U84)))=Milestones!$AB$168),UPPER(TEXT(EDATE($D84,Milestones!$AA$168),"dd mmm yy"))&amp;" "&amp;Milestones!$AB$168&amp;" "&amp;Milestones!$AC$168&amp;";  ","")&amp;IF(AND(EDATE($D84,Milestones!$AA$169)&lt;=AsOfDate,IF($R84=0,$X84,IF(AND($T84&lt;&gt;"",EDATE($D84,Milestones!$AA$169)&gt;=$T84),$W84,IF(AND($S84&lt;&gt;"",EDATE($D84,Milestones!$AA$169)&gt;=$S84),$V84,$U84)))=Milestones!$AB$169),UPPER(TEXT(EDATE($D84,Milestones!$AA$169),"dd mmm yy"))&amp;" "&amp;Milestones!$AB$169&amp;" "&amp;Milestones!$AC$169&amp;";  ","")&amp;IF(AND(EDATE($D84,Milestones!$AA$170)&lt;=AsOfDate,IF($R84=0,$X84,IF(AND($T84&lt;&gt;"",EDATE($D84,Milestones!$AA$170)&gt;=$T84),$W84,IF(AND($S84&lt;&gt;"",EDATE($D84,Milestones!$AA$170)&gt;=$S84),$V84,$U84)))=Milestones!$AB$170),UPPER(TEXT(EDATE($D84,Milestones!$AA$170),"dd mmm yy"))&amp;" "&amp;Milestones!$AB$170&amp;" "&amp;Milestones!$AC$170&amp;";  ","")&amp;IF(AND(EDATE($D84,Milestones!$AA$171)&lt;=AsOfDate,IF($R84=0,$X84,IF(AND($T84&lt;&gt;"",EDATE($D84,Milestones!$AA$171)&gt;=$T84),$W84,IF(AND($S84&lt;&gt;"",EDATE($D84,Milestones!$AA$171)&gt;=$S84),$V84,$U84)))=Milestones!$AB$171),UPPER(TEXT(EDATE($D84,Milestones!$AA$171),"dd mmm yy"))&amp;" "&amp;Milestones!$AB$171&amp;" "&amp;Milestones!$AC$171&amp;";  ","")&amp;IF(AND(EDATE($D84,Milestones!$AA$172)&lt;=AsOfDate,IF($R84=0,$X84,IF(AND($T84&lt;&gt;"",EDATE($D84,Milestones!$AA$172)&gt;=$T84),$W84,IF(AND($S84&lt;&gt;"",EDATE($D84,Milestones!$AA$172)&gt;=$S84),$V84,$U84)))=Milestones!$AB$172),UPPER(TEXT(EDATE($D84,Milestones!$AA$172),"dd mmm yy"))&amp;" "&amp;Milestones!$AB$172&amp;" "&amp;Milestones!$AC$172&amp;";  ","")&amp;IF(AND(EDATE($D84,Milestones!$AA$173)&lt;=AsOfDate,IF($R84=0,$X84,IF(AND($T84&lt;&gt;"",EDATE($D84,Milestones!$AA$173)&gt;=$T84),$W84,IF(AND($S84&lt;&gt;"",EDATE($D84,Milestones!$AA$173)&gt;=$S84),$V84,$U84)))=Milestones!$AB$173),UPPER(TEXT(EDATE($D84,Milestones!$AA$173),"dd mmm yy"))&amp;" "&amp;Milestones!$AB$173&amp;" "&amp;Milestones!$AC$173&amp;";  ","")&amp;IF(AND(EDATE($D84,Milestones!$AA$174)&lt;=AsOfDate,IF($R84=0,$X84,IF(AND($T84&lt;&gt;"",EDATE($D84,Milestones!$AA$174)&gt;=$T84),$W84,IF(AND($S84&lt;&gt;"",EDATE($D84,Milestones!$AA$174)&gt;=$S84),$V84,$U84)))=Milestones!$AB$174),UPPER(TEXT(EDATE($D84,Milestones!$AA$174),"dd mmm yy"))&amp;" "&amp;Milestones!$AB$174&amp;" "&amp;Milestones!$AC$174&amp;";  ","")&amp;IF(AND(EDATE($D84,Milestones!$AA$175)&lt;=AsOfDate,IF($R84=0,$X84,IF(AND($T84&lt;&gt;"",EDATE($D84,Milestones!$AA$175)&gt;=$T84),$W84,IF(AND($S84&lt;&gt;"",EDATE($D84,Milestones!$AA$175)&gt;=$S84),$V84,$U84)))=Milestones!$AB$175),UPPER(TEXT(EDATE($D84,Milestones!$AA$175),"dd mmm yy"))&amp;" "&amp;Milestones!$AB$175&amp;" "&amp;Milestones!$AC$175&amp;";  ","")&amp;IF(AND(EDATE($D84,Milestones!$AA$176)&lt;=AsOfDate,IF($R84=0,$X84,IF(AND($T84&lt;&gt;"",EDATE($D84,Milestones!$AA$176)&gt;=$T84),$W84,IF(AND($S84&lt;&gt;"",EDATE($D84,Milestones!$AA$176)&gt;=$S84),$V84,$U84)))=Milestones!$AB$176),UPPER(TEXT(EDATE($D84,Milestones!$AA$176),"dd mmm yy"))&amp;" "&amp;Milestones!$AB$176&amp;" "&amp;Milestones!$AC$176&amp;";  ","")&amp;IF(AND(EDATE($D84,Milestones!$AA$177)&lt;=AsOfDate,IF($R84=0,$X84,IF(AND($T84&lt;&gt;"",EDATE($D84,Milestones!$AA$177)&gt;=$T84),$W84,IF(AND($S84&lt;&gt;"",EDATE($D84,Milestones!$AA$177)&gt;=$S84),$V84,$U84)))=Milestones!$AB$177),UPPER(TEXT(EDATE($D84,Milestones!$AA$177),"dd mmm yy"))&amp;" "&amp;Milestones!$AB$177&amp;" "&amp;Milestones!$AC$177&amp;";  ","")&amp;IF(AND(EDATE($D84,Milestones!$AA$178)&lt;=AsOfDate,IF($R84=0,$X84,IF(AND($T84&lt;&gt;"",EDATE($D84,Milestones!$AA$178)&gt;=$T84),$W84,IF(AND($S84&lt;&gt;"",EDATE($D84,Milestones!$AA$178)&gt;=$S84),$V84,$U84)))=Milestones!$AB$178),UPPER(TEXT(EDATE($D84,Milestones!$AA$178),"dd mmm yy"))&amp;" "&amp;Milestones!$AB$178&amp;" "&amp;Milestones!$AC$178&amp;";  ","")&amp;IF(AND(EDATE($D84,Milestones!$AA$179)&lt;=AsOfDate,IF($R84=0,$X84,IF(AND($T84&lt;&gt;"",EDATE($D84,Milestones!$AA$179)&gt;=$T84),$W84,IF(AND($S84&lt;&gt;"",EDATE($D84,Milestones!$AA$179)&gt;=$S84),$V84,$U84)))=Milestones!$AB$179),UPPER(TEXT(EDATE($D84,Milestones!$AA$179),"dd mmm yy"))&amp;" "&amp;Milestones!$AB$179&amp;" "&amp;Milestones!$AC$179&amp;";  ",""))</f>
        <v/>
      </c>
      <c r="Q84" s="0" t="str">
        <f aca="false">IF(OR($A84="",$D84=""),"",IF(AND(EDATE($D84,Milestones!$AA$180)&lt;=AsOfDate,IF($R84=0,$X84,IF(AND($T84&lt;&gt;"",EDATE($D84,Milestones!$AA$180)&gt;=$T84),$W84,IF(AND($S84&lt;&gt;"",EDATE($D84,Milestones!$AA$180)&gt;=$S84),$V84,$U84)))=Milestones!$AB$180),UPPER(TEXT(EDATE($D84,Milestones!$AA$180),"dd mmm yy"))&amp;" "&amp;Milestones!$AB$180&amp;" "&amp;Milestones!$AC$180&amp;";  ","")&amp;IF(AND(EDATE($D84,Milestones!$AA$181)&lt;=AsOfDate,IF($R84=0,$X84,IF(AND($T84&lt;&gt;"",EDATE($D84,Milestones!$AA$181)&gt;=$T84),$W84,IF(AND($S84&lt;&gt;"",EDATE($D84,Milestones!$AA$181)&gt;=$S84),$V84,$U84)))=Milestones!$AB$181),UPPER(TEXT(EDATE($D84,Milestones!$AA$181),"dd mmm yy"))&amp;" "&amp;Milestones!$AB$181&amp;" "&amp;Milestones!$AC$181&amp;";  ","")&amp;IF(AND(EDATE($D84,Milestones!$AA$182)&lt;=AsOfDate,IF($R84=0,$X84,IF(AND($T84&lt;&gt;"",EDATE($D84,Milestones!$AA$182)&gt;=$T84),$W84,IF(AND($S84&lt;&gt;"",EDATE($D84,Milestones!$AA$182)&gt;=$S84),$V84,$U84)))=Milestones!$AB$182),UPPER(TEXT(EDATE($D84,Milestones!$AA$182),"dd mmm yy"))&amp;" "&amp;Milestones!$AB$182&amp;" "&amp;Milestones!$AC$182&amp;";  ","")&amp;IF(AND(EDATE($D84,Milestones!$AA$183)&lt;=AsOfDate,IF($R84=0,$X84,IF(AND($T84&lt;&gt;"",EDATE($D84,Milestones!$AA$183)&gt;=$T84),$W84,IF(AND($S84&lt;&gt;"",EDATE($D84,Milestones!$AA$183)&gt;=$S84),$V84,$U84)))=Milestones!$AB$183),UPPER(TEXT(EDATE($D84,Milestones!$AA$183),"dd mmm yy"))&amp;" "&amp;Milestones!$AB$183&amp;" "&amp;Milestones!$AC$183&amp;";  ","")&amp;IF(AND(EDATE($D84,Milestones!$AA$184)&lt;=AsOfDate,IF($R84=0,$X84,IF(AND($T84&lt;&gt;"",EDATE($D84,Milestones!$AA$184)&gt;=$T84),$W84,IF(AND($S84&lt;&gt;"",EDATE($D84,Milestones!$AA$184)&gt;=$S84),$V84,$U84)))=Milestones!$AB$184),UPPER(TEXT(EDATE($D84,Milestones!$AA$184),"dd mmm yy"))&amp;" "&amp;Milestones!$AB$184&amp;" "&amp;Milestones!$AC$184&amp;";  ","")&amp;IF(AND(EDATE($D84,Milestones!$AA$185)&lt;=AsOfDate,IF($R84=0,$X84,IF(AND($T84&lt;&gt;"",EDATE($D84,Milestones!$AA$185)&gt;=$T84),$W84,IF(AND($S84&lt;&gt;"",EDATE($D84,Milestones!$AA$185)&gt;=$S84),$V84,$U84)))=Milestones!$AB$185),UPPER(TEXT(EDATE($D84,Milestones!$AA$185),"dd mmm yy"))&amp;" "&amp;Milestones!$AB$185&amp;" "&amp;Milestones!$AC$185&amp;";  ","")&amp;IF(AND(EDATE($D84,Milestones!$AA$186)&lt;=AsOfDate,IF($R84=0,$X84,IF(AND($T84&lt;&gt;"",EDATE($D84,Milestones!$AA$186)&gt;=$T84),$W84,IF(AND($S84&lt;&gt;"",EDATE($D84,Milestones!$AA$186)&gt;=$S84),$V84,$U84)))=Milestones!$AB$186),UPPER(TEXT(EDATE($D84,Milestones!$AA$186),"dd mmm yy"))&amp;" "&amp;Milestones!$AB$186&amp;" "&amp;Milestones!$AC$186&amp;";  ","")&amp;IF(AND(EDATE($D84,Milestones!$AA$187)&lt;=AsOfDate,IF($R84=0,$X84,IF(AND($T84&lt;&gt;"",EDATE($D84,Milestones!$AA$187)&gt;=$T84),$W84,IF(AND($S84&lt;&gt;"",EDATE($D84,Milestones!$AA$187)&gt;=$S84),$V84,$U84)))=Milestones!$AB$187),UPPER(TEXT(EDATE($D84,Milestones!$AA$187),"dd mmm yy"))&amp;" "&amp;Milestones!$AB$187&amp;" "&amp;Milestones!$AC$187&amp;";  ","")&amp;IF(AND(EDATE($D84,Milestones!$AA$188)&lt;=AsOfDate,IF($R84=0,$X84,IF(AND($T84&lt;&gt;"",EDATE($D84,Milestones!$AA$188)&gt;=$T84),$W84,IF(AND($S84&lt;&gt;"",EDATE($D84,Milestones!$AA$188)&gt;=$S84),$V84,$U84)))=Milestones!$AB$188),UPPER(TEXT(EDATE($D84,Milestones!$AA$188),"dd mmm yy"))&amp;" "&amp;Milestones!$AB$188&amp;" "&amp;Milestones!$AC$188&amp;";  ","")&amp;IF(AND(EDATE($D84,Milestones!$AA$189)&lt;=AsOfDate,IF($R84=0,$X84,IF(AND($T84&lt;&gt;"",EDATE($D84,Milestones!$AA$189)&gt;=$T84),$W84,IF(AND($S84&lt;&gt;"",EDATE($D84,Milestones!$AA$189)&gt;=$S84),$V84,$U84)))=Milestones!$AB$189),UPPER(TEXT(EDATE($D84,Milestones!$AA$189),"dd mmm yy"))&amp;" "&amp;Milestones!$AB$189&amp;" "&amp;Milestones!$AC$189&amp;";  ","")&amp;IF(AND(EDATE($D84,Milestones!$AA$190)&lt;=AsOfDate,IF($R84=0,$X84,IF(AND($T84&lt;&gt;"",EDATE($D84,Milestones!$AA$190)&gt;=$T84),$W84,IF(AND($S84&lt;&gt;"",EDATE($D84,Milestones!$AA$190)&gt;=$S84),$V84,$U84)))=Milestones!$AB$190),UPPER(TEXT(EDATE($D84,Milestones!$AA$190),"dd mmm yy"))&amp;" "&amp;Milestones!$AB$190&amp;" "&amp;Milestones!$AC$190&amp;";  ","")&amp;IF(AND(EDATE($D84,Milestones!$AA$191)&lt;=AsOfDate,IF($R84=0,$X84,IF(AND($T84&lt;&gt;"",EDATE($D84,Milestones!$AA$191)&gt;=$T84),$W84,IF(AND($S84&lt;&gt;"",EDATE($D84,Milestones!$AA$191)&gt;=$S84),$V84,$U84)))=Milestones!$AB$191),UPPER(TEXT(EDATE($D84,Milestones!$AA$191),"dd mmm yy"))&amp;" "&amp;Milestones!$AB$191&amp;" "&amp;Milestones!$AC$191&amp;";  ","")&amp;IF(AND(EDATE($D84,Milestones!$AA$192)&lt;=AsOfDate,IF($R84=0,$X84,IF(AND($T84&lt;&gt;"",EDATE($D84,Milestones!$AA$192)&gt;=$T84),$W84,IF(AND($S84&lt;&gt;"",EDATE($D84,Milestones!$AA$192)&gt;=$S84),$V84,$U84)))=Milestones!$AB$192),UPPER(TEXT(EDATE($D84,Milestones!$AA$192),"dd mmm yy"))&amp;" "&amp;Milestones!$AB$192&amp;" "&amp;Milestones!$AC$192&amp;";  ","")&amp;IF(AND(EDATE($D84,Milestones!$AA$193)&lt;=AsOfDate,IF($R84=0,$X84,IF(AND($T84&lt;&gt;"",EDATE($D84,Milestones!$AA$193)&gt;=$T84),$W84,IF(AND($S84&lt;&gt;"",EDATE($D84,Milestones!$AA$193)&gt;=$S84),$V84,$U84)))=Milestones!$AB$193),UPPER(TEXT(EDATE($D84,Milestones!$AA$193),"dd mmm yy"))&amp;" "&amp;Milestones!$AB$193&amp;" "&amp;Milestones!$AC$193&amp;";  ","")&amp;IF(AND(EDATE($D84,Milestones!$AA$194)&lt;=AsOfDate,IF($R84=0,$X84,IF(AND($T84&lt;&gt;"",EDATE($D84,Milestones!$AA$194)&gt;=$T84),$W84,IF(AND($S84&lt;&gt;"",EDATE($D84,Milestones!$AA$194)&gt;=$S84),$V84,$U84)))=Milestones!$AB$194),UPPER(TEXT(EDATE($D84,Milestones!$AA$194),"dd mmm yy"))&amp;" "&amp;Milestones!$AB$194&amp;" "&amp;Milestones!$AC$194&amp;";  ","")&amp;IF(AND(EDATE($D84,Milestones!$AA$195)&lt;=AsOfDate,IF($R84=0,$X84,IF(AND($T84&lt;&gt;"",EDATE($D84,Milestones!$AA$195)&gt;=$T84),$W84,IF(AND($S84&lt;&gt;"",EDATE($D84,Milestones!$AA$195)&gt;=$S84),$V84,$U84)))=Milestones!$AB$195),UPPER(TEXT(EDATE($D84,Milestones!$AA$195),"dd mmm yy"))&amp;" "&amp;Milestones!$AB$195&amp;" "&amp;Milestones!$AC$195&amp;";  ","")&amp;IF(AND(EDATE($D84,Milestones!$AA$196)&lt;=AsOfDate,IF($R84=0,$X84,IF(AND($T84&lt;&gt;"",EDATE($D84,Milestones!$AA$196)&gt;=$T84),$W84,IF(AND($S84&lt;&gt;"",EDATE($D84,Milestones!$AA$196)&gt;=$S84),$V84,$U84)))=Milestones!$AB$196),UPPER(TEXT(EDATE($D84,Milestones!$AA$196),"dd mmm yy"))&amp;" "&amp;Milestones!$AB$196&amp;" "&amp;Milestones!$AC$196&amp;";  ","")&amp;IF(AND(EDATE($D84,Milestones!$AA$197)&lt;=AsOfDate,IF($R84=0,$X84,IF(AND($T84&lt;&gt;"",EDATE($D84,Milestones!$AA$197)&gt;=$T84),$W84,IF(AND($S84&lt;&gt;"",EDATE($D84,Milestones!$AA$197)&gt;=$S84),$V84,$U84)))=Milestones!$AB$197),UPPER(TEXT(EDATE($D84,Milestones!$AA$197),"dd mmm yy"))&amp;" "&amp;Milestones!$AB$197&amp;" "&amp;Milestones!$AC$197&amp;";  ","")&amp;IF(AND(EDATE($D84,Milestones!$AA$198)&lt;=AsOfDate,IF($R84=0,$X84,IF(AND($T84&lt;&gt;"",EDATE($D84,Milestones!$AA$198)&gt;=$T84),$W84,IF(AND($S84&lt;&gt;"",EDATE($D84,Milestones!$AA$198)&gt;=$S84),$V84,$U84)))=Milestones!$AB$198),UPPER(TEXT(EDATE($D84,Milestones!$AA$198),"dd mmm yy"))&amp;" "&amp;Milestones!$AB$198&amp;" "&amp;Milestones!$AC$198&amp;";  ","")&amp;IF(AND(EDATE($D84,Milestones!$AA$199)&lt;=AsOfDate,IF($R84=0,$X84,IF(AND($T84&lt;&gt;"",EDATE($D84,Milestones!$AA$199)&gt;=$T84),$W84,IF(AND($S84&lt;&gt;"",EDATE($D84,Milestones!$AA$199)&gt;=$S84),$V84,$U84)))=Milestones!$AB$199),UPPER(TEXT(EDATE($D84,Milestones!$AA$199),"dd mmm yy"))&amp;" "&amp;Milestones!$AB$199&amp;" "&amp;Milestones!$AC$199&amp;";  ",""))</f>
        <v/>
      </c>
      <c r="R84" s="0" t="str">
        <f aca="false">IF(Staff!$A84="","",Staff!$AI84)</f>
        <v/>
      </c>
      <c r="S84" s="0" t="str">
        <f aca="false">IF(Staff!$A84="","",Staff!$AK84)</f>
        <v/>
      </c>
      <c r="T84" s="0" t="str">
        <f aca="false">IF(Staff!$A84="","",Staff!$AL84)</f>
        <v/>
      </c>
      <c r="U84" s="0" t="str">
        <f aca="false">IF(Staff!$A84="","",Staff!$AP84)</f>
        <v/>
      </c>
      <c r="V84" s="0" t="str">
        <f aca="false">IF(Staff!$A84="","",Staff!$AQ84)</f>
        <v/>
      </c>
      <c r="W84" s="0" t="str">
        <f aca="false">IF(Staff!$A84="","",Staff!$AR84)</f>
        <v/>
      </c>
      <c r="X84" s="0" t="str">
        <f aca="false">IF(Staff!$A84="","",Staff!$AS84)</f>
        <v/>
      </c>
    </row>
    <row r="85" customFormat="false" ht="15" hidden="false" customHeight="false" outlineLevel="0" collapsed="false">
      <c r="A85" s="19" t="str">
        <f aca="false">IF(Staff!$A85="","",Staff!$A85)</f>
        <v/>
      </c>
      <c r="B85" s="19" t="str">
        <f aca="false">IF(Staff!$A85="","",Staff!$B85)</f>
        <v/>
      </c>
      <c r="C85" s="19" t="str">
        <f aca="false">IF(Staff!$A85="","",Staff!$C85)</f>
        <v/>
      </c>
      <c r="D85" s="17" t="str">
        <f aca="false">IF(Staff!$A85="","",Staff!$AH85)</f>
        <v/>
      </c>
      <c r="E85" s="19" t="str">
        <f aca="false">IF(Staff!$A85="","",Staff!$O85)</f>
        <v/>
      </c>
      <c r="F85" s="19" t="str">
        <f aca="false">IF(E85="","",E85*HoursPerDay)</f>
        <v/>
      </c>
      <c r="G85" s="19" t="str">
        <f aca="false">IF(Staff!$A85="","",Staff!$AE85)</f>
        <v/>
      </c>
      <c r="H85" s="32" t="str">
        <f aca="false">IF($A85="","",I85&amp;J85&amp;K85&amp;L85&amp;M85&amp;N85&amp;O85&amp;P85&amp;Q85)</f>
        <v/>
      </c>
      <c r="I85" s="0" t="str">
        <f aca="false">IF(OR($A85="",$D85=""),"",IF(AND(EDATE($D85,Milestones!$AA$20)&lt;=AsOfDate,IF($R85=0,$X85,IF(AND($T85&lt;&gt;"",EDATE($D85,Milestones!$AA$20)&gt;=$T85),$W85,IF(AND($S85&lt;&gt;"",EDATE($D85,Milestones!$AA$20)&gt;=$S85),$V85,$U85)))=Milestones!$AB$20),UPPER(TEXT(EDATE($D85,Milestones!$AA$20),"dd mmm yy"))&amp;" "&amp;Milestones!$AB$20&amp;" "&amp;Milestones!$AC$20&amp;";  ","")&amp;IF(AND(EDATE($D85,Milestones!$AA$21)&lt;=AsOfDate,IF($R85=0,$X85,IF(AND($T85&lt;&gt;"",EDATE($D85,Milestones!$AA$21)&gt;=$T85),$W85,IF(AND($S85&lt;&gt;"",EDATE($D85,Milestones!$AA$21)&gt;=$S85),$V85,$U85)))=Milestones!$AB$21),UPPER(TEXT(EDATE($D85,Milestones!$AA$21),"dd mmm yy"))&amp;" "&amp;Milestones!$AB$21&amp;" "&amp;Milestones!$AC$21&amp;";  ","")&amp;IF(AND(EDATE($D85,Milestones!$AA$22)&lt;=AsOfDate,IF($R85=0,$X85,IF(AND($T85&lt;&gt;"",EDATE($D85,Milestones!$AA$22)&gt;=$T85),$W85,IF(AND($S85&lt;&gt;"",EDATE($D85,Milestones!$AA$22)&gt;=$S85),$V85,$U85)))=Milestones!$AB$22),UPPER(TEXT(EDATE($D85,Milestones!$AA$22),"dd mmm yy"))&amp;" "&amp;Milestones!$AB$22&amp;" "&amp;Milestones!$AC$22&amp;";  ","")&amp;IF(AND(EDATE($D85,Milestones!$AA$23)&lt;=AsOfDate,IF($R85=0,$X85,IF(AND($T85&lt;&gt;"",EDATE($D85,Milestones!$AA$23)&gt;=$T85),$W85,IF(AND($S85&lt;&gt;"",EDATE($D85,Milestones!$AA$23)&gt;=$S85),$V85,$U85)))=Milestones!$AB$23),UPPER(TEXT(EDATE($D85,Milestones!$AA$23),"dd mmm yy"))&amp;" "&amp;Milestones!$AB$23&amp;" "&amp;Milestones!$AC$23&amp;";  ","")&amp;IF(AND(EDATE($D85,Milestones!$AA$24)&lt;=AsOfDate,IF($R85=0,$X85,IF(AND($T85&lt;&gt;"",EDATE($D85,Milestones!$AA$24)&gt;=$T85),$W85,IF(AND($S85&lt;&gt;"",EDATE($D85,Milestones!$AA$24)&gt;=$S85),$V85,$U85)))=Milestones!$AB$24),UPPER(TEXT(EDATE($D85,Milestones!$AA$24),"dd mmm yy"))&amp;" "&amp;Milestones!$AB$24&amp;" "&amp;Milestones!$AC$24&amp;";  ","")&amp;IF(AND(EDATE($D85,Milestones!$AA$25)&lt;=AsOfDate,IF($R85=0,$X85,IF(AND($T85&lt;&gt;"",EDATE($D85,Milestones!$AA$25)&gt;=$T85),$W85,IF(AND($S85&lt;&gt;"",EDATE($D85,Milestones!$AA$25)&gt;=$S85),$V85,$U85)))=Milestones!$AB$25),UPPER(TEXT(EDATE($D85,Milestones!$AA$25),"dd mmm yy"))&amp;" "&amp;Milestones!$AB$25&amp;" "&amp;Milestones!$AC$25&amp;";  ","")&amp;IF(AND(EDATE($D85,Milestones!$AA$26)&lt;=AsOfDate,IF($R85=0,$X85,IF(AND($T85&lt;&gt;"",EDATE($D85,Milestones!$AA$26)&gt;=$T85),$W85,IF(AND($S85&lt;&gt;"",EDATE($D85,Milestones!$AA$26)&gt;=$S85),$V85,$U85)))=Milestones!$AB$26),UPPER(TEXT(EDATE($D85,Milestones!$AA$26),"dd mmm yy"))&amp;" "&amp;Milestones!$AB$26&amp;" "&amp;Milestones!$AC$26&amp;";  ","")&amp;IF(AND(EDATE($D85,Milestones!$AA$27)&lt;=AsOfDate,IF($R85=0,$X85,IF(AND($T85&lt;&gt;"",EDATE($D85,Milestones!$AA$27)&gt;=$T85),$W85,IF(AND($S85&lt;&gt;"",EDATE($D85,Milestones!$AA$27)&gt;=$S85),$V85,$U85)))=Milestones!$AB$27),UPPER(TEXT(EDATE($D85,Milestones!$AA$27),"dd mmm yy"))&amp;" "&amp;Milestones!$AB$27&amp;" "&amp;Milestones!$AC$27&amp;";  ","")&amp;IF(AND(EDATE($D85,Milestones!$AA$28)&lt;=AsOfDate,IF($R85=0,$X85,IF(AND($T85&lt;&gt;"",EDATE($D85,Milestones!$AA$28)&gt;=$T85),$W85,IF(AND($S85&lt;&gt;"",EDATE($D85,Milestones!$AA$28)&gt;=$S85),$V85,$U85)))=Milestones!$AB$28),UPPER(TEXT(EDATE($D85,Milestones!$AA$28),"dd mmm yy"))&amp;" "&amp;Milestones!$AB$28&amp;" "&amp;Milestones!$AC$28&amp;";  ","")&amp;IF(AND(EDATE($D85,Milestones!$AA$29)&lt;=AsOfDate,IF($R85=0,$X85,IF(AND($T85&lt;&gt;"",EDATE($D85,Milestones!$AA$29)&gt;=$T85),$W85,IF(AND($S85&lt;&gt;"",EDATE($D85,Milestones!$AA$29)&gt;=$S85),$V85,$U85)))=Milestones!$AB$29),UPPER(TEXT(EDATE($D85,Milestones!$AA$29),"dd mmm yy"))&amp;" "&amp;Milestones!$AB$29&amp;" "&amp;Milestones!$AC$29&amp;";  ","")&amp;IF(AND(EDATE($D85,Milestones!$AA$30)&lt;=AsOfDate,IF($R85=0,$X85,IF(AND($T85&lt;&gt;"",EDATE($D85,Milestones!$AA$30)&gt;=$T85),$W85,IF(AND($S85&lt;&gt;"",EDATE($D85,Milestones!$AA$30)&gt;=$S85),$V85,$U85)))=Milestones!$AB$30),UPPER(TEXT(EDATE($D85,Milestones!$AA$30),"dd mmm yy"))&amp;" "&amp;Milestones!$AB$30&amp;" "&amp;Milestones!$AC$30&amp;";  ","")&amp;IF(AND(EDATE($D85,Milestones!$AA$31)&lt;=AsOfDate,IF($R85=0,$X85,IF(AND($T85&lt;&gt;"",EDATE($D85,Milestones!$AA$31)&gt;=$T85),$W85,IF(AND($S85&lt;&gt;"",EDATE($D85,Milestones!$AA$31)&gt;=$S85),$V85,$U85)))=Milestones!$AB$31),UPPER(TEXT(EDATE($D85,Milestones!$AA$31),"dd mmm yy"))&amp;" "&amp;Milestones!$AB$31&amp;" "&amp;Milestones!$AC$31&amp;";  ","")&amp;IF(AND(EDATE($D85,Milestones!$AA$32)&lt;=AsOfDate,IF($R85=0,$X85,IF(AND($T85&lt;&gt;"",EDATE($D85,Milestones!$AA$32)&gt;=$T85),$W85,IF(AND($S85&lt;&gt;"",EDATE($D85,Milestones!$AA$32)&gt;=$S85),$V85,$U85)))=Milestones!$AB$32),UPPER(TEXT(EDATE($D85,Milestones!$AA$32),"dd mmm yy"))&amp;" "&amp;Milestones!$AB$32&amp;" "&amp;Milestones!$AC$32&amp;";  ","")&amp;IF(AND(EDATE($D85,Milestones!$AA$33)&lt;=AsOfDate,IF($R85=0,$X85,IF(AND($T85&lt;&gt;"",EDATE($D85,Milestones!$AA$33)&gt;=$T85),$W85,IF(AND($S85&lt;&gt;"",EDATE($D85,Milestones!$AA$33)&gt;=$S85),$V85,$U85)))=Milestones!$AB$33),UPPER(TEXT(EDATE($D85,Milestones!$AA$33),"dd mmm yy"))&amp;" "&amp;Milestones!$AB$33&amp;" "&amp;Milestones!$AC$33&amp;";  ","")&amp;IF(AND(EDATE($D85,Milestones!$AA$34)&lt;=AsOfDate,IF($R85=0,$X85,IF(AND($T85&lt;&gt;"",EDATE($D85,Milestones!$AA$34)&gt;=$T85),$W85,IF(AND($S85&lt;&gt;"",EDATE($D85,Milestones!$AA$34)&gt;=$S85),$V85,$U85)))=Milestones!$AB$34),UPPER(TEXT(EDATE($D85,Milestones!$AA$34),"dd mmm yy"))&amp;" "&amp;Milestones!$AB$34&amp;" "&amp;Milestones!$AC$34&amp;";  ","")&amp;IF(AND(EDATE($D85,Milestones!$AA$35)&lt;=AsOfDate,IF($R85=0,$X85,IF(AND($T85&lt;&gt;"",EDATE($D85,Milestones!$AA$35)&gt;=$T85),$W85,IF(AND($S85&lt;&gt;"",EDATE($D85,Milestones!$AA$35)&gt;=$S85),$V85,$U85)))=Milestones!$AB$35),UPPER(TEXT(EDATE($D85,Milestones!$AA$35),"dd mmm yy"))&amp;" "&amp;Milestones!$AB$35&amp;" "&amp;Milestones!$AC$35&amp;";  ","")&amp;IF(AND(EDATE($D85,Milestones!$AA$36)&lt;=AsOfDate,IF($R85=0,$X85,IF(AND($T85&lt;&gt;"",EDATE($D85,Milestones!$AA$36)&gt;=$T85),$W85,IF(AND($S85&lt;&gt;"",EDATE($D85,Milestones!$AA$36)&gt;=$S85),$V85,$U85)))=Milestones!$AB$36),UPPER(TEXT(EDATE($D85,Milestones!$AA$36),"dd mmm yy"))&amp;" "&amp;Milestones!$AB$36&amp;" "&amp;Milestones!$AC$36&amp;";  ","")&amp;IF(AND(EDATE($D85,Milestones!$AA$37)&lt;=AsOfDate,IF($R85=0,$X85,IF(AND($T85&lt;&gt;"",EDATE($D85,Milestones!$AA$37)&gt;=$T85),$W85,IF(AND($S85&lt;&gt;"",EDATE($D85,Milestones!$AA$37)&gt;=$S85),$V85,$U85)))=Milestones!$AB$37),UPPER(TEXT(EDATE($D85,Milestones!$AA$37),"dd mmm yy"))&amp;" "&amp;Milestones!$AB$37&amp;" "&amp;Milestones!$AC$37&amp;";  ","")&amp;IF(AND(EDATE($D85,Milestones!$AA$38)&lt;=AsOfDate,IF($R85=0,$X85,IF(AND($T85&lt;&gt;"",EDATE($D85,Milestones!$AA$38)&gt;=$T85),$W85,IF(AND($S85&lt;&gt;"",EDATE($D85,Milestones!$AA$38)&gt;=$S85),$V85,$U85)))=Milestones!$AB$38),UPPER(TEXT(EDATE($D85,Milestones!$AA$38),"dd mmm yy"))&amp;" "&amp;Milestones!$AB$38&amp;" "&amp;Milestones!$AC$38&amp;";  ","")&amp;IF(AND(EDATE($D85,Milestones!$AA$39)&lt;=AsOfDate,IF($R85=0,$X85,IF(AND($T85&lt;&gt;"",EDATE($D85,Milestones!$AA$39)&gt;=$T85),$W85,IF(AND($S85&lt;&gt;"",EDATE($D85,Milestones!$AA$39)&gt;=$S85),$V85,$U85)))=Milestones!$AB$39),UPPER(TEXT(EDATE($D85,Milestones!$AA$39),"dd mmm yy"))&amp;" "&amp;Milestones!$AB$39&amp;" "&amp;Milestones!$AC$39&amp;";  ",""))</f>
        <v/>
      </c>
      <c r="J85" s="0" t="str">
        <f aca="false">IF(OR($A85="",$D85=""),"",IF(AND(EDATE($D85,Milestones!$AA$40)&lt;=AsOfDate,IF($R85=0,$X85,IF(AND($T85&lt;&gt;"",EDATE($D85,Milestones!$AA$40)&gt;=$T85),$W85,IF(AND($S85&lt;&gt;"",EDATE($D85,Milestones!$AA$40)&gt;=$S85),$V85,$U85)))=Milestones!$AB$40),UPPER(TEXT(EDATE($D85,Milestones!$AA$40),"dd mmm yy"))&amp;" "&amp;Milestones!$AB$40&amp;" "&amp;Milestones!$AC$40&amp;";  ","")&amp;IF(AND(EDATE($D85,Milestones!$AA$41)&lt;=AsOfDate,IF($R85=0,$X85,IF(AND($T85&lt;&gt;"",EDATE($D85,Milestones!$AA$41)&gt;=$T85),$W85,IF(AND($S85&lt;&gt;"",EDATE($D85,Milestones!$AA$41)&gt;=$S85),$V85,$U85)))=Milestones!$AB$41),UPPER(TEXT(EDATE($D85,Milestones!$AA$41),"dd mmm yy"))&amp;" "&amp;Milestones!$AB$41&amp;" "&amp;Milestones!$AC$41&amp;";  ","")&amp;IF(AND(EDATE($D85,Milestones!$AA$42)&lt;=AsOfDate,IF($R85=0,$X85,IF(AND($T85&lt;&gt;"",EDATE($D85,Milestones!$AA$42)&gt;=$T85),$W85,IF(AND($S85&lt;&gt;"",EDATE($D85,Milestones!$AA$42)&gt;=$S85),$V85,$U85)))=Milestones!$AB$42),UPPER(TEXT(EDATE($D85,Milestones!$AA$42),"dd mmm yy"))&amp;" "&amp;Milestones!$AB$42&amp;" "&amp;Milestones!$AC$42&amp;";  ","")&amp;IF(AND(EDATE($D85,Milestones!$AA$43)&lt;=AsOfDate,IF($R85=0,$X85,IF(AND($T85&lt;&gt;"",EDATE($D85,Milestones!$AA$43)&gt;=$T85),$W85,IF(AND($S85&lt;&gt;"",EDATE($D85,Milestones!$AA$43)&gt;=$S85),$V85,$U85)))=Milestones!$AB$43),UPPER(TEXT(EDATE($D85,Milestones!$AA$43),"dd mmm yy"))&amp;" "&amp;Milestones!$AB$43&amp;" "&amp;Milestones!$AC$43&amp;";  ","")&amp;IF(AND(EDATE($D85,Milestones!$AA$44)&lt;=AsOfDate,IF($R85=0,$X85,IF(AND($T85&lt;&gt;"",EDATE($D85,Milestones!$AA$44)&gt;=$T85),$W85,IF(AND($S85&lt;&gt;"",EDATE($D85,Milestones!$AA$44)&gt;=$S85),$V85,$U85)))=Milestones!$AB$44),UPPER(TEXT(EDATE($D85,Milestones!$AA$44),"dd mmm yy"))&amp;" "&amp;Milestones!$AB$44&amp;" "&amp;Milestones!$AC$44&amp;";  ","")&amp;IF(AND(EDATE($D85,Milestones!$AA$45)&lt;=AsOfDate,IF($R85=0,$X85,IF(AND($T85&lt;&gt;"",EDATE($D85,Milestones!$AA$45)&gt;=$T85),$W85,IF(AND($S85&lt;&gt;"",EDATE($D85,Milestones!$AA$45)&gt;=$S85),$V85,$U85)))=Milestones!$AB$45),UPPER(TEXT(EDATE($D85,Milestones!$AA$45),"dd mmm yy"))&amp;" "&amp;Milestones!$AB$45&amp;" "&amp;Milestones!$AC$45&amp;";  ","")&amp;IF(AND(EDATE($D85,Milestones!$AA$46)&lt;=AsOfDate,IF($R85=0,$X85,IF(AND($T85&lt;&gt;"",EDATE($D85,Milestones!$AA$46)&gt;=$T85),$W85,IF(AND($S85&lt;&gt;"",EDATE($D85,Milestones!$AA$46)&gt;=$S85),$V85,$U85)))=Milestones!$AB$46),UPPER(TEXT(EDATE($D85,Milestones!$AA$46),"dd mmm yy"))&amp;" "&amp;Milestones!$AB$46&amp;" "&amp;Milestones!$AC$46&amp;";  ","")&amp;IF(AND(EDATE($D85,Milestones!$AA$47)&lt;=AsOfDate,IF($R85=0,$X85,IF(AND($T85&lt;&gt;"",EDATE($D85,Milestones!$AA$47)&gt;=$T85),$W85,IF(AND($S85&lt;&gt;"",EDATE($D85,Milestones!$AA$47)&gt;=$S85),$V85,$U85)))=Milestones!$AB$47),UPPER(TEXT(EDATE($D85,Milestones!$AA$47),"dd mmm yy"))&amp;" "&amp;Milestones!$AB$47&amp;" "&amp;Milestones!$AC$47&amp;";  ","")&amp;IF(AND(EDATE($D85,Milestones!$AA$48)&lt;=AsOfDate,IF($R85=0,$X85,IF(AND($T85&lt;&gt;"",EDATE($D85,Milestones!$AA$48)&gt;=$T85),$W85,IF(AND($S85&lt;&gt;"",EDATE($D85,Milestones!$AA$48)&gt;=$S85),$V85,$U85)))=Milestones!$AB$48),UPPER(TEXT(EDATE($D85,Milestones!$AA$48),"dd mmm yy"))&amp;" "&amp;Milestones!$AB$48&amp;" "&amp;Milestones!$AC$48&amp;";  ","")&amp;IF(AND(EDATE($D85,Milestones!$AA$49)&lt;=AsOfDate,IF($R85=0,$X85,IF(AND($T85&lt;&gt;"",EDATE($D85,Milestones!$AA$49)&gt;=$T85),$W85,IF(AND($S85&lt;&gt;"",EDATE($D85,Milestones!$AA$49)&gt;=$S85),$V85,$U85)))=Milestones!$AB$49),UPPER(TEXT(EDATE($D85,Milestones!$AA$49),"dd mmm yy"))&amp;" "&amp;Milestones!$AB$49&amp;" "&amp;Milestones!$AC$49&amp;";  ","")&amp;IF(AND(EDATE($D85,Milestones!$AA$50)&lt;=AsOfDate,IF($R85=0,$X85,IF(AND($T85&lt;&gt;"",EDATE($D85,Milestones!$AA$50)&gt;=$T85),$W85,IF(AND($S85&lt;&gt;"",EDATE($D85,Milestones!$AA$50)&gt;=$S85),$V85,$U85)))=Milestones!$AB$50),UPPER(TEXT(EDATE($D85,Milestones!$AA$50),"dd mmm yy"))&amp;" "&amp;Milestones!$AB$50&amp;" "&amp;Milestones!$AC$50&amp;";  ","")&amp;IF(AND(EDATE($D85,Milestones!$AA$51)&lt;=AsOfDate,IF($R85=0,$X85,IF(AND($T85&lt;&gt;"",EDATE($D85,Milestones!$AA$51)&gt;=$T85),$W85,IF(AND($S85&lt;&gt;"",EDATE($D85,Milestones!$AA$51)&gt;=$S85),$V85,$U85)))=Milestones!$AB$51),UPPER(TEXT(EDATE($D85,Milestones!$AA$51),"dd mmm yy"))&amp;" "&amp;Milestones!$AB$51&amp;" "&amp;Milestones!$AC$51&amp;";  ","")&amp;IF(AND(EDATE($D85,Milestones!$AA$52)&lt;=AsOfDate,IF($R85=0,$X85,IF(AND($T85&lt;&gt;"",EDATE($D85,Milestones!$AA$52)&gt;=$T85),$W85,IF(AND($S85&lt;&gt;"",EDATE($D85,Milestones!$AA$52)&gt;=$S85),$V85,$U85)))=Milestones!$AB$52),UPPER(TEXT(EDATE($D85,Milestones!$AA$52),"dd mmm yy"))&amp;" "&amp;Milestones!$AB$52&amp;" "&amp;Milestones!$AC$52&amp;";  ","")&amp;IF(AND(EDATE($D85,Milestones!$AA$53)&lt;=AsOfDate,IF($R85=0,$X85,IF(AND($T85&lt;&gt;"",EDATE($D85,Milestones!$AA$53)&gt;=$T85),$W85,IF(AND($S85&lt;&gt;"",EDATE($D85,Milestones!$AA$53)&gt;=$S85),$V85,$U85)))=Milestones!$AB$53),UPPER(TEXT(EDATE($D85,Milestones!$AA$53),"dd mmm yy"))&amp;" "&amp;Milestones!$AB$53&amp;" "&amp;Milestones!$AC$53&amp;";  ","")&amp;IF(AND(EDATE($D85,Milestones!$AA$54)&lt;=AsOfDate,IF($R85=0,$X85,IF(AND($T85&lt;&gt;"",EDATE($D85,Milestones!$AA$54)&gt;=$T85),$W85,IF(AND($S85&lt;&gt;"",EDATE($D85,Milestones!$AA$54)&gt;=$S85),$V85,$U85)))=Milestones!$AB$54),UPPER(TEXT(EDATE($D85,Milestones!$AA$54),"dd mmm yy"))&amp;" "&amp;Milestones!$AB$54&amp;" "&amp;Milestones!$AC$54&amp;";  ","")&amp;IF(AND(EDATE($D85,Milestones!$AA$55)&lt;=AsOfDate,IF($R85=0,$X85,IF(AND($T85&lt;&gt;"",EDATE($D85,Milestones!$AA$55)&gt;=$T85),$W85,IF(AND($S85&lt;&gt;"",EDATE($D85,Milestones!$AA$55)&gt;=$S85),$V85,$U85)))=Milestones!$AB$55),UPPER(TEXT(EDATE($D85,Milestones!$AA$55),"dd mmm yy"))&amp;" "&amp;Milestones!$AB$55&amp;" "&amp;Milestones!$AC$55&amp;";  ","")&amp;IF(AND(EDATE($D85,Milestones!$AA$56)&lt;=AsOfDate,IF($R85=0,$X85,IF(AND($T85&lt;&gt;"",EDATE($D85,Milestones!$AA$56)&gt;=$T85),$W85,IF(AND($S85&lt;&gt;"",EDATE($D85,Milestones!$AA$56)&gt;=$S85),$V85,$U85)))=Milestones!$AB$56),UPPER(TEXT(EDATE($D85,Milestones!$AA$56),"dd mmm yy"))&amp;" "&amp;Milestones!$AB$56&amp;" "&amp;Milestones!$AC$56&amp;";  ","")&amp;IF(AND(EDATE($D85,Milestones!$AA$57)&lt;=AsOfDate,IF($R85=0,$X85,IF(AND($T85&lt;&gt;"",EDATE($D85,Milestones!$AA$57)&gt;=$T85),$W85,IF(AND($S85&lt;&gt;"",EDATE($D85,Milestones!$AA$57)&gt;=$S85),$V85,$U85)))=Milestones!$AB$57),UPPER(TEXT(EDATE($D85,Milestones!$AA$57),"dd mmm yy"))&amp;" "&amp;Milestones!$AB$57&amp;" "&amp;Milestones!$AC$57&amp;";  ","")&amp;IF(AND(EDATE($D85,Milestones!$AA$58)&lt;=AsOfDate,IF($R85=0,$X85,IF(AND($T85&lt;&gt;"",EDATE($D85,Milestones!$AA$58)&gt;=$T85),$W85,IF(AND($S85&lt;&gt;"",EDATE($D85,Milestones!$AA$58)&gt;=$S85),$V85,$U85)))=Milestones!$AB$58),UPPER(TEXT(EDATE($D85,Milestones!$AA$58),"dd mmm yy"))&amp;" "&amp;Milestones!$AB$58&amp;" "&amp;Milestones!$AC$58&amp;";  ","")&amp;IF(AND(EDATE($D85,Milestones!$AA$59)&lt;=AsOfDate,IF($R85=0,$X85,IF(AND($T85&lt;&gt;"",EDATE($D85,Milestones!$AA$59)&gt;=$T85),$W85,IF(AND($S85&lt;&gt;"",EDATE($D85,Milestones!$AA$59)&gt;=$S85),$V85,$U85)))=Milestones!$AB$59),UPPER(TEXT(EDATE($D85,Milestones!$AA$59),"dd mmm yy"))&amp;" "&amp;Milestones!$AB$59&amp;" "&amp;Milestones!$AC$59&amp;";  ",""))</f>
        <v/>
      </c>
      <c r="K85" s="0" t="str">
        <f aca="false">IF(OR($A85="",$D85=""),"",IF(AND(EDATE($D85,Milestones!$AA$60)&lt;=AsOfDate,IF($R85=0,$X85,IF(AND($T85&lt;&gt;"",EDATE($D85,Milestones!$AA$60)&gt;=$T85),$W85,IF(AND($S85&lt;&gt;"",EDATE($D85,Milestones!$AA$60)&gt;=$S85),$V85,$U85)))=Milestones!$AB$60),UPPER(TEXT(EDATE($D85,Milestones!$AA$60),"dd mmm yy"))&amp;" "&amp;Milestones!$AB$60&amp;" "&amp;Milestones!$AC$60&amp;";  ","")&amp;IF(AND(EDATE($D85,Milestones!$AA$61)&lt;=AsOfDate,IF($R85=0,$X85,IF(AND($T85&lt;&gt;"",EDATE($D85,Milestones!$AA$61)&gt;=$T85),$W85,IF(AND($S85&lt;&gt;"",EDATE($D85,Milestones!$AA$61)&gt;=$S85),$V85,$U85)))=Milestones!$AB$61),UPPER(TEXT(EDATE($D85,Milestones!$AA$61),"dd mmm yy"))&amp;" "&amp;Milestones!$AB$61&amp;" "&amp;Milestones!$AC$61&amp;";  ","")&amp;IF(AND(EDATE($D85,Milestones!$AA$62)&lt;=AsOfDate,IF($R85=0,$X85,IF(AND($T85&lt;&gt;"",EDATE($D85,Milestones!$AA$62)&gt;=$T85),$W85,IF(AND($S85&lt;&gt;"",EDATE($D85,Milestones!$AA$62)&gt;=$S85),$V85,$U85)))=Milestones!$AB$62),UPPER(TEXT(EDATE($D85,Milestones!$AA$62),"dd mmm yy"))&amp;" "&amp;Milestones!$AB$62&amp;" "&amp;Milestones!$AC$62&amp;";  ","")&amp;IF(AND(EDATE($D85,Milestones!$AA$63)&lt;=AsOfDate,IF($R85=0,$X85,IF(AND($T85&lt;&gt;"",EDATE($D85,Milestones!$AA$63)&gt;=$T85),$W85,IF(AND($S85&lt;&gt;"",EDATE($D85,Milestones!$AA$63)&gt;=$S85),$V85,$U85)))=Milestones!$AB$63),UPPER(TEXT(EDATE($D85,Milestones!$AA$63),"dd mmm yy"))&amp;" "&amp;Milestones!$AB$63&amp;" "&amp;Milestones!$AC$63&amp;";  ","")&amp;IF(AND(EDATE($D85,Milestones!$AA$64)&lt;=AsOfDate,IF($R85=0,$X85,IF(AND($T85&lt;&gt;"",EDATE($D85,Milestones!$AA$64)&gt;=$T85),$W85,IF(AND($S85&lt;&gt;"",EDATE($D85,Milestones!$AA$64)&gt;=$S85),$V85,$U85)))=Milestones!$AB$64),UPPER(TEXT(EDATE($D85,Milestones!$AA$64),"dd mmm yy"))&amp;" "&amp;Milestones!$AB$64&amp;" "&amp;Milestones!$AC$64&amp;";  ","")&amp;IF(AND(EDATE($D85,Milestones!$AA$65)&lt;=AsOfDate,IF($R85=0,$X85,IF(AND($T85&lt;&gt;"",EDATE($D85,Milestones!$AA$65)&gt;=$T85),$W85,IF(AND($S85&lt;&gt;"",EDATE($D85,Milestones!$AA$65)&gt;=$S85),$V85,$U85)))=Milestones!$AB$65),UPPER(TEXT(EDATE($D85,Milestones!$AA$65),"dd mmm yy"))&amp;" "&amp;Milestones!$AB$65&amp;" "&amp;Milestones!$AC$65&amp;";  ","")&amp;IF(AND(EDATE($D85,Milestones!$AA$66)&lt;=AsOfDate,IF($R85=0,$X85,IF(AND($T85&lt;&gt;"",EDATE($D85,Milestones!$AA$66)&gt;=$T85),$W85,IF(AND($S85&lt;&gt;"",EDATE($D85,Milestones!$AA$66)&gt;=$S85),$V85,$U85)))=Milestones!$AB$66),UPPER(TEXT(EDATE($D85,Milestones!$AA$66),"dd mmm yy"))&amp;" "&amp;Milestones!$AB$66&amp;" "&amp;Milestones!$AC$66&amp;";  ","")&amp;IF(AND(EDATE($D85,Milestones!$AA$67)&lt;=AsOfDate,IF($R85=0,$X85,IF(AND($T85&lt;&gt;"",EDATE($D85,Milestones!$AA$67)&gt;=$T85),$W85,IF(AND($S85&lt;&gt;"",EDATE($D85,Milestones!$AA$67)&gt;=$S85),$V85,$U85)))=Milestones!$AB$67),UPPER(TEXT(EDATE($D85,Milestones!$AA$67),"dd mmm yy"))&amp;" "&amp;Milestones!$AB$67&amp;" "&amp;Milestones!$AC$67&amp;";  ","")&amp;IF(AND(EDATE($D85,Milestones!$AA$68)&lt;=AsOfDate,IF($R85=0,$X85,IF(AND($T85&lt;&gt;"",EDATE($D85,Milestones!$AA$68)&gt;=$T85),$W85,IF(AND($S85&lt;&gt;"",EDATE($D85,Milestones!$AA$68)&gt;=$S85),$V85,$U85)))=Milestones!$AB$68),UPPER(TEXT(EDATE($D85,Milestones!$AA$68),"dd mmm yy"))&amp;" "&amp;Milestones!$AB$68&amp;" "&amp;Milestones!$AC$68&amp;";  ","")&amp;IF(AND(EDATE($D85,Milestones!$AA$69)&lt;=AsOfDate,IF($R85=0,$X85,IF(AND($T85&lt;&gt;"",EDATE($D85,Milestones!$AA$69)&gt;=$T85),$W85,IF(AND($S85&lt;&gt;"",EDATE($D85,Milestones!$AA$69)&gt;=$S85),$V85,$U85)))=Milestones!$AB$69),UPPER(TEXT(EDATE($D85,Milestones!$AA$69),"dd mmm yy"))&amp;" "&amp;Milestones!$AB$69&amp;" "&amp;Milestones!$AC$69&amp;";  ","")&amp;IF(AND(EDATE($D85,Milestones!$AA$70)&lt;=AsOfDate,IF($R85=0,$X85,IF(AND($T85&lt;&gt;"",EDATE($D85,Milestones!$AA$70)&gt;=$T85),$W85,IF(AND($S85&lt;&gt;"",EDATE($D85,Milestones!$AA$70)&gt;=$S85),$V85,$U85)))=Milestones!$AB$70),UPPER(TEXT(EDATE($D85,Milestones!$AA$70),"dd mmm yy"))&amp;" "&amp;Milestones!$AB$70&amp;" "&amp;Milestones!$AC$70&amp;";  ","")&amp;IF(AND(EDATE($D85,Milestones!$AA$71)&lt;=AsOfDate,IF($R85=0,$X85,IF(AND($T85&lt;&gt;"",EDATE($D85,Milestones!$AA$71)&gt;=$T85),$W85,IF(AND($S85&lt;&gt;"",EDATE($D85,Milestones!$AA$71)&gt;=$S85),$V85,$U85)))=Milestones!$AB$71),UPPER(TEXT(EDATE($D85,Milestones!$AA$71),"dd mmm yy"))&amp;" "&amp;Milestones!$AB$71&amp;" "&amp;Milestones!$AC$71&amp;";  ","")&amp;IF(AND(EDATE($D85,Milestones!$AA$72)&lt;=AsOfDate,IF($R85=0,$X85,IF(AND($T85&lt;&gt;"",EDATE($D85,Milestones!$AA$72)&gt;=$T85),$W85,IF(AND($S85&lt;&gt;"",EDATE($D85,Milestones!$AA$72)&gt;=$S85),$V85,$U85)))=Milestones!$AB$72),UPPER(TEXT(EDATE($D85,Milestones!$AA$72),"dd mmm yy"))&amp;" "&amp;Milestones!$AB$72&amp;" "&amp;Milestones!$AC$72&amp;";  ","")&amp;IF(AND(EDATE($D85,Milestones!$AA$73)&lt;=AsOfDate,IF($R85=0,$X85,IF(AND($T85&lt;&gt;"",EDATE($D85,Milestones!$AA$73)&gt;=$T85),$W85,IF(AND($S85&lt;&gt;"",EDATE($D85,Milestones!$AA$73)&gt;=$S85),$V85,$U85)))=Milestones!$AB$73),UPPER(TEXT(EDATE($D85,Milestones!$AA$73),"dd mmm yy"))&amp;" "&amp;Milestones!$AB$73&amp;" "&amp;Milestones!$AC$73&amp;";  ","")&amp;IF(AND(EDATE($D85,Milestones!$AA$74)&lt;=AsOfDate,IF($R85=0,$X85,IF(AND($T85&lt;&gt;"",EDATE($D85,Milestones!$AA$74)&gt;=$T85),$W85,IF(AND($S85&lt;&gt;"",EDATE($D85,Milestones!$AA$74)&gt;=$S85),$V85,$U85)))=Milestones!$AB$74),UPPER(TEXT(EDATE($D85,Milestones!$AA$74),"dd mmm yy"))&amp;" "&amp;Milestones!$AB$74&amp;" "&amp;Milestones!$AC$74&amp;";  ","")&amp;IF(AND(EDATE($D85,Milestones!$AA$75)&lt;=AsOfDate,IF($R85=0,$X85,IF(AND($T85&lt;&gt;"",EDATE($D85,Milestones!$AA$75)&gt;=$T85),$W85,IF(AND($S85&lt;&gt;"",EDATE($D85,Milestones!$AA$75)&gt;=$S85),$V85,$U85)))=Milestones!$AB$75),UPPER(TEXT(EDATE($D85,Milestones!$AA$75),"dd mmm yy"))&amp;" "&amp;Milestones!$AB$75&amp;" "&amp;Milestones!$AC$75&amp;";  ","")&amp;IF(AND(EDATE($D85,Milestones!$AA$76)&lt;=AsOfDate,IF($R85=0,$X85,IF(AND($T85&lt;&gt;"",EDATE($D85,Milestones!$AA$76)&gt;=$T85),$W85,IF(AND($S85&lt;&gt;"",EDATE($D85,Milestones!$AA$76)&gt;=$S85),$V85,$U85)))=Milestones!$AB$76),UPPER(TEXT(EDATE($D85,Milestones!$AA$76),"dd mmm yy"))&amp;" "&amp;Milestones!$AB$76&amp;" "&amp;Milestones!$AC$76&amp;";  ","")&amp;IF(AND(EDATE($D85,Milestones!$AA$77)&lt;=AsOfDate,IF($R85=0,$X85,IF(AND($T85&lt;&gt;"",EDATE($D85,Milestones!$AA$77)&gt;=$T85),$W85,IF(AND($S85&lt;&gt;"",EDATE($D85,Milestones!$AA$77)&gt;=$S85),$V85,$U85)))=Milestones!$AB$77),UPPER(TEXT(EDATE($D85,Milestones!$AA$77),"dd mmm yy"))&amp;" "&amp;Milestones!$AB$77&amp;" "&amp;Milestones!$AC$77&amp;";  ","")&amp;IF(AND(EDATE($D85,Milestones!$AA$78)&lt;=AsOfDate,IF($R85=0,$X85,IF(AND($T85&lt;&gt;"",EDATE($D85,Milestones!$AA$78)&gt;=$T85),$W85,IF(AND($S85&lt;&gt;"",EDATE($D85,Milestones!$AA$78)&gt;=$S85),$V85,$U85)))=Milestones!$AB$78),UPPER(TEXT(EDATE($D85,Milestones!$AA$78),"dd mmm yy"))&amp;" "&amp;Milestones!$AB$78&amp;" "&amp;Milestones!$AC$78&amp;";  ","")&amp;IF(AND(EDATE($D85,Milestones!$AA$79)&lt;=AsOfDate,IF($R85=0,$X85,IF(AND($T85&lt;&gt;"",EDATE($D85,Milestones!$AA$79)&gt;=$T85),$W85,IF(AND($S85&lt;&gt;"",EDATE($D85,Milestones!$AA$79)&gt;=$S85),$V85,$U85)))=Milestones!$AB$79),UPPER(TEXT(EDATE($D85,Milestones!$AA$79),"dd mmm yy"))&amp;" "&amp;Milestones!$AB$79&amp;" "&amp;Milestones!$AC$79&amp;";  ",""))</f>
        <v/>
      </c>
      <c r="L85" s="0" t="str">
        <f aca="false">IF(OR($A85="",$D85=""),"",IF(AND(EDATE($D85,Milestones!$AA$80)&lt;=AsOfDate,IF($R85=0,$X85,IF(AND($T85&lt;&gt;"",EDATE($D85,Milestones!$AA$80)&gt;=$T85),$W85,IF(AND($S85&lt;&gt;"",EDATE($D85,Milestones!$AA$80)&gt;=$S85),$V85,$U85)))=Milestones!$AB$80),UPPER(TEXT(EDATE($D85,Milestones!$AA$80),"dd mmm yy"))&amp;" "&amp;Milestones!$AB$80&amp;" "&amp;Milestones!$AC$80&amp;";  ","")&amp;IF(AND(EDATE($D85,Milestones!$AA$81)&lt;=AsOfDate,IF($R85=0,$X85,IF(AND($T85&lt;&gt;"",EDATE($D85,Milestones!$AA$81)&gt;=$T85),$W85,IF(AND($S85&lt;&gt;"",EDATE($D85,Milestones!$AA$81)&gt;=$S85),$V85,$U85)))=Milestones!$AB$81),UPPER(TEXT(EDATE($D85,Milestones!$AA$81),"dd mmm yy"))&amp;" "&amp;Milestones!$AB$81&amp;" "&amp;Milestones!$AC$81&amp;";  ","")&amp;IF(AND(EDATE($D85,Milestones!$AA$82)&lt;=AsOfDate,IF($R85=0,$X85,IF(AND($T85&lt;&gt;"",EDATE($D85,Milestones!$AA$82)&gt;=$T85),$W85,IF(AND($S85&lt;&gt;"",EDATE($D85,Milestones!$AA$82)&gt;=$S85),$V85,$U85)))=Milestones!$AB$82),UPPER(TEXT(EDATE($D85,Milestones!$AA$82),"dd mmm yy"))&amp;" "&amp;Milestones!$AB$82&amp;" "&amp;Milestones!$AC$82&amp;";  ","")&amp;IF(AND(EDATE($D85,Milestones!$AA$83)&lt;=AsOfDate,IF($R85=0,$X85,IF(AND($T85&lt;&gt;"",EDATE($D85,Milestones!$AA$83)&gt;=$T85),$W85,IF(AND($S85&lt;&gt;"",EDATE($D85,Milestones!$AA$83)&gt;=$S85),$V85,$U85)))=Milestones!$AB$83),UPPER(TEXT(EDATE($D85,Milestones!$AA$83),"dd mmm yy"))&amp;" "&amp;Milestones!$AB$83&amp;" "&amp;Milestones!$AC$83&amp;";  ","")&amp;IF(AND(EDATE($D85,Milestones!$AA$84)&lt;=AsOfDate,IF($R85=0,$X85,IF(AND($T85&lt;&gt;"",EDATE($D85,Milestones!$AA$84)&gt;=$T85),$W85,IF(AND($S85&lt;&gt;"",EDATE($D85,Milestones!$AA$84)&gt;=$S85),$V85,$U85)))=Milestones!$AB$84),UPPER(TEXT(EDATE($D85,Milestones!$AA$84),"dd mmm yy"))&amp;" "&amp;Milestones!$AB$84&amp;" "&amp;Milestones!$AC$84&amp;";  ","")&amp;IF(AND(EDATE($D85,Milestones!$AA$85)&lt;=AsOfDate,IF($R85=0,$X85,IF(AND($T85&lt;&gt;"",EDATE($D85,Milestones!$AA$85)&gt;=$T85),$W85,IF(AND($S85&lt;&gt;"",EDATE($D85,Milestones!$AA$85)&gt;=$S85),$V85,$U85)))=Milestones!$AB$85),UPPER(TEXT(EDATE($D85,Milestones!$AA$85),"dd mmm yy"))&amp;" "&amp;Milestones!$AB$85&amp;" "&amp;Milestones!$AC$85&amp;";  ","")&amp;IF(AND(EDATE($D85,Milestones!$AA$86)&lt;=AsOfDate,IF($R85=0,$X85,IF(AND($T85&lt;&gt;"",EDATE($D85,Milestones!$AA$86)&gt;=$T85),$W85,IF(AND($S85&lt;&gt;"",EDATE($D85,Milestones!$AA$86)&gt;=$S85),$V85,$U85)))=Milestones!$AB$86),UPPER(TEXT(EDATE($D85,Milestones!$AA$86),"dd mmm yy"))&amp;" "&amp;Milestones!$AB$86&amp;" "&amp;Milestones!$AC$86&amp;";  ","")&amp;IF(AND(EDATE($D85,Milestones!$AA$87)&lt;=AsOfDate,IF($R85=0,$X85,IF(AND($T85&lt;&gt;"",EDATE($D85,Milestones!$AA$87)&gt;=$T85),$W85,IF(AND($S85&lt;&gt;"",EDATE($D85,Milestones!$AA$87)&gt;=$S85),$V85,$U85)))=Milestones!$AB$87),UPPER(TEXT(EDATE($D85,Milestones!$AA$87),"dd mmm yy"))&amp;" "&amp;Milestones!$AB$87&amp;" "&amp;Milestones!$AC$87&amp;";  ","")&amp;IF(AND(EDATE($D85,Milestones!$AA$88)&lt;=AsOfDate,IF($R85=0,$X85,IF(AND($T85&lt;&gt;"",EDATE($D85,Milestones!$AA$88)&gt;=$T85),$W85,IF(AND($S85&lt;&gt;"",EDATE($D85,Milestones!$AA$88)&gt;=$S85),$V85,$U85)))=Milestones!$AB$88),UPPER(TEXT(EDATE($D85,Milestones!$AA$88),"dd mmm yy"))&amp;" "&amp;Milestones!$AB$88&amp;" "&amp;Milestones!$AC$88&amp;";  ","")&amp;IF(AND(EDATE($D85,Milestones!$AA$89)&lt;=AsOfDate,IF($R85=0,$X85,IF(AND($T85&lt;&gt;"",EDATE($D85,Milestones!$AA$89)&gt;=$T85),$W85,IF(AND($S85&lt;&gt;"",EDATE($D85,Milestones!$AA$89)&gt;=$S85),$V85,$U85)))=Milestones!$AB$89),UPPER(TEXT(EDATE($D85,Milestones!$AA$89),"dd mmm yy"))&amp;" "&amp;Milestones!$AB$89&amp;" "&amp;Milestones!$AC$89&amp;";  ","")&amp;IF(AND(EDATE($D85,Milestones!$AA$90)&lt;=AsOfDate,IF($R85=0,$X85,IF(AND($T85&lt;&gt;"",EDATE($D85,Milestones!$AA$90)&gt;=$T85),$W85,IF(AND($S85&lt;&gt;"",EDATE($D85,Milestones!$AA$90)&gt;=$S85),$V85,$U85)))=Milestones!$AB$90),UPPER(TEXT(EDATE($D85,Milestones!$AA$90),"dd mmm yy"))&amp;" "&amp;Milestones!$AB$90&amp;" "&amp;Milestones!$AC$90&amp;";  ","")&amp;IF(AND(EDATE($D85,Milestones!$AA$91)&lt;=AsOfDate,IF($R85=0,$X85,IF(AND($T85&lt;&gt;"",EDATE($D85,Milestones!$AA$91)&gt;=$T85),$W85,IF(AND($S85&lt;&gt;"",EDATE($D85,Milestones!$AA$91)&gt;=$S85),$V85,$U85)))=Milestones!$AB$91),UPPER(TEXT(EDATE($D85,Milestones!$AA$91),"dd mmm yy"))&amp;" "&amp;Milestones!$AB$91&amp;" "&amp;Milestones!$AC$91&amp;";  ","")&amp;IF(AND(EDATE($D85,Milestones!$AA$92)&lt;=AsOfDate,IF($R85=0,$X85,IF(AND($T85&lt;&gt;"",EDATE($D85,Milestones!$AA$92)&gt;=$T85),$W85,IF(AND($S85&lt;&gt;"",EDATE($D85,Milestones!$AA$92)&gt;=$S85),$V85,$U85)))=Milestones!$AB$92),UPPER(TEXT(EDATE($D85,Milestones!$AA$92),"dd mmm yy"))&amp;" "&amp;Milestones!$AB$92&amp;" "&amp;Milestones!$AC$92&amp;";  ","")&amp;IF(AND(EDATE($D85,Milestones!$AA$93)&lt;=AsOfDate,IF($R85=0,$X85,IF(AND($T85&lt;&gt;"",EDATE($D85,Milestones!$AA$93)&gt;=$T85),$W85,IF(AND($S85&lt;&gt;"",EDATE($D85,Milestones!$AA$93)&gt;=$S85),$V85,$U85)))=Milestones!$AB$93),UPPER(TEXT(EDATE($D85,Milestones!$AA$93),"dd mmm yy"))&amp;" "&amp;Milestones!$AB$93&amp;" "&amp;Milestones!$AC$93&amp;";  ","")&amp;IF(AND(EDATE($D85,Milestones!$AA$94)&lt;=AsOfDate,IF($R85=0,$X85,IF(AND($T85&lt;&gt;"",EDATE($D85,Milestones!$AA$94)&gt;=$T85),$W85,IF(AND($S85&lt;&gt;"",EDATE($D85,Milestones!$AA$94)&gt;=$S85),$V85,$U85)))=Milestones!$AB$94),UPPER(TEXT(EDATE($D85,Milestones!$AA$94),"dd mmm yy"))&amp;" "&amp;Milestones!$AB$94&amp;" "&amp;Milestones!$AC$94&amp;";  ","")&amp;IF(AND(EDATE($D85,Milestones!$AA$95)&lt;=AsOfDate,IF($R85=0,$X85,IF(AND($T85&lt;&gt;"",EDATE($D85,Milestones!$AA$95)&gt;=$T85),$W85,IF(AND($S85&lt;&gt;"",EDATE($D85,Milestones!$AA$95)&gt;=$S85),$V85,$U85)))=Milestones!$AB$95),UPPER(TEXT(EDATE($D85,Milestones!$AA$95),"dd mmm yy"))&amp;" "&amp;Milestones!$AB$95&amp;" "&amp;Milestones!$AC$95&amp;";  ","")&amp;IF(AND(EDATE($D85,Milestones!$AA$96)&lt;=AsOfDate,IF($R85=0,$X85,IF(AND($T85&lt;&gt;"",EDATE($D85,Milestones!$AA$96)&gt;=$T85),$W85,IF(AND($S85&lt;&gt;"",EDATE($D85,Milestones!$AA$96)&gt;=$S85),$V85,$U85)))=Milestones!$AB$96),UPPER(TEXT(EDATE($D85,Milestones!$AA$96),"dd mmm yy"))&amp;" "&amp;Milestones!$AB$96&amp;" "&amp;Milestones!$AC$96&amp;";  ","")&amp;IF(AND(EDATE($D85,Milestones!$AA$97)&lt;=AsOfDate,IF($R85=0,$X85,IF(AND($T85&lt;&gt;"",EDATE($D85,Milestones!$AA$97)&gt;=$T85),$W85,IF(AND($S85&lt;&gt;"",EDATE($D85,Milestones!$AA$97)&gt;=$S85),$V85,$U85)))=Milestones!$AB$97),UPPER(TEXT(EDATE($D85,Milestones!$AA$97),"dd mmm yy"))&amp;" "&amp;Milestones!$AB$97&amp;" "&amp;Milestones!$AC$97&amp;";  ","")&amp;IF(AND(EDATE($D85,Milestones!$AA$98)&lt;=AsOfDate,IF($R85=0,$X85,IF(AND($T85&lt;&gt;"",EDATE($D85,Milestones!$AA$98)&gt;=$T85),$W85,IF(AND($S85&lt;&gt;"",EDATE($D85,Milestones!$AA$98)&gt;=$S85),$V85,$U85)))=Milestones!$AB$98),UPPER(TEXT(EDATE($D85,Milestones!$AA$98),"dd mmm yy"))&amp;" "&amp;Milestones!$AB$98&amp;" "&amp;Milestones!$AC$98&amp;";  ","")&amp;IF(AND(EDATE($D85,Milestones!$AA$99)&lt;=AsOfDate,IF($R85=0,$X85,IF(AND($T85&lt;&gt;"",EDATE($D85,Milestones!$AA$99)&gt;=$T85),$W85,IF(AND($S85&lt;&gt;"",EDATE($D85,Milestones!$AA$99)&gt;=$S85),$V85,$U85)))=Milestones!$AB$99),UPPER(TEXT(EDATE($D85,Milestones!$AA$99),"dd mmm yy"))&amp;" "&amp;Milestones!$AB$99&amp;" "&amp;Milestones!$AC$99&amp;";  ",""))</f>
        <v/>
      </c>
      <c r="M85" s="0" t="str">
        <f aca="false">IF(OR($A85="",$D85=""),"",IF(AND(EDATE($D85,Milestones!$AA$100)&lt;=AsOfDate,IF($R85=0,$X85,IF(AND($T85&lt;&gt;"",EDATE($D85,Milestones!$AA$100)&gt;=$T85),$W85,IF(AND($S85&lt;&gt;"",EDATE($D85,Milestones!$AA$100)&gt;=$S85),$V85,$U85)))=Milestones!$AB$100),UPPER(TEXT(EDATE($D85,Milestones!$AA$100),"dd mmm yy"))&amp;" "&amp;Milestones!$AB$100&amp;" "&amp;Milestones!$AC$100&amp;";  ","")&amp;IF(AND(EDATE($D85,Milestones!$AA$101)&lt;=AsOfDate,IF($R85=0,$X85,IF(AND($T85&lt;&gt;"",EDATE($D85,Milestones!$AA$101)&gt;=$T85),$W85,IF(AND($S85&lt;&gt;"",EDATE($D85,Milestones!$AA$101)&gt;=$S85),$V85,$U85)))=Milestones!$AB$101),UPPER(TEXT(EDATE($D85,Milestones!$AA$101),"dd mmm yy"))&amp;" "&amp;Milestones!$AB$101&amp;" "&amp;Milestones!$AC$101&amp;";  ","")&amp;IF(AND(EDATE($D85,Milestones!$AA$102)&lt;=AsOfDate,IF($R85=0,$X85,IF(AND($T85&lt;&gt;"",EDATE($D85,Milestones!$AA$102)&gt;=$T85),$W85,IF(AND($S85&lt;&gt;"",EDATE($D85,Milestones!$AA$102)&gt;=$S85),$V85,$U85)))=Milestones!$AB$102),UPPER(TEXT(EDATE($D85,Milestones!$AA$102),"dd mmm yy"))&amp;" "&amp;Milestones!$AB$102&amp;" "&amp;Milestones!$AC$102&amp;";  ","")&amp;IF(AND(EDATE($D85,Milestones!$AA$103)&lt;=AsOfDate,IF($R85=0,$X85,IF(AND($T85&lt;&gt;"",EDATE($D85,Milestones!$AA$103)&gt;=$T85),$W85,IF(AND($S85&lt;&gt;"",EDATE($D85,Milestones!$AA$103)&gt;=$S85),$V85,$U85)))=Milestones!$AB$103),UPPER(TEXT(EDATE($D85,Milestones!$AA$103),"dd mmm yy"))&amp;" "&amp;Milestones!$AB$103&amp;" "&amp;Milestones!$AC$103&amp;";  ","")&amp;IF(AND(EDATE($D85,Milestones!$AA$104)&lt;=AsOfDate,IF($R85=0,$X85,IF(AND($T85&lt;&gt;"",EDATE($D85,Milestones!$AA$104)&gt;=$T85),$W85,IF(AND($S85&lt;&gt;"",EDATE($D85,Milestones!$AA$104)&gt;=$S85),$V85,$U85)))=Milestones!$AB$104),UPPER(TEXT(EDATE($D85,Milestones!$AA$104),"dd mmm yy"))&amp;" "&amp;Milestones!$AB$104&amp;" "&amp;Milestones!$AC$104&amp;";  ","")&amp;IF(AND(EDATE($D85,Milestones!$AA$105)&lt;=AsOfDate,IF($R85=0,$X85,IF(AND($T85&lt;&gt;"",EDATE($D85,Milestones!$AA$105)&gt;=$T85),$W85,IF(AND($S85&lt;&gt;"",EDATE($D85,Milestones!$AA$105)&gt;=$S85),$V85,$U85)))=Milestones!$AB$105),UPPER(TEXT(EDATE($D85,Milestones!$AA$105),"dd mmm yy"))&amp;" "&amp;Milestones!$AB$105&amp;" "&amp;Milestones!$AC$105&amp;";  ","")&amp;IF(AND(EDATE($D85,Milestones!$AA$106)&lt;=AsOfDate,IF($R85=0,$X85,IF(AND($T85&lt;&gt;"",EDATE($D85,Milestones!$AA$106)&gt;=$T85),$W85,IF(AND($S85&lt;&gt;"",EDATE($D85,Milestones!$AA$106)&gt;=$S85),$V85,$U85)))=Milestones!$AB$106),UPPER(TEXT(EDATE($D85,Milestones!$AA$106),"dd mmm yy"))&amp;" "&amp;Milestones!$AB$106&amp;" "&amp;Milestones!$AC$106&amp;";  ","")&amp;IF(AND(EDATE($D85,Milestones!$AA$107)&lt;=AsOfDate,IF($R85=0,$X85,IF(AND($T85&lt;&gt;"",EDATE($D85,Milestones!$AA$107)&gt;=$T85),$W85,IF(AND($S85&lt;&gt;"",EDATE($D85,Milestones!$AA$107)&gt;=$S85),$V85,$U85)))=Milestones!$AB$107),UPPER(TEXT(EDATE($D85,Milestones!$AA$107),"dd mmm yy"))&amp;" "&amp;Milestones!$AB$107&amp;" "&amp;Milestones!$AC$107&amp;";  ","")&amp;IF(AND(EDATE($D85,Milestones!$AA$108)&lt;=AsOfDate,IF($R85=0,$X85,IF(AND($T85&lt;&gt;"",EDATE($D85,Milestones!$AA$108)&gt;=$T85),$W85,IF(AND($S85&lt;&gt;"",EDATE($D85,Milestones!$AA$108)&gt;=$S85),$V85,$U85)))=Milestones!$AB$108),UPPER(TEXT(EDATE($D85,Milestones!$AA$108),"dd mmm yy"))&amp;" "&amp;Milestones!$AB$108&amp;" "&amp;Milestones!$AC$108&amp;";  ","")&amp;IF(AND(EDATE($D85,Milestones!$AA$109)&lt;=AsOfDate,IF($R85=0,$X85,IF(AND($T85&lt;&gt;"",EDATE($D85,Milestones!$AA$109)&gt;=$T85),$W85,IF(AND($S85&lt;&gt;"",EDATE($D85,Milestones!$AA$109)&gt;=$S85),$V85,$U85)))=Milestones!$AB$109),UPPER(TEXT(EDATE($D85,Milestones!$AA$109),"dd mmm yy"))&amp;" "&amp;Milestones!$AB$109&amp;" "&amp;Milestones!$AC$109&amp;";  ","")&amp;IF(AND(EDATE($D85,Milestones!$AA$110)&lt;=AsOfDate,IF($R85=0,$X85,IF(AND($T85&lt;&gt;"",EDATE($D85,Milestones!$AA$110)&gt;=$T85),$W85,IF(AND($S85&lt;&gt;"",EDATE($D85,Milestones!$AA$110)&gt;=$S85),$V85,$U85)))=Milestones!$AB$110),UPPER(TEXT(EDATE($D85,Milestones!$AA$110),"dd mmm yy"))&amp;" "&amp;Milestones!$AB$110&amp;" "&amp;Milestones!$AC$110&amp;";  ","")&amp;IF(AND(EDATE($D85,Milestones!$AA$111)&lt;=AsOfDate,IF($R85=0,$X85,IF(AND($T85&lt;&gt;"",EDATE($D85,Milestones!$AA$111)&gt;=$T85),$W85,IF(AND($S85&lt;&gt;"",EDATE($D85,Milestones!$AA$111)&gt;=$S85),$V85,$U85)))=Milestones!$AB$111),UPPER(TEXT(EDATE($D85,Milestones!$AA$111),"dd mmm yy"))&amp;" "&amp;Milestones!$AB$111&amp;" "&amp;Milestones!$AC$111&amp;";  ","")&amp;IF(AND(EDATE($D85,Milestones!$AA$112)&lt;=AsOfDate,IF($R85=0,$X85,IF(AND($T85&lt;&gt;"",EDATE($D85,Milestones!$AA$112)&gt;=$T85),$W85,IF(AND($S85&lt;&gt;"",EDATE($D85,Milestones!$AA$112)&gt;=$S85),$V85,$U85)))=Milestones!$AB$112),UPPER(TEXT(EDATE($D85,Milestones!$AA$112),"dd mmm yy"))&amp;" "&amp;Milestones!$AB$112&amp;" "&amp;Milestones!$AC$112&amp;";  ","")&amp;IF(AND(EDATE($D85,Milestones!$AA$113)&lt;=AsOfDate,IF($R85=0,$X85,IF(AND($T85&lt;&gt;"",EDATE($D85,Milestones!$AA$113)&gt;=$T85),$W85,IF(AND($S85&lt;&gt;"",EDATE($D85,Milestones!$AA$113)&gt;=$S85),$V85,$U85)))=Milestones!$AB$113),UPPER(TEXT(EDATE($D85,Milestones!$AA$113),"dd mmm yy"))&amp;" "&amp;Milestones!$AB$113&amp;" "&amp;Milestones!$AC$113&amp;";  ","")&amp;IF(AND(EDATE($D85,Milestones!$AA$114)&lt;=AsOfDate,IF($R85=0,$X85,IF(AND($T85&lt;&gt;"",EDATE($D85,Milestones!$AA$114)&gt;=$T85),$W85,IF(AND($S85&lt;&gt;"",EDATE($D85,Milestones!$AA$114)&gt;=$S85),$V85,$U85)))=Milestones!$AB$114),UPPER(TEXT(EDATE($D85,Milestones!$AA$114),"dd mmm yy"))&amp;" "&amp;Milestones!$AB$114&amp;" "&amp;Milestones!$AC$114&amp;";  ","")&amp;IF(AND(EDATE($D85,Milestones!$AA$115)&lt;=AsOfDate,IF($R85=0,$X85,IF(AND($T85&lt;&gt;"",EDATE($D85,Milestones!$AA$115)&gt;=$T85),$W85,IF(AND($S85&lt;&gt;"",EDATE($D85,Milestones!$AA$115)&gt;=$S85),$V85,$U85)))=Milestones!$AB$115),UPPER(TEXT(EDATE($D85,Milestones!$AA$115),"dd mmm yy"))&amp;" "&amp;Milestones!$AB$115&amp;" "&amp;Milestones!$AC$115&amp;";  ","")&amp;IF(AND(EDATE($D85,Milestones!$AA$116)&lt;=AsOfDate,IF($R85=0,$X85,IF(AND($T85&lt;&gt;"",EDATE($D85,Milestones!$AA$116)&gt;=$T85),$W85,IF(AND($S85&lt;&gt;"",EDATE($D85,Milestones!$AA$116)&gt;=$S85),$V85,$U85)))=Milestones!$AB$116),UPPER(TEXT(EDATE($D85,Milestones!$AA$116),"dd mmm yy"))&amp;" "&amp;Milestones!$AB$116&amp;" "&amp;Milestones!$AC$116&amp;";  ","")&amp;IF(AND(EDATE($D85,Milestones!$AA$117)&lt;=AsOfDate,IF($R85=0,$X85,IF(AND($T85&lt;&gt;"",EDATE($D85,Milestones!$AA$117)&gt;=$T85),$W85,IF(AND($S85&lt;&gt;"",EDATE($D85,Milestones!$AA$117)&gt;=$S85),$V85,$U85)))=Milestones!$AB$117),UPPER(TEXT(EDATE($D85,Milestones!$AA$117),"dd mmm yy"))&amp;" "&amp;Milestones!$AB$117&amp;" "&amp;Milestones!$AC$117&amp;";  ","")&amp;IF(AND(EDATE($D85,Milestones!$AA$118)&lt;=AsOfDate,IF($R85=0,$X85,IF(AND($T85&lt;&gt;"",EDATE($D85,Milestones!$AA$118)&gt;=$T85),$W85,IF(AND($S85&lt;&gt;"",EDATE($D85,Milestones!$AA$118)&gt;=$S85),$V85,$U85)))=Milestones!$AB$118),UPPER(TEXT(EDATE($D85,Milestones!$AA$118),"dd mmm yy"))&amp;" "&amp;Milestones!$AB$118&amp;" "&amp;Milestones!$AC$118&amp;";  ","")&amp;IF(AND(EDATE($D85,Milestones!$AA$119)&lt;=AsOfDate,IF($R85=0,$X85,IF(AND($T85&lt;&gt;"",EDATE($D85,Milestones!$AA$119)&gt;=$T85),$W85,IF(AND($S85&lt;&gt;"",EDATE($D85,Milestones!$AA$119)&gt;=$S85),$V85,$U85)))=Milestones!$AB$119),UPPER(TEXT(EDATE($D85,Milestones!$AA$119),"dd mmm yy"))&amp;" "&amp;Milestones!$AB$119&amp;" "&amp;Milestones!$AC$119&amp;";  ",""))</f>
        <v/>
      </c>
      <c r="N85" s="0" t="str">
        <f aca="false">IF(OR($A85="",$D85=""),"",IF(AND(EDATE($D85,Milestones!$AA$120)&lt;=AsOfDate,IF($R85=0,$X85,IF(AND($T85&lt;&gt;"",EDATE($D85,Milestones!$AA$120)&gt;=$T85),$W85,IF(AND($S85&lt;&gt;"",EDATE($D85,Milestones!$AA$120)&gt;=$S85),$V85,$U85)))=Milestones!$AB$120),UPPER(TEXT(EDATE($D85,Milestones!$AA$120),"dd mmm yy"))&amp;" "&amp;Milestones!$AB$120&amp;" "&amp;Milestones!$AC$120&amp;";  ","")&amp;IF(AND(EDATE($D85,Milestones!$AA$121)&lt;=AsOfDate,IF($R85=0,$X85,IF(AND($T85&lt;&gt;"",EDATE($D85,Milestones!$AA$121)&gt;=$T85),$W85,IF(AND($S85&lt;&gt;"",EDATE($D85,Milestones!$AA$121)&gt;=$S85),$V85,$U85)))=Milestones!$AB$121),UPPER(TEXT(EDATE($D85,Milestones!$AA$121),"dd mmm yy"))&amp;" "&amp;Milestones!$AB$121&amp;" "&amp;Milestones!$AC$121&amp;";  ","")&amp;IF(AND(EDATE($D85,Milestones!$AA$122)&lt;=AsOfDate,IF($R85=0,$X85,IF(AND($T85&lt;&gt;"",EDATE($D85,Milestones!$AA$122)&gt;=$T85),$W85,IF(AND($S85&lt;&gt;"",EDATE($D85,Milestones!$AA$122)&gt;=$S85),$V85,$U85)))=Milestones!$AB$122),UPPER(TEXT(EDATE($D85,Milestones!$AA$122),"dd mmm yy"))&amp;" "&amp;Milestones!$AB$122&amp;" "&amp;Milestones!$AC$122&amp;";  ","")&amp;IF(AND(EDATE($D85,Milestones!$AA$123)&lt;=AsOfDate,IF($R85=0,$X85,IF(AND($T85&lt;&gt;"",EDATE($D85,Milestones!$AA$123)&gt;=$T85),$W85,IF(AND($S85&lt;&gt;"",EDATE($D85,Milestones!$AA$123)&gt;=$S85),$V85,$U85)))=Milestones!$AB$123),UPPER(TEXT(EDATE($D85,Milestones!$AA$123),"dd mmm yy"))&amp;" "&amp;Milestones!$AB$123&amp;" "&amp;Milestones!$AC$123&amp;";  ","")&amp;IF(AND(EDATE($D85,Milestones!$AA$124)&lt;=AsOfDate,IF($R85=0,$X85,IF(AND($T85&lt;&gt;"",EDATE($D85,Milestones!$AA$124)&gt;=$T85),$W85,IF(AND($S85&lt;&gt;"",EDATE($D85,Milestones!$AA$124)&gt;=$S85),$V85,$U85)))=Milestones!$AB$124),UPPER(TEXT(EDATE($D85,Milestones!$AA$124),"dd mmm yy"))&amp;" "&amp;Milestones!$AB$124&amp;" "&amp;Milestones!$AC$124&amp;";  ","")&amp;IF(AND(EDATE($D85,Milestones!$AA$125)&lt;=AsOfDate,IF($R85=0,$X85,IF(AND($T85&lt;&gt;"",EDATE($D85,Milestones!$AA$125)&gt;=$T85),$W85,IF(AND($S85&lt;&gt;"",EDATE($D85,Milestones!$AA$125)&gt;=$S85),$V85,$U85)))=Milestones!$AB$125),UPPER(TEXT(EDATE($D85,Milestones!$AA$125),"dd mmm yy"))&amp;" "&amp;Milestones!$AB$125&amp;" "&amp;Milestones!$AC$125&amp;";  ","")&amp;IF(AND(EDATE($D85,Milestones!$AA$126)&lt;=AsOfDate,IF($R85=0,$X85,IF(AND($T85&lt;&gt;"",EDATE($D85,Milestones!$AA$126)&gt;=$T85),$W85,IF(AND($S85&lt;&gt;"",EDATE($D85,Milestones!$AA$126)&gt;=$S85),$V85,$U85)))=Milestones!$AB$126),UPPER(TEXT(EDATE($D85,Milestones!$AA$126),"dd mmm yy"))&amp;" "&amp;Milestones!$AB$126&amp;" "&amp;Milestones!$AC$126&amp;";  ","")&amp;IF(AND(EDATE($D85,Milestones!$AA$127)&lt;=AsOfDate,IF($R85=0,$X85,IF(AND($T85&lt;&gt;"",EDATE($D85,Milestones!$AA$127)&gt;=$T85),$W85,IF(AND($S85&lt;&gt;"",EDATE($D85,Milestones!$AA$127)&gt;=$S85),$V85,$U85)))=Milestones!$AB$127),UPPER(TEXT(EDATE($D85,Milestones!$AA$127),"dd mmm yy"))&amp;" "&amp;Milestones!$AB$127&amp;" "&amp;Milestones!$AC$127&amp;";  ","")&amp;IF(AND(EDATE($D85,Milestones!$AA$128)&lt;=AsOfDate,IF($R85=0,$X85,IF(AND($T85&lt;&gt;"",EDATE($D85,Milestones!$AA$128)&gt;=$T85),$W85,IF(AND($S85&lt;&gt;"",EDATE($D85,Milestones!$AA$128)&gt;=$S85),$V85,$U85)))=Milestones!$AB$128),UPPER(TEXT(EDATE($D85,Milestones!$AA$128),"dd mmm yy"))&amp;" "&amp;Milestones!$AB$128&amp;" "&amp;Milestones!$AC$128&amp;";  ","")&amp;IF(AND(EDATE($D85,Milestones!$AA$129)&lt;=AsOfDate,IF($R85=0,$X85,IF(AND($T85&lt;&gt;"",EDATE($D85,Milestones!$AA$129)&gt;=$T85),$W85,IF(AND($S85&lt;&gt;"",EDATE($D85,Milestones!$AA$129)&gt;=$S85),$V85,$U85)))=Milestones!$AB$129),UPPER(TEXT(EDATE($D85,Milestones!$AA$129),"dd mmm yy"))&amp;" "&amp;Milestones!$AB$129&amp;" "&amp;Milestones!$AC$129&amp;";  ","")&amp;IF(AND(EDATE($D85,Milestones!$AA$130)&lt;=AsOfDate,IF($R85=0,$X85,IF(AND($T85&lt;&gt;"",EDATE($D85,Milestones!$AA$130)&gt;=$T85),$W85,IF(AND($S85&lt;&gt;"",EDATE($D85,Milestones!$AA$130)&gt;=$S85),$V85,$U85)))=Milestones!$AB$130),UPPER(TEXT(EDATE($D85,Milestones!$AA$130),"dd mmm yy"))&amp;" "&amp;Milestones!$AB$130&amp;" "&amp;Milestones!$AC$130&amp;";  ","")&amp;IF(AND(EDATE($D85,Milestones!$AA$131)&lt;=AsOfDate,IF($R85=0,$X85,IF(AND($T85&lt;&gt;"",EDATE($D85,Milestones!$AA$131)&gt;=$T85),$W85,IF(AND($S85&lt;&gt;"",EDATE($D85,Milestones!$AA$131)&gt;=$S85),$V85,$U85)))=Milestones!$AB$131),UPPER(TEXT(EDATE($D85,Milestones!$AA$131),"dd mmm yy"))&amp;" "&amp;Milestones!$AB$131&amp;" "&amp;Milestones!$AC$131&amp;";  ","")&amp;IF(AND(EDATE($D85,Milestones!$AA$132)&lt;=AsOfDate,IF($R85=0,$X85,IF(AND($T85&lt;&gt;"",EDATE($D85,Milestones!$AA$132)&gt;=$T85),$W85,IF(AND($S85&lt;&gt;"",EDATE($D85,Milestones!$AA$132)&gt;=$S85),$V85,$U85)))=Milestones!$AB$132),UPPER(TEXT(EDATE($D85,Milestones!$AA$132),"dd mmm yy"))&amp;" "&amp;Milestones!$AB$132&amp;" "&amp;Milestones!$AC$132&amp;";  ","")&amp;IF(AND(EDATE($D85,Milestones!$AA$133)&lt;=AsOfDate,IF($R85=0,$X85,IF(AND($T85&lt;&gt;"",EDATE($D85,Milestones!$AA$133)&gt;=$T85),$W85,IF(AND($S85&lt;&gt;"",EDATE($D85,Milestones!$AA$133)&gt;=$S85),$V85,$U85)))=Milestones!$AB$133),UPPER(TEXT(EDATE($D85,Milestones!$AA$133),"dd mmm yy"))&amp;" "&amp;Milestones!$AB$133&amp;" "&amp;Milestones!$AC$133&amp;";  ","")&amp;IF(AND(EDATE($D85,Milestones!$AA$134)&lt;=AsOfDate,IF($R85=0,$X85,IF(AND($T85&lt;&gt;"",EDATE($D85,Milestones!$AA$134)&gt;=$T85),$W85,IF(AND($S85&lt;&gt;"",EDATE($D85,Milestones!$AA$134)&gt;=$S85),$V85,$U85)))=Milestones!$AB$134),UPPER(TEXT(EDATE($D85,Milestones!$AA$134),"dd mmm yy"))&amp;" "&amp;Milestones!$AB$134&amp;" "&amp;Milestones!$AC$134&amp;";  ","")&amp;IF(AND(EDATE($D85,Milestones!$AA$135)&lt;=AsOfDate,IF($R85=0,$X85,IF(AND($T85&lt;&gt;"",EDATE($D85,Milestones!$AA$135)&gt;=$T85),$W85,IF(AND($S85&lt;&gt;"",EDATE($D85,Milestones!$AA$135)&gt;=$S85),$V85,$U85)))=Milestones!$AB$135),UPPER(TEXT(EDATE($D85,Milestones!$AA$135),"dd mmm yy"))&amp;" "&amp;Milestones!$AB$135&amp;" "&amp;Milestones!$AC$135&amp;";  ","")&amp;IF(AND(EDATE($D85,Milestones!$AA$136)&lt;=AsOfDate,IF($R85=0,$X85,IF(AND($T85&lt;&gt;"",EDATE($D85,Milestones!$AA$136)&gt;=$T85),$W85,IF(AND($S85&lt;&gt;"",EDATE($D85,Milestones!$AA$136)&gt;=$S85),$V85,$U85)))=Milestones!$AB$136),UPPER(TEXT(EDATE($D85,Milestones!$AA$136),"dd mmm yy"))&amp;" "&amp;Milestones!$AB$136&amp;" "&amp;Milestones!$AC$136&amp;";  ","")&amp;IF(AND(EDATE($D85,Milestones!$AA$137)&lt;=AsOfDate,IF($R85=0,$X85,IF(AND($T85&lt;&gt;"",EDATE($D85,Milestones!$AA$137)&gt;=$T85),$W85,IF(AND($S85&lt;&gt;"",EDATE($D85,Milestones!$AA$137)&gt;=$S85),$V85,$U85)))=Milestones!$AB$137),UPPER(TEXT(EDATE($D85,Milestones!$AA$137),"dd mmm yy"))&amp;" "&amp;Milestones!$AB$137&amp;" "&amp;Milestones!$AC$137&amp;";  ","")&amp;IF(AND(EDATE($D85,Milestones!$AA$138)&lt;=AsOfDate,IF($R85=0,$X85,IF(AND($T85&lt;&gt;"",EDATE($D85,Milestones!$AA$138)&gt;=$T85),$W85,IF(AND($S85&lt;&gt;"",EDATE($D85,Milestones!$AA$138)&gt;=$S85),$V85,$U85)))=Milestones!$AB$138),UPPER(TEXT(EDATE($D85,Milestones!$AA$138),"dd mmm yy"))&amp;" "&amp;Milestones!$AB$138&amp;" "&amp;Milestones!$AC$138&amp;";  ","")&amp;IF(AND(EDATE($D85,Milestones!$AA$139)&lt;=AsOfDate,IF($R85=0,$X85,IF(AND($T85&lt;&gt;"",EDATE($D85,Milestones!$AA$139)&gt;=$T85),$W85,IF(AND($S85&lt;&gt;"",EDATE($D85,Milestones!$AA$139)&gt;=$S85),$V85,$U85)))=Milestones!$AB$139),UPPER(TEXT(EDATE($D85,Milestones!$AA$139),"dd mmm yy"))&amp;" "&amp;Milestones!$AB$139&amp;" "&amp;Milestones!$AC$139&amp;";  ",""))</f>
        <v/>
      </c>
      <c r="O85" s="0" t="str">
        <f aca="false">IF(OR($A85="",$D85=""),"",IF(AND(EDATE($D85,Milestones!$AA$140)&lt;=AsOfDate,IF($R85=0,$X85,IF(AND($T85&lt;&gt;"",EDATE($D85,Milestones!$AA$140)&gt;=$T85),$W85,IF(AND($S85&lt;&gt;"",EDATE($D85,Milestones!$AA$140)&gt;=$S85),$V85,$U85)))=Milestones!$AB$140),UPPER(TEXT(EDATE($D85,Milestones!$AA$140),"dd mmm yy"))&amp;" "&amp;Milestones!$AB$140&amp;" "&amp;Milestones!$AC$140&amp;";  ","")&amp;IF(AND(EDATE($D85,Milestones!$AA$141)&lt;=AsOfDate,IF($R85=0,$X85,IF(AND($T85&lt;&gt;"",EDATE($D85,Milestones!$AA$141)&gt;=$T85),$W85,IF(AND($S85&lt;&gt;"",EDATE($D85,Milestones!$AA$141)&gt;=$S85),$V85,$U85)))=Milestones!$AB$141),UPPER(TEXT(EDATE($D85,Milestones!$AA$141),"dd mmm yy"))&amp;" "&amp;Milestones!$AB$141&amp;" "&amp;Milestones!$AC$141&amp;";  ","")&amp;IF(AND(EDATE($D85,Milestones!$AA$142)&lt;=AsOfDate,IF($R85=0,$X85,IF(AND($T85&lt;&gt;"",EDATE($D85,Milestones!$AA$142)&gt;=$T85),$W85,IF(AND($S85&lt;&gt;"",EDATE($D85,Milestones!$AA$142)&gt;=$S85),$V85,$U85)))=Milestones!$AB$142),UPPER(TEXT(EDATE($D85,Milestones!$AA$142),"dd mmm yy"))&amp;" "&amp;Milestones!$AB$142&amp;" "&amp;Milestones!$AC$142&amp;";  ","")&amp;IF(AND(EDATE($D85,Milestones!$AA$143)&lt;=AsOfDate,IF($R85=0,$X85,IF(AND($T85&lt;&gt;"",EDATE($D85,Milestones!$AA$143)&gt;=$T85),$W85,IF(AND($S85&lt;&gt;"",EDATE($D85,Milestones!$AA$143)&gt;=$S85),$V85,$U85)))=Milestones!$AB$143),UPPER(TEXT(EDATE($D85,Milestones!$AA$143),"dd mmm yy"))&amp;" "&amp;Milestones!$AB$143&amp;" "&amp;Milestones!$AC$143&amp;";  ","")&amp;IF(AND(EDATE($D85,Milestones!$AA$144)&lt;=AsOfDate,IF($R85=0,$X85,IF(AND($T85&lt;&gt;"",EDATE($D85,Milestones!$AA$144)&gt;=$T85),$W85,IF(AND($S85&lt;&gt;"",EDATE($D85,Milestones!$AA$144)&gt;=$S85),$V85,$U85)))=Milestones!$AB$144),UPPER(TEXT(EDATE($D85,Milestones!$AA$144),"dd mmm yy"))&amp;" "&amp;Milestones!$AB$144&amp;" "&amp;Milestones!$AC$144&amp;";  ","")&amp;IF(AND(EDATE($D85,Milestones!$AA$145)&lt;=AsOfDate,IF($R85=0,$X85,IF(AND($T85&lt;&gt;"",EDATE($D85,Milestones!$AA$145)&gt;=$T85),$W85,IF(AND($S85&lt;&gt;"",EDATE($D85,Milestones!$AA$145)&gt;=$S85),$V85,$U85)))=Milestones!$AB$145),UPPER(TEXT(EDATE($D85,Milestones!$AA$145),"dd mmm yy"))&amp;" "&amp;Milestones!$AB$145&amp;" "&amp;Milestones!$AC$145&amp;";  ","")&amp;IF(AND(EDATE($D85,Milestones!$AA$146)&lt;=AsOfDate,IF($R85=0,$X85,IF(AND($T85&lt;&gt;"",EDATE($D85,Milestones!$AA$146)&gt;=$T85),$W85,IF(AND($S85&lt;&gt;"",EDATE($D85,Milestones!$AA$146)&gt;=$S85),$V85,$U85)))=Milestones!$AB$146),UPPER(TEXT(EDATE($D85,Milestones!$AA$146),"dd mmm yy"))&amp;" "&amp;Milestones!$AB$146&amp;" "&amp;Milestones!$AC$146&amp;";  ","")&amp;IF(AND(EDATE($D85,Milestones!$AA$147)&lt;=AsOfDate,IF($R85=0,$X85,IF(AND($T85&lt;&gt;"",EDATE($D85,Milestones!$AA$147)&gt;=$T85),$W85,IF(AND($S85&lt;&gt;"",EDATE($D85,Milestones!$AA$147)&gt;=$S85),$V85,$U85)))=Milestones!$AB$147),UPPER(TEXT(EDATE($D85,Milestones!$AA$147),"dd mmm yy"))&amp;" "&amp;Milestones!$AB$147&amp;" "&amp;Milestones!$AC$147&amp;";  ","")&amp;IF(AND(EDATE($D85,Milestones!$AA$148)&lt;=AsOfDate,IF($R85=0,$X85,IF(AND($T85&lt;&gt;"",EDATE($D85,Milestones!$AA$148)&gt;=$T85),$W85,IF(AND($S85&lt;&gt;"",EDATE($D85,Milestones!$AA$148)&gt;=$S85),$V85,$U85)))=Milestones!$AB$148),UPPER(TEXT(EDATE($D85,Milestones!$AA$148),"dd mmm yy"))&amp;" "&amp;Milestones!$AB$148&amp;" "&amp;Milestones!$AC$148&amp;";  ","")&amp;IF(AND(EDATE($D85,Milestones!$AA$149)&lt;=AsOfDate,IF($R85=0,$X85,IF(AND($T85&lt;&gt;"",EDATE($D85,Milestones!$AA$149)&gt;=$T85),$W85,IF(AND($S85&lt;&gt;"",EDATE($D85,Milestones!$AA$149)&gt;=$S85),$V85,$U85)))=Milestones!$AB$149),UPPER(TEXT(EDATE($D85,Milestones!$AA$149),"dd mmm yy"))&amp;" "&amp;Milestones!$AB$149&amp;" "&amp;Milestones!$AC$149&amp;";  ","")&amp;IF(AND(EDATE($D85,Milestones!$AA$150)&lt;=AsOfDate,IF($R85=0,$X85,IF(AND($T85&lt;&gt;"",EDATE($D85,Milestones!$AA$150)&gt;=$T85),$W85,IF(AND($S85&lt;&gt;"",EDATE($D85,Milestones!$AA$150)&gt;=$S85),$V85,$U85)))=Milestones!$AB$150),UPPER(TEXT(EDATE($D85,Milestones!$AA$150),"dd mmm yy"))&amp;" "&amp;Milestones!$AB$150&amp;" "&amp;Milestones!$AC$150&amp;";  ","")&amp;IF(AND(EDATE($D85,Milestones!$AA$151)&lt;=AsOfDate,IF($R85=0,$X85,IF(AND($T85&lt;&gt;"",EDATE($D85,Milestones!$AA$151)&gt;=$T85),$W85,IF(AND($S85&lt;&gt;"",EDATE($D85,Milestones!$AA$151)&gt;=$S85),$V85,$U85)))=Milestones!$AB$151),UPPER(TEXT(EDATE($D85,Milestones!$AA$151),"dd mmm yy"))&amp;" "&amp;Milestones!$AB$151&amp;" "&amp;Milestones!$AC$151&amp;";  ","")&amp;IF(AND(EDATE($D85,Milestones!$AA$152)&lt;=AsOfDate,IF($R85=0,$X85,IF(AND($T85&lt;&gt;"",EDATE($D85,Milestones!$AA$152)&gt;=$T85),$W85,IF(AND($S85&lt;&gt;"",EDATE($D85,Milestones!$AA$152)&gt;=$S85),$V85,$U85)))=Milestones!$AB$152),UPPER(TEXT(EDATE($D85,Milestones!$AA$152),"dd mmm yy"))&amp;" "&amp;Milestones!$AB$152&amp;" "&amp;Milestones!$AC$152&amp;";  ","")&amp;IF(AND(EDATE($D85,Milestones!$AA$153)&lt;=AsOfDate,IF($R85=0,$X85,IF(AND($T85&lt;&gt;"",EDATE($D85,Milestones!$AA$153)&gt;=$T85),$W85,IF(AND($S85&lt;&gt;"",EDATE($D85,Milestones!$AA$153)&gt;=$S85),$V85,$U85)))=Milestones!$AB$153),UPPER(TEXT(EDATE($D85,Milestones!$AA$153),"dd mmm yy"))&amp;" "&amp;Milestones!$AB$153&amp;" "&amp;Milestones!$AC$153&amp;";  ","")&amp;IF(AND(EDATE($D85,Milestones!$AA$154)&lt;=AsOfDate,IF($R85=0,$X85,IF(AND($T85&lt;&gt;"",EDATE($D85,Milestones!$AA$154)&gt;=$T85),$W85,IF(AND($S85&lt;&gt;"",EDATE($D85,Milestones!$AA$154)&gt;=$S85),$V85,$U85)))=Milestones!$AB$154),UPPER(TEXT(EDATE($D85,Milestones!$AA$154),"dd mmm yy"))&amp;" "&amp;Milestones!$AB$154&amp;" "&amp;Milestones!$AC$154&amp;";  ","")&amp;IF(AND(EDATE($D85,Milestones!$AA$155)&lt;=AsOfDate,IF($R85=0,$X85,IF(AND($T85&lt;&gt;"",EDATE($D85,Milestones!$AA$155)&gt;=$T85),$W85,IF(AND($S85&lt;&gt;"",EDATE($D85,Milestones!$AA$155)&gt;=$S85),$V85,$U85)))=Milestones!$AB$155),UPPER(TEXT(EDATE($D85,Milestones!$AA$155),"dd mmm yy"))&amp;" "&amp;Milestones!$AB$155&amp;" "&amp;Milestones!$AC$155&amp;";  ","")&amp;IF(AND(EDATE($D85,Milestones!$AA$156)&lt;=AsOfDate,IF($R85=0,$X85,IF(AND($T85&lt;&gt;"",EDATE($D85,Milestones!$AA$156)&gt;=$T85),$W85,IF(AND($S85&lt;&gt;"",EDATE($D85,Milestones!$AA$156)&gt;=$S85),$V85,$U85)))=Milestones!$AB$156),UPPER(TEXT(EDATE($D85,Milestones!$AA$156),"dd mmm yy"))&amp;" "&amp;Milestones!$AB$156&amp;" "&amp;Milestones!$AC$156&amp;";  ","")&amp;IF(AND(EDATE($D85,Milestones!$AA$157)&lt;=AsOfDate,IF($R85=0,$X85,IF(AND($T85&lt;&gt;"",EDATE($D85,Milestones!$AA$157)&gt;=$T85),$W85,IF(AND($S85&lt;&gt;"",EDATE($D85,Milestones!$AA$157)&gt;=$S85),$V85,$U85)))=Milestones!$AB$157),UPPER(TEXT(EDATE($D85,Milestones!$AA$157),"dd mmm yy"))&amp;" "&amp;Milestones!$AB$157&amp;" "&amp;Milestones!$AC$157&amp;";  ","")&amp;IF(AND(EDATE($D85,Milestones!$AA$158)&lt;=AsOfDate,IF($R85=0,$X85,IF(AND($T85&lt;&gt;"",EDATE($D85,Milestones!$AA$158)&gt;=$T85),$W85,IF(AND($S85&lt;&gt;"",EDATE($D85,Milestones!$AA$158)&gt;=$S85),$V85,$U85)))=Milestones!$AB$158),UPPER(TEXT(EDATE($D85,Milestones!$AA$158),"dd mmm yy"))&amp;" "&amp;Milestones!$AB$158&amp;" "&amp;Milestones!$AC$158&amp;";  ","")&amp;IF(AND(EDATE($D85,Milestones!$AA$159)&lt;=AsOfDate,IF($R85=0,$X85,IF(AND($T85&lt;&gt;"",EDATE($D85,Milestones!$AA$159)&gt;=$T85),$W85,IF(AND($S85&lt;&gt;"",EDATE($D85,Milestones!$AA$159)&gt;=$S85),$V85,$U85)))=Milestones!$AB$159),UPPER(TEXT(EDATE($D85,Milestones!$AA$159),"dd mmm yy"))&amp;" "&amp;Milestones!$AB$159&amp;" "&amp;Milestones!$AC$159&amp;";  ",""))</f>
        <v/>
      </c>
      <c r="P85" s="0" t="str">
        <f aca="false">IF(OR($A85="",$D85=""),"",IF(AND(EDATE($D85,Milestones!$AA$160)&lt;=AsOfDate,IF($R85=0,$X85,IF(AND($T85&lt;&gt;"",EDATE($D85,Milestones!$AA$160)&gt;=$T85),$W85,IF(AND($S85&lt;&gt;"",EDATE($D85,Milestones!$AA$160)&gt;=$S85),$V85,$U85)))=Milestones!$AB$160),UPPER(TEXT(EDATE($D85,Milestones!$AA$160),"dd mmm yy"))&amp;" "&amp;Milestones!$AB$160&amp;" "&amp;Milestones!$AC$160&amp;";  ","")&amp;IF(AND(EDATE($D85,Milestones!$AA$161)&lt;=AsOfDate,IF($R85=0,$X85,IF(AND($T85&lt;&gt;"",EDATE($D85,Milestones!$AA$161)&gt;=$T85),$W85,IF(AND($S85&lt;&gt;"",EDATE($D85,Milestones!$AA$161)&gt;=$S85),$V85,$U85)))=Milestones!$AB$161),UPPER(TEXT(EDATE($D85,Milestones!$AA$161),"dd mmm yy"))&amp;" "&amp;Milestones!$AB$161&amp;" "&amp;Milestones!$AC$161&amp;";  ","")&amp;IF(AND(EDATE($D85,Milestones!$AA$162)&lt;=AsOfDate,IF($R85=0,$X85,IF(AND($T85&lt;&gt;"",EDATE($D85,Milestones!$AA$162)&gt;=$T85),$W85,IF(AND($S85&lt;&gt;"",EDATE($D85,Milestones!$AA$162)&gt;=$S85),$V85,$U85)))=Milestones!$AB$162),UPPER(TEXT(EDATE($D85,Milestones!$AA$162),"dd mmm yy"))&amp;" "&amp;Milestones!$AB$162&amp;" "&amp;Milestones!$AC$162&amp;";  ","")&amp;IF(AND(EDATE($D85,Milestones!$AA$163)&lt;=AsOfDate,IF($R85=0,$X85,IF(AND($T85&lt;&gt;"",EDATE($D85,Milestones!$AA$163)&gt;=$T85),$W85,IF(AND($S85&lt;&gt;"",EDATE($D85,Milestones!$AA$163)&gt;=$S85),$V85,$U85)))=Milestones!$AB$163),UPPER(TEXT(EDATE($D85,Milestones!$AA$163),"dd mmm yy"))&amp;" "&amp;Milestones!$AB$163&amp;" "&amp;Milestones!$AC$163&amp;";  ","")&amp;IF(AND(EDATE($D85,Milestones!$AA$164)&lt;=AsOfDate,IF($R85=0,$X85,IF(AND($T85&lt;&gt;"",EDATE($D85,Milestones!$AA$164)&gt;=$T85),$W85,IF(AND($S85&lt;&gt;"",EDATE($D85,Milestones!$AA$164)&gt;=$S85),$V85,$U85)))=Milestones!$AB$164),UPPER(TEXT(EDATE($D85,Milestones!$AA$164),"dd mmm yy"))&amp;" "&amp;Milestones!$AB$164&amp;" "&amp;Milestones!$AC$164&amp;";  ","")&amp;IF(AND(EDATE($D85,Milestones!$AA$165)&lt;=AsOfDate,IF($R85=0,$X85,IF(AND($T85&lt;&gt;"",EDATE($D85,Milestones!$AA$165)&gt;=$T85),$W85,IF(AND($S85&lt;&gt;"",EDATE($D85,Milestones!$AA$165)&gt;=$S85),$V85,$U85)))=Milestones!$AB$165),UPPER(TEXT(EDATE($D85,Milestones!$AA$165),"dd mmm yy"))&amp;" "&amp;Milestones!$AB$165&amp;" "&amp;Milestones!$AC$165&amp;";  ","")&amp;IF(AND(EDATE($D85,Milestones!$AA$166)&lt;=AsOfDate,IF($R85=0,$X85,IF(AND($T85&lt;&gt;"",EDATE($D85,Milestones!$AA$166)&gt;=$T85),$W85,IF(AND($S85&lt;&gt;"",EDATE($D85,Milestones!$AA$166)&gt;=$S85),$V85,$U85)))=Milestones!$AB$166),UPPER(TEXT(EDATE($D85,Milestones!$AA$166),"dd mmm yy"))&amp;" "&amp;Milestones!$AB$166&amp;" "&amp;Milestones!$AC$166&amp;";  ","")&amp;IF(AND(EDATE($D85,Milestones!$AA$167)&lt;=AsOfDate,IF($R85=0,$X85,IF(AND($T85&lt;&gt;"",EDATE($D85,Milestones!$AA$167)&gt;=$T85),$W85,IF(AND($S85&lt;&gt;"",EDATE($D85,Milestones!$AA$167)&gt;=$S85),$V85,$U85)))=Milestones!$AB$167),UPPER(TEXT(EDATE($D85,Milestones!$AA$167),"dd mmm yy"))&amp;" "&amp;Milestones!$AB$167&amp;" "&amp;Milestones!$AC$167&amp;";  ","")&amp;IF(AND(EDATE($D85,Milestones!$AA$168)&lt;=AsOfDate,IF($R85=0,$X85,IF(AND($T85&lt;&gt;"",EDATE($D85,Milestones!$AA$168)&gt;=$T85),$W85,IF(AND($S85&lt;&gt;"",EDATE($D85,Milestones!$AA$168)&gt;=$S85),$V85,$U85)))=Milestones!$AB$168),UPPER(TEXT(EDATE($D85,Milestones!$AA$168),"dd mmm yy"))&amp;" "&amp;Milestones!$AB$168&amp;" "&amp;Milestones!$AC$168&amp;";  ","")&amp;IF(AND(EDATE($D85,Milestones!$AA$169)&lt;=AsOfDate,IF($R85=0,$X85,IF(AND($T85&lt;&gt;"",EDATE($D85,Milestones!$AA$169)&gt;=$T85),$W85,IF(AND($S85&lt;&gt;"",EDATE($D85,Milestones!$AA$169)&gt;=$S85),$V85,$U85)))=Milestones!$AB$169),UPPER(TEXT(EDATE($D85,Milestones!$AA$169),"dd mmm yy"))&amp;" "&amp;Milestones!$AB$169&amp;" "&amp;Milestones!$AC$169&amp;";  ","")&amp;IF(AND(EDATE($D85,Milestones!$AA$170)&lt;=AsOfDate,IF($R85=0,$X85,IF(AND($T85&lt;&gt;"",EDATE($D85,Milestones!$AA$170)&gt;=$T85),$W85,IF(AND($S85&lt;&gt;"",EDATE($D85,Milestones!$AA$170)&gt;=$S85),$V85,$U85)))=Milestones!$AB$170),UPPER(TEXT(EDATE($D85,Milestones!$AA$170),"dd mmm yy"))&amp;" "&amp;Milestones!$AB$170&amp;" "&amp;Milestones!$AC$170&amp;";  ","")&amp;IF(AND(EDATE($D85,Milestones!$AA$171)&lt;=AsOfDate,IF($R85=0,$X85,IF(AND($T85&lt;&gt;"",EDATE($D85,Milestones!$AA$171)&gt;=$T85),$W85,IF(AND($S85&lt;&gt;"",EDATE($D85,Milestones!$AA$171)&gt;=$S85),$V85,$U85)))=Milestones!$AB$171),UPPER(TEXT(EDATE($D85,Milestones!$AA$171),"dd mmm yy"))&amp;" "&amp;Milestones!$AB$171&amp;" "&amp;Milestones!$AC$171&amp;";  ","")&amp;IF(AND(EDATE($D85,Milestones!$AA$172)&lt;=AsOfDate,IF($R85=0,$X85,IF(AND($T85&lt;&gt;"",EDATE($D85,Milestones!$AA$172)&gt;=$T85),$W85,IF(AND($S85&lt;&gt;"",EDATE($D85,Milestones!$AA$172)&gt;=$S85),$V85,$U85)))=Milestones!$AB$172),UPPER(TEXT(EDATE($D85,Milestones!$AA$172),"dd mmm yy"))&amp;" "&amp;Milestones!$AB$172&amp;" "&amp;Milestones!$AC$172&amp;";  ","")&amp;IF(AND(EDATE($D85,Milestones!$AA$173)&lt;=AsOfDate,IF($R85=0,$X85,IF(AND($T85&lt;&gt;"",EDATE($D85,Milestones!$AA$173)&gt;=$T85),$W85,IF(AND($S85&lt;&gt;"",EDATE($D85,Milestones!$AA$173)&gt;=$S85),$V85,$U85)))=Milestones!$AB$173),UPPER(TEXT(EDATE($D85,Milestones!$AA$173),"dd mmm yy"))&amp;" "&amp;Milestones!$AB$173&amp;" "&amp;Milestones!$AC$173&amp;";  ","")&amp;IF(AND(EDATE($D85,Milestones!$AA$174)&lt;=AsOfDate,IF($R85=0,$X85,IF(AND($T85&lt;&gt;"",EDATE($D85,Milestones!$AA$174)&gt;=$T85),$W85,IF(AND($S85&lt;&gt;"",EDATE($D85,Milestones!$AA$174)&gt;=$S85),$V85,$U85)))=Milestones!$AB$174),UPPER(TEXT(EDATE($D85,Milestones!$AA$174),"dd mmm yy"))&amp;" "&amp;Milestones!$AB$174&amp;" "&amp;Milestones!$AC$174&amp;";  ","")&amp;IF(AND(EDATE($D85,Milestones!$AA$175)&lt;=AsOfDate,IF($R85=0,$X85,IF(AND($T85&lt;&gt;"",EDATE($D85,Milestones!$AA$175)&gt;=$T85),$W85,IF(AND($S85&lt;&gt;"",EDATE($D85,Milestones!$AA$175)&gt;=$S85),$V85,$U85)))=Milestones!$AB$175),UPPER(TEXT(EDATE($D85,Milestones!$AA$175),"dd mmm yy"))&amp;" "&amp;Milestones!$AB$175&amp;" "&amp;Milestones!$AC$175&amp;";  ","")&amp;IF(AND(EDATE($D85,Milestones!$AA$176)&lt;=AsOfDate,IF($R85=0,$X85,IF(AND($T85&lt;&gt;"",EDATE($D85,Milestones!$AA$176)&gt;=$T85),$W85,IF(AND($S85&lt;&gt;"",EDATE($D85,Milestones!$AA$176)&gt;=$S85),$V85,$U85)))=Milestones!$AB$176),UPPER(TEXT(EDATE($D85,Milestones!$AA$176),"dd mmm yy"))&amp;" "&amp;Milestones!$AB$176&amp;" "&amp;Milestones!$AC$176&amp;";  ","")&amp;IF(AND(EDATE($D85,Milestones!$AA$177)&lt;=AsOfDate,IF($R85=0,$X85,IF(AND($T85&lt;&gt;"",EDATE($D85,Milestones!$AA$177)&gt;=$T85),$W85,IF(AND($S85&lt;&gt;"",EDATE($D85,Milestones!$AA$177)&gt;=$S85),$V85,$U85)))=Milestones!$AB$177),UPPER(TEXT(EDATE($D85,Milestones!$AA$177),"dd mmm yy"))&amp;" "&amp;Milestones!$AB$177&amp;" "&amp;Milestones!$AC$177&amp;";  ","")&amp;IF(AND(EDATE($D85,Milestones!$AA$178)&lt;=AsOfDate,IF($R85=0,$X85,IF(AND($T85&lt;&gt;"",EDATE($D85,Milestones!$AA$178)&gt;=$T85),$W85,IF(AND($S85&lt;&gt;"",EDATE($D85,Milestones!$AA$178)&gt;=$S85),$V85,$U85)))=Milestones!$AB$178),UPPER(TEXT(EDATE($D85,Milestones!$AA$178),"dd mmm yy"))&amp;" "&amp;Milestones!$AB$178&amp;" "&amp;Milestones!$AC$178&amp;";  ","")&amp;IF(AND(EDATE($D85,Milestones!$AA$179)&lt;=AsOfDate,IF($R85=0,$X85,IF(AND($T85&lt;&gt;"",EDATE($D85,Milestones!$AA$179)&gt;=$T85),$W85,IF(AND($S85&lt;&gt;"",EDATE($D85,Milestones!$AA$179)&gt;=$S85),$V85,$U85)))=Milestones!$AB$179),UPPER(TEXT(EDATE($D85,Milestones!$AA$179),"dd mmm yy"))&amp;" "&amp;Milestones!$AB$179&amp;" "&amp;Milestones!$AC$179&amp;";  ",""))</f>
        <v/>
      </c>
      <c r="Q85" s="0" t="str">
        <f aca="false">IF(OR($A85="",$D85=""),"",IF(AND(EDATE($D85,Milestones!$AA$180)&lt;=AsOfDate,IF($R85=0,$X85,IF(AND($T85&lt;&gt;"",EDATE($D85,Milestones!$AA$180)&gt;=$T85),$W85,IF(AND($S85&lt;&gt;"",EDATE($D85,Milestones!$AA$180)&gt;=$S85),$V85,$U85)))=Milestones!$AB$180),UPPER(TEXT(EDATE($D85,Milestones!$AA$180),"dd mmm yy"))&amp;" "&amp;Milestones!$AB$180&amp;" "&amp;Milestones!$AC$180&amp;";  ","")&amp;IF(AND(EDATE($D85,Milestones!$AA$181)&lt;=AsOfDate,IF($R85=0,$X85,IF(AND($T85&lt;&gt;"",EDATE($D85,Milestones!$AA$181)&gt;=$T85),$W85,IF(AND($S85&lt;&gt;"",EDATE($D85,Milestones!$AA$181)&gt;=$S85),$V85,$U85)))=Milestones!$AB$181),UPPER(TEXT(EDATE($D85,Milestones!$AA$181),"dd mmm yy"))&amp;" "&amp;Milestones!$AB$181&amp;" "&amp;Milestones!$AC$181&amp;";  ","")&amp;IF(AND(EDATE($D85,Milestones!$AA$182)&lt;=AsOfDate,IF($R85=0,$X85,IF(AND($T85&lt;&gt;"",EDATE($D85,Milestones!$AA$182)&gt;=$T85),$W85,IF(AND($S85&lt;&gt;"",EDATE($D85,Milestones!$AA$182)&gt;=$S85),$V85,$U85)))=Milestones!$AB$182),UPPER(TEXT(EDATE($D85,Milestones!$AA$182),"dd mmm yy"))&amp;" "&amp;Milestones!$AB$182&amp;" "&amp;Milestones!$AC$182&amp;";  ","")&amp;IF(AND(EDATE($D85,Milestones!$AA$183)&lt;=AsOfDate,IF($R85=0,$X85,IF(AND($T85&lt;&gt;"",EDATE($D85,Milestones!$AA$183)&gt;=$T85),$W85,IF(AND($S85&lt;&gt;"",EDATE($D85,Milestones!$AA$183)&gt;=$S85),$V85,$U85)))=Milestones!$AB$183),UPPER(TEXT(EDATE($D85,Milestones!$AA$183),"dd mmm yy"))&amp;" "&amp;Milestones!$AB$183&amp;" "&amp;Milestones!$AC$183&amp;";  ","")&amp;IF(AND(EDATE($D85,Milestones!$AA$184)&lt;=AsOfDate,IF($R85=0,$X85,IF(AND($T85&lt;&gt;"",EDATE($D85,Milestones!$AA$184)&gt;=$T85),$W85,IF(AND($S85&lt;&gt;"",EDATE($D85,Milestones!$AA$184)&gt;=$S85),$V85,$U85)))=Milestones!$AB$184),UPPER(TEXT(EDATE($D85,Milestones!$AA$184),"dd mmm yy"))&amp;" "&amp;Milestones!$AB$184&amp;" "&amp;Milestones!$AC$184&amp;";  ","")&amp;IF(AND(EDATE($D85,Milestones!$AA$185)&lt;=AsOfDate,IF($R85=0,$X85,IF(AND($T85&lt;&gt;"",EDATE($D85,Milestones!$AA$185)&gt;=$T85),$W85,IF(AND($S85&lt;&gt;"",EDATE($D85,Milestones!$AA$185)&gt;=$S85),$V85,$U85)))=Milestones!$AB$185),UPPER(TEXT(EDATE($D85,Milestones!$AA$185),"dd mmm yy"))&amp;" "&amp;Milestones!$AB$185&amp;" "&amp;Milestones!$AC$185&amp;";  ","")&amp;IF(AND(EDATE($D85,Milestones!$AA$186)&lt;=AsOfDate,IF($R85=0,$X85,IF(AND($T85&lt;&gt;"",EDATE($D85,Milestones!$AA$186)&gt;=$T85),$W85,IF(AND($S85&lt;&gt;"",EDATE($D85,Milestones!$AA$186)&gt;=$S85),$V85,$U85)))=Milestones!$AB$186),UPPER(TEXT(EDATE($D85,Milestones!$AA$186),"dd mmm yy"))&amp;" "&amp;Milestones!$AB$186&amp;" "&amp;Milestones!$AC$186&amp;";  ","")&amp;IF(AND(EDATE($D85,Milestones!$AA$187)&lt;=AsOfDate,IF($R85=0,$X85,IF(AND($T85&lt;&gt;"",EDATE($D85,Milestones!$AA$187)&gt;=$T85),$W85,IF(AND($S85&lt;&gt;"",EDATE($D85,Milestones!$AA$187)&gt;=$S85),$V85,$U85)))=Milestones!$AB$187),UPPER(TEXT(EDATE($D85,Milestones!$AA$187),"dd mmm yy"))&amp;" "&amp;Milestones!$AB$187&amp;" "&amp;Milestones!$AC$187&amp;";  ","")&amp;IF(AND(EDATE($D85,Milestones!$AA$188)&lt;=AsOfDate,IF($R85=0,$X85,IF(AND($T85&lt;&gt;"",EDATE($D85,Milestones!$AA$188)&gt;=$T85),$W85,IF(AND($S85&lt;&gt;"",EDATE($D85,Milestones!$AA$188)&gt;=$S85),$V85,$U85)))=Milestones!$AB$188),UPPER(TEXT(EDATE($D85,Milestones!$AA$188),"dd mmm yy"))&amp;" "&amp;Milestones!$AB$188&amp;" "&amp;Milestones!$AC$188&amp;";  ","")&amp;IF(AND(EDATE($D85,Milestones!$AA$189)&lt;=AsOfDate,IF($R85=0,$X85,IF(AND($T85&lt;&gt;"",EDATE($D85,Milestones!$AA$189)&gt;=$T85),$W85,IF(AND($S85&lt;&gt;"",EDATE($D85,Milestones!$AA$189)&gt;=$S85),$V85,$U85)))=Milestones!$AB$189),UPPER(TEXT(EDATE($D85,Milestones!$AA$189),"dd mmm yy"))&amp;" "&amp;Milestones!$AB$189&amp;" "&amp;Milestones!$AC$189&amp;";  ","")&amp;IF(AND(EDATE($D85,Milestones!$AA$190)&lt;=AsOfDate,IF($R85=0,$X85,IF(AND($T85&lt;&gt;"",EDATE($D85,Milestones!$AA$190)&gt;=$T85),$W85,IF(AND($S85&lt;&gt;"",EDATE($D85,Milestones!$AA$190)&gt;=$S85),$V85,$U85)))=Milestones!$AB$190),UPPER(TEXT(EDATE($D85,Milestones!$AA$190),"dd mmm yy"))&amp;" "&amp;Milestones!$AB$190&amp;" "&amp;Milestones!$AC$190&amp;";  ","")&amp;IF(AND(EDATE($D85,Milestones!$AA$191)&lt;=AsOfDate,IF($R85=0,$X85,IF(AND($T85&lt;&gt;"",EDATE($D85,Milestones!$AA$191)&gt;=$T85),$W85,IF(AND($S85&lt;&gt;"",EDATE($D85,Milestones!$AA$191)&gt;=$S85),$V85,$U85)))=Milestones!$AB$191),UPPER(TEXT(EDATE($D85,Milestones!$AA$191),"dd mmm yy"))&amp;" "&amp;Milestones!$AB$191&amp;" "&amp;Milestones!$AC$191&amp;";  ","")&amp;IF(AND(EDATE($D85,Milestones!$AA$192)&lt;=AsOfDate,IF($R85=0,$X85,IF(AND($T85&lt;&gt;"",EDATE($D85,Milestones!$AA$192)&gt;=$T85),$W85,IF(AND($S85&lt;&gt;"",EDATE($D85,Milestones!$AA$192)&gt;=$S85),$V85,$U85)))=Milestones!$AB$192),UPPER(TEXT(EDATE($D85,Milestones!$AA$192),"dd mmm yy"))&amp;" "&amp;Milestones!$AB$192&amp;" "&amp;Milestones!$AC$192&amp;";  ","")&amp;IF(AND(EDATE($D85,Milestones!$AA$193)&lt;=AsOfDate,IF($R85=0,$X85,IF(AND($T85&lt;&gt;"",EDATE($D85,Milestones!$AA$193)&gt;=$T85),$W85,IF(AND($S85&lt;&gt;"",EDATE($D85,Milestones!$AA$193)&gt;=$S85),$V85,$U85)))=Milestones!$AB$193),UPPER(TEXT(EDATE($D85,Milestones!$AA$193),"dd mmm yy"))&amp;" "&amp;Milestones!$AB$193&amp;" "&amp;Milestones!$AC$193&amp;";  ","")&amp;IF(AND(EDATE($D85,Milestones!$AA$194)&lt;=AsOfDate,IF($R85=0,$X85,IF(AND($T85&lt;&gt;"",EDATE($D85,Milestones!$AA$194)&gt;=$T85),$W85,IF(AND($S85&lt;&gt;"",EDATE($D85,Milestones!$AA$194)&gt;=$S85),$V85,$U85)))=Milestones!$AB$194),UPPER(TEXT(EDATE($D85,Milestones!$AA$194),"dd mmm yy"))&amp;" "&amp;Milestones!$AB$194&amp;" "&amp;Milestones!$AC$194&amp;";  ","")&amp;IF(AND(EDATE($D85,Milestones!$AA$195)&lt;=AsOfDate,IF($R85=0,$X85,IF(AND($T85&lt;&gt;"",EDATE($D85,Milestones!$AA$195)&gt;=$T85),$W85,IF(AND($S85&lt;&gt;"",EDATE($D85,Milestones!$AA$195)&gt;=$S85),$V85,$U85)))=Milestones!$AB$195),UPPER(TEXT(EDATE($D85,Milestones!$AA$195),"dd mmm yy"))&amp;" "&amp;Milestones!$AB$195&amp;" "&amp;Milestones!$AC$195&amp;";  ","")&amp;IF(AND(EDATE($D85,Milestones!$AA$196)&lt;=AsOfDate,IF($R85=0,$X85,IF(AND($T85&lt;&gt;"",EDATE($D85,Milestones!$AA$196)&gt;=$T85),$W85,IF(AND($S85&lt;&gt;"",EDATE($D85,Milestones!$AA$196)&gt;=$S85),$V85,$U85)))=Milestones!$AB$196),UPPER(TEXT(EDATE($D85,Milestones!$AA$196),"dd mmm yy"))&amp;" "&amp;Milestones!$AB$196&amp;" "&amp;Milestones!$AC$196&amp;";  ","")&amp;IF(AND(EDATE($D85,Milestones!$AA$197)&lt;=AsOfDate,IF($R85=0,$X85,IF(AND($T85&lt;&gt;"",EDATE($D85,Milestones!$AA$197)&gt;=$T85),$W85,IF(AND($S85&lt;&gt;"",EDATE($D85,Milestones!$AA$197)&gt;=$S85),$V85,$U85)))=Milestones!$AB$197),UPPER(TEXT(EDATE($D85,Milestones!$AA$197),"dd mmm yy"))&amp;" "&amp;Milestones!$AB$197&amp;" "&amp;Milestones!$AC$197&amp;";  ","")&amp;IF(AND(EDATE($D85,Milestones!$AA$198)&lt;=AsOfDate,IF($R85=0,$X85,IF(AND($T85&lt;&gt;"",EDATE($D85,Milestones!$AA$198)&gt;=$T85),$W85,IF(AND($S85&lt;&gt;"",EDATE($D85,Milestones!$AA$198)&gt;=$S85),$V85,$U85)))=Milestones!$AB$198),UPPER(TEXT(EDATE($D85,Milestones!$AA$198),"dd mmm yy"))&amp;" "&amp;Milestones!$AB$198&amp;" "&amp;Milestones!$AC$198&amp;";  ","")&amp;IF(AND(EDATE($D85,Milestones!$AA$199)&lt;=AsOfDate,IF($R85=0,$X85,IF(AND($T85&lt;&gt;"",EDATE($D85,Milestones!$AA$199)&gt;=$T85),$W85,IF(AND($S85&lt;&gt;"",EDATE($D85,Milestones!$AA$199)&gt;=$S85),$V85,$U85)))=Milestones!$AB$199),UPPER(TEXT(EDATE($D85,Milestones!$AA$199),"dd mmm yy"))&amp;" "&amp;Milestones!$AB$199&amp;" "&amp;Milestones!$AC$199&amp;";  ",""))</f>
        <v/>
      </c>
      <c r="R85" s="0" t="str">
        <f aca="false">IF(Staff!$A85="","",Staff!$AI85)</f>
        <v/>
      </c>
      <c r="S85" s="0" t="str">
        <f aca="false">IF(Staff!$A85="","",Staff!$AK85)</f>
        <v/>
      </c>
      <c r="T85" s="0" t="str">
        <f aca="false">IF(Staff!$A85="","",Staff!$AL85)</f>
        <v/>
      </c>
      <c r="U85" s="0" t="str">
        <f aca="false">IF(Staff!$A85="","",Staff!$AP85)</f>
        <v/>
      </c>
      <c r="V85" s="0" t="str">
        <f aca="false">IF(Staff!$A85="","",Staff!$AQ85)</f>
        <v/>
      </c>
      <c r="W85" s="0" t="str">
        <f aca="false">IF(Staff!$A85="","",Staff!$AR85)</f>
        <v/>
      </c>
      <c r="X85" s="0" t="str">
        <f aca="false">IF(Staff!$A85="","",Staff!$AS85)</f>
        <v/>
      </c>
    </row>
    <row r="86" customFormat="false" ht="15" hidden="false" customHeight="false" outlineLevel="0" collapsed="false">
      <c r="A86" s="19" t="str">
        <f aca="false">IF(Staff!$A86="","",Staff!$A86)</f>
        <v/>
      </c>
      <c r="B86" s="19" t="str">
        <f aca="false">IF(Staff!$A86="","",Staff!$B86)</f>
        <v/>
      </c>
      <c r="C86" s="19" t="str">
        <f aca="false">IF(Staff!$A86="","",Staff!$C86)</f>
        <v/>
      </c>
      <c r="D86" s="17" t="str">
        <f aca="false">IF(Staff!$A86="","",Staff!$AH86)</f>
        <v/>
      </c>
      <c r="E86" s="19" t="str">
        <f aca="false">IF(Staff!$A86="","",Staff!$O86)</f>
        <v/>
      </c>
      <c r="F86" s="19" t="str">
        <f aca="false">IF(E86="","",E86*HoursPerDay)</f>
        <v/>
      </c>
      <c r="G86" s="19" t="str">
        <f aca="false">IF(Staff!$A86="","",Staff!$AE86)</f>
        <v/>
      </c>
      <c r="H86" s="32" t="str">
        <f aca="false">IF($A86="","",I86&amp;J86&amp;K86&amp;L86&amp;M86&amp;N86&amp;O86&amp;P86&amp;Q86)</f>
        <v/>
      </c>
      <c r="I86" s="0" t="str">
        <f aca="false">IF(OR($A86="",$D86=""),"",IF(AND(EDATE($D86,Milestones!$AA$20)&lt;=AsOfDate,IF($R86=0,$X86,IF(AND($T86&lt;&gt;"",EDATE($D86,Milestones!$AA$20)&gt;=$T86),$W86,IF(AND($S86&lt;&gt;"",EDATE($D86,Milestones!$AA$20)&gt;=$S86),$V86,$U86)))=Milestones!$AB$20),UPPER(TEXT(EDATE($D86,Milestones!$AA$20),"dd mmm yy"))&amp;" "&amp;Milestones!$AB$20&amp;" "&amp;Milestones!$AC$20&amp;";  ","")&amp;IF(AND(EDATE($D86,Milestones!$AA$21)&lt;=AsOfDate,IF($R86=0,$X86,IF(AND($T86&lt;&gt;"",EDATE($D86,Milestones!$AA$21)&gt;=$T86),$W86,IF(AND($S86&lt;&gt;"",EDATE($D86,Milestones!$AA$21)&gt;=$S86),$V86,$U86)))=Milestones!$AB$21),UPPER(TEXT(EDATE($D86,Milestones!$AA$21),"dd mmm yy"))&amp;" "&amp;Milestones!$AB$21&amp;" "&amp;Milestones!$AC$21&amp;";  ","")&amp;IF(AND(EDATE($D86,Milestones!$AA$22)&lt;=AsOfDate,IF($R86=0,$X86,IF(AND($T86&lt;&gt;"",EDATE($D86,Milestones!$AA$22)&gt;=$T86),$W86,IF(AND($S86&lt;&gt;"",EDATE($D86,Milestones!$AA$22)&gt;=$S86),$V86,$U86)))=Milestones!$AB$22),UPPER(TEXT(EDATE($D86,Milestones!$AA$22),"dd mmm yy"))&amp;" "&amp;Milestones!$AB$22&amp;" "&amp;Milestones!$AC$22&amp;";  ","")&amp;IF(AND(EDATE($D86,Milestones!$AA$23)&lt;=AsOfDate,IF($R86=0,$X86,IF(AND($T86&lt;&gt;"",EDATE($D86,Milestones!$AA$23)&gt;=$T86),$W86,IF(AND($S86&lt;&gt;"",EDATE($D86,Milestones!$AA$23)&gt;=$S86),$V86,$U86)))=Milestones!$AB$23),UPPER(TEXT(EDATE($D86,Milestones!$AA$23),"dd mmm yy"))&amp;" "&amp;Milestones!$AB$23&amp;" "&amp;Milestones!$AC$23&amp;";  ","")&amp;IF(AND(EDATE($D86,Milestones!$AA$24)&lt;=AsOfDate,IF($R86=0,$X86,IF(AND($T86&lt;&gt;"",EDATE($D86,Milestones!$AA$24)&gt;=$T86),$W86,IF(AND($S86&lt;&gt;"",EDATE($D86,Milestones!$AA$24)&gt;=$S86),$V86,$U86)))=Milestones!$AB$24),UPPER(TEXT(EDATE($D86,Milestones!$AA$24),"dd mmm yy"))&amp;" "&amp;Milestones!$AB$24&amp;" "&amp;Milestones!$AC$24&amp;";  ","")&amp;IF(AND(EDATE($D86,Milestones!$AA$25)&lt;=AsOfDate,IF($R86=0,$X86,IF(AND($T86&lt;&gt;"",EDATE($D86,Milestones!$AA$25)&gt;=$T86),$W86,IF(AND($S86&lt;&gt;"",EDATE($D86,Milestones!$AA$25)&gt;=$S86),$V86,$U86)))=Milestones!$AB$25),UPPER(TEXT(EDATE($D86,Milestones!$AA$25),"dd mmm yy"))&amp;" "&amp;Milestones!$AB$25&amp;" "&amp;Milestones!$AC$25&amp;";  ","")&amp;IF(AND(EDATE($D86,Milestones!$AA$26)&lt;=AsOfDate,IF($R86=0,$X86,IF(AND($T86&lt;&gt;"",EDATE($D86,Milestones!$AA$26)&gt;=$T86),$W86,IF(AND($S86&lt;&gt;"",EDATE($D86,Milestones!$AA$26)&gt;=$S86),$V86,$U86)))=Milestones!$AB$26),UPPER(TEXT(EDATE($D86,Milestones!$AA$26),"dd mmm yy"))&amp;" "&amp;Milestones!$AB$26&amp;" "&amp;Milestones!$AC$26&amp;";  ","")&amp;IF(AND(EDATE($D86,Milestones!$AA$27)&lt;=AsOfDate,IF($R86=0,$X86,IF(AND($T86&lt;&gt;"",EDATE($D86,Milestones!$AA$27)&gt;=$T86),$W86,IF(AND($S86&lt;&gt;"",EDATE($D86,Milestones!$AA$27)&gt;=$S86),$V86,$U86)))=Milestones!$AB$27),UPPER(TEXT(EDATE($D86,Milestones!$AA$27),"dd mmm yy"))&amp;" "&amp;Milestones!$AB$27&amp;" "&amp;Milestones!$AC$27&amp;";  ","")&amp;IF(AND(EDATE($D86,Milestones!$AA$28)&lt;=AsOfDate,IF($R86=0,$X86,IF(AND($T86&lt;&gt;"",EDATE($D86,Milestones!$AA$28)&gt;=$T86),$W86,IF(AND($S86&lt;&gt;"",EDATE($D86,Milestones!$AA$28)&gt;=$S86),$V86,$U86)))=Milestones!$AB$28),UPPER(TEXT(EDATE($D86,Milestones!$AA$28),"dd mmm yy"))&amp;" "&amp;Milestones!$AB$28&amp;" "&amp;Milestones!$AC$28&amp;";  ","")&amp;IF(AND(EDATE($D86,Milestones!$AA$29)&lt;=AsOfDate,IF($R86=0,$X86,IF(AND($T86&lt;&gt;"",EDATE($D86,Milestones!$AA$29)&gt;=$T86),$W86,IF(AND($S86&lt;&gt;"",EDATE($D86,Milestones!$AA$29)&gt;=$S86),$V86,$U86)))=Milestones!$AB$29),UPPER(TEXT(EDATE($D86,Milestones!$AA$29),"dd mmm yy"))&amp;" "&amp;Milestones!$AB$29&amp;" "&amp;Milestones!$AC$29&amp;";  ","")&amp;IF(AND(EDATE($D86,Milestones!$AA$30)&lt;=AsOfDate,IF($R86=0,$X86,IF(AND($T86&lt;&gt;"",EDATE($D86,Milestones!$AA$30)&gt;=$T86),$W86,IF(AND($S86&lt;&gt;"",EDATE($D86,Milestones!$AA$30)&gt;=$S86),$V86,$U86)))=Milestones!$AB$30),UPPER(TEXT(EDATE($D86,Milestones!$AA$30),"dd mmm yy"))&amp;" "&amp;Milestones!$AB$30&amp;" "&amp;Milestones!$AC$30&amp;";  ","")&amp;IF(AND(EDATE($D86,Milestones!$AA$31)&lt;=AsOfDate,IF($R86=0,$X86,IF(AND($T86&lt;&gt;"",EDATE($D86,Milestones!$AA$31)&gt;=$T86),$W86,IF(AND($S86&lt;&gt;"",EDATE($D86,Milestones!$AA$31)&gt;=$S86),$V86,$U86)))=Milestones!$AB$31),UPPER(TEXT(EDATE($D86,Milestones!$AA$31),"dd mmm yy"))&amp;" "&amp;Milestones!$AB$31&amp;" "&amp;Milestones!$AC$31&amp;";  ","")&amp;IF(AND(EDATE($D86,Milestones!$AA$32)&lt;=AsOfDate,IF($R86=0,$X86,IF(AND($T86&lt;&gt;"",EDATE($D86,Milestones!$AA$32)&gt;=$T86),$W86,IF(AND($S86&lt;&gt;"",EDATE($D86,Milestones!$AA$32)&gt;=$S86),$V86,$U86)))=Milestones!$AB$32),UPPER(TEXT(EDATE($D86,Milestones!$AA$32),"dd mmm yy"))&amp;" "&amp;Milestones!$AB$32&amp;" "&amp;Milestones!$AC$32&amp;";  ","")&amp;IF(AND(EDATE($D86,Milestones!$AA$33)&lt;=AsOfDate,IF($R86=0,$X86,IF(AND($T86&lt;&gt;"",EDATE($D86,Milestones!$AA$33)&gt;=$T86),$W86,IF(AND($S86&lt;&gt;"",EDATE($D86,Milestones!$AA$33)&gt;=$S86),$V86,$U86)))=Milestones!$AB$33),UPPER(TEXT(EDATE($D86,Milestones!$AA$33),"dd mmm yy"))&amp;" "&amp;Milestones!$AB$33&amp;" "&amp;Milestones!$AC$33&amp;";  ","")&amp;IF(AND(EDATE($D86,Milestones!$AA$34)&lt;=AsOfDate,IF($R86=0,$X86,IF(AND($T86&lt;&gt;"",EDATE($D86,Milestones!$AA$34)&gt;=$T86),$W86,IF(AND($S86&lt;&gt;"",EDATE($D86,Milestones!$AA$34)&gt;=$S86),$V86,$U86)))=Milestones!$AB$34),UPPER(TEXT(EDATE($D86,Milestones!$AA$34),"dd mmm yy"))&amp;" "&amp;Milestones!$AB$34&amp;" "&amp;Milestones!$AC$34&amp;";  ","")&amp;IF(AND(EDATE($D86,Milestones!$AA$35)&lt;=AsOfDate,IF($R86=0,$X86,IF(AND($T86&lt;&gt;"",EDATE($D86,Milestones!$AA$35)&gt;=$T86),$W86,IF(AND($S86&lt;&gt;"",EDATE($D86,Milestones!$AA$35)&gt;=$S86),$V86,$U86)))=Milestones!$AB$35),UPPER(TEXT(EDATE($D86,Milestones!$AA$35),"dd mmm yy"))&amp;" "&amp;Milestones!$AB$35&amp;" "&amp;Milestones!$AC$35&amp;";  ","")&amp;IF(AND(EDATE($D86,Milestones!$AA$36)&lt;=AsOfDate,IF($R86=0,$X86,IF(AND($T86&lt;&gt;"",EDATE($D86,Milestones!$AA$36)&gt;=$T86),$W86,IF(AND($S86&lt;&gt;"",EDATE($D86,Milestones!$AA$36)&gt;=$S86),$V86,$U86)))=Milestones!$AB$36),UPPER(TEXT(EDATE($D86,Milestones!$AA$36),"dd mmm yy"))&amp;" "&amp;Milestones!$AB$36&amp;" "&amp;Milestones!$AC$36&amp;";  ","")&amp;IF(AND(EDATE($D86,Milestones!$AA$37)&lt;=AsOfDate,IF($R86=0,$X86,IF(AND($T86&lt;&gt;"",EDATE($D86,Milestones!$AA$37)&gt;=$T86),$W86,IF(AND($S86&lt;&gt;"",EDATE($D86,Milestones!$AA$37)&gt;=$S86),$V86,$U86)))=Milestones!$AB$37),UPPER(TEXT(EDATE($D86,Milestones!$AA$37),"dd mmm yy"))&amp;" "&amp;Milestones!$AB$37&amp;" "&amp;Milestones!$AC$37&amp;";  ","")&amp;IF(AND(EDATE($D86,Milestones!$AA$38)&lt;=AsOfDate,IF($R86=0,$X86,IF(AND($T86&lt;&gt;"",EDATE($D86,Milestones!$AA$38)&gt;=$T86),$W86,IF(AND($S86&lt;&gt;"",EDATE($D86,Milestones!$AA$38)&gt;=$S86),$V86,$U86)))=Milestones!$AB$38),UPPER(TEXT(EDATE($D86,Milestones!$AA$38),"dd mmm yy"))&amp;" "&amp;Milestones!$AB$38&amp;" "&amp;Milestones!$AC$38&amp;";  ","")&amp;IF(AND(EDATE($D86,Milestones!$AA$39)&lt;=AsOfDate,IF($R86=0,$X86,IF(AND($T86&lt;&gt;"",EDATE($D86,Milestones!$AA$39)&gt;=$T86),$W86,IF(AND($S86&lt;&gt;"",EDATE($D86,Milestones!$AA$39)&gt;=$S86),$V86,$U86)))=Milestones!$AB$39),UPPER(TEXT(EDATE($D86,Milestones!$AA$39),"dd mmm yy"))&amp;" "&amp;Milestones!$AB$39&amp;" "&amp;Milestones!$AC$39&amp;";  ",""))</f>
        <v/>
      </c>
      <c r="J86" s="0" t="str">
        <f aca="false">IF(OR($A86="",$D86=""),"",IF(AND(EDATE($D86,Milestones!$AA$40)&lt;=AsOfDate,IF($R86=0,$X86,IF(AND($T86&lt;&gt;"",EDATE($D86,Milestones!$AA$40)&gt;=$T86),$W86,IF(AND($S86&lt;&gt;"",EDATE($D86,Milestones!$AA$40)&gt;=$S86),$V86,$U86)))=Milestones!$AB$40),UPPER(TEXT(EDATE($D86,Milestones!$AA$40),"dd mmm yy"))&amp;" "&amp;Milestones!$AB$40&amp;" "&amp;Milestones!$AC$40&amp;";  ","")&amp;IF(AND(EDATE($D86,Milestones!$AA$41)&lt;=AsOfDate,IF($R86=0,$X86,IF(AND($T86&lt;&gt;"",EDATE($D86,Milestones!$AA$41)&gt;=$T86),$W86,IF(AND($S86&lt;&gt;"",EDATE($D86,Milestones!$AA$41)&gt;=$S86),$V86,$U86)))=Milestones!$AB$41),UPPER(TEXT(EDATE($D86,Milestones!$AA$41),"dd mmm yy"))&amp;" "&amp;Milestones!$AB$41&amp;" "&amp;Milestones!$AC$41&amp;";  ","")&amp;IF(AND(EDATE($D86,Milestones!$AA$42)&lt;=AsOfDate,IF($R86=0,$X86,IF(AND($T86&lt;&gt;"",EDATE($D86,Milestones!$AA$42)&gt;=$T86),$W86,IF(AND($S86&lt;&gt;"",EDATE($D86,Milestones!$AA$42)&gt;=$S86),$V86,$U86)))=Milestones!$AB$42),UPPER(TEXT(EDATE($D86,Milestones!$AA$42),"dd mmm yy"))&amp;" "&amp;Milestones!$AB$42&amp;" "&amp;Milestones!$AC$42&amp;";  ","")&amp;IF(AND(EDATE($D86,Milestones!$AA$43)&lt;=AsOfDate,IF($R86=0,$X86,IF(AND($T86&lt;&gt;"",EDATE($D86,Milestones!$AA$43)&gt;=$T86),$W86,IF(AND($S86&lt;&gt;"",EDATE($D86,Milestones!$AA$43)&gt;=$S86),$V86,$U86)))=Milestones!$AB$43),UPPER(TEXT(EDATE($D86,Milestones!$AA$43),"dd mmm yy"))&amp;" "&amp;Milestones!$AB$43&amp;" "&amp;Milestones!$AC$43&amp;";  ","")&amp;IF(AND(EDATE($D86,Milestones!$AA$44)&lt;=AsOfDate,IF($R86=0,$X86,IF(AND($T86&lt;&gt;"",EDATE($D86,Milestones!$AA$44)&gt;=$T86),$W86,IF(AND($S86&lt;&gt;"",EDATE($D86,Milestones!$AA$44)&gt;=$S86),$V86,$U86)))=Milestones!$AB$44),UPPER(TEXT(EDATE($D86,Milestones!$AA$44),"dd mmm yy"))&amp;" "&amp;Milestones!$AB$44&amp;" "&amp;Milestones!$AC$44&amp;";  ","")&amp;IF(AND(EDATE($D86,Milestones!$AA$45)&lt;=AsOfDate,IF($R86=0,$X86,IF(AND($T86&lt;&gt;"",EDATE($D86,Milestones!$AA$45)&gt;=$T86),$W86,IF(AND($S86&lt;&gt;"",EDATE($D86,Milestones!$AA$45)&gt;=$S86),$V86,$U86)))=Milestones!$AB$45),UPPER(TEXT(EDATE($D86,Milestones!$AA$45),"dd mmm yy"))&amp;" "&amp;Milestones!$AB$45&amp;" "&amp;Milestones!$AC$45&amp;";  ","")&amp;IF(AND(EDATE($D86,Milestones!$AA$46)&lt;=AsOfDate,IF($R86=0,$X86,IF(AND($T86&lt;&gt;"",EDATE($D86,Milestones!$AA$46)&gt;=$T86),$W86,IF(AND($S86&lt;&gt;"",EDATE($D86,Milestones!$AA$46)&gt;=$S86),$V86,$U86)))=Milestones!$AB$46),UPPER(TEXT(EDATE($D86,Milestones!$AA$46),"dd mmm yy"))&amp;" "&amp;Milestones!$AB$46&amp;" "&amp;Milestones!$AC$46&amp;";  ","")&amp;IF(AND(EDATE($D86,Milestones!$AA$47)&lt;=AsOfDate,IF($R86=0,$X86,IF(AND($T86&lt;&gt;"",EDATE($D86,Milestones!$AA$47)&gt;=$T86),$W86,IF(AND($S86&lt;&gt;"",EDATE($D86,Milestones!$AA$47)&gt;=$S86),$V86,$U86)))=Milestones!$AB$47),UPPER(TEXT(EDATE($D86,Milestones!$AA$47),"dd mmm yy"))&amp;" "&amp;Milestones!$AB$47&amp;" "&amp;Milestones!$AC$47&amp;";  ","")&amp;IF(AND(EDATE($D86,Milestones!$AA$48)&lt;=AsOfDate,IF($R86=0,$X86,IF(AND($T86&lt;&gt;"",EDATE($D86,Milestones!$AA$48)&gt;=$T86),$W86,IF(AND($S86&lt;&gt;"",EDATE($D86,Milestones!$AA$48)&gt;=$S86),$V86,$U86)))=Milestones!$AB$48),UPPER(TEXT(EDATE($D86,Milestones!$AA$48),"dd mmm yy"))&amp;" "&amp;Milestones!$AB$48&amp;" "&amp;Milestones!$AC$48&amp;";  ","")&amp;IF(AND(EDATE($D86,Milestones!$AA$49)&lt;=AsOfDate,IF($R86=0,$X86,IF(AND($T86&lt;&gt;"",EDATE($D86,Milestones!$AA$49)&gt;=$T86),$W86,IF(AND($S86&lt;&gt;"",EDATE($D86,Milestones!$AA$49)&gt;=$S86),$V86,$U86)))=Milestones!$AB$49),UPPER(TEXT(EDATE($D86,Milestones!$AA$49),"dd mmm yy"))&amp;" "&amp;Milestones!$AB$49&amp;" "&amp;Milestones!$AC$49&amp;";  ","")&amp;IF(AND(EDATE($D86,Milestones!$AA$50)&lt;=AsOfDate,IF($R86=0,$X86,IF(AND($T86&lt;&gt;"",EDATE($D86,Milestones!$AA$50)&gt;=$T86),$W86,IF(AND($S86&lt;&gt;"",EDATE($D86,Milestones!$AA$50)&gt;=$S86),$V86,$U86)))=Milestones!$AB$50),UPPER(TEXT(EDATE($D86,Milestones!$AA$50),"dd mmm yy"))&amp;" "&amp;Milestones!$AB$50&amp;" "&amp;Milestones!$AC$50&amp;";  ","")&amp;IF(AND(EDATE($D86,Milestones!$AA$51)&lt;=AsOfDate,IF($R86=0,$X86,IF(AND($T86&lt;&gt;"",EDATE($D86,Milestones!$AA$51)&gt;=$T86),$W86,IF(AND($S86&lt;&gt;"",EDATE($D86,Milestones!$AA$51)&gt;=$S86),$V86,$U86)))=Milestones!$AB$51),UPPER(TEXT(EDATE($D86,Milestones!$AA$51),"dd mmm yy"))&amp;" "&amp;Milestones!$AB$51&amp;" "&amp;Milestones!$AC$51&amp;";  ","")&amp;IF(AND(EDATE($D86,Milestones!$AA$52)&lt;=AsOfDate,IF($R86=0,$X86,IF(AND($T86&lt;&gt;"",EDATE($D86,Milestones!$AA$52)&gt;=$T86),$W86,IF(AND($S86&lt;&gt;"",EDATE($D86,Milestones!$AA$52)&gt;=$S86),$V86,$U86)))=Milestones!$AB$52),UPPER(TEXT(EDATE($D86,Milestones!$AA$52),"dd mmm yy"))&amp;" "&amp;Milestones!$AB$52&amp;" "&amp;Milestones!$AC$52&amp;";  ","")&amp;IF(AND(EDATE($D86,Milestones!$AA$53)&lt;=AsOfDate,IF($R86=0,$X86,IF(AND($T86&lt;&gt;"",EDATE($D86,Milestones!$AA$53)&gt;=$T86),$W86,IF(AND($S86&lt;&gt;"",EDATE($D86,Milestones!$AA$53)&gt;=$S86),$V86,$U86)))=Milestones!$AB$53),UPPER(TEXT(EDATE($D86,Milestones!$AA$53),"dd mmm yy"))&amp;" "&amp;Milestones!$AB$53&amp;" "&amp;Milestones!$AC$53&amp;";  ","")&amp;IF(AND(EDATE($D86,Milestones!$AA$54)&lt;=AsOfDate,IF($R86=0,$X86,IF(AND($T86&lt;&gt;"",EDATE($D86,Milestones!$AA$54)&gt;=$T86),$W86,IF(AND($S86&lt;&gt;"",EDATE($D86,Milestones!$AA$54)&gt;=$S86),$V86,$U86)))=Milestones!$AB$54),UPPER(TEXT(EDATE($D86,Milestones!$AA$54),"dd mmm yy"))&amp;" "&amp;Milestones!$AB$54&amp;" "&amp;Milestones!$AC$54&amp;";  ","")&amp;IF(AND(EDATE($D86,Milestones!$AA$55)&lt;=AsOfDate,IF($R86=0,$X86,IF(AND($T86&lt;&gt;"",EDATE($D86,Milestones!$AA$55)&gt;=$T86),$W86,IF(AND($S86&lt;&gt;"",EDATE($D86,Milestones!$AA$55)&gt;=$S86),$V86,$U86)))=Milestones!$AB$55),UPPER(TEXT(EDATE($D86,Milestones!$AA$55),"dd mmm yy"))&amp;" "&amp;Milestones!$AB$55&amp;" "&amp;Milestones!$AC$55&amp;";  ","")&amp;IF(AND(EDATE($D86,Milestones!$AA$56)&lt;=AsOfDate,IF($R86=0,$X86,IF(AND($T86&lt;&gt;"",EDATE($D86,Milestones!$AA$56)&gt;=$T86),$W86,IF(AND($S86&lt;&gt;"",EDATE($D86,Milestones!$AA$56)&gt;=$S86),$V86,$U86)))=Milestones!$AB$56),UPPER(TEXT(EDATE($D86,Milestones!$AA$56),"dd mmm yy"))&amp;" "&amp;Milestones!$AB$56&amp;" "&amp;Milestones!$AC$56&amp;";  ","")&amp;IF(AND(EDATE($D86,Milestones!$AA$57)&lt;=AsOfDate,IF($R86=0,$X86,IF(AND($T86&lt;&gt;"",EDATE($D86,Milestones!$AA$57)&gt;=$T86),$W86,IF(AND($S86&lt;&gt;"",EDATE($D86,Milestones!$AA$57)&gt;=$S86),$V86,$U86)))=Milestones!$AB$57),UPPER(TEXT(EDATE($D86,Milestones!$AA$57),"dd mmm yy"))&amp;" "&amp;Milestones!$AB$57&amp;" "&amp;Milestones!$AC$57&amp;";  ","")&amp;IF(AND(EDATE($D86,Milestones!$AA$58)&lt;=AsOfDate,IF($R86=0,$X86,IF(AND($T86&lt;&gt;"",EDATE($D86,Milestones!$AA$58)&gt;=$T86),$W86,IF(AND($S86&lt;&gt;"",EDATE($D86,Milestones!$AA$58)&gt;=$S86),$V86,$U86)))=Milestones!$AB$58),UPPER(TEXT(EDATE($D86,Milestones!$AA$58),"dd mmm yy"))&amp;" "&amp;Milestones!$AB$58&amp;" "&amp;Milestones!$AC$58&amp;";  ","")&amp;IF(AND(EDATE($D86,Milestones!$AA$59)&lt;=AsOfDate,IF($R86=0,$X86,IF(AND($T86&lt;&gt;"",EDATE($D86,Milestones!$AA$59)&gt;=$T86),$W86,IF(AND($S86&lt;&gt;"",EDATE($D86,Milestones!$AA$59)&gt;=$S86),$V86,$U86)))=Milestones!$AB$59),UPPER(TEXT(EDATE($D86,Milestones!$AA$59),"dd mmm yy"))&amp;" "&amp;Milestones!$AB$59&amp;" "&amp;Milestones!$AC$59&amp;";  ",""))</f>
        <v/>
      </c>
      <c r="K86" s="0" t="str">
        <f aca="false">IF(OR($A86="",$D86=""),"",IF(AND(EDATE($D86,Milestones!$AA$60)&lt;=AsOfDate,IF($R86=0,$X86,IF(AND($T86&lt;&gt;"",EDATE($D86,Milestones!$AA$60)&gt;=$T86),$W86,IF(AND($S86&lt;&gt;"",EDATE($D86,Milestones!$AA$60)&gt;=$S86),$V86,$U86)))=Milestones!$AB$60),UPPER(TEXT(EDATE($D86,Milestones!$AA$60),"dd mmm yy"))&amp;" "&amp;Milestones!$AB$60&amp;" "&amp;Milestones!$AC$60&amp;";  ","")&amp;IF(AND(EDATE($D86,Milestones!$AA$61)&lt;=AsOfDate,IF($R86=0,$X86,IF(AND($T86&lt;&gt;"",EDATE($D86,Milestones!$AA$61)&gt;=$T86),$W86,IF(AND($S86&lt;&gt;"",EDATE($D86,Milestones!$AA$61)&gt;=$S86),$V86,$U86)))=Milestones!$AB$61),UPPER(TEXT(EDATE($D86,Milestones!$AA$61),"dd mmm yy"))&amp;" "&amp;Milestones!$AB$61&amp;" "&amp;Milestones!$AC$61&amp;";  ","")&amp;IF(AND(EDATE($D86,Milestones!$AA$62)&lt;=AsOfDate,IF($R86=0,$X86,IF(AND($T86&lt;&gt;"",EDATE($D86,Milestones!$AA$62)&gt;=$T86),$W86,IF(AND($S86&lt;&gt;"",EDATE($D86,Milestones!$AA$62)&gt;=$S86),$V86,$U86)))=Milestones!$AB$62),UPPER(TEXT(EDATE($D86,Milestones!$AA$62),"dd mmm yy"))&amp;" "&amp;Milestones!$AB$62&amp;" "&amp;Milestones!$AC$62&amp;";  ","")&amp;IF(AND(EDATE($D86,Milestones!$AA$63)&lt;=AsOfDate,IF($R86=0,$X86,IF(AND($T86&lt;&gt;"",EDATE($D86,Milestones!$AA$63)&gt;=$T86),$W86,IF(AND($S86&lt;&gt;"",EDATE($D86,Milestones!$AA$63)&gt;=$S86),$V86,$U86)))=Milestones!$AB$63),UPPER(TEXT(EDATE($D86,Milestones!$AA$63),"dd mmm yy"))&amp;" "&amp;Milestones!$AB$63&amp;" "&amp;Milestones!$AC$63&amp;";  ","")&amp;IF(AND(EDATE($D86,Milestones!$AA$64)&lt;=AsOfDate,IF($R86=0,$X86,IF(AND($T86&lt;&gt;"",EDATE($D86,Milestones!$AA$64)&gt;=$T86),$W86,IF(AND($S86&lt;&gt;"",EDATE($D86,Milestones!$AA$64)&gt;=$S86),$V86,$U86)))=Milestones!$AB$64),UPPER(TEXT(EDATE($D86,Milestones!$AA$64),"dd mmm yy"))&amp;" "&amp;Milestones!$AB$64&amp;" "&amp;Milestones!$AC$64&amp;";  ","")&amp;IF(AND(EDATE($D86,Milestones!$AA$65)&lt;=AsOfDate,IF($R86=0,$X86,IF(AND($T86&lt;&gt;"",EDATE($D86,Milestones!$AA$65)&gt;=$T86),$W86,IF(AND($S86&lt;&gt;"",EDATE($D86,Milestones!$AA$65)&gt;=$S86),$V86,$U86)))=Milestones!$AB$65),UPPER(TEXT(EDATE($D86,Milestones!$AA$65),"dd mmm yy"))&amp;" "&amp;Milestones!$AB$65&amp;" "&amp;Milestones!$AC$65&amp;";  ","")&amp;IF(AND(EDATE($D86,Milestones!$AA$66)&lt;=AsOfDate,IF($R86=0,$X86,IF(AND($T86&lt;&gt;"",EDATE($D86,Milestones!$AA$66)&gt;=$T86),$W86,IF(AND($S86&lt;&gt;"",EDATE($D86,Milestones!$AA$66)&gt;=$S86),$V86,$U86)))=Milestones!$AB$66),UPPER(TEXT(EDATE($D86,Milestones!$AA$66),"dd mmm yy"))&amp;" "&amp;Milestones!$AB$66&amp;" "&amp;Milestones!$AC$66&amp;";  ","")&amp;IF(AND(EDATE($D86,Milestones!$AA$67)&lt;=AsOfDate,IF($R86=0,$X86,IF(AND($T86&lt;&gt;"",EDATE($D86,Milestones!$AA$67)&gt;=$T86),$W86,IF(AND($S86&lt;&gt;"",EDATE($D86,Milestones!$AA$67)&gt;=$S86),$V86,$U86)))=Milestones!$AB$67),UPPER(TEXT(EDATE($D86,Milestones!$AA$67),"dd mmm yy"))&amp;" "&amp;Milestones!$AB$67&amp;" "&amp;Milestones!$AC$67&amp;";  ","")&amp;IF(AND(EDATE($D86,Milestones!$AA$68)&lt;=AsOfDate,IF($R86=0,$X86,IF(AND($T86&lt;&gt;"",EDATE($D86,Milestones!$AA$68)&gt;=$T86),$W86,IF(AND($S86&lt;&gt;"",EDATE($D86,Milestones!$AA$68)&gt;=$S86),$V86,$U86)))=Milestones!$AB$68),UPPER(TEXT(EDATE($D86,Milestones!$AA$68),"dd mmm yy"))&amp;" "&amp;Milestones!$AB$68&amp;" "&amp;Milestones!$AC$68&amp;";  ","")&amp;IF(AND(EDATE($D86,Milestones!$AA$69)&lt;=AsOfDate,IF($R86=0,$X86,IF(AND($T86&lt;&gt;"",EDATE($D86,Milestones!$AA$69)&gt;=$T86),$W86,IF(AND($S86&lt;&gt;"",EDATE($D86,Milestones!$AA$69)&gt;=$S86),$V86,$U86)))=Milestones!$AB$69),UPPER(TEXT(EDATE($D86,Milestones!$AA$69),"dd mmm yy"))&amp;" "&amp;Milestones!$AB$69&amp;" "&amp;Milestones!$AC$69&amp;";  ","")&amp;IF(AND(EDATE($D86,Milestones!$AA$70)&lt;=AsOfDate,IF($R86=0,$X86,IF(AND($T86&lt;&gt;"",EDATE($D86,Milestones!$AA$70)&gt;=$T86),$W86,IF(AND($S86&lt;&gt;"",EDATE($D86,Milestones!$AA$70)&gt;=$S86),$V86,$U86)))=Milestones!$AB$70),UPPER(TEXT(EDATE($D86,Milestones!$AA$70),"dd mmm yy"))&amp;" "&amp;Milestones!$AB$70&amp;" "&amp;Milestones!$AC$70&amp;";  ","")&amp;IF(AND(EDATE($D86,Milestones!$AA$71)&lt;=AsOfDate,IF($R86=0,$X86,IF(AND($T86&lt;&gt;"",EDATE($D86,Milestones!$AA$71)&gt;=$T86),$W86,IF(AND($S86&lt;&gt;"",EDATE($D86,Milestones!$AA$71)&gt;=$S86),$V86,$U86)))=Milestones!$AB$71),UPPER(TEXT(EDATE($D86,Milestones!$AA$71),"dd mmm yy"))&amp;" "&amp;Milestones!$AB$71&amp;" "&amp;Milestones!$AC$71&amp;";  ","")&amp;IF(AND(EDATE($D86,Milestones!$AA$72)&lt;=AsOfDate,IF($R86=0,$X86,IF(AND($T86&lt;&gt;"",EDATE($D86,Milestones!$AA$72)&gt;=$T86),$W86,IF(AND($S86&lt;&gt;"",EDATE($D86,Milestones!$AA$72)&gt;=$S86),$V86,$U86)))=Milestones!$AB$72),UPPER(TEXT(EDATE($D86,Milestones!$AA$72),"dd mmm yy"))&amp;" "&amp;Milestones!$AB$72&amp;" "&amp;Milestones!$AC$72&amp;";  ","")&amp;IF(AND(EDATE($D86,Milestones!$AA$73)&lt;=AsOfDate,IF($R86=0,$X86,IF(AND($T86&lt;&gt;"",EDATE($D86,Milestones!$AA$73)&gt;=$T86),$W86,IF(AND($S86&lt;&gt;"",EDATE($D86,Milestones!$AA$73)&gt;=$S86),$V86,$U86)))=Milestones!$AB$73),UPPER(TEXT(EDATE($D86,Milestones!$AA$73),"dd mmm yy"))&amp;" "&amp;Milestones!$AB$73&amp;" "&amp;Milestones!$AC$73&amp;";  ","")&amp;IF(AND(EDATE($D86,Milestones!$AA$74)&lt;=AsOfDate,IF($R86=0,$X86,IF(AND($T86&lt;&gt;"",EDATE($D86,Milestones!$AA$74)&gt;=$T86),$W86,IF(AND($S86&lt;&gt;"",EDATE($D86,Milestones!$AA$74)&gt;=$S86),$V86,$U86)))=Milestones!$AB$74),UPPER(TEXT(EDATE($D86,Milestones!$AA$74),"dd mmm yy"))&amp;" "&amp;Milestones!$AB$74&amp;" "&amp;Milestones!$AC$74&amp;";  ","")&amp;IF(AND(EDATE($D86,Milestones!$AA$75)&lt;=AsOfDate,IF($R86=0,$X86,IF(AND($T86&lt;&gt;"",EDATE($D86,Milestones!$AA$75)&gt;=$T86),$W86,IF(AND($S86&lt;&gt;"",EDATE($D86,Milestones!$AA$75)&gt;=$S86),$V86,$U86)))=Milestones!$AB$75),UPPER(TEXT(EDATE($D86,Milestones!$AA$75),"dd mmm yy"))&amp;" "&amp;Milestones!$AB$75&amp;" "&amp;Milestones!$AC$75&amp;";  ","")&amp;IF(AND(EDATE($D86,Milestones!$AA$76)&lt;=AsOfDate,IF($R86=0,$X86,IF(AND($T86&lt;&gt;"",EDATE($D86,Milestones!$AA$76)&gt;=$T86),$W86,IF(AND($S86&lt;&gt;"",EDATE($D86,Milestones!$AA$76)&gt;=$S86),$V86,$U86)))=Milestones!$AB$76),UPPER(TEXT(EDATE($D86,Milestones!$AA$76),"dd mmm yy"))&amp;" "&amp;Milestones!$AB$76&amp;" "&amp;Milestones!$AC$76&amp;";  ","")&amp;IF(AND(EDATE($D86,Milestones!$AA$77)&lt;=AsOfDate,IF($R86=0,$X86,IF(AND($T86&lt;&gt;"",EDATE($D86,Milestones!$AA$77)&gt;=$T86),$W86,IF(AND($S86&lt;&gt;"",EDATE($D86,Milestones!$AA$77)&gt;=$S86),$V86,$U86)))=Milestones!$AB$77),UPPER(TEXT(EDATE($D86,Milestones!$AA$77),"dd mmm yy"))&amp;" "&amp;Milestones!$AB$77&amp;" "&amp;Milestones!$AC$77&amp;";  ","")&amp;IF(AND(EDATE($D86,Milestones!$AA$78)&lt;=AsOfDate,IF($R86=0,$X86,IF(AND($T86&lt;&gt;"",EDATE($D86,Milestones!$AA$78)&gt;=$T86),$W86,IF(AND($S86&lt;&gt;"",EDATE($D86,Milestones!$AA$78)&gt;=$S86),$V86,$U86)))=Milestones!$AB$78),UPPER(TEXT(EDATE($D86,Milestones!$AA$78),"dd mmm yy"))&amp;" "&amp;Milestones!$AB$78&amp;" "&amp;Milestones!$AC$78&amp;";  ","")&amp;IF(AND(EDATE($D86,Milestones!$AA$79)&lt;=AsOfDate,IF($R86=0,$X86,IF(AND($T86&lt;&gt;"",EDATE($D86,Milestones!$AA$79)&gt;=$T86),$W86,IF(AND($S86&lt;&gt;"",EDATE($D86,Milestones!$AA$79)&gt;=$S86),$V86,$U86)))=Milestones!$AB$79),UPPER(TEXT(EDATE($D86,Milestones!$AA$79),"dd mmm yy"))&amp;" "&amp;Milestones!$AB$79&amp;" "&amp;Milestones!$AC$79&amp;";  ",""))</f>
        <v/>
      </c>
      <c r="L86" s="0" t="str">
        <f aca="false">IF(OR($A86="",$D86=""),"",IF(AND(EDATE($D86,Milestones!$AA$80)&lt;=AsOfDate,IF($R86=0,$X86,IF(AND($T86&lt;&gt;"",EDATE($D86,Milestones!$AA$80)&gt;=$T86),$W86,IF(AND($S86&lt;&gt;"",EDATE($D86,Milestones!$AA$80)&gt;=$S86),$V86,$U86)))=Milestones!$AB$80),UPPER(TEXT(EDATE($D86,Milestones!$AA$80),"dd mmm yy"))&amp;" "&amp;Milestones!$AB$80&amp;" "&amp;Milestones!$AC$80&amp;";  ","")&amp;IF(AND(EDATE($D86,Milestones!$AA$81)&lt;=AsOfDate,IF($R86=0,$X86,IF(AND($T86&lt;&gt;"",EDATE($D86,Milestones!$AA$81)&gt;=$T86),$W86,IF(AND($S86&lt;&gt;"",EDATE($D86,Milestones!$AA$81)&gt;=$S86),$V86,$U86)))=Milestones!$AB$81),UPPER(TEXT(EDATE($D86,Milestones!$AA$81),"dd mmm yy"))&amp;" "&amp;Milestones!$AB$81&amp;" "&amp;Milestones!$AC$81&amp;";  ","")&amp;IF(AND(EDATE($D86,Milestones!$AA$82)&lt;=AsOfDate,IF($R86=0,$X86,IF(AND($T86&lt;&gt;"",EDATE($D86,Milestones!$AA$82)&gt;=$T86),$W86,IF(AND($S86&lt;&gt;"",EDATE($D86,Milestones!$AA$82)&gt;=$S86),$V86,$U86)))=Milestones!$AB$82),UPPER(TEXT(EDATE($D86,Milestones!$AA$82),"dd mmm yy"))&amp;" "&amp;Milestones!$AB$82&amp;" "&amp;Milestones!$AC$82&amp;";  ","")&amp;IF(AND(EDATE($D86,Milestones!$AA$83)&lt;=AsOfDate,IF($R86=0,$X86,IF(AND($T86&lt;&gt;"",EDATE($D86,Milestones!$AA$83)&gt;=$T86),$W86,IF(AND($S86&lt;&gt;"",EDATE($D86,Milestones!$AA$83)&gt;=$S86),$V86,$U86)))=Milestones!$AB$83),UPPER(TEXT(EDATE($D86,Milestones!$AA$83),"dd mmm yy"))&amp;" "&amp;Milestones!$AB$83&amp;" "&amp;Milestones!$AC$83&amp;";  ","")&amp;IF(AND(EDATE($D86,Milestones!$AA$84)&lt;=AsOfDate,IF($R86=0,$X86,IF(AND($T86&lt;&gt;"",EDATE($D86,Milestones!$AA$84)&gt;=$T86),$W86,IF(AND($S86&lt;&gt;"",EDATE($D86,Milestones!$AA$84)&gt;=$S86),$V86,$U86)))=Milestones!$AB$84),UPPER(TEXT(EDATE($D86,Milestones!$AA$84),"dd mmm yy"))&amp;" "&amp;Milestones!$AB$84&amp;" "&amp;Milestones!$AC$84&amp;";  ","")&amp;IF(AND(EDATE($D86,Milestones!$AA$85)&lt;=AsOfDate,IF($R86=0,$X86,IF(AND($T86&lt;&gt;"",EDATE($D86,Milestones!$AA$85)&gt;=$T86),$W86,IF(AND($S86&lt;&gt;"",EDATE($D86,Milestones!$AA$85)&gt;=$S86),$V86,$U86)))=Milestones!$AB$85),UPPER(TEXT(EDATE($D86,Milestones!$AA$85),"dd mmm yy"))&amp;" "&amp;Milestones!$AB$85&amp;" "&amp;Milestones!$AC$85&amp;";  ","")&amp;IF(AND(EDATE($D86,Milestones!$AA$86)&lt;=AsOfDate,IF($R86=0,$X86,IF(AND($T86&lt;&gt;"",EDATE($D86,Milestones!$AA$86)&gt;=$T86),$W86,IF(AND($S86&lt;&gt;"",EDATE($D86,Milestones!$AA$86)&gt;=$S86),$V86,$U86)))=Milestones!$AB$86),UPPER(TEXT(EDATE($D86,Milestones!$AA$86),"dd mmm yy"))&amp;" "&amp;Milestones!$AB$86&amp;" "&amp;Milestones!$AC$86&amp;";  ","")&amp;IF(AND(EDATE($D86,Milestones!$AA$87)&lt;=AsOfDate,IF($R86=0,$X86,IF(AND($T86&lt;&gt;"",EDATE($D86,Milestones!$AA$87)&gt;=$T86),$W86,IF(AND($S86&lt;&gt;"",EDATE($D86,Milestones!$AA$87)&gt;=$S86),$V86,$U86)))=Milestones!$AB$87),UPPER(TEXT(EDATE($D86,Milestones!$AA$87),"dd mmm yy"))&amp;" "&amp;Milestones!$AB$87&amp;" "&amp;Milestones!$AC$87&amp;";  ","")&amp;IF(AND(EDATE($D86,Milestones!$AA$88)&lt;=AsOfDate,IF($R86=0,$X86,IF(AND($T86&lt;&gt;"",EDATE($D86,Milestones!$AA$88)&gt;=$T86),$W86,IF(AND($S86&lt;&gt;"",EDATE($D86,Milestones!$AA$88)&gt;=$S86),$V86,$U86)))=Milestones!$AB$88),UPPER(TEXT(EDATE($D86,Milestones!$AA$88),"dd mmm yy"))&amp;" "&amp;Milestones!$AB$88&amp;" "&amp;Milestones!$AC$88&amp;";  ","")&amp;IF(AND(EDATE($D86,Milestones!$AA$89)&lt;=AsOfDate,IF($R86=0,$X86,IF(AND($T86&lt;&gt;"",EDATE($D86,Milestones!$AA$89)&gt;=$T86),$W86,IF(AND($S86&lt;&gt;"",EDATE($D86,Milestones!$AA$89)&gt;=$S86),$V86,$U86)))=Milestones!$AB$89),UPPER(TEXT(EDATE($D86,Milestones!$AA$89),"dd mmm yy"))&amp;" "&amp;Milestones!$AB$89&amp;" "&amp;Milestones!$AC$89&amp;";  ","")&amp;IF(AND(EDATE($D86,Milestones!$AA$90)&lt;=AsOfDate,IF($R86=0,$X86,IF(AND($T86&lt;&gt;"",EDATE($D86,Milestones!$AA$90)&gt;=$T86),$W86,IF(AND($S86&lt;&gt;"",EDATE($D86,Milestones!$AA$90)&gt;=$S86),$V86,$U86)))=Milestones!$AB$90),UPPER(TEXT(EDATE($D86,Milestones!$AA$90),"dd mmm yy"))&amp;" "&amp;Milestones!$AB$90&amp;" "&amp;Milestones!$AC$90&amp;";  ","")&amp;IF(AND(EDATE($D86,Milestones!$AA$91)&lt;=AsOfDate,IF($R86=0,$X86,IF(AND($T86&lt;&gt;"",EDATE($D86,Milestones!$AA$91)&gt;=$T86),$W86,IF(AND($S86&lt;&gt;"",EDATE($D86,Milestones!$AA$91)&gt;=$S86),$V86,$U86)))=Milestones!$AB$91),UPPER(TEXT(EDATE($D86,Milestones!$AA$91),"dd mmm yy"))&amp;" "&amp;Milestones!$AB$91&amp;" "&amp;Milestones!$AC$91&amp;";  ","")&amp;IF(AND(EDATE($D86,Milestones!$AA$92)&lt;=AsOfDate,IF($R86=0,$X86,IF(AND($T86&lt;&gt;"",EDATE($D86,Milestones!$AA$92)&gt;=$T86),$W86,IF(AND($S86&lt;&gt;"",EDATE($D86,Milestones!$AA$92)&gt;=$S86),$V86,$U86)))=Milestones!$AB$92),UPPER(TEXT(EDATE($D86,Milestones!$AA$92),"dd mmm yy"))&amp;" "&amp;Milestones!$AB$92&amp;" "&amp;Milestones!$AC$92&amp;";  ","")&amp;IF(AND(EDATE($D86,Milestones!$AA$93)&lt;=AsOfDate,IF($R86=0,$X86,IF(AND($T86&lt;&gt;"",EDATE($D86,Milestones!$AA$93)&gt;=$T86),$W86,IF(AND($S86&lt;&gt;"",EDATE($D86,Milestones!$AA$93)&gt;=$S86),$V86,$U86)))=Milestones!$AB$93),UPPER(TEXT(EDATE($D86,Milestones!$AA$93),"dd mmm yy"))&amp;" "&amp;Milestones!$AB$93&amp;" "&amp;Milestones!$AC$93&amp;";  ","")&amp;IF(AND(EDATE($D86,Milestones!$AA$94)&lt;=AsOfDate,IF($R86=0,$X86,IF(AND($T86&lt;&gt;"",EDATE($D86,Milestones!$AA$94)&gt;=$T86),$W86,IF(AND($S86&lt;&gt;"",EDATE($D86,Milestones!$AA$94)&gt;=$S86),$V86,$U86)))=Milestones!$AB$94),UPPER(TEXT(EDATE($D86,Milestones!$AA$94),"dd mmm yy"))&amp;" "&amp;Milestones!$AB$94&amp;" "&amp;Milestones!$AC$94&amp;";  ","")&amp;IF(AND(EDATE($D86,Milestones!$AA$95)&lt;=AsOfDate,IF($R86=0,$X86,IF(AND($T86&lt;&gt;"",EDATE($D86,Milestones!$AA$95)&gt;=$T86),$W86,IF(AND($S86&lt;&gt;"",EDATE($D86,Milestones!$AA$95)&gt;=$S86),$V86,$U86)))=Milestones!$AB$95),UPPER(TEXT(EDATE($D86,Milestones!$AA$95),"dd mmm yy"))&amp;" "&amp;Milestones!$AB$95&amp;" "&amp;Milestones!$AC$95&amp;";  ","")&amp;IF(AND(EDATE($D86,Milestones!$AA$96)&lt;=AsOfDate,IF($R86=0,$X86,IF(AND($T86&lt;&gt;"",EDATE($D86,Milestones!$AA$96)&gt;=$T86),$W86,IF(AND($S86&lt;&gt;"",EDATE($D86,Milestones!$AA$96)&gt;=$S86),$V86,$U86)))=Milestones!$AB$96),UPPER(TEXT(EDATE($D86,Milestones!$AA$96),"dd mmm yy"))&amp;" "&amp;Milestones!$AB$96&amp;" "&amp;Milestones!$AC$96&amp;";  ","")&amp;IF(AND(EDATE($D86,Milestones!$AA$97)&lt;=AsOfDate,IF($R86=0,$X86,IF(AND($T86&lt;&gt;"",EDATE($D86,Milestones!$AA$97)&gt;=$T86),$W86,IF(AND($S86&lt;&gt;"",EDATE($D86,Milestones!$AA$97)&gt;=$S86),$V86,$U86)))=Milestones!$AB$97),UPPER(TEXT(EDATE($D86,Milestones!$AA$97),"dd mmm yy"))&amp;" "&amp;Milestones!$AB$97&amp;" "&amp;Milestones!$AC$97&amp;";  ","")&amp;IF(AND(EDATE($D86,Milestones!$AA$98)&lt;=AsOfDate,IF($R86=0,$X86,IF(AND($T86&lt;&gt;"",EDATE($D86,Milestones!$AA$98)&gt;=$T86),$W86,IF(AND($S86&lt;&gt;"",EDATE($D86,Milestones!$AA$98)&gt;=$S86),$V86,$U86)))=Milestones!$AB$98),UPPER(TEXT(EDATE($D86,Milestones!$AA$98),"dd mmm yy"))&amp;" "&amp;Milestones!$AB$98&amp;" "&amp;Milestones!$AC$98&amp;";  ","")&amp;IF(AND(EDATE($D86,Milestones!$AA$99)&lt;=AsOfDate,IF($R86=0,$X86,IF(AND($T86&lt;&gt;"",EDATE($D86,Milestones!$AA$99)&gt;=$T86),$W86,IF(AND($S86&lt;&gt;"",EDATE($D86,Milestones!$AA$99)&gt;=$S86),$V86,$U86)))=Milestones!$AB$99),UPPER(TEXT(EDATE($D86,Milestones!$AA$99),"dd mmm yy"))&amp;" "&amp;Milestones!$AB$99&amp;" "&amp;Milestones!$AC$99&amp;";  ",""))</f>
        <v/>
      </c>
      <c r="M86" s="0" t="str">
        <f aca="false">IF(OR($A86="",$D86=""),"",IF(AND(EDATE($D86,Milestones!$AA$100)&lt;=AsOfDate,IF($R86=0,$X86,IF(AND($T86&lt;&gt;"",EDATE($D86,Milestones!$AA$100)&gt;=$T86),$W86,IF(AND($S86&lt;&gt;"",EDATE($D86,Milestones!$AA$100)&gt;=$S86),$V86,$U86)))=Milestones!$AB$100),UPPER(TEXT(EDATE($D86,Milestones!$AA$100),"dd mmm yy"))&amp;" "&amp;Milestones!$AB$100&amp;" "&amp;Milestones!$AC$100&amp;";  ","")&amp;IF(AND(EDATE($D86,Milestones!$AA$101)&lt;=AsOfDate,IF($R86=0,$X86,IF(AND($T86&lt;&gt;"",EDATE($D86,Milestones!$AA$101)&gt;=$T86),$W86,IF(AND($S86&lt;&gt;"",EDATE($D86,Milestones!$AA$101)&gt;=$S86),$V86,$U86)))=Milestones!$AB$101),UPPER(TEXT(EDATE($D86,Milestones!$AA$101),"dd mmm yy"))&amp;" "&amp;Milestones!$AB$101&amp;" "&amp;Milestones!$AC$101&amp;";  ","")&amp;IF(AND(EDATE($D86,Milestones!$AA$102)&lt;=AsOfDate,IF($R86=0,$X86,IF(AND($T86&lt;&gt;"",EDATE($D86,Milestones!$AA$102)&gt;=$T86),$W86,IF(AND($S86&lt;&gt;"",EDATE($D86,Milestones!$AA$102)&gt;=$S86),$V86,$U86)))=Milestones!$AB$102),UPPER(TEXT(EDATE($D86,Milestones!$AA$102),"dd mmm yy"))&amp;" "&amp;Milestones!$AB$102&amp;" "&amp;Milestones!$AC$102&amp;";  ","")&amp;IF(AND(EDATE($D86,Milestones!$AA$103)&lt;=AsOfDate,IF($R86=0,$X86,IF(AND($T86&lt;&gt;"",EDATE($D86,Milestones!$AA$103)&gt;=$T86),$W86,IF(AND($S86&lt;&gt;"",EDATE($D86,Milestones!$AA$103)&gt;=$S86),$V86,$U86)))=Milestones!$AB$103),UPPER(TEXT(EDATE($D86,Milestones!$AA$103),"dd mmm yy"))&amp;" "&amp;Milestones!$AB$103&amp;" "&amp;Milestones!$AC$103&amp;";  ","")&amp;IF(AND(EDATE($D86,Milestones!$AA$104)&lt;=AsOfDate,IF($R86=0,$X86,IF(AND($T86&lt;&gt;"",EDATE($D86,Milestones!$AA$104)&gt;=$T86),$W86,IF(AND($S86&lt;&gt;"",EDATE($D86,Milestones!$AA$104)&gt;=$S86),$V86,$U86)))=Milestones!$AB$104),UPPER(TEXT(EDATE($D86,Milestones!$AA$104),"dd mmm yy"))&amp;" "&amp;Milestones!$AB$104&amp;" "&amp;Milestones!$AC$104&amp;";  ","")&amp;IF(AND(EDATE($D86,Milestones!$AA$105)&lt;=AsOfDate,IF($R86=0,$X86,IF(AND($T86&lt;&gt;"",EDATE($D86,Milestones!$AA$105)&gt;=$T86),$W86,IF(AND($S86&lt;&gt;"",EDATE($D86,Milestones!$AA$105)&gt;=$S86),$V86,$U86)))=Milestones!$AB$105),UPPER(TEXT(EDATE($D86,Milestones!$AA$105),"dd mmm yy"))&amp;" "&amp;Milestones!$AB$105&amp;" "&amp;Milestones!$AC$105&amp;";  ","")&amp;IF(AND(EDATE($D86,Milestones!$AA$106)&lt;=AsOfDate,IF($R86=0,$X86,IF(AND($T86&lt;&gt;"",EDATE($D86,Milestones!$AA$106)&gt;=$T86),$W86,IF(AND($S86&lt;&gt;"",EDATE($D86,Milestones!$AA$106)&gt;=$S86),$V86,$U86)))=Milestones!$AB$106),UPPER(TEXT(EDATE($D86,Milestones!$AA$106),"dd mmm yy"))&amp;" "&amp;Milestones!$AB$106&amp;" "&amp;Milestones!$AC$106&amp;";  ","")&amp;IF(AND(EDATE($D86,Milestones!$AA$107)&lt;=AsOfDate,IF($R86=0,$X86,IF(AND($T86&lt;&gt;"",EDATE($D86,Milestones!$AA$107)&gt;=$T86),$W86,IF(AND($S86&lt;&gt;"",EDATE($D86,Milestones!$AA$107)&gt;=$S86),$V86,$U86)))=Milestones!$AB$107),UPPER(TEXT(EDATE($D86,Milestones!$AA$107),"dd mmm yy"))&amp;" "&amp;Milestones!$AB$107&amp;" "&amp;Milestones!$AC$107&amp;";  ","")&amp;IF(AND(EDATE($D86,Milestones!$AA$108)&lt;=AsOfDate,IF($R86=0,$X86,IF(AND($T86&lt;&gt;"",EDATE($D86,Milestones!$AA$108)&gt;=$T86),$W86,IF(AND($S86&lt;&gt;"",EDATE($D86,Milestones!$AA$108)&gt;=$S86),$V86,$U86)))=Milestones!$AB$108),UPPER(TEXT(EDATE($D86,Milestones!$AA$108),"dd mmm yy"))&amp;" "&amp;Milestones!$AB$108&amp;" "&amp;Milestones!$AC$108&amp;";  ","")&amp;IF(AND(EDATE($D86,Milestones!$AA$109)&lt;=AsOfDate,IF($R86=0,$X86,IF(AND($T86&lt;&gt;"",EDATE($D86,Milestones!$AA$109)&gt;=$T86),$W86,IF(AND($S86&lt;&gt;"",EDATE($D86,Milestones!$AA$109)&gt;=$S86),$V86,$U86)))=Milestones!$AB$109),UPPER(TEXT(EDATE($D86,Milestones!$AA$109),"dd mmm yy"))&amp;" "&amp;Milestones!$AB$109&amp;" "&amp;Milestones!$AC$109&amp;";  ","")&amp;IF(AND(EDATE($D86,Milestones!$AA$110)&lt;=AsOfDate,IF($R86=0,$X86,IF(AND($T86&lt;&gt;"",EDATE($D86,Milestones!$AA$110)&gt;=$T86),$W86,IF(AND($S86&lt;&gt;"",EDATE($D86,Milestones!$AA$110)&gt;=$S86),$V86,$U86)))=Milestones!$AB$110),UPPER(TEXT(EDATE($D86,Milestones!$AA$110),"dd mmm yy"))&amp;" "&amp;Milestones!$AB$110&amp;" "&amp;Milestones!$AC$110&amp;";  ","")&amp;IF(AND(EDATE($D86,Milestones!$AA$111)&lt;=AsOfDate,IF($R86=0,$X86,IF(AND($T86&lt;&gt;"",EDATE($D86,Milestones!$AA$111)&gt;=$T86),$W86,IF(AND($S86&lt;&gt;"",EDATE($D86,Milestones!$AA$111)&gt;=$S86),$V86,$U86)))=Milestones!$AB$111),UPPER(TEXT(EDATE($D86,Milestones!$AA$111),"dd mmm yy"))&amp;" "&amp;Milestones!$AB$111&amp;" "&amp;Milestones!$AC$111&amp;";  ","")&amp;IF(AND(EDATE($D86,Milestones!$AA$112)&lt;=AsOfDate,IF($R86=0,$X86,IF(AND($T86&lt;&gt;"",EDATE($D86,Milestones!$AA$112)&gt;=$T86),$W86,IF(AND($S86&lt;&gt;"",EDATE($D86,Milestones!$AA$112)&gt;=$S86),$V86,$U86)))=Milestones!$AB$112),UPPER(TEXT(EDATE($D86,Milestones!$AA$112),"dd mmm yy"))&amp;" "&amp;Milestones!$AB$112&amp;" "&amp;Milestones!$AC$112&amp;";  ","")&amp;IF(AND(EDATE($D86,Milestones!$AA$113)&lt;=AsOfDate,IF($R86=0,$X86,IF(AND($T86&lt;&gt;"",EDATE($D86,Milestones!$AA$113)&gt;=$T86),$W86,IF(AND($S86&lt;&gt;"",EDATE($D86,Milestones!$AA$113)&gt;=$S86),$V86,$U86)))=Milestones!$AB$113),UPPER(TEXT(EDATE($D86,Milestones!$AA$113),"dd mmm yy"))&amp;" "&amp;Milestones!$AB$113&amp;" "&amp;Milestones!$AC$113&amp;";  ","")&amp;IF(AND(EDATE($D86,Milestones!$AA$114)&lt;=AsOfDate,IF($R86=0,$X86,IF(AND($T86&lt;&gt;"",EDATE($D86,Milestones!$AA$114)&gt;=$T86),$W86,IF(AND($S86&lt;&gt;"",EDATE($D86,Milestones!$AA$114)&gt;=$S86),$V86,$U86)))=Milestones!$AB$114),UPPER(TEXT(EDATE($D86,Milestones!$AA$114),"dd mmm yy"))&amp;" "&amp;Milestones!$AB$114&amp;" "&amp;Milestones!$AC$114&amp;";  ","")&amp;IF(AND(EDATE($D86,Milestones!$AA$115)&lt;=AsOfDate,IF($R86=0,$X86,IF(AND($T86&lt;&gt;"",EDATE($D86,Milestones!$AA$115)&gt;=$T86),$W86,IF(AND($S86&lt;&gt;"",EDATE($D86,Milestones!$AA$115)&gt;=$S86),$V86,$U86)))=Milestones!$AB$115),UPPER(TEXT(EDATE($D86,Milestones!$AA$115),"dd mmm yy"))&amp;" "&amp;Milestones!$AB$115&amp;" "&amp;Milestones!$AC$115&amp;";  ","")&amp;IF(AND(EDATE($D86,Milestones!$AA$116)&lt;=AsOfDate,IF($R86=0,$X86,IF(AND($T86&lt;&gt;"",EDATE($D86,Milestones!$AA$116)&gt;=$T86),$W86,IF(AND($S86&lt;&gt;"",EDATE($D86,Milestones!$AA$116)&gt;=$S86),$V86,$U86)))=Milestones!$AB$116),UPPER(TEXT(EDATE($D86,Milestones!$AA$116),"dd mmm yy"))&amp;" "&amp;Milestones!$AB$116&amp;" "&amp;Milestones!$AC$116&amp;";  ","")&amp;IF(AND(EDATE($D86,Milestones!$AA$117)&lt;=AsOfDate,IF($R86=0,$X86,IF(AND($T86&lt;&gt;"",EDATE($D86,Milestones!$AA$117)&gt;=$T86),$W86,IF(AND($S86&lt;&gt;"",EDATE($D86,Milestones!$AA$117)&gt;=$S86),$V86,$U86)))=Milestones!$AB$117),UPPER(TEXT(EDATE($D86,Milestones!$AA$117),"dd mmm yy"))&amp;" "&amp;Milestones!$AB$117&amp;" "&amp;Milestones!$AC$117&amp;";  ","")&amp;IF(AND(EDATE($D86,Milestones!$AA$118)&lt;=AsOfDate,IF($R86=0,$X86,IF(AND($T86&lt;&gt;"",EDATE($D86,Milestones!$AA$118)&gt;=$T86),$W86,IF(AND($S86&lt;&gt;"",EDATE($D86,Milestones!$AA$118)&gt;=$S86),$V86,$U86)))=Milestones!$AB$118),UPPER(TEXT(EDATE($D86,Milestones!$AA$118),"dd mmm yy"))&amp;" "&amp;Milestones!$AB$118&amp;" "&amp;Milestones!$AC$118&amp;";  ","")&amp;IF(AND(EDATE($D86,Milestones!$AA$119)&lt;=AsOfDate,IF($R86=0,$X86,IF(AND($T86&lt;&gt;"",EDATE($D86,Milestones!$AA$119)&gt;=$T86),$W86,IF(AND($S86&lt;&gt;"",EDATE($D86,Milestones!$AA$119)&gt;=$S86),$V86,$U86)))=Milestones!$AB$119),UPPER(TEXT(EDATE($D86,Milestones!$AA$119),"dd mmm yy"))&amp;" "&amp;Milestones!$AB$119&amp;" "&amp;Milestones!$AC$119&amp;";  ",""))</f>
        <v/>
      </c>
      <c r="N86" s="0" t="str">
        <f aca="false">IF(OR($A86="",$D86=""),"",IF(AND(EDATE($D86,Milestones!$AA$120)&lt;=AsOfDate,IF($R86=0,$X86,IF(AND($T86&lt;&gt;"",EDATE($D86,Milestones!$AA$120)&gt;=$T86),$W86,IF(AND($S86&lt;&gt;"",EDATE($D86,Milestones!$AA$120)&gt;=$S86),$V86,$U86)))=Milestones!$AB$120),UPPER(TEXT(EDATE($D86,Milestones!$AA$120),"dd mmm yy"))&amp;" "&amp;Milestones!$AB$120&amp;" "&amp;Milestones!$AC$120&amp;";  ","")&amp;IF(AND(EDATE($D86,Milestones!$AA$121)&lt;=AsOfDate,IF($R86=0,$X86,IF(AND($T86&lt;&gt;"",EDATE($D86,Milestones!$AA$121)&gt;=$T86),$W86,IF(AND($S86&lt;&gt;"",EDATE($D86,Milestones!$AA$121)&gt;=$S86),$V86,$U86)))=Milestones!$AB$121),UPPER(TEXT(EDATE($D86,Milestones!$AA$121),"dd mmm yy"))&amp;" "&amp;Milestones!$AB$121&amp;" "&amp;Milestones!$AC$121&amp;";  ","")&amp;IF(AND(EDATE($D86,Milestones!$AA$122)&lt;=AsOfDate,IF($R86=0,$X86,IF(AND($T86&lt;&gt;"",EDATE($D86,Milestones!$AA$122)&gt;=$T86),$W86,IF(AND($S86&lt;&gt;"",EDATE($D86,Milestones!$AA$122)&gt;=$S86),$V86,$U86)))=Milestones!$AB$122),UPPER(TEXT(EDATE($D86,Milestones!$AA$122),"dd mmm yy"))&amp;" "&amp;Milestones!$AB$122&amp;" "&amp;Milestones!$AC$122&amp;";  ","")&amp;IF(AND(EDATE($D86,Milestones!$AA$123)&lt;=AsOfDate,IF($R86=0,$X86,IF(AND($T86&lt;&gt;"",EDATE($D86,Milestones!$AA$123)&gt;=$T86),$W86,IF(AND($S86&lt;&gt;"",EDATE($D86,Milestones!$AA$123)&gt;=$S86),$V86,$U86)))=Milestones!$AB$123),UPPER(TEXT(EDATE($D86,Milestones!$AA$123),"dd mmm yy"))&amp;" "&amp;Milestones!$AB$123&amp;" "&amp;Milestones!$AC$123&amp;";  ","")&amp;IF(AND(EDATE($D86,Milestones!$AA$124)&lt;=AsOfDate,IF($R86=0,$X86,IF(AND($T86&lt;&gt;"",EDATE($D86,Milestones!$AA$124)&gt;=$T86),$W86,IF(AND($S86&lt;&gt;"",EDATE($D86,Milestones!$AA$124)&gt;=$S86),$V86,$U86)))=Milestones!$AB$124),UPPER(TEXT(EDATE($D86,Milestones!$AA$124),"dd mmm yy"))&amp;" "&amp;Milestones!$AB$124&amp;" "&amp;Milestones!$AC$124&amp;";  ","")&amp;IF(AND(EDATE($D86,Milestones!$AA$125)&lt;=AsOfDate,IF($R86=0,$X86,IF(AND($T86&lt;&gt;"",EDATE($D86,Milestones!$AA$125)&gt;=$T86),$W86,IF(AND($S86&lt;&gt;"",EDATE($D86,Milestones!$AA$125)&gt;=$S86),$V86,$U86)))=Milestones!$AB$125),UPPER(TEXT(EDATE($D86,Milestones!$AA$125),"dd mmm yy"))&amp;" "&amp;Milestones!$AB$125&amp;" "&amp;Milestones!$AC$125&amp;";  ","")&amp;IF(AND(EDATE($D86,Milestones!$AA$126)&lt;=AsOfDate,IF($R86=0,$X86,IF(AND($T86&lt;&gt;"",EDATE($D86,Milestones!$AA$126)&gt;=$T86),$W86,IF(AND($S86&lt;&gt;"",EDATE($D86,Milestones!$AA$126)&gt;=$S86),$V86,$U86)))=Milestones!$AB$126),UPPER(TEXT(EDATE($D86,Milestones!$AA$126),"dd mmm yy"))&amp;" "&amp;Milestones!$AB$126&amp;" "&amp;Milestones!$AC$126&amp;";  ","")&amp;IF(AND(EDATE($D86,Milestones!$AA$127)&lt;=AsOfDate,IF($R86=0,$X86,IF(AND($T86&lt;&gt;"",EDATE($D86,Milestones!$AA$127)&gt;=$T86),$W86,IF(AND($S86&lt;&gt;"",EDATE($D86,Milestones!$AA$127)&gt;=$S86),$V86,$U86)))=Milestones!$AB$127),UPPER(TEXT(EDATE($D86,Milestones!$AA$127),"dd mmm yy"))&amp;" "&amp;Milestones!$AB$127&amp;" "&amp;Milestones!$AC$127&amp;";  ","")&amp;IF(AND(EDATE($D86,Milestones!$AA$128)&lt;=AsOfDate,IF($R86=0,$X86,IF(AND($T86&lt;&gt;"",EDATE($D86,Milestones!$AA$128)&gt;=$T86),$W86,IF(AND($S86&lt;&gt;"",EDATE($D86,Milestones!$AA$128)&gt;=$S86),$V86,$U86)))=Milestones!$AB$128),UPPER(TEXT(EDATE($D86,Milestones!$AA$128),"dd mmm yy"))&amp;" "&amp;Milestones!$AB$128&amp;" "&amp;Milestones!$AC$128&amp;";  ","")&amp;IF(AND(EDATE($D86,Milestones!$AA$129)&lt;=AsOfDate,IF($R86=0,$X86,IF(AND($T86&lt;&gt;"",EDATE($D86,Milestones!$AA$129)&gt;=$T86),$W86,IF(AND($S86&lt;&gt;"",EDATE($D86,Milestones!$AA$129)&gt;=$S86),$V86,$U86)))=Milestones!$AB$129),UPPER(TEXT(EDATE($D86,Milestones!$AA$129),"dd mmm yy"))&amp;" "&amp;Milestones!$AB$129&amp;" "&amp;Milestones!$AC$129&amp;";  ","")&amp;IF(AND(EDATE($D86,Milestones!$AA$130)&lt;=AsOfDate,IF($R86=0,$X86,IF(AND($T86&lt;&gt;"",EDATE($D86,Milestones!$AA$130)&gt;=$T86),$W86,IF(AND($S86&lt;&gt;"",EDATE($D86,Milestones!$AA$130)&gt;=$S86),$V86,$U86)))=Milestones!$AB$130),UPPER(TEXT(EDATE($D86,Milestones!$AA$130),"dd mmm yy"))&amp;" "&amp;Milestones!$AB$130&amp;" "&amp;Milestones!$AC$130&amp;";  ","")&amp;IF(AND(EDATE($D86,Milestones!$AA$131)&lt;=AsOfDate,IF($R86=0,$X86,IF(AND($T86&lt;&gt;"",EDATE($D86,Milestones!$AA$131)&gt;=$T86),$W86,IF(AND($S86&lt;&gt;"",EDATE($D86,Milestones!$AA$131)&gt;=$S86),$V86,$U86)))=Milestones!$AB$131),UPPER(TEXT(EDATE($D86,Milestones!$AA$131),"dd mmm yy"))&amp;" "&amp;Milestones!$AB$131&amp;" "&amp;Milestones!$AC$131&amp;";  ","")&amp;IF(AND(EDATE($D86,Milestones!$AA$132)&lt;=AsOfDate,IF($R86=0,$X86,IF(AND($T86&lt;&gt;"",EDATE($D86,Milestones!$AA$132)&gt;=$T86),$W86,IF(AND($S86&lt;&gt;"",EDATE($D86,Milestones!$AA$132)&gt;=$S86),$V86,$U86)))=Milestones!$AB$132),UPPER(TEXT(EDATE($D86,Milestones!$AA$132),"dd mmm yy"))&amp;" "&amp;Milestones!$AB$132&amp;" "&amp;Milestones!$AC$132&amp;";  ","")&amp;IF(AND(EDATE($D86,Milestones!$AA$133)&lt;=AsOfDate,IF($R86=0,$X86,IF(AND($T86&lt;&gt;"",EDATE($D86,Milestones!$AA$133)&gt;=$T86),$W86,IF(AND($S86&lt;&gt;"",EDATE($D86,Milestones!$AA$133)&gt;=$S86),$V86,$U86)))=Milestones!$AB$133),UPPER(TEXT(EDATE($D86,Milestones!$AA$133),"dd mmm yy"))&amp;" "&amp;Milestones!$AB$133&amp;" "&amp;Milestones!$AC$133&amp;";  ","")&amp;IF(AND(EDATE($D86,Milestones!$AA$134)&lt;=AsOfDate,IF($R86=0,$X86,IF(AND($T86&lt;&gt;"",EDATE($D86,Milestones!$AA$134)&gt;=$T86),$W86,IF(AND($S86&lt;&gt;"",EDATE($D86,Milestones!$AA$134)&gt;=$S86),$V86,$U86)))=Milestones!$AB$134),UPPER(TEXT(EDATE($D86,Milestones!$AA$134),"dd mmm yy"))&amp;" "&amp;Milestones!$AB$134&amp;" "&amp;Milestones!$AC$134&amp;";  ","")&amp;IF(AND(EDATE($D86,Milestones!$AA$135)&lt;=AsOfDate,IF($R86=0,$X86,IF(AND($T86&lt;&gt;"",EDATE($D86,Milestones!$AA$135)&gt;=$T86),$W86,IF(AND($S86&lt;&gt;"",EDATE($D86,Milestones!$AA$135)&gt;=$S86),$V86,$U86)))=Milestones!$AB$135),UPPER(TEXT(EDATE($D86,Milestones!$AA$135),"dd mmm yy"))&amp;" "&amp;Milestones!$AB$135&amp;" "&amp;Milestones!$AC$135&amp;";  ","")&amp;IF(AND(EDATE($D86,Milestones!$AA$136)&lt;=AsOfDate,IF($R86=0,$X86,IF(AND($T86&lt;&gt;"",EDATE($D86,Milestones!$AA$136)&gt;=$T86),$W86,IF(AND($S86&lt;&gt;"",EDATE($D86,Milestones!$AA$136)&gt;=$S86),$V86,$U86)))=Milestones!$AB$136),UPPER(TEXT(EDATE($D86,Milestones!$AA$136),"dd mmm yy"))&amp;" "&amp;Milestones!$AB$136&amp;" "&amp;Milestones!$AC$136&amp;";  ","")&amp;IF(AND(EDATE($D86,Milestones!$AA$137)&lt;=AsOfDate,IF($R86=0,$X86,IF(AND($T86&lt;&gt;"",EDATE($D86,Milestones!$AA$137)&gt;=$T86),$W86,IF(AND($S86&lt;&gt;"",EDATE($D86,Milestones!$AA$137)&gt;=$S86),$V86,$U86)))=Milestones!$AB$137),UPPER(TEXT(EDATE($D86,Milestones!$AA$137),"dd mmm yy"))&amp;" "&amp;Milestones!$AB$137&amp;" "&amp;Milestones!$AC$137&amp;";  ","")&amp;IF(AND(EDATE($D86,Milestones!$AA$138)&lt;=AsOfDate,IF($R86=0,$X86,IF(AND($T86&lt;&gt;"",EDATE($D86,Milestones!$AA$138)&gt;=$T86),$W86,IF(AND($S86&lt;&gt;"",EDATE($D86,Milestones!$AA$138)&gt;=$S86),$V86,$U86)))=Milestones!$AB$138),UPPER(TEXT(EDATE($D86,Milestones!$AA$138),"dd mmm yy"))&amp;" "&amp;Milestones!$AB$138&amp;" "&amp;Milestones!$AC$138&amp;";  ","")&amp;IF(AND(EDATE($D86,Milestones!$AA$139)&lt;=AsOfDate,IF($R86=0,$X86,IF(AND($T86&lt;&gt;"",EDATE($D86,Milestones!$AA$139)&gt;=$T86),$W86,IF(AND($S86&lt;&gt;"",EDATE($D86,Milestones!$AA$139)&gt;=$S86),$V86,$U86)))=Milestones!$AB$139),UPPER(TEXT(EDATE($D86,Milestones!$AA$139),"dd mmm yy"))&amp;" "&amp;Milestones!$AB$139&amp;" "&amp;Milestones!$AC$139&amp;";  ",""))</f>
        <v/>
      </c>
      <c r="O86" s="0" t="str">
        <f aca="false">IF(OR($A86="",$D86=""),"",IF(AND(EDATE($D86,Milestones!$AA$140)&lt;=AsOfDate,IF($R86=0,$X86,IF(AND($T86&lt;&gt;"",EDATE($D86,Milestones!$AA$140)&gt;=$T86),$W86,IF(AND($S86&lt;&gt;"",EDATE($D86,Milestones!$AA$140)&gt;=$S86),$V86,$U86)))=Milestones!$AB$140),UPPER(TEXT(EDATE($D86,Milestones!$AA$140),"dd mmm yy"))&amp;" "&amp;Milestones!$AB$140&amp;" "&amp;Milestones!$AC$140&amp;";  ","")&amp;IF(AND(EDATE($D86,Milestones!$AA$141)&lt;=AsOfDate,IF($R86=0,$X86,IF(AND($T86&lt;&gt;"",EDATE($D86,Milestones!$AA$141)&gt;=$T86),$W86,IF(AND($S86&lt;&gt;"",EDATE($D86,Milestones!$AA$141)&gt;=$S86),$V86,$U86)))=Milestones!$AB$141),UPPER(TEXT(EDATE($D86,Milestones!$AA$141),"dd mmm yy"))&amp;" "&amp;Milestones!$AB$141&amp;" "&amp;Milestones!$AC$141&amp;";  ","")&amp;IF(AND(EDATE($D86,Milestones!$AA$142)&lt;=AsOfDate,IF($R86=0,$X86,IF(AND($T86&lt;&gt;"",EDATE($D86,Milestones!$AA$142)&gt;=$T86),$W86,IF(AND($S86&lt;&gt;"",EDATE($D86,Milestones!$AA$142)&gt;=$S86),$V86,$U86)))=Milestones!$AB$142),UPPER(TEXT(EDATE($D86,Milestones!$AA$142),"dd mmm yy"))&amp;" "&amp;Milestones!$AB$142&amp;" "&amp;Milestones!$AC$142&amp;";  ","")&amp;IF(AND(EDATE($D86,Milestones!$AA$143)&lt;=AsOfDate,IF($R86=0,$X86,IF(AND($T86&lt;&gt;"",EDATE($D86,Milestones!$AA$143)&gt;=$T86),$W86,IF(AND($S86&lt;&gt;"",EDATE($D86,Milestones!$AA$143)&gt;=$S86),$V86,$U86)))=Milestones!$AB$143),UPPER(TEXT(EDATE($D86,Milestones!$AA$143),"dd mmm yy"))&amp;" "&amp;Milestones!$AB$143&amp;" "&amp;Milestones!$AC$143&amp;";  ","")&amp;IF(AND(EDATE($D86,Milestones!$AA$144)&lt;=AsOfDate,IF($R86=0,$X86,IF(AND($T86&lt;&gt;"",EDATE($D86,Milestones!$AA$144)&gt;=$T86),$W86,IF(AND($S86&lt;&gt;"",EDATE($D86,Milestones!$AA$144)&gt;=$S86),$V86,$U86)))=Milestones!$AB$144),UPPER(TEXT(EDATE($D86,Milestones!$AA$144),"dd mmm yy"))&amp;" "&amp;Milestones!$AB$144&amp;" "&amp;Milestones!$AC$144&amp;";  ","")&amp;IF(AND(EDATE($D86,Milestones!$AA$145)&lt;=AsOfDate,IF($R86=0,$X86,IF(AND($T86&lt;&gt;"",EDATE($D86,Milestones!$AA$145)&gt;=$T86),$W86,IF(AND($S86&lt;&gt;"",EDATE($D86,Milestones!$AA$145)&gt;=$S86),$V86,$U86)))=Milestones!$AB$145),UPPER(TEXT(EDATE($D86,Milestones!$AA$145),"dd mmm yy"))&amp;" "&amp;Milestones!$AB$145&amp;" "&amp;Milestones!$AC$145&amp;";  ","")&amp;IF(AND(EDATE($D86,Milestones!$AA$146)&lt;=AsOfDate,IF($R86=0,$X86,IF(AND($T86&lt;&gt;"",EDATE($D86,Milestones!$AA$146)&gt;=$T86),$W86,IF(AND($S86&lt;&gt;"",EDATE($D86,Milestones!$AA$146)&gt;=$S86),$V86,$U86)))=Milestones!$AB$146),UPPER(TEXT(EDATE($D86,Milestones!$AA$146),"dd mmm yy"))&amp;" "&amp;Milestones!$AB$146&amp;" "&amp;Milestones!$AC$146&amp;";  ","")&amp;IF(AND(EDATE($D86,Milestones!$AA$147)&lt;=AsOfDate,IF($R86=0,$X86,IF(AND($T86&lt;&gt;"",EDATE($D86,Milestones!$AA$147)&gt;=$T86),$W86,IF(AND($S86&lt;&gt;"",EDATE($D86,Milestones!$AA$147)&gt;=$S86),$V86,$U86)))=Milestones!$AB$147),UPPER(TEXT(EDATE($D86,Milestones!$AA$147),"dd mmm yy"))&amp;" "&amp;Milestones!$AB$147&amp;" "&amp;Milestones!$AC$147&amp;";  ","")&amp;IF(AND(EDATE($D86,Milestones!$AA$148)&lt;=AsOfDate,IF($R86=0,$X86,IF(AND($T86&lt;&gt;"",EDATE($D86,Milestones!$AA$148)&gt;=$T86),$W86,IF(AND($S86&lt;&gt;"",EDATE($D86,Milestones!$AA$148)&gt;=$S86),$V86,$U86)))=Milestones!$AB$148),UPPER(TEXT(EDATE($D86,Milestones!$AA$148),"dd mmm yy"))&amp;" "&amp;Milestones!$AB$148&amp;" "&amp;Milestones!$AC$148&amp;";  ","")&amp;IF(AND(EDATE($D86,Milestones!$AA$149)&lt;=AsOfDate,IF($R86=0,$X86,IF(AND($T86&lt;&gt;"",EDATE($D86,Milestones!$AA$149)&gt;=$T86),$W86,IF(AND($S86&lt;&gt;"",EDATE($D86,Milestones!$AA$149)&gt;=$S86),$V86,$U86)))=Milestones!$AB$149),UPPER(TEXT(EDATE($D86,Milestones!$AA$149),"dd mmm yy"))&amp;" "&amp;Milestones!$AB$149&amp;" "&amp;Milestones!$AC$149&amp;";  ","")&amp;IF(AND(EDATE($D86,Milestones!$AA$150)&lt;=AsOfDate,IF($R86=0,$X86,IF(AND($T86&lt;&gt;"",EDATE($D86,Milestones!$AA$150)&gt;=$T86),$W86,IF(AND($S86&lt;&gt;"",EDATE($D86,Milestones!$AA$150)&gt;=$S86),$V86,$U86)))=Milestones!$AB$150),UPPER(TEXT(EDATE($D86,Milestones!$AA$150),"dd mmm yy"))&amp;" "&amp;Milestones!$AB$150&amp;" "&amp;Milestones!$AC$150&amp;";  ","")&amp;IF(AND(EDATE($D86,Milestones!$AA$151)&lt;=AsOfDate,IF($R86=0,$X86,IF(AND($T86&lt;&gt;"",EDATE($D86,Milestones!$AA$151)&gt;=$T86),$W86,IF(AND($S86&lt;&gt;"",EDATE($D86,Milestones!$AA$151)&gt;=$S86),$V86,$U86)))=Milestones!$AB$151),UPPER(TEXT(EDATE($D86,Milestones!$AA$151),"dd mmm yy"))&amp;" "&amp;Milestones!$AB$151&amp;" "&amp;Milestones!$AC$151&amp;";  ","")&amp;IF(AND(EDATE($D86,Milestones!$AA$152)&lt;=AsOfDate,IF($R86=0,$X86,IF(AND($T86&lt;&gt;"",EDATE($D86,Milestones!$AA$152)&gt;=$T86),$W86,IF(AND($S86&lt;&gt;"",EDATE($D86,Milestones!$AA$152)&gt;=$S86),$V86,$U86)))=Milestones!$AB$152),UPPER(TEXT(EDATE($D86,Milestones!$AA$152),"dd mmm yy"))&amp;" "&amp;Milestones!$AB$152&amp;" "&amp;Milestones!$AC$152&amp;";  ","")&amp;IF(AND(EDATE($D86,Milestones!$AA$153)&lt;=AsOfDate,IF($R86=0,$X86,IF(AND($T86&lt;&gt;"",EDATE($D86,Milestones!$AA$153)&gt;=$T86),$W86,IF(AND($S86&lt;&gt;"",EDATE($D86,Milestones!$AA$153)&gt;=$S86),$V86,$U86)))=Milestones!$AB$153),UPPER(TEXT(EDATE($D86,Milestones!$AA$153),"dd mmm yy"))&amp;" "&amp;Milestones!$AB$153&amp;" "&amp;Milestones!$AC$153&amp;";  ","")&amp;IF(AND(EDATE($D86,Milestones!$AA$154)&lt;=AsOfDate,IF($R86=0,$X86,IF(AND($T86&lt;&gt;"",EDATE($D86,Milestones!$AA$154)&gt;=$T86),$W86,IF(AND($S86&lt;&gt;"",EDATE($D86,Milestones!$AA$154)&gt;=$S86),$V86,$U86)))=Milestones!$AB$154),UPPER(TEXT(EDATE($D86,Milestones!$AA$154),"dd mmm yy"))&amp;" "&amp;Milestones!$AB$154&amp;" "&amp;Milestones!$AC$154&amp;";  ","")&amp;IF(AND(EDATE($D86,Milestones!$AA$155)&lt;=AsOfDate,IF($R86=0,$X86,IF(AND($T86&lt;&gt;"",EDATE($D86,Milestones!$AA$155)&gt;=$T86),$W86,IF(AND($S86&lt;&gt;"",EDATE($D86,Milestones!$AA$155)&gt;=$S86),$V86,$U86)))=Milestones!$AB$155),UPPER(TEXT(EDATE($D86,Milestones!$AA$155),"dd mmm yy"))&amp;" "&amp;Milestones!$AB$155&amp;" "&amp;Milestones!$AC$155&amp;";  ","")&amp;IF(AND(EDATE($D86,Milestones!$AA$156)&lt;=AsOfDate,IF($R86=0,$X86,IF(AND($T86&lt;&gt;"",EDATE($D86,Milestones!$AA$156)&gt;=$T86),$W86,IF(AND($S86&lt;&gt;"",EDATE($D86,Milestones!$AA$156)&gt;=$S86),$V86,$U86)))=Milestones!$AB$156),UPPER(TEXT(EDATE($D86,Milestones!$AA$156),"dd mmm yy"))&amp;" "&amp;Milestones!$AB$156&amp;" "&amp;Milestones!$AC$156&amp;";  ","")&amp;IF(AND(EDATE($D86,Milestones!$AA$157)&lt;=AsOfDate,IF($R86=0,$X86,IF(AND($T86&lt;&gt;"",EDATE($D86,Milestones!$AA$157)&gt;=$T86),$W86,IF(AND($S86&lt;&gt;"",EDATE($D86,Milestones!$AA$157)&gt;=$S86),$V86,$U86)))=Milestones!$AB$157),UPPER(TEXT(EDATE($D86,Milestones!$AA$157),"dd mmm yy"))&amp;" "&amp;Milestones!$AB$157&amp;" "&amp;Milestones!$AC$157&amp;";  ","")&amp;IF(AND(EDATE($D86,Milestones!$AA$158)&lt;=AsOfDate,IF($R86=0,$X86,IF(AND($T86&lt;&gt;"",EDATE($D86,Milestones!$AA$158)&gt;=$T86),$W86,IF(AND($S86&lt;&gt;"",EDATE($D86,Milestones!$AA$158)&gt;=$S86),$V86,$U86)))=Milestones!$AB$158),UPPER(TEXT(EDATE($D86,Milestones!$AA$158),"dd mmm yy"))&amp;" "&amp;Milestones!$AB$158&amp;" "&amp;Milestones!$AC$158&amp;";  ","")&amp;IF(AND(EDATE($D86,Milestones!$AA$159)&lt;=AsOfDate,IF($R86=0,$X86,IF(AND($T86&lt;&gt;"",EDATE($D86,Milestones!$AA$159)&gt;=$T86),$W86,IF(AND($S86&lt;&gt;"",EDATE($D86,Milestones!$AA$159)&gt;=$S86),$V86,$U86)))=Milestones!$AB$159),UPPER(TEXT(EDATE($D86,Milestones!$AA$159),"dd mmm yy"))&amp;" "&amp;Milestones!$AB$159&amp;" "&amp;Milestones!$AC$159&amp;";  ",""))</f>
        <v/>
      </c>
      <c r="P86" s="0" t="str">
        <f aca="false">IF(OR($A86="",$D86=""),"",IF(AND(EDATE($D86,Milestones!$AA$160)&lt;=AsOfDate,IF($R86=0,$X86,IF(AND($T86&lt;&gt;"",EDATE($D86,Milestones!$AA$160)&gt;=$T86),$W86,IF(AND($S86&lt;&gt;"",EDATE($D86,Milestones!$AA$160)&gt;=$S86),$V86,$U86)))=Milestones!$AB$160),UPPER(TEXT(EDATE($D86,Milestones!$AA$160),"dd mmm yy"))&amp;" "&amp;Milestones!$AB$160&amp;" "&amp;Milestones!$AC$160&amp;";  ","")&amp;IF(AND(EDATE($D86,Milestones!$AA$161)&lt;=AsOfDate,IF($R86=0,$X86,IF(AND($T86&lt;&gt;"",EDATE($D86,Milestones!$AA$161)&gt;=$T86),$W86,IF(AND($S86&lt;&gt;"",EDATE($D86,Milestones!$AA$161)&gt;=$S86),$V86,$U86)))=Milestones!$AB$161),UPPER(TEXT(EDATE($D86,Milestones!$AA$161),"dd mmm yy"))&amp;" "&amp;Milestones!$AB$161&amp;" "&amp;Milestones!$AC$161&amp;";  ","")&amp;IF(AND(EDATE($D86,Milestones!$AA$162)&lt;=AsOfDate,IF($R86=0,$X86,IF(AND($T86&lt;&gt;"",EDATE($D86,Milestones!$AA$162)&gt;=$T86),$W86,IF(AND($S86&lt;&gt;"",EDATE($D86,Milestones!$AA$162)&gt;=$S86),$V86,$U86)))=Milestones!$AB$162),UPPER(TEXT(EDATE($D86,Milestones!$AA$162),"dd mmm yy"))&amp;" "&amp;Milestones!$AB$162&amp;" "&amp;Milestones!$AC$162&amp;";  ","")&amp;IF(AND(EDATE($D86,Milestones!$AA$163)&lt;=AsOfDate,IF($R86=0,$X86,IF(AND($T86&lt;&gt;"",EDATE($D86,Milestones!$AA$163)&gt;=$T86),$W86,IF(AND($S86&lt;&gt;"",EDATE($D86,Milestones!$AA$163)&gt;=$S86),$V86,$U86)))=Milestones!$AB$163),UPPER(TEXT(EDATE($D86,Milestones!$AA$163),"dd mmm yy"))&amp;" "&amp;Milestones!$AB$163&amp;" "&amp;Milestones!$AC$163&amp;";  ","")&amp;IF(AND(EDATE($D86,Milestones!$AA$164)&lt;=AsOfDate,IF($R86=0,$X86,IF(AND($T86&lt;&gt;"",EDATE($D86,Milestones!$AA$164)&gt;=$T86),$W86,IF(AND($S86&lt;&gt;"",EDATE($D86,Milestones!$AA$164)&gt;=$S86),$V86,$U86)))=Milestones!$AB$164),UPPER(TEXT(EDATE($D86,Milestones!$AA$164),"dd mmm yy"))&amp;" "&amp;Milestones!$AB$164&amp;" "&amp;Milestones!$AC$164&amp;";  ","")&amp;IF(AND(EDATE($D86,Milestones!$AA$165)&lt;=AsOfDate,IF($R86=0,$X86,IF(AND($T86&lt;&gt;"",EDATE($D86,Milestones!$AA$165)&gt;=$T86),$W86,IF(AND($S86&lt;&gt;"",EDATE($D86,Milestones!$AA$165)&gt;=$S86),$V86,$U86)))=Milestones!$AB$165),UPPER(TEXT(EDATE($D86,Milestones!$AA$165),"dd mmm yy"))&amp;" "&amp;Milestones!$AB$165&amp;" "&amp;Milestones!$AC$165&amp;";  ","")&amp;IF(AND(EDATE($D86,Milestones!$AA$166)&lt;=AsOfDate,IF($R86=0,$X86,IF(AND($T86&lt;&gt;"",EDATE($D86,Milestones!$AA$166)&gt;=$T86),$W86,IF(AND($S86&lt;&gt;"",EDATE($D86,Milestones!$AA$166)&gt;=$S86),$V86,$U86)))=Milestones!$AB$166),UPPER(TEXT(EDATE($D86,Milestones!$AA$166),"dd mmm yy"))&amp;" "&amp;Milestones!$AB$166&amp;" "&amp;Milestones!$AC$166&amp;";  ","")&amp;IF(AND(EDATE($D86,Milestones!$AA$167)&lt;=AsOfDate,IF($R86=0,$X86,IF(AND($T86&lt;&gt;"",EDATE($D86,Milestones!$AA$167)&gt;=$T86),$W86,IF(AND($S86&lt;&gt;"",EDATE($D86,Milestones!$AA$167)&gt;=$S86),$V86,$U86)))=Milestones!$AB$167),UPPER(TEXT(EDATE($D86,Milestones!$AA$167),"dd mmm yy"))&amp;" "&amp;Milestones!$AB$167&amp;" "&amp;Milestones!$AC$167&amp;";  ","")&amp;IF(AND(EDATE($D86,Milestones!$AA$168)&lt;=AsOfDate,IF($R86=0,$X86,IF(AND($T86&lt;&gt;"",EDATE($D86,Milestones!$AA$168)&gt;=$T86),$W86,IF(AND($S86&lt;&gt;"",EDATE($D86,Milestones!$AA$168)&gt;=$S86),$V86,$U86)))=Milestones!$AB$168),UPPER(TEXT(EDATE($D86,Milestones!$AA$168),"dd mmm yy"))&amp;" "&amp;Milestones!$AB$168&amp;" "&amp;Milestones!$AC$168&amp;";  ","")&amp;IF(AND(EDATE($D86,Milestones!$AA$169)&lt;=AsOfDate,IF($R86=0,$X86,IF(AND($T86&lt;&gt;"",EDATE($D86,Milestones!$AA$169)&gt;=$T86),$W86,IF(AND($S86&lt;&gt;"",EDATE($D86,Milestones!$AA$169)&gt;=$S86),$V86,$U86)))=Milestones!$AB$169),UPPER(TEXT(EDATE($D86,Milestones!$AA$169),"dd mmm yy"))&amp;" "&amp;Milestones!$AB$169&amp;" "&amp;Milestones!$AC$169&amp;";  ","")&amp;IF(AND(EDATE($D86,Milestones!$AA$170)&lt;=AsOfDate,IF($R86=0,$X86,IF(AND($T86&lt;&gt;"",EDATE($D86,Milestones!$AA$170)&gt;=$T86),$W86,IF(AND($S86&lt;&gt;"",EDATE($D86,Milestones!$AA$170)&gt;=$S86),$V86,$U86)))=Milestones!$AB$170),UPPER(TEXT(EDATE($D86,Milestones!$AA$170),"dd mmm yy"))&amp;" "&amp;Milestones!$AB$170&amp;" "&amp;Milestones!$AC$170&amp;";  ","")&amp;IF(AND(EDATE($D86,Milestones!$AA$171)&lt;=AsOfDate,IF($R86=0,$X86,IF(AND($T86&lt;&gt;"",EDATE($D86,Milestones!$AA$171)&gt;=$T86),$W86,IF(AND($S86&lt;&gt;"",EDATE($D86,Milestones!$AA$171)&gt;=$S86),$V86,$U86)))=Milestones!$AB$171),UPPER(TEXT(EDATE($D86,Milestones!$AA$171),"dd mmm yy"))&amp;" "&amp;Milestones!$AB$171&amp;" "&amp;Milestones!$AC$171&amp;";  ","")&amp;IF(AND(EDATE($D86,Milestones!$AA$172)&lt;=AsOfDate,IF($R86=0,$X86,IF(AND($T86&lt;&gt;"",EDATE($D86,Milestones!$AA$172)&gt;=$T86),$W86,IF(AND($S86&lt;&gt;"",EDATE($D86,Milestones!$AA$172)&gt;=$S86),$V86,$U86)))=Milestones!$AB$172),UPPER(TEXT(EDATE($D86,Milestones!$AA$172),"dd mmm yy"))&amp;" "&amp;Milestones!$AB$172&amp;" "&amp;Milestones!$AC$172&amp;";  ","")&amp;IF(AND(EDATE($D86,Milestones!$AA$173)&lt;=AsOfDate,IF($R86=0,$X86,IF(AND($T86&lt;&gt;"",EDATE($D86,Milestones!$AA$173)&gt;=$T86),$W86,IF(AND($S86&lt;&gt;"",EDATE($D86,Milestones!$AA$173)&gt;=$S86),$V86,$U86)))=Milestones!$AB$173),UPPER(TEXT(EDATE($D86,Milestones!$AA$173),"dd mmm yy"))&amp;" "&amp;Milestones!$AB$173&amp;" "&amp;Milestones!$AC$173&amp;";  ","")&amp;IF(AND(EDATE($D86,Milestones!$AA$174)&lt;=AsOfDate,IF($R86=0,$X86,IF(AND($T86&lt;&gt;"",EDATE($D86,Milestones!$AA$174)&gt;=$T86),$W86,IF(AND($S86&lt;&gt;"",EDATE($D86,Milestones!$AA$174)&gt;=$S86),$V86,$U86)))=Milestones!$AB$174),UPPER(TEXT(EDATE($D86,Milestones!$AA$174),"dd mmm yy"))&amp;" "&amp;Milestones!$AB$174&amp;" "&amp;Milestones!$AC$174&amp;";  ","")&amp;IF(AND(EDATE($D86,Milestones!$AA$175)&lt;=AsOfDate,IF($R86=0,$X86,IF(AND($T86&lt;&gt;"",EDATE($D86,Milestones!$AA$175)&gt;=$T86),$W86,IF(AND($S86&lt;&gt;"",EDATE($D86,Milestones!$AA$175)&gt;=$S86),$V86,$U86)))=Milestones!$AB$175),UPPER(TEXT(EDATE($D86,Milestones!$AA$175),"dd mmm yy"))&amp;" "&amp;Milestones!$AB$175&amp;" "&amp;Milestones!$AC$175&amp;";  ","")&amp;IF(AND(EDATE($D86,Milestones!$AA$176)&lt;=AsOfDate,IF($R86=0,$X86,IF(AND($T86&lt;&gt;"",EDATE($D86,Milestones!$AA$176)&gt;=$T86),$W86,IF(AND($S86&lt;&gt;"",EDATE($D86,Milestones!$AA$176)&gt;=$S86),$V86,$U86)))=Milestones!$AB$176),UPPER(TEXT(EDATE($D86,Milestones!$AA$176),"dd mmm yy"))&amp;" "&amp;Milestones!$AB$176&amp;" "&amp;Milestones!$AC$176&amp;";  ","")&amp;IF(AND(EDATE($D86,Milestones!$AA$177)&lt;=AsOfDate,IF($R86=0,$X86,IF(AND($T86&lt;&gt;"",EDATE($D86,Milestones!$AA$177)&gt;=$T86),$W86,IF(AND($S86&lt;&gt;"",EDATE($D86,Milestones!$AA$177)&gt;=$S86),$V86,$U86)))=Milestones!$AB$177),UPPER(TEXT(EDATE($D86,Milestones!$AA$177),"dd mmm yy"))&amp;" "&amp;Milestones!$AB$177&amp;" "&amp;Milestones!$AC$177&amp;";  ","")&amp;IF(AND(EDATE($D86,Milestones!$AA$178)&lt;=AsOfDate,IF($R86=0,$X86,IF(AND($T86&lt;&gt;"",EDATE($D86,Milestones!$AA$178)&gt;=$T86),$W86,IF(AND($S86&lt;&gt;"",EDATE($D86,Milestones!$AA$178)&gt;=$S86),$V86,$U86)))=Milestones!$AB$178),UPPER(TEXT(EDATE($D86,Milestones!$AA$178),"dd mmm yy"))&amp;" "&amp;Milestones!$AB$178&amp;" "&amp;Milestones!$AC$178&amp;";  ","")&amp;IF(AND(EDATE($D86,Milestones!$AA$179)&lt;=AsOfDate,IF($R86=0,$X86,IF(AND($T86&lt;&gt;"",EDATE($D86,Milestones!$AA$179)&gt;=$T86),$W86,IF(AND($S86&lt;&gt;"",EDATE($D86,Milestones!$AA$179)&gt;=$S86),$V86,$U86)))=Milestones!$AB$179),UPPER(TEXT(EDATE($D86,Milestones!$AA$179),"dd mmm yy"))&amp;" "&amp;Milestones!$AB$179&amp;" "&amp;Milestones!$AC$179&amp;";  ",""))</f>
        <v/>
      </c>
      <c r="Q86" s="0" t="str">
        <f aca="false">IF(OR($A86="",$D86=""),"",IF(AND(EDATE($D86,Milestones!$AA$180)&lt;=AsOfDate,IF($R86=0,$X86,IF(AND($T86&lt;&gt;"",EDATE($D86,Milestones!$AA$180)&gt;=$T86),$W86,IF(AND($S86&lt;&gt;"",EDATE($D86,Milestones!$AA$180)&gt;=$S86),$V86,$U86)))=Milestones!$AB$180),UPPER(TEXT(EDATE($D86,Milestones!$AA$180),"dd mmm yy"))&amp;" "&amp;Milestones!$AB$180&amp;" "&amp;Milestones!$AC$180&amp;";  ","")&amp;IF(AND(EDATE($D86,Milestones!$AA$181)&lt;=AsOfDate,IF($R86=0,$X86,IF(AND($T86&lt;&gt;"",EDATE($D86,Milestones!$AA$181)&gt;=$T86),$W86,IF(AND($S86&lt;&gt;"",EDATE($D86,Milestones!$AA$181)&gt;=$S86),$V86,$U86)))=Milestones!$AB$181),UPPER(TEXT(EDATE($D86,Milestones!$AA$181),"dd mmm yy"))&amp;" "&amp;Milestones!$AB$181&amp;" "&amp;Milestones!$AC$181&amp;";  ","")&amp;IF(AND(EDATE($D86,Milestones!$AA$182)&lt;=AsOfDate,IF($R86=0,$X86,IF(AND($T86&lt;&gt;"",EDATE($D86,Milestones!$AA$182)&gt;=$T86),$W86,IF(AND($S86&lt;&gt;"",EDATE($D86,Milestones!$AA$182)&gt;=$S86),$V86,$U86)))=Milestones!$AB$182),UPPER(TEXT(EDATE($D86,Milestones!$AA$182),"dd mmm yy"))&amp;" "&amp;Milestones!$AB$182&amp;" "&amp;Milestones!$AC$182&amp;";  ","")&amp;IF(AND(EDATE($D86,Milestones!$AA$183)&lt;=AsOfDate,IF($R86=0,$X86,IF(AND($T86&lt;&gt;"",EDATE($D86,Milestones!$AA$183)&gt;=$T86),$W86,IF(AND($S86&lt;&gt;"",EDATE($D86,Milestones!$AA$183)&gt;=$S86),$V86,$U86)))=Milestones!$AB$183),UPPER(TEXT(EDATE($D86,Milestones!$AA$183),"dd mmm yy"))&amp;" "&amp;Milestones!$AB$183&amp;" "&amp;Milestones!$AC$183&amp;";  ","")&amp;IF(AND(EDATE($D86,Milestones!$AA$184)&lt;=AsOfDate,IF($R86=0,$X86,IF(AND($T86&lt;&gt;"",EDATE($D86,Milestones!$AA$184)&gt;=$T86),$W86,IF(AND($S86&lt;&gt;"",EDATE($D86,Milestones!$AA$184)&gt;=$S86),$V86,$U86)))=Milestones!$AB$184),UPPER(TEXT(EDATE($D86,Milestones!$AA$184),"dd mmm yy"))&amp;" "&amp;Milestones!$AB$184&amp;" "&amp;Milestones!$AC$184&amp;";  ","")&amp;IF(AND(EDATE($D86,Milestones!$AA$185)&lt;=AsOfDate,IF($R86=0,$X86,IF(AND($T86&lt;&gt;"",EDATE($D86,Milestones!$AA$185)&gt;=$T86),$W86,IF(AND($S86&lt;&gt;"",EDATE($D86,Milestones!$AA$185)&gt;=$S86),$V86,$U86)))=Milestones!$AB$185),UPPER(TEXT(EDATE($D86,Milestones!$AA$185),"dd mmm yy"))&amp;" "&amp;Milestones!$AB$185&amp;" "&amp;Milestones!$AC$185&amp;";  ","")&amp;IF(AND(EDATE($D86,Milestones!$AA$186)&lt;=AsOfDate,IF($R86=0,$X86,IF(AND($T86&lt;&gt;"",EDATE($D86,Milestones!$AA$186)&gt;=$T86),$W86,IF(AND($S86&lt;&gt;"",EDATE($D86,Milestones!$AA$186)&gt;=$S86),$V86,$U86)))=Milestones!$AB$186),UPPER(TEXT(EDATE($D86,Milestones!$AA$186),"dd mmm yy"))&amp;" "&amp;Milestones!$AB$186&amp;" "&amp;Milestones!$AC$186&amp;";  ","")&amp;IF(AND(EDATE($D86,Milestones!$AA$187)&lt;=AsOfDate,IF($R86=0,$X86,IF(AND($T86&lt;&gt;"",EDATE($D86,Milestones!$AA$187)&gt;=$T86),$W86,IF(AND($S86&lt;&gt;"",EDATE($D86,Milestones!$AA$187)&gt;=$S86),$V86,$U86)))=Milestones!$AB$187),UPPER(TEXT(EDATE($D86,Milestones!$AA$187),"dd mmm yy"))&amp;" "&amp;Milestones!$AB$187&amp;" "&amp;Milestones!$AC$187&amp;";  ","")&amp;IF(AND(EDATE($D86,Milestones!$AA$188)&lt;=AsOfDate,IF($R86=0,$X86,IF(AND($T86&lt;&gt;"",EDATE($D86,Milestones!$AA$188)&gt;=$T86),$W86,IF(AND($S86&lt;&gt;"",EDATE($D86,Milestones!$AA$188)&gt;=$S86),$V86,$U86)))=Milestones!$AB$188),UPPER(TEXT(EDATE($D86,Milestones!$AA$188),"dd mmm yy"))&amp;" "&amp;Milestones!$AB$188&amp;" "&amp;Milestones!$AC$188&amp;";  ","")&amp;IF(AND(EDATE($D86,Milestones!$AA$189)&lt;=AsOfDate,IF($R86=0,$X86,IF(AND($T86&lt;&gt;"",EDATE($D86,Milestones!$AA$189)&gt;=$T86),$W86,IF(AND($S86&lt;&gt;"",EDATE($D86,Milestones!$AA$189)&gt;=$S86),$V86,$U86)))=Milestones!$AB$189),UPPER(TEXT(EDATE($D86,Milestones!$AA$189),"dd mmm yy"))&amp;" "&amp;Milestones!$AB$189&amp;" "&amp;Milestones!$AC$189&amp;";  ","")&amp;IF(AND(EDATE($D86,Milestones!$AA$190)&lt;=AsOfDate,IF($R86=0,$X86,IF(AND($T86&lt;&gt;"",EDATE($D86,Milestones!$AA$190)&gt;=$T86),$W86,IF(AND($S86&lt;&gt;"",EDATE($D86,Milestones!$AA$190)&gt;=$S86),$V86,$U86)))=Milestones!$AB$190),UPPER(TEXT(EDATE($D86,Milestones!$AA$190),"dd mmm yy"))&amp;" "&amp;Milestones!$AB$190&amp;" "&amp;Milestones!$AC$190&amp;";  ","")&amp;IF(AND(EDATE($D86,Milestones!$AA$191)&lt;=AsOfDate,IF($R86=0,$X86,IF(AND($T86&lt;&gt;"",EDATE($D86,Milestones!$AA$191)&gt;=$T86),$W86,IF(AND($S86&lt;&gt;"",EDATE($D86,Milestones!$AA$191)&gt;=$S86),$V86,$U86)))=Milestones!$AB$191),UPPER(TEXT(EDATE($D86,Milestones!$AA$191),"dd mmm yy"))&amp;" "&amp;Milestones!$AB$191&amp;" "&amp;Milestones!$AC$191&amp;";  ","")&amp;IF(AND(EDATE($D86,Milestones!$AA$192)&lt;=AsOfDate,IF($R86=0,$X86,IF(AND($T86&lt;&gt;"",EDATE($D86,Milestones!$AA$192)&gt;=$T86),$W86,IF(AND($S86&lt;&gt;"",EDATE($D86,Milestones!$AA$192)&gt;=$S86),$V86,$U86)))=Milestones!$AB$192),UPPER(TEXT(EDATE($D86,Milestones!$AA$192),"dd mmm yy"))&amp;" "&amp;Milestones!$AB$192&amp;" "&amp;Milestones!$AC$192&amp;";  ","")&amp;IF(AND(EDATE($D86,Milestones!$AA$193)&lt;=AsOfDate,IF($R86=0,$X86,IF(AND($T86&lt;&gt;"",EDATE($D86,Milestones!$AA$193)&gt;=$T86),$W86,IF(AND($S86&lt;&gt;"",EDATE($D86,Milestones!$AA$193)&gt;=$S86),$V86,$U86)))=Milestones!$AB$193),UPPER(TEXT(EDATE($D86,Milestones!$AA$193),"dd mmm yy"))&amp;" "&amp;Milestones!$AB$193&amp;" "&amp;Milestones!$AC$193&amp;";  ","")&amp;IF(AND(EDATE($D86,Milestones!$AA$194)&lt;=AsOfDate,IF($R86=0,$X86,IF(AND($T86&lt;&gt;"",EDATE($D86,Milestones!$AA$194)&gt;=$T86),$W86,IF(AND($S86&lt;&gt;"",EDATE($D86,Milestones!$AA$194)&gt;=$S86),$V86,$U86)))=Milestones!$AB$194),UPPER(TEXT(EDATE($D86,Milestones!$AA$194),"dd mmm yy"))&amp;" "&amp;Milestones!$AB$194&amp;" "&amp;Milestones!$AC$194&amp;";  ","")&amp;IF(AND(EDATE($D86,Milestones!$AA$195)&lt;=AsOfDate,IF($R86=0,$X86,IF(AND($T86&lt;&gt;"",EDATE($D86,Milestones!$AA$195)&gt;=$T86),$W86,IF(AND($S86&lt;&gt;"",EDATE($D86,Milestones!$AA$195)&gt;=$S86),$V86,$U86)))=Milestones!$AB$195),UPPER(TEXT(EDATE($D86,Milestones!$AA$195),"dd mmm yy"))&amp;" "&amp;Milestones!$AB$195&amp;" "&amp;Milestones!$AC$195&amp;";  ","")&amp;IF(AND(EDATE($D86,Milestones!$AA$196)&lt;=AsOfDate,IF($R86=0,$X86,IF(AND($T86&lt;&gt;"",EDATE($D86,Milestones!$AA$196)&gt;=$T86),$W86,IF(AND($S86&lt;&gt;"",EDATE($D86,Milestones!$AA$196)&gt;=$S86),$V86,$U86)))=Milestones!$AB$196),UPPER(TEXT(EDATE($D86,Milestones!$AA$196),"dd mmm yy"))&amp;" "&amp;Milestones!$AB$196&amp;" "&amp;Milestones!$AC$196&amp;";  ","")&amp;IF(AND(EDATE($D86,Milestones!$AA$197)&lt;=AsOfDate,IF($R86=0,$X86,IF(AND($T86&lt;&gt;"",EDATE($D86,Milestones!$AA$197)&gt;=$T86),$W86,IF(AND($S86&lt;&gt;"",EDATE($D86,Milestones!$AA$197)&gt;=$S86),$V86,$U86)))=Milestones!$AB$197),UPPER(TEXT(EDATE($D86,Milestones!$AA$197),"dd mmm yy"))&amp;" "&amp;Milestones!$AB$197&amp;" "&amp;Milestones!$AC$197&amp;";  ","")&amp;IF(AND(EDATE($D86,Milestones!$AA$198)&lt;=AsOfDate,IF($R86=0,$X86,IF(AND($T86&lt;&gt;"",EDATE($D86,Milestones!$AA$198)&gt;=$T86),$W86,IF(AND($S86&lt;&gt;"",EDATE($D86,Milestones!$AA$198)&gt;=$S86),$V86,$U86)))=Milestones!$AB$198),UPPER(TEXT(EDATE($D86,Milestones!$AA$198),"dd mmm yy"))&amp;" "&amp;Milestones!$AB$198&amp;" "&amp;Milestones!$AC$198&amp;";  ","")&amp;IF(AND(EDATE($D86,Milestones!$AA$199)&lt;=AsOfDate,IF($R86=0,$X86,IF(AND($T86&lt;&gt;"",EDATE($D86,Milestones!$AA$199)&gt;=$T86),$W86,IF(AND($S86&lt;&gt;"",EDATE($D86,Milestones!$AA$199)&gt;=$S86),$V86,$U86)))=Milestones!$AB$199),UPPER(TEXT(EDATE($D86,Milestones!$AA$199),"dd mmm yy"))&amp;" "&amp;Milestones!$AB$199&amp;" "&amp;Milestones!$AC$199&amp;";  ",""))</f>
        <v/>
      </c>
      <c r="R86" s="0" t="str">
        <f aca="false">IF(Staff!$A86="","",Staff!$AI86)</f>
        <v/>
      </c>
      <c r="S86" s="0" t="str">
        <f aca="false">IF(Staff!$A86="","",Staff!$AK86)</f>
        <v/>
      </c>
      <c r="T86" s="0" t="str">
        <f aca="false">IF(Staff!$A86="","",Staff!$AL86)</f>
        <v/>
      </c>
      <c r="U86" s="0" t="str">
        <f aca="false">IF(Staff!$A86="","",Staff!$AP86)</f>
        <v/>
      </c>
      <c r="V86" s="0" t="str">
        <f aca="false">IF(Staff!$A86="","",Staff!$AQ86)</f>
        <v/>
      </c>
      <c r="W86" s="0" t="str">
        <f aca="false">IF(Staff!$A86="","",Staff!$AR86)</f>
        <v/>
      </c>
      <c r="X86" s="0" t="str">
        <f aca="false">IF(Staff!$A86="","",Staff!$AS86)</f>
        <v/>
      </c>
    </row>
    <row r="87" customFormat="false" ht="15" hidden="false" customHeight="false" outlineLevel="0" collapsed="false">
      <c r="A87" s="19" t="str">
        <f aca="false">IF(Staff!$A87="","",Staff!$A87)</f>
        <v/>
      </c>
      <c r="B87" s="19" t="str">
        <f aca="false">IF(Staff!$A87="","",Staff!$B87)</f>
        <v/>
      </c>
      <c r="C87" s="19" t="str">
        <f aca="false">IF(Staff!$A87="","",Staff!$C87)</f>
        <v/>
      </c>
      <c r="D87" s="17" t="str">
        <f aca="false">IF(Staff!$A87="","",Staff!$AH87)</f>
        <v/>
      </c>
      <c r="E87" s="19" t="str">
        <f aca="false">IF(Staff!$A87="","",Staff!$O87)</f>
        <v/>
      </c>
      <c r="F87" s="19" t="str">
        <f aca="false">IF(E87="","",E87*HoursPerDay)</f>
        <v/>
      </c>
      <c r="G87" s="19" t="str">
        <f aca="false">IF(Staff!$A87="","",Staff!$AE87)</f>
        <v/>
      </c>
      <c r="H87" s="32" t="str">
        <f aca="false">IF($A87="","",I87&amp;J87&amp;K87&amp;L87&amp;M87&amp;N87&amp;O87&amp;P87&amp;Q87)</f>
        <v/>
      </c>
      <c r="I87" s="0" t="str">
        <f aca="false">IF(OR($A87="",$D87=""),"",IF(AND(EDATE($D87,Milestones!$AA$20)&lt;=AsOfDate,IF($R87=0,$X87,IF(AND($T87&lt;&gt;"",EDATE($D87,Milestones!$AA$20)&gt;=$T87),$W87,IF(AND($S87&lt;&gt;"",EDATE($D87,Milestones!$AA$20)&gt;=$S87),$V87,$U87)))=Milestones!$AB$20),UPPER(TEXT(EDATE($D87,Milestones!$AA$20),"dd mmm yy"))&amp;" "&amp;Milestones!$AB$20&amp;" "&amp;Milestones!$AC$20&amp;";  ","")&amp;IF(AND(EDATE($D87,Milestones!$AA$21)&lt;=AsOfDate,IF($R87=0,$X87,IF(AND($T87&lt;&gt;"",EDATE($D87,Milestones!$AA$21)&gt;=$T87),$W87,IF(AND($S87&lt;&gt;"",EDATE($D87,Milestones!$AA$21)&gt;=$S87),$V87,$U87)))=Milestones!$AB$21),UPPER(TEXT(EDATE($D87,Milestones!$AA$21),"dd mmm yy"))&amp;" "&amp;Milestones!$AB$21&amp;" "&amp;Milestones!$AC$21&amp;";  ","")&amp;IF(AND(EDATE($D87,Milestones!$AA$22)&lt;=AsOfDate,IF($R87=0,$X87,IF(AND($T87&lt;&gt;"",EDATE($D87,Milestones!$AA$22)&gt;=$T87),$W87,IF(AND($S87&lt;&gt;"",EDATE($D87,Milestones!$AA$22)&gt;=$S87),$V87,$U87)))=Milestones!$AB$22),UPPER(TEXT(EDATE($D87,Milestones!$AA$22),"dd mmm yy"))&amp;" "&amp;Milestones!$AB$22&amp;" "&amp;Milestones!$AC$22&amp;";  ","")&amp;IF(AND(EDATE($D87,Milestones!$AA$23)&lt;=AsOfDate,IF($R87=0,$X87,IF(AND($T87&lt;&gt;"",EDATE($D87,Milestones!$AA$23)&gt;=$T87),$W87,IF(AND($S87&lt;&gt;"",EDATE($D87,Milestones!$AA$23)&gt;=$S87),$V87,$U87)))=Milestones!$AB$23),UPPER(TEXT(EDATE($D87,Milestones!$AA$23),"dd mmm yy"))&amp;" "&amp;Milestones!$AB$23&amp;" "&amp;Milestones!$AC$23&amp;";  ","")&amp;IF(AND(EDATE($D87,Milestones!$AA$24)&lt;=AsOfDate,IF($R87=0,$X87,IF(AND($T87&lt;&gt;"",EDATE($D87,Milestones!$AA$24)&gt;=$T87),$W87,IF(AND($S87&lt;&gt;"",EDATE($D87,Milestones!$AA$24)&gt;=$S87),$V87,$U87)))=Milestones!$AB$24),UPPER(TEXT(EDATE($D87,Milestones!$AA$24),"dd mmm yy"))&amp;" "&amp;Milestones!$AB$24&amp;" "&amp;Milestones!$AC$24&amp;";  ","")&amp;IF(AND(EDATE($D87,Milestones!$AA$25)&lt;=AsOfDate,IF($R87=0,$X87,IF(AND($T87&lt;&gt;"",EDATE($D87,Milestones!$AA$25)&gt;=$T87),$W87,IF(AND($S87&lt;&gt;"",EDATE($D87,Milestones!$AA$25)&gt;=$S87),$V87,$U87)))=Milestones!$AB$25),UPPER(TEXT(EDATE($D87,Milestones!$AA$25),"dd mmm yy"))&amp;" "&amp;Milestones!$AB$25&amp;" "&amp;Milestones!$AC$25&amp;";  ","")&amp;IF(AND(EDATE($D87,Milestones!$AA$26)&lt;=AsOfDate,IF($R87=0,$X87,IF(AND($T87&lt;&gt;"",EDATE($D87,Milestones!$AA$26)&gt;=$T87),$W87,IF(AND($S87&lt;&gt;"",EDATE($D87,Milestones!$AA$26)&gt;=$S87),$V87,$U87)))=Milestones!$AB$26),UPPER(TEXT(EDATE($D87,Milestones!$AA$26),"dd mmm yy"))&amp;" "&amp;Milestones!$AB$26&amp;" "&amp;Milestones!$AC$26&amp;";  ","")&amp;IF(AND(EDATE($D87,Milestones!$AA$27)&lt;=AsOfDate,IF($R87=0,$X87,IF(AND($T87&lt;&gt;"",EDATE($D87,Milestones!$AA$27)&gt;=$T87),$W87,IF(AND($S87&lt;&gt;"",EDATE($D87,Milestones!$AA$27)&gt;=$S87),$V87,$U87)))=Milestones!$AB$27),UPPER(TEXT(EDATE($D87,Milestones!$AA$27),"dd mmm yy"))&amp;" "&amp;Milestones!$AB$27&amp;" "&amp;Milestones!$AC$27&amp;";  ","")&amp;IF(AND(EDATE($D87,Milestones!$AA$28)&lt;=AsOfDate,IF($R87=0,$X87,IF(AND($T87&lt;&gt;"",EDATE($D87,Milestones!$AA$28)&gt;=$T87),$W87,IF(AND($S87&lt;&gt;"",EDATE($D87,Milestones!$AA$28)&gt;=$S87),$V87,$U87)))=Milestones!$AB$28),UPPER(TEXT(EDATE($D87,Milestones!$AA$28),"dd mmm yy"))&amp;" "&amp;Milestones!$AB$28&amp;" "&amp;Milestones!$AC$28&amp;";  ","")&amp;IF(AND(EDATE($D87,Milestones!$AA$29)&lt;=AsOfDate,IF($R87=0,$X87,IF(AND($T87&lt;&gt;"",EDATE($D87,Milestones!$AA$29)&gt;=$T87),$W87,IF(AND($S87&lt;&gt;"",EDATE($D87,Milestones!$AA$29)&gt;=$S87),$V87,$U87)))=Milestones!$AB$29),UPPER(TEXT(EDATE($D87,Milestones!$AA$29),"dd mmm yy"))&amp;" "&amp;Milestones!$AB$29&amp;" "&amp;Milestones!$AC$29&amp;";  ","")&amp;IF(AND(EDATE($D87,Milestones!$AA$30)&lt;=AsOfDate,IF($R87=0,$X87,IF(AND($T87&lt;&gt;"",EDATE($D87,Milestones!$AA$30)&gt;=$T87),$W87,IF(AND($S87&lt;&gt;"",EDATE($D87,Milestones!$AA$30)&gt;=$S87),$V87,$U87)))=Milestones!$AB$30),UPPER(TEXT(EDATE($D87,Milestones!$AA$30),"dd mmm yy"))&amp;" "&amp;Milestones!$AB$30&amp;" "&amp;Milestones!$AC$30&amp;";  ","")&amp;IF(AND(EDATE($D87,Milestones!$AA$31)&lt;=AsOfDate,IF($R87=0,$X87,IF(AND($T87&lt;&gt;"",EDATE($D87,Milestones!$AA$31)&gt;=$T87),$W87,IF(AND($S87&lt;&gt;"",EDATE($D87,Milestones!$AA$31)&gt;=$S87),$V87,$U87)))=Milestones!$AB$31),UPPER(TEXT(EDATE($D87,Milestones!$AA$31),"dd mmm yy"))&amp;" "&amp;Milestones!$AB$31&amp;" "&amp;Milestones!$AC$31&amp;";  ","")&amp;IF(AND(EDATE($D87,Milestones!$AA$32)&lt;=AsOfDate,IF($R87=0,$X87,IF(AND($T87&lt;&gt;"",EDATE($D87,Milestones!$AA$32)&gt;=$T87),$W87,IF(AND($S87&lt;&gt;"",EDATE($D87,Milestones!$AA$32)&gt;=$S87),$V87,$U87)))=Milestones!$AB$32),UPPER(TEXT(EDATE($D87,Milestones!$AA$32),"dd mmm yy"))&amp;" "&amp;Milestones!$AB$32&amp;" "&amp;Milestones!$AC$32&amp;";  ","")&amp;IF(AND(EDATE($D87,Milestones!$AA$33)&lt;=AsOfDate,IF($R87=0,$X87,IF(AND($T87&lt;&gt;"",EDATE($D87,Milestones!$AA$33)&gt;=$T87),$W87,IF(AND($S87&lt;&gt;"",EDATE($D87,Milestones!$AA$33)&gt;=$S87),$V87,$U87)))=Milestones!$AB$33),UPPER(TEXT(EDATE($D87,Milestones!$AA$33),"dd mmm yy"))&amp;" "&amp;Milestones!$AB$33&amp;" "&amp;Milestones!$AC$33&amp;";  ","")&amp;IF(AND(EDATE($D87,Milestones!$AA$34)&lt;=AsOfDate,IF($R87=0,$X87,IF(AND($T87&lt;&gt;"",EDATE($D87,Milestones!$AA$34)&gt;=$T87),$W87,IF(AND($S87&lt;&gt;"",EDATE($D87,Milestones!$AA$34)&gt;=$S87),$V87,$U87)))=Milestones!$AB$34),UPPER(TEXT(EDATE($D87,Milestones!$AA$34),"dd mmm yy"))&amp;" "&amp;Milestones!$AB$34&amp;" "&amp;Milestones!$AC$34&amp;";  ","")&amp;IF(AND(EDATE($D87,Milestones!$AA$35)&lt;=AsOfDate,IF($R87=0,$X87,IF(AND($T87&lt;&gt;"",EDATE($D87,Milestones!$AA$35)&gt;=$T87),$W87,IF(AND($S87&lt;&gt;"",EDATE($D87,Milestones!$AA$35)&gt;=$S87),$V87,$U87)))=Milestones!$AB$35),UPPER(TEXT(EDATE($D87,Milestones!$AA$35),"dd mmm yy"))&amp;" "&amp;Milestones!$AB$35&amp;" "&amp;Milestones!$AC$35&amp;";  ","")&amp;IF(AND(EDATE($D87,Milestones!$AA$36)&lt;=AsOfDate,IF($R87=0,$X87,IF(AND($T87&lt;&gt;"",EDATE($D87,Milestones!$AA$36)&gt;=$T87),$W87,IF(AND($S87&lt;&gt;"",EDATE($D87,Milestones!$AA$36)&gt;=$S87),$V87,$U87)))=Milestones!$AB$36),UPPER(TEXT(EDATE($D87,Milestones!$AA$36),"dd mmm yy"))&amp;" "&amp;Milestones!$AB$36&amp;" "&amp;Milestones!$AC$36&amp;";  ","")&amp;IF(AND(EDATE($D87,Milestones!$AA$37)&lt;=AsOfDate,IF($R87=0,$X87,IF(AND($T87&lt;&gt;"",EDATE($D87,Milestones!$AA$37)&gt;=$T87),$W87,IF(AND($S87&lt;&gt;"",EDATE($D87,Milestones!$AA$37)&gt;=$S87),$V87,$U87)))=Milestones!$AB$37),UPPER(TEXT(EDATE($D87,Milestones!$AA$37),"dd mmm yy"))&amp;" "&amp;Milestones!$AB$37&amp;" "&amp;Milestones!$AC$37&amp;";  ","")&amp;IF(AND(EDATE($D87,Milestones!$AA$38)&lt;=AsOfDate,IF($R87=0,$X87,IF(AND($T87&lt;&gt;"",EDATE($D87,Milestones!$AA$38)&gt;=$T87),$W87,IF(AND($S87&lt;&gt;"",EDATE($D87,Milestones!$AA$38)&gt;=$S87),$V87,$U87)))=Milestones!$AB$38),UPPER(TEXT(EDATE($D87,Milestones!$AA$38),"dd mmm yy"))&amp;" "&amp;Milestones!$AB$38&amp;" "&amp;Milestones!$AC$38&amp;";  ","")&amp;IF(AND(EDATE($D87,Milestones!$AA$39)&lt;=AsOfDate,IF($R87=0,$X87,IF(AND($T87&lt;&gt;"",EDATE($D87,Milestones!$AA$39)&gt;=$T87),$W87,IF(AND($S87&lt;&gt;"",EDATE($D87,Milestones!$AA$39)&gt;=$S87),$V87,$U87)))=Milestones!$AB$39),UPPER(TEXT(EDATE($D87,Milestones!$AA$39),"dd mmm yy"))&amp;" "&amp;Milestones!$AB$39&amp;" "&amp;Milestones!$AC$39&amp;";  ",""))</f>
        <v/>
      </c>
      <c r="J87" s="0" t="str">
        <f aca="false">IF(OR($A87="",$D87=""),"",IF(AND(EDATE($D87,Milestones!$AA$40)&lt;=AsOfDate,IF($R87=0,$X87,IF(AND($T87&lt;&gt;"",EDATE($D87,Milestones!$AA$40)&gt;=$T87),$W87,IF(AND($S87&lt;&gt;"",EDATE($D87,Milestones!$AA$40)&gt;=$S87),$V87,$U87)))=Milestones!$AB$40),UPPER(TEXT(EDATE($D87,Milestones!$AA$40),"dd mmm yy"))&amp;" "&amp;Milestones!$AB$40&amp;" "&amp;Milestones!$AC$40&amp;";  ","")&amp;IF(AND(EDATE($D87,Milestones!$AA$41)&lt;=AsOfDate,IF($R87=0,$X87,IF(AND($T87&lt;&gt;"",EDATE($D87,Milestones!$AA$41)&gt;=$T87),$W87,IF(AND($S87&lt;&gt;"",EDATE($D87,Milestones!$AA$41)&gt;=$S87),$V87,$U87)))=Milestones!$AB$41),UPPER(TEXT(EDATE($D87,Milestones!$AA$41),"dd mmm yy"))&amp;" "&amp;Milestones!$AB$41&amp;" "&amp;Milestones!$AC$41&amp;";  ","")&amp;IF(AND(EDATE($D87,Milestones!$AA$42)&lt;=AsOfDate,IF($R87=0,$X87,IF(AND($T87&lt;&gt;"",EDATE($D87,Milestones!$AA$42)&gt;=$T87),$W87,IF(AND($S87&lt;&gt;"",EDATE($D87,Milestones!$AA$42)&gt;=$S87),$V87,$U87)))=Milestones!$AB$42),UPPER(TEXT(EDATE($D87,Milestones!$AA$42),"dd mmm yy"))&amp;" "&amp;Milestones!$AB$42&amp;" "&amp;Milestones!$AC$42&amp;";  ","")&amp;IF(AND(EDATE($D87,Milestones!$AA$43)&lt;=AsOfDate,IF($R87=0,$X87,IF(AND($T87&lt;&gt;"",EDATE($D87,Milestones!$AA$43)&gt;=$T87),$W87,IF(AND($S87&lt;&gt;"",EDATE($D87,Milestones!$AA$43)&gt;=$S87),$V87,$U87)))=Milestones!$AB$43),UPPER(TEXT(EDATE($D87,Milestones!$AA$43),"dd mmm yy"))&amp;" "&amp;Milestones!$AB$43&amp;" "&amp;Milestones!$AC$43&amp;";  ","")&amp;IF(AND(EDATE($D87,Milestones!$AA$44)&lt;=AsOfDate,IF($R87=0,$X87,IF(AND($T87&lt;&gt;"",EDATE($D87,Milestones!$AA$44)&gt;=$T87),$W87,IF(AND($S87&lt;&gt;"",EDATE($D87,Milestones!$AA$44)&gt;=$S87),$V87,$U87)))=Milestones!$AB$44),UPPER(TEXT(EDATE($D87,Milestones!$AA$44),"dd mmm yy"))&amp;" "&amp;Milestones!$AB$44&amp;" "&amp;Milestones!$AC$44&amp;";  ","")&amp;IF(AND(EDATE($D87,Milestones!$AA$45)&lt;=AsOfDate,IF($R87=0,$X87,IF(AND($T87&lt;&gt;"",EDATE($D87,Milestones!$AA$45)&gt;=$T87),$W87,IF(AND($S87&lt;&gt;"",EDATE($D87,Milestones!$AA$45)&gt;=$S87),$V87,$U87)))=Milestones!$AB$45),UPPER(TEXT(EDATE($D87,Milestones!$AA$45),"dd mmm yy"))&amp;" "&amp;Milestones!$AB$45&amp;" "&amp;Milestones!$AC$45&amp;";  ","")&amp;IF(AND(EDATE($D87,Milestones!$AA$46)&lt;=AsOfDate,IF($R87=0,$X87,IF(AND($T87&lt;&gt;"",EDATE($D87,Milestones!$AA$46)&gt;=$T87),$W87,IF(AND($S87&lt;&gt;"",EDATE($D87,Milestones!$AA$46)&gt;=$S87),$V87,$U87)))=Milestones!$AB$46),UPPER(TEXT(EDATE($D87,Milestones!$AA$46),"dd mmm yy"))&amp;" "&amp;Milestones!$AB$46&amp;" "&amp;Milestones!$AC$46&amp;";  ","")&amp;IF(AND(EDATE($D87,Milestones!$AA$47)&lt;=AsOfDate,IF($R87=0,$X87,IF(AND($T87&lt;&gt;"",EDATE($D87,Milestones!$AA$47)&gt;=$T87),$W87,IF(AND($S87&lt;&gt;"",EDATE($D87,Milestones!$AA$47)&gt;=$S87),$V87,$U87)))=Milestones!$AB$47),UPPER(TEXT(EDATE($D87,Milestones!$AA$47),"dd mmm yy"))&amp;" "&amp;Milestones!$AB$47&amp;" "&amp;Milestones!$AC$47&amp;";  ","")&amp;IF(AND(EDATE($D87,Milestones!$AA$48)&lt;=AsOfDate,IF($R87=0,$X87,IF(AND($T87&lt;&gt;"",EDATE($D87,Milestones!$AA$48)&gt;=$T87),$W87,IF(AND($S87&lt;&gt;"",EDATE($D87,Milestones!$AA$48)&gt;=$S87),$V87,$U87)))=Milestones!$AB$48),UPPER(TEXT(EDATE($D87,Milestones!$AA$48),"dd mmm yy"))&amp;" "&amp;Milestones!$AB$48&amp;" "&amp;Milestones!$AC$48&amp;";  ","")&amp;IF(AND(EDATE($D87,Milestones!$AA$49)&lt;=AsOfDate,IF($R87=0,$X87,IF(AND($T87&lt;&gt;"",EDATE($D87,Milestones!$AA$49)&gt;=$T87),$W87,IF(AND($S87&lt;&gt;"",EDATE($D87,Milestones!$AA$49)&gt;=$S87),$V87,$U87)))=Milestones!$AB$49),UPPER(TEXT(EDATE($D87,Milestones!$AA$49),"dd mmm yy"))&amp;" "&amp;Milestones!$AB$49&amp;" "&amp;Milestones!$AC$49&amp;";  ","")&amp;IF(AND(EDATE($D87,Milestones!$AA$50)&lt;=AsOfDate,IF($R87=0,$X87,IF(AND($T87&lt;&gt;"",EDATE($D87,Milestones!$AA$50)&gt;=$T87),$W87,IF(AND($S87&lt;&gt;"",EDATE($D87,Milestones!$AA$50)&gt;=$S87),$V87,$U87)))=Milestones!$AB$50),UPPER(TEXT(EDATE($D87,Milestones!$AA$50),"dd mmm yy"))&amp;" "&amp;Milestones!$AB$50&amp;" "&amp;Milestones!$AC$50&amp;";  ","")&amp;IF(AND(EDATE($D87,Milestones!$AA$51)&lt;=AsOfDate,IF($R87=0,$X87,IF(AND($T87&lt;&gt;"",EDATE($D87,Milestones!$AA$51)&gt;=$T87),$W87,IF(AND($S87&lt;&gt;"",EDATE($D87,Milestones!$AA$51)&gt;=$S87),$V87,$U87)))=Milestones!$AB$51),UPPER(TEXT(EDATE($D87,Milestones!$AA$51),"dd mmm yy"))&amp;" "&amp;Milestones!$AB$51&amp;" "&amp;Milestones!$AC$51&amp;";  ","")&amp;IF(AND(EDATE($D87,Milestones!$AA$52)&lt;=AsOfDate,IF($R87=0,$X87,IF(AND($T87&lt;&gt;"",EDATE($D87,Milestones!$AA$52)&gt;=$T87),$W87,IF(AND($S87&lt;&gt;"",EDATE($D87,Milestones!$AA$52)&gt;=$S87),$V87,$U87)))=Milestones!$AB$52),UPPER(TEXT(EDATE($D87,Milestones!$AA$52),"dd mmm yy"))&amp;" "&amp;Milestones!$AB$52&amp;" "&amp;Milestones!$AC$52&amp;";  ","")&amp;IF(AND(EDATE($D87,Milestones!$AA$53)&lt;=AsOfDate,IF($R87=0,$X87,IF(AND($T87&lt;&gt;"",EDATE($D87,Milestones!$AA$53)&gt;=$T87),$W87,IF(AND($S87&lt;&gt;"",EDATE($D87,Milestones!$AA$53)&gt;=$S87),$V87,$U87)))=Milestones!$AB$53),UPPER(TEXT(EDATE($D87,Milestones!$AA$53),"dd mmm yy"))&amp;" "&amp;Milestones!$AB$53&amp;" "&amp;Milestones!$AC$53&amp;";  ","")&amp;IF(AND(EDATE($D87,Milestones!$AA$54)&lt;=AsOfDate,IF($R87=0,$X87,IF(AND($T87&lt;&gt;"",EDATE($D87,Milestones!$AA$54)&gt;=$T87),$W87,IF(AND($S87&lt;&gt;"",EDATE($D87,Milestones!$AA$54)&gt;=$S87),$V87,$U87)))=Milestones!$AB$54),UPPER(TEXT(EDATE($D87,Milestones!$AA$54),"dd mmm yy"))&amp;" "&amp;Milestones!$AB$54&amp;" "&amp;Milestones!$AC$54&amp;";  ","")&amp;IF(AND(EDATE($D87,Milestones!$AA$55)&lt;=AsOfDate,IF($R87=0,$X87,IF(AND($T87&lt;&gt;"",EDATE($D87,Milestones!$AA$55)&gt;=$T87),$W87,IF(AND($S87&lt;&gt;"",EDATE($D87,Milestones!$AA$55)&gt;=$S87),$V87,$U87)))=Milestones!$AB$55),UPPER(TEXT(EDATE($D87,Milestones!$AA$55),"dd mmm yy"))&amp;" "&amp;Milestones!$AB$55&amp;" "&amp;Milestones!$AC$55&amp;";  ","")&amp;IF(AND(EDATE($D87,Milestones!$AA$56)&lt;=AsOfDate,IF($R87=0,$X87,IF(AND($T87&lt;&gt;"",EDATE($D87,Milestones!$AA$56)&gt;=$T87),$W87,IF(AND($S87&lt;&gt;"",EDATE($D87,Milestones!$AA$56)&gt;=$S87),$V87,$U87)))=Milestones!$AB$56),UPPER(TEXT(EDATE($D87,Milestones!$AA$56),"dd mmm yy"))&amp;" "&amp;Milestones!$AB$56&amp;" "&amp;Milestones!$AC$56&amp;";  ","")&amp;IF(AND(EDATE($D87,Milestones!$AA$57)&lt;=AsOfDate,IF($R87=0,$X87,IF(AND($T87&lt;&gt;"",EDATE($D87,Milestones!$AA$57)&gt;=$T87),$W87,IF(AND($S87&lt;&gt;"",EDATE($D87,Milestones!$AA$57)&gt;=$S87),$V87,$U87)))=Milestones!$AB$57),UPPER(TEXT(EDATE($D87,Milestones!$AA$57),"dd mmm yy"))&amp;" "&amp;Milestones!$AB$57&amp;" "&amp;Milestones!$AC$57&amp;";  ","")&amp;IF(AND(EDATE($D87,Milestones!$AA$58)&lt;=AsOfDate,IF($R87=0,$X87,IF(AND($T87&lt;&gt;"",EDATE($D87,Milestones!$AA$58)&gt;=$T87),$W87,IF(AND($S87&lt;&gt;"",EDATE($D87,Milestones!$AA$58)&gt;=$S87),$V87,$U87)))=Milestones!$AB$58),UPPER(TEXT(EDATE($D87,Milestones!$AA$58),"dd mmm yy"))&amp;" "&amp;Milestones!$AB$58&amp;" "&amp;Milestones!$AC$58&amp;";  ","")&amp;IF(AND(EDATE($D87,Milestones!$AA$59)&lt;=AsOfDate,IF($R87=0,$X87,IF(AND($T87&lt;&gt;"",EDATE($D87,Milestones!$AA$59)&gt;=$T87),$W87,IF(AND($S87&lt;&gt;"",EDATE($D87,Milestones!$AA$59)&gt;=$S87),$V87,$U87)))=Milestones!$AB$59),UPPER(TEXT(EDATE($D87,Milestones!$AA$59),"dd mmm yy"))&amp;" "&amp;Milestones!$AB$59&amp;" "&amp;Milestones!$AC$59&amp;";  ",""))</f>
        <v/>
      </c>
      <c r="K87" s="0" t="str">
        <f aca="false">IF(OR($A87="",$D87=""),"",IF(AND(EDATE($D87,Milestones!$AA$60)&lt;=AsOfDate,IF($R87=0,$X87,IF(AND($T87&lt;&gt;"",EDATE($D87,Milestones!$AA$60)&gt;=$T87),$W87,IF(AND($S87&lt;&gt;"",EDATE($D87,Milestones!$AA$60)&gt;=$S87),$V87,$U87)))=Milestones!$AB$60),UPPER(TEXT(EDATE($D87,Milestones!$AA$60),"dd mmm yy"))&amp;" "&amp;Milestones!$AB$60&amp;" "&amp;Milestones!$AC$60&amp;";  ","")&amp;IF(AND(EDATE($D87,Milestones!$AA$61)&lt;=AsOfDate,IF($R87=0,$X87,IF(AND($T87&lt;&gt;"",EDATE($D87,Milestones!$AA$61)&gt;=$T87),$W87,IF(AND($S87&lt;&gt;"",EDATE($D87,Milestones!$AA$61)&gt;=$S87),$V87,$U87)))=Milestones!$AB$61),UPPER(TEXT(EDATE($D87,Milestones!$AA$61),"dd mmm yy"))&amp;" "&amp;Milestones!$AB$61&amp;" "&amp;Milestones!$AC$61&amp;";  ","")&amp;IF(AND(EDATE($D87,Milestones!$AA$62)&lt;=AsOfDate,IF($R87=0,$X87,IF(AND($T87&lt;&gt;"",EDATE($D87,Milestones!$AA$62)&gt;=$T87),$W87,IF(AND($S87&lt;&gt;"",EDATE($D87,Milestones!$AA$62)&gt;=$S87),$V87,$U87)))=Milestones!$AB$62),UPPER(TEXT(EDATE($D87,Milestones!$AA$62),"dd mmm yy"))&amp;" "&amp;Milestones!$AB$62&amp;" "&amp;Milestones!$AC$62&amp;";  ","")&amp;IF(AND(EDATE($D87,Milestones!$AA$63)&lt;=AsOfDate,IF($R87=0,$X87,IF(AND($T87&lt;&gt;"",EDATE($D87,Milestones!$AA$63)&gt;=$T87),$W87,IF(AND($S87&lt;&gt;"",EDATE($D87,Milestones!$AA$63)&gt;=$S87),$V87,$U87)))=Milestones!$AB$63),UPPER(TEXT(EDATE($D87,Milestones!$AA$63),"dd mmm yy"))&amp;" "&amp;Milestones!$AB$63&amp;" "&amp;Milestones!$AC$63&amp;";  ","")&amp;IF(AND(EDATE($D87,Milestones!$AA$64)&lt;=AsOfDate,IF($R87=0,$X87,IF(AND($T87&lt;&gt;"",EDATE($D87,Milestones!$AA$64)&gt;=$T87),$W87,IF(AND($S87&lt;&gt;"",EDATE($D87,Milestones!$AA$64)&gt;=$S87),$V87,$U87)))=Milestones!$AB$64),UPPER(TEXT(EDATE($D87,Milestones!$AA$64),"dd mmm yy"))&amp;" "&amp;Milestones!$AB$64&amp;" "&amp;Milestones!$AC$64&amp;";  ","")&amp;IF(AND(EDATE($D87,Milestones!$AA$65)&lt;=AsOfDate,IF($R87=0,$X87,IF(AND($T87&lt;&gt;"",EDATE($D87,Milestones!$AA$65)&gt;=$T87),$W87,IF(AND($S87&lt;&gt;"",EDATE($D87,Milestones!$AA$65)&gt;=$S87),$V87,$U87)))=Milestones!$AB$65),UPPER(TEXT(EDATE($D87,Milestones!$AA$65),"dd mmm yy"))&amp;" "&amp;Milestones!$AB$65&amp;" "&amp;Milestones!$AC$65&amp;";  ","")&amp;IF(AND(EDATE($D87,Milestones!$AA$66)&lt;=AsOfDate,IF($R87=0,$X87,IF(AND($T87&lt;&gt;"",EDATE($D87,Milestones!$AA$66)&gt;=$T87),$W87,IF(AND($S87&lt;&gt;"",EDATE($D87,Milestones!$AA$66)&gt;=$S87),$V87,$U87)))=Milestones!$AB$66),UPPER(TEXT(EDATE($D87,Milestones!$AA$66),"dd mmm yy"))&amp;" "&amp;Milestones!$AB$66&amp;" "&amp;Milestones!$AC$66&amp;";  ","")&amp;IF(AND(EDATE($D87,Milestones!$AA$67)&lt;=AsOfDate,IF($R87=0,$X87,IF(AND($T87&lt;&gt;"",EDATE($D87,Milestones!$AA$67)&gt;=$T87),$W87,IF(AND($S87&lt;&gt;"",EDATE($D87,Milestones!$AA$67)&gt;=$S87),$V87,$U87)))=Milestones!$AB$67),UPPER(TEXT(EDATE($D87,Milestones!$AA$67),"dd mmm yy"))&amp;" "&amp;Milestones!$AB$67&amp;" "&amp;Milestones!$AC$67&amp;";  ","")&amp;IF(AND(EDATE($D87,Milestones!$AA$68)&lt;=AsOfDate,IF($R87=0,$X87,IF(AND($T87&lt;&gt;"",EDATE($D87,Milestones!$AA$68)&gt;=$T87),$W87,IF(AND($S87&lt;&gt;"",EDATE($D87,Milestones!$AA$68)&gt;=$S87),$V87,$U87)))=Milestones!$AB$68),UPPER(TEXT(EDATE($D87,Milestones!$AA$68),"dd mmm yy"))&amp;" "&amp;Milestones!$AB$68&amp;" "&amp;Milestones!$AC$68&amp;";  ","")&amp;IF(AND(EDATE($D87,Milestones!$AA$69)&lt;=AsOfDate,IF($R87=0,$X87,IF(AND($T87&lt;&gt;"",EDATE($D87,Milestones!$AA$69)&gt;=$T87),$W87,IF(AND($S87&lt;&gt;"",EDATE($D87,Milestones!$AA$69)&gt;=$S87),$V87,$U87)))=Milestones!$AB$69),UPPER(TEXT(EDATE($D87,Milestones!$AA$69),"dd mmm yy"))&amp;" "&amp;Milestones!$AB$69&amp;" "&amp;Milestones!$AC$69&amp;";  ","")&amp;IF(AND(EDATE($D87,Milestones!$AA$70)&lt;=AsOfDate,IF($R87=0,$X87,IF(AND($T87&lt;&gt;"",EDATE($D87,Milestones!$AA$70)&gt;=$T87),$W87,IF(AND($S87&lt;&gt;"",EDATE($D87,Milestones!$AA$70)&gt;=$S87),$V87,$U87)))=Milestones!$AB$70),UPPER(TEXT(EDATE($D87,Milestones!$AA$70),"dd mmm yy"))&amp;" "&amp;Milestones!$AB$70&amp;" "&amp;Milestones!$AC$70&amp;";  ","")&amp;IF(AND(EDATE($D87,Milestones!$AA$71)&lt;=AsOfDate,IF($R87=0,$X87,IF(AND($T87&lt;&gt;"",EDATE($D87,Milestones!$AA$71)&gt;=$T87),$W87,IF(AND($S87&lt;&gt;"",EDATE($D87,Milestones!$AA$71)&gt;=$S87),$V87,$U87)))=Milestones!$AB$71),UPPER(TEXT(EDATE($D87,Milestones!$AA$71),"dd mmm yy"))&amp;" "&amp;Milestones!$AB$71&amp;" "&amp;Milestones!$AC$71&amp;";  ","")&amp;IF(AND(EDATE($D87,Milestones!$AA$72)&lt;=AsOfDate,IF($R87=0,$X87,IF(AND($T87&lt;&gt;"",EDATE($D87,Milestones!$AA$72)&gt;=$T87),$W87,IF(AND($S87&lt;&gt;"",EDATE($D87,Milestones!$AA$72)&gt;=$S87),$V87,$U87)))=Milestones!$AB$72),UPPER(TEXT(EDATE($D87,Milestones!$AA$72),"dd mmm yy"))&amp;" "&amp;Milestones!$AB$72&amp;" "&amp;Milestones!$AC$72&amp;";  ","")&amp;IF(AND(EDATE($D87,Milestones!$AA$73)&lt;=AsOfDate,IF($R87=0,$X87,IF(AND($T87&lt;&gt;"",EDATE($D87,Milestones!$AA$73)&gt;=$T87),$W87,IF(AND($S87&lt;&gt;"",EDATE($D87,Milestones!$AA$73)&gt;=$S87),$V87,$U87)))=Milestones!$AB$73),UPPER(TEXT(EDATE($D87,Milestones!$AA$73),"dd mmm yy"))&amp;" "&amp;Milestones!$AB$73&amp;" "&amp;Milestones!$AC$73&amp;";  ","")&amp;IF(AND(EDATE($D87,Milestones!$AA$74)&lt;=AsOfDate,IF($R87=0,$X87,IF(AND($T87&lt;&gt;"",EDATE($D87,Milestones!$AA$74)&gt;=$T87),$W87,IF(AND($S87&lt;&gt;"",EDATE($D87,Milestones!$AA$74)&gt;=$S87),$V87,$U87)))=Milestones!$AB$74),UPPER(TEXT(EDATE($D87,Milestones!$AA$74),"dd mmm yy"))&amp;" "&amp;Milestones!$AB$74&amp;" "&amp;Milestones!$AC$74&amp;";  ","")&amp;IF(AND(EDATE($D87,Milestones!$AA$75)&lt;=AsOfDate,IF($R87=0,$X87,IF(AND($T87&lt;&gt;"",EDATE($D87,Milestones!$AA$75)&gt;=$T87),$W87,IF(AND($S87&lt;&gt;"",EDATE($D87,Milestones!$AA$75)&gt;=$S87),$V87,$U87)))=Milestones!$AB$75),UPPER(TEXT(EDATE($D87,Milestones!$AA$75),"dd mmm yy"))&amp;" "&amp;Milestones!$AB$75&amp;" "&amp;Milestones!$AC$75&amp;";  ","")&amp;IF(AND(EDATE($D87,Milestones!$AA$76)&lt;=AsOfDate,IF($R87=0,$X87,IF(AND($T87&lt;&gt;"",EDATE($D87,Milestones!$AA$76)&gt;=$T87),$W87,IF(AND($S87&lt;&gt;"",EDATE($D87,Milestones!$AA$76)&gt;=$S87),$V87,$U87)))=Milestones!$AB$76),UPPER(TEXT(EDATE($D87,Milestones!$AA$76),"dd mmm yy"))&amp;" "&amp;Milestones!$AB$76&amp;" "&amp;Milestones!$AC$76&amp;";  ","")&amp;IF(AND(EDATE($D87,Milestones!$AA$77)&lt;=AsOfDate,IF($R87=0,$X87,IF(AND($T87&lt;&gt;"",EDATE($D87,Milestones!$AA$77)&gt;=$T87),$W87,IF(AND($S87&lt;&gt;"",EDATE($D87,Milestones!$AA$77)&gt;=$S87),$V87,$U87)))=Milestones!$AB$77),UPPER(TEXT(EDATE($D87,Milestones!$AA$77),"dd mmm yy"))&amp;" "&amp;Milestones!$AB$77&amp;" "&amp;Milestones!$AC$77&amp;";  ","")&amp;IF(AND(EDATE($D87,Milestones!$AA$78)&lt;=AsOfDate,IF($R87=0,$X87,IF(AND($T87&lt;&gt;"",EDATE($D87,Milestones!$AA$78)&gt;=$T87),$W87,IF(AND($S87&lt;&gt;"",EDATE($D87,Milestones!$AA$78)&gt;=$S87),$V87,$U87)))=Milestones!$AB$78),UPPER(TEXT(EDATE($D87,Milestones!$AA$78),"dd mmm yy"))&amp;" "&amp;Milestones!$AB$78&amp;" "&amp;Milestones!$AC$78&amp;";  ","")&amp;IF(AND(EDATE($D87,Milestones!$AA$79)&lt;=AsOfDate,IF($R87=0,$X87,IF(AND($T87&lt;&gt;"",EDATE($D87,Milestones!$AA$79)&gt;=$T87),$W87,IF(AND($S87&lt;&gt;"",EDATE($D87,Milestones!$AA$79)&gt;=$S87),$V87,$U87)))=Milestones!$AB$79),UPPER(TEXT(EDATE($D87,Milestones!$AA$79),"dd mmm yy"))&amp;" "&amp;Milestones!$AB$79&amp;" "&amp;Milestones!$AC$79&amp;";  ",""))</f>
        <v/>
      </c>
      <c r="L87" s="0" t="str">
        <f aca="false">IF(OR($A87="",$D87=""),"",IF(AND(EDATE($D87,Milestones!$AA$80)&lt;=AsOfDate,IF($R87=0,$X87,IF(AND($T87&lt;&gt;"",EDATE($D87,Milestones!$AA$80)&gt;=$T87),$W87,IF(AND($S87&lt;&gt;"",EDATE($D87,Milestones!$AA$80)&gt;=$S87),$V87,$U87)))=Milestones!$AB$80),UPPER(TEXT(EDATE($D87,Milestones!$AA$80),"dd mmm yy"))&amp;" "&amp;Milestones!$AB$80&amp;" "&amp;Milestones!$AC$80&amp;";  ","")&amp;IF(AND(EDATE($D87,Milestones!$AA$81)&lt;=AsOfDate,IF($R87=0,$X87,IF(AND($T87&lt;&gt;"",EDATE($D87,Milestones!$AA$81)&gt;=$T87),$W87,IF(AND($S87&lt;&gt;"",EDATE($D87,Milestones!$AA$81)&gt;=$S87),$V87,$U87)))=Milestones!$AB$81),UPPER(TEXT(EDATE($D87,Milestones!$AA$81),"dd mmm yy"))&amp;" "&amp;Milestones!$AB$81&amp;" "&amp;Milestones!$AC$81&amp;";  ","")&amp;IF(AND(EDATE($D87,Milestones!$AA$82)&lt;=AsOfDate,IF($R87=0,$X87,IF(AND($T87&lt;&gt;"",EDATE($D87,Milestones!$AA$82)&gt;=$T87),$W87,IF(AND($S87&lt;&gt;"",EDATE($D87,Milestones!$AA$82)&gt;=$S87),$V87,$U87)))=Milestones!$AB$82),UPPER(TEXT(EDATE($D87,Milestones!$AA$82),"dd mmm yy"))&amp;" "&amp;Milestones!$AB$82&amp;" "&amp;Milestones!$AC$82&amp;";  ","")&amp;IF(AND(EDATE($D87,Milestones!$AA$83)&lt;=AsOfDate,IF($R87=0,$X87,IF(AND($T87&lt;&gt;"",EDATE($D87,Milestones!$AA$83)&gt;=$T87),$W87,IF(AND($S87&lt;&gt;"",EDATE($D87,Milestones!$AA$83)&gt;=$S87),$V87,$U87)))=Milestones!$AB$83),UPPER(TEXT(EDATE($D87,Milestones!$AA$83),"dd mmm yy"))&amp;" "&amp;Milestones!$AB$83&amp;" "&amp;Milestones!$AC$83&amp;";  ","")&amp;IF(AND(EDATE($D87,Milestones!$AA$84)&lt;=AsOfDate,IF($R87=0,$X87,IF(AND($T87&lt;&gt;"",EDATE($D87,Milestones!$AA$84)&gt;=$T87),$W87,IF(AND($S87&lt;&gt;"",EDATE($D87,Milestones!$AA$84)&gt;=$S87),$V87,$U87)))=Milestones!$AB$84),UPPER(TEXT(EDATE($D87,Milestones!$AA$84),"dd mmm yy"))&amp;" "&amp;Milestones!$AB$84&amp;" "&amp;Milestones!$AC$84&amp;";  ","")&amp;IF(AND(EDATE($D87,Milestones!$AA$85)&lt;=AsOfDate,IF($R87=0,$X87,IF(AND($T87&lt;&gt;"",EDATE($D87,Milestones!$AA$85)&gt;=$T87),$W87,IF(AND($S87&lt;&gt;"",EDATE($D87,Milestones!$AA$85)&gt;=$S87),$V87,$U87)))=Milestones!$AB$85),UPPER(TEXT(EDATE($D87,Milestones!$AA$85),"dd mmm yy"))&amp;" "&amp;Milestones!$AB$85&amp;" "&amp;Milestones!$AC$85&amp;";  ","")&amp;IF(AND(EDATE($D87,Milestones!$AA$86)&lt;=AsOfDate,IF($R87=0,$X87,IF(AND($T87&lt;&gt;"",EDATE($D87,Milestones!$AA$86)&gt;=$T87),$W87,IF(AND($S87&lt;&gt;"",EDATE($D87,Milestones!$AA$86)&gt;=$S87),$V87,$U87)))=Milestones!$AB$86),UPPER(TEXT(EDATE($D87,Milestones!$AA$86),"dd mmm yy"))&amp;" "&amp;Milestones!$AB$86&amp;" "&amp;Milestones!$AC$86&amp;";  ","")&amp;IF(AND(EDATE($D87,Milestones!$AA$87)&lt;=AsOfDate,IF($R87=0,$X87,IF(AND($T87&lt;&gt;"",EDATE($D87,Milestones!$AA$87)&gt;=$T87),$W87,IF(AND($S87&lt;&gt;"",EDATE($D87,Milestones!$AA$87)&gt;=$S87),$V87,$U87)))=Milestones!$AB$87),UPPER(TEXT(EDATE($D87,Milestones!$AA$87),"dd mmm yy"))&amp;" "&amp;Milestones!$AB$87&amp;" "&amp;Milestones!$AC$87&amp;";  ","")&amp;IF(AND(EDATE($D87,Milestones!$AA$88)&lt;=AsOfDate,IF($R87=0,$X87,IF(AND($T87&lt;&gt;"",EDATE($D87,Milestones!$AA$88)&gt;=$T87),$W87,IF(AND($S87&lt;&gt;"",EDATE($D87,Milestones!$AA$88)&gt;=$S87),$V87,$U87)))=Milestones!$AB$88),UPPER(TEXT(EDATE($D87,Milestones!$AA$88),"dd mmm yy"))&amp;" "&amp;Milestones!$AB$88&amp;" "&amp;Milestones!$AC$88&amp;";  ","")&amp;IF(AND(EDATE($D87,Milestones!$AA$89)&lt;=AsOfDate,IF($R87=0,$X87,IF(AND($T87&lt;&gt;"",EDATE($D87,Milestones!$AA$89)&gt;=$T87),$W87,IF(AND($S87&lt;&gt;"",EDATE($D87,Milestones!$AA$89)&gt;=$S87),$V87,$U87)))=Milestones!$AB$89),UPPER(TEXT(EDATE($D87,Milestones!$AA$89),"dd mmm yy"))&amp;" "&amp;Milestones!$AB$89&amp;" "&amp;Milestones!$AC$89&amp;";  ","")&amp;IF(AND(EDATE($D87,Milestones!$AA$90)&lt;=AsOfDate,IF($R87=0,$X87,IF(AND($T87&lt;&gt;"",EDATE($D87,Milestones!$AA$90)&gt;=$T87),$W87,IF(AND($S87&lt;&gt;"",EDATE($D87,Milestones!$AA$90)&gt;=$S87),$V87,$U87)))=Milestones!$AB$90),UPPER(TEXT(EDATE($D87,Milestones!$AA$90),"dd mmm yy"))&amp;" "&amp;Milestones!$AB$90&amp;" "&amp;Milestones!$AC$90&amp;";  ","")&amp;IF(AND(EDATE($D87,Milestones!$AA$91)&lt;=AsOfDate,IF($R87=0,$X87,IF(AND($T87&lt;&gt;"",EDATE($D87,Milestones!$AA$91)&gt;=$T87),$W87,IF(AND($S87&lt;&gt;"",EDATE($D87,Milestones!$AA$91)&gt;=$S87),$V87,$U87)))=Milestones!$AB$91),UPPER(TEXT(EDATE($D87,Milestones!$AA$91),"dd mmm yy"))&amp;" "&amp;Milestones!$AB$91&amp;" "&amp;Milestones!$AC$91&amp;";  ","")&amp;IF(AND(EDATE($D87,Milestones!$AA$92)&lt;=AsOfDate,IF($R87=0,$X87,IF(AND($T87&lt;&gt;"",EDATE($D87,Milestones!$AA$92)&gt;=$T87),$W87,IF(AND($S87&lt;&gt;"",EDATE($D87,Milestones!$AA$92)&gt;=$S87),$V87,$U87)))=Milestones!$AB$92),UPPER(TEXT(EDATE($D87,Milestones!$AA$92),"dd mmm yy"))&amp;" "&amp;Milestones!$AB$92&amp;" "&amp;Milestones!$AC$92&amp;";  ","")&amp;IF(AND(EDATE($D87,Milestones!$AA$93)&lt;=AsOfDate,IF($R87=0,$X87,IF(AND($T87&lt;&gt;"",EDATE($D87,Milestones!$AA$93)&gt;=$T87),$W87,IF(AND($S87&lt;&gt;"",EDATE($D87,Milestones!$AA$93)&gt;=$S87),$V87,$U87)))=Milestones!$AB$93),UPPER(TEXT(EDATE($D87,Milestones!$AA$93),"dd mmm yy"))&amp;" "&amp;Milestones!$AB$93&amp;" "&amp;Milestones!$AC$93&amp;";  ","")&amp;IF(AND(EDATE($D87,Milestones!$AA$94)&lt;=AsOfDate,IF($R87=0,$X87,IF(AND($T87&lt;&gt;"",EDATE($D87,Milestones!$AA$94)&gt;=$T87),$W87,IF(AND($S87&lt;&gt;"",EDATE($D87,Milestones!$AA$94)&gt;=$S87),$V87,$U87)))=Milestones!$AB$94),UPPER(TEXT(EDATE($D87,Milestones!$AA$94),"dd mmm yy"))&amp;" "&amp;Milestones!$AB$94&amp;" "&amp;Milestones!$AC$94&amp;";  ","")&amp;IF(AND(EDATE($D87,Milestones!$AA$95)&lt;=AsOfDate,IF($R87=0,$X87,IF(AND($T87&lt;&gt;"",EDATE($D87,Milestones!$AA$95)&gt;=$T87),$W87,IF(AND($S87&lt;&gt;"",EDATE($D87,Milestones!$AA$95)&gt;=$S87),$V87,$U87)))=Milestones!$AB$95),UPPER(TEXT(EDATE($D87,Milestones!$AA$95),"dd mmm yy"))&amp;" "&amp;Milestones!$AB$95&amp;" "&amp;Milestones!$AC$95&amp;";  ","")&amp;IF(AND(EDATE($D87,Milestones!$AA$96)&lt;=AsOfDate,IF($R87=0,$X87,IF(AND($T87&lt;&gt;"",EDATE($D87,Milestones!$AA$96)&gt;=$T87),$W87,IF(AND($S87&lt;&gt;"",EDATE($D87,Milestones!$AA$96)&gt;=$S87),$V87,$U87)))=Milestones!$AB$96),UPPER(TEXT(EDATE($D87,Milestones!$AA$96),"dd mmm yy"))&amp;" "&amp;Milestones!$AB$96&amp;" "&amp;Milestones!$AC$96&amp;";  ","")&amp;IF(AND(EDATE($D87,Milestones!$AA$97)&lt;=AsOfDate,IF($R87=0,$X87,IF(AND($T87&lt;&gt;"",EDATE($D87,Milestones!$AA$97)&gt;=$T87),$W87,IF(AND($S87&lt;&gt;"",EDATE($D87,Milestones!$AA$97)&gt;=$S87),$V87,$U87)))=Milestones!$AB$97),UPPER(TEXT(EDATE($D87,Milestones!$AA$97),"dd mmm yy"))&amp;" "&amp;Milestones!$AB$97&amp;" "&amp;Milestones!$AC$97&amp;";  ","")&amp;IF(AND(EDATE($D87,Milestones!$AA$98)&lt;=AsOfDate,IF($R87=0,$X87,IF(AND($T87&lt;&gt;"",EDATE($D87,Milestones!$AA$98)&gt;=$T87),$W87,IF(AND($S87&lt;&gt;"",EDATE($D87,Milestones!$AA$98)&gt;=$S87),$V87,$U87)))=Milestones!$AB$98),UPPER(TEXT(EDATE($D87,Milestones!$AA$98),"dd mmm yy"))&amp;" "&amp;Milestones!$AB$98&amp;" "&amp;Milestones!$AC$98&amp;";  ","")&amp;IF(AND(EDATE($D87,Milestones!$AA$99)&lt;=AsOfDate,IF($R87=0,$X87,IF(AND($T87&lt;&gt;"",EDATE($D87,Milestones!$AA$99)&gt;=$T87),$W87,IF(AND($S87&lt;&gt;"",EDATE($D87,Milestones!$AA$99)&gt;=$S87),$V87,$U87)))=Milestones!$AB$99),UPPER(TEXT(EDATE($D87,Milestones!$AA$99),"dd mmm yy"))&amp;" "&amp;Milestones!$AB$99&amp;" "&amp;Milestones!$AC$99&amp;";  ",""))</f>
        <v/>
      </c>
      <c r="M87" s="0" t="str">
        <f aca="false">IF(OR($A87="",$D87=""),"",IF(AND(EDATE($D87,Milestones!$AA$100)&lt;=AsOfDate,IF($R87=0,$X87,IF(AND($T87&lt;&gt;"",EDATE($D87,Milestones!$AA$100)&gt;=$T87),$W87,IF(AND($S87&lt;&gt;"",EDATE($D87,Milestones!$AA$100)&gt;=$S87),$V87,$U87)))=Milestones!$AB$100),UPPER(TEXT(EDATE($D87,Milestones!$AA$100),"dd mmm yy"))&amp;" "&amp;Milestones!$AB$100&amp;" "&amp;Milestones!$AC$100&amp;";  ","")&amp;IF(AND(EDATE($D87,Milestones!$AA$101)&lt;=AsOfDate,IF($R87=0,$X87,IF(AND($T87&lt;&gt;"",EDATE($D87,Milestones!$AA$101)&gt;=$T87),$W87,IF(AND($S87&lt;&gt;"",EDATE($D87,Milestones!$AA$101)&gt;=$S87),$V87,$U87)))=Milestones!$AB$101),UPPER(TEXT(EDATE($D87,Milestones!$AA$101),"dd mmm yy"))&amp;" "&amp;Milestones!$AB$101&amp;" "&amp;Milestones!$AC$101&amp;";  ","")&amp;IF(AND(EDATE($D87,Milestones!$AA$102)&lt;=AsOfDate,IF($R87=0,$X87,IF(AND($T87&lt;&gt;"",EDATE($D87,Milestones!$AA$102)&gt;=$T87),$W87,IF(AND($S87&lt;&gt;"",EDATE($D87,Milestones!$AA$102)&gt;=$S87),$V87,$U87)))=Milestones!$AB$102),UPPER(TEXT(EDATE($D87,Milestones!$AA$102),"dd mmm yy"))&amp;" "&amp;Milestones!$AB$102&amp;" "&amp;Milestones!$AC$102&amp;";  ","")&amp;IF(AND(EDATE($D87,Milestones!$AA$103)&lt;=AsOfDate,IF($R87=0,$X87,IF(AND($T87&lt;&gt;"",EDATE($D87,Milestones!$AA$103)&gt;=$T87),$W87,IF(AND($S87&lt;&gt;"",EDATE($D87,Milestones!$AA$103)&gt;=$S87),$V87,$U87)))=Milestones!$AB$103),UPPER(TEXT(EDATE($D87,Milestones!$AA$103),"dd mmm yy"))&amp;" "&amp;Milestones!$AB$103&amp;" "&amp;Milestones!$AC$103&amp;";  ","")&amp;IF(AND(EDATE($D87,Milestones!$AA$104)&lt;=AsOfDate,IF($R87=0,$X87,IF(AND($T87&lt;&gt;"",EDATE($D87,Milestones!$AA$104)&gt;=$T87),$W87,IF(AND($S87&lt;&gt;"",EDATE($D87,Milestones!$AA$104)&gt;=$S87),$V87,$U87)))=Milestones!$AB$104),UPPER(TEXT(EDATE($D87,Milestones!$AA$104),"dd mmm yy"))&amp;" "&amp;Milestones!$AB$104&amp;" "&amp;Milestones!$AC$104&amp;";  ","")&amp;IF(AND(EDATE($D87,Milestones!$AA$105)&lt;=AsOfDate,IF($R87=0,$X87,IF(AND($T87&lt;&gt;"",EDATE($D87,Milestones!$AA$105)&gt;=$T87),$W87,IF(AND($S87&lt;&gt;"",EDATE($D87,Milestones!$AA$105)&gt;=$S87),$V87,$U87)))=Milestones!$AB$105),UPPER(TEXT(EDATE($D87,Milestones!$AA$105),"dd mmm yy"))&amp;" "&amp;Milestones!$AB$105&amp;" "&amp;Milestones!$AC$105&amp;";  ","")&amp;IF(AND(EDATE($D87,Milestones!$AA$106)&lt;=AsOfDate,IF($R87=0,$X87,IF(AND($T87&lt;&gt;"",EDATE($D87,Milestones!$AA$106)&gt;=$T87),$W87,IF(AND($S87&lt;&gt;"",EDATE($D87,Milestones!$AA$106)&gt;=$S87),$V87,$U87)))=Milestones!$AB$106),UPPER(TEXT(EDATE($D87,Milestones!$AA$106),"dd mmm yy"))&amp;" "&amp;Milestones!$AB$106&amp;" "&amp;Milestones!$AC$106&amp;";  ","")&amp;IF(AND(EDATE($D87,Milestones!$AA$107)&lt;=AsOfDate,IF($R87=0,$X87,IF(AND($T87&lt;&gt;"",EDATE($D87,Milestones!$AA$107)&gt;=$T87),$W87,IF(AND($S87&lt;&gt;"",EDATE($D87,Milestones!$AA$107)&gt;=$S87),$V87,$U87)))=Milestones!$AB$107),UPPER(TEXT(EDATE($D87,Milestones!$AA$107),"dd mmm yy"))&amp;" "&amp;Milestones!$AB$107&amp;" "&amp;Milestones!$AC$107&amp;";  ","")&amp;IF(AND(EDATE($D87,Milestones!$AA$108)&lt;=AsOfDate,IF($R87=0,$X87,IF(AND($T87&lt;&gt;"",EDATE($D87,Milestones!$AA$108)&gt;=$T87),$W87,IF(AND($S87&lt;&gt;"",EDATE($D87,Milestones!$AA$108)&gt;=$S87),$V87,$U87)))=Milestones!$AB$108),UPPER(TEXT(EDATE($D87,Milestones!$AA$108),"dd mmm yy"))&amp;" "&amp;Milestones!$AB$108&amp;" "&amp;Milestones!$AC$108&amp;";  ","")&amp;IF(AND(EDATE($D87,Milestones!$AA$109)&lt;=AsOfDate,IF($R87=0,$X87,IF(AND($T87&lt;&gt;"",EDATE($D87,Milestones!$AA$109)&gt;=$T87),$W87,IF(AND($S87&lt;&gt;"",EDATE($D87,Milestones!$AA$109)&gt;=$S87),$V87,$U87)))=Milestones!$AB$109),UPPER(TEXT(EDATE($D87,Milestones!$AA$109),"dd mmm yy"))&amp;" "&amp;Milestones!$AB$109&amp;" "&amp;Milestones!$AC$109&amp;";  ","")&amp;IF(AND(EDATE($D87,Milestones!$AA$110)&lt;=AsOfDate,IF($R87=0,$X87,IF(AND($T87&lt;&gt;"",EDATE($D87,Milestones!$AA$110)&gt;=$T87),$W87,IF(AND($S87&lt;&gt;"",EDATE($D87,Milestones!$AA$110)&gt;=$S87),$V87,$U87)))=Milestones!$AB$110),UPPER(TEXT(EDATE($D87,Milestones!$AA$110),"dd mmm yy"))&amp;" "&amp;Milestones!$AB$110&amp;" "&amp;Milestones!$AC$110&amp;";  ","")&amp;IF(AND(EDATE($D87,Milestones!$AA$111)&lt;=AsOfDate,IF($R87=0,$X87,IF(AND($T87&lt;&gt;"",EDATE($D87,Milestones!$AA$111)&gt;=$T87),$W87,IF(AND($S87&lt;&gt;"",EDATE($D87,Milestones!$AA$111)&gt;=$S87),$V87,$U87)))=Milestones!$AB$111),UPPER(TEXT(EDATE($D87,Milestones!$AA$111),"dd mmm yy"))&amp;" "&amp;Milestones!$AB$111&amp;" "&amp;Milestones!$AC$111&amp;";  ","")&amp;IF(AND(EDATE($D87,Milestones!$AA$112)&lt;=AsOfDate,IF($R87=0,$X87,IF(AND($T87&lt;&gt;"",EDATE($D87,Milestones!$AA$112)&gt;=$T87),$W87,IF(AND($S87&lt;&gt;"",EDATE($D87,Milestones!$AA$112)&gt;=$S87),$V87,$U87)))=Milestones!$AB$112),UPPER(TEXT(EDATE($D87,Milestones!$AA$112),"dd mmm yy"))&amp;" "&amp;Milestones!$AB$112&amp;" "&amp;Milestones!$AC$112&amp;";  ","")&amp;IF(AND(EDATE($D87,Milestones!$AA$113)&lt;=AsOfDate,IF($R87=0,$X87,IF(AND($T87&lt;&gt;"",EDATE($D87,Milestones!$AA$113)&gt;=$T87),$W87,IF(AND($S87&lt;&gt;"",EDATE($D87,Milestones!$AA$113)&gt;=$S87),$V87,$U87)))=Milestones!$AB$113),UPPER(TEXT(EDATE($D87,Milestones!$AA$113),"dd mmm yy"))&amp;" "&amp;Milestones!$AB$113&amp;" "&amp;Milestones!$AC$113&amp;";  ","")&amp;IF(AND(EDATE($D87,Milestones!$AA$114)&lt;=AsOfDate,IF($R87=0,$X87,IF(AND($T87&lt;&gt;"",EDATE($D87,Milestones!$AA$114)&gt;=$T87),$W87,IF(AND($S87&lt;&gt;"",EDATE($D87,Milestones!$AA$114)&gt;=$S87),$V87,$U87)))=Milestones!$AB$114),UPPER(TEXT(EDATE($D87,Milestones!$AA$114),"dd mmm yy"))&amp;" "&amp;Milestones!$AB$114&amp;" "&amp;Milestones!$AC$114&amp;";  ","")&amp;IF(AND(EDATE($D87,Milestones!$AA$115)&lt;=AsOfDate,IF($R87=0,$X87,IF(AND($T87&lt;&gt;"",EDATE($D87,Milestones!$AA$115)&gt;=$T87),$W87,IF(AND($S87&lt;&gt;"",EDATE($D87,Milestones!$AA$115)&gt;=$S87),$V87,$U87)))=Milestones!$AB$115),UPPER(TEXT(EDATE($D87,Milestones!$AA$115),"dd mmm yy"))&amp;" "&amp;Milestones!$AB$115&amp;" "&amp;Milestones!$AC$115&amp;";  ","")&amp;IF(AND(EDATE($D87,Milestones!$AA$116)&lt;=AsOfDate,IF($R87=0,$X87,IF(AND($T87&lt;&gt;"",EDATE($D87,Milestones!$AA$116)&gt;=$T87),$W87,IF(AND($S87&lt;&gt;"",EDATE($D87,Milestones!$AA$116)&gt;=$S87),$V87,$U87)))=Milestones!$AB$116),UPPER(TEXT(EDATE($D87,Milestones!$AA$116),"dd mmm yy"))&amp;" "&amp;Milestones!$AB$116&amp;" "&amp;Milestones!$AC$116&amp;";  ","")&amp;IF(AND(EDATE($D87,Milestones!$AA$117)&lt;=AsOfDate,IF($R87=0,$X87,IF(AND($T87&lt;&gt;"",EDATE($D87,Milestones!$AA$117)&gt;=$T87),$W87,IF(AND($S87&lt;&gt;"",EDATE($D87,Milestones!$AA$117)&gt;=$S87),$V87,$U87)))=Milestones!$AB$117),UPPER(TEXT(EDATE($D87,Milestones!$AA$117),"dd mmm yy"))&amp;" "&amp;Milestones!$AB$117&amp;" "&amp;Milestones!$AC$117&amp;";  ","")&amp;IF(AND(EDATE($D87,Milestones!$AA$118)&lt;=AsOfDate,IF($R87=0,$X87,IF(AND($T87&lt;&gt;"",EDATE($D87,Milestones!$AA$118)&gt;=$T87),$W87,IF(AND($S87&lt;&gt;"",EDATE($D87,Milestones!$AA$118)&gt;=$S87),$V87,$U87)))=Milestones!$AB$118),UPPER(TEXT(EDATE($D87,Milestones!$AA$118),"dd mmm yy"))&amp;" "&amp;Milestones!$AB$118&amp;" "&amp;Milestones!$AC$118&amp;";  ","")&amp;IF(AND(EDATE($D87,Milestones!$AA$119)&lt;=AsOfDate,IF($R87=0,$X87,IF(AND($T87&lt;&gt;"",EDATE($D87,Milestones!$AA$119)&gt;=$T87),$W87,IF(AND($S87&lt;&gt;"",EDATE($D87,Milestones!$AA$119)&gt;=$S87),$V87,$U87)))=Milestones!$AB$119),UPPER(TEXT(EDATE($D87,Milestones!$AA$119),"dd mmm yy"))&amp;" "&amp;Milestones!$AB$119&amp;" "&amp;Milestones!$AC$119&amp;";  ",""))</f>
        <v/>
      </c>
      <c r="N87" s="0" t="str">
        <f aca="false">IF(OR($A87="",$D87=""),"",IF(AND(EDATE($D87,Milestones!$AA$120)&lt;=AsOfDate,IF($R87=0,$X87,IF(AND($T87&lt;&gt;"",EDATE($D87,Milestones!$AA$120)&gt;=$T87),$W87,IF(AND($S87&lt;&gt;"",EDATE($D87,Milestones!$AA$120)&gt;=$S87),$V87,$U87)))=Milestones!$AB$120),UPPER(TEXT(EDATE($D87,Milestones!$AA$120),"dd mmm yy"))&amp;" "&amp;Milestones!$AB$120&amp;" "&amp;Milestones!$AC$120&amp;";  ","")&amp;IF(AND(EDATE($D87,Milestones!$AA$121)&lt;=AsOfDate,IF($R87=0,$X87,IF(AND($T87&lt;&gt;"",EDATE($D87,Milestones!$AA$121)&gt;=$T87),$W87,IF(AND($S87&lt;&gt;"",EDATE($D87,Milestones!$AA$121)&gt;=$S87),$V87,$U87)))=Milestones!$AB$121),UPPER(TEXT(EDATE($D87,Milestones!$AA$121),"dd mmm yy"))&amp;" "&amp;Milestones!$AB$121&amp;" "&amp;Milestones!$AC$121&amp;";  ","")&amp;IF(AND(EDATE($D87,Milestones!$AA$122)&lt;=AsOfDate,IF($R87=0,$X87,IF(AND($T87&lt;&gt;"",EDATE($D87,Milestones!$AA$122)&gt;=$T87),$W87,IF(AND($S87&lt;&gt;"",EDATE($D87,Milestones!$AA$122)&gt;=$S87),$V87,$U87)))=Milestones!$AB$122),UPPER(TEXT(EDATE($D87,Milestones!$AA$122),"dd mmm yy"))&amp;" "&amp;Milestones!$AB$122&amp;" "&amp;Milestones!$AC$122&amp;";  ","")&amp;IF(AND(EDATE($D87,Milestones!$AA$123)&lt;=AsOfDate,IF($R87=0,$X87,IF(AND($T87&lt;&gt;"",EDATE($D87,Milestones!$AA$123)&gt;=$T87),$W87,IF(AND($S87&lt;&gt;"",EDATE($D87,Milestones!$AA$123)&gt;=$S87),$V87,$U87)))=Milestones!$AB$123),UPPER(TEXT(EDATE($D87,Milestones!$AA$123),"dd mmm yy"))&amp;" "&amp;Milestones!$AB$123&amp;" "&amp;Milestones!$AC$123&amp;";  ","")&amp;IF(AND(EDATE($D87,Milestones!$AA$124)&lt;=AsOfDate,IF($R87=0,$X87,IF(AND($T87&lt;&gt;"",EDATE($D87,Milestones!$AA$124)&gt;=$T87),$W87,IF(AND($S87&lt;&gt;"",EDATE($D87,Milestones!$AA$124)&gt;=$S87),$V87,$U87)))=Milestones!$AB$124),UPPER(TEXT(EDATE($D87,Milestones!$AA$124),"dd mmm yy"))&amp;" "&amp;Milestones!$AB$124&amp;" "&amp;Milestones!$AC$124&amp;";  ","")&amp;IF(AND(EDATE($D87,Milestones!$AA$125)&lt;=AsOfDate,IF($R87=0,$X87,IF(AND($T87&lt;&gt;"",EDATE($D87,Milestones!$AA$125)&gt;=$T87),$W87,IF(AND($S87&lt;&gt;"",EDATE($D87,Milestones!$AA$125)&gt;=$S87),$V87,$U87)))=Milestones!$AB$125),UPPER(TEXT(EDATE($D87,Milestones!$AA$125),"dd mmm yy"))&amp;" "&amp;Milestones!$AB$125&amp;" "&amp;Milestones!$AC$125&amp;";  ","")&amp;IF(AND(EDATE($D87,Milestones!$AA$126)&lt;=AsOfDate,IF($R87=0,$X87,IF(AND($T87&lt;&gt;"",EDATE($D87,Milestones!$AA$126)&gt;=$T87),$W87,IF(AND($S87&lt;&gt;"",EDATE($D87,Milestones!$AA$126)&gt;=$S87),$V87,$U87)))=Milestones!$AB$126),UPPER(TEXT(EDATE($D87,Milestones!$AA$126),"dd mmm yy"))&amp;" "&amp;Milestones!$AB$126&amp;" "&amp;Milestones!$AC$126&amp;";  ","")&amp;IF(AND(EDATE($D87,Milestones!$AA$127)&lt;=AsOfDate,IF($R87=0,$X87,IF(AND($T87&lt;&gt;"",EDATE($D87,Milestones!$AA$127)&gt;=$T87),$W87,IF(AND($S87&lt;&gt;"",EDATE($D87,Milestones!$AA$127)&gt;=$S87),$V87,$U87)))=Milestones!$AB$127),UPPER(TEXT(EDATE($D87,Milestones!$AA$127),"dd mmm yy"))&amp;" "&amp;Milestones!$AB$127&amp;" "&amp;Milestones!$AC$127&amp;";  ","")&amp;IF(AND(EDATE($D87,Milestones!$AA$128)&lt;=AsOfDate,IF($R87=0,$X87,IF(AND($T87&lt;&gt;"",EDATE($D87,Milestones!$AA$128)&gt;=$T87),$W87,IF(AND($S87&lt;&gt;"",EDATE($D87,Milestones!$AA$128)&gt;=$S87),$V87,$U87)))=Milestones!$AB$128),UPPER(TEXT(EDATE($D87,Milestones!$AA$128),"dd mmm yy"))&amp;" "&amp;Milestones!$AB$128&amp;" "&amp;Milestones!$AC$128&amp;";  ","")&amp;IF(AND(EDATE($D87,Milestones!$AA$129)&lt;=AsOfDate,IF($R87=0,$X87,IF(AND($T87&lt;&gt;"",EDATE($D87,Milestones!$AA$129)&gt;=$T87),$W87,IF(AND($S87&lt;&gt;"",EDATE($D87,Milestones!$AA$129)&gt;=$S87),$V87,$U87)))=Milestones!$AB$129),UPPER(TEXT(EDATE($D87,Milestones!$AA$129),"dd mmm yy"))&amp;" "&amp;Milestones!$AB$129&amp;" "&amp;Milestones!$AC$129&amp;";  ","")&amp;IF(AND(EDATE($D87,Milestones!$AA$130)&lt;=AsOfDate,IF($R87=0,$X87,IF(AND($T87&lt;&gt;"",EDATE($D87,Milestones!$AA$130)&gt;=$T87),$W87,IF(AND($S87&lt;&gt;"",EDATE($D87,Milestones!$AA$130)&gt;=$S87),$V87,$U87)))=Milestones!$AB$130),UPPER(TEXT(EDATE($D87,Milestones!$AA$130),"dd mmm yy"))&amp;" "&amp;Milestones!$AB$130&amp;" "&amp;Milestones!$AC$130&amp;";  ","")&amp;IF(AND(EDATE($D87,Milestones!$AA$131)&lt;=AsOfDate,IF($R87=0,$X87,IF(AND($T87&lt;&gt;"",EDATE($D87,Milestones!$AA$131)&gt;=$T87),$W87,IF(AND($S87&lt;&gt;"",EDATE($D87,Milestones!$AA$131)&gt;=$S87),$V87,$U87)))=Milestones!$AB$131),UPPER(TEXT(EDATE($D87,Milestones!$AA$131),"dd mmm yy"))&amp;" "&amp;Milestones!$AB$131&amp;" "&amp;Milestones!$AC$131&amp;";  ","")&amp;IF(AND(EDATE($D87,Milestones!$AA$132)&lt;=AsOfDate,IF($R87=0,$X87,IF(AND($T87&lt;&gt;"",EDATE($D87,Milestones!$AA$132)&gt;=$T87),$W87,IF(AND($S87&lt;&gt;"",EDATE($D87,Milestones!$AA$132)&gt;=$S87),$V87,$U87)))=Milestones!$AB$132),UPPER(TEXT(EDATE($D87,Milestones!$AA$132),"dd mmm yy"))&amp;" "&amp;Milestones!$AB$132&amp;" "&amp;Milestones!$AC$132&amp;";  ","")&amp;IF(AND(EDATE($D87,Milestones!$AA$133)&lt;=AsOfDate,IF($R87=0,$X87,IF(AND($T87&lt;&gt;"",EDATE($D87,Milestones!$AA$133)&gt;=$T87),$W87,IF(AND($S87&lt;&gt;"",EDATE($D87,Milestones!$AA$133)&gt;=$S87),$V87,$U87)))=Milestones!$AB$133),UPPER(TEXT(EDATE($D87,Milestones!$AA$133),"dd mmm yy"))&amp;" "&amp;Milestones!$AB$133&amp;" "&amp;Milestones!$AC$133&amp;";  ","")&amp;IF(AND(EDATE($D87,Milestones!$AA$134)&lt;=AsOfDate,IF($R87=0,$X87,IF(AND($T87&lt;&gt;"",EDATE($D87,Milestones!$AA$134)&gt;=$T87),$W87,IF(AND($S87&lt;&gt;"",EDATE($D87,Milestones!$AA$134)&gt;=$S87),$V87,$U87)))=Milestones!$AB$134),UPPER(TEXT(EDATE($D87,Milestones!$AA$134),"dd mmm yy"))&amp;" "&amp;Milestones!$AB$134&amp;" "&amp;Milestones!$AC$134&amp;";  ","")&amp;IF(AND(EDATE($D87,Milestones!$AA$135)&lt;=AsOfDate,IF($R87=0,$X87,IF(AND($T87&lt;&gt;"",EDATE($D87,Milestones!$AA$135)&gt;=$T87),$W87,IF(AND($S87&lt;&gt;"",EDATE($D87,Milestones!$AA$135)&gt;=$S87),$V87,$U87)))=Milestones!$AB$135),UPPER(TEXT(EDATE($D87,Milestones!$AA$135),"dd mmm yy"))&amp;" "&amp;Milestones!$AB$135&amp;" "&amp;Milestones!$AC$135&amp;";  ","")&amp;IF(AND(EDATE($D87,Milestones!$AA$136)&lt;=AsOfDate,IF($R87=0,$X87,IF(AND($T87&lt;&gt;"",EDATE($D87,Milestones!$AA$136)&gt;=$T87),$W87,IF(AND($S87&lt;&gt;"",EDATE($D87,Milestones!$AA$136)&gt;=$S87),$V87,$U87)))=Milestones!$AB$136),UPPER(TEXT(EDATE($D87,Milestones!$AA$136),"dd mmm yy"))&amp;" "&amp;Milestones!$AB$136&amp;" "&amp;Milestones!$AC$136&amp;";  ","")&amp;IF(AND(EDATE($D87,Milestones!$AA$137)&lt;=AsOfDate,IF($R87=0,$X87,IF(AND($T87&lt;&gt;"",EDATE($D87,Milestones!$AA$137)&gt;=$T87),$W87,IF(AND($S87&lt;&gt;"",EDATE($D87,Milestones!$AA$137)&gt;=$S87),$V87,$U87)))=Milestones!$AB$137),UPPER(TEXT(EDATE($D87,Milestones!$AA$137),"dd mmm yy"))&amp;" "&amp;Milestones!$AB$137&amp;" "&amp;Milestones!$AC$137&amp;";  ","")&amp;IF(AND(EDATE($D87,Milestones!$AA$138)&lt;=AsOfDate,IF($R87=0,$X87,IF(AND($T87&lt;&gt;"",EDATE($D87,Milestones!$AA$138)&gt;=$T87),$W87,IF(AND($S87&lt;&gt;"",EDATE($D87,Milestones!$AA$138)&gt;=$S87),$V87,$U87)))=Milestones!$AB$138),UPPER(TEXT(EDATE($D87,Milestones!$AA$138),"dd mmm yy"))&amp;" "&amp;Milestones!$AB$138&amp;" "&amp;Milestones!$AC$138&amp;";  ","")&amp;IF(AND(EDATE($D87,Milestones!$AA$139)&lt;=AsOfDate,IF($R87=0,$X87,IF(AND($T87&lt;&gt;"",EDATE($D87,Milestones!$AA$139)&gt;=$T87),$W87,IF(AND($S87&lt;&gt;"",EDATE($D87,Milestones!$AA$139)&gt;=$S87),$V87,$U87)))=Milestones!$AB$139),UPPER(TEXT(EDATE($D87,Milestones!$AA$139),"dd mmm yy"))&amp;" "&amp;Milestones!$AB$139&amp;" "&amp;Milestones!$AC$139&amp;";  ",""))</f>
        <v/>
      </c>
      <c r="O87" s="0" t="str">
        <f aca="false">IF(OR($A87="",$D87=""),"",IF(AND(EDATE($D87,Milestones!$AA$140)&lt;=AsOfDate,IF($R87=0,$X87,IF(AND($T87&lt;&gt;"",EDATE($D87,Milestones!$AA$140)&gt;=$T87),$W87,IF(AND($S87&lt;&gt;"",EDATE($D87,Milestones!$AA$140)&gt;=$S87),$V87,$U87)))=Milestones!$AB$140),UPPER(TEXT(EDATE($D87,Milestones!$AA$140),"dd mmm yy"))&amp;" "&amp;Milestones!$AB$140&amp;" "&amp;Milestones!$AC$140&amp;";  ","")&amp;IF(AND(EDATE($D87,Milestones!$AA$141)&lt;=AsOfDate,IF($R87=0,$X87,IF(AND($T87&lt;&gt;"",EDATE($D87,Milestones!$AA$141)&gt;=$T87),$W87,IF(AND($S87&lt;&gt;"",EDATE($D87,Milestones!$AA$141)&gt;=$S87),$V87,$U87)))=Milestones!$AB$141),UPPER(TEXT(EDATE($D87,Milestones!$AA$141),"dd mmm yy"))&amp;" "&amp;Milestones!$AB$141&amp;" "&amp;Milestones!$AC$141&amp;";  ","")&amp;IF(AND(EDATE($D87,Milestones!$AA$142)&lt;=AsOfDate,IF($R87=0,$X87,IF(AND($T87&lt;&gt;"",EDATE($D87,Milestones!$AA$142)&gt;=$T87),$W87,IF(AND($S87&lt;&gt;"",EDATE($D87,Milestones!$AA$142)&gt;=$S87),$V87,$U87)))=Milestones!$AB$142),UPPER(TEXT(EDATE($D87,Milestones!$AA$142),"dd mmm yy"))&amp;" "&amp;Milestones!$AB$142&amp;" "&amp;Milestones!$AC$142&amp;";  ","")&amp;IF(AND(EDATE($D87,Milestones!$AA$143)&lt;=AsOfDate,IF($R87=0,$X87,IF(AND($T87&lt;&gt;"",EDATE($D87,Milestones!$AA$143)&gt;=$T87),$W87,IF(AND($S87&lt;&gt;"",EDATE($D87,Milestones!$AA$143)&gt;=$S87),$V87,$U87)))=Milestones!$AB$143),UPPER(TEXT(EDATE($D87,Milestones!$AA$143),"dd mmm yy"))&amp;" "&amp;Milestones!$AB$143&amp;" "&amp;Milestones!$AC$143&amp;";  ","")&amp;IF(AND(EDATE($D87,Milestones!$AA$144)&lt;=AsOfDate,IF($R87=0,$X87,IF(AND($T87&lt;&gt;"",EDATE($D87,Milestones!$AA$144)&gt;=$T87),$W87,IF(AND($S87&lt;&gt;"",EDATE($D87,Milestones!$AA$144)&gt;=$S87),$V87,$U87)))=Milestones!$AB$144),UPPER(TEXT(EDATE($D87,Milestones!$AA$144),"dd mmm yy"))&amp;" "&amp;Milestones!$AB$144&amp;" "&amp;Milestones!$AC$144&amp;";  ","")&amp;IF(AND(EDATE($D87,Milestones!$AA$145)&lt;=AsOfDate,IF($R87=0,$X87,IF(AND($T87&lt;&gt;"",EDATE($D87,Milestones!$AA$145)&gt;=$T87),$W87,IF(AND($S87&lt;&gt;"",EDATE($D87,Milestones!$AA$145)&gt;=$S87),$V87,$U87)))=Milestones!$AB$145),UPPER(TEXT(EDATE($D87,Milestones!$AA$145),"dd mmm yy"))&amp;" "&amp;Milestones!$AB$145&amp;" "&amp;Milestones!$AC$145&amp;";  ","")&amp;IF(AND(EDATE($D87,Milestones!$AA$146)&lt;=AsOfDate,IF($R87=0,$X87,IF(AND($T87&lt;&gt;"",EDATE($D87,Milestones!$AA$146)&gt;=$T87),$W87,IF(AND($S87&lt;&gt;"",EDATE($D87,Milestones!$AA$146)&gt;=$S87),$V87,$U87)))=Milestones!$AB$146),UPPER(TEXT(EDATE($D87,Milestones!$AA$146),"dd mmm yy"))&amp;" "&amp;Milestones!$AB$146&amp;" "&amp;Milestones!$AC$146&amp;";  ","")&amp;IF(AND(EDATE($D87,Milestones!$AA$147)&lt;=AsOfDate,IF($R87=0,$X87,IF(AND($T87&lt;&gt;"",EDATE($D87,Milestones!$AA$147)&gt;=$T87),$W87,IF(AND($S87&lt;&gt;"",EDATE($D87,Milestones!$AA$147)&gt;=$S87),$V87,$U87)))=Milestones!$AB$147),UPPER(TEXT(EDATE($D87,Milestones!$AA$147),"dd mmm yy"))&amp;" "&amp;Milestones!$AB$147&amp;" "&amp;Milestones!$AC$147&amp;";  ","")&amp;IF(AND(EDATE($D87,Milestones!$AA$148)&lt;=AsOfDate,IF($R87=0,$X87,IF(AND($T87&lt;&gt;"",EDATE($D87,Milestones!$AA$148)&gt;=$T87),$W87,IF(AND($S87&lt;&gt;"",EDATE($D87,Milestones!$AA$148)&gt;=$S87),$V87,$U87)))=Milestones!$AB$148),UPPER(TEXT(EDATE($D87,Milestones!$AA$148),"dd mmm yy"))&amp;" "&amp;Milestones!$AB$148&amp;" "&amp;Milestones!$AC$148&amp;";  ","")&amp;IF(AND(EDATE($D87,Milestones!$AA$149)&lt;=AsOfDate,IF($R87=0,$X87,IF(AND($T87&lt;&gt;"",EDATE($D87,Milestones!$AA$149)&gt;=$T87),$W87,IF(AND($S87&lt;&gt;"",EDATE($D87,Milestones!$AA$149)&gt;=$S87),$V87,$U87)))=Milestones!$AB$149),UPPER(TEXT(EDATE($D87,Milestones!$AA$149),"dd mmm yy"))&amp;" "&amp;Milestones!$AB$149&amp;" "&amp;Milestones!$AC$149&amp;";  ","")&amp;IF(AND(EDATE($D87,Milestones!$AA$150)&lt;=AsOfDate,IF($R87=0,$X87,IF(AND($T87&lt;&gt;"",EDATE($D87,Milestones!$AA$150)&gt;=$T87),$W87,IF(AND($S87&lt;&gt;"",EDATE($D87,Milestones!$AA$150)&gt;=$S87),$V87,$U87)))=Milestones!$AB$150),UPPER(TEXT(EDATE($D87,Milestones!$AA$150),"dd mmm yy"))&amp;" "&amp;Milestones!$AB$150&amp;" "&amp;Milestones!$AC$150&amp;";  ","")&amp;IF(AND(EDATE($D87,Milestones!$AA$151)&lt;=AsOfDate,IF($R87=0,$X87,IF(AND($T87&lt;&gt;"",EDATE($D87,Milestones!$AA$151)&gt;=$T87),$W87,IF(AND($S87&lt;&gt;"",EDATE($D87,Milestones!$AA$151)&gt;=$S87),$V87,$U87)))=Milestones!$AB$151),UPPER(TEXT(EDATE($D87,Milestones!$AA$151),"dd mmm yy"))&amp;" "&amp;Milestones!$AB$151&amp;" "&amp;Milestones!$AC$151&amp;";  ","")&amp;IF(AND(EDATE($D87,Milestones!$AA$152)&lt;=AsOfDate,IF($R87=0,$X87,IF(AND($T87&lt;&gt;"",EDATE($D87,Milestones!$AA$152)&gt;=$T87),$W87,IF(AND($S87&lt;&gt;"",EDATE($D87,Milestones!$AA$152)&gt;=$S87),$V87,$U87)))=Milestones!$AB$152),UPPER(TEXT(EDATE($D87,Milestones!$AA$152),"dd mmm yy"))&amp;" "&amp;Milestones!$AB$152&amp;" "&amp;Milestones!$AC$152&amp;";  ","")&amp;IF(AND(EDATE($D87,Milestones!$AA$153)&lt;=AsOfDate,IF($R87=0,$X87,IF(AND($T87&lt;&gt;"",EDATE($D87,Milestones!$AA$153)&gt;=$T87),$W87,IF(AND($S87&lt;&gt;"",EDATE($D87,Milestones!$AA$153)&gt;=$S87),$V87,$U87)))=Milestones!$AB$153),UPPER(TEXT(EDATE($D87,Milestones!$AA$153),"dd mmm yy"))&amp;" "&amp;Milestones!$AB$153&amp;" "&amp;Milestones!$AC$153&amp;";  ","")&amp;IF(AND(EDATE($D87,Milestones!$AA$154)&lt;=AsOfDate,IF($R87=0,$X87,IF(AND($T87&lt;&gt;"",EDATE($D87,Milestones!$AA$154)&gt;=$T87),$W87,IF(AND($S87&lt;&gt;"",EDATE($D87,Milestones!$AA$154)&gt;=$S87),$V87,$U87)))=Milestones!$AB$154),UPPER(TEXT(EDATE($D87,Milestones!$AA$154),"dd mmm yy"))&amp;" "&amp;Milestones!$AB$154&amp;" "&amp;Milestones!$AC$154&amp;";  ","")&amp;IF(AND(EDATE($D87,Milestones!$AA$155)&lt;=AsOfDate,IF($R87=0,$X87,IF(AND($T87&lt;&gt;"",EDATE($D87,Milestones!$AA$155)&gt;=$T87),$W87,IF(AND($S87&lt;&gt;"",EDATE($D87,Milestones!$AA$155)&gt;=$S87),$V87,$U87)))=Milestones!$AB$155),UPPER(TEXT(EDATE($D87,Milestones!$AA$155),"dd mmm yy"))&amp;" "&amp;Milestones!$AB$155&amp;" "&amp;Milestones!$AC$155&amp;";  ","")&amp;IF(AND(EDATE($D87,Milestones!$AA$156)&lt;=AsOfDate,IF($R87=0,$X87,IF(AND($T87&lt;&gt;"",EDATE($D87,Milestones!$AA$156)&gt;=$T87),$W87,IF(AND($S87&lt;&gt;"",EDATE($D87,Milestones!$AA$156)&gt;=$S87),$V87,$U87)))=Milestones!$AB$156),UPPER(TEXT(EDATE($D87,Milestones!$AA$156),"dd mmm yy"))&amp;" "&amp;Milestones!$AB$156&amp;" "&amp;Milestones!$AC$156&amp;";  ","")&amp;IF(AND(EDATE($D87,Milestones!$AA$157)&lt;=AsOfDate,IF($R87=0,$X87,IF(AND($T87&lt;&gt;"",EDATE($D87,Milestones!$AA$157)&gt;=$T87),$W87,IF(AND($S87&lt;&gt;"",EDATE($D87,Milestones!$AA$157)&gt;=$S87),$V87,$U87)))=Milestones!$AB$157),UPPER(TEXT(EDATE($D87,Milestones!$AA$157),"dd mmm yy"))&amp;" "&amp;Milestones!$AB$157&amp;" "&amp;Milestones!$AC$157&amp;";  ","")&amp;IF(AND(EDATE($D87,Milestones!$AA$158)&lt;=AsOfDate,IF($R87=0,$X87,IF(AND($T87&lt;&gt;"",EDATE($D87,Milestones!$AA$158)&gt;=$T87),$W87,IF(AND($S87&lt;&gt;"",EDATE($D87,Milestones!$AA$158)&gt;=$S87),$V87,$U87)))=Milestones!$AB$158),UPPER(TEXT(EDATE($D87,Milestones!$AA$158),"dd mmm yy"))&amp;" "&amp;Milestones!$AB$158&amp;" "&amp;Milestones!$AC$158&amp;";  ","")&amp;IF(AND(EDATE($D87,Milestones!$AA$159)&lt;=AsOfDate,IF($R87=0,$X87,IF(AND($T87&lt;&gt;"",EDATE($D87,Milestones!$AA$159)&gt;=$T87),$W87,IF(AND($S87&lt;&gt;"",EDATE($D87,Milestones!$AA$159)&gt;=$S87),$V87,$U87)))=Milestones!$AB$159),UPPER(TEXT(EDATE($D87,Milestones!$AA$159),"dd mmm yy"))&amp;" "&amp;Milestones!$AB$159&amp;" "&amp;Milestones!$AC$159&amp;";  ",""))</f>
        <v/>
      </c>
      <c r="P87" s="0" t="str">
        <f aca="false">IF(OR($A87="",$D87=""),"",IF(AND(EDATE($D87,Milestones!$AA$160)&lt;=AsOfDate,IF($R87=0,$X87,IF(AND($T87&lt;&gt;"",EDATE($D87,Milestones!$AA$160)&gt;=$T87),$W87,IF(AND($S87&lt;&gt;"",EDATE($D87,Milestones!$AA$160)&gt;=$S87),$V87,$U87)))=Milestones!$AB$160),UPPER(TEXT(EDATE($D87,Milestones!$AA$160),"dd mmm yy"))&amp;" "&amp;Milestones!$AB$160&amp;" "&amp;Milestones!$AC$160&amp;";  ","")&amp;IF(AND(EDATE($D87,Milestones!$AA$161)&lt;=AsOfDate,IF($R87=0,$X87,IF(AND($T87&lt;&gt;"",EDATE($D87,Milestones!$AA$161)&gt;=$T87),$W87,IF(AND($S87&lt;&gt;"",EDATE($D87,Milestones!$AA$161)&gt;=$S87),$V87,$U87)))=Milestones!$AB$161),UPPER(TEXT(EDATE($D87,Milestones!$AA$161),"dd mmm yy"))&amp;" "&amp;Milestones!$AB$161&amp;" "&amp;Milestones!$AC$161&amp;";  ","")&amp;IF(AND(EDATE($D87,Milestones!$AA$162)&lt;=AsOfDate,IF($R87=0,$X87,IF(AND($T87&lt;&gt;"",EDATE($D87,Milestones!$AA$162)&gt;=$T87),$W87,IF(AND($S87&lt;&gt;"",EDATE($D87,Milestones!$AA$162)&gt;=$S87),$V87,$U87)))=Milestones!$AB$162),UPPER(TEXT(EDATE($D87,Milestones!$AA$162),"dd mmm yy"))&amp;" "&amp;Milestones!$AB$162&amp;" "&amp;Milestones!$AC$162&amp;";  ","")&amp;IF(AND(EDATE($D87,Milestones!$AA$163)&lt;=AsOfDate,IF($R87=0,$X87,IF(AND($T87&lt;&gt;"",EDATE($D87,Milestones!$AA$163)&gt;=$T87),$W87,IF(AND($S87&lt;&gt;"",EDATE($D87,Milestones!$AA$163)&gt;=$S87),$V87,$U87)))=Milestones!$AB$163),UPPER(TEXT(EDATE($D87,Milestones!$AA$163),"dd mmm yy"))&amp;" "&amp;Milestones!$AB$163&amp;" "&amp;Milestones!$AC$163&amp;";  ","")&amp;IF(AND(EDATE($D87,Milestones!$AA$164)&lt;=AsOfDate,IF($R87=0,$X87,IF(AND($T87&lt;&gt;"",EDATE($D87,Milestones!$AA$164)&gt;=$T87),$W87,IF(AND($S87&lt;&gt;"",EDATE($D87,Milestones!$AA$164)&gt;=$S87),$V87,$U87)))=Milestones!$AB$164),UPPER(TEXT(EDATE($D87,Milestones!$AA$164),"dd mmm yy"))&amp;" "&amp;Milestones!$AB$164&amp;" "&amp;Milestones!$AC$164&amp;";  ","")&amp;IF(AND(EDATE($D87,Milestones!$AA$165)&lt;=AsOfDate,IF($R87=0,$X87,IF(AND($T87&lt;&gt;"",EDATE($D87,Milestones!$AA$165)&gt;=$T87),$W87,IF(AND($S87&lt;&gt;"",EDATE($D87,Milestones!$AA$165)&gt;=$S87),$V87,$U87)))=Milestones!$AB$165),UPPER(TEXT(EDATE($D87,Milestones!$AA$165),"dd mmm yy"))&amp;" "&amp;Milestones!$AB$165&amp;" "&amp;Milestones!$AC$165&amp;";  ","")&amp;IF(AND(EDATE($D87,Milestones!$AA$166)&lt;=AsOfDate,IF($R87=0,$X87,IF(AND($T87&lt;&gt;"",EDATE($D87,Milestones!$AA$166)&gt;=$T87),$W87,IF(AND($S87&lt;&gt;"",EDATE($D87,Milestones!$AA$166)&gt;=$S87),$V87,$U87)))=Milestones!$AB$166),UPPER(TEXT(EDATE($D87,Milestones!$AA$166),"dd mmm yy"))&amp;" "&amp;Milestones!$AB$166&amp;" "&amp;Milestones!$AC$166&amp;";  ","")&amp;IF(AND(EDATE($D87,Milestones!$AA$167)&lt;=AsOfDate,IF($R87=0,$X87,IF(AND($T87&lt;&gt;"",EDATE($D87,Milestones!$AA$167)&gt;=$T87),$W87,IF(AND($S87&lt;&gt;"",EDATE($D87,Milestones!$AA$167)&gt;=$S87),$V87,$U87)))=Milestones!$AB$167),UPPER(TEXT(EDATE($D87,Milestones!$AA$167),"dd mmm yy"))&amp;" "&amp;Milestones!$AB$167&amp;" "&amp;Milestones!$AC$167&amp;";  ","")&amp;IF(AND(EDATE($D87,Milestones!$AA$168)&lt;=AsOfDate,IF($R87=0,$X87,IF(AND($T87&lt;&gt;"",EDATE($D87,Milestones!$AA$168)&gt;=$T87),$W87,IF(AND($S87&lt;&gt;"",EDATE($D87,Milestones!$AA$168)&gt;=$S87),$V87,$U87)))=Milestones!$AB$168),UPPER(TEXT(EDATE($D87,Milestones!$AA$168),"dd mmm yy"))&amp;" "&amp;Milestones!$AB$168&amp;" "&amp;Milestones!$AC$168&amp;";  ","")&amp;IF(AND(EDATE($D87,Milestones!$AA$169)&lt;=AsOfDate,IF($R87=0,$X87,IF(AND($T87&lt;&gt;"",EDATE($D87,Milestones!$AA$169)&gt;=$T87),$W87,IF(AND($S87&lt;&gt;"",EDATE($D87,Milestones!$AA$169)&gt;=$S87),$V87,$U87)))=Milestones!$AB$169),UPPER(TEXT(EDATE($D87,Milestones!$AA$169),"dd mmm yy"))&amp;" "&amp;Milestones!$AB$169&amp;" "&amp;Milestones!$AC$169&amp;";  ","")&amp;IF(AND(EDATE($D87,Milestones!$AA$170)&lt;=AsOfDate,IF($R87=0,$X87,IF(AND($T87&lt;&gt;"",EDATE($D87,Milestones!$AA$170)&gt;=$T87),$W87,IF(AND($S87&lt;&gt;"",EDATE($D87,Milestones!$AA$170)&gt;=$S87),$V87,$U87)))=Milestones!$AB$170),UPPER(TEXT(EDATE($D87,Milestones!$AA$170),"dd mmm yy"))&amp;" "&amp;Milestones!$AB$170&amp;" "&amp;Milestones!$AC$170&amp;";  ","")&amp;IF(AND(EDATE($D87,Milestones!$AA$171)&lt;=AsOfDate,IF($R87=0,$X87,IF(AND($T87&lt;&gt;"",EDATE($D87,Milestones!$AA$171)&gt;=$T87),$W87,IF(AND($S87&lt;&gt;"",EDATE($D87,Milestones!$AA$171)&gt;=$S87),$V87,$U87)))=Milestones!$AB$171),UPPER(TEXT(EDATE($D87,Milestones!$AA$171),"dd mmm yy"))&amp;" "&amp;Milestones!$AB$171&amp;" "&amp;Milestones!$AC$171&amp;";  ","")&amp;IF(AND(EDATE($D87,Milestones!$AA$172)&lt;=AsOfDate,IF($R87=0,$X87,IF(AND($T87&lt;&gt;"",EDATE($D87,Milestones!$AA$172)&gt;=$T87),$W87,IF(AND($S87&lt;&gt;"",EDATE($D87,Milestones!$AA$172)&gt;=$S87),$V87,$U87)))=Milestones!$AB$172),UPPER(TEXT(EDATE($D87,Milestones!$AA$172),"dd mmm yy"))&amp;" "&amp;Milestones!$AB$172&amp;" "&amp;Milestones!$AC$172&amp;";  ","")&amp;IF(AND(EDATE($D87,Milestones!$AA$173)&lt;=AsOfDate,IF($R87=0,$X87,IF(AND($T87&lt;&gt;"",EDATE($D87,Milestones!$AA$173)&gt;=$T87),$W87,IF(AND($S87&lt;&gt;"",EDATE($D87,Milestones!$AA$173)&gt;=$S87),$V87,$U87)))=Milestones!$AB$173),UPPER(TEXT(EDATE($D87,Milestones!$AA$173),"dd mmm yy"))&amp;" "&amp;Milestones!$AB$173&amp;" "&amp;Milestones!$AC$173&amp;";  ","")&amp;IF(AND(EDATE($D87,Milestones!$AA$174)&lt;=AsOfDate,IF($R87=0,$X87,IF(AND($T87&lt;&gt;"",EDATE($D87,Milestones!$AA$174)&gt;=$T87),$W87,IF(AND($S87&lt;&gt;"",EDATE($D87,Milestones!$AA$174)&gt;=$S87),$V87,$U87)))=Milestones!$AB$174),UPPER(TEXT(EDATE($D87,Milestones!$AA$174),"dd mmm yy"))&amp;" "&amp;Milestones!$AB$174&amp;" "&amp;Milestones!$AC$174&amp;";  ","")&amp;IF(AND(EDATE($D87,Milestones!$AA$175)&lt;=AsOfDate,IF($R87=0,$X87,IF(AND($T87&lt;&gt;"",EDATE($D87,Milestones!$AA$175)&gt;=$T87),$W87,IF(AND($S87&lt;&gt;"",EDATE($D87,Milestones!$AA$175)&gt;=$S87),$V87,$U87)))=Milestones!$AB$175),UPPER(TEXT(EDATE($D87,Milestones!$AA$175),"dd mmm yy"))&amp;" "&amp;Milestones!$AB$175&amp;" "&amp;Milestones!$AC$175&amp;";  ","")&amp;IF(AND(EDATE($D87,Milestones!$AA$176)&lt;=AsOfDate,IF($R87=0,$X87,IF(AND($T87&lt;&gt;"",EDATE($D87,Milestones!$AA$176)&gt;=$T87),$W87,IF(AND($S87&lt;&gt;"",EDATE($D87,Milestones!$AA$176)&gt;=$S87),$V87,$U87)))=Milestones!$AB$176),UPPER(TEXT(EDATE($D87,Milestones!$AA$176),"dd mmm yy"))&amp;" "&amp;Milestones!$AB$176&amp;" "&amp;Milestones!$AC$176&amp;";  ","")&amp;IF(AND(EDATE($D87,Milestones!$AA$177)&lt;=AsOfDate,IF($R87=0,$X87,IF(AND($T87&lt;&gt;"",EDATE($D87,Milestones!$AA$177)&gt;=$T87),$W87,IF(AND($S87&lt;&gt;"",EDATE($D87,Milestones!$AA$177)&gt;=$S87),$V87,$U87)))=Milestones!$AB$177),UPPER(TEXT(EDATE($D87,Milestones!$AA$177),"dd mmm yy"))&amp;" "&amp;Milestones!$AB$177&amp;" "&amp;Milestones!$AC$177&amp;";  ","")&amp;IF(AND(EDATE($D87,Milestones!$AA$178)&lt;=AsOfDate,IF($R87=0,$X87,IF(AND($T87&lt;&gt;"",EDATE($D87,Milestones!$AA$178)&gt;=$T87),$W87,IF(AND($S87&lt;&gt;"",EDATE($D87,Milestones!$AA$178)&gt;=$S87),$V87,$U87)))=Milestones!$AB$178),UPPER(TEXT(EDATE($D87,Milestones!$AA$178),"dd mmm yy"))&amp;" "&amp;Milestones!$AB$178&amp;" "&amp;Milestones!$AC$178&amp;";  ","")&amp;IF(AND(EDATE($D87,Milestones!$AA$179)&lt;=AsOfDate,IF($R87=0,$X87,IF(AND($T87&lt;&gt;"",EDATE($D87,Milestones!$AA$179)&gt;=$T87),$W87,IF(AND($S87&lt;&gt;"",EDATE($D87,Milestones!$AA$179)&gt;=$S87),$V87,$U87)))=Milestones!$AB$179),UPPER(TEXT(EDATE($D87,Milestones!$AA$179),"dd mmm yy"))&amp;" "&amp;Milestones!$AB$179&amp;" "&amp;Milestones!$AC$179&amp;";  ",""))</f>
        <v/>
      </c>
      <c r="Q87" s="0" t="str">
        <f aca="false">IF(OR($A87="",$D87=""),"",IF(AND(EDATE($D87,Milestones!$AA$180)&lt;=AsOfDate,IF($R87=0,$X87,IF(AND($T87&lt;&gt;"",EDATE($D87,Milestones!$AA$180)&gt;=$T87),$W87,IF(AND($S87&lt;&gt;"",EDATE($D87,Milestones!$AA$180)&gt;=$S87),$V87,$U87)))=Milestones!$AB$180),UPPER(TEXT(EDATE($D87,Milestones!$AA$180),"dd mmm yy"))&amp;" "&amp;Milestones!$AB$180&amp;" "&amp;Milestones!$AC$180&amp;";  ","")&amp;IF(AND(EDATE($D87,Milestones!$AA$181)&lt;=AsOfDate,IF($R87=0,$X87,IF(AND($T87&lt;&gt;"",EDATE($D87,Milestones!$AA$181)&gt;=$T87),$W87,IF(AND($S87&lt;&gt;"",EDATE($D87,Milestones!$AA$181)&gt;=$S87),$V87,$U87)))=Milestones!$AB$181),UPPER(TEXT(EDATE($D87,Milestones!$AA$181),"dd mmm yy"))&amp;" "&amp;Milestones!$AB$181&amp;" "&amp;Milestones!$AC$181&amp;";  ","")&amp;IF(AND(EDATE($D87,Milestones!$AA$182)&lt;=AsOfDate,IF($R87=0,$X87,IF(AND($T87&lt;&gt;"",EDATE($D87,Milestones!$AA$182)&gt;=$T87),$W87,IF(AND($S87&lt;&gt;"",EDATE($D87,Milestones!$AA$182)&gt;=$S87),$V87,$U87)))=Milestones!$AB$182),UPPER(TEXT(EDATE($D87,Milestones!$AA$182),"dd mmm yy"))&amp;" "&amp;Milestones!$AB$182&amp;" "&amp;Milestones!$AC$182&amp;";  ","")&amp;IF(AND(EDATE($D87,Milestones!$AA$183)&lt;=AsOfDate,IF($R87=0,$X87,IF(AND($T87&lt;&gt;"",EDATE($D87,Milestones!$AA$183)&gt;=$T87),$W87,IF(AND($S87&lt;&gt;"",EDATE($D87,Milestones!$AA$183)&gt;=$S87),$V87,$U87)))=Milestones!$AB$183),UPPER(TEXT(EDATE($D87,Milestones!$AA$183),"dd mmm yy"))&amp;" "&amp;Milestones!$AB$183&amp;" "&amp;Milestones!$AC$183&amp;";  ","")&amp;IF(AND(EDATE($D87,Milestones!$AA$184)&lt;=AsOfDate,IF($R87=0,$X87,IF(AND($T87&lt;&gt;"",EDATE($D87,Milestones!$AA$184)&gt;=$T87),$W87,IF(AND($S87&lt;&gt;"",EDATE($D87,Milestones!$AA$184)&gt;=$S87),$V87,$U87)))=Milestones!$AB$184),UPPER(TEXT(EDATE($D87,Milestones!$AA$184),"dd mmm yy"))&amp;" "&amp;Milestones!$AB$184&amp;" "&amp;Milestones!$AC$184&amp;";  ","")&amp;IF(AND(EDATE($D87,Milestones!$AA$185)&lt;=AsOfDate,IF($R87=0,$X87,IF(AND($T87&lt;&gt;"",EDATE($D87,Milestones!$AA$185)&gt;=$T87),$W87,IF(AND($S87&lt;&gt;"",EDATE($D87,Milestones!$AA$185)&gt;=$S87),$V87,$U87)))=Milestones!$AB$185),UPPER(TEXT(EDATE($D87,Milestones!$AA$185),"dd mmm yy"))&amp;" "&amp;Milestones!$AB$185&amp;" "&amp;Milestones!$AC$185&amp;";  ","")&amp;IF(AND(EDATE($D87,Milestones!$AA$186)&lt;=AsOfDate,IF($R87=0,$X87,IF(AND($T87&lt;&gt;"",EDATE($D87,Milestones!$AA$186)&gt;=$T87),$W87,IF(AND($S87&lt;&gt;"",EDATE($D87,Milestones!$AA$186)&gt;=$S87),$V87,$U87)))=Milestones!$AB$186),UPPER(TEXT(EDATE($D87,Milestones!$AA$186),"dd mmm yy"))&amp;" "&amp;Milestones!$AB$186&amp;" "&amp;Milestones!$AC$186&amp;";  ","")&amp;IF(AND(EDATE($D87,Milestones!$AA$187)&lt;=AsOfDate,IF($R87=0,$X87,IF(AND($T87&lt;&gt;"",EDATE($D87,Milestones!$AA$187)&gt;=$T87),$W87,IF(AND($S87&lt;&gt;"",EDATE($D87,Milestones!$AA$187)&gt;=$S87),$V87,$U87)))=Milestones!$AB$187),UPPER(TEXT(EDATE($D87,Milestones!$AA$187),"dd mmm yy"))&amp;" "&amp;Milestones!$AB$187&amp;" "&amp;Milestones!$AC$187&amp;";  ","")&amp;IF(AND(EDATE($D87,Milestones!$AA$188)&lt;=AsOfDate,IF($R87=0,$X87,IF(AND($T87&lt;&gt;"",EDATE($D87,Milestones!$AA$188)&gt;=$T87),$W87,IF(AND($S87&lt;&gt;"",EDATE($D87,Milestones!$AA$188)&gt;=$S87),$V87,$U87)))=Milestones!$AB$188),UPPER(TEXT(EDATE($D87,Milestones!$AA$188),"dd mmm yy"))&amp;" "&amp;Milestones!$AB$188&amp;" "&amp;Milestones!$AC$188&amp;";  ","")&amp;IF(AND(EDATE($D87,Milestones!$AA$189)&lt;=AsOfDate,IF($R87=0,$X87,IF(AND($T87&lt;&gt;"",EDATE($D87,Milestones!$AA$189)&gt;=$T87),$W87,IF(AND($S87&lt;&gt;"",EDATE($D87,Milestones!$AA$189)&gt;=$S87),$V87,$U87)))=Milestones!$AB$189),UPPER(TEXT(EDATE($D87,Milestones!$AA$189),"dd mmm yy"))&amp;" "&amp;Milestones!$AB$189&amp;" "&amp;Milestones!$AC$189&amp;";  ","")&amp;IF(AND(EDATE($D87,Milestones!$AA$190)&lt;=AsOfDate,IF($R87=0,$X87,IF(AND($T87&lt;&gt;"",EDATE($D87,Milestones!$AA$190)&gt;=$T87),$W87,IF(AND($S87&lt;&gt;"",EDATE($D87,Milestones!$AA$190)&gt;=$S87),$V87,$U87)))=Milestones!$AB$190),UPPER(TEXT(EDATE($D87,Milestones!$AA$190),"dd mmm yy"))&amp;" "&amp;Milestones!$AB$190&amp;" "&amp;Milestones!$AC$190&amp;";  ","")&amp;IF(AND(EDATE($D87,Milestones!$AA$191)&lt;=AsOfDate,IF($R87=0,$X87,IF(AND($T87&lt;&gt;"",EDATE($D87,Milestones!$AA$191)&gt;=$T87),$W87,IF(AND($S87&lt;&gt;"",EDATE($D87,Milestones!$AA$191)&gt;=$S87),$V87,$U87)))=Milestones!$AB$191),UPPER(TEXT(EDATE($D87,Milestones!$AA$191),"dd mmm yy"))&amp;" "&amp;Milestones!$AB$191&amp;" "&amp;Milestones!$AC$191&amp;";  ","")&amp;IF(AND(EDATE($D87,Milestones!$AA$192)&lt;=AsOfDate,IF($R87=0,$X87,IF(AND($T87&lt;&gt;"",EDATE($D87,Milestones!$AA$192)&gt;=$T87),$W87,IF(AND($S87&lt;&gt;"",EDATE($D87,Milestones!$AA$192)&gt;=$S87),$V87,$U87)))=Milestones!$AB$192),UPPER(TEXT(EDATE($D87,Milestones!$AA$192),"dd mmm yy"))&amp;" "&amp;Milestones!$AB$192&amp;" "&amp;Milestones!$AC$192&amp;";  ","")&amp;IF(AND(EDATE($D87,Milestones!$AA$193)&lt;=AsOfDate,IF($R87=0,$X87,IF(AND($T87&lt;&gt;"",EDATE($D87,Milestones!$AA$193)&gt;=$T87),$W87,IF(AND($S87&lt;&gt;"",EDATE($D87,Milestones!$AA$193)&gt;=$S87),$V87,$U87)))=Milestones!$AB$193),UPPER(TEXT(EDATE($D87,Milestones!$AA$193),"dd mmm yy"))&amp;" "&amp;Milestones!$AB$193&amp;" "&amp;Milestones!$AC$193&amp;";  ","")&amp;IF(AND(EDATE($D87,Milestones!$AA$194)&lt;=AsOfDate,IF($R87=0,$X87,IF(AND($T87&lt;&gt;"",EDATE($D87,Milestones!$AA$194)&gt;=$T87),$W87,IF(AND($S87&lt;&gt;"",EDATE($D87,Milestones!$AA$194)&gt;=$S87),$V87,$U87)))=Milestones!$AB$194),UPPER(TEXT(EDATE($D87,Milestones!$AA$194),"dd mmm yy"))&amp;" "&amp;Milestones!$AB$194&amp;" "&amp;Milestones!$AC$194&amp;";  ","")&amp;IF(AND(EDATE($D87,Milestones!$AA$195)&lt;=AsOfDate,IF($R87=0,$X87,IF(AND($T87&lt;&gt;"",EDATE($D87,Milestones!$AA$195)&gt;=$T87),$W87,IF(AND($S87&lt;&gt;"",EDATE($D87,Milestones!$AA$195)&gt;=$S87),$V87,$U87)))=Milestones!$AB$195),UPPER(TEXT(EDATE($D87,Milestones!$AA$195),"dd mmm yy"))&amp;" "&amp;Milestones!$AB$195&amp;" "&amp;Milestones!$AC$195&amp;";  ","")&amp;IF(AND(EDATE($D87,Milestones!$AA$196)&lt;=AsOfDate,IF($R87=0,$X87,IF(AND($T87&lt;&gt;"",EDATE($D87,Milestones!$AA$196)&gt;=$T87),$W87,IF(AND($S87&lt;&gt;"",EDATE($D87,Milestones!$AA$196)&gt;=$S87),$V87,$U87)))=Milestones!$AB$196),UPPER(TEXT(EDATE($D87,Milestones!$AA$196),"dd mmm yy"))&amp;" "&amp;Milestones!$AB$196&amp;" "&amp;Milestones!$AC$196&amp;";  ","")&amp;IF(AND(EDATE($D87,Milestones!$AA$197)&lt;=AsOfDate,IF($R87=0,$X87,IF(AND($T87&lt;&gt;"",EDATE($D87,Milestones!$AA$197)&gt;=$T87),$W87,IF(AND($S87&lt;&gt;"",EDATE($D87,Milestones!$AA$197)&gt;=$S87),$V87,$U87)))=Milestones!$AB$197),UPPER(TEXT(EDATE($D87,Milestones!$AA$197),"dd mmm yy"))&amp;" "&amp;Milestones!$AB$197&amp;" "&amp;Milestones!$AC$197&amp;";  ","")&amp;IF(AND(EDATE($D87,Milestones!$AA$198)&lt;=AsOfDate,IF($R87=0,$X87,IF(AND($T87&lt;&gt;"",EDATE($D87,Milestones!$AA$198)&gt;=$T87),$W87,IF(AND($S87&lt;&gt;"",EDATE($D87,Milestones!$AA$198)&gt;=$S87),$V87,$U87)))=Milestones!$AB$198),UPPER(TEXT(EDATE($D87,Milestones!$AA$198),"dd mmm yy"))&amp;" "&amp;Milestones!$AB$198&amp;" "&amp;Milestones!$AC$198&amp;";  ","")&amp;IF(AND(EDATE($D87,Milestones!$AA$199)&lt;=AsOfDate,IF($R87=0,$X87,IF(AND($T87&lt;&gt;"",EDATE($D87,Milestones!$AA$199)&gt;=$T87),$W87,IF(AND($S87&lt;&gt;"",EDATE($D87,Milestones!$AA$199)&gt;=$S87),$V87,$U87)))=Milestones!$AB$199),UPPER(TEXT(EDATE($D87,Milestones!$AA$199),"dd mmm yy"))&amp;" "&amp;Milestones!$AB$199&amp;" "&amp;Milestones!$AC$199&amp;";  ",""))</f>
        <v/>
      </c>
      <c r="R87" s="0" t="str">
        <f aca="false">IF(Staff!$A87="","",Staff!$AI87)</f>
        <v/>
      </c>
      <c r="S87" s="0" t="str">
        <f aca="false">IF(Staff!$A87="","",Staff!$AK87)</f>
        <v/>
      </c>
      <c r="T87" s="0" t="str">
        <f aca="false">IF(Staff!$A87="","",Staff!$AL87)</f>
        <v/>
      </c>
      <c r="U87" s="0" t="str">
        <f aca="false">IF(Staff!$A87="","",Staff!$AP87)</f>
        <v/>
      </c>
      <c r="V87" s="0" t="str">
        <f aca="false">IF(Staff!$A87="","",Staff!$AQ87)</f>
        <v/>
      </c>
      <c r="W87" s="0" t="str">
        <f aca="false">IF(Staff!$A87="","",Staff!$AR87)</f>
        <v/>
      </c>
      <c r="X87" s="0" t="str">
        <f aca="false">IF(Staff!$A87="","",Staff!$AS87)</f>
        <v/>
      </c>
    </row>
    <row r="88" customFormat="false" ht="15" hidden="false" customHeight="false" outlineLevel="0" collapsed="false">
      <c r="A88" s="19" t="str">
        <f aca="false">IF(Staff!$A88="","",Staff!$A88)</f>
        <v/>
      </c>
      <c r="B88" s="19" t="str">
        <f aca="false">IF(Staff!$A88="","",Staff!$B88)</f>
        <v/>
      </c>
      <c r="C88" s="19" t="str">
        <f aca="false">IF(Staff!$A88="","",Staff!$C88)</f>
        <v/>
      </c>
      <c r="D88" s="17" t="str">
        <f aca="false">IF(Staff!$A88="","",Staff!$AH88)</f>
        <v/>
      </c>
      <c r="E88" s="19" t="str">
        <f aca="false">IF(Staff!$A88="","",Staff!$O88)</f>
        <v/>
      </c>
      <c r="F88" s="19" t="str">
        <f aca="false">IF(E88="","",E88*HoursPerDay)</f>
        <v/>
      </c>
      <c r="G88" s="19" t="str">
        <f aca="false">IF(Staff!$A88="","",Staff!$AE88)</f>
        <v/>
      </c>
      <c r="H88" s="32" t="str">
        <f aca="false">IF($A88="","",I88&amp;J88&amp;K88&amp;L88&amp;M88&amp;N88&amp;O88&amp;P88&amp;Q88)</f>
        <v/>
      </c>
      <c r="I88" s="0" t="str">
        <f aca="false">IF(OR($A88="",$D88=""),"",IF(AND(EDATE($D88,Milestones!$AA$20)&lt;=AsOfDate,IF($R88=0,$X88,IF(AND($T88&lt;&gt;"",EDATE($D88,Milestones!$AA$20)&gt;=$T88),$W88,IF(AND($S88&lt;&gt;"",EDATE($D88,Milestones!$AA$20)&gt;=$S88),$V88,$U88)))=Milestones!$AB$20),UPPER(TEXT(EDATE($D88,Milestones!$AA$20),"dd mmm yy"))&amp;" "&amp;Milestones!$AB$20&amp;" "&amp;Milestones!$AC$20&amp;";  ","")&amp;IF(AND(EDATE($D88,Milestones!$AA$21)&lt;=AsOfDate,IF($R88=0,$X88,IF(AND($T88&lt;&gt;"",EDATE($D88,Milestones!$AA$21)&gt;=$T88),$W88,IF(AND($S88&lt;&gt;"",EDATE($D88,Milestones!$AA$21)&gt;=$S88),$V88,$U88)))=Milestones!$AB$21),UPPER(TEXT(EDATE($D88,Milestones!$AA$21),"dd mmm yy"))&amp;" "&amp;Milestones!$AB$21&amp;" "&amp;Milestones!$AC$21&amp;";  ","")&amp;IF(AND(EDATE($D88,Milestones!$AA$22)&lt;=AsOfDate,IF($R88=0,$X88,IF(AND($T88&lt;&gt;"",EDATE($D88,Milestones!$AA$22)&gt;=$T88),$W88,IF(AND($S88&lt;&gt;"",EDATE($D88,Milestones!$AA$22)&gt;=$S88),$V88,$U88)))=Milestones!$AB$22),UPPER(TEXT(EDATE($D88,Milestones!$AA$22),"dd mmm yy"))&amp;" "&amp;Milestones!$AB$22&amp;" "&amp;Milestones!$AC$22&amp;";  ","")&amp;IF(AND(EDATE($D88,Milestones!$AA$23)&lt;=AsOfDate,IF($R88=0,$X88,IF(AND($T88&lt;&gt;"",EDATE($D88,Milestones!$AA$23)&gt;=$T88),$W88,IF(AND($S88&lt;&gt;"",EDATE($D88,Milestones!$AA$23)&gt;=$S88),$V88,$U88)))=Milestones!$AB$23),UPPER(TEXT(EDATE($D88,Milestones!$AA$23),"dd mmm yy"))&amp;" "&amp;Milestones!$AB$23&amp;" "&amp;Milestones!$AC$23&amp;";  ","")&amp;IF(AND(EDATE($D88,Milestones!$AA$24)&lt;=AsOfDate,IF($R88=0,$X88,IF(AND($T88&lt;&gt;"",EDATE($D88,Milestones!$AA$24)&gt;=$T88),$W88,IF(AND($S88&lt;&gt;"",EDATE($D88,Milestones!$AA$24)&gt;=$S88),$V88,$U88)))=Milestones!$AB$24),UPPER(TEXT(EDATE($D88,Milestones!$AA$24),"dd mmm yy"))&amp;" "&amp;Milestones!$AB$24&amp;" "&amp;Milestones!$AC$24&amp;";  ","")&amp;IF(AND(EDATE($D88,Milestones!$AA$25)&lt;=AsOfDate,IF($R88=0,$X88,IF(AND($T88&lt;&gt;"",EDATE($D88,Milestones!$AA$25)&gt;=$T88),$W88,IF(AND($S88&lt;&gt;"",EDATE($D88,Milestones!$AA$25)&gt;=$S88),$V88,$U88)))=Milestones!$AB$25),UPPER(TEXT(EDATE($D88,Milestones!$AA$25),"dd mmm yy"))&amp;" "&amp;Milestones!$AB$25&amp;" "&amp;Milestones!$AC$25&amp;";  ","")&amp;IF(AND(EDATE($D88,Milestones!$AA$26)&lt;=AsOfDate,IF($R88=0,$X88,IF(AND($T88&lt;&gt;"",EDATE($D88,Milestones!$AA$26)&gt;=$T88),$W88,IF(AND($S88&lt;&gt;"",EDATE($D88,Milestones!$AA$26)&gt;=$S88),$V88,$U88)))=Milestones!$AB$26),UPPER(TEXT(EDATE($D88,Milestones!$AA$26),"dd mmm yy"))&amp;" "&amp;Milestones!$AB$26&amp;" "&amp;Milestones!$AC$26&amp;";  ","")&amp;IF(AND(EDATE($D88,Milestones!$AA$27)&lt;=AsOfDate,IF($R88=0,$X88,IF(AND($T88&lt;&gt;"",EDATE($D88,Milestones!$AA$27)&gt;=$T88),$W88,IF(AND($S88&lt;&gt;"",EDATE($D88,Milestones!$AA$27)&gt;=$S88),$V88,$U88)))=Milestones!$AB$27),UPPER(TEXT(EDATE($D88,Milestones!$AA$27),"dd mmm yy"))&amp;" "&amp;Milestones!$AB$27&amp;" "&amp;Milestones!$AC$27&amp;";  ","")&amp;IF(AND(EDATE($D88,Milestones!$AA$28)&lt;=AsOfDate,IF($R88=0,$X88,IF(AND($T88&lt;&gt;"",EDATE($D88,Milestones!$AA$28)&gt;=$T88),$W88,IF(AND($S88&lt;&gt;"",EDATE($D88,Milestones!$AA$28)&gt;=$S88),$V88,$U88)))=Milestones!$AB$28),UPPER(TEXT(EDATE($D88,Milestones!$AA$28),"dd mmm yy"))&amp;" "&amp;Milestones!$AB$28&amp;" "&amp;Milestones!$AC$28&amp;";  ","")&amp;IF(AND(EDATE($D88,Milestones!$AA$29)&lt;=AsOfDate,IF($R88=0,$X88,IF(AND($T88&lt;&gt;"",EDATE($D88,Milestones!$AA$29)&gt;=$T88),$W88,IF(AND($S88&lt;&gt;"",EDATE($D88,Milestones!$AA$29)&gt;=$S88),$V88,$U88)))=Milestones!$AB$29),UPPER(TEXT(EDATE($D88,Milestones!$AA$29),"dd mmm yy"))&amp;" "&amp;Milestones!$AB$29&amp;" "&amp;Milestones!$AC$29&amp;";  ","")&amp;IF(AND(EDATE($D88,Milestones!$AA$30)&lt;=AsOfDate,IF($R88=0,$X88,IF(AND($T88&lt;&gt;"",EDATE($D88,Milestones!$AA$30)&gt;=$T88),$W88,IF(AND($S88&lt;&gt;"",EDATE($D88,Milestones!$AA$30)&gt;=$S88),$V88,$U88)))=Milestones!$AB$30),UPPER(TEXT(EDATE($D88,Milestones!$AA$30),"dd mmm yy"))&amp;" "&amp;Milestones!$AB$30&amp;" "&amp;Milestones!$AC$30&amp;";  ","")&amp;IF(AND(EDATE($D88,Milestones!$AA$31)&lt;=AsOfDate,IF($R88=0,$X88,IF(AND($T88&lt;&gt;"",EDATE($D88,Milestones!$AA$31)&gt;=$T88),$W88,IF(AND($S88&lt;&gt;"",EDATE($D88,Milestones!$AA$31)&gt;=$S88),$V88,$U88)))=Milestones!$AB$31),UPPER(TEXT(EDATE($D88,Milestones!$AA$31),"dd mmm yy"))&amp;" "&amp;Milestones!$AB$31&amp;" "&amp;Milestones!$AC$31&amp;";  ","")&amp;IF(AND(EDATE($D88,Milestones!$AA$32)&lt;=AsOfDate,IF($R88=0,$X88,IF(AND($T88&lt;&gt;"",EDATE($D88,Milestones!$AA$32)&gt;=$T88),$W88,IF(AND($S88&lt;&gt;"",EDATE($D88,Milestones!$AA$32)&gt;=$S88),$V88,$U88)))=Milestones!$AB$32),UPPER(TEXT(EDATE($D88,Milestones!$AA$32),"dd mmm yy"))&amp;" "&amp;Milestones!$AB$32&amp;" "&amp;Milestones!$AC$32&amp;";  ","")&amp;IF(AND(EDATE($D88,Milestones!$AA$33)&lt;=AsOfDate,IF($R88=0,$X88,IF(AND($T88&lt;&gt;"",EDATE($D88,Milestones!$AA$33)&gt;=$T88),$W88,IF(AND($S88&lt;&gt;"",EDATE($D88,Milestones!$AA$33)&gt;=$S88),$V88,$U88)))=Milestones!$AB$33),UPPER(TEXT(EDATE($D88,Milestones!$AA$33),"dd mmm yy"))&amp;" "&amp;Milestones!$AB$33&amp;" "&amp;Milestones!$AC$33&amp;";  ","")&amp;IF(AND(EDATE($D88,Milestones!$AA$34)&lt;=AsOfDate,IF($R88=0,$X88,IF(AND($T88&lt;&gt;"",EDATE($D88,Milestones!$AA$34)&gt;=$T88),$W88,IF(AND($S88&lt;&gt;"",EDATE($D88,Milestones!$AA$34)&gt;=$S88),$V88,$U88)))=Milestones!$AB$34),UPPER(TEXT(EDATE($D88,Milestones!$AA$34),"dd mmm yy"))&amp;" "&amp;Milestones!$AB$34&amp;" "&amp;Milestones!$AC$34&amp;";  ","")&amp;IF(AND(EDATE($D88,Milestones!$AA$35)&lt;=AsOfDate,IF($R88=0,$X88,IF(AND($T88&lt;&gt;"",EDATE($D88,Milestones!$AA$35)&gt;=$T88),$W88,IF(AND($S88&lt;&gt;"",EDATE($D88,Milestones!$AA$35)&gt;=$S88),$V88,$U88)))=Milestones!$AB$35),UPPER(TEXT(EDATE($D88,Milestones!$AA$35),"dd mmm yy"))&amp;" "&amp;Milestones!$AB$35&amp;" "&amp;Milestones!$AC$35&amp;";  ","")&amp;IF(AND(EDATE($D88,Milestones!$AA$36)&lt;=AsOfDate,IF($R88=0,$X88,IF(AND($T88&lt;&gt;"",EDATE($D88,Milestones!$AA$36)&gt;=$T88),$W88,IF(AND($S88&lt;&gt;"",EDATE($D88,Milestones!$AA$36)&gt;=$S88),$V88,$U88)))=Milestones!$AB$36),UPPER(TEXT(EDATE($D88,Milestones!$AA$36),"dd mmm yy"))&amp;" "&amp;Milestones!$AB$36&amp;" "&amp;Milestones!$AC$36&amp;";  ","")&amp;IF(AND(EDATE($D88,Milestones!$AA$37)&lt;=AsOfDate,IF($R88=0,$X88,IF(AND($T88&lt;&gt;"",EDATE($D88,Milestones!$AA$37)&gt;=$T88),$W88,IF(AND($S88&lt;&gt;"",EDATE($D88,Milestones!$AA$37)&gt;=$S88),$V88,$U88)))=Milestones!$AB$37),UPPER(TEXT(EDATE($D88,Milestones!$AA$37),"dd mmm yy"))&amp;" "&amp;Milestones!$AB$37&amp;" "&amp;Milestones!$AC$37&amp;";  ","")&amp;IF(AND(EDATE($D88,Milestones!$AA$38)&lt;=AsOfDate,IF($R88=0,$X88,IF(AND($T88&lt;&gt;"",EDATE($D88,Milestones!$AA$38)&gt;=$T88),$W88,IF(AND($S88&lt;&gt;"",EDATE($D88,Milestones!$AA$38)&gt;=$S88),$V88,$U88)))=Milestones!$AB$38),UPPER(TEXT(EDATE($D88,Milestones!$AA$38),"dd mmm yy"))&amp;" "&amp;Milestones!$AB$38&amp;" "&amp;Milestones!$AC$38&amp;";  ","")&amp;IF(AND(EDATE($D88,Milestones!$AA$39)&lt;=AsOfDate,IF($R88=0,$X88,IF(AND($T88&lt;&gt;"",EDATE($D88,Milestones!$AA$39)&gt;=$T88),$W88,IF(AND($S88&lt;&gt;"",EDATE($D88,Milestones!$AA$39)&gt;=$S88),$V88,$U88)))=Milestones!$AB$39),UPPER(TEXT(EDATE($D88,Milestones!$AA$39),"dd mmm yy"))&amp;" "&amp;Milestones!$AB$39&amp;" "&amp;Milestones!$AC$39&amp;";  ",""))</f>
        <v/>
      </c>
      <c r="J88" s="0" t="str">
        <f aca="false">IF(OR($A88="",$D88=""),"",IF(AND(EDATE($D88,Milestones!$AA$40)&lt;=AsOfDate,IF($R88=0,$X88,IF(AND($T88&lt;&gt;"",EDATE($D88,Milestones!$AA$40)&gt;=$T88),$W88,IF(AND($S88&lt;&gt;"",EDATE($D88,Milestones!$AA$40)&gt;=$S88),$V88,$U88)))=Milestones!$AB$40),UPPER(TEXT(EDATE($D88,Milestones!$AA$40),"dd mmm yy"))&amp;" "&amp;Milestones!$AB$40&amp;" "&amp;Milestones!$AC$40&amp;";  ","")&amp;IF(AND(EDATE($D88,Milestones!$AA$41)&lt;=AsOfDate,IF($R88=0,$X88,IF(AND($T88&lt;&gt;"",EDATE($D88,Milestones!$AA$41)&gt;=$T88),$W88,IF(AND($S88&lt;&gt;"",EDATE($D88,Milestones!$AA$41)&gt;=$S88),$V88,$U88)))=Milestones!$AB$41),UPPER(TEXT(EDATE($D88,Milestones!$AA$41),"dd mmm yy"))&amp;" "&amp;Milestones!$AB$41&amp;" "&amp;Milestones!$AC$41&amp;";  ","")&amp;IF(AND(EDATE($D88,Milestones!$AA$42)&lt;=AsOfDate,IF($R88=0,$X88,IF(AND($T88&lt;&gt;"",EDATE($D88,Milestones!$AA$42)&gt;=$T88),$W88,IF(AND($S88&lt;&gt;"",EDATE($D88,Milestones!$AA$42)&gt;=$S88),$V88,$U88)))=Milestones!$AB$42),UPPER(TEXT(EDATE($D88,Milestones!$AA$42),"dd mmm yy"))&amp;" "&amp;Milestones!$AB$42&amp;" "&amp;Milestones!$AC$42&amp;";  ","")&amp;IF(AND(EDATE($D88,Milestones!$AA$43)&lt;=AsOfDate,IF($R88=0,$X88,IF(AND($T88&lt;&gt;"",EDATE($D88,Milestones!$AA$43)&gt;=$T88),$W88,IF(AND($S88&lt;&gt;"",EDATE($D88,Milestones!$AA$43)&gt;=$S88),$V88,$U88)))=Milestones!$AB$43),UPPER(TEXT(EDATE($D88,Milestones!$AA$43),"dd mmm yy"))&amp;" "&amp;Milestones!$AB$43&amp;" "&amp;Milestones!$AC$43&amp;";  ","")&amp;IF(AND(EDATE($D88,Milestones!$AA$44)&lt;=AsOfDate,IF($R88=0,$X88,IF(AND($T88&lt;&gt;"",EDATE($D88,Milestones!$AA$44)&gt;=$T88),$W88,IF(AND($S88&lt;&gt;"",EDATE($D88,Milestones!$AA$44)&gt;=$S88),$V88,$U88)))=Milestones!$AB$44),UPPER(TEXT(EDATE($D88,Milestones!$AA$44),"dd mmm yy"))&amp;" "&amp;Milestones!$AB$44&amp;" "&amp;Milestones!$AC$44&amp;";  ","")&amp;IF(AND(EDATE($D88,Milestones!$AA$45)&lt;=AsOfDate,IF($R88=0,$X88,IF(AND($T88&lt;&gt;"",EDATE($D88,Milestones!$AA$45)&gt;=$T88),$W88,IF(AND($S88&lt;&gt;"",EDATE($D88,Milestones!$AA$45)&gt;=$S88),$V88,$U88)))=Milestones!$AB$45),UPPER(TEXT(EDATE($D88,Milestones!$AA$45),"dd mmm yy"))&amp;" "&amp;Milestones!$AB$45&amp;" "&amp;Milestones!$AC$45&amp;";  ","")&amp;IF(AND(EDATE($D88,Milestones!$AA$46)&lt;=AsOfDate,IF($R88=0,$X88,IF(AND($T88&lt;&gt;"",EDATE($D88,Milestones!$AA$46)&gt;=$T88),$W88,IF(AND($S88&lt;&gt;"",EDATE($D88,Milestones!$AA$46)&gt;=$S88),$V88,$U88)))=Milestones!$AB$46),UPPER(TEXT(EDATE($D88,Milestones!$AA$46),"dd mmm yy"))&amp;" "&amp;Milestones!$AB$46&amp;" "&amp;Milestones!$AC$46&amp;";  ","")&amp;IF(AND(EDATE($D88,Milestones!$AA$47)&lt;=AsOfDate,IF($R88=0,$X88,IF(AND($T88&lt;&gt;"",EDATE($D88,Milestones!$AA$47)&gt;=$T88),$W88,IF(AND($S88&lt;&gt;"",EDATE($D88,Milestones!$AA$47)&gt;=$S88),$V88,$U88)))=Milestones!$AB$47),UPPER(TEXT(EDATE($D88,Milestones!$AA$47),"dd mmm yy"))&amp;" "&amp;Milestones!$AB$47&amp;" "&amp;Milestones!$AC$47&amp;";  ","")&amp;IF(AND(EDATE($D88,Milestones!$AA$48)&lt;=AsOfDate,IF($R88=0,$X88,IF(AND($T88&lt;&gt;"",EDATE($D88,Milestones!$AA$48)&gt;=$T88),$W88,IF(AND($S88&lt;&gt;"",EDATE($D88,Milestones!$AA$48)&gt;=$S88),$V88,$U88)))=Milestones!$AB$48),UPPER(TEXT(EDATE($D88,Milestones!$AA$48),"dd mmm yy"))&amp;" "&amp;Milestones!$AB$48&amp;" "&amp;Milestones!$AC$48&amp;";  ","")&amp;IF(AND(EDATE($D88,Milestones!$AA$49)&lt;=AsOfDate,IF($R88=0,$X88,IF(AND($T88&lt;&gt;"",EDATE($D88,Milestones!$AA$49)&gt;=$T88),$W88,IF(AND($S88&lt;&gt;"",EDATE($D88,Milestones!$AA$49)&gt;=$S88),$V88,$U88)))=Milestones!$AB$49),UPPER(TEXT(EDATE($D88,Milestones!$AA$49),"dd mmm yy"))&amp;" "&amp;Milestones!$AB$49&amp;" "&amp;Milestones!$AC$49&amp;";  ","")&amp;IF(AND(EDATE($D88,Milestones!$AA$50)&lt;=AsOfDate,IF($R88=0,$X88,IF(AND($T88&lt;&gt;"",EDATE($D88,Milestones!$AA$50)&gt;=$T88),$W88,IF(AND($S88&lt;&gt;"",EDATE($D88,Milestones!$AA$50)&gt;=$S88),$V88,$U88)))=Milestones!$AB$50),UPPER(TEXT(EDATE($D88,Milestones!$AA$50),"dd mmm yy"))&amp;" "&amp;Milestones!$AB$50&amp;" "&amp;Milestones!$AC$50&amp;";  ","")&amp;IF(AND(EDATE($D88,Milestones!$AA$51)&lt;=AsOfDate,IF($R88=0,$X88,IF(AND($T88&lt;&gt;"",EDATE($D88,Milestones!$AA$51)&gt;=$T88),$W88,IF(AND($S88&lt;&gt;"",EDATE($D88,Milestones!$AA$51)&gt;=$S88),$V88,$U88)))=Milestones!$AB$51),UPPER(TEXT(EDATE($D88,Milestones!$AA$51),"dd mmm yy"))&amp;" "&amp;Milestones!$AB$51&amp;" "&amp;Milestones!$AC$51&amp;";  ","")&amp;IF(AND(EDATE($D88,Milestones!$AA$52)&lt;=AsOfDate,IF($R88=0,$X88,IF(AND($T88&lt;&gt;"",EDATE($D88,Milestones!$AA$52)&gt;=$T88),$W88,IF(AND($S88&lt;&gt;"",EDATE($D88,Milestones!$AA$52)&gt;=$S88),$V88,$U88)))=Milestones!$AB$52),UPPER(TEXT(EDATE($D88,Milestones!$AA$52),"dd mmm yy"))&amp;" "&amp;Milestones!$AB$52&amp;" "&amp;Milestones!$AC$52&amp;";  ","")&amp;IF(AND(EDATE($D88,Milestones!$AA$53)&lt;=AsOfDate,IF($R88=0,$X88,IF(AND($T88&lt;&gt;"",EDATE($D88,Milestones!$AA$53)&gt;=$T88),$W88,IF(AND($S88&lt;&gt;"",EDATE($D88,Milestones!$AA$53)&gt;=$S88),$V88,$U88)))=Milestones!$AB$53),UPPER(TEXT(EDATE($D88,Milestones!$AA$53),"dd mmm yy"))&amp;" "&amp;Milestones!$AB$53&amp;" "&amp;Milestones!$AC$53&amp;";  ","")&amp;IF(AND(EDATE($D88,Milestones!$AA$54)&lt;=AsOfDate,IF($R88=0,$X88,IF(AND($T88&lt;&gt;"",EDATE($D88,Milestones!$AA$54)&gt;=$T88),$W88,IF(AND($S88&lt;&gt;"",EDATE($D88,Milestones!$AA$54)&gt;=$S88),$V88,$U88)))=Milestones!$AB$54),UPPER(TEXT(EDATE($D88,Milestones!$AA$54),"dd mmm yy"))&amp;" "&amp;Milestones!$AB$54&amp;" "&amp;Milestones!$AC$54&amp;";  ","")&amp;IF(AND(EDATE($D88,Milestones!$AA$55)&lt;=AsOfDate,IF($R88=0,$X88,IF(AND($T88&lt;&gt;"",EDATE($D88,Milestones!$AA$55)&gt;=$T88),$W88,IF(AND($S88&lt;&gt;"",EDATE($D88,Milestones!$AA$55)&gt;=$S88),$V88,$U88)))=Milestones!$AB$55),UPPER(TEXT(EDATE($D88,Milestones!$AA$55),"dd mmm yy"))&amp;" "&amp;Milestones!$AB$55&amp;" "&amp;Milestones!$AC$55&amp;";  ","")&amp;IF(AND(EDATE($D88,Milestones!$AA$56)&lt;=AsOfDate,IF($R88=0,$X88,IF(AND($T88&lt;&gt;"",EDATE($D88,Milestones!$AA$56)&gt;=$T88),$W88,IF(AND($S88&lt;&gt;"",EDATE($D88,Milestones!$AA$56)&gt;=$S88),$V88,$U88)))=Milestones!$AB$56),UPPER(TEXT(EDATE($D88,Milestones!$AA$56),"dd mmm yy"))&amp;" "&amp;Milestones!$AB$56&amp;" "&amp;Milestones!$AC$56&amp;";  ","")&amp;IF(AND(EDATE($D88,Milestones!$AA$57)&lt;=AsOfDate,IF($R88=0,$X88,IF(AND($T88&lt;&gt;"",EDATE($D88,Milestones!$AA$57)&gt;=$T88),$W88,IF(AND($S88&lt;&gt;"",EDATE($D88,Milestones!$AA$57)&gt;=$S88),$V88,$U88)))=Milestones!$AB$57),UPPER(TEXT(EDATE($D88,Milestones!$AA$57),"dd mmm yy"))&amp;" "&amp;Milestones!$AB$57&amp;" "&amp;Milestones!$AC$57&amp;";  ","")&amp;IF(AND(EDATE($D88,Milestones!$AA$58)&lt;=AsOfDate,IF($R88=0,$X88,IF(AND($T88&lt;&gt;"",EDATE($D88,Milestones!$AA$58)&gt;=$T88),$W88,IF(AND($S88&lt;&gt;"",EDATE($D88,Milestones!$AA$58)&gt;=$S88),$V88,$U88)))=Milestones!$AB$58),UPPER(TEXT(EDATE($D88,Milestones!$AA$58),"dd mmm yy"))&amp;" "&amp;Milestones!$AB$58&amp;" "&amp;Milestones!$AC$58&amp;";  ","")&amp;IF(AND(EDATE($D88,Milestones!$AA$59)&lt;=AsOfDate,IF($R88=0,$X88,IF(AND($T88&lt;&gt;"",EDATE($D88,Milestones!$AA$59)&gt;=$T88),$W88,IF(AND($S88&lt;&gt;"",EDATE($D88,Milestones!$AA$59)&gt;=$S88),$V88,$U88)))=Milestones!$AB$59),UPPER(TEXT(EDATE($D88,Milestones!$AA$59),"dd mmm yy"))&amp;" "&amp;Milestones!$AB$59&amp;" "&amp;Milestones!$AC$59&amp;";  ",""))</f>
        <v/>
      </c>
      <c r="K88" s="0" t="str">
        <f aca="false">IF(OR($A88="",$D88=""),"",IF(AND(EDATE($D88,Milestones!$AA$60)&lt;=AsOfDate,IF($R88=0,$X88,IF(AND($T88&lt;&gt;"",EDATE($D88,Milestones!$AA$60)&gt;=$T88),$W88,IF(AND($S88&lt;&gt;"",EDATE($D88,Milestones!$AA$60)&gt;=$S88),$V88,$U88)))=Milestones!$AB$60),UPPER(TEXT(EDATE($D88,Milestones!$AA$60),"dd mmm yy"))&amp;" "&amp;Milestones!$AB$60&amp;" "&amp;Milestones!$AC$60&amp;";  ","")&amp;IF(AND(EDATE($D88,Milestones!$AA$61)&lt;=AsOfDate,IF($R88=0,$X88,IF(AND($T88&lt;&gt;"",EDATE($D88,Milestones!$AA$61)&gt;=$T88),$W88,IF(AND($S88&lt;&gt;"",EDATE($D88,Milestones!$AA$61)&gt;=$S88),$V88,$U88)))=Milestones!$AB$61),UPPER(TEXT(EDATE($D88,Milestones!$AA$61),"dd mmm yy"))&amp;" "&amp;Milestones!$AB$61&amp;" "&amp;Milestones!$AC$61&amp;";  ","")&amp;IF(AND(EDATE($D88,Milestones!$AA$62)&lt;=AsOfDate,IF($R88=0,$X88,IF(AND($T88&lt;&gt;"",EDATE($D88,Milestones!$AA$62)&gt;=$T88),$W88,IF(AND($S88&lt;&gt;"",EDATE($D88,Milestones!$AA$62)&gt;=$S88),$V88,$U88)))=Milestones!$AB$62),UPPER(TEXT(EDATE($D88,Milestones!$AA$62),"dd mmm yy"))&amp;" "&amp;Milestones!$AB$62&amp;" "&amp;Milestones!$AC$62&amp;";  ","")&amp;IF(AND(EDATE($D88,Milestones!$AA$63)&lt;=AsOfDate,IF($R88=0,$X88,IF(AND($T88&lt;&gt;"",EDATE($D88,Milestones!$AA$63)&gt;=$T88),$W88,IF(AND($S88&lt;&gt;"",EDATE($D88,Milestones!$AA$63)&gt;=$S88),$V88,$U88)))=Milestones!$AB$63),UPPER(TEXT(EDATE($D88,Milestones!$AA$63),"dd mmm yy"))&amp;" "&amp;Milestones!$AB$63&amp;" "&amp;Milestones!$AC$63&amp;";  ","")&amp;IF(AND(EDATE($D88,Milestones!$AA$64)&lt;=AsOfDate,IF($R88=0,$X88,IF(AND($T88&lt;&gt;"",EDATE($D88,Milestones!$AA$64)&gt;=$T88),$W88,IF(AND($S88&lt;&gt;"",EDATE($D88,Milestones!$AA$64)&gt;=$S88),$V88,$U88)))=Milestones!$AB$64),UPPER(TEXT(EDATE($D88,Milestones!$AA$64),"dd mmm yy"))&amp;" "&amp;Milestones!$AB$64&amp;" "&amp;Milestones!$AC$64&amp;";  ","")&amp;IF(AND(EDATE($D88,Milestones!$AA$65)&lt;=AsOfDate,IF($R88=0,$X88,IF(AND($T88&lt;&gt;"",EDATE($D88,Milestones!$AA$65)&gt;=$T88),$W88,IF(AND($S88&lt;&gt;"",EDATE($D88,Milestones!$AA$65)&gt;=$S88),$V88,$U88)))=Milestones!$AB$65),UPPER(TEXT(EDATE($D88,Milestones!$AA$65),"dd mmm yy"))&amp;" "&amp;Milestones!$AB$65&amp;" "&amp;Milestones!$AC$65&amp;";  ","")&amp;IF(AND(EDATE($D88,Milestones!$AA$66)&lt;=AsOfDate,IF($R88=0,$X88,IF(AND($T88&lt;&gt;"",EDATE($D88,Milestones!$AA$66)&gt;=$T88),$W88,IF(AND($S88&lt;&gt;"",EDATE($D88,Milestones!$AA$66)&gt;=$S88),$V88,$U88)))=Milestones!$AB$66),UPPER(TEXT(EDATE($D88,Milestones!$AA$66),"dd mmm yy"))&amp;" "&amp;Milestones!$AB$66&amp;" "&amp;Milestones!$AC$66&amp;";  ","")&amp;IF(AND(EDATE($D88,Milestones!$AA$67)&lt;=AsOfDate,IF($R88=0,$X88,IF(AND($T88&lt;&gt;"",EDATE($D88,Milestones!$AA$67)&gt;=$T88),$W88,IF(AND($S88&lt;&gt;"",EDATE($D88,Milestones!$AA$67)&gt;=$S88),$V88,$U88)))=Milestones!$AB$67),UPPER(TEXT(EDATE($D88,Milestones!$AA$67),"dd mmm yy"))&amp;" "&amp;Milestones!$AB$67&amp;" "&amp;Milestones!$AC$67&amp;";  ","")&amp;IF(AND(EDATE($D88,Milestones!$AA$68)&lt;=AsOfDate,IF($R88=0,$X88,IF(AND($T88&lt;&gt;"",EDATE($D88,Milestones!$AA$68)&gt;=$T88),$W88,IF(AND($S88&lt;&gt;"",EDATE($D88,Milestones!$AA$68)&gt;=$S88),$V88,$U88)))=Milestones!$AB$68),UPPER(TEXT(EDATE($D88,Milestones!$AA$68),"dd mmm yy"))&amp;" "&amp;Milestones!$AB$68&amp;" "&amp;Milestones!$AC$68&amp;";  ","")&amp;IF(AND(EDATE($D88,Milestones!$AA$69)&lt;=AsOfDate,IF($R88=0,$X88,IF(AND($T88&lt;&gt;"",EDATE($D88,Milestones!$AA$69)&gt;=$T88),$W88,IF(AND($S88&lt;&gt;"",EDATE($D88,Milestones!$AA$69)&gt;=$S88),$V88,$U88)))=Milestones!$AB$69),UPPER(TEXT(EDATE($D88,Milestones!$AA$69),"dd mmm yy"))&amp;" "&amp;Milestones!$AB$69&amp;" "&amp;Milestones!$AC$69&amp;";  ","")&amp;IF(AND(EDATE($D88,Milestones!$AA$70)&lt;=AsOfDate,IF($R88=0,$X88,IF(AND($T88&lt;&gt;"",EDATE($D88,Milestones!$AA$70)&gt;=$T88),$W88,IF(AND($S88&lt;&gt;"",EDATE($D88,Milestones!$AA$70)&gt;=$S88),$V88,$U88)))=Milestones!$AB$70),UPPER(TEXT(EDATE($D88,Milestones!$AA$70),"dd mmm yy"))&amp;" "&amp;Milestones!$AB$70&amp;" "&amp;Milestones!$AC$70&amp;";  ","")&amp;IF(AND(EDATE($D88,Milestones!$AA$71)&lt;=AsOfDate,IF($R88=0,$X88,IF(AND($T88&lt;&gt;"",EDATE($D88,Milestones!$AA$71)&gt;=$T88),$W88,IF(AND($S88&lt;&gt;"",EDATE($D88,Milestones!$AA$71)&gt;=$S88),$V88,$U88)))=Milestones!$AB$71),UPPER(TEXT(EDATE($D88,Milestones!$AA$71),"dd mmm yy"))&amp;" "&amp;Milestones!$AB$71&amp;" "&amp;Milestones!$AC$71&amp;";  ","")&amp;IF(AND(EDATE($D88,Milestones!$AA$72)&lt;=AsOfDate,IF($R88=0,$X88,IF(AND($T88&lt;&gt;"",EDATE($D88,Milestones!$AA$72)&gt;=$T88),$W88,IF(AND($S88&lt;&gt;"",EDATE($D88,Milestones!$AA$72)&gt;=$S88),$V88,$U88)))=Milestones!$AB$72),UPPER(TEXT(EDATE($D88,Milestones!$AA$72),"dd mmm yy"))&amp;" "&amp;Milestones!$AB$72&amp;" "&amp;Milestones!$AC$72&amp;";  ","")&amp;IF(AND(EDATE($D88,Milestones!$AA$73)&lt;=AsOfDate,IF($R88=0,$X88,IF(AND($T88&lt;&gt;"",EDATE($D88,Milestones!$AA$73)&gt;=$T88),$W88,IF(AND($S88&lt;&gt;"",EDATE($D88,Milestones!$AA$73)&gt;=$S88),$V88,$U88)))=Milestones!$AB$73),UPPER(TEXT(EDATE($D88,Milestones!$AA$73),"dd mmm yy"))&amp;" "&amp;Milestones!$AB$73&amp;" "&amp;Milestones!$AC$73&amp;";  ","")&amp;IF(AND(EDATE($D88,Milestones!$AA$74)&lt;=AsOfDate,IF($R88=0,$X88,IF(AND($T88&lt;&gt;"",EDATE($D88,Milestones!$AA$74)&gt;=$T88),$W88,IF(AND($S88&lt;&gt;"",EDATE($D88,Milestones!$AA$74)&gt;=$S88),$V88,$U88)))=Milestones!$AB$74),UPPER(TEXT(EDATE($D88,Milestones!$AA$74),"dd mmm yy"))&amp;" "&amp;Milestones!$AB$74&amp;" "&amp;Milestones!$AC$74&amp;";  ","")&amp;IF(AND(EDATE($D88,Milestones!$AA$75)&lt;=AsOfDate,IF($R88=0,$X88,IF(AND($T88&lt;&gt;"",EDATE($D88,Milestones!$AA$75)&gt;=$T88),$W88,IF(AND($S88&lt;&gt;"",EDATE($D88,Milestones!$AA$75)&gt;=$S88),$V88,$U88)))=Milestones!$AB$75),UPPER(TEXT(EDATE($D88,Milestones!$AA$75),"dd mmm yy"))&amp;" "&amp;Milestones!$AB$75&amp;" "&amp;Milestones!$AC$75&amp;";  ","")&amp;IF(AND(EDATE($D88,Milestones!$AA$76)&lt;=AsOfDate,IF($R88=0,$X88,IF(AND($T88&lt;&gt;"",EDATE($D88,Milestones!$AA$76)&gt;=$T88),$W88,IF(AND($S88&lt;&gt;"",EDATE($D88,Milestones!$AA$76)&gt;=$S88),$V88,$U88)))=Milestones!$AB$76),UPPER(TEXT(EDATE($D88,Milestones!$AA$76),"dd mmm yy"))&amp;" "&amp;Milestones!$AB$76&amp;" "&amp;Milestones!$AC$76&amp;";  ","")&amp;IF(AND(EDATE($D88,Milestones!$AA$77)&lt;=AsOfDate,IF($R88=0,$X88,IF(AND($T88&lt;&gt;"",EDATE($D88,Milestones!$AA$77)&gt;=$T88),$W88,IF(AND($S88&lt;&gt;"",EDATE($D88,Milestones!$AA$77)&gt;=$S88),$V88,$U88)))=Milestones!$AB$77),UPPER(TEXT(EDATE($D88,Milestones!$AA$77),"dd mmm yy"))&amp;" "&amp;Milestones!$AB$77&amp;" "&amp;Milestones!$AC$77&amp;";  ","")&amp;IF(AND(EDATE($D88,Milestones!$AA$78)&lt;=AsOfDate,IF($R88=0,$X88,IF(AND($T88&lt;&gt;"",EDATE($D88,Milestones!$AA$78)&gt;=$T88),$W88,IF(AND($S88&lt;&gt;"",EDATE($D88,Milestones!$AA$78)&gt;=$S88),$V88,$U88)))=Milestones!$AB$78),UPPER(TEXT(EDATE($D88,Milestones!$AA$78),"dd mmm yy"))&amp;" "&amp;Milestones!$AB$78&amp;" "&amp;Milestones!$AC$78&amp;";  ","")&amp;IF(AND(EDATE($D88,Milestones!$AA$79)&lt;=AsOfDate,IF($R88=0,$X88,IF(AND($T88&lt;&gt;"",EDATE($D88,Milestones!$AA$79)&gt;=$T88),$W88,IF(AND($S88&lt;&gt;"",EDATE($D88,Milestones!$AA$79)&gt;=$S88),$V88,$U88)))=Milestones!$AB$79),UPPER(TEXT(EDATE($D88,Milestones!$AA$79),"dd mmm yy"))&amp;" "&amp;Milestones!$AB$79&amp;" "&amp;Milestones!$AC$79&amp;";  ",""))</f>
        <v/>
      </c>
      <c r="L88" s="0" t="str">
        <f aca="false">IF(OR($A88="",$D88=""),"",IF(AND(EDATE($D88,Milestones!$AA$80)&lt;=AsOfDate,IF($R88=0,$X88,IF(AND($T88&lt;&gt;"",EDATE($D88,Milestones!$AA$80)&gt;=$T88),$W88,IF(AND($S88&lt;&gt;"",EDATE($D88,Milestones!$AA$80)&gt;=$S88),$V88,$U88)))=Milestones!$AB$80),UPPER(TEXT(EDATE($D88,Milestones!$AA$80),"dd mmm yy"))&amp;" "&amp;Milestones!$AB$80&amp;" "&amp;Milestones!$AC$80&amp;";  ","")&amp;IF(AND(EDATE($D88,Milestones!$AA$81)&lt;=AsOfDate,IF($R88=0,$X88,IF(AND($T88&lt;&gt;"",EDATE($D88,Milestones!$AA$81)&gt;=$T88),$W88,IF(AND($S88&lt;&gt;"",EDATE($D88,Milestones!$AA$81)&gt;=$S88),$V88,$U88)))=Milestones!$AB$81),UPPER(TEXT(EDATE($D88,Milestones!$AA$81),"dd mmm yy"))&amp;" "&amp;Milestones!$AB$81&amp;" "&amp;Milestones!$AC$81&amp;";  ","")&amp;IF(AND(EDATE($D88,Milestones!$AA$82)&lt;=AsOfDate,IF($R88=0,$X88,IF(AND($T88&lt;&gt;"",EDATE($D88,Milestones!$AA$82)&gt;=$T88),$W88,IF(AND($S88&lt;&gt;"",EDATE($D88,Milestones!$AA$82)&gt;=$S88),$V88,$U88)))=Milestones!$AB$82),UPPER(TEXT(EDATE($D88,Milestones!$AA$82),"dd mmm yy"))&amp;" "&amp;Milestones!$AB$82&amp;" "&amp;Milestones!$AC$82&amp;";  ","")&amp;IF(AND(EDATE($D88,Milestones!$AA$83)&lt;=AsOfDate,IF($R88=0,$X88,IF(AND($T88&lt;&gt;"",EDATE($D88,Milestones!$AA$83)&gt;=$T88),$W88,IF(AND($S88&lt;&gt;"",EDATE($D88,Milestones!$AA$83)&gt;=$S88),$V88,$U88)))=Milestones!$AB$83),UPPER(TEXT(EDATE($D88,Milestones!$AA$83),"dd mmm yy"))&amp;" "&amp;Milestones!$AB$83&amp;" "&amp;Milestones!$AC$83&amp;";  ","")&amp;IF(AND(EDATE($D88,Milestones!$AA$84)&lt;=AsOfDate,IF($R88=0,$X88,IF(AND($T88&lt;&gt;"",EDATE($D88,Milestones!$AA$84)&gt;=$T88),$W88,IF(AND($S88&lt;&gt;"",EDATE($D88,Milestones!$AA$84)&gt;=$S88),$V88,$U88)))=Milestones!$AB$84),UPPER(TEXT(EDATE($D88,Milestones!$AA$84),"dd mmm yy"))&amp;" "&amp;Milestones!$AB$84&amp;" "&amp;Milestones!$AC$84&amp;";  ","")&amp;IF(AND(EDATE($D88,Milestones!$AA$85)&lt;=AsOfDate,IF($R88=0,$X88,IF(AND($T88&lt;&gt;"",EDATE($D88,Milestones!$AA$85)&gt;=$T88),$W88,IF(AND($S88&lt;&gt;"",EDATE($D88,Milestones!$AA$85)&gt;=$S88),$V88,$U88)))=Milestones!$AB$85),UPPER(TEXT(EDATE($D88,Milestones!$AA$85),"dd mmm yy"))&amp;" "&amp;Milestones!$AB$85&amp;" "&amp;Milestones!$AC$85&amp;";  ","")&amp;IF(AND(EDATE($D88,Milestones!$AA$86)&lt;=AsOfDate,IF($R88=0,$X88,IF(AND($T88&lt;&gt;"",EDATE($D88,Milestones!$AA$86)&gt;=$T88),$W88,IF(AND($S88&lt;&gt;"",EDATE($D88,Milestones!$AA$86)&gt;=$S88),$V88,$U88)))=Milestones!$AB$86),UPPER(TEXT(EDATE($D88,Milestones!$AA$86),"dd mmm yy"))&amp;" "&amp;Milestones!$AB$86&amp;" "&amp;Milestones!$AC$86&amp;";  ","")&amp;IF(AND(EDATE($D88,Milestones!$AA$87)&lt;=AsOfDate,IF($R88=0,$X88,IF(AND($T88&lt;&gt;"",EDATE($D88,Milestones!$AA$87)&gt;=$T88),$W88,IF(AND($S88&lt;&gt;"",EDATE($D88,Milestones!$AA$87)&gt;=$S88),$V88,$U88)))=Milestones!$AB$87),UPPER(TEXT(EDATE($D88,Milestones!$AA$87),"dd mmm yy"))&amp;" "&amp;Milestones!$AB$87&amp;" "&amp;Milestones!$AC$87&amp;";  ","")&amp;IF(AND(EDATE($D88,Milestones!$AA$88)&lt;=AsOfDate,IF($R88=0,$X88,IF(AND($T88&lt;&gt;"",EDATE($D88,Milestones!$AA$88)&gt;=$T88),$W88,IF(AND($S88&lt;&gt;"",EDATE($D88,Milestones!$AA$88)&gt;=$S88),$V88,$U88)))=Milestones!$AB$88),UPPER(TEXT(EDATE($D88,Milestones!$AA$88),"dd mmm yy"))&amp;" "&amp;Milestones!$AB$88&amp;" "&amp;Milestones!$AC$88&amp;";  ","")&amp;IF(AND(EDATE($D88,Milestones!$AA$89)&lt;=AsOfDate,IF($R88=0,$X88,IF(AND($T88&lt;&gt;"",EDATE($D88,Milestones!$AA$89)&gt;=$T88),$W88,IF(AND($S88&lt;&gt;"",EDATE($D88,Milestones!$AA$89)&gt;=$S88),$V88,$U88)))=Milestones!$AB$89),UPPER(TEXT(EDATE($D88,Milestones!$AA$89),"dd mmm yy"))&amp;" "&amp;Milestones!$AB$89&amp;" "&amp;Milestones!$AC$89&amp;";  ","")&amp;IF(AND(EDATE($D88,Milestones!$AA$90)&lt;=AsOfDate,IF($R88=0,$X88,IF(AND($T88&lt;&gt;"",EDATE($D88,Milestones!$AA$90)&gt;=$T88),$W88,IF(AND($S88&lt;&gt;"",EDATE($D88,Milestones!$AA$90)&gt;=$S88),$V88,$U88)))=Milestones!$AB$90),UPPER(TEXT(EDATE($D88,Milestones!$AA$90),"dd mmm yy"))&amp;" "&amp;Milestones!$AB$90&amp;" "&amp;Milestones!$AC$90&amp;";  ","")&amp;IF(AND(EDATE($D88,Milestones!$AA$91)&lt;=AsOfDate,IF($R88=0,$X88,IF(AND($T88&lt;&gt;"",EDATE($D88,Milestones!$AA$91)&gt;=$T88),$W88,IF(AND($S88&lt;&gt;"",EDATE($D88,Milestones!$AA$91)&gt;=$S88),$V88,$U88)))=Milestones!$AB$91),UPPER(TEXT(EDATE($D88,Milestones!$AA$91),"dd mmm yy"))&amp;" "&amp;Milestones!$AB$91&amp;" "&amp;Milestones!$AC$91&amp;";  ","")&amp;IF(AND(EDATE($D88,Milestones!$AA$92)&lt;=AsOfDate,IF($R88=0,$X88,IF(AND($T88&lt;&gt;"",EDATE($D88,Milestones!$AA$92)&gt;=$T88),$W88,IF(AND($S88&lt;&gt;"",EDATE($D88,Milestones!$AA$92)&gt;=$S88),$V88,$U88)))=Milestones!$AB$92),UPPER(TEXT(EDATE($D88,Milestones!$AA$92),"dd mmm yy"))&amp;" "&amp;Milestones!$AB$92&amp;" "&amp;Milestones!$AC$92&amp;";  ","")&amp;IF(AND(EDATE($D88,Milestones!$AA$93)&lt;=AsOfDate,IF($R88=0,$X88,IF(AND($T88&lt;&gt;"",EDATE($D88,Milestones!$AA$93)&gt;=$T88),$W88,IF(AND($S88&lt;&gt;"",EDATE($D88,Milestones!$AA$93)&gt;=$S88),$V88,$U88)))=Milestones!$AB$93),UPPER(TEXT(EDATE($D88,Milestones!$AA$93),"dd mmm yy"))&amp;" "&amp;Milestones!$AB$93&amp;" "&amp;Milestones!$AC$93&amp;";  ","")&amp;IF(AND(EDATE($D88,Milestones!$AA$94)&lt;=AsOfDate,IF($R88=0,$X88,IF(AND($T88&lt;&gt;"",EDATE($D88,Milestones!$AA$94)&gt;=$T88),$W88,IF(AND($S88&lt;&gt;"",EDATE($D88,Milestones!$AA$94)&gt;=$S88),$V88,$U88)))=Milestones!$AB$94),UPPER(TEXT(EDATE($D88,Milestones!$AA$94),"dd mmm yy"))&amp;" "&amp;Milestones!$AB$94&amp;" "&amp;Milestones!$AC$94&amp;";  ","")&amp;IF(AND(EDATE($D88,Milestones!$AA$95)&lt;=AsOfDate,IF($R88=0,$X88,IF(AND($T88&lt;&gt;"",EDATE($D88,Milestones!$AA$95)&gt;=$T88),$W88,IF(AND($S88&lt;&gt;"",EDATE($D88,Milestones!$AA$95)&gt;=$S88),$V88,$U88)))=Milestones!$AB$95),UPPER(TEXT(EDATE($D88,Milestones!$AA$95),"dd mmm yy"))&amp;" "&amp;Milestones!$AB$95&amp;" "&amp;Milestones!$AC$95&amp;";  ","")&amp;IF(AND(EDATE($D88,Milestones!$AA$96)&lt;=AsOfDate,IF($R88=0,$X88,IF(AND($T88&lt;&gt;"",EDATE($D88,Milestones!$AA$96)&gt;=$T88),$W88,IF(AND($S88&lt;&gt;"",EDATE($D88,Milestones!$AA$96)&gt;=$S88),$V88,$U88)))=Milestones!$AB$96),UPPER(TEXT(EDATE($D88,Milestones!$AA$96),"dd mmm yy"))&amp;" "&amp;Milestones!$AB$96&amp;" "&amp;Milestones!$AC$96&amp;";  ","")&amp;IF(AND(EDATE($D88,Milestones!$AA$97)&lt;=AsOfDate,IF($R88=0,$X88,IF(AND($T88&lt;&gt;"",EDATE($D88,Milestones!$AA$97)&gt;=$T88),$W88,IF(AND($S88&lt;&gt;"",EDATE($D88,Milestones!$AA$97)&gt;=$S88),$V88,$U88)))=Milestones!$AB$97),UPPER(TEXT(EDATE($D88,Milestones!$AA$97),"dd mmm yy"))&amp;" "&amp;Milestones!$AB$97&amp;" "&amp;Milestones!$AC$97&amp;";  ","")&amp;IF(AND(EDATE($D88,Milestones!$AA$98)&lt;=AsOfDate,IF($R88=0,$X88,IF(AND($T88&lt;&gt;"",EDATE($D88,Milestones!$AA$98)&gt;=$T88),$W88,IF(AND($S88&lt;&gt;"",EDATE($D88,Milestones!$AA$98)&gt;=$S88),$V88,$U88)))=Milestones!$AB$98),UPPER(TEXT(EDATE($D88,Milestones!$AA$98),"dd mmm yy"))&amp;" "&amp;Milestones!$AB$98&amp;" "&amp;Milestones!$AC$98&amp;";  ","")&amp;IF(AND(EDATE($D88,Milestones!$AA$99)&lt;=AsOfDate,IF($R88=0,$X88,IF(AND($T88&lt;&gt;"",EDATE($D88,Milestones!$AA$99)&gt;=$T88),$W88,IF(AND($S88&lt;&gt;"",EDATE($D88,Milestones!$AA$99)&gt;=$S88),$V88,$U88)))=Milestones!$AB$99),UPPER(TEXT(EDATE($D88,Milestones!$AA$99),"dd mmm yy"))&amp;" "&amp;Milestones!$AB$99&amp;" "&amp;Milestones!$AC$99&amp;";  ",""))</f>
        <v/>
      </c>
      <c r="M88" s="0" t="str">
        <f aca="false">IF(OR($A88="",$D88=""),"",IF(AND(EDATE($D88,Milestones!$AA$100)&lt;=AsOfDate,IF($R88=0,$X88,IF(AND($T88&lt;&gt;"",EDATE($D88,Milestones!$AA$100)&gt;=$T88),$W88,IF(AND($S88&lt;&gt;"",EDATE($D88,Milestones!$AA$100)&gt;=$S88),$V88,$U88)))=Milestones!$AB$100),UPPER(TEXT(EDATE($D88,Milestones!$AA$100),"dd mmm yy"))&amp;" "&amp;Milestones!$AB$100&amp;" "&amp;Milestones!$AC$100&amp;";  ","")&amp;IF(AND(EDATE($D88,Milestones!$AA$101)&lt;=AsOfDate,IF($R88=0,$X88,IF(AND($T88&lt;&gt;"",EDATE($D88,Milestones!$AA$101)&gt;=$T88),$W88,IF(AND($S88&lt;&gt;"",EDATE($D88,Milestones!$AA$101)&gt;=$S88),$V88,$U88)))=Milestones!$AB$101),UPPER(TEXT(EDATE($D88,Milestones!$AA$101),"dd mmm yy"))&amp;" "&amp;Milestones!$AB$101&amp;" "&amp;Milestones!$AC$101&amp;";  ","")&amp;IF(AND(EDATE($D88,Milestones!$AA$102)&lt;=AsOfDate,IF($R88=0,$X88,IF(AND($T88&lt;&gt;"",EDATE($D88,Milestones!$AA$102)&gt;=$T88),$W88,IF(AND($S88&lt;&gt;"",EDATE($D88,Milestones!$AA$102)&gt;=$S88),$V88,$U88)))=Milestones!$AB$102),UPPER(TEXT(EDATE($D88,Milestones!$AA$102),"dd mmm yy"))&amp;" "&amp;Milestones!$AB$102&amp;" "&amp;Milestones!$AC$102&amp;";  ","")&amp;IF(AND(EDATE($D88,Milestones!$AA$103)&lt;=AsOfDate,IF($R88=0,$X88,IF(AND($T88&lt;&gt;"",EDATE($D88,Milestones!$AA$103)&gt;=$T88),$W88,IF(AND($S88&lt;&gt;"",EDATE($D88,Milestones!$AA$103)&gt;=$S88),$V88,$U88)))=Milestones!$AB$103),UPPER(TEXT(EDATE($D88,Milestones!$AA$103),"dd mmm yy"))&amp;" "&amp;Milestones!$AB$103&amp;" "&amp;Milestones!$AC$103&amp;";  ","")&amp;IF(AND(EDATE($D88,Milestones!$AA$104)&lt;=AsOfDate,IF($R88=0,$X88,IF(AND($T88&lt;&gt;"",EDATE($D88,Milestones!$AA$104)&gt;=$T88),$W88,IF(AND($S88&lt;&gt;"",EDATE($D88,Milestones!$AA$104)&gt;=$S88),$V88,$U88)))=Milestones!$AB$104),UPPER(TEXT(EDATE($D88,Milestones!$AA$104),"dd mmm yy"))&amp;" "&amp;Milestones!$AB$104&amp;" "&amp;Milestones!$AC$104&amp;";  ","")&amp;IF(AND(EDATE($D88,Milestones!$AA$105)&lt;=AsOfDate,IF($R88=0,$X88,IF(AND($T88&lt;&gt;"",EDATE($D88,Milestones!$AA$105)&gt;=$T88),$W88,IF(AND($S88&lt;&gt;"",EDATE($D88,Milestones!$AA$105)&gt;=$S88),$V88,$U88)))=Milestones!$AB$105),UPPER(TEXT(EDATE($D88,Milestones!$AA$105),"dd mmm yy"))&amp;" "&amp;Milestones!$AB$105&amp;" "&amp;Milestones!$AC$105&amp;";  ","")&amp;IF(AND(EDATE($D88,Milestones!$AA$106)&lt;=AsOfDate,IF($R88=0,$X88,IF(AND($T88&lt;&gt;"",EDATE($D88,Milestones!$AA$106)&gt;=$T88),$W88,IF(AND($S88&lt;&gt;"",EDATE($D88,Milestones!$AA$106)&gt;=$S88),$V88,$U88)))=Milestones!$AB$106),UPPER(TEXT(EDATE($D88,Milestones!$AA$106),"dd mmm yy"))&amp;" "&amp;Milestones!$AB$106&amp;" "&amp;Milestones!$AC$106&amp;";  ","")&amp;IF(AND(EDATE($D88,Milestones!$AA$107)&lt;=AsOfDate,IF($R88=0,$X88,IF(AND($T88&lt;&gt;"",EDATE($D88,Milestones!$AA$107)&gt;=$T88),$W88,IF(AND($S88&lt;&gt;"",EDATE($D88,Milestones!$AA$107)&gt;=$S88),$V88,$U88)))=Milestones!$AB$107),UPPER(TEXT(EDATE($D88,Milestones!$AA$107),"dd mmm yy"))&amp;" "&amp;Milestones!$AB$107&amp;" "&amp;Milestones!$AC$107&amp;";  ","")&amp;IF(AND(EDATE($D88,Milestones!$AA$108)&lt;=AsOfDate,IF($R88=0,$X88,IF(AND($T88&lt;&gt;"",EDATE($D88,Milestones!$AA$108)&gt;=$T88),$W88,IF(AND($S88&lt;&gt;"",EDATE($D88,Milestones!$AA$108)&gt;=$S88),$V88,$U88)))=Milestones!$AB$108),UPPER(TEXT(EDATE($D88,Milestones!$AA$108),"dd mmm yy"))&amp;" "&amp;Milestones!$AB$108&amp;" "&amp;Milestones!$AC$108&amp;";  ","")&amp;IF(AND(EDATE($D88,Milestones!$AA$109)&lt;=AsOfDate,IF($R88=0,$X88,IF(AND($T88&lt;&gt;"",EDATE($D88,Milestones!$AA$109)&gt;=$T88),$W88,IF(AND($S88&lt;&gt;"",EDATE($D88,Milestones!$AA$109)&gt;=$S88),$V88,$U88)))=Milestones!$AB$109),UPPER(TEXT(EDATE($D88,Milestones!$AA$109),"dd mmm yy"))&amp;" "&amp;Milestones!$AB$109&amp;" "&amp;Milestones!$AC$109&amp;";  ","")&amp;IF(AND(EDATE($D88,Milestones!$AA$110)&lt;=AsOfDate,IF($R88=0,$X88,IF(AND($T88&lt;&gt;"",EDATE($D88,Milestones!$AA$110)&gt;=$T88),$W88,IF(AND($S88&lt;&gt;"",EDATE($D88,Milestones!$AA$110)&gt;=$S88),$V88,$U88)))=Milestones!$AB$110),UPPER(TEXT(EDATE($D88,Milestones!$AA$110),"dd mmm yy"))&amp;" "&amp;Milestones!$AB$110&amp;" "&amp;Milestones!$AC$110&amp;";  ","")&amp;IF(AND(EDATE($D88,Milestones!$AA$111)&lt;=AsOfDate,IF($R88=0,$X88,IF(AND($T88&lt;&gt;"",EDATE($D88,Milestones!$AA$111)&gt;=$T88),$W88,IF(AND($S88&lt;&gt;"",EDATE($D88,Milestones!$AA$111)&gt;=$S88),$V88,$U88)))=Milestones!$AB$111),UPPER(TEXT(EDATE($D88,Milestones!$AA$111),"dd mmm yy"))&amp;" "&amp;Milestones!$AB$111&amp;" "&amp;Milestones!$AC$111&amp;";  ","")&amp;IF(AND(EDATE($D88,Milestones!$AA$112)&lt;=AsOfDate,IF($R88=0,$X88,IF(AND($T88&lt;&gt;"",EDATE($D88,Milestones!$AA$112)&gt;=$T88),$W88,IF(AND($S88&lt;&gt;"",EDATE($D88,Milestones!$AA$112)&gt;=$S88),$V88,$U88)))=Milestones!$AB$112),UPPER(TEXT(EDATE($D88,Milestones!$AA$112),"dd mmm yy"))&amp;" "&amp;Milestones!$AB$112&amp;" "&amp;Milestones!$AC$112&amp;";  ","")&amp;IF(AND(EDATE($D88,Milestones!$AA$113)&lt;=AsOfDate,IF($R88=0,$X88,IF(AND($T88&lt;&gt;"",EDATE($D88,Milestones!$AA$113)&gt;=$T88),$W88,IF(AND($S88&lt;&gt;"",EDATE($D88,Milestones!$AA$113)&gt;=$S88),$V88,$U88)))=Milestones!$AB$113),UPPER(TEXT(EDATE($D88,Milestones!$AA$113),"dd mmm yy"))&amp;" "&amp;Milestones!$AB$113&amp;" "&amp;Milestones!$AC$113&amp;";  ","")&amp;IF(AND(EDATE($D88,Milestones!$AA$114)&lt;=AsOfDate,IF($R88=0,$X88,IF(AND($T88&lt;&gt;"",EDATE($D88,Milestones!$AA$114)&gt;=$T88),$W88,IF(AND($S88&lt;&gt;"",EDATE($D88,Milestones!$AA$114)&gt;=$S88),$V88,$U88)))=Milestones!$AB$114),UPPER(TEXT(EDATE($D88,Milestones!$AA$114),"dd mmm yy"))&amp;" "&amp;Milestones!$AB$114&amp;" "&amp;Milestones!$AC$114&amp;";  ","")&amp;IF(AND(EDATE($D88,Milestones!$AA$115)&lt;=AsOfDate,IF($R88=0,$X88,IF(AND($T88&lt;&gt;"",EDATE($D88,Milestones!$AA$115)&gt;=$T88),$W88,IF(AND($S88&lt;&gt;"",EDATE($D88,Milestones!$AA$115)&gt;=$S88),$V88,$U88)))=Milestones!$AB$115),UPPER(TEXT(EDATE($D88,Milestones!$AA$115),"dd mmm yy"))&amp;" "&amp;Milestones!$AB$115&amp;" "&amp;Milestones!$AC$115&amp;";  ","")&amp;IF(AND(EDATE($D88,Milestones!$AA$116)&lt;=AsOfDate,IF($R88=0,$X88,IF(AND($T88&lt;&gt;"",EDATE($D88,Milestones!$AA$116)&gt;=$T88),$W88,IF(AND($S88&lt;&gt;"",EDATE($D88,Milestones!$AA$116)&gt;=$S88),$V88,$U88)))=Milestones!$AB$116),UPPER(TEXT(EDATE($D88,Milestones!$AA$116),"dd mmm yy"))&amp;" "&amp;Milestones!$AB$116&amp;" "&amp;Milestones!$AC$116&amp;";  ","")&amp;IF(AND(EDATE($D88,Milestones!$AA$117)&lt;=AsOfDate,IF($R88=0,$X88,IF(AND($T88&lt;&gt;"",EDATE($D88,Milestones!$AA$117)&gt;=$T88),$W88,IF(AND($S88&lt;&gt;"",EDATE($D88,Milestones!$AA$117)&gt;=$S88),$V88,$U88)))=Milestones!$AB$117),UPPER(TEXT(EDATE($D88,Milestones!$AA$117),"dd mmm yy"))&amp;" "&amp;Milestones!$AB$117&amp;" "&amp;Milestones!$AC$117&amp;";  ","")&amp;IF(AND(EDATE($D88,Milestones!$AA$118)&lt;=AsOfDate,IF($R88=0,$X88,IF(AND($T88&lt;&gt;"",EDATE($D88,Milestones!$AA$118)&gt;=$T88),$W88,IF(AND($S88&lt;&gt;"",EDATE($D88,Milestones!$AA$118)&gt;=$S88),$V88,$U88)))=Milestones!$AB$118),UPPER(TEXT(EDATE($D88,Milestones!$AA$118),"dd mmm yy"))&amp;" "&amp;Milestones!$AB$118&amp;" "&amp;Milestones!$AC$118&amp;";  ","")&amp;IF(AND(EDATE($D88,Milestones!$AA$119)&lt;=AsOfDate,IF($R88=0,$X88,IF(AND($T88&lt;&gt;"",EDATE($D88,Milestones!$AA$119)&gt;=$T88),$W88,IF(AND($S88&lt;&gt;"",EDATE($D88,Milestones!$AA$119)&gt;=$S88),$V88,$U88)))=Milestones!$AB$119),UPPER(TEXT(EDATE($D88,Milestones!$AA$119),"dd mmm yy"))&amp;" "&amp;Milestones!$AB$119&amp;" "&amp;Milestones!$AC$119&amp;";  ",""))</f>
        <v/>
      </c>
      <c r="N88" s="0" t="str">
        <f aca="false">IF(OR($A88="",$D88=""),"",IF(AND(EDATE($D88,Milestones!$AA$120)&lt;=AsOfDate,IF($R88=0,$X88,IF(AND($T88&lt;&gt;"",EDATE($D88,Milestones!$AA$120)&gt;=$T88),$W88,IF(AND($S88&lt;&gt;"",EDATE($D88,Milestones!$AA$120)&gt;=$S88),$V88,$U88)))=Milestones!$AB$120),UPPER(TEXT(EDATE($D88,Milestones!$AA$120),"dd mmm yy"))&amp;" "&amp;Milestones!$AB$120&amp;" "&amp;Milestones!$AC$120&amp;";  ","")&amp;IF(AND(EDATE($D88,Milestones!$AA$121)&lt;=AsOfDate,IF($R88=0,$X88,IF(AND($T88&lt;&gt;"",EDATE($D88,Milestones!$AA$121)&gt;=$T88),$W88,IF(AND($S88&lt;&gt;"",EDATE($D88,Milestones!$AA$121)&gt;=$S88),$V88,$U88)))=Milestones!$AB$121),UPPER(TEXT(EDATE($D88,Milestones!$AA$121),"dd mmm yy"))&amp;" "&amp;Milestones!$AB$121&amp;" "&amp;Milestones!$AC$121&amp;";  ","")&amp;IF(AND(EDATE($D88,Milestones!$AA$122)&lt;=AsOfDate,IF($R88=0,$X88,IF(AND($T88&lt;&gt;"",EDATE($D88,Milestones!$AA$122)&gt;=$T88),$W88,IF(AND($S88&lt;&gt;"",EDATE($D88,Milestones!$AA$122)&gt;=$S88),$V88,$U88)))=Milestones!$AB$122),UPPER(TEXT(EDATE($D88,Milestones!$AA$122),"dd mmm yy"))&amp;" "&amp;Milestones!$AB$122&amp;" "&amp;Milestones!$AC$122&amp;";  ","")&amp;IF(AND(EDATE($D88,Milestones!$AA$123)&lt;=AsOfDate,IF($R88=0,$X88,IF(AND($T88&lt;&gt;"",EDATE($D88,Milestones!$AA$123)&gt;=$T88),$W88,IF(AND($S88&lt;&gt;"",EDATE($D88,Milestones!$AA$123)&gt;=$S88),$V88,$U88)))=Milestones!$AB$123),UPPER(TEXT(EDATE($D88,Milestones!$AA$123),"dd mmm yy"))&amp;" "&amp;Milestones!$AB$123&amp;" "&amp;Milestones!$AC$123&amp;";  ","")&amp;IF(AND(EDATE($D88,Milestones!$AA$124)&lt;=AsOfDate,IF($R88=0,$X88,IF(AND($T88&lt;&gt;"",EDATE($D88,Milestones!$AA$124)&gt;=$T88),$W88,IF(AND($S88&lt;&gt;"",EDATE($D88,Milestones!$AA$124)&gt;=$S88),$V88,$U88)))=Milestones!$AB$124),UPPER(TEXT(EDATE($D88,Milestones!$AA$124),"dd mmm yy"))&amp;" "&amp;Milestones!$AB$124&amp;" "&amp;Milestones!$AC$124&amp;";  ","")&amp;IF(AND(EDATE($D88,Milestones!$AA$125)&lt;=AsOfDate,IF($R88=0,$X88,IF(AND($T88&lt;&gt;"",EDATE($D88,Milestones!$AA$125)&gt;=$T88),$W88,IF(AND($S88&lt;&gt;"",EDATE($D88,Milestones!$AA$125)&gt;=$S88),$V88,$U88)))=Milestones!$AB$125),UPPER(TEXT(EDATE($D88,Milestones!$AA$125),"dd mmm yy"))&amp;" "&amp;Milestones!$AB$125&amp;" "&amp;Milestones!$AC$125&amp;";  ","")&amp;IF(AND(EDATE($D88,Milestones!$AA$126)&lt;=AsOfDate,IF($R88=0,$X88,IF(AND($T88&lt;&gt;"",EDATE($D88,Milestones!$AA$126)&gt;=$T88),$W88,IF(AND($S88&lt;&gt;"",EDATE($D88,Milestones!$AA$126)&gt;=$S88),$V88,$U88)))=Milestones!$AB$126),UPPER(TEXT(EDATE($D88,Milestones!$AA$126),"dd mmm yy"))&amp;" "&amp;Milestones!$AB$126&amp;" "&amp;Milestones!$AC$126&amp;";  ","")&amp;IF(AND(EDATE($D88,Milestones!$AA$127)&lt;=AsOfDate,IF($R88=0,$X88,IF(AND($T88&lt;&gt;"",EDATE($D88,Milestones!$AA$127)&gt;=$T88),$W88,IF(AND($S88&lt;&gt;"",EDATE($D88,Milestones!$AA$127)&gt;=$S88),$V88,$U88)))=Milestones!$AB$127),UPPER(TEXT(EDATE($D88,Milestones!$AA$127),"dd mmm yy"))&amp;" "&amp;Milestones!$AB$127&amp;" "&amp;Milestones!$AC$127&amp;";  ","")&amp;IF(AND(EDATE($D88,Milestones!$AA$128)&lt;=AsOfDate,IF($R88=0,$X88,IF(AND($T88&lt;&gt;"",EDATE($D88,Milestones!$AA$128)&gt;=$T88),$W88,IF(AND($S88&lt;&gt;"",EDATE($D88,Milestones!$AA$128)&gt;=$S88),$V88,$U88)))=Milestones!$AB$128),UPPER(TEXT(EDATE($D88,Milestones!$AA$128),"dd mmm yy"))&amp;" "&amp;Milestones!$AB$128&amp;" "&amp;Milestones!$AC$128&amp;";  ","")&amp;IF(AND(EDATE($D88,Milestones!$AA$129)&lt;=AsOfDate,IF($R88=0,$X88,IF(AND($T88&lt;&gt;"",EDATE($D88,Milestones!$AA$129)&gt;=$T88),$W88,IF(AND($S88&lt;&gt;"",EDATE($D88,Milestones!$AA$129)&gt;=$S88),$V88,$U88)))=Milestones!$AB$129),UPPER(TEXT(EDATE($D88,Milestones!$AA$129),"dd mmm yy"))&amp;" "&amp;Milestones!$AB$129&amp;" "&amp;Milestones!$AC$129&amp;";  ","")&amp;IF(AND(EDATE($D88,Milestones!$AA$130)&lt;=AsOfDate,IF($R88=0,$X88,IF(AND($T88&lt;&gt;"",EDATE($D88,Milestones!$AA$130)&gt;=$T88),$W88,IF(AND($S88&lt;&gt;"",EDATE($D88,Milestones!$AA$130)&gt;=$S88),$V88,$U88)))=Milestones!$AB$130),UPPER(TEXT(EDATE($D88,Milestones!$AA$130),"dd mmm yy"))&amp;" "&amp;Milestones!$AB$130&amp;" "&amp;Milestones!$AC$130&amp;";  ","")&amp;IF(AND(EDATE($D88,Milestones!$AA$131)&lt;=AsOfDate,IF($R88=0,$X88,IF(AND($T88&lt;&gt;"",EDATE($D88,Milestones!$AA$131)&gt;=$T88),$W88,IF(AND($S88&lt;&gt;"",EDATE($D88,Milestones!$AA$131)&gt;=$S88),$V88,$U88)))=Milestones!$AB$131),UPPER(TEXT(EDATE($D88,Milestones!$AA$131),"dd mmm yy"))&amp;" "&amp;Milestones!$AB$131&amp;" "&amp;Milestones!$AC$131&amp;";  ","")&amp;IF(AND(EDATE($D88,Milestones!$AA$132)&lt;=AsOfDate,IF($R88=0,$X88,IF(AND($T88&lt;&gt;"",EDATE($D88,Milestones!$AA$132)&gt;=$T88),$W88,IF(AND($S88&lt;&gt;"",EDATE($D88,Milestones!$AA$132)&gt;=$S88),$V88,$U88)))=Milestones!$AB$132),UPPER(TEXT(EDATE($D88,Milestones!$AA$132),"dd mmm yy"))&amp;" "&amp;Milestones!$AB$132&amp;" "&amp;Milestones!$AC$132&amp;";  ","")&amp;IF(AND(EDATE($D88,Milestones!$AA$133)&lt;=AsOfDate,IF($R88=0,$X88,IF(AND($T88&lt;&gt;"",EDATE($D88,Milestones!$AA$133)&gt;=$T88),$W88,IF(AND($S88&lt;&gt;"",EDATE($D88,Milestones!$AA$133)&gt;=$S88),$V88,$U88)))=Milestones!$AB$133),UPPER(TEXT(EDATE($D88,Milestones!$AA$133),"dd mmm yy"))&amp;" "&amp;Milestones!$AB$133&amp;" "&amp;Milestones!$AC$133&amp;";  ","")&amp;IF(AND(EDATE($D88,Milestones!$AA$134)&lt;=AsOfDate,IF($R88=0,$X88,IF(AND($T88&lt;&gt;"",EDATE($D88,Milestones!$AA$134)&gt;=$T88),$W88,IF(AND($S88&lt;&gt;"",EDATE($D88,Milestones!$AA$134)&gt;=$S88),$V88,$U88)))=Milestones!$AB$134),UPPER(TEXT(EDATE($D88,Milestones!$AA$134),"dd mmm yy"))&amp;" "&amp;Milestones!$AB$134&amp;" "&amp;Milestones!$AC$134&amp;";  ","")&amp;IF(AND(EDATE($D88,Milestones!$AA$135)&lt;=AsOfDate,IF($R88=0,$X88,IF(AND($T88&lt;&gt;"",EDATE($D88,Milestones!$AA$135)&gt;=$T88),$W88,IF(AND($S88&lt;&gt;"",EDATE($D88,Milestones!$AA$135)&gt;=$S88),$V88,$U88)))=Milestones!$AB$135),UPPER(TEXT(EDATE($D88,Milestones!$AA$135),"dd mmm yy"))&amp;" "&amp;Milestones!$AB$135&amp;" "&amp;Milestones!$AC$135&amp;";  ","")&amp;IF(AND(EDATE($D88,Milestones!$AA$136)&lt;=AsOfDate,IF($R88=0,$X88,IF(AND($T88&lt;&gt;"",EDATE($D88,Milestones!$AA$136)&gt;=$T88),$W88,IF(AND($S88&lt;&gt;"",EDATE($D88,Milestones!$AA$136)&gt;=$S88),$V88,$U88)))=Milestones!$AB$136),UPPER(TEXT(EDATE($D88,Milestones!$AA$136),"dd mmm yy"))&amp;" "&amp;Milestones!$AB$136&amp;" "&amp;Milestones!$AC$136&amp;";  ","")&amp;IF(AND(EDATE($D88,Milestones!$AA$137)&lt;=AsOfDate,IF($R88=0,$X88,IF(AND($T88&lt;&gt;"",EDATE($D88,Milestones!$AA$137)&gt;=$T88),$W88,IF(AND($S88&lt;&gt;"",EDATE($D88,Milestones!$AA$137)&gt;=$S88),$V88,$U88)))=Milestones!$AB$137),UPPER(TEXT(EDATE($D88,Milestones!$AA$137),"dd mmm yy"))&amp;" "&amp;Milestones!$AB$137&amp;" "&amp;Milestones!$AC$137&amp;";  ","")&amp;IF(AND(EDATE($D88,Milestones!$AA$138)&lt;=AsOfDate,IF($R88=0,$X88,IF(AND($T88&lt;&gt;"",EDATE($D88,Milestones!$AA$138)&gt;=$T88),$W88,IF(AND($S88&lt;&gt;"",EDATE($D88,Milestones!$AA$138)&gt;=$S88),$V88,$U88)))=Milestones!$AB$138),UPPER(TEXT(EDATE($D88,Milestones!$AA$138),"dd mmm yy"))&amp;" "&amp;Milestones!$AB$138&amp;" "&amp;Milestones!$AC$138&amp;";  ","")&amp;IF(AND(EDATE($D88,Milestones!$AA$139)&lt;=AsOfDate,IF($R88=0,$X88,IF(AND($T88&lt;&gt;"",EDATE($D88,Milestones!$AA$139)&gt;=$T88),$W88,IF(AND($S88&lt;&gt;"",EDATE($D88,Milestones!$AA$139)&gt;=$S88),$V88,$U88)))=Milestones!$AB$139),UPPER(TEXT(EDATE($D88,Milestones!$AA$139),"dd mmm yy"))&amp;" "&amp;Milestones!$AB$139&amp;" "&amp;Milestones!$AC$139&amp;";  ",""))</f>
        <v/>
      </c>
      <c r="O88" s="0" t="str">
        <f aca="false">IF(OR($A88="",$D88=""),"",IF(AND(EDATE($D88,Milestones!$AA$140)&lt;=AsOfDate,IF($R88=0,$X88,IF(AND($T88&lt;&gt;"",EDATE($D88,Milestones!$AA$140)&gt;=$T88),$W88,IF(AND($S88&lt;&gt;"",EDATE($D88,Milestones!$AA$140)&gt;=$S88),$V88,$U88)))=Milestones!$AB$140),UPPER(TEXT(EDATE($D88,Milestones!$AA$140),"dd mmm yy"))&amp;" "&amp;Milestones!$AB$140&amp;" "&amp;Milestones!$AC$140&amp;";  ","")&amp;IF(AND(EDATE($D88,Milestones!$AA$141)&lt;=AsOfDate,IF($R88=0,$X88,IF(AND($T88&lt;&gt;"",EDATE($D88,Milestones!$AA$141)&gt;=$T88),$W88,IF(AND($S88&lt;&gt;"",EDATE($D88,Milestones!$AA$141)&gt;=$S88),$V88,$U88)))=Milestones!$AB$141),UPPER(TEXT(EDATE($D88,Milestones!$AA$141),"dd mmm yy"))&amp;" "&amp;Milestones!$AB$141&amp;" "&amp;Milestones!$AC$141&amp;";  ","")&amp;IF(AND(EDATE($D88,Milestones!$AA$142)&lt;=AsOfDate,IF($R88=0,$X88,IF(AND($T88&lt;&gt;"",EDATE($D88,Milestones!$AA$142)&gt;=$T88),$W88,IF(AND($S88&lt;&gt;"",EDATE($D88,Milestones!$AA$142)&gt;=$S88),$V88,$U88)))=Milestones!$AB$142),UPPER(TEXT(EDATE($D88,Milestones!$AA$142),"dd mmm yy"))&amp;" "&amp;Milestones!$AB$142&amp;" "&amp;Milestones!$AC$142&amp;";  ","")&amp;IF(AND(EDATE($D88,Milestones!$AA$143)&lt;=AsOfDate,IF($R88=0,$X88,IF(AND($T88&lt;&gt;"",EDATE($D88,Milestones!$AA$143)&gt;=$T88),$W88,IF(AND($S88&lt;&gt;"",EDATE($D88,Milestones!$AA$143)&gt;=$S88),$V88,$U88)))=Milestones!$AB$143),UPPER(TEXT(EDATE($D88,Milestones!$AA$143),"dd mmm yy"))&amp;" "&amp;Milestones!$AB$143&amp;" "&amp;Milestones!$AC$143&amp;";  ","")&amp;IF(AND(EDATE($D88,Milestones!$AA$144)&lt;=AsOfDate,IF($R88=0,$X88,IF(AND($T88&lt;&gt;"",EDATE($D88,Milestones!$AA$144)&gt;=$T88),$W88,IF(AND($S88&lt;&gt;"",EDATE($D88,Milestones!$AA$144)&gt;=$S88),$V88,$U88)))=Milestones!$AB$144),UPPER(TEXT(EDATE($D88,Milestones!$AA$144),"dd mmm yy"))&amp;" "&amp;Milestones!$AB$144&amp;" "&amp;Milestones!$AC$144&amp;";  ","")&amp;IF(AND(EDATE($D88,Milestones!$AA$145)&lt;=AsOfDate,IF($R88=0,$X88,IF(AND($T88&lt;&gt;"",EDATE($D88,Milestones!$AA$145)&gt;=$T88),$W88,IF(AND($S88&lt;&gt;"",EDATE($D88,Milestones!$AA$145)&gt;=$S88),$V88,$U88)))=Milestones!$AB$145),UPPER(TEXT(EDATE($D88,Milestones!$AA$145),"dd mmm yy"))&amp;" "&amp;Milestones!$AB$145&amp;" "&amp;Milestones!$AC$145&amp;";  ","")&amp;IF(AND(EDATE($D88,Milestones!$AA$146)&lt;=AsOfDate,IF($R88=0,$X88,IF(AND($T88&lt;&gt;"",EDATE($D88,Milestones!$AA$146)&gt;=$T88),$W88,IF(AND($S88&lt;&gt;"",EDATE($D88,Milestones!$AA$146)&gt;=$S88),$V88,$U88)))=Milestones!$AB$146),UPPER(TEXT(EDATE($D88,Milestones!$AA$146),"dd mmm yy"))&amp;" "&amp;Milestones!$AB$146&amp;" "&amp;Milestones!$AC$146&amp;";  ","")&amp;IF(AND(EDATE($D88,Milestones!$AA$147)&lt;=AsOfDate,IF($R88=0,$X88,IF(AND($T88&lt;&gt;"",EDATE($D88,Milestones!$AA$147)&gt;=$T88),$W88,IF(AND($S88&lt;&gt;"",EDATE($D88,Milestones!$AA$147)&gt;=$S88),$V88,$U88)))=Milestones!$AB$147),UPPER(TEXT(EDATE($D88,Milestones!$AA$147),"dd mmm yy"))&amp;" "&amp;Milestones!$AB$147&amp;" "&amp;Milestones!$AC$147&amp;";  ","")&amp;IF(AND(EDATE($D88,Milestones!$AA$148)&lt;=AsOfDate,IF($R88=0,$X88,IF(AND($T88&lt;&gt;"",EDATE($D88,Milestones!$AA$148)&gt;=$T88),$W88,IF(AND($S88&lt;&gt;"",EDATE($D88,Milestones!$AA$148)&gt;=$S88),$V88,$U88)))=Milestones!$AB$148),UPPER(TEXT(EDATE($D88,Milestones!$AA$148),"dd mmm yy"))&amp;" "&amp;Milestones!$AB$148&amp;" "&amp;Milestones!$AC$148&amp;";  ","")&amp;IF(AND(EDATE($D88,Milestones!$AA$149)&lt;=AsOfDate,IF($R88=0,$X88,IF(AND($T88&lt;&gt;"",EDATE($D88,Milestones!$AA$149)&gt;=$T88),$W88,IF(AND($S88&lt;&gt;"",EDATE($D88,Milestones!$AA$149)&gt;=$S88),$V88,$U88)))=Milestones!$AB$149),UPPER(TEXT(EDATE($D88,Milestones!$AA$149),"dd mmm yy"))&amp;" "&amp;Milestones!$AB$149&amp;" "&amp;Milestones!$AC$149&amp;";  ","")&amp;IF(AND(EDATE($D88,Milestones!$AA$150)&lt;=AsOfDate,IF($R88=0,$X88,IF(AND($T88&lt;&gt;"",EDATE($D88,Milestones!$AA$150)&gt;=$T88),$W88,IF(AND($S88&lt;&gt;"",EDATE($D88,Milestones!$AA$150)&gt;=$S88),$V88,$U88)))=Milestones!$AB$150),UPPER(TEXT(EDATE($D88,Milestones!$AA$150),"dd mmm yy"))&amp;" "&amp;Milestones!$AB$150&amp;" "&amp;Milestones!$AC$150&amp;";  ","")&amp;IF(AND(EDATE($D88,Milestones!$AA$151)&lt;=AsOfDate,IF($R88=0,$X88,IF(AND($T88&lt;&gt;"",EDATE($D88,Milestones!$AA$151)&gt;=$T88),$W88,IF(AND($S88&lt;&gt;"",EDATE($D88,Milestones!$AA$151)&gt;=$S88),$V88,$U88)))=Milestones!$AB$151),UPPER(TEXT(EDATE($D88,Milestones!$AA$151),"dd mmm yy"))&amp;" "&amp;Milestones!$AB$151&amp;" "&amp;Milestones!$AC$151&amp;";  ","")&amp;IF(AND(EDATE($D88,Milestones!$AA$152)&lt;=AsOfDate,IF($R88=0,$X88,IF(AND($T88&lt;&gt;"",EDATE($D88,Milestones!$AA$152)&gt;=$T88),$W88,IF(AND($S88&lt;&gt;"",EDATE($D88,Milestones!$AA$152)&gt;=$S88),$V88,$U88)))=Milestones!$AB$152),UPPER(TEXT(EDATE($D88,Milestones!$AA$152),"dd mmm yy"))&amp;" "&amp;Milestones!$AB$152&amp;" "&amp;Milestones!$AC$152&amp;";  ","")&amp;IF(AND(EDATE($D88,Milestones!$AA$153)&lt;=AsOfDate,IF($R88=0,$X88,IF(AND($T88&lt;&gt;"",EDATE($D88,Milestones!$AA$153)&gt;=$T88),$W88,IF(AND($S88&lt;&gt;"",EDATE($D88,Milestones!$AA$153)&gt;=$S88),$V88,$U88)))=Milestones!$AB$153),UPPER(TEXT(EDATE($D88,Milestones!$AA$153),"dd mmm yy"))&amp;" "&amp;Milestones!$AB$153&amp;" "&amp;Milestones!$AC$153&amp;";  ","")&amp;IF(AND(EDATE($D88,Milestones!$AA$154)&lt;=AsOfDate,IF($R88=0,$X88,IF(AND($T88&lt;&gt;"",EDATE($D88,Milestones!$AA$154)&gt;=$T88),$W88,IF(AND($S88&lt;&gt;"",EDATE($D88,Milestones!$AA$154)&gt;=$S88),$V88,$U88)))=Milestones!$AB$154),UPPER(TEXT(EDATE($D88,Milestones!$AA$154),"dd mmm yy"))&amp;" "&amp;Milestones!$AB$154&amp;" "&amp;Milestones!$AC$154&amp;";  ","")&amp;IF(AND(EDATE($D88,Milestones!$AA$155)&lt;=AsOfDate,IF($R88=0,$X88,IF(AND($T88&lt;&gt;"",EDATE($D88,Milestones!$AA$155)&gt;=$T88),$W88,IF(AND($S88&lt;&gt;"",EDATE($D88,Milestones!$AA$155)&gt;=$S88),$V88,$U88)))=Milestones!$AB$155),UPPER(TEXT(EDATE($D88,Milestones!$AA$155),"dd mmm yy"))&amp;" "&amp;Milestones!$AB$155&amp;" "&amp;Milestones!$AC$155&amp;";  ","")&amp;IF(AND(EDATE($D88,Milestones!$AA$156)&lt;=AsOfDate,IF($R88=0,$X88,IF(AND($T88&lt;&gt;"",EDATE($D88,Milestones!$AA$156)&gt;=$T88),$W88,IF(AND($S88&lt;&gt;"",EDATE($D88,Milestones!$AA$156)&gt;=$S88),$V88,$U88)))=Milestones!$AB$156),UPPER(TEXT(EDATE($D88,Milestones!$AA$156),"dd mmm yy"))&amp;" "&amp;Milestones!$AB$156&amp;" "&amp;Milestones!$AC$156&amp;";  ","")&amp;IF(AND(EDATE($D88,Milestones!$AA$157)&lt;=AsOfDate,IF($R88=0,$X88,IF(AND($T88&lt;&gt;"",EDATE($D88,Milestones!$AA$157)&gt;=$T88),$W88,IF(AND($S88&lt;&gt;"",EDATE($D88,Milestones!$AA$157)&gt;=$S88),$V88,$U88)))=Milestones!$AB$157),UPPER(TEXT(EDATE($D88,Milestones!$AA$157),"dd mmm yy"))&amp;" "&amp;Milestones!$AB$157&amp;" "&amp;Milestones!$AC$157&amp;";  ","")&amp;IF(AND(EDATE($D88,Milestones!$AA$158)&lt;=AsOfDate,IF($R88=0,$X88,IF(AND($T88&lt;&gt;"",EDATE($D88,Milestones!$AA$158)&gt;=$T88),$W88,IF(AND($S88&lt;&gt;"",EDATE($D88,Milestones!$AA$158)&gt;=$S88),$V88,$U88)))=Milestones!$AB$158),UPPER(TEXT(EDATE($D88,Milestones!$AA$158),"dd mmm yy"))&amp;" "&amp;Milestones!$AB$158&amp;" "&amp;Milestones!$AC$158&amp;";  ","")&amp;IF(AND(EDATE($D88,Milestones!$AA$159)&lt;=AsOfDate,IF($R88=0,$X88,IF(AND($T88&lt;&gt;"",EDATE($D88,Milestones!$AA$159)&gt;=$T88),$W88,IF(AND($S88&lt;&gt;"",EDATE($D88,Milestones!$AA$159)&gt;=$S88),$V88,$U88)))=Milestones!$AB$159),UPPER(TEXT(EDATE($D88,Milestones!$AA$159),"dd mmm yy"))&amp;" "&amp;Milestones!$AB$159&amp;" "&amp;Milestones!$AC$159&amp;";  ",""))</f>
        <v/>
      </c>
      <c r="P88" s="0" t="str">
        <f aca="false">IF(OR($A88="",$D88=""),"",IF(AND(EDATE($D88,Milestones!$AA$160)&lt;=AsOfDate,IF($R88=0,$X88,IF(AND($T88&lt;&gt;"",EDATE($D88,Milestones!$AA$160)&gt;=$T88),$W88,IF(AND($S88&lt;&gt;"",EDATE($D88,Milestones!$AA$160)&gt;=$S88),$V88,$U88)))=Milestones!$AB$160),UPPER(TEXT(EDATE($D88,Milestones!$AA$160),"dd mmm yy"))&amp;" "&amp;Milestones!$AB$160&amp;" "&amp;Milestones!$AC$160&amp;";  ","")&amp;IF(AND(EDATE($D88,Milestones!$AA$161)&lt;=AsOfDate,IF($R88=0,$X88,IF(AND($T88&lt;&gt;"",EDATE($D88,Milestones!$AA$161)&gt;=$T88),$W88,IF(AND($S88&lt;&gt;"",EDATE($D88,Milestones!$AA$161)&gt;=$S88),$V88,$U88)))=Milestones!$AB$161),UPPER(TEXT(EDATE($D88,Milestones!$AA$161),"dd mmm yy"))&amp;" "&amp;Milestones!$AB$161&amp;" "&amp;Milestones!$AC$161&amp;";  ","")&amp;IF(AND(EDATE($D88,Milestones!$AA$162)&lt;=AsOfDate,IF($R88=0,$X88,IF(AND($T88&lt;&gt;"",EDATE($D88,Milestones!$AA$162)&gt;=$T88),$W88,IF(AND($S88&lt;&gt;"",EDATE($D88,Milestones!$AA$162)&gt;=$S88),$V88,$U88)))=Milestones!$AB$162),UPPER(TEXT(EDATE($D88,Milestones!$AA$162),"dd mmm yy"))&amp;" "&amp;Milestones!$AB$162&amp;" "&amp;Milestones!$AC$162&amp;";  ","")&amp;IF(AND(EDATE($D88,Milestones!$AA$163)&lt;=AsOfDate,IF($R88=0,$X88,IF(AND($T88&lt;&gt;"",EDATE($D88,Milestones!$AA$163)&gt;=$T88),$W88,IF(AND($S88&lt;&gt;"",EDATE($D88,Milestones!$AA$163)&gt;=$S88),$V88,$U88)))=Milestones!$AB$163),UPPER(TEXT(EDATE($D88,Milestones!$AA$163),"dd mmm yy"))&amp;" "&amp;Milestones!$AB$163&amp;" "&amp;Milestones!$AC$163&amp;";  ","")&amp;IF(AND(EDATE($D88,Milestones!$AA$164)&lt;=AsOfDate,IF($R88=0,$X88,IF(AND($T88&lt;&gt;"",EDATE($D88,Milestones!$AA$164)&gt;=$T88),$W88,IF(AND($S88&lt;&gt;"",EDATE($D88,Milestones!$AA$164)&gt;=$S88),$V88,$U88)))=Milestones!$AB$164),UPPER(TEXT(EDATE($D88,Milestones!$AA$164),"dd mmm yy"))&amp;" "&amp;Milestones!$AB$164&amp;" "&amp;Milestones!$AC$164&amp;";  ","")&amp;IF(AND(EDATE($D88,Milestones!$AA$165)&lt;=AsOfDate,IF($R88=0,$X88,IF(AND($T88&lt;&gt;"",EDATE($D88,Milestones!$AA$165)&gt;=$T88),$W88,IF(AND($S88&lt;&gt;"",EDATE($D88,Milestones!$AA$165)&gt;=$S88),$V88,$U88)))=Milestones!$AB$165),UPPER(TEXT(EDATE($D88,Milestones!$AA$165),"dd mmm yy"))&amp;" "&amp;Milestones!$AB$165&amp;" "&amp;Milestones!$AC$165&amp;";  ","")&amp;IF(AND(EDATE($D88,Milestones!$AA$166)&lt;=AsOfDate,IF($R88=0,$X88,IF(AND($T88&lt;&gt;"",EDATE($D88,Milestones!$AA$166)&gt;=$T88),$W88,IF(AND($S88&lt;&gt;"",EDATE($D88,Milestones!$AA$166)&gt;=$S88),$V88,$U88)))=Milestones!$AB$166),UPPER(TEXT(EDATE($D88,Milestones!$AA$166),"dd mmm yy"))&amp;" "&amp;Milestones!$AB$166&amp;" "&amp;Milestones!$AC$166&amp;";  ","")&amp;IF(AND(EDATE($D88,Milestones!$AA$167)&lt;=AsOfDate,IF($R88=0,$X88,IF(AND($T88&lt;&gt;"",EDATE($D88,Milestones!$AA$167)&gt;=$T88),$W88,IF(AND($S88&lt;&gt;"",EDATE($D88,Milestones!$AA$167)&gt;=$S88),$V88,$U88)))=Milestones!$AB$167),UPPER(TEXT(EDATE($D88,Milestones!$AA$167),"dd mmm yy"))&amp;" "&amp;Milestones!$AB$167&amp;" "&amp;Milestones!$AC$167&amp;";  ","")&amp;IF(AND(EDATE($D88,Milestones!$AA$168)&lt;=AsOfDate,IF($R88=0,$X88,IF(AND($T88&lt;&gt;"",EDATE($D88,Milestones!$AA$168)&gt;=$T88),$W88,IF(AND($S88&lt;&gt;"",EDATE($D88,Milestones!$AA$168)&gt;=$S88),$V88,$U88)))=Milestones!$AB$168),UPPER(TEXT(EDATE($D88,Milestones!$AA$168),"dd mmm yy"))&amp;" "&amp;Milestones!$AB$168&amp;" "&amp;Milestones!$AC$168&amp;";  ","")&amp;IF(AND(EDATE($D88,Milestones!$AA$169)&lt;=AsOfDate,IF($R88=0,$X88,IF(AND($T88&lt;&gt;"",EDATE($D88,Milestones!$AA$169)&gt;=$T88),$W88,IF(AND($S88&lt;&gt;"",EDATE($D88,Milestones!$AA$169)&gt;=$S88),$V88,$U88)))=Milestones!$AB$169),UPPER(TEXT(EDATE($D88,Milestones!$AA$169),"dd mmm yy"))&amp;" "&amp;Milestones!$AB$169&amp;" "&amp;Milestones!$AC$169&amp;";  ","")&amp;IF(AND(EDATE($D88,Milestones!$AA$170)&lt;=AsOfDate,IF($R88=0,$X88,IF(AND($T88&lt;&gt;"",EDATE($D88,Milestones!$AA$170)&gt;=$T88),$W88,IF(AND($S88&lt;&gt;"",EDATE($D88,Milestones!$AA$170)&gt;=$S88),$V88,$U88)))=Milestones!$AB$170),UPPER(TEXT(EDATE($D88,Milestones!$AA$170),"dd mmm yy"))&amp;" "&amp;Milestones!$AB$170&amp;" "&amp;Milestones!$AC$170&amp;";  ","")&amp;IF(AND(EDATE($D88,Milestones!$AA$171)&lt;=AsOfDate,IF($R88=0,$X88,IF(AND($T88&lt;&gt;"",EDATE($D88,Milestones!$AA$171)&gt;=$T88),$W88,IF(AND($S88&lt;&gt;"",EDATE($D88,Milestones!$AA$171)&gt;=$S88),$V88,$U88)))=Milestones!$AB$171),UPPER(TEXT(EDATE($D88,Milestones!$AA$171),"dd mmm yy"))&amp;" "&amp;Milestones!$AB$171&amp;" "&amp;Milestones!$AC$171&amp;";  ","")&amp;IF(AND(EDATE($D88,Milestones!$AA$172)&lt;=AsOfDate,IF($R88=0,$X88,IF(AND($T88&lt;&gt;"",EDATE($D88,Milestones!$AA$172)&gt;=$T88),$W88,IF(AND($S88&lt;&gt;"",EDATE($D88,Milestones!$AA$172)&gt;=$S88),$V88,$U88)))=Milestones!$AB$172),UPPER(TEXT(EDATE($D88,Milestones!$AA$172),"dd mmm yy"))&amp;" "&amp;Milestones!$AB$172&amp;" "&amp;Milestones!$AC$172&amp;";  ","")&amp;IF(AND(EDATE($D88,Milestones!$AA$173)&lt;=AsOfDate,IF($R88=0,$X88,IF(AND($T88&lt;&gt;"",EDATE($D88,Milestones!$AA$173)&gt;=$T88),$W88,IF(AND($S88&lt;&gt;"",EDATE($D88,Milestones!$AA$173)&gt;=$S88),$V88,$U88)))=Milestones!$AB$173),UPPER(TEXT(EDATE($D88,Milestones!$AA$173),"dd mmm yy"))&amp;" "&amp;Milestones!$AB$173&amp;" "&amp;Milestones!$AC$173&amp;";  ","")&amp;IF(AND(EDATE($D88,Milestones!$AA$174)&lt;=AsOfDate,IF($R88=0,$X88,IF(AND($T88&lt;&gt;"",EDATE($D88,Milestones!$AA$174)&gt;=$T88),$W88,IF(AND($S88&lt;&gt;"",EDATE($D88,Milestones!$AA$174)&gt;=$S88),$V88,$U88)))=Milestones!$AB$174),UPPER(TEXT(EDATE($D88,Milestones!$AA$174),"dd mmm yy"))&amp;" "&amp;Milestones!$AB$174&amp;" "&amp;Milestones!$AC$174&amp;";  ","")&amp;IF(AND(EDATE($D88,Milestones!$AA$175)&lt;=AsOfDate,IF($R88=0,$X88,IF(AND($T88&lt;&gt;"",EDATE($D88,Milestones!$AA$175)&gt;=$T88),$W88,IF(AND($S88&lt;&gt;"",EDATE($D88,Milestones!$AA$175)&gt;=$S88),$V88,$U88)))=Milestones!$AB$175),UPPER(TEXT(EDATE($D88,Milestones!$AA$175),"dd mmm yy"))&amp;" "&amp;Milestones!$AB$175&amp;" "&amp;Milestones!$AC$175&amp;";  ","")&amp;IF(AND(EDATE($D88,Milestones!$AA$176)&lt;=AsOfDate,IF($R88=0,$X88,IF(AND($T88&lt;&gt;"",EDATE($D88,Milestones!$AA$176)&gt;=$T88),$W88,IF(AND($S88&lt;&gt;"",EDATE($D88,Milestones!$AA$176)&gt;=$S88),$V88,$U88)))=Milestones!$AB$176),UPPER(TEXT(EDATE($D88,Milestones!$AA$176),"dd mmm yy"))&amp;" "&amp;Milestones!$AB$176&amp;" "&amp;Milestones!$AC$176&amp;";  ","")&amp;IF(AND(EDATE($D88,Milestones!$AA$177)&lt;=AsOfDate,IF($R88=0,$X88,IF(AND($T88&lt;&gt;"",EDATE($D88,Milestones!$AA$177)&gt;=$T88),$W88,IF(AND($S88&lt;&gt;"",EDATE($D88,Milestones!$AA$177)&gt;=$S88),$V88,$U88)))=Milestones!$AB$177),UPPER(TEXT(EDATE($D88,Milestones!$AA$177),"dd mmm yy"))&amp;" "&amp;Milestones!$AB$177&amp;" "&amp;Milestones!$AC$177&amp;";  ","")&amp;IF(AND(EDATE($D88,Milestones!$AA$178)&lt;=AsOfDate,IF($R88=0,$X88,IF(AND($T88&lt;&gt;"",EDATE($D88,Milestones!$AA$178)&gt;=$T88),$W88,IF(AND($S88&lt;&gt;"",EDATE($D88,Milestones!$AA$178)&gt;=$S88),$V88,$U88)))=Milestones!$AB$178),UPPER(TEXT(EDATE($D88,Milestones!$AA$178),"dd mmm yy"))&amp;" "&amp;Milestones!$AB$178&amp;" "&amp;Milestones!$AC$178&amp;";  ","")&amp;IF(AND(EDATE($D88,Milestones!$AA$179)&lt;=AsOfDate,IF($R88=0,$X88,IF(AND($T88&lt;&gt;"",EDATE($D88,Milestones!$AA$179)&gt;=$T88),$W88,IF(AND($S88&lt;&gt;"",EDATE($D88,Milestones!$AA$179)&gt;=$S88),$V88,$U88)))=Milestones!$AB$179),UPPER(TEXT(EDATE($D88,Milestones!$AA$179),"dd mmm yy"))&amp;" "&amp;Milestones!$AB$179&amp;" "&amp;Milestones!$AC$179&amp;";  ",""))</f>
        <v/>
      </c>
      <c r="Q88" s="0" t="str">
        <f aca="false">IF(OR($A88="",$D88=""),"",IF(AND(EDATE($D88,Milestones!$AA$180)&lt;=AsOfDate,IF($R88=0,$X88,IF(AND($T88&lt;&gt;"",EDATE($D88,Milestones!$AA$180)&gt;=$T88),$W88,IF(AND($S88&lt;&gt;"",EDATE($D88,Milestones!$AA$180)&gt;=$S88),$V88,$U88)))=Milestones!$AB$180),UPPER(TEXT(EDATE($D88,Milestones!$AA$180),"dd mmm yy"))&amp;" "&amp;Milestones!$AB$180&amp;" "&amp;Milestones!$AC$180&amp;";  ","")&amp;IF(AND(EDATE($D88,Milestones!$AA$181)&lt;=AsOfDate,IF($R88=0,$X88,IF(AND($T88&lt;&gt;"",EDATE($D88,Milestones!$AA$181)&gt;=$T88),$W88,IF(AND($S88&lt;&gt;"",EDATE($D88,Milestones!$AA$181)&gt;=$S88),$V88,$U88)))=Milestones!$AB$181),UPPER(TEXT(EDATE($D88,Milestones!$AA$181),"dd mmm yy"))&amp;" "&amp;Milestones!$AB$181&amp;" "&amp;Milestones!$AC$181&amp;";  ","")&amp;IF(AND(EDATE($D88,Milestones!$AA$182)&lt;=AsOfDate,IF($R88=0,$X88,IF(AND($T88&lt;&gt;"",EDATE($D88,Milestones!$AA$182)&gt;=$T88),$W88,IF(AND($S88&lt;&gt;"",EDATE($D88,Milestones!$AA$182)&gt;=$S88),$V88,$U88)))=Milestones!$AB$182),UPPER(TEXT(EDATE($D88,Milestones!$AA$182),"dd mmm yy"))&amp;" "&amp;Milestones!$AB$182&amp;" "&amp;Milestones!$AC$182&amp;";  ","")&amp;IF(AND(EDATE($D88,Milestones!$AA$183)&lt;=AsOfDate,IF($R88=0,$X88,IF(AND($T88&lt;&gt;"",EDATE($D88,Milestones!$AA$183)&gt;=$T88),$W88,IF(AND($S88&lt;&gt;"",EDATE($D88,Milestones!$AA$183)&gt;=$S88),$V88,$U88)))=Milestones!$AB$183),UPPER(TEXT(EDATE($D88,Milestones!$AA$183),"dd mmm yy"))&amp;" "&amp;Milestones!$AB$183&amp;" "&amp;Milestones!$AC$183&amp;";  ","")&amp;IF(AND(EDATE($D88,Milestones!$AA$184)&lt;=AsOfDate,IF($R88=0,$X88,IF(AND($T88&lt;&gt;"",EDATE($D88,Milestones!$AA$184)&gt;=$T88),$W88,IF(AND($S88&lt;&gt;"",EDATE($D88,Milestones!$AA$184)&gt;=$S88),$V88,$U88)))=Milestones!$AB$184),UPPER(TEXT(EDATE($D88,Milestones!$AA$184),"dd mmm yy"))&amp;" "&amp;Milestones!$AB$184&amp;" "&amp;Milestones!$AC$184&amp;";  ","")&amp;IF(AND(EDATE($D88,Milestones!$AA$185)&lt;=AsOfDate,IF($R88=0,$X88,IF(AND($T88&lt;&gt;"",EDATE($D88,Milestones!$AA$185)&gt;=$T88),$W88,IF(AND($S88&lt;&gt;"",EDATE($D88,Milestones!$AA$185)&gt;=$S88),$V88,$U88)))=Milestones!$AB$185),UPPER(TEXT(EDATE($D88,Milestones!$AA$185),"dd mmm yy"))&amp;" "&amp;Milestones!$AB$185&amp;" "&amp;Milestones!$AC$185&amp;";  ","")&amp;IF(AND(EDATE($D88,Milestones!$AA$186)&lt;=AsOfDate,IF($R88=0,$X88,IF(AND($T88&lt;&gt;"",EDATE($D88,Milestones!$AA$186)&gt;=$T88),$W88,IF(AND($S88&lt;&gt;"",EDATE($D88,Milestones!$AA$186)&gt;=$S88),$V88,$U88)))=Milestones!$AB$186),UPPER(TEXT(EDATE($D88,Milestones!$AA$186),"dd mmm yy"))&amp;" "&amp;Milestones!$AB$186&amp;" "&amp;Milestones!$AC$186&amp;";  ","")&amp;IF(AND(EDATE($D88,Milestones!$AA$187)&lt;=AsOfDate,IF($R88=0,$X88,IF(AND($T88&lt;&gt;"",EDATE($D88,Milestones!$AA$187)&gt;=$T88),$W88,IF(AND($S88&lt;&gt;"",EDATE($D88,Milestones!$AA$187)&gt;=$S88),$V88,$U88)))=Milestones!$AB$187),UPPER(TEXT(EDATE($D88,Milestones!$AA$187),"dd mmm yy"))&amp;" "&amp;Milestones!$AB$187&amp;" "&amp;Milestones!$AC$187&amp;";  ","")&amp;IF(AND(EDATE($D88,Milestones!$AA$188)&lt;=AsOfDate,IF($R88=0,$X88,IF(AND($T88&lt;&gt;"",EDATE($D88,Milestones!$AA$188)&gt;=$T88),$W88,IF(AND($S88&lt;&gt;"",EDATE($D88,Milestones!$AA$188)&gt;=$S88),$V88,$U88)))=Milestones!$AB$188),UPPER(TEXT(EDATE($D88,Milestones!$AA$188),"dd mmm yy"))&amp;" "&amp;Milestones!$AB$188&amp;" "&amp;Milestones!$AC$188&amp;";  ","")&amp;IF(AND(EDATE($D88,Milestones!$AA$189)&lt;=AsOfDate,IF($R88=0,$X88,IF(AND($T88&lt;&gt;"",EDATE($D88,Milestones!$AA$189)&gt;=$T88),$W88,IF(AND($S88&lt;&gt;"",EDATE($D88,Milestones!$AA$189)&gt;=$S88),$V88,$U88)))=Milestones!$AB$189),UPPER(TEXT(EDATE($D88,Milestones!$AA$189),"dd mmm yy"))&amp;" "&amp;Milestones!$AB$189&amp;" "&amp;Milestones!$AC$189&amp;";  ","")&amp;IF(AND(EDATE($D88,Milestones!$AA$190)&lt;=AsOfDate,IF($R88=0,$X88,IF(AND($T88&lt;&gt;"",EDATE($D88,Milestones!$AA$190)&gt;=$T88),$W88,IF(AND($S88&lt;&gt;"",EDATE($D88,Milestones!$AA$190)&gt;=$S88),$V88,$U88)))=Milestones!$AB$190),UPPER(TEXT(EDATE($D88,Milestones!$AA$190),"dd mmm yy"))&amp;" "&amp;Milestones!$AB$190&amp;" "&amp;Milestones!$AC$190&amp;";  ","")&amp;IF(AND(EDATE($D88,Milestones!$AA$191)&lt;=AsOfDate,IF($R88=0,$X88,IF(AND($T88&lt;&gt;"",EDATE($D88,Milestones!$AA$191)&gt;=$T88),$W88,IF(AND($S88&lt;&gt;"",EDATE($D88,Milestones!$AA$191)&gt;=$S88),$V88,$U88)))=Milestones!$AB$191),UPPER(TEXT(EDATE($D88,Milestones!$AA$191),"dd mmm yy"))&amp;" "&amp;Milestones!$AB$191&amp;" "&amp;Milestones!$AC$191&amp;";  ","")&amp;IF(AND(EDATE($D88,Milestones!$AA$192)&lt;=AsOfDate,IF($R88=0,$X88,IF(AND($T88&lt;&gt;"",EDATE($D88,Milestones!$AA$192)&gt;=$T88),$W88,IF(AND($S88&lt;&gt;"",EDATE($D88,Milestones!$AA$192)&gt;=$S88),$V88,$U88)))=Milestones!$AB$192),UPPER(TEXT(EDATE($D88,Milestones!$AA$192),"dd mmm yy"))&amp;" "&amp;Milestones!$AB$192&amp;" "&amp;Milestones!$AC$192&amp;";  ","")&amp;IF(AND(EDATE($D88,Milestones!$AA$193)&lt;=AsOfDate,IF($R88=0,$X88,IF(AND($T88&lt;&gt;"",EDATE($D88,Milestones!$AA$193)&gt;=$T88),$W88,IF(AND($S88&lt;&gt;"",EDATE($D88,Milestones!$AA$193)&gt;=$S88),$V88,$U88)))=Milestones!$AB$193),UPPER(TEXT(EDATE($D88,Milestones!$AA$193),"dd mmm yy"))&amp;" "&amp;Milestones!$AB$193&amp;" "&amp;Milestones!$AC$193&amp;";  ","")&amp;IF(AND(EDATE($D88,Milestones!$AA$194)&lt;=AsOfDate,IF($R88=0,$X88,IF(AND($T88&lt;&gt;"",EDATE($D88,Milestones!$AA$194)&gt;=$T88),$W88,IF(AND($S88&lt;&gt;"",EDATE($D88,Milestones!$AA$194)&gt;=$S88),$V88,$U88)))=Milestones!$AB$194),UPPER(TEXT(EDATE($D88,Milestones!$AA$194),"dd mmm yy"))&amp;" "&amp;Milestones!$AB$194&amp;" "&amp;Milestones!$AC$194&amp;";  ","")&amp;IF(AND(EDATE($D88,Milestones!$AA$195)&lt;=AsOfDate,IF($R88=0,$X88,IF(AND($T88&lt;&gt;"",EDATE($D88,Milestones!$AA$195)&gt;=$T88),$W88,IF(AND($S88&lt;&gt;"",EDATE($D88,Milestones!$AA$195)&gt;=$S88),$V88,$U88)))=Milestones!$AB$195),UPPER(TEXT(EDATE($D88,Milestones!$AA$195),"dd mmm yy"))&amp;" "&amp;Milestones!$AB$195&amp;" "&amp;Milestones!$AC$195&amp;";  ","")&amp;IF(AND(EDATE($D88,Milestones!$AA$196)&lt;=AsOfDate,IF($R88=0,$X88,IF(AND($T88&lt;&gt;"",EDATE($D88,Milestones!$AA$196)&gt;=$T88),$W88,IF(AND($S88&lt;&gt;"",EDATE($D88,Milestones!$AA$196)&gt;=$S88),$V88,$U88)))=Milestones!$AB$196),UPPER(TEXT(EDATE($D88,Milestones!$AA$196),"dd mmm yy"))&amp;" "&amp;Milestones!$AB$196&amp;" "&amp;Milestones!$AC$196&amp;";  ","")&amp;IF(AND(EDATE($D88,Milestones!$AA$197)&lt;=AsOfDate,IF($R88=0,$X88,IF(AND($T88&lt;&gt;"",EDATE($D88,Milestones!$AA$197)&gt;=$T88),$W88,IF(AND($S88&lt;&gt;"",EDATE($D88,Milestones!$AA$197)&gt;=$S88),$V88,$U88)))=Milestones!$AB$197),UPPER(TEXT(EDATE($D88,Milestones!$AA$197),"dd mmm yy"))&amp;" "&amp;Milestones!$AB$197&amp;" "&amp;Milestones!$AC$197&amp;";  ","")&amp;IF(AND(EDATE($D88,Milestones!$AA$198)&lt;=AsOfDate,IF($R88=0,$X88,IF(AND($T88&lt;&gt;"",EDATE($D88,Milestones!$AA$198)&gt;=$T88),$W88,IF(AND($S88&lt;&gt;"",EDATE($D88,Milestones!$AA$198)&gt;=$S88),$V88,$U88)))=Milestones!$AB$198),UPPER(TEXT(EDATE($D88,Milestones!$AA$198),"dd mmm yy"))&amp;" "&amp;Milestones!$AB$198&amp;" "&amp;Milestones!$AC$198&amp;";  ","")&amp;IF(AND(EDATE($D88,Milestones!$AA$199)&lt;=AsOfDate,IF($R88=0,$X88,IF(AND($T88&lt;&gt;"",EDATE($D88,Milestones!$AA$199)&gt;=$T88),$W88,IF(AND($S88&lt;&gt;"",EDATE($D88,Milestones!$AA$199)&gt;=$S88),$V88,$U88)))=Milestones!$AB$199),UPPER(TEXT(EDATE($D88,Milestones!$AA$199),"dd mmm yy"))&amp;" "&amp;Milestones!$AB$199&amp;" "&amp;Milestones!$AC$199&amp;";  ",""))</f>
        <v/>
      </c>
      <c r="R88" s="0" t="str">
        <f aca="false">IF(Staff!$A88="","",Staff!$AI88)</f>
        <v/>
      </c>
      <c r="S88" s="0" t="str">
        <f aca="false">IF(Staff!$A88="","",Staff!$AK88)</f>
        <v/>
      </c>
      <c r="T88" s="0" t="str">
        <f aca="false">IF(Staff!$A88="","",Staff!$AL88)</f>
        <v/>
      </c>
      <c r="U88" s="0" t="str">
        <f aca="false">IF(Staff!$A88="","",Staff!$AP88)</f>
        <v/>
      </c>
      <c r="V88" s="0" t="str">
        <f aca="false">IF(Staff!$A88="","",Staff!$AQ88)</f>
        <v/>
      </c>
      <c r="W88" s="0" t="str">
        <f aca="false">IF(Staff!$A88="","",Staff!$AR88)</f>
        <v/>
      </c>
      <c r="X88" s="0" t="str">
        <f aca="false">IF(Staff!$A88="","",Staff!$AS88)</f>
        <v/>
      </c>
    </row>
    <row r="89" customFormat="false" ht="15" hidden="false" customHeight="false" outlineLevel="0" collapsed="false">
      <c r="A89" s="19" t="str">
        <f aca="false">IF(Staff!$A89="","",Staff!$A89)</f>
        <v/>
      </c>
      <c r="B89" s="19" t="str">
        <f aca="false">IF(Staff!$A89="","",Staff!$B89)</f>
        <v/>
      </c>
      <c r="C89" s="19" t="str">
        <f aca="false">IF(Staff!$A89="","",Staff!$C89)</f>
        <v/>
      </c>
      <c r="D89" s="17" t="str">
        <f aca="false">IF(Staff!$A89="","",Staff!$AH89)</f>
        <v/>
      </c>
      <c r="E89" s="19" t="str">
        <f aca="false">IF(Staff!$A89="","",Staff!$O89)</f>
        <v/>
      </c>
      <c r="F89" s="19" t="str">
        <f aca="false">IF(E89="","",E89*HoursPerDay)</f>
        <v/>
      </c>
      <c r="G89" s="19" t="str">
        <f aca="false">IF(Staff!$A89="","",Staff!$AE89)</f>
        <v/>
      </c>
      <c r="H89" s="32" t="str">
        <f aca="false">IF($A89="","",I89&amp;J89&amp;K89&amp;L89&amp;M89&amp;N89&amp;O89&amp;P89&amp;Q89)</f>
        <v/>
      </c>
      <c r="I89" s="0" t="str">
        <f aca="false">IF(OR($A89="",$D89=""),"",IF(AND(EDATE($D89,Milestones!$AA$20)&lt;=AsOfDate,IF($R89=0,$X89,IF(AND($T89&lt;&gt;"",EDATE($D89,Milestones!$AA$20)&gt;=$T89),$W89,IF(AND($S89&lt;&gt;"",EDATE($D89,Milestones!$AA$20)&gt;=$S89),$V89,$U89)))=Milestones!$AB$20),UPPER(TEXT(EDATE($D89,Milestones!$AA$20),"dd mmm yy"))&amp;" "&amp;Milestones!$AB$20&amp;" "&amp;Milestones!$AC$20&amp;";  ","")&amp;IF(AND(EDATE($D89,Milestones!$AA$21)&lt;=AsOfDate,IF($R89=0,$X89,IF(AND($T89&lt;&gt;"",EDATE($D89,Milestones!$AA$21)&gt;=$T89),$W89,IF(AND($S89&lt;&gt;"",EDATE($D89,Milestones!$AA$21)&gt;=$S89),$V89,$U89)))=Milestones!$AB$21),UPPER(TEXT(EDATE($D89,Milestones!$AA$21),"dd mmm yy"))&amp;" "&amp;Milestones!$AB$21&amp;" "&amp;Milestones!$AC$21&amp;";  ","")&amp;IF(AND(EDATE($D89,Milestones!$AA$22)&lt;=AsOfDate,IF($R89=0,$X89,IF(AND($T89&lt;&gt;"",EDATE($D89,Milestones!$AA$22)&gt;=$T89),$W89,IF(AND($S89&lt;&gt;"",EDATE($D89,Milestones!$AA$22)&gt;=$S89),$V89,$U89)))=Milestones!$AB$22),UPPER(TEXT(EDATE($D89,Milestones!$AA$22),"dd mmm yy"))&amp;" "&amp;Milestones!$AB$22&amp;" "&amp;Milestones!$AC$22&amp;";  ","")&amp;IF(AND(EDATE($D89,Milestones!$AA$23)&lt;=AsOfDate,IF($R89=0,$X89,IF(AND($T89&lt;&gt;"",EDATE($D89,Milestones!$AA$23)&gt;=$T89),$W89,IF(AND($S89&lt;&gt;"",EDATE($D89,Milestones!$AA$23)&gt;=$S89),$V89,$U89)))=Milestones!$AB$23),UPPER(TEXT(EDATE($D89,Milestones!$AA$23),"dd mmm yy"))&amp;" "&amp;Milestones!$AB$23&amp;" "&amp;Milestones!$AC$23&amp;";  ","")&amp;IF(AND(EDATE($D89,Milestones!$AA$24)&lt;=AsOfDate,IF($R89=0,$X89,IF(AND($T89&lt;&gt;"",EDATE($D89,Milestones!$AA$24)&gt;=$T89),$W89,IF(AND($S89&lt;&gt;"",EDATE($D89,Milestones!$AA$24)&gt;=$S89),$V89,$U89)))=Milestones!$AB$24),UPPER(TEXT(EDATE($D89,Milestones!$AA$24),"dd mmm yy"))&amp;" "&amp;Milestones!$AB$24&amp;" "&amp;Milestones!$AC$24&amp;";  ","")&amp;IF(AND(EDATE($D89,Milestones!$AA$25)&lt;=AsOfDate,IF($R89=0,$X89,IF(AND($T89&lt;&gt;"",EDATE($D89,Milestones!$AA$25)&gt;=$T89),$W89,IF(AND($S89&lt;&gt;"",EDATE($D89,Milestones!$AA$25)&gt;=$S89),$V89,$U89)))=Milestones!$AB$25),UPPER(TEXT(EDATE($D89,Milestones!$AA$25),"dd mmm yy"))&amp;" "&amp;Milestones!$AB$25&amp;" "&amp;Milestones!$AC$25&amp;";  ","")&amp;IF(AND(EDATE($D89,Milestones!$AA$26)&lt;=AsOfDate,IF($R89=0,$X89,IF(AND($T89&lt;&gt;"",EDATE($D89,Milestones!$AA$26)&gt;=$T89),$W89,IF(AND($S89&lt;&gt;"",EDATE($D89,Milestones!$AA$26)&gt;=$S89),$V89,$U89)))=Milestones!$AB$26),UPPER(TEXT(EDATE($D89,Milestones!$AA$26),"dd mmm yy"))&amp;" "&amp;Milestones!$AB$26&amp;" "&amp;Milestones!$AC$26&amp;";  ","")&amp;IF(AND(EDATE($D89,Milestones!$AA$27)&lt;=AsOfDate,IF($R89=0,$X89,IF(AND($T89&lt;&gt;"",EDATE($D89,Milestones!$AA$27)&gt;=$T89),$W89,IF(AND($S89&lt;&gt;"",EDATE($D89,Milestones!$AA$27)&gt;=$S89),$V89,$U89)))=Milestones!$AB$27),UPPER(TEXT(EDATE($D89,Milestones!$AA$27),"dd mmm yy"))&amp;" "&amp;Milestones!$AB$27&amp;" "&amp;Milestones!$AC$27&amp;";  ","")&amp;IF(AND(EDATE($D89,Milestones!$AA$28)&lt;=AsOfDate,IF($R89=0,$X89,IF(AND($T89&lt;&gt;"",EDATE($D89,Milestones!$AA$28)&gt;=$T89),$W89,IF(AND($S89&lt;&gt;"",EDATE($D89,Milestones!$AA$28)&gt;=$S89),$V89,$U89)))=Milestones!$AB$28),UPPER(TEXT(EDATE($D89,Milestones!$AA$28),"dd mmm yy"))&amp;" "&amp;Milestones!$AB$28&amp;" "&amp;Milestones!$AC$28&amp;";  ","")&amp;IF(AND(EDATE($D89,Milestones!$AA$29)&lt;=AsOfDate,IF($R89=0,$X89,IF(AND($T89&lt;&gt;"",EDATE($D89,Milestones!$AA$29)&gt;=$T89),$W89,IF(AND($S89&lt;&gt;"",EDATE($D89,Milestones!$AA$29)&gt;=$S89),$V89,$U89)))=Milestones!$AB$29),UPPER(TEXT(EDATE($D89,Milestones!$AA$29),"dd mmm yy"))&amp;" "&amp;Milestones!$AB$29&amp;" "&amp;Milestones!$AC$29&amp;";  ","")&amp;IF(AND(EDATE($D89,Milestones!$AA$30)&lt;=AsOfDate,IF($R89=0,$X89,IF(AND($T89&lt;&gt;"",EDATE($D89,Milestones!$AA$30)&gt;=$T89),$W89,IF(AND($S89&lt;&gt;"",EDATE($D89,Milestones!$AA$30)&gt;=$S89),$V89,$U89)))=Milestones!$AB$30),UPPER(TEXT(EDATE($D89,Milestones!$AA$30),"dd mmm yy"))&amp;" "&amp;Milestones!$AB$30&amp;" "&amp;Milestones!$AC$30&amp;";  ","")&amp;IF(AND(EDATE($D89,Milestones!$AA$31)&lt;=AsOfDate,IF($R89=0,$X89,IF(AND($T89&lt;&gt;"",EDATE($D89,Milestones!$AA$31)&gt;=$T89),$W89,IF(AND($S89&lt;&gt;"",EDATE($D89,Milestones!$AA$31)&gt;=$S89),$V89,$U89)))=Milestones!$AB$31),UPPER(TEXT(EDATE($D89,Milestones!$AA$31),"dd mmm yy"))&amp;" "&amp;Milestones!$AB$31&amp;" "&amp;Milestones!$AC$31&amp;";  ","")&amp;IF(AND(EDATE($D89,Milestones!$AA$32)&lt;=AsOfDate,IF($R89=0,$X89,IF(AND($T89&lt;&gt;"",EDATE($D89,Milestones!$AA$32)&gt;=$T89),$W89,IF(AND($S89&lt;&gt;"",EDATE($D89,Milestones!$AA$32)&gt;=$S89),$V89,$U89)))=Milestones!$AB$32),UPPER(TEXT(EDATE($D89,Milestones!$AA$32),"dd mmm yy"))&amp;" "&amp;Milestones!$AB$32&amp;" "&amp;Milestones!$AC$32&amp;";  ","")&amp;IF(AND(EDATE($D89,Milestones!$AA$33)&lt;=AsOfDate,IF($R89=0,$X89,IF(AND($T89&lt;&gt;"",EDATE($D89,Milestones!$AA$33)&gt;=$T89),$W89,IF(AND($S89&lt;&gt;"",EDATE($D89,Milestones!$AA$33)&gt;=$S89),$V89,$U89)))=Milestones!$AB$33),UPPER(TEXT(EDATE($D89,Milestones!$AA$33),"dd mmm yy"))&amp;" "&amp;Milestones!$AB$33&amp;" "&amp;Milestones!$AC$33&amp;";  ","")&amp;IF(AND(EDATE($D89,Milestones!$AA$34)&lt;=AsOfDate,IF($R89=0,$X89,IF(AND($T89&lt;&gt;"",EDATE($D89,Milestones!$AA$34)&gt;=$T89),$W89,IF(AND($S89&lt;&gt;"",EDATE($D89,Milestones!$AA$34)&gt;=$S89),$V89,$U89)))=Milestones!$AB$34),UPPER(TEXT(EDATE($D89,Milestones!$AA$34),"dd mmm yy"))&amp;" "&amp;Milestones!$AB$34&amp;" "&amp;Milestones!$AC$34&amp;";  ","")&amp;IF(AND(EDATE($D89,Milestones!$AA$35)&lt;=AsOfDate,IF($R89=0,$X89,IF(AND($T89&lt;&gt;"",EDATE($D89,Milestones!$AA$35)&gt;=$T89),$W89,IF(AND($S89&lt;&gt;"",EDATE($D89,Milestones!$AA$35)&gt;=$S89),$V89,$U89)))=Milestones!$AB$35),UPPER(TEXT(EDATE($D89,Milestones!$AA$35),"dd mmm yy"))&amp;" "&amp;Milestones!$AB$35&amp;" "&amp;Milestones!$AC$35&amp;";  ","")&amp;IF(AND(EDATE($D89,Milestones!$AA$36)&lt;=AsOfDate,IF($R89=0,$X89,IF(AND($T89&lt;&gt;"",EDATE($D89,Milestones!$AA$36)&gt;=$T89),$W89,IF(AND($S89&lt;&gt;"",EDATE($D89,Milestones!$AA$36)&gt;=$S89),$V89,$U89)))=Milestones!$AB$36),UPPER(TEXT(EDATE($D89,Milestones!$AA$36),"dd mmm yy"))&amp;" "&amp;Milestones!$AB$36&amp;" "&amp;Milestones!$AC$36&amp;";  ","")&amp;IF(AND(EDATE($D89,Milestones!$AA$37)&lt;=AsOfDate,IF($R89=0,$X89,IF(AND($T89&lt;&gt;"",EDATE($D89,Milestones!$AA$37)&gt;=$T89),$W89,IF(AND($S89&lt;&gt;"",EDATE($D89,Milestones!$AA$37)&gt;=$S89),$V89,$U89)))=Milestones!$AB$37),UPPER(TEXT(EDATE($D89,Milestones!$AA$37),"dd mmm yy"))&amp;" "&amp;Milestones!$AB$37&amp;" "&amp;Milestones!$AC$37&amp;";  ","")&amp;IF(AND(EDATE($D89,Milestones!$AA$38)&lt;=AsOfDate,IF($R89=0,$X89,IF(AND($T89&lt;&gt;"",EDATE($D89,Milestones!$AA$38)&gt;=$T89),$W89,IF(AND($S89&lt;&gt;"",EDATE($D89,Milestones!$AA$38)&gt;=$S89),$V89,$U89)))=Milestones!$AB$38),UPPER(TEXT(EDATE($D89,Milestones!$AA$38),"dd mmm yy"))&amp;" "&amp;Milestones!$AB$38&amp;" "&amp;Milestones!$AC$38&amp;";  ","")&amp;IF(AND(EDATE($D89,Milestones!$AA$39)&lt;=AsOfDate,IF($R89=0,$X89,IF(AND($T89&lt;&gt;"",EDATE($D89,Milestones!$AA$39)&gt;=$T89),$W89,IF(AND($S89&lt;&gt;"",EDATE($D89,Milestones!$AA$39)&gt;=$S89),$V89,$U89)))=Milestones!$AB$39),UPPER(TEXT(EDATE($D89,Milestones!$AA$39),"dd mmm yy"))&amp;" "&amp;Milestones!$AB$39&amp;" "&amp;Milestones!$AC$39&amp;";  ",""))</f>
        <v/>
      </c>
      <c r="J89" s="0" t="str">
        <f aca="false">IF(OR($A89="",$D89=""),"",IF(AND(EDATE($D89,Milestones!$AA$40)&lt;=AsOfDate,IF($R89=0,$X89,IF(AND($T89&lt;&gt;"",EDATE($D89,Milestones!$AA$40)&gt;=$T89),$W89,IF(AND($S89&lt;&gt;"",EDATE($D89,Milestones!$AA$40)&gt;=$S89),$V89,$U89)))=Milestones!$AB$40),UPPER(TEXT(EDATE($D89,Milestones!$AA$40),"dd mmm yy"))&amp;" "&amp;Milestones!$AB$40&amp;" "&amp;Milestones!$AC$40&amp;";  ","")&amp;IF(AND(EDATE($D89,Milestones!$AA$41)&lt;=AsOfDate,IF($R89=0,$X89,IF(AND($T89&lt;&gt;"",EDATE($D89,Milestones!$AA$41)&gt;=$T89),$W89,IF(AND($S89&lt;&gt;"",EDATE($D89,Milestones!$AA$41)&gt;=$S89),$V89,$U89)))=Milestones!$AB$41),UPPER(TEXT(EDATE($D89,Milestones!$AA$41),"dd mmm yy"))&amp;" "&amp;Milestones!$AB$41&amp;" "&amp;Milestones!$AC$41&amp;";  ","")&amp;IF(AND(EDATE($D89,Milestones!$AA$42)&lt;=AsOfDate,IF($R89=0,$X89,IF(AND($T89&lt;&gt;"",EDATE($D89,Milestones!$AA$42)&gt;=$T89),$W89,IF(AND($S89&lt;&gt;"",EDATE($D89,Milestones!$AA$42)&gt;=$S89),$V89,$U89)))=Milestones!$AB$42),UPPER(TEXT(EDATE($D89,Milestones!$AA$42),"dd mmm yy"))&amp;" "&amp;Milestones!$AB$42&amp;" "&amp;Milestones!$AC$42&amp;";  ","")&amp;IF(AND(EDATE($D89,Milestones!$AA$43)&lt;=AsOfDate,IF($R89=0,$X89,IF(AND($T89&lt;&gt;"",EDATE($D89,Milestones!$AA$43)&gt;=$T89),$W89,IF(AND($S89&lt;&gt;"",EDATE($D89,Milestones!$AA$43)&gt;=$S89),$V89,$U89)))=Milestones!$AB$43),UPPER(TEXT(EDATE($D89,Milestones!$AA$43),"dd mmm yy"))&amp;" "&amp;Milestones!$AB$43&amp;" "&amp;Milestones!$AC$43&amp;";  ","")&amp;IF(AND(EDATE($D89,Milestones!$AA$44)&lt;=AsOfDate,IF($R89=0,$X89,IF(AND($T89&lt;&gt;"",EDATE($D89,Milestones!$AA$44)&gt;=$T89),$W89,IF(AND($S89&lt;&gt;"",EDATE($D89,Milestones!$AA$44)&gt;=$S89),$V89,$U89)))=Milestones!$AB$44),UPPER(TEXT(EDATE($D89,Milestones!$AA$44),"dd mmm yy"))&amp;" "&amp;Milestones!$AB$44&amp;" "&amp;Milestones!$AC$44&amp;";  ","")&amp;IF(AND(EDATE($D89,Milestones!$AA$45)&lt;=AsOfDate,IF($R89=0,$X89,IF(AND($T89&lt;&gt;"",EDATE($D89,Milestones!$AA$45)&gt;=$T89),$W89,IF(AND($S89&lt;&gt;"",EDATE($D89,Milestones!$AA$45)&gt;=$S89),$V89,$U89)))=Milestones!$AB$45),UPPER(TEXT(EDATE($D89,Milestones!$AA$45),"dd mmm yy"))&amp;" "&amp;Milestones!$AB$45&amp;" "&amp;Milestones!$AC$45&amp;";  ","")&amp;IF(AND(EDATE($D89,Milestones!$AA$46)&lt;=AsOfDate,IF($R89=0,$X89,IF(AND($T89&lt;&gt;"",EDATE($D89,Milestones!$AA$46)&gt;=$T89),$W89,IF(AND($S89&lt;&gt;"",EDATE($D89,Milestones!$AA$46)&gt;=$S89),$V89,$U89)))=Milestones!$AB$46),UPPER(TEXT(EDATE($D89,Milestones!$AA$46),"dd mmm yy"))&amp;" "&amp;Milestones!$AB$46&amp;" "&amp;Milestones!$AC$46&amp;";  ","")&amp;IF(AND(EDATE($D89,Milestones!$AA$47)&lt;=AsOfDate,IF($R89=0,$X89,IF(AND($T89&lt;&gt;"",EDATE($D89,Milestones!$AA$47)&gt;=$T89),$W89,IF(AND($S89&lt;&gt;"",EDATE($D89,Milestones!$AA$47)&gt;=$S89),$V89,$U89)))=Milestones!$AB$47),UPPER(TEXT(EDATE($D89,Milestones!$AA$47),"dd mmm yy"))&amp;" "&amp;Milestones!$AB$47&amp;" "&amp;Milestones!$AC$47&amp;";  ","")&amp;IF(AND(EDATE($D89,Milestones!$AA$48)&lt;=AsOfDate,IF($R89=0,$X89,IF(AND($T89&lt;&gt;"",EDATE($D89,Milestones!$AA$48)&gt;=$T89),$W89,IF(AND($S89&lt;&gt;"",EDATE($D89,Milestones!$AA$48)&gt;=$S89),$V89,$U89)))=Milestones!$AB$48),UPPER(TEXT(EDATE($D89,Milestones!$AA$48),"dd mmm yy"))&amp;" "&amp;Milestones!$AB$48&amp;" "&amp;Milestones!$AC$48&amp;";  ","")&amp;IF(AND(EDATE($D89,Milestones!$AA$49)&lt;=AsOfDate,IF($R89=0,$X89,IF(AND($T89&lt;&gt;"",EDATE($D89,Milestones!$AA$49)&gt;=$T89),$W89,IF(AND($S89&lt;&gt;"",EDATE($D89,Milestones!$AA$49)&gt;=$S89),$V89,$U89)))=Milestones!$AB$49),UPPER(TEXT(EDATE($D89,Milestones!$AA$49),"dd mmm yy"))&amp;" "&amp;Milestones!$AB$49&amp;" "&amp;Milestones!$AC$49&amp;";  ","")&amp;IF(AND(EDATE($D89,Milestones!$AA$50)&lt;=AsOfDate,IF($R89=0,$X89,IF(AND($T89&lt;&gt;"",EDATE($D89,Milestones!$AA$50)&gt;=$T89),$W89,IF(AND($S89&lt;&gt;"",EDATE($D89,Milestones!$AA$50)&gt;=$S89),$V89,$U89)))=Milestones!$AB$50),UPPER(TEXT(EDATE($D89,Milestones!$AA$50),"dd mmm yy"))&amp;" "&amp;Milestones!$AB$50&amp;" "&amp;Milestones!$AC$50&amp;";  ","")&amp;IF(AND(EDATE($D89,Milestones!$AA$51)&lt;=AsOfDate,IF($R89=0,$X89,IF(AND($T89&lt;&gt;"",EDATE($D89,Milestones!$AA$51)&gt;=$T89),$W89,IF(AND($S89&lt;&gt;"",EDATE($D89,Milestones!$AA$51)&gt;=$S89),$V89,$U89)))=Milestones!$AB$51),UPPER(TEXT(EDATE($D89,Milestones!$AA$51),"dd mmm yy"))&amp;" "&amp;Milestones!$AB$51&amp;" "&amp;Milestones!$AC$51&amp;";  ","")&amp;IF(AND(EDATE($D89,Milestones!$AA$52)&lt;=AsOfDate,IF($R89=0,$X89,IF(AND($T89&lt;&gt;"",EDATE($D89,Milestones!$AA$52)&gt;=$T89),$W89,IF(AND($S89&lt;&gt;"",EDATE($D89,Milestones!$AA$52)&gt;=$S89),$V89,$U89)))=Milestones!$AB$52),UPPER(TEXT(EDATE($D89,Milestones!$AA$52),"dd mmm yy"))&amp;" "&amp;Milestones!$AB$52&amp;" "&amp;Milestones!$AC$52&amp;";  ","")&amp;IF(AND(EDATE($D89,Milestones!$AA$53)&lt;=AsOfDate,IF($R89=0,$X89,IF(AND($T89&lt;&gt;"",EDATE($D89,Milestones!$AA$53)&gt;=$T89),$W89,IF(AND($S89&lt;&gt;"",EDATE($D89,Milestones!$AA$53)&gt;=$S89),$V89,$U89)))=Milestones!$AB$53),UPPER(TEXT(EDATE($D89,Milestones!$AA$53),"dd mmm yy"))&amp;" "&amp;Milestones!$AB$53&amp;" "&amp;Milestones!$AC$53&amp;";  ","")&amp;IF(AND(EDATE($D89,Milestones!$AA$54)&lt;=AsOfDate,IF($R89=0,$X89,IF(AND($T89&lt;&gt;"",EDATE($D89,Milestones!$AA$54)&gt;=$T89),$W89,IF(AND($S89&lt;&gt;"",EDATE($D89,Milestones!$AA$54)&gt;=$S89),$V89,$U89)))=Milestones!$AB$54),UPPER(TEXT(EDATE($D89,Milestones!$AA$54),"dd mmm yy"))&amp;" "&amp;Milestones!$AB$54&amp;" "&amp;Milestones!$AC$54&amp;";  ","")&amp;IF(AND(EDATE($D89,Milestones!$AA$55)&lt;=AsOfDate,IF($R89=0,$X89,IF(AND($T89&lt;&gt;"",EDATE($D89,Milestones!$AA$55)&gt;=$T89),$W89,IF(AND($S89&lt;&gt;"",EDATE($D89,Milestones!$AA$55)&gt;=$S89),$V89,$U89)))=Milestones!$AB$55),UPPER(TEXT(EDATE($D89,Milestones!$AA$55),"dd mmm yy"))&amp;" "&amp;Milestones!$AB$55&amp;" "&amp;Milestones!$AC$55&amp;";  ","")&amp;IF(AND(EDATE($D89,Milestones!$AA$56)&lt;=AsOfDate,IF($R89=0,$X89,IF(AND($T89&lt;&gt;"",EDATE($D89,Milestones!$AA$56)&gt;=$T89),$W89,IF(AND($S89&lt;&gt;"",EDATE($D89,Milestones!$AA$56)&gt;=$S89),$V89,$U89)))=Milestones!$AB$56),UPPER(TEXT(EDATE($D89,Milestones!$AA$56),"dd mmm yy"))&amp;" "&amp;Milestones!$AB$56&amp;" "&amp;Milestones!$AC$56&amp;";  ","")&amp;IF(AND(EDATE($D89,Milestones!$AA$57)&lt;=AsOfDate,IF($R89=0,$X89,IF(AND($T89&lt;&gt;"",EDATE($D89,Milestones!$AA$57)&gt;=$T89),$W89,IF(AND($S89&lt;&gt;"",EDATE($D89,Milestones!$AA$57)&gt;=$S89),$V89,$U89)))=Milestones!$AB$57),UPPER(TEXT(EDATE($D89,Milestones!$AA$57),"dd mmm yy"))&amp;" "&amp;Milestones!$AB$57&amp;" "&amp;Milestones!$AC$57&amp;";  ","")&amp;IF(AND(EDATE($D89,Milestones!$AA$58)&lt;=AsOfDate,IF($R89=0,$X89,IF(AND($T89&lt;&gt;"",EDATE($D89,Milestones!$AA$58)&gt;=$T89),$W89,IF(AND($S89&lt;&gt;"",EDATE($D89,Milestones!$AA$58)&gt;=$S89),$V89,$U89)))=Milestones!$AB$58),UPPER(TEXT(EDATE($D89,Milestones!$AA$58),"dd mmm yy"))&amp;" "&amp;Milestones!$AB$58&amp;" "&amp;Milestones!$AC$58&amp;";  ","")&amp;IF(AND(EDATE($D89,Milestones!$AA$59)&lt;=AsOfDate,IF($R89=0,$X89,IF(AND($T89&lt;&gt;"",EDATE($D89,Milestones!$AA$59)&gt;=$T89),$W89,IF(AND($S89&lt;&gt;"",EDATE($D89,Milestones!$AA$59)&gt;=$S89),$V89,$U89)))=Milestones!$AB$59),UPPER(TEXT(EDATE($D89,Milestones!$AA$59),"dd mmm yy"))&amp;" "&amp;Milestones!$AB$59&amp;" "&amp;Milestones!$AC$59&amp;";  ",""))</f>
        <v/>
      </c>
      <c r="K89" s="0" t="str">
        <f aca="false">IF(OR($A89="",$D89=""),"",IF(AND(EDATE($D89,Milestones!$AA$60)&lt;=AsOfDate,IF($R89=0,$X89,IF(AND($T89&lt;&gt;"",EDATE($D89,Milestones!$AA$60)&gt;=$T89),$W89,IF(AND($S89&lt;&gt;"",EDATE($D89,Milestones!$AA$60)&gt;=$S89),$V89,$U89)))=Milestones!$AB$60),UPPER(TEXT(EDATE($D89,Milestones!$AA$60),"dd mmm yy"))&amp;" "&amp;Milestones!$AB$60&amp;" "&amp;Milestones!$AC$60&amp;";  ","")&amp;IF(AND(EDATE($D89,Milestones!$AA$61)&lt;=AsOfDate,IF($R89=0,$X89,IF(AND($T89&lt;&gt;"",EDATE($D89,Milestones!$AA$61)&gt;=$T89),$W89,IF(AND($S89&lt;&gt;"",EDATE($D89,Milestones!$AA$61)&gt;=$S89),$V89,$U89)))=Milestones!$AB$61),UPPER(TEXT(EDATE($D89,Milestones!$AA$61),"dd mmm yy"))&amp;" "&amp;Milestones!$AB$61&amp;" "&amp;Milestones!$AC$61&amp;";  ","")&amp;IF(AND(EDATE($D89,Milestones!$AA$62)&lt;=AsOfDate,IF($R89=0,$X89,IF(AND($T89&lt;&gt;"",EDATE($D89,Milestones!$AA$62)&gt;=$T89),$W89,IF(AND($S89&lt;&gt;"",EDATE($D89,Milestones!$AA$62)&gt;=$S89),$V89,$U89)))=Milestones!$AB$62),UPPER(TEXT(EDATE($D89,Milestones!$AA$62),"dd mmm yy"))&amp;" "&amp;Milestones!$AB$62&amp;" "&amp;Milestones!$AC$62&amp;";  ","")&amp;IF(AND(EDATE($D89,Milestones!$AA$63)&lt;=AsOfDate,IF($R89=0,$X89,IF(AND($T89&lt;&gt;"",EDATE($D89,Milestones!$AA$63)&gt;=$T89),$W89,IF(AND($S89&lt;&gt;"",EDATE($D89,Milestones!$AA$63)&gt;=$S89),$V89,$U89)))=Milestones!$AB$63),UPPER(TEXT(EDATE($D89,Milestones!$AA$63),"dd mmm yy"))&amp;" "&amp;Milestones!$AB$63&amp;" "&amp;Milestones!$AC$63&amp;";  ","")&amp;IF(AND(EDATE($D89,Milestones!$AA$64)&lt;=AsOfDate,IF($R89=0,$X89,IF(AND($T89&lt;&gt;"",EDATE($D89,Milestones!$AA$64)&gt;=$T89),$W89,IF(AND($S89&lt;&gt;"",EDATE($D89,Milestones!$AA$64)&gt;=$S89),$V89,$U89)))=Milestones!$AB$64),UPPER(TEXT(EDATE($D89,Milestones!$AA$64),"dd mmm yy"))&amp;" "&amp;Milestones!$AB$64&amp;" "&amp;Milestones!$AC$64&amp;";  ","")&amp;IF(AND(EDATE($D89,Milestones!$AA$65)&lt;=AsOfDate,IF($R89=0,$X89,IF(AND($T89&lt;&gt;"",EDATE($D89,Milestones!$AA$65)&gt;=$T89),$W89,IF(AND($S89&lt;&gt;"",EDATE($D89,Milestones!$AA$65)&gt;=$S89),$V89,$U89)))=Milestones!$AB$65),UPPER(TEXT(EDATE($D89,Milestones!$AA$65),"dd mmm yy"))&amp;" "&amp;Milestones!$AB$65&amp;" "&amp;Milestones!$AC$65&amp;";  ","")&amp;IF(AND(EDATE($D89,Milestones!$AA$66)&lt;=AsOfDate,IF($R89=0,$X89,IF(AND($T89&lt;&gt;"",EDATE($D89,Milestones!$AA$66)&gt;=$T89),$W89,IF(AND($S89&lt;&gt;"",EDATE($D89,Milestones!$AA$66)&gt;=$S89),$V89,$U89)))=Milestones!$AB$66),UPPER(TEXT(EDATE($D89,Milestones!$AA$66),"dd mmm yy"))&amp;" "&amp;Milestones!$AB$66&amp;" "&amp;Milestones!$AC$66&amp;";  ","")&amp;IF(AND(EDATE($D89,Milestones!$AA$67)&lt;=AsOfDate,IF($R89=0,$X89,IF(AND($T89&lt;&gt;"",EDATE($D89,Milestones!$AA$67)&gt;=$T89),$W89,IF(AND($S89&lt;&gt;"",EDATE($D89,Milestones!$AA$67)&gt;=$S89),$V89,$U89)))=Milestones!$AB$67),UPPER(TEXT(EDATE($D89,Milestones!$AA$67),"dd mmm yy"))&amp;" "&amp;Milestones!$AB$67&amp;" "&amp;Milestones!$AC$67&amp;";  ","")&amp;IF(AND(EDATE($D89,Milestones!$AA$68)&lt;=AsOfDate,IF($R89=0,$X89,IF(AND($T89&lt;&gt;"",EDATE($D89,Milestones!$AA$68)&gt;=$T89),$W89,IF(AND($S89&lt;&gt;"",EDATE($D89,Milestones!$AA$68)&gt;=$S89),$V89,$U89)))=Milestones!$AB$68),UPPER(TEXT(EDATE($D89,Milestones!$AA$68),"dd mmm yy"))&amp;" "&amp;Milestones!$AB$68&amp;" "&amp;Milestones!$AC$68&amp;";  ","")&amp;IF(AND(EDATE($D89,Milestones!$AA$69)&lt;=AsOfDate,IF($R89=0,$X89,IF(AND($T89&lt;&gt;"",EDATE($D89,Milestones!$AA$69)&gt;=$T89),$W89,IF(AND($S89&lt;&gt;"",EDATE($D89,Milestones!$AA$69)&gt;=$S89),$V89,$U89)))=Milestones!$AB$69),UPPER(TEXT(EDATE($D89,Milestones!$AA$69),"dd mmm yy"))&amp;" "&amp;Milestones!$AB$69&amp;" "&amp;Milestones!$AC$69&amp;";  ","")&amp;IF(AND(EDATE($D89,Milestones!$AA$70)&lt;=AsOfDate,IF($R89=0,$X89,IF(AND($T89&lt;&gt;"",EDATE($D89,Milestones!$AA$70)&gt;=$T89),$W89,IF(AND($S89&lt;&gt;"",EDATE($D89,Milestones!$AA$70)&gt;=$S89),$V89,$U89)))=Milestones!$AB$70),UPPER(TEXT(EDATE($D89,Milestones!$AA$70),"dd mmm yy"))&amp;" "&amp;Milestones!$AB$70&amp;" "&amp;Milestones!$AC$70&amp;";  ","")&amp;IF(AND(EDATE($D89,Milestones!$AA$71)&lt;=AsOfDate,IF($R89=0,$X89,IF(AND($T89&lt;&gt;"",EDATE($D89,Milestones!$AA$71)&gt;=$T89),$W89,IF(AND($S89&lt;&gt;"",EDATE($D89,Milestones!$AA$71)&gt;=$S89),$V89,$U89)))=Milestones!$AB$71),UPPER(TEXT(EDATE($D89,Milestones!$AA$71),"dd mmm yy"))&amp;" "&amp;Milestones!$AB$71&amp;" "&amp;Milestones!$AC$71&amp;";  ","")&amp;IF(AND(EDATE($D89,Milestones!$AA$72)&lt;=AsOfDate,IF($R89=0,$X89,IF(AND($T89&lt;&gt;"",EDATE($D89,Milestones!$AA$72)&gt;=$T89),$W89,IF(AND($S89&lt;&gt;"",EDATE($D89,Milestones!$AA$72)&gt;=$S89),$V89,$U89)))=Milestones!$AB$72),UPPER(TEXT(EDATE($D89,Milestones!$AA$72),"dd mmm yy"))&amp;" "&amp;Milestones!$AB$72&amp;" "&amp;Milestones!$AC$72&amp;";  ","")&amp;IF(AND(EDATE($D89,Milestones!$AA$73)&lt;=AsOfDate,IF($R89=0,$X89,IF(AND($T89&lt;&gt;"",EDATE($D89,Milestones!$AA$73)&gt;=$T89),$W89,IF(AND($S89&lt;&gt;"",EDATE($D89,Milestones!$AA$73)&gt;=$S89),$V89,$U89)))=Milestones!$AB$73),UPPER(TEXT(EDATE($D89,Milestones!$AA$73),"dd mmm yy"))&amp;" "&amp;Milestones!$AB$73&amp;" "&amp;Milestones!$AC$73&amp;";  ","")&amp;IF(AND(EDATE($D89,Milestones!$AA$74)&lt;=AsOfDate,IF($R89=0,$X89,IF(AND($T89&lt;&gt;"",EDATE($D89,Milestones!$AA$74)&gt;=$T89),$W89,IF(AND($S89&lt;&gt;"",EDATE($D89,Milestones!$AA$74)&gt;=$S89),$V89,$U89)))=Milestones!$AB$74),UPPER(TEXT(EDATE($D89,Milestones!$AA$74),"dd mmm yy"))&amp;" "&amp;Milestones!$AB$74&amp;" "&amp;Milestones!$AC$74&amp;";  ","")&amp;IF(AND(EDATE($D89,Milestones!$AA$75)&lt;=AsOfDate,IF($R89=0,$X89,IF(AND($T89&lt;&gt;"",EDATE($D89,Milestones!$AA$75)&gt;=$T89),$W89,IF(AND($S89&lt;&gt;"",EDATE($D89,Milestones!$AA$75)&gt;=$S89),$V89,$U89)))=Milestones!$AB$75),UPPER(TEXT(EDATE($D89,Milestones!$AA$75),"dd mmm yy"))&amp;" "&amp;Milestones!$AB$75&amp;" "&amp;Milestones!$AC$75&amp;";  ","")&amp;IF(AND(EDATE($D89,Milestones!$AA$76)&lt;=AsOfDate,IF($R89=0,$X89,IF(AND($T89&lt;&gt;"",EDATE($D89,Milestones!$AA$76)&gt;=$T89),$W89,IF(AND($S89&lt;&gt;"",EDATE($D89,Milestones!$AA$76)&gt;=$S89),$V89,$U89)))=Milestones!$AB$76),UPPER(TEXT(EDATE($D89,Milestones!$AA$76),"dd mmm yy"))&amp;" "&amp;Milestones!$AB$76&amp;" "&amp;Milestones!$AC$76&amp;";  ","")&amp;IF(AND(EDATE($D89,Milestones!$AA$77)&lt;=AsOfDate,IF($R89=0,$X89,IF(AND($T89&lt;&gt;"",EDATE($D89,Milestones!$AA$77)&gt;=$T89),$W89,IF(AND($S89&lt;&gt;"",EDATE($D89,Milestones!$AA$77)&gt;=$S89),$V89,$U89)))=Milestones!$AB$77),UPPER(TEXT(EDATE($D89,Milestones!$AA$77),"dd mmm yy"))&amp;" "&amp;Milestones!$AB$77&amp;" "&amp;Milestones!$AC$77&amp;";  ","")&amp;IF(AND(EDATE($D89,Milestones!$AA$78)&lt;=AsOfDate,IF($R89=0,$X89,IF(AND($T89&lt;&gt;"",EDATE($D89,Milestones!$AA$78)&gt;=$T89),$W89,IF(AND($S89&lt;&gt;"",EDATE($D89,Milestones!$AA$78)&gt;=$S89),$V89,$U89)))=Milestones!$AB$78),UPPER(TEXT(EDATE($D89,Milestones!$AA$78),"dd mmm yy"))&amp;" "&amp;Milestones!$AB$78&amp;" "&amp;Milestones!$AC$78&amp;";  ","")&amp;IF(AND(EDATE($D89,Milestones!$AA$79)&lt;=AsOfDate,IF($R89=0,$X89,IF(AND($T89&lt;&gt;"",EDATE($D89,Milestones!$AA$79)&gt;=$T89),$W89,IF(AND($S89&lt;&gt;"",EDATE($D89,Milestones!$AA$79)&gt;=$S89),$V89,$U89)))=Milestones!$AB$79),UPPER(TEXT(EDATE($D89,Milestones!$AA$79),"dd mmm yy"))&amp;" "&amp;Milestones!$AB$79&amp;" "&amp;Milestones!$AC$79&amp;";  ",""))</f>
        <v/>
      </c>
      <c r="L89" s="0" t="str">
        <f aca="false">IF(OR($A89="",$D89=""),"",IF(AND(EDATE($D89,Milestones!$AA$80)&lt;=AsOfDate,IF($R89=0,$X89,IF(AND($T89&lt;&gt;"",EDATE($D89,Milestones!$AA$80)&gt;=$T89),$W89,IF(AND($S89&lt;&gt;"",EDATE($D89,Milestones!$AA$80)&gt;=$S89),$V89,$U89)))=Milestones!$AB$80),UPPER(TEXT(EDATE($D89,Milestones!$AA$80),"dd mmm yy"))&amp;" "&amp;Milestones!$AB$80&amp;" "&amp;Milestones!$AC$80&amp;";  ","")&amp;IF(AND(EDATE($D89,Milestones!$AA$81)&lt;=AsOfDate,IF($R89=0,$X89,IF(AND($T89&lt;&gt;"",EDATE($D89,Milestones!$AA$81)&gt;=$T89),$W89,IF(AND($S89&lt;&gt;"",EDATE($D89,Milestones!$AA$81)&gt;=$S89),$V89,$U89)))=Milestones!$AB$81),UPPER(TEXT(EDATE($D89,Milestones!$AA$81),"dd mmm yy"))&amp;" "&amp;Milestones!$AB$81&amp;" "&amp;Milestones!$AC$81&amp;";  ","")&amp;IF(AND(EDATE($D89,Milestones!$AA$82)&lt;=AsOfDate,IF($R89=0,$X89,IF(AND($T89&lt;&gt;"",EDATE($D89,Milestones!$AA$82)&gt;=$T89),$W89,IF(AND($S89&lt;&gt;"",EDATE($D89,Milestones!$AA$82)&gt;=$S89),$V89,$U89)))=Milestones!$AB$82),UPPER(TEXT(EDATE($D89,Milestones!$AA$82),"dd mmm yy"))&amp;" "&amp;Milestones!$AB$82&amp;" "&amp;Milestones!$AC$82&amp;";  ","")&amp;IF(AND(EDATE($D89,Milestones!$AA$83)&lt;=AsOfDate,IF($R89=0,$X89,IF(AND($T89&lt;&gt;"",EDATE($D89,Milestones!$AA$83)&gt;=$T89),$W89,IF(AND($S89&lt;&gt;"",EDATE($D89,Milestones!$AA$83)&gt;=$S89),$V89,$U89)))=Milestones!$AB$83),UPPER(TEXT(EDATE($D89,Milestones!$AA$83),"dd mmm yy"))&amp;" "&amp;Milestones!$AB$83&amp;" "&amp;Milestones!$AC$83&amp;";  ","")&amp;IF(AND(EDATE($D89,Milestones!$AA$84)&lt;=AsOfDate,IF($R89=0,$X89,IF(AND($T89&lt;&gt;"",EDATE($D89,Milestones!$AA$84)&gt;=$T89),$W89,IF(AND($S89&lt;&gt;"",EDATE($D89,Milestones!$AA$84)&gt;=$S89),$V89,$U89)))=Milestones!$AB$84),UPPER(TEXT(EDATE($D89,Milestones!$AA$84),"dd mmm yy"))&amp;" "&amp;Milestones!$AB$84&amp;" "&amp;Milestones!$AC$84&amp;";  ","")&amp;IF(AND(EDATE($D89,Milestones!$AA$85)&lt;=AsOfDate,IF($R89=0,$X89,IF(AND($T89&lt;&gt;"",EDATE($D89,Milestones!$AA$85)&gt;=$T89),$W89,IF(AND($S89&lt;&gt;"",EDATE($D89,Milestones!$AA$85)&gt;=$S89),$V89,$U89)))=Milestones!$AB$85),UPPER(TEXT(EDATE($D89,Milestones!$AA$85),"dd mmm yy"))&amp;" "&amp;Milestones!$AB$85&amp;" "&amp;Milestones!$AC$85&amp;";  ","")&amp;IF(AND(EDATE($D89,Milestones!$AA$86)&lt;=AsOfDate,IF($R89=0,$X89,IF(AND($T89&lt;&gt;"",EDATE($D89,Milestones!$AA$86)&gt;=$T89),$W89,IF(AND($S89&lt;&gt;"",EDATE($D89,Milestones!$AA$86)&gt;=$S89),$V89,$U89)))=Milestones!$AB$86),UPPER(TEXT(EDATE($D89,Milestones!$AA$86),"dd mmm yy"))&amp;" "&amp;Milestones!$AB$86&amp;" "&amp;Milestones!$AC$86&amp;";  ","")&amp;IF(AND(EDATE($D89,Milestones!$AA$87)&lt;=AsOfDate,IF($R89=0,$X89,IF(AND($T89&lt;&gt;"",EDATE($D89,Milestones!$AA$87)&gt;=$T89),$W89,IF(AND($S89&lt;&gt;"",EDATE($D89,Milestones!$AA$87)&gt;=$S89),$V89,$U89)))=Milestones!$AB$87),UPPER(TEXT(EDATE($D89,Milestones!$AA$87),"dd mmm yy"))&amp;" "&amp;Milestones!$AB$87&amp;" "&amp;Milestones!$AC$87&amp;";  ","")&amp;IF(AND(EDATE($D89,Milestones!$AA$88)&lt;=AsOfDate,IF($R89=0,$X89,IF(AND($T89&lt;&gt;"",EDATE($D89,Milestones!$AA$88)&gt;=$T89),$W89,IF(AND($S89&lt;&gt;"",EDATE($D89,Milestones!$AA$88)&gt;=$S89),$V89,$U89)))=Milestones!$AB$88),UPPER(TEXT(EDATE($D89,Milestones!$AA$88),"dd mmm yy"))&amp;" "&amp;Milestones!$AB$88&amp;" "&amp;Milestones!$AC$88&amp;";  ","")&amp;IF(AND(EDATE($D89,Milestones!$AA$89)&lt;=AsOfDate,IF($R89=0,$X89,IF(AND($T89&lt;&gt;"",EDATE($D89,Milestones!$AA$89)&gt;=$T89),$W89,IF(AND($S89&lt;&gt;"",EDATE($D89,Milestones!$AA$89)&gt;=$S89),$V89,$U89)))=Milestones!$AB$89),UPPER(TEXT(EDATE($D89,Milestones!$AA$89),"dd mmm yy"))&amp;" "&amp;Milestones!$AB$89&amp;" "&amp;Milestones!$AC$89&amp;";  ","")&amp;IF(AND(EDATE($D89,Milestones!$AA$90)&lt;=AsOfDate,IF($R89=0,$X89,IF(AND($T89&lt;&gt;"",EDATE($D89,Milestones!$AA$90)&gt;=$T89),$W89,IF(AND($S89&lt;&gt;"",EDATE($D89,Milestones!$AA$90)&gt;=$S89),$V89,$U89)))=Milestones!$AB$90),UPPER(TEXT(EDATE($D89,Milestones!$AA$90),"dd mmm yy"))&amp;" "&amp;Milestones!$AB$90&amp;" "&amp;Milestones!$AC$90&amp;";  ","")&amp;IF(AND(EDATE($D89,Milestones!$AA$91)&lt;=AsOfDate,IF($R89=0,$X89,IF(AND($T89&lt;&gt;"",EDATE($D89,Milestones!$AA$91)&gt;=$T89),$W89,IF(AND($S89&lt;&gt;"",EDATE($D89,Milestones!$AA$91)&gt;=$S89),$V89,$U89)))=Milestones!$AB$91),UPPER(TEXT(EDATE($D89,Milestones!$AA$91),"dd mmm yy"))&amp;" "&amp;Milestones!$AB$91&amp;" "&amp;Milestones!$AC$91&amp;";  ","")&amp;IF(AND(EDATE($D89,Milestones!$AA$92)&lt;=AsOfDate,IF($R89=0,$X89,IF(AND($T89&lt;&gt;"",EDATE($D89,Milestones!$AA$92)&gt;=$T89),$W89,IF(AND($S89&lt;&gt;"",EDATE($D89,Milestones!$AA$92)&gt;=$S89),$V89,$U89)))=Milestones!$AB$92),UPPER(TEXT(EDATE($D89,Milestones!$AA$92),"dd mmm yy"))&amp;" "&amp;Milestones!$AB$92&amp;" "&amp;Milestones!$AC$92&amp;";  ","")&amp;IF(AND(EDATE($D89,Milestones!$AA$93)&lt;=AsOfDate,IF($R89=0,$X89,IF(AND($T89&lt;&gt;"",EDATE($D89,Milestones!$AA$93)&gt;=$T89),$W89,IF(AND($S89&lt;&gt;"",EDATE($D89,Milestones!$AA$93)&gt;=$S89),$V89,$U89)))=Milestones!$AB$93),UPPER(TEXT(EDATE($D89,Milestones!$AA$93),"dd mmm yy"))&amp;" "&amp;Milestones!$AB$93&amp;" "&amp;Milestones!$AC$93&amp;";  ","")&amp;IF(AND(EDATE($D89,Milestones!$AA$94)&lt;=AsOfDate,IF($R89=0,$X89,IF(AND($T89&lt;&gt;"",EDATE($D89,Milestones!$AA$94)&gt;=$T89),$W89,IF(AND($S89&lt;&gt;"",EDATE($D89,Milestones!$AA$94)&gt;=$S89),$V89,$U89)))=Milestones!$AB$94),UPPER(TEXT(EDATE($D89,Milestones!$AA$94),"dd mmm yy"))&amp;" "&amp;Milestones!$AB$94&amp;" "&amp;Milestones!$AC$94&amp;";  ","")&amp;IF(AND(EDATE($D89,Milestones!$AA$95)&lt;=AsOfDate,IF($R89=0,$X89,IF(AND($T89&lt;&gt;"",EDATE($D89,Milestones!$AA$95)&gt;=$T89),$W89,IF(AND($S89&lt;&gt;"",EDATE($D89,Milestones!$AA$95)&gt;=$S89),$V89,$U89)))=Milestones!$AB$95),UPPER(TEXT(EDATE($D89,Milestones!$AA$95),"dd mmm yy"))&amp;" "&amp;Milestones!$AB$95&amp;" "&amp;Milestones!$AC$95&amp;";  ","")&amp;IF(AND(EDATE($D89,Milestones!$AA$96)&lt;=AsOfDate,IF($R89=0,$X89,IF(AND($T89&lt;&gt;"",EDATE($D89,Milestones!$AA$96)&gt;=$T89),$W89,IF(AND($S89&lt;&gt;"",EDATE($D89,Milestones!$AA$96)&gt;=$S89),$V89,$U89)))=Milestones!$AB$96),UPPER(TEXT(EDATE($D89,Milestones!$AA$96),"dd mmm yy"))&amp;" "&amp;Milestones!$AB$96&amp;" "&amp;Milestones!$AC$96&amp;";  ","")&amp;IF(AND(EDATE($D89,Milestones!$AA$97)&lt;=AsOfDate,IF($R89=0,$X89,IF(AND($T89&lt;&gt;"",EDATE($D89,Milestones!$AA$97)&gt;=$T89),$W89,IF(AND($S89&lt;&gt;"",EDATE($D89,Milestones!$AA$97)&gt;=$S89),$V89,$U89)))=Milestones!$AB$97),UPPER(TEXT(EDATE($D89,Milestones!$AA$97),"dd mmm yy"))&amp;" "&amp;Milestones!$AB$97&amp;" "&amp;Milestones!$AC$97&amp;";  ","")&amp;IF(AND(EDATE($D89,Milestones!$AA$98)&lt;=AsOfDate,IF($R89=0,$X89,IF(AND($T89&lt;&gt;"",EDATE($D89,Milestones!$AA$98)&gt;=$T89),$W89,IF(AND($S89&lt;&gt;"",EDATE($D89,Milestones!$AA$98)&gt;=$S89),$V89,$U89)))=Milestones!$AB$98),UPPER(TEXT(EDATE($D89,Milestones!$AA$98),"dd mmm yy"))&amp;" "&amp;Milestones!$AB$98&amp;" "&amp;Milestones!$AC$98&amp;";  ","")&amp;IF(AND(EDATE($D89,Milestones!$AA$99)&lt;=AsOfDate,IF($R89=0,$X89,IF(AND($T89&lt;&gt;"",EDATE($D89,Milestones!$AA$99)&gt;=$T89),$W89,IF(AND($S89&lt;&gt;"",EDATE($D89,Milestones!$AA$99)&gt;=$S89),$V89,$U89)))=Milestones!$AB$99),UPPER(TEXT(EDATE($D89,Milestones!$AA$99),"dd mmm yy"))&amp;" "&amp;Milestones!$AB$99&amp;" "&amp;Milestones!$AC$99&amp;";  ",""))</f>
        <v/>
      </c>
      <c r="M89" s="0" t="str">
        <f aca="false">IF(OR($A89="",$D89=""),"",IF(AND(EDATE($D89,Milestones!$AA$100)&lt;=AsOfDate,IF($R89=0,$X89,IF(AND($T89&lt;&gt;"",EDATE($D89,Milestones!$AA$100)&gt;=$T89),$W89,IF(AND($S89&lt;&gt;"",EDATE($D89,Milestones!$AA$100)&gt;=$S89),$V89,$U89)))=Milestones!$AB$100),UPPER(TEXT(EDATE($D89,Milestones!$AA$100),"dd mmm yy"))&amp;" "&amp;Milestones!$AB$100&amp;" "&amp;Milestones!$AC$100&amp;";  ","")&amp;IF(AND(EDATE($D89,Milestones!$AA$101)&lt;=AsOfDate,IF($R89=0,$X89,IF(AND($T89&lt;&gt;"",EDATE($D89,Milestones!$AA$101)&gt;=$T89),$W89,IF(AND($S89&lt;&gt;"",EDATE($D89,Milestones!$AA$101)&gt;=$S89),$V89,$U89)))=Milestones!$AB$101),UPPER(TEXT(EDATE($D89,Milestones!$AA$101),"dd mmm yy"))&amp;" "&amp;Milestones!$AB$101&amp;" "&amp;Milestones!$AC$101&amp;";  ","")&amp;IF(AND(EDATE($D89,Milestones!$AA$102)&lt;=AsOfDate,IF($R89=0,$X89,IF(AND($T89&lt;&gt;"",EDATE($D89,Milestones!$AA$102)&gt;=$T89),$W89,IF(AND($S89&lt;&gt;"",EDATE($D89,Milestones!$AA$102)&gt;=$S89),$V89,$U89)))=Milestones!$AB$102),UPPER(TEXT(EDATE($D89,Milestones!$AA$102),"dd mmm yy"))&amp;" "&amp;Milestones!$AB$102&amp;" "&amp;Milestones!$AC$102&amp;";  ","")&amp;IF(AND(EDATE($D89,Milestones!$AA$103)&lt;=AsOfDate,IF($R89=0,$X89,IF(AND($T89&lt;&gt;"",EDATE($D89,Milestones!$AA$103)&gt;=$T89),$W89,IF(AND($S89&lt;&gt;"",EDATE($D89,Milestones!$AA$103)&gt;=$S89),$V89,$U89)))=Milestones!$AB$103),UPPER(TEXT(EDATE($D89,Milestones!$AA$103),"dd mmm yy"))&amp;" "&amp;Milestones!$AB$103&amp;" "&amp;Milestones!$AC$103&amp;";  ","")&amp;IF(AND(EDATE($D89,Milestones!$AA$104)&lt;=AsOfDate,IF($R89=0,$X89,IF(AND($T89&lt;&gt;"",EDATE($D89,Milestones!$AA$104)&gt;=$T89),$W89,IF(AND($S89&lt;&gt;"",EDATE($D89,Milestones!$AA$104)&gt;=$S89),$V89,$U89)))=Milestones!$AB$104),UPPER(TEXT(EDATE($D89,Milestones!$AA$104),"dd mmm yy"))&amp;" "&amp;Milestones!$AB$104&amp;" "&amp;Milestones!$AC$104&amp;";  ","")&amp;IF(AND(EDATE($D89,Milestones!$AA$105)&lt;=AsOfDate,IF($R89=0,$X89,IF(AND($T89&lt;&gt;"",EDATE($D89,Milestones!$AA$105)&gt;=$T89),$W89,IF(AND($S89&lt;&gt;"",EDATE($D89,Milestones!$AA$105)&gt;=$S89),$V89,$U89)))=Milestones!$AB$105),UPPER(TEXT(EDATE($D89,Milestones!$AA$105),"dd mmm yy"))&amp;" "&amp;Milestones!$AB$105&amp;" "&amp;Milestones!$AC$105&amp;";  ","")&amp;IF(AND(EDATE($D89,Milestones!$AA$106)&lt;=AsOfDate,IF($R89=0,$X89,IF(AND($T89&lt;&gt;"",EDATE($D89,Milestones!$AA$106)&gt;=$T89),$W89,IF(AND($S89&lt;&gt;"",EDATE($D89,Milestones!$AA$106)&gt;=$S89),$V89,$U89)))=Milestones!$AB$106),UPPER(TEXT(EDATE($D89,Milestones!$AA$106),"dd mmm yy"))&amp;" "&amp;Milestones!$AB$106&amp;" "&amp;Milestones!$AC$106&amp;";  ","")&amp;IF(AND(EDATE($D89,Milestones!$AA$107)&lt;=AsOfDate,IF($R89=0,$X89,IF(AND($T89&lt;&gt;"",EDATE($D89,Milestones!$AA$107)&gt;=$T89),$W89,IF(AND($S89&lt;&gt;"",EDATE($D89,Milestones!$AA$107)&gt;=$S89),$V89,$U89)))=Milestones!$AB$107),UPPER(TEXT(EDATE($D89,Milestones!$AA$107),"dd mmm yy"))&amp;" "&amp;Milestones!$AB$107&amp;" "&amp;Milestones!$AC$107&amp;";  ","")&amp;IF(AND(EDATE($D89,Milestones!$AA$108)&lt;=AsOfDate,IF($R89=0,$X89,IF(AND($T89&lt;&gt;"",EDATE($D89,Milestones!$AA$108)&gt;=$T89),$W89,IF(AND($S89&lt;&gt;"",EDATE($D89,Milestones!$AA$108)&gt;=$S89),$V89,$U89)))=Milestones!$AB$108),UPPER(TEXT(EDATE($D89,Milestones!$AA$108),"dd mmm yy"))&amp;" "&amp;Milestones!$AB$108&amp;" "&amp;Milestones!$AC$108&amp;";  ","")&amp;IF(AND(EDATE($D89,Milestones!$AA$109)&lt;=AsOfDate,IF($R89=0,$X89,IF(AND($T89&lt;&gt;"",EDATE($D89,Milestones!$AA$109)&gt;=$T89),$W89,IF(AND($S89&lt;&gt;"",EDATE($D89,Milestones!$AA$109)&gt;=$S89),$V89,$U89)))=Milestones!$AB$109),UPPER(TEXT(EDATE($D89,Milestones!$AA$109),"dd mmm yy"))&amp;" "&amp;Milestones!$AB$109&amp;" "&amp;Milestones!$AC$109&amp;";  ","")&amp;IF(AND(EDATE($D89,Milestones!$AA$110)&lt;=AsOfDate,IF($R89=0,$X89,IF(AND($T89&lt;&gt;"",EDATE($D89,Milestones!$AA$110)&gt;=$T89),$W89,IF(AND($S89&lt;&gt;"",EDATE($D89,Milestones!$AA$110)&gt;=$S89),$V89,$U89)))=Milestones!$AB$110),UPPER(TEXT(EDATE($D89,Milestones!$AA$110),"dd mmm yy"))&amp;" "&amp;Milestones!$AB$110&amp;" "&amp;Milestones!$AC$110&amp;";  ","")&amp;IF(AND(EDATE($D89,Milestones!$AA$111)&lt;=AsOfDate,IF($R89=0,$X89,IF(AND($T89&lt;&gt;"",EDATE($D89,Milestones!$AA$111)&gt;=$T89),$W89,IF(AND($S89&lt;&gt;"",EDATE($D89,Milestones!$AA$111)&gt;=$S89),$V89,$U89)))=Milestones!$AB$111),UPPER(TEXT(EDATE($D89,Milestones!$AA$111),"dd mmm yy"))&amp;" "&amp;Milestones!$AB$111&amp;" "&amp;Milestones!$AC$111&amp;";  ","")&amp;IF(AND(EDATE($D89,Milestones!$AA$112)&lt;=AsOfDate,IF($R89=0,$X89,IF(AND($T89&lt;&gt;"",EDATE($D89,Milestones!$AA$112)&gt;=$T89),$W89,IF(AND($S89&lt;&gt;"",EDATE($D89,Milestones!$AA$112)&gt;=$S89),$V89,$U89)))=Milestones!$AB$112),UPPER(TEXT(EDATE($D89,Milestones!$AA$112),"dd mmm yy"))&amp;" "&amp;Milestones!$AB$112&amp;" "&amp;Milestones!$AC$112&amp;";  ","")&amp;IF(AND(EDATE($D89,Milestones!$AA$113)&lt;=AsOfDate,IF($R89=0,$X89,IF(AND($T89&lt;&gt;"",EDATE($D89,Milestones!$AA$113)&gt;=$T89),$W89,IF(AND($S89&lt;&gt;"",EDATE($D89,Milestones!$AA$113)&gt;=$S89),$V89,$U89)))=Milestones!$AB$113),UPPER(TEXT(EDATE($D89,Milestones!$AA$113),"dd mmm yy"))&amp;" "&amp;Milestones!$AB$113&amp;" "&amp;Milestones!$AC$113&amp;";  ","")&amp;IF(AND(EDATE($D89,Milestones!$AA$114)&lt;=AsOfDate,IF($R89=0,$X89,IF(AND($T89&lt;&gt;"",EDATE($D89,Milestones!$AA$114)&gt;=$T89),$W89,IF(AND($S89&lt;&gt;"",EDATE($D89,Milestones!$AA$114)&gt;=$S89),$V89,$U89)))=Milestones!$AB$114),UPPER(TEXT(EDATE($D89,Milestones!$AA$114),"dd mmm yy"))&amp;" "&amp;Milestones!$AB$114&amp;" "&amp;Milestones!$AC$114&amp;";  ","")&amp;IF(AND(EDATE($D89,Milestones!$AA$115)&lt;=AsOfDate,IF($R89=0,$X89,IF(AND($T89&lt;&gt;"",EDATE($D89,Milestones!$AA$115)&gt;=$T89),$W89,IF(AND($S89&lt;&gt;"",EDATE($D89,Milestones!$AA$115)&gt;=$S89),$V89,$U89)))=Milestones!$AB$115),UPPER(TEXT(EDATE($D89,Milestones!$AA$115),"dd mmm yy"))&amp;" "&amp;Milestones!$AB$115&amp;" "&amp;Milestones!$AC$115&amp;";  ","")&amp;IF(AND(EDATE($D89,Milestones!$AA$116)&lt;=AsOfDate,IF($R89=0,$X89,IF(AND($T89&lt;&gt;"",EDATE($D89,Milestones!$AA$116)&gt;=$T89),$W89,IF(AND($S89&lt;&gt;"",EDATE($D89,Milestones!$AA$116)&gt;=$S89),$V89,$U89)))=Milestones!$AB$116),UPPER(TEXT(EDATE($D89,Milestones!$AA$116),"dd mmm yy"))&amp;" "&amp;Milestones!$AB$116&amp;" "&amp;Milestones!$AC$116&amp;";  ","")&amp;IF(AND(EDATE($D89,Milestones!$AA$117)&lt;=AsOfDate,IF($R89=0,$X89,IF(AND($T89&lt;&gt;"",EDATE($D89,Milestones!$AA$117)&gt;=$T89),$W89,IF(AND($S89&lt;&gt;"",EDATE($D89,Milestones!$AA$117)&gt;=$S89),$V89,$U89)))=Milestones!$AB$117),UPPER(TEXT(EDATE($D89,Milestones!$AA$117),"dd mmm yy"))&amp;" "&amp;Milestones!$AB$117&amp;" "&amp;Milestones!$AC$117&amp;";  ","")&amp;IF(AND(EDATE($D89,Milestones!$AA$118)&lt;=AsOfDate,IF($R89=0,$X89,IF(AND($T89&lt;&gt;"",EDATE($D89,Milestones!$AA$118)&gt;=$T89),$W89,IF(AND($S89&lt;&gt;"",EDATE($D89,Milestones!$AA$118)&gt;=$S89),$V89,$U89)))=Milestones!$AB$118),UPPER(TEXT(EDATE($D89,Milestones!$AA$118),"dd mmm yy"))&amp;" "&amp;Milestones!$AB$118&amp;" "&amp;Milestones!$AC$118&amp;";  ","")&amp;IF(AND(EDATE($D89,Milestones!$AA$119)&lt;=AsOfDate,IF($R89=0,$X89,IF(AND($T89&lt;&gt;"",EDATE($D89,Milestones!$AA$119)&gt;=$T89),$W89,IF(AND($S89&lt;&gt;"",EDATE($D89,Milestones!$AA$119)&gt;=$S89),$V89,$U89)))=Milestones!$AB$119),UPPER(TEXT(EDATE($D89,Milestones!$AA$119),"dd mmm yy"))&amp;" "&amp;Milestones!$AB$119&amp;" "&amp;Milestones!$AC$119&amp;";  ",""))</f>
        <v/>
      </c>
      <c r="N89" s="0" t="str">
        <f aca="false">IF(OR($A89="",$D89=""),"",IF(AND(EDATE($D89,Milestones!$AA$120)&lt;=AsOfDate,IF($R89=0,$X89,IF(AND($T89&lt;&gt;"",EDATE($D89,Milestones!$AA$120)&gt;=$T89),$W89,IF(AND($S89&lt;&gt;"",EDATE($D89,Milestones!$AA$120)&gt;=$S89),$V89,$U89)))=Milestones!$AB$120),UPPER(TEXT(EDATE($D89,Milestones!$AA$120),"dd mmm yy"))&amp;" "&amp;Milestones!$AB$120&amp;" "&amp;Milestones!$AC$120&amp;";  ","")&amp;IF(AND(EDATE($D89,Milestones!$AA$121)&lt;=AsOfDate,IF($R89=0,$X89,IF(AND($T89&lt;&gt;"",EDATE($D89,Milestones!$AA$121)&gt;=$T89),$W89,IF(AND($S89&lt;&gt;"",EDATE($D89,Milestones!$AA$121)&gt;=$S89),$V89,$U89)))=Milestones!$AB$121),UPPER(TEXT(EDATE($D89,Milestones!$AA$121),"dd mmm yy"))&amp;" "&amp;Milestones!$AB$121&amp;" "&amp;Milestones!$AC$121&amp;";  ","")&amp;IF(AND(EDATE($D89,Milestones!$AA$122)&lt;=AsOfDate,IF($R89=0,$X89,IF(AND($T89&lt;&gt;"",EDATE($D89,Milestones!$AA$122)&gt;=$T89),$W89,IF(AND($S89&lt;&gt;"",EDATE($D89,Milestones!$AA$122)&gt;=$S89),$V89,$U89)))=Milestones!$AB$122),UPPER(TEXT(EDATE($D89,Milestones!$AA$122),"dd mmm yy"))&amp;" "&amp;Milestones!$AB$122&amp;" "&amp;Milestones!$AC$122&amp;";  ","")&amp;IF(AND(EDATE($D89,Milestones!$AA$123)&lt;=AsOfDate,IF($R89=0,$X89,IF(AND($T89&lt;&gt;"",EDATE($D89,Milestones!$AA$123)&gt;=$T89),$W89,IF(AND($S89&lt;&gt;"",EDATE($D89,Milestones!$AA$123)&gt;=$S89),$V89,$U89)))=Milestones!$AB$123),UPPER(TEXT(EDATE($D89,Milestones!$AA$123),"dd mmm yy"))&amp;" "&amp;Milestones!$AB$123&amp;" "&amp;Milestones!$AC$123&amp;";  ","")&amp;IF(AND(EDATE($D89,Milestones!$AA$124)&lt;=AsOfDate,IF($R89=0,$X89,IF(AND($T89&lt;&gt;"",EDATE($D89,Milestones!$AA$124)&gt;=$T89),$W89,IF(AND($S89&lt;&gt;"",EDATE($D89,Milestones!$AA$124)&gt;=$S89),$V89,$U89)))=Milestones!$AB$124),UPPER(TEXT(EDATE($D89,Milestones!$AA$124),"dd mmm yy"))&amp;" "&amp;Milestones!$AB$124&amp;" "&amp;Milestones!$AC$124&amp;";  ","")&amp;IF(AND(EDATE($D89,Milestones!$AA$125)&lt;=AsOfDate,IF($R89=0,$X89,IF(AND($T89&lt;&gt;"",EDATE($D89,Milestones!$AA$125)&gt;=$T89),$W89,IF(AND($S89&lt;&gt;"",EDATE($D89,Milestones!$AA$125)&gt;=$S89),$V89,$U89)))=Milestones!$AB$125),UPPER(TEXT(EDATE($D89,Milestones!$AA$125),"dd mmm yy"))&amp;" "&amp;Milestones!$AB$125&amp;" "&amp;Milestones!$AC$125&amp;";  ","")&amp;IF(AND(EDATE($D89,Milestones!$AA$126)&lt;=AsOfDate,IF($R89=0,$X89,IF(AND($T89&lt;&gt;"",EDATE($D89,Milestones!$AA$126)&gt;=$T89),$W89,IF(AND($S89&lt;&gt;"",EDATE($D89,Milestones!$AA$126)&gt;=$S89),$V89,$U89)))=Milestones!$AB$126),UPPER(TEXT(EDATE($D89,Milestones!$AA$126),"dd mmm yy"))&amp;" "&amp;Milestones!$AB$126&amp;" "&amp;Milestones!$AC$126&amp;";  ","")&amp;IF(AND(EDATE($D89,Milestones!$AA$127)&lt;=AsOfDate,IF($R89=0,$X89,IF(AND($T89&lt;&gt;"",EDATE($D89,Milestones!$AA$127)&gt;=$T89),$W89,IF(AND($S89&lt;&gt;"",EDATE($D89,Milestones!$AA$127)&gt;=$S89),$V89,$U89)))=Milestones!$AB$127),UPPER(TEXT(EDATE($D89,Milestones!$AA$127),"dd mmm yy"))&amp;" "&amp;Milestones!$AB$127&amp;" "&amp;Milestones!$AC$127&amp;";  ","")&amp;IF(AND(EDATE($D89,Milestones!$AA$128)&lt;=AsOfDate,IF($R89=0,$X89,IF(AND($T89&lt;&gt;"",EDATE($D89,Milestones!$AA$128)&gt;=$T89),$W89,IF(AND($S89&lt;&gt;"",EDATE($D89,Milestones!$AA$128)&gt;=$S89),$V89,$U89)))=Milestones!$AB$128),UPPER(TEXT(EDATE($D89,Milestones!$AA$128),"dd mmm yy"))&amp;" "&amp;Milestones!$AB$128&amp;" "&amp;Milestones!$AC$128&amp;";  ","")&amp;IF(AND(EDATE($D89,Milestones!$AA$129)&lt;=AsOfDate,IF($R89=0,$X89,IF(AND($T89&lt;&gt;"",EDATE($D89,Milestones!$AA$129)&gt;=$T89),$W89,IF(AND($S89&lt;&gt;"",EDATE($D89,Milestones!$AA$129)&gt;=$S89),$V89,$U89)))=Milestones!$AB$129),UPPER(TEXT(EDATE($D89,Milestones!$AA$129),"dd mmm yy"))&amp;" "&amp;Milestones!$AB$129&amp;" "&amp;Milestones!$AC$129&amp;";  ","")&amp;IF(AND(EDATE($D89,Milestones!$AA$130)&lt;=AsOfDate,IF($R89=0,$X89,IF(AND($T89&lt;&gt;"",EDATE($D89,Milestones!$AA$130)&gt;=$T89),$W89,IF(AND($S89&lt;&gt;"",EDATE($D89,Milestones!$AA$130)&gt;=$S89),$V89,$U89)))=Milestones!$AB$130),UPPER(TEXT(EDATE($D89,Milestones!$AA$130),"dd mmm yy"))&amp;" "&amp;Milestones!$AB$130&amp;" "&amp;Milestones!$AC$130&amp;";  ","")&amp;IF(AND(EDATE($D89,Milestones!$AA$131)&lt;=AsOfDate,IF($R89=0,$X89,IF(AND($T89&lt;&gt;"",EDATE($D89,Milestones!$AA$131)&gt;=$T89),$W89,IF(AND($S89&lt;&gt;"",EDATE($D89,Milestones!$AA$131)&gt;=$S89),$V89,$U89)))=Milestones!$AB$131),UPPER(TEXT(EDATE($D89,Milestones!$AA$131),"dd mmm yy"))&amp;" "&amp;Milestones!$AB$131&amp;" "&amp;Milestones!$AC$131&amp;";  ","")&amp;IF(AND(EDATE($D89,Milestones!$AA$132)&lt;=AsOfDate,IF($R89=0,$X89,IF(AND($T89&lt;&gt;"",EDATE($D89,Milestones!$AA$132)&gt;=$T89),$W89,IF(AND($S89&lt;&gt;"",EDATE($D89,Milestones!$AA$132)&gt;=$S89),$V89,$U89)))=Milestones!$AB$132),UPPER(TEXT(EDATE($D89,Milestones!$AA$132),"dd mmm yy"))&amp;" "&amp;Milestones!$AB$132&amp;" "&amp;Milestones!$AC$132&amp;";  ","")&amp;IF(AND(EDATE($D89,Milestones!$AA$133)&lt;=AsOfDate,IF($R89=0,$X89,IF(AND($T89&lt;&gt;"",EDATE($D89,Milestones!$AA$133)&gt;=$T89),$W89,IF(AND($S89&lt;&gt;"",EDATE($D89,Milestones!$AA$133)&gt;=$S89),$V89,$U89)))=Milestones!$AB$133),UPPER(TEXT(EDATE($D89,Milestones!$AA$133),"dd mmm yy"))&amp;" "&amp;Milestones!$AB$133&amp;" "&amp;Milestones!$AC$133&amp;";  ","")&amp;IF(AND(EDATE($D89,Milestones!$AA$134)&lt;=AsOfDate,IF($R89=0,$X89,IF(AND($T89&lt;&gt;"",EDATE($D89,Milestones!$AA$134)&gt;=$T89),$W89,IF(AND($S89&lt;&gt;"",EDATE($D89,Milestones!$AA$134)&gt;=$S89),$V89,$U89)))=Milestones!$AB$134),UPPER(TEXT(EDATE($D89,Milestones!$AA$134),"dd mmm yy"))&amp;" "&amp;Milestones!$AB$134&amp;" "&amp;Milestones!$AC$134&amp;";  ","")&amp;IF(AND(EDATE($D89,Milestones!$AA$135)&lt;=AsOfDate,IF($R89=0,$X89,IF(AND($T89&lt;&gt;"",EDATE($D89,Milestones!$AA$135)&gt;=$T89),$W89,IF(AND($S89&lt;&gt;"",EDATE($D89,Milestones!$AA$135)&gt;=$S89),$V89,$U89)))=Milestones!$AB$135),UPPER(TEXT(EDATE($D89,Milestones!$AA$135),"dd mmm yy"))&amp;" "&amp;Milestones!$AB$135&amp;" "&amp;Milestones!$AC$135&amp;";  ","")&amp;IF(AND(EDATE($D89,Milestones!$AA$136)&lt;=AsOfDate,IF($R89=0,$X89,IF(AND($T89&lt;&gt;"",EDATE($D89,Milestones!$AA$136)&gt;=$T89),$W89,IF(AND($S89&lt;&gt;"",EDATE($D89,Milestones!$AA$136)&gt;=$S89),$V89,$U89)))=Milestones!$AB$136),UPPER(TEXT(EDATE($D89,Milestones!$AA$136),"dd mmm yy"))&amp;" "&amp;Milestones!$AB$136&amp;" "&amp;Milestones!$AC$136&amp;";  ","")&amp;IF(AND(EDATE($D89,Milestones!$AA$137)&lt;=AsOfDate,IF($R89=0,$X89,IF(AND($T89&lt;&gt;"",EDATE($D89,Milestones!$AA$137)&gt;=$T89),$W89,IF(AND($S89&lt;&gt;"",EDATE($D89,Milestones!$AA$137)&gt;=$S89),$V89,$U89)))=Milestones!$AB$137),UPPER(TEXT(EDATE($D89,Milestones!$AA$137),"dd mmm yy"))&amp;" "&amp;Milestones!$AB$137&amp;" "&amp;Milestones!$AC$137&amp;";  ","")&amp;IF(AND(EDATE($D89,Milestones!$AA$138)&lt;=AsOfDate,IF($R89=0,$X89,IF(AND($T89&lt;&gt;"",EDATE($D89,Milestones!$AA$138)&gt;=$T89),$W89,IF(AND($S89&lt;&gt;"",EDATE($D89,Milestones!$AA$138)&gt;=$S89),$V89,$U89)))=Milestones!$AB$138),UPPER(TEXT(EDATE($D89,Milestones!$AA$138),"dd mmm yy"))&amp;" "&amp;Milestones!$AB$138&amp;" "&amp;Milestones!$AC$138&amp;";  ","")&amp;IF(AND(EDATE($D89,Milestones!$AA$139)&lt;=AsOfDate,IF($R89=0,$X89,IF(AND($T89&lt;&gt;"",EDATE($D89,Milestones!$AA$139)&gt;=$T89),$W89,IF(AND($S89&lt;&gt;"",EDATE($D89,Milestones!$AA$139)&gt;=$S89),$V89,$U89)))=Milestones!$AB$139),UPPER(TEXT(EDATE($D89,Milestones!$AA$139),"dd mmm yy"))&amp;" "&amp;Milestones!$AB$139&amp;" "&amp;Milestones!$AC$139&amp;";  ",""))</f>
        <v/>
      </c>
      <c r="O89" s="0" t="str">
        <f aca="false">IF(OR($A89="",$D89=""),"",IF(AND(EDATE($D89,Milestones!$AA$140)&lt;=AsOfDate,IF($R89=0,$X89,IF(AND($T89&lt;&gt;"",EDATE($D89,Milestones!$AA$140)&gt;=$T89),$W89,IF(AND($S89&lt;&gt;"",EDATE($D89,Milestones!$AA$140)&gt;=$S89),$V89,$U89)))=Milestones!$AB$140),UPPER(TEXT(EDATE($D89,Milestones!$AA$140),"dd mmm yy"))&amp;" "&amp;Milestones!$AB$140&amp;" "&amp;Milestones!$AC$140&amp;";  ","")&amp;IF(AND(EDATE($D89,Milestones!$AA$141)&lt;=AsOfDate,IF($R89=0,$X89,IF(AND($T89&lt;&gt;"",EDATE($D89,Milestones!$AA$141)&gt;=$T89),$W89,IF(AND($S89&lt;&gt;"",EDATE($D89,Milestones!$AA$141)&gt;=$S89),$V89,$U89)))=Milestones!$AB$141),UPPER(TEXT(EDATE($D89,Milestones!$AA$141),"dd mmm yy"))&amp;" "&amp;Milestones!$AB$141&amp;" "&amp;Milestones!$AC$141&amp;";  ","")&amp;IF(AND(EDATE($D89,Milestones!$AA$142)&lt;=AsOfDate,IF($R89=0,$X89,IF(AND($T89&lt;&gt;"",EDATE($D89,Milestones!$AA$142)&gt;=$T89),$W89,IF(AND($S89&lt;&gt;"",EDATE($D89,Milestones!$AA$142)&gt;=$S89),$V89,$U89)))=Milestones!$AB$142),UPPER(TEXT(EDATE($D89,Milestones!$AA$142),"dd mmm yy"))&amp;" "&amp;Milestones!$AB$142&amp;" "&amp;Milestones!$AC$142&amp;";  ","")&amp;IF(AND(EDATE($D89,Milestones!$AA$143)&lt;=AsOfDate,IF($R89=0,$X89,IF(AND($T89&lt;&gt;"",EDATE($D89,Milestones!$AA$143)&gt;=$T89),$W89,IF(AND($S89&lt;&gt;"",EDATE($D89,Milestones!$AA$143)&gt;=$S89),$V89,$U89)))=Milestones!$AB$143),UPPER(TEXT(EDATE($D89,Milestones!$AA$143),"dd mmm yy"))&amp;" "&amp;Milestones!$AB$143&amp;" "&amp;Milestones!$AC$143&amp;";  ","")&amp;IF(AND(EDATE($D89,Milestones!$AA$144)&lt;=AsOfDate,IF($R89=0,$X89,IF(AND($T89&lt;&gt;"",EDATE($D89,Milestones!$AA$144)&gt;=$T89),$W89,IF(AND($S89&lt;&gt;"",EDATE($D89,Milestones!$AA$144)&gt;=$S89),$V89,$U89)))=Milestones!$AB$144),UPPER(TEXT(EDATE($D89,Milestones!$AA$144),"dd mmm yy"))&amp;" "&amp;Milestones!$AB$144&amp;" "&amp;Milestones!$AC$144&amp;";  ","")&amp;IF(AND(EDATE($D89,Milestones!$AA$145)&lt;=AsOfDate,IF($R89=0,$X89,IF(AND($T89&lt;&gt;"",EDATE($D89,Milestones!$AA$145)&gt;=$T89),$W89,IF(AND($S89&lt;&gt;"",EDATE($D89,Milestones!$AA$145)&gt;=$S89),$V89,$U89)))=Milestones!$AB$145),UPPER(TEXT(EDATE($D89,Milestones!$AA$145),"dd mmm yy"))&amp;" "&amp;Milestones!$AB$145&amp;" "&amp;Milestones!$AC$145&amp;";  ","")&amp;IF(AND(EDATE($D89,Milestones!$AA$146)&lt;=AsOfDate,IF($R89=0,$X89,IF(AND($T89&lt;&gt;"",EDATE($D89,Milestones!$AA$146)&gt;=$T89),$W89,IF(AND($S89&lt;&gt;"",EDATE($D89,Milestones!$AA$146)&gt;=$S89),$V89,$U89)))=Milestones!$AB$146),UPPER(TEXT(EDATE($D89,Milestones!$AA$146),"dd mmm yy"))&amp;" "&amp;Milestones!$AB$146&amp;" "&amp;Milestones!$AC$146&amp;";  ","")&amp;IF(AND(EDATE($D89,Milestones!$AA$147)&lt;=AsOfDate,IF($R89=0,$X89,IF(AND($T89&lt;&gt;"",EDATE($D89,Milestones!$AA$147)&gt;=$T89),$W89,IF(AND($S89&lt;&gt;"",EDATE($D89,Milestones!$AA$147)&gt;=$S89),$V89,$U89)))=Milestones!$AB$147),UPPER(TEXT(EDATE($D89,Milestones!$AA$147),"dd mmm yy"))&amp;" "&amp;Milestones!$AB$147&amp;" "&amp;Milestones!$AC$147&amp;";  ","")&amp;IF(AND(EDATE($D89,Milestones!$AA$148)&lt;=AsOfDate,IF($R89=0,$X89,IF(AND($T89&lt;&gt;"",EDATE($D89,Milestones!$AA$148)&gt;=$T89),$W89,IF(AND($S89&lt;&gt;"",EDATE($D89,Milestones!$AA$148)&gt;=$S89),$V89,$U89)))=Milestones!$AB$148),UPPER(TEXT(EDATE($D89,Milestones!$AA$148),"dd mmm yy"))&amp;" "&amp;Milestones!$AB$148&amp;" "&amp;Milestones!$AC$148&amp;";  ","")&amp;IF(AND(EDATE($D89,Milestones!$AA$149)&lt;=AsOfDate,IF($R89=0,$X89,IF(AND($T89&lt;&gt;"",EDATE($D89,Milestones!$AA$149)&gt;=$T89),$W89,IF(AND($S89&lt;&gt;"",EDATE($D89,Milestones!$AA$149)&gt;=$S89),$V89,$U89)))=Milestones!$AB$149),UPPER(TEXT(EDATE($D89,Milestones!$AA$149),"dd mmm yy"))&amp;" "&amp;Milestones!$AB$149&amp;" "&amp;Milestones!$AC$149&amp;";  ","")&amp;IF(AND(EDATE($D89,Milestones!$AA$150)&lt;=AsOfDate,IF($R89=0,$X89,IF(AND($T89&lt;&gt;"",EDATE($D89,Milestones!$AA$150)&gt;=$T89),$W89,IF(AND($S89&lt;&gt;"",EDATE($D89,Milestones!$AA$150)&gt;=$S89),$V89,$U89)))=Milestones!$AB$150),UPPER(TEXT(EDATE($D89,Milestones!$AA$150),"dd mmm yy"))&amp;" "&amp;Milestones!$AB$150&amp;" "&amp;Milestones!$AC$150&amp;";  ","")&amp;IF(AND(EDATE($D89,Milestones!$AA$151)&lt;=AsOfDate,IF($R89=0,$X89,IF(AND($T89&lt;&gt;"",EDATE($D89,Milestones!$AA$151)&gt;=$T89),$W89,IF(AND($S89&lt;&gt;"",EDATE($D89,Milestones!$AA$151)&gt;=$S89),$V89,$U89)))=Milestones!$AB$151),UPPER(TEXT(EDATE($D89,Milestones!$AA$151),"dd mmm yy"))&amp;" "&amp;Milestones!$AB$151&amp;" "&amp;Milestones!$AC$151&amp;";  ","")&amp;IF(AND(EDATE($D89,Milestones!$AA$152)&lt;=AsOfDate,IF($R89=0,$X89,IF(AND($T89&lt;&gt;"",EDATE($D89,Milestones!$AA$152)&gt;=$T89),$W89,IF(AND($S89&lt;&gt;"",EDATE($D89,Milestones!$AA$152)&gt;=$S89),$V89,$U89)))=Milestones!$AB$152),UPPER(TEXT(EDATE($D89,Milestones!$AA$152),"dd mmm yy"))&amp;" "&amp;Milestones!$AB$152&amp;" "&amp;Milestones!$AC$152&amp;";  ","")&amp;IF(AND(EDATE($D89,Milestones!$AA$153)&lt;=AsOfDate,IF($R89=0,$X89,IF(AND($T89&lt;&gt;"",EDATE($D89,Milestones!$AA$153)&gt;=$T89),$W89,IF(AND($S89&lt;&gt;"",EDATE($D89,Milestones!$AA$153)&gt;=$S89),$V89,$U89)))=Milestones!$AB$153),UPPER(TEXT(EDATE($D89,Milestones!$AA$153),"dd mmm yy"))&amp;" "&amp;Milestones!$AB$153&amp;" "&amp;Milestones!$AC$153&amp;";  ","")&amp;IF(AND(EDATE($D89,Milestones!$AA$154)&lt;=AsOfDate,IF($R89=0,$X89,IF(AND($T89&lt;&gt;"",EDATE($D89,Milestones!$AA$154)&gt;=$T89),$W89,IF(AND($S89&lt;&gt;"",EDATE($D89,Milestones!$AA$154)&gt;=$S89),$V89,$U89)))=Milestones!$AB$154),UPPER(TEXT(EDATE($D89,Milestones!$AA$154),"dd mmm yy"))&amp;" "&amp;Milestones!$AB$154&amp;" "&amp;Milestones!$AC$154&amp;";  ","")&amp;IF(AND(EDATE($D89,Milestones!$AA$155)&lt;=AsOfDate,IF($R89=0,$X89,IF(AND($T89&lt;&gt;"",EDATE($D89,Milestones!$AA$155)&gt;=$T89),$W89,IF(AND($S89&lt;&gt;"",EDATE($D89,Milestones!$AA$155)&gt;=$S89),$V89,$U89)))=Milestones!$AB$155),UPPER(TEXT(EDATE($D89,Milestones!$AA$155),"dd mmm yy"))&amp;" "&amp;Milestones!$AB$155&amp;" "&amp;Milestones!$AC$155&amp;";  ","")&amp;IF(AND(EDATE($D89,Milestones!$AA$156)&lt;=AsOfDate,IF($R89=0,$X89,IF(AND($T89&lt;&gt;"",EDATE($D89,Milestones!$AA$156)&gt;=$T89),$W89,IF(AND($S89&lt;&gt;"",EDATE($D89,Milestones!$AA$156)&gt;=$S89),$V89,$U89)))=Milestones!$AB$156),UPPER(TEXT(EDATE($D89,Milestones!$AA$156),"dd mmm yy"))&amp;" "&amp;Milestones!$AB$156&amp;" "&amp;Milestones!$AC$156&amp;";  ","")&amp;IF(AND(EDATE($D89,Milestones!$AA$157)&lt;=AsOfDate,IF($R89=0,$X89,IF(AND($T89&lt;&gt;"",EDATE($D89,Milestones!$AA$157)&gt;=$T89),$W89,IF(AND($S89&lt;&gt;"",EDATE($D89,Milestones!$AA$157)&gt;=$S89),$V89,$U89)))=Milestones!$AB$157),UPPER(TEXT(EDATE($D89,Milestones!$AA$157),"dd mmm yy"))&amp;" "&amp;Milestones!$AB$157&amp;" "&amp;Milestones!$AC$157&amp;";  ","")&amp;IF(AND(EDATE($D89,Milestones!$AA$158)&lt;=AsOfDate,IF($R89=0,$X89,IF(AND($T89&lt;&gt;"",EDATE($D89,Milestones!$AA$158)&gt;=$T89),$W89,IF(AND($S89&lt;&gt;"",EDATE($D89,Milestones!$AA$158)&gt;=$S89),$V89,$U89)))=Milestones!$AB$158),UPPER(TEXT(EDATE($D89,Milestones!$AA$158),"dd mmm yy"))&amp;" "&amp;Milestones!$AB$158&amp;" "&amp;Milestones!$AC$158&amp;";  ","")&amp;IF(AND(EDATE($D89,Milestones!$AA$159)&lt;=AsOfDate,IF($R89=0,$X89,IF(AND($T89&lt;&gt;"",EDATE($D89,Milestones!$AA$159)&gt;=$T89),$W89,IF(AND($S89&lt;&gt;"",EDATE($D89,Milestones!$AA$159)&gt;=$S89),$V89,$U89)))=Milestones!$AB$159),UPPER(TEXT(EDATE($D89,Milestones!$AA$159),"dd mmm yy"))&amp;" "&amp;Milestones!$AB$159&amp;" "&amp;Milestones!$AC$159&amp;";  ",""))</f>
        <v/>
      </c>
      <c r="P89" s="0" t="str">
        <f aca="false">IF(OR($A89="",$D89=""),"",IF(AND(EDATE($D89,Milestones!$AA$160)&lt;=AsOfDate,IF($R89=0,$X89,IF(AND($T89&lt;&gt;"",EDATE($D89,Milestones!$AA$160)&gt;=$T89),$W89,IF(AND($S89&lt;&gt;"",EDATE($D89,Milestones!$AA$160)&gt;=$S89),$V89,$U89)))=Milestones!$AB$160),UPPER(TEXT(EDATE($D89,Milestones!$AA$160),"dd mmm yy"))&amp;" "&amp;Milestones!$AB$160&amp;" "&amp;Milestones!$AC$160&amp;";  ","")&amp;IF(AND(EDATE($D89,Milestones!$AA$161)&lt;=AsOfDate,IF($R89=0,$X89,IF(AND($T89&lt;&gt;"",EDATE($D89,Milestones!$AA$161)&gt;=$T89),$W89,IF(AND($S89&lt;&gt;"",EDATE($D89,Milestones!$AA$161)&gt;=$S89),$V89,$U89)))=Milestones!$AB$161),UPPER(TEXT(EDATE($D89,Milestones!$AA$161),"dd mmm yy"))&amp;" "&amp;Milestones!$AB$161&amp;" "&amp;Milestones!$AC$161&amp;";  ","")&amp;IF(AND(EDATE($D89,Milestones!$AA$162)&lt;=AsOfDate,IF($R89=0,$X89,IF(AND($T89&lt;&gt;"",EDATE($D89,Milestones!$AA$162)&gt;=$T89),$W89,IF(AND($S89&lt;&gt;"",EDATE($D89,Milestones!$AA$162)&gt;=$S89),$V89,$U89)))=Milestones!$AB$162),UPPER(TEXT(EDATE($D89,Milestones!$AA$162),"dd mmm yy"))&amp;" "&amp;Milestones!$AB$162&amp;" "&amp;Milestones!$AC$162&amp;";  ","")&amp;IF(AND(EDATE($D89,Milestones!$AA$163)&lt;=AsOfDate,IF($R89=0,$X89,IF(AND($T89&lt;&gt;"",EDATE($D89,Milestones!$AA$163)&gt;=$T89),$W89,IF(AND($S89&lt;&gt;"",EDATE($D89,Milestones!$AA$163)&gt;=$S89),$V89,$U89)))=Milestones!$AB$163),UPPER(TEXT(EDATE($D89,Milestones!$AA$163),"dd mmm yy"))&amp;" "&amp;Milestones!$AB$163&amp;" "&amp;Milestones!$AC$163&amp;";  ","")&amp;IF(AND(EDATE($D89,Milestones!$AA$164)&lt;=AsOfDate,IF($R89=0,$X89,IF(AND($T89&lt;&gt;"",EDATE($D89,Milestones!$AA$164)&gt;=$T89),$W89,IF(AND($S89&lt;&gt;"",EDATE($D89,Milestones!$AA$164)&gt;=$S89),$V89,$U89)))=Milestones!$AB$164),UPPER(TEXT(EDATE($D89,Milestones!$AA$164),"dd mmm yy"))&amp;" "&amp;Milestones!$AB$164&amp;" "&amp;Milestones!$AC$164&amp;";  ","")&amp;IF(AND(EDATE($D89,Milestones!$AA$165)&lt;=AsOfDate,IF($R89=0,$X89,IF(AND($T89&lt;&gt;"",EDATE($D89,Milestones!$AA$165)&gt;=$T89),$W89,IF(AND($S89&lt;&gt;"",EDATE($D89,Milestones!$AA$165)&gt;=$S89),$V89,$U89)))=Milestones!$AB$165),UPPER(TEXT(EDATE($D89,Milestones!$AA$165),"dd mmm yy"))&amp;" "&amp;Milestones!$AB$165&amp;" "&amp;Milestones!$AC$165&amp;";  ","")&amp;IF(AND(EDATE($D89,Milestones!$AA$166)&lt;=AsOfDate,IF($R89=0,$X89,IF(AND($T89&lt;&gt;"",EDATE($D89,Milestones!$AA$166)&gt;=$T89),$W89,IF(AND($S89&lt;&gt;"",EDATE($D89,Milestones!$AA$166)&gt;=$S89),$V89,$U89)))=Milestones!$AB$166),UPPER(TEXT(EDATE($D89,Milestones!$AA$166),"dd mmm yy"))&amp;" "&amp;Milestones!$AB$166&amp;" "&amp;Milestones!$AC$166&amp;";  ","")&amp;IF(AND(EDATE($D89,Milestones!$AA$167)&lt;=AsOfDate,IF($R89=0,$X89,IF(AND($T89&lt;&gt;"",EDATE($D89,Milestones!$AA$167)&gt;=$T89),$W89,IF(AND($S89&lt;&gt;"",EDATE($D89,Milestones!$AA$167)&gt;=$S89),$V89,$U89)))=Milestones!$AB$167),UPPER(TEXT(EDATE($D89,Milestones!$AA$167),"dd mmm yy"))&amp;" "&amp;Milestones!$AB$167&amp;" "&amp;Milestones!$AC$167&amp;";  ","")&amp;IF(AND(EDATE($D89,Milestones!$AA$168)&lt;=AsOfDate,IF($R89=0,$X89,IF(AND($T89&lt;&gt;"",EDATE($D89,Milestones!$AA$168)&gt;=$T89),$W89,IF(AND($S89&lt;&gt;"",EDATE($D89,Milestones!$AA$168)&gt;=$S89),$V89,$U89)))=Milestones!$AB$168),UPPER(TEXT(EDATE($D89,Milestones!$AA$168),"dd mmm yy"))&amp;" "&amp;Milestones!$AB$168&amp;" "&amp;Milestones!$AC$168&amp;";  ","")&amp;IF(AND(EDATE($D89,Milestones!$AA$169)&lt;=AsOfDate,IF($R89=0,$X89,IF(AND($T89&lt;&gt;"",EDATE($D89,Milestones!$AA$169)&gt;=$T89),$W89,IF(AND($S89&lt;&gt;"",EDATE($D89,Milestones!$AA$169)&gt;=$S89),$V89,$U89)))=Milestones!$AB$169),UPPER(TEXT(EDATE($D89,Milestones!$AA$169),"dd mmm yy"))&amp;" "&amp;Milestones!$AB$169&amp;" "&amp;Milestones!$AC$169&amp;";  ","")&amp;IF(AND(EDATE($D89,Milestones!$AA$170)&lt;=AsOfDate,IF($R89=0,$X89,IF(AND($T89&lt;&gt;"",EDATE($D89,Milestones!$AA$170)&gt;=$T89),$W89,IF(AND($S89&lt;&gt;"",EDATE($D89,Milestones!$AA$170)&gt;=$S89),$V89,$U89)))=Milestones!$AB$170),UPPER(TEXT(EDATE($D89,Milestones!$AA$170),"dd mmm yy"))&amp;" "&amp;Milestones!$AB$170&amp;" "&amp;Milestones!$AC$170&amp;";  ","")&amp;IF(AND(EDATE($D89,Milestones!$AA$171)&lt;=AsOfDate,IF($R89=0,$X89,IF(AND($T89&lt;&gt;"",EDATE($D89,Milestones!$AA$171)&gt;=$T89),$W89,IF(AND($S89&lt;&gt;"",EDATE($D89,Milestones!$AA$171)&gt;=$S89),$V89,$U89)))=Milestones!$AB$171),UPPER(TEXT(EDATE($D89,Milestones!$AA$171),"dd mmm yy"))&amp;" "&amp;Milestones!$AB$171&amp;" "&amp;Milestones!$AC$171&amp;";  ","")&amp;IF(AND(EDATE($D89,Milestones!$AA$172)&lt;=AsOfDate,IF($R89=0,$X89,IF(AND($T89&lt;&gt;"",EDATE($D89,Milestones!$AA$172)&gt;=$T89),$W89,IF(AND($S89&lt;&gt;"",EDATE($D89,Milestones!$AA$172)&gt;=$S89),$V89,$U89)))=Milestones!$AB$172),UPPER(TEXT(EDATE($D89,Milestones!$AA$172),"dd mmm yy"))&amp;" "&amp;Milestones!$AB$172&amp;" "&amp;Milestones!$AC$172&amp;";  ","")&amp;IF(AND(EDATE($D89,Milestones!$AA$173)&lt;=AsOfDate,IF($R89=0,$X89,IF(AND($T89&lt;&gt;"",EDATE($D89,Milestones!$AA$173)&gt;=$T89),$W89,IF(AND($S89&lt;&gt;"",EDATE($D89,Milestones!$AA$173)&gt;=$S89),$V89,$U89)))=Milestones!$AB$173),UPPER(TEXT(EDATE($D89,Milestones!$AA$173),"dd mmm yy"))&amp;" "&amp;Milestones!$AB$173&amp;" "&amp;Milestones!$AC$173&amp;";  ","")&amp;IF(AND(EDATE($D89,Milestones!$AA$174)&lt;=AsOfDate,IF($R89=0,$X89,IF(AND($T89&lt;&gt;"",EDATE($D89,Milestones!$AA$174)&gt;=$T89),$W89,IF(AND($S89&lt;&gt;"",EDATE($D89,Milestones!$AA$174)&gt;=$S89),$V89,$U89)))=Milestones!$AB$174),UPPER(TEXT(EDATE($D89,Milestones!$AA$174),"dd mmm yy"))&amp;" "&amp;Milestones!$AB$174&amp;" "&amp;Milestones!$AC$174&amp;";  ","")&amp;IF(AND(EDATE($D89,Milestones!$AA$175)&lt;=AsOfDate,IF($R89=0,$X89,IF(AND($T89&lt;&gt;"",EDATE($D89,Milestones!$AA$175)&gt;=$T89),$W89,IF(AND($S89&lt;&gt;"",EDATE($D89,Milestones!$AA$175)&gt;=$S89),$V89,$U89)))=Milestones!$AB$175),UPPER(TEXT(EDATE($D89,Milestones!$AA$175),"dd mmm yy"))&amp;" "&amp;Milestones!$AB$175&amp;" "&amp;Milestones!$AC$175&amp;";  ","")&amp;IF(AND(EDATE($D89,Milestones!$AA$176)&lt;=AsOfDate,IF($R89=0,$X89,IF(AND($T89&lt;&gt;"",EDATE($D89,Milestones!$AA$176)&gt;=$T89),$W89,IF(AND($S89&lt;&gt;"",EDATE($D89,Milestones!$AA$176)&gt;=$S89),$V89,$U89)))=Milestones!$AB$176),UPPER(TEXT(EDATE($D89,Milestones!$AA$176),"dd mmm yy"))&amp;" "&amp;Milestones!$AB$176&amp;" "&amp;Milestones!$AC$176&amp;";  ","")&amp;IF(AND(EDATE($D89,Milestones!$AA$177)&lt;=AsOfDate,IF($R89=0,$X89,IF(AND($T89&lt;&gt;"",EDATE($D89,Milestones!$AA$177)&gt;=$T89),$W89,IF(AND($S89&lt;&gt;"",EDATE($D89,Milestones!$AA$177)&gt;=$S89),$V89,$U89)))=Milestones!$AB$177),UPPER(TEXT(EDATE($D89,Milestones!$AA$177),"dd mmm yy"))&amp;" "&amp;Milestones!$AB$177&amp;" "&amp;Milestones!$AC$177&amp;";  ","")&amp;IF(AND(EDATE($D89,Milestones!$AA$178)&lt;=AsOfDate,IF($R89=0,$X89,IF(AND($T89&lt;&gt;"",EDATE($D89,Milestones!$AA$178)&gt;=$T89),$W89,IF(AND($S89&lt;&gt;"",EDATE($D89,Milestones!$AA$178)&gt;=$S89),$V89,$U89)))=Milestones!$AB$178),UPPER(TEXT(EDATE($D89,Milestones!$AA$178),"dd mmm yy"))&amp;" "&amp;Milestones!$AB$178&amp;" "&amp;Milestones!$AC$178&amp;";  ","")&amp;IF(AND(EDATE($D89,Milestones!$AA$179)&lt;=AsOfDate,IF($R89=0,$X89,IF(AND($T89&lt;&gt;"",EDATE($D89,Milestones!$AA$179)&gt;=$T89),$W89,IF(AND($S89&lt;&gt;"",EDATE($D89,Milestones!$AA$179)&gt;=$S89),$V89,$U89)))=Milestones!$AB$179),UPPER(TEXT(EDATE($D89,Milestones!$AA$179),"dd mmm yy"))&amp;" "&amp;Milestones!$AB$179&amp;" "&amp;Milestones!$AC$179&amp;";  ",""))</f>
        <v/>
      </c>
      <c r="Q89" s="0" t="str">
        <f aca="false">IF(OR($A89="",$D89=""),"",IF(AND(EDATE($D89,Milestones!$AA$180)&lt;=AsOfDate,IF($R89=0,$X89,IF(AND($T89&lt;&gt;"",EDATE($D89,Milestones!$AA$180)&gt;=$T89),$W89,IF(AND($S89&lt;&gt;"",EDATE($D89,Milestones!$AA$180)&gt;=$S89),$V89,$U89)))=Milestones!$AB$180),UPPER(TEXT(EDATE($D89,Milestones!$AA$180),"dd mmm yy"))&amp;" "&amp;Milestones!$AB$180&amp;" "&amp;Milestones!$AC$180&amp;";  ","")&amp;IF(AND(EDATE($D89,Milestones!$AA$181)&lt;=AsOfDate,IF($R89=0,$X89,IF(AND($T89&lt;&gt;"",EDATE($D89,Milestones!$AA$181)&gt;=$T89),$W89,IF(AND($S89&lt;&gt;"",EDATE($D89,Milestones!$AA$181)&gt;=$S89),$V89,$U89)))=Milestones!$AB$181),UPPER(TEXT(EDATE($D89,Milestones!$AA$181),"dd mmm yy"))&amp;" "&amp;Milestones!$AB$181&amp;" "&amp;Milestones!$AC$181&amp;";  ","")&amp;IF(AND(EDATE($D89,Milestones!$AA$182)&lt;=AsOfDate,IF($R89=0,$X89,IF(AND($T89&lt;&gt;"",EDATE($D89,Milestones!$AA$182)&gt;=$T89),$W89,IF(AND($S89&lt;&gt;"",EDATE($D89,Milestones!$AA$182)&gt;=$S89),$V89,$U89)))=Milestones!$AB$182),UPPER(TEXT(EDATE($D89,Milestones!$AA$182),"dd mmm yy"))&amp;" "&amp;Milestones!$AB$182&amp;" "&amp;Milestones!$AC$182&amp;";  ","")&amp;IF(AND(EDATE($D89,Milestones!$AA$183)&lt;=AsOfDate,IF($R89=0,$X89,IF(AND($T89&lt;&gt;"",EDATE($D89,Milestones!$AA$183)&gt;=$T89),$W89,IF(AND($S89&lt;&gt;"",EDATE($D89,Milestones!$AA$183)&gt;=$S89),$V89,$U89)))=Milestones!$AB$183),UPPER(TEXT(EDATE($D89,Milestones!$AA$183),"dd mmm yy"))&amp;" "&amp;Milestones!$AB$183&amp;" "&amp;Milestones!$AC$183&amp;";  ","")&amp;IF(AND(EDATE($D89,Milestones!$AA$184)&lt;=AsOfDate,IF($R89=0,$X89,IF(AND($T89&lt;&gt;"",EDATE($D89,Milestones!$AA$184)&gt;=$T89),$W89,IF(AND($S89&lt;&gt;"",EDATE($D89,Milestones!$AA$184)&gt;=$S89),$V89,$U89)))=Milestones!$AB$184),UPPER(TEXT(EDATE($D89,Milestones!$AA$184),"dd mmm yy"))&amp;" "&amp;Milestones!$AB$184&amp;" "&amp;Milestones!$AC$184&amp;";  ","")&amp;IF(AND(EDATE($D89,Milestones!$AA$185)&lt;=AsOfDate,IF($R89=0,$X89,IF(AND($T89&lt;&gt;"",EDATE($D89,Milestones!$AA$185)&gt;=$T89),$W89,IF(AND($S89&lt;&gt;"",EDATE($D89,Milestones!$AA$185)&gt;=$S89),$V89,$U89)))=Milestones!$AB$185),UPPER(TEXT(EDATE($D89,Milestones!$AA$185),"dd mmm yy"))&amp;" "&amp;Milestones!$AB$185&amp;" "&amp;Milestones!$AC$185&amp;";  ","")&amp;IF(AND(EDATE($D89,Milestones!$AA$186)&lt;=AsOfDate,IF($R89=0,$X89,IF(AND($T89&lt;&gt;"",EDATE($D89,Milestones!$AA$186)&gt;=$T89),$W89,IF(AND($S89&lt;&gt;"",EDATE($D89,Milestones!$AA$186)&gt;=$S89),$V89,$U89)))=Milestones!$AB$186),UPPER(TEXT(EDATE($D89,Milestones!$AA$186),"dd mmm yy"))&amp;" "&amp;Milestones!$AB$186&amp;" "&amp;Milestones!$AC$186&amp;";  ","")&amp;IF(AND(EDATE($D89,Milestones!$AA$187)&lt;=AsOfDate,IF($R89=0,$X89,IF(AND($T89&lt;&gt;"",EDATE($D89,Milestones!$AA$187)&gt;=$T89),$W89,IF(AND($S89&lt;&gt;"",EDATE($D89,Milestones!$AA$187)&gt;=$S89),$V89,$U89)))=Milestones!$AB$187),UPPER(TEXT(EDATE($D89,Milestones!$AA$187),"dd mmm yy"))&amp;" "&amp;Milestones!$AB$187&amp;" "&amp;Milestones!$AC$187&amp;";  ","")&amp;IF(AND(EDATE($D89,Milestones!$AA$188)&lt;=AsOfDate,IF($R89=0,$X89,IF(AND($T89&lt;&gt;"",EDATE($D89,Milestones!$AA$188)&gt;=$T89),$W89,IF(AND($S89&lt;&gt;"",EDATE($D89,Milestones!$AA$188)&gt;=$S89),$V89,$U89)))=Milestones!$AB$188),UPPER(TEXT(EDATE($D89,Milestones!$AA$188),"dd mmm yy"))&amp;" "&amp;Milestones!$AB$188&amp;" "&amp;Milestones!$AC$188&amp;";  ","")&amp;IF(AND(EDATE($D89,Milestones!$AA$189)&lt;=AsOfDate,IF($R89=0,$X89,IF(AND($T89&lt;&gt;"",EDATE($D89,Milestones!$AA$189)&gt;=$T89),$W89,IF(AND($S89&lt;&gt;"",EDATE($D89,Milestones!$AA$189)&gt;=$S89),$V89,$U89)))=Milestones!$AB$189),UPPER(TEXT(EDATE($D89,Milestones!$AA$189),"dd mmm yy"))&amp;" "&amp;Milestones!$AB$189&amp;" "&amp;Milestones!$AC$189&amp;";  ","")&amp;IF(AND(EDATE($D89,Milestones!$AA$190)&lt;=AsOfDate,IF($R89=0,$X89,IF(AND($T89&lt;&gt;"",EDATE($D89,Milestones!$AA$190)&gt;=$T89),$W89,IF(AND($S89&lt;&gt;"",EDATE($D89,Milestones!$AA$190)&gt;=$S89),$V89,$U89)))=Milestones!$AB$190),UPPER(TEXT(EDATE($D89,Milestones!$AA$190),"dd mmm yy"))&amp;" "&amp;Milestones!$AB$190&amp;" "&amp;Milestones!$AC$190&amp;";  ","")&amp;IF(AND(EDATE($D89,Milestones!$AA$191)&lt;=AsOfDate,IF($R89=0,$X89,IF(AND($T89&lt;&gt;"",EDATE($D89,Milestones!$AA$191)&gt;=$T89),$W89,IF(AND($S89&lt;&gt;"",EDATE($D89,Milestones!$AA$191)&gt;=$S89),$V89,$U89)))=Milestones!$AB$191),UPPER(TEXT(EDATE($D89,Milestones!$AA$191),"dd mmm yy"))&amp;" "&amp;Milestones!$AB$191&amp;" "&amp;Milestones!$AC$191&amp;";  ","")&amp;IF(AND(EDATE($D89,Milestones!$AA$192)&lt;=AsOfDate,IF($R89=0,$X89,IF(AND($T89&lt;&gt;"",EDATE($D89,Milestones!$AA$192)&gt;=$T89),$W89,IF(AND($S89&lt;&gt;"",EDATE($D89,Milestones!$AA$192)&gt;=$S89),$V89,$U89)))=Milestones!$AB$192),UPPER(TEXT(EDATE($D89,Milestones!$AA$192),"dd mmm yy"))&amp;" "&amp;Milestones!$AB$192&amp;" "&amp;Milestones!$AC$192&amp;";  ","")&amp;IF(AND(EDATE($D89,Milestones!$AA$193)&lt;=AsOfDate,IF($R89=0,$X89,IF(AND($T89&lt;&gt;"",EDATE($D89,Milestones!$AA$193)&gt;=$T89),$W89,IF(AND($S89&lt;&gt;"",EDATE($D89,Milestones!$AA$193)&gt;=$S89),$V89,$U89)))=Milestones!$AB$193),UPPER(TEXT(EDATE($D89,Milestones!$AA$193),"dd mmm yy"))&amp;" "&amp;Milestones!$AB$193&amp;" "&amp;Milestones!$AC$193&amp;";  ","")&amp;IF(AND(EDATE($D89,Milestones!$AA$194)&lt;=AsOfDate,IF($R89=0,$X89,IF(AND($T89&lt;&gt;"",EDATE($D89,Milestones!$AA$194)&gt;=$T89),$W89,IF(AND($S89&lt;&gt;"",EDATE($D89,Milestones!$AA$194)&gt;=$S89),$V89,$U89)))=Milestones!$AB$194),UPPER(TEXT(EDATE($D89,Milestones!$AA$194),"dd mmm yy"))&amp;" "&amp;Milestones!$AB$194&amp;" "&amp;Milestones!$AC$194&amp;";  ","")&amp;IF(AND(EDATE($D89,Milestones!$AA$195)&lt;=AsOfDate,IF($R89=0,$X89,IF(AND($T89&lt;&gt;"",EDATE($D89,Milestones!$AA$195)&gt;=$T89),$W89,IF(AND($S89&lt;&gt;"",EDATE($D89,Milestones!$AA$195)&gt;=$S89),$V89,$U89)))=Milestones!$AB$195),UPPER(TEXT(EDATE($D89,Milestones!$AA$195),"dd mmm yy"))&amp;" "&amp;Milestones!$AB$195&amp;" "&amp;Milestones!$AC$195&amp;";  ","")&amp;IF(AND(EDATE($D89,Milestones!$AA$196)&lt;=AsOfDate,IF($R89=0,$X89,IF(AND($T89&lt;&gt;"",EDATE($D89,Milestones!$AA$196)&gt;=$T89),$W89,IF(AND($S89&lt;&gt;"",EDATE($D89,Milestones!$AA$196)&gt;=$S89),$V89,$U89)))=Milestones!$AB$196),UPPER(TEXT(EDATE($D89,Milestones!$AA$196),"dd mmm yy"))&amp;" "&amp;Milestones!$AB$196&amp;" "&amp;Milestones!$AC$196&amp;";  ","")&amp;IF(AND(EDATE($D89,Milestones!$AA$197)&lt;=AsOfDate,IF($R89=0,$X89,IF(AND($T89&lt;&gt;"",EDATE($D89,Milestones!$AA$197)&gt;=$T89),$W89,IF(AND($S89&lt;&gt;"",EDATE($D89,Milestones!$AA$197)&gt;=$S89),$V89,$U89)))=Milestones!$AB$197),UPPER(TEXT(EDATE($D89,Milestones!$AA$197),"dd mmm yy"))&amp;" "&amp;Milestones!$AB$197&amp;" "&amp;Milestones!$AC$197&amp;";  ","")&amp;IF(AND(EDATE($D89,Milestones!$AA$198)&lt;=AsOfDate,IF($R89=0,$X89,IF(AND($T89&lt;&gt;"",EDATE($D89,Milestones!$AA$198)&gt;=$T89),$W89,IF(AND($S89&lt;&gt;"",EDATE($D89,Milestones!$AA$198)&gt;=$S89),$V89,$U89)))=Milestones!$AB$198),UPPER(TEXT(EDATE($D89,Milestones!$AA$198),"dd mmm yy"))&amp;" "&amp;Milestones!$AB$198&amp;" "&amp;Milestones!$AC$198&amp;";  ","")&amp;IF(AND(EDATE($D89,Milestones!$AA$199)&lt;=AsOfDate,IF($R89=0,$X89,IF(AND($T89&lt;&gt;"",EDATE($D89,Milestones!$AA$199)&gt;=$T89),$W89,IF(AND($S89&lt;&gt;"",EDATE($D89,Milestones!$AA$199)&gt;=$S89),$V89,$U89)))=Milestones!$AB$199),UPPER(TEXT(EDATE($D89,Milestones!$AA$199),"dd mmm yy"))&amp;" "&amp;Milestones!$AB$199&amp;" "&amp;Milestones!$AC$199&amp;";  ",""))</f>
        <v/>
      </c>
      <c r="R89" s="0" t="str">
        <f aca="false">IF(Staff!$A89="","",Staff!$AI89)</f>
        <v/>
      </c>
      <c r="S89" s="0" t="str">
        <f aca="false">IF(Staff!$A89="","",Staff!$AK89)</f>
        <v/>
      </c>
      <c r="T89" s="0" t="str">
        <f aca="false">IF(Staff!$A89="","",Staff!$AL89)</f>
        <v/>
      </c>
      <c r="U89" s="0" t="str">
        <f aca="false">IF(Staff!$A89="","",Staff!$AP89)</f>
        <v/>
      </c>
      <c r="V89" s="0" t="str">
        <f aca="false">IF(Staff!$A89="","",Staff!$AQ89)</f>
        <v/>
      </c>
      <c r="W89" s="0" t="str">
        <f aca="false">IF(Staff!$A89="","",Staff!$AR89)</f>
        <v/>
      </c>
      <c r="X89" s="0" t="str">
        <f aca="false">IF(Staff!$A89="","",Staff!$AS89)</f>
        <v/>
      </c>
    </row>
    <row r="90" customFormat="false" ht="15" hidden="false" customHeight="false" outlineLevel="0" collapsed="false">
      <c r="A90" s="19" t="str">
        <f aca="false">IF(Staff!$A90="","",Staff!$A90)</f>
        <v/>
      </c>
      <c r="B90" s="19" t="str">
        <f aca="false">IF(Staff!$A90="","",Staff!$B90)</f>
        <v/>
      </c>
      <c r="C90" s="19" t="str">
        <f aca="false">IF(Staff!$A90="","",Staff!$C90)</f>
        <v/>
      </c>
      <c r="D90" s="17" t="str">
        <f aca="false">IF(Staff!$A90="","",Staff!$AH90)</f>
        <v/>
      </c>
      <c r="E90" s="19" t="str">
        <f aca="false">IF(Staff!$A90="","",Staff!$O90)</f>
        <v/>
      </c>
      <c r="F90" s="19" t="str">
        <f aca="false">IF(E90="","",E90*HoursPerDay)</f>
        <v/>
      </c>
      <c r="G90" s="19" t="str">
        <f aca="false">IF(Staff!$A90="","",Staff!$AE90)</f>
        <v/>
      </c>
      <c r="H90" s="32" t="str">
        <f aca="false">IF($A90="","",I90&amp;J90&amp;K90&amp;L90&amp;M90&amp;N90&amp;O90&amp;P90&amp;Q90)</f>
        <v/>
      </c>
      <c r="I90" s="0" t="str">
        <f aca="false">IF(OR($A90="",$D90=""),"",IF(AND(EDATE($D90,Milestones!$AA$20)&lt;=AsOfDate,IF($R90=0,$X90,IF(AND($T90&lt;&gt;"",EDATE($D90,Milestones!$AA$20)&gt;=$T90),$W90,IF(AND($S90&lt;&gt;"",EDATE($D90,Milestones!$AA$20)&gt;=$S90),$V90,$U90)))=Milestones!$AB$20),UPPER(TEXT(EDATE($D90,Milestones!$AA$20),"dd mmm yy"))&amp;" "&amp;Milestones!$AB$20&amp;" "&amp;Milestones!$AC$20&amp;";  ","")&amp;IF(AND(EDATE($D90,Milestones!$AA$21)&lt;=AsOfDate,IF($R90=0,$X90,IF(AND($T90&lt;&gt;"",EDATE($D90,Milestones!$AA$21)&gt;=$T90),$W90,IF(AND($S90&lt;&gt;"",EDATE($D90,Milestones!$AA$21)&gt;=$S90),$V90,$U90)))=Milestones!$AB$21),UPPER(TEXT(EDATE($D90,Milestones!$AA$21),"dd mmm yy"))&amp;" "&amp;Milestones!$AB$21&amp;" "&amp;Milestones!$AC$21&amp;";  ","")&amp;IF(AND(EDATE($D90,Milestones!$AA$22)&lt;=AsOfDate,IF($R90=0,$X90,IF(AND($T90&lt;&gt;"",EDATE($D90,Milestones!$AA$22)&gt;=$T90),$W90,IF(AND($S90&lt;&gt;"",EDATE($D90,Milestones!$AA$22)&gt;=$S90),$V90,$U90)))=Milestones!$AB$22),UPPER(TEXT(EDATE($D90,Milestones!$AA$22),"dd mmm yy"))&amp;" "&amp;Milestones!$AB$22&amp;" "&amp;Milestones!$AC$22&amp;";  ","")&amp;IF(AND(EDATE($D90,Milestones!$AA$23)&lt;=AsOfDate,IF($R90=0,$X90,IF(AND($T90&lt;&gt;"",EDATE($D90,Milestones!$AA$23)&gt;=$T90),$W90,IF(AND($S90&lt;&gt;"",EDATE($D90,Milestones!$AA$23)&gt;=$S90),$V90,$U90)))=Milestones!$AB$23),UPPER(TEXT(EDATE($D90,Milestones!$AA$23),"dd mmm yy"))&amp;" "&amp;Milestones!$AB$23&amp;" "&amp;Milestones!$AC$23&amp;";  ","")&amp;IF(AND(EDATE($D90,Milestones!$AA$24)&lt;=AsOfDate,IF($R90=0,$X90,IF(AND($T90&lt;&gt;"",EDATE($D90,Milestones!$AA$24)&gt;=$T90),$W90,IF(AND($S90&lt;&gt;"",EDATE($D90,Milestones!$AA$24)&gt;=$S90),$V90,$U90)))=Milestones!$AB$24),UPPER(TEXT(EDATE($D90,Milestones!$AA$24),"dd mmm yy"))&amp;" "&amp;Milestones!$AB$24&amp;" "&amp;Milestones!$AC$24&amp;";  ","")&amp;IF(AND(EDATE($D90,Milestones!$AA$25)&lt;=AsOfDate,IF($R90=0,$X90,IF(AND($T90&lt;&gt;"",EDATE($D90,Milestones!$AA$25)&gt;=$T90),$W90,IF(AND($S90&lt;&gt;"",EDATE($D90,Milestones!$AA$25)&gt;=$S90),$V90,$U90)))=Milestones!$AB$25),UPPER(TEXT(EDATE($D90,Milestones!$AA$25),"dd mmm yy"))&amp;" "&amp;Milestones!$AB$25&amp;" "&amp;Milestones!$AC$25&amp;";  ","")&amp;IF(AND(EDATE($D90,Milestones!$AA$26)&lt;=AsOfDate,IF($R90=0,$X90,IF(AND($T90&lt;&gt;"",EDATE($D90,Milestones!$AA$26)&gt;=$T90),$W90,IF(AND($S90&lt;&gt;"",EDATE($D90,Milestones!$AA$26)&gt;=$S90),$V90,$U90)))=Milestones!$AB$26),UPPER(TEXT(EDATE($D90,Milestones!$AA$26),"dd mmm yy"))&amp;" "&amp;Milestones!$AB$26&amp;" "&amp;Milestones!$AC$26&amp;";  ","")&amp;IF(AND(EDATE($D90,Milestones!$AA$27)&lt;=AsOfDate,IF($R90=0,$X90,IF(AND($T90&lt;&gt;"",EDATE($D90,Milestones!$AA$27)&gt;=$T90),$W90,IF(AND($S90&lt;&gt;"",EDATE($D90,Milestones!$AA$27)&gt;=$S90),$V90,$U90)))=Milestones!$AB$27),UPPER(TEXT(EDATE($D90,Milestones!$AA$27),"dd mmm yy"))&amp;" "&amp;Milestones!$AB$27&amp;" "&amp;Milestones!$AC$27&amp;";  ","")&amp;IF(AND(EDATE($D90,Milestones!$AA$28)&lt;=AsOfDate,IF($R90=0,$X90,IF(AND($T90&lt;&gt;"",EDATE($D90,Milestones!$AA$28)&gt;=$T90),$W90,IF(AND($S90&lt;&gt;"",EDATE($D90,Milestones!$AA$28)&gt;=$S90),$V90,$U90)))=Milestones!$AB$28),UPPER(TEXT(EDATE($D90,Milestones!$AA$28),"dd mmm yy"))&amp;" "&amp;Milestones!$AB$28&amp;" "&amp;Milestones!$AC$28&amp;";  ","")&amp;IF(AND(EDATE($D90,Milestones!$AA$29)&lt;=AsOfDate,IF($R90=0,$X90,IF(AND($T90&lt;&gt;"",EDATE($D90,Milestones!$AA$29)&gt;=$T90),$W90,IF(AND($S90&lt;&gt;"",EDATE($D90,Milestones!$AA$29)&gt;=$S90),$V90,$U90)))=Milestones!$AB$29),UPPER(TEXT(EDATE($D90,Milestones!$AA$29),"dd mmm yy"))&amp;" "&amp;Milestones!$AB$29&amp;" "&amp;Milestones!$AC$29&amp;";  ","")&amp;IF(AND(EDATE($D90,Milestones!$AA$30)&lt;=AsOfDate,IF($R90=0,$X90,IF(AND($T90&lt;&gt;"",EDATE($D90,Milestones!$AA$30)&gt;=$T90),$W90,IF(AND($S90&lt;&gt;"",EDATE($D90,Milestones!$AA$30)&gt;=$S90),$V90,$U90)))=Milestones!$AB$30),UPPER(TEXT(EDATE($D90,Milestones!$AA$30),"dd mmm yy"))&amp;" "&amp;Milestones!$AB$30&amp;" "&amp;Milestones!$AC$30&amp;";  ","")&amp;IF(AND(EDATE($D90,Milestones!$AA$31)&lt;=AsOfDate,IF($R90=0,$X90,IF(AND($T90&lt;&gt;"",EDATE($D90,Milestones!$AA$31)&gt;=$T90),$W90,IF(AND($S90&lt;&gt;"",EDATE($D90,Milestones!$AA$31)&gt;=$S90),$V90,$U90)))=Milestones!$AB$31),UPPER(TEXT(EDATE($D90,Milestones!$AA$31),"dd mmm yy"))&amp;" "&amp;Milestones!$AB$31&amp;" "&amp;Milestones!$AC$31&amp;";  ","")&amp;IF(AND(EDATE($D90,Milestones!$AA$32)&lt;=AsOfDate,IF($R90=0,$X90,IF(AND($T90&lt;&gt;"",EDATE($D90,Milestones!$AA$32)&gt;=$T90),$W90,IF(AND($S90&lt;&gt;"",EDATE($D90,Milestones!$AA$32)&gt;=$S90),$V90,$U90)))=Milestones!$AB$32),UPPER(TEXT(EDATE($D90,Milestones!$AA$32),"dd mmm yy"))&amp;" "&amp;Milestones!$AB$32&amp;" "&amp;Milestones!$AC$32&amp;";  ","")&amp;IF(AND(EDATE($D90,Milestones!$AA$33)&lt;=AsOfDate,IF($R90=0,$X90,IF(AND($T90&lt;&gt;"",EDATE($D90,Milestones!$AA$33)&gt;=$T90),$W90,IF(AND($S90&lt;&gt;"",EDATE($D90,Milestones!$AA$33)&gt;=$S90),$V90,$U90)))=Milestones!$AB$33),UPPER(TEXT(EDATE($D90,Milestones!$AA$33),"dd mmm yy"))&amp;" "&amp;Milestones!$AB$33&amp;" "&amp;Milestones!$AC$33&amp;";  ","")&amp;IF(AND(EDATE($D90,Milestones!$AA$34)&lt;=AsOfDate,IF($R90=0,$X90,IF(AND($T90&lt;&gt;"",EDATE($D90,Milestones!$AA$34)&gt;=$T90),$W90,IF(AND($S90&lt;&gt;"",EDATE($D90,Milestones!$AA$34)&gt;=$S90),$V90,$U90)))=Milestones!$AB$34),UPPER(TEXT(EDATE($D90,Milestones!$AA$34),"dd mmm yy"))&amp;" "&amp;Milestones!$AB$34&amp;" "&amp;Milestones!$AC$34&amp;";  ","")&amp;IF(AND(EDATE($D90,Milestones!$AA$35)&lt;=AsOfDate,IF($R90=0,$X90,IF(AND($T90&lt;&gt;"",EDATE($D90,Milestones!$AA$35)&gt;=$T90),$W90,IF(AND($S90&lt;&gt;"",EDATE($D90,Milestones!$AA$35)&gt;=$S90),$V90,$U90)))=Milestones!$AB$35),UPPER(TEXT(EDATE($D90,Milestones!$AA$35),"dd mmm yy"))&amp;" "&amp;Milestones!$AB$35&amp;" "&amp;Milestones!$AC$35&amp;";  ","")&amp;IF(AND(EDATE($D90,Milestones!$AA$36)&lt;=AsOfDate,IF($R90=0,$X90,IF(AND($T90&lt;&gt;"",EDATE($D90,Milestones!$AA$36)&gt;=$T90),$W90,IF(AND($S90&lt;&gt;"",EDATE($D90,Milestones!$AA$36)&gt;=$S90),$V90,$U90)))=Milestones!$AB$36),UPPER(TEXT(EDATE($D90,Milestones!$AA$36),"dd mmm yy"))&amp;" "&amp;Milestones!$AB$36&amp;" "&amp;Milestones!$AC$36&amp;";  ","")&amp;IF(AND(EDATE($D90,Milestones!$AA$37)&lt;=AsOfDate,IF($R90=0,$X90,IF(AND($T90&lt;&gt;"",EDATE($D90,Milestones!$AA$37)&gt;=$T90),$W90,IF(AND($S90&lt;&gt;"",EDATE($D90,Milestones!$AA$37)&gt;=$S90),$V90,$U90)))=Milestones!$AB$37),UPPER(TEXT(EDATE($D90,Milestones!$AA$37),"dd mmm yy"))&amp;" "&amp;Milestones!$AB$37&amp;" "&amp;Milestones!$AC$37&amp;";  ","")&amp;IF(AND(EDATE($D90,Milestones!$AA$38)&lt;=AsOfDate,IF($R90=0,$X90,IF(AND($T90&lt;&gt;"",EDATE($D90,Milestones!$AA$38)&gt;=$T90),$W90,IF(AND($S90&lt;&gt;"",EDATE($D90,Milestones!$AA$38)&gt;=$S90),$V90,$U90)))=Milestones!$AB$38),UPPER(TEXT(EDATE($D90,Milestones!$AA$38),"dd mmm yy"))&amp;" "&amp;Milestones!$AB$38&amp;" "&amp;Milestones!$AC$38&amp;";  ","")&amp;IF(AND(EDATE($D90,Milestones!$AA$39)&lt;=AsOfDate,IF($R90=0,$X90,IF(AND($T90&lt;&gt;"",EDATE($D90,Milestones!$AA$39)&gt;=$T90),$W90,IF(AND($S90&lt;&gt;"",EDATE($D90,Milestones!$AA$39)&gt;=$S90),$V90,$U90)))=Milestones!$AB$39),UPPER(TEXT(EDATE($D90,Milestones!$AA$39),"dd mmm yy"))&amp;" "&amp;Milestones!$AB$39&amp;" "&amp;Milestones!$AC$39&amp;";  ",""))</f>
        <v/>
      </c>
      <c r="J90" s="0" t="str">
        <f aca="false">IF(OR($A90="",$D90=""),"",IF(AND(EDATE($D90,Milestones!$AA$40)&lt;=AsOfDate,IF($R90=0,$X90,IF(AND($T90&lt;&gt;"",EDATE($D90,Milestones!$AA$40)&gt;=$T90),$W90,IF(AND($S90&lt;&gt;"",EDATE($D90,Milestones!$AA$40)&gt;=$S90),$V90,$U90)))=Milestones!$AB$40),UPPER(TEXT(EDATE($D90,Milestones!$AA$40),"dd mmm yy"))&amp;" "&amp;Milestones!$AB$40&amp;" "&amp;Milestones!$AC$40&amp;";  ","")&amp;IF(AND(EDATE($D90,Milestones!$AA$41)&lt;=AsOfDate,IF($R90=0,$X90,IF(AND($T90&lt;&gt;"",EDATE($D90,Milestones!$AA$41)&gt;=$T90),$W90,IF(AND($S90&lt;&gt;"",EDATE($D90,Milestones!$AA$41)&gt;=$S90),$V90,$U90)))=Milestones!$AB$41),UPPER(TEXT(EDATE($D90,Milestones!$AA$41),"dd mmm yy"))&amp;" "&amp;Milestones!$AB$41&amp;" "&amp;Milestones!$AC$41&amp;";  ","")&amp;IF(AND(EDATE($D90,Milestones!$AA$42)&lt;=AsOfDate,IF($R90=0,$X90,IF(AND($T90&lt;&gt;"",EDATE($D90,Milestones!$AA$42)&gt;=$T90),$W90,IF(AND($S90&lt;&gt;"",EDATE($D90,Milestones!$AA$42)&gt;=$S90),$V90,$U90)))=Milestones!$AB$42),UPPER(TEXT(EDATE($D90,Milestones!$AA$42),"dd mmm yy"))&amp;" "&amp;Milestones!$AB$42&amp;" "&amp;Milestones!$AC$42&amp;";  ","")&amp;IF(AND(EDATE($D90,Milestones!$AA$43)&lt;=AsOfDate,IF($R90=0,$X90,IF(AND($T90&lt;&gt;"",EDATE($D90,Milestones!$AA$43)&gt;=$T90),$W90,IF(AND($S90&lt;&gt;"",EDATE($D90,Milestones!$AA$43)&gt;=$S90),$V90,$U90)))=Milestones!$AB$43),UPPER(TEXT(EDATE($D90,Milestones!$AA$43),"dd mmm yy"))&amp;" "&amp;Milestones!$AB$43&amp;" "&amp;Milestones!$AC$43&amp;";  ","")&amp;IF(AND(EDATE($D90,Milestones!$AA$44)&lt;=AsOfDate,IF($R90=0,$X90,IF(AND($T90&lt;&gt;"",EDATE($D90,Milestones!$AA$44)&gt;=$T90),$W90,IF(AND($S90&lt;&gt;"",EDATE($D90,Milestones!$AA$44)&gt;=$S90),$V90,$U90)))=Milestones!$AB$44),UPPER(TEXT(EDATE($D90,Milestones!$AA$44),"dd mmm yy"))&amp;" "&amp;Milestones!$AB$44&amp;" "&amp;Milestones!$AC$44&amp;";  ","")&amp;IF(AND(EDATE($D90,Milestones!$AA$45)&lt;=AsOfDate,IF($R90=0,$X90,IF(AND($T90&lt;&gt;"",EDATE($D90,Milestones!$AA$45)&gt;=$T90),$W90,IF(AND($S90&lt;&gt;"",EDATE($D90,Milestones!$AA$45)&gt;=$S90),$V90,$U90)))=Milestones!$AB$45),UPPER(TEXT(EDATE($D90,Milestones!$AA$45),"dd mmm yy"))&amp;" "&amp;Milestones!$AB$45&amp;" "&amp;Milestones!$AC$45&amp;";  ","")&amp;IF(AND(EDATE($D90,Milestones!$AA$46)&lt;=AsOfDate,IF($R90=0,$X90,IF(AND($T90&lt;&gt;"",EDATE($D90,Milestones!$AA$46)&gt;=$T90),$W90,IF(AND($S90&lt;&gt;"",EDATE($D90,Milestones!$AA$46)&gt;=$S90),$V90,$U90)))=Milestones!$AB$46),UPPER(TEXT(EDATE($D90,Milestones!$AA$46),"dd mmm yy"))&amp;" "&amp;Milestones!$AB$46&amp;" "&amp;Milestones!$AC$46&amp;";  ","")&amp;IF(AND(EDATE($D90,Milestones!$AA$47)&lt;=AsOfDate,IF($R90=0,$X90,IF(AND($T90&lt;&gt;"",EDATE($D90,Milestones!$AA$47)&gt;=$T90),$W90,IF(AND($S90&lt;&gt;"",EDATE($D90,Milestones!$AA$47)&gt;=$S90),$V90,$U90)))=Milestones!$AB$47),UPPER(TEXT(EDATE($D90,Milestones!$AA$47),"dd mmm yy"))&amp;" "&amp;Milestones!$AB$47&amp;" "&amp;Milestones!$AC$47&amp;";  ","")&amp;IF(AND(EDATE($D90,Milestones!$AA$48)&lt;=AsOfDate,IF($R90=0,$X90,IF(AND($T90&lt;&gt;"",EDATE($D90,Milestones!$AA$48)&gt;=$T90),$W90,IF(AND($S90&lt;&gt;"",EDATE($D90,Milestones!$AA$48)&gt;=$S90),$V90,$U90)))=Milestones!$AB$48),UPPER(TEXT(EDATE($D90,Milestones!$AA$48),"dd mmm yy"))&amp;" "&amp;Milestones!$AB$48&amp;" "&amp;Milestones!$AC$48&amp;";  ","")&amp;IF(AND(EDATE($D90,Milestones!$AA$49)&lt;=AsOfDate,IF($R90=0,$X90,IF(AND($T90&lt;&gt;"",EDATE($D90,Milestones!$AA$49)&gt;=$T90),$W90,IF(AND($S90&lt;&gt;"",EDATE($D90,Milestones!$AA$49)&gt;=$S90),$V90,$U90)))=Milestones!$AB$49),UPPER(TEXT(EDATE($D90,Milestones!$AA$49),"dd mmm yy"))&amp;" "&amp;Milestones!$AB$49&amp;" "&amp;Milestones!$AC$49&amp;";  ","")&amp;IF(AND(EDATE($D90,Milestones!$AA$50)&lt;=AsOfDate,IF($R90=0,$X90,IF(AND($T90&lt;&gt;"",EDATE($D90,Milestones!$AA$50)&gt;=$T90),$W90,IF(AND($S90&lt;&gt;"",EDATE($D90,Milestones!$AA$50)&gt;=$S90),$V90,$U90)))=Milestones!$AB$50),UPPER(TEXT(EDATE($D90,Milestones!$AA$50),"dd mmm yy"))&amp;" "&amp;Milestones!$AB$50&amp;" "&amp;Milestones!$AC$50&amp;";  ","")&amp;IF(AND(EDATE($D90,Milestones!$AA$51)&lt;=AsOfDate,IF($R90=0,$X90,IF(AND($T90&lt;&gt;"",EDATE($D90,Milestones!$AA$51)&gt;=$T90),$W90,IF(AND($S90&lt;&gt;"",EDATE($D90,Milestones!$AA$51)&gt;=$S90),$V90,$U90)))=Milestones!$AB$51),UPPER(TEXT(EDATE($D90,Milestones!$AA$51),"dd mmm yy"))&amp;" "&amp;Milestones!$AB$51&amp;" "&amp;Milestones!$AC$51&amp;";  ","")&amp;IF(AND(EDATE($D90,Milestones!$AA$52)&lt;=AsOfDate,IF($R90=0,$X90,IF(AND($T90&lt;&gt;"",EDATE($D90,Milestones!$AA$52)&gt;=$T90),$W90,IF(AND($S90&lt;&gt;"",EDATE($D90,Milestones!$AA$52)&gt;=$S90),$V90,$U90)))=Milestones!$AB$52),UPPER(TEXT(EDATE($D90,Milestones!$AA$52),"dd mmm yy"))&amp;" "&amp;Milestones!$AB$52&amp;" "&amp;Milestones!$AC$52&amp;";  ","")&amp;IF(AND(EDATE($D90,Milestones!$AA$53)&lt;=AsOfDate,IF($R90=0,$X90,IF(AND($T90&lt;&gt;"",EDATE($D90,Milestones!$AA$53)&gt;=$T90),$W90,IF(AND($S90&lt;&gt;"",EDATE($D90,Milestones!$AA$53)&gt;=$S90),$V90,$U90)))=Milestones!$AB$53),UPPER(TEXT(EDATE($D90,Milestones!$AA$53),"dd mmm yy"))&amp;" "&amp;Milestones!$AB$53&amp;" "&amp;Milestones!$AC$53&amp;";  ","")&amp;IF(AND(EDATE($D90,Milestones!$AA$54)&lt;=AsOfDate,IF($R90=0,$X90,IF(AND($T90&lt;&gt;"",EDATE($D90,Milestones!$AA$54)&gt;=$T90),$W90,IF(AND($S90&lt;&gt;"",EDATE($D90,Milestones!$AA$54)&gt;=$S90),$V90,$U90)))=Milestones!$AB$54),UPPER(TEXT(EDATE($D90,Milestones!$AA$54),"dd mmm yy"))&amp;" "&amp;Milestones!$AB$54&amp;" "&amp;Milestones!$AC$54&amp;";  ","")&amp;IF(AND(EDATE($D90,Milestones!$AA$55)&lt;=AsOfDate,IF($R90=0,$X90,IF(AND($T90&lt;&gt;"",EDATE($D90,Milestones!$AA$55)&gt;=$T90),$W90,IF(AND($S90&lt;&gt;"",EDATE($D90,Milestones!$AA$55)&gt;=$S90),$V90,$U90)))=Milestones!$AB$55),UPPER(TEXT(EDATE($D90,Milestones!$AA$55),"dd mmm yy"))&amp;" "&amp;Milestones!$AB$55&amp;" "&amp;Milestones!$AC$55&amp;";  ","")&amp;IF(AND(EDATE($D90,Milestones!$AA$56)&lt;=AsOfDate,IF($R90=0,$X90,IF(AND($T90&lt;&gt;"",EDATE($D90,Milestones!$AA$56)&gt;=$T90),$W90,IF(AND($S90&lt;&gt;"",EDATE($D90,Milestones!$AA$56)&gt;=$S90),$V90,$U90)))=Milestones!$AB$56),UPPER(TEXT(EDATE($D90,Milestones!$AA$56),"dd mmm yy"))&amp;" "&amp;Milestones!$AB$56&amp;" "&amp;Milestones!$AC$56&amp;";  ","")&amp;IF(AND(EDATE($D90,Milestones!$AA$57)&lt;=AsOfDate,IF($R90=0,$X90,IF(AND($T90&lt;&gt;"",EDATE($D90,Milestones!$AA$57)&gt;=$T90),$W90,IF(AND($S90&lt;&gt;"",EDATE($D90,Milestones!$AA$57)&gt;=$S90),$V90,$U90)))=Milestones!$AB$57),UPPER(TEXT(EDATE($D90,Milestones!$AA$57),"dd mmm yy"))&amp;" "&amp;Milestones!$AB$57&amp;" "&amp;Milestones!$AC$57&amp;";  ","")&amp;IF(AND(EDATE($D90,Milestones!$AA$58)&lt;=AsOfDate,IF($R90=0,$X90,IF(AND($T90&lt;&gt;"",EDATE($D90,Milestones!$AA$58)&gt;=$T90),$W90,IF(AND($S90&lt;&gt;"",EDATE($D90,Milestones!$AA$58)&gt;=$S90),$V90,$U90)))=Milestones!$AB$58),UPPER(TEXT(EDATE($D90,Milestones!$AA$58),"dd mmm yy"))&amp;" "&amp;Milestones!$AB$58&amp;" "&amp;Milestones!$AC$58&amp;";  ","")&amp;IF(AND(EDATE($D90,Milestones!$AA$59)&lt;=AsOfDate,IF($R90=0,$X90,IF(AND($T90&lt;&gt;"",EDATE($D90,Milestones!$AA$59)&gt;=$T90),$W90,IF(AND($S90&lt;&gt;"",EDATE($D90,Milestones!$AA$59)&gt;=$S90),$V90,$U90)))=Milestones!$AB$59),UPPER(TEXT(EDATE($D90,Milestones!$AA$59),"dd mmm yy"))&amp;" "&amp;Milestones!$AB$59&amp;" "&amp;Milestones!$AC$59&amp;";  ",""))</f>
        <v/>
      </c>
      <c r="K90" s="0" t="str">
        <f aca="false">IF(OR($A90="",$D90=""),"",IF(AND(EDATE($D90,Milestones!$AA$60)&lt;=AsOfDate,IF($R90=0,$X90,IF(AND($T90&lt;&gt;"",EDATE($D90,Milestones!$AA$60)&gt;=$T90),$W90,IF(AND($S90&lt;&gt;"",EDATE($D90,Milestones!$AA$60)&gt;=$S90),$V90,$U90)))=Milestones!$AB$60),UPPER(TEXT(EDATE($D90,Milestones!$AA$60),"dd mmm yy"))&amp;" "&amp;Milestones!$AB$60&amp;" "&amp;Milestones!$AC$60&amp;";  ","")&amp;IF(AND(EDATE($D90,Milestones!$AA$61)&lt;=AsOfDate,IF($R90=0,$X90,IF(AND($T90&lt;&gt;"",EDATE($D90,Milestones!$AA$61)&gt;=$T90),$W90,IF(AND($S90&lt;&gt;"",EDATE($D90,Milestones!$AA$61)&gt;=$S90),$V90,$U90)))=Milestones!$AB$61),UPPER(TEXT(EDATE($D90,Milestones!$AA$61),"dd mmm yy"))&amp;" "&amp;Milestones!$AB$61&amp;" "&amp;Milestones!$AC$61&amp;";  ","")&amp;IF(AND(EDATE($D90,Milestones!$AA$62)&lt;=AsOfDate,IF($R90=0,$X90,IF(AND($T90&lt;&gt;"",EDATE($D90,Milestones!$AA$62)&gt;=$T90),$W90,IF(AND($S90&lt;&gt;"",EDATE($D90,Milestones!$AA$62)&gt;=$S90),$V90,$U90)))=Milestones!$AB$62),UPPER(TEXT(EDATE($D90,Milestones!$AA$62),"dd mmm yy"))&amp;" "&amp;Milestones!$AB$62&amp;" "&amp;Milestones!$AC$62&amp;";  ","")&amp;IF(AND(EDATE($D90,Milestones!$AA$63)&lt;=AsOfDate,IF($R90=0,$X90,IF(AND($T90&lt;&gt;"",EDATE($D90,Milestones!$AA$63)&gt;=$T90),$W90,IF(AND($S90&lt;&gt;"",EDATE($D90,Milestones!$AA$63)&gt;=$S90),$V90,$U90)))=Milestones!$AB$63),UPPER(TEXT(EDATE($D90,Milestones!$AA$63),"dd mmm yy"))&amp;" "&amp;Milestones!$AB$63&amp;" "&amp;Milestones!$AC$63&amp;";  ","")&amp;IF(AND(EDATE($D90,Milestones!$AA$64)&lt;=AsOfDate,IF($R90=0,$X90,IF(AND($T90&lt;&gt;"",EDATE($D90,Milestones!$AA$64)&gt;=$T90),$W90,IF(AND($S90&lt;&gt;"",EDATE($D90,Milestones!$AA$64)&gt;=$S90),$V90,$U90)))=Milestones!$AB$64),UPPER(TEXT(EDATE($D90,Milestones!$AA$64),"dd mmm yy"))&amp;" "&amp;Milestones!$AB$64&amp;" "&amp;Milestones!$AC$64&amp;";  ","")&amp;IF(AND(EDATE($D90,Milestones!$AA$65)&lt;=AsOfDate,IF($R90=0,$X90,IF(AND($T90&lt;&gt;"",EDATE($D90,Milestones!$AA$65)&gt;=$T90),$W90,IF(AND($S90&lt;&gt;"",EDATE($D90,Milestones!$AA$65)&gt;=$S90),$V90,$U90)))=Milestones!$AB$65),UPPER(TEXT(EDATE($D90,Milestones!$AA$65),"dd mmm yy"))&amp;" "&amp;Milestones!$AB$65&amp;" "&amp;Milestones!$AC$65&amp;";  ","")&amp;IF(AND(EDATE($D90,Milestones!$AA$66)&lt;=AsOfDate,IF($R90=0,$X90,IF(AND($T90&lt;&gt;"",EDATE($D90,Milestones!$AA$66)&gt;=$T90),$W90,IF(AND($S90&lt;&gt;"",EDATE($D90,Milestones!$AA$66)&gt;=$S90),$V90,$U90)))=Milestones!$AB$66),UPPER(TEXT(EDATE($D90,Milestones!$AA$66),"dd mmm yy"))&amp;" "&amp;Milestones!$AB$66&amp;" "&amp;Milestones!$AC$66&amp;";  ","")&amp;IF(AND(EDATE($D90,Milestones!$AA$67)&lt;=AsOfDate,IF($R90=0,$X90,IF(AND($T90&lt;&gt;"",EDATE($D90,Milestones!$AA$67)&gt;=$T90),$W90,IF(AND($S90&lt;&gt;"",EDATE($D90,Milestones!$AA$67)&gt;=$S90),$V90,$U90)))=Milestones!$AB$67),UPPER(TEXT(EDATE($D90,Milestones!$AA$67),"dd mmm yy"))&amp;" "&amp;Milestones!$AB$67&amp;" "&amp;Milestones!$AC$67&amp;";  ","")&amp;IF(AND(EDATE($D90,Milestones!$AA$68)&lt;=AsOfDate,IF($R90=0,$X90,IF(AND($T90&lt;&gt;"",EDATE($D90,Milestones!$AA$68)&gt;=$T90),$W90,IF(AND($S90&lt;&gt;"",EDATE($D90,Milestones!$AA$68)&gt;=$S90),$V90,$U90)))=Milestones!$AB$68),UPPER(TEXT(EDATE($D90,Milestones!$AA$68),"dd mmm yy"))&amp;" "&amp;Milestones!$AB$68&amp;" "&amp;Milestones!$AC$68&amp;";  ","")&amp;IF(AND(EDATE($D90,Milestones!$AA$69)&lt;=AsOfDate,IF($R90=0,$X90,IF(AND($T90&lt;&gt;"",EDATE($D90,Milestones!$AA$69)&gt;=$T90),$W90,IF(AND($S90&lt;&gt;"",EDATE($D90,Milestones!$AA$69)&gt;=$S90),$V90,$U90)))=Milestones!$AB$69),UPPER(TEXT(EDATE($D90,Milestones!$AA$69),"dd mmm yy"))&amp;" "&amp;Milestones!$AB$69&amp;" "&amp;Milestones!$AC$69&amp;";  ","")&amp;IF(AND(EDATE($D90,Milestones!$AA$70)&lt;=AsOfDate,IF($R90=0,$X90,IF(AND($T90&lt;&gt;"",EDATE($D90,Milestones!$AA$70)&gt;=$T90),$W90,IF(AND($S90&lt;&gt;"",EDATE($D90,Milestones!$AA$70)&gt;=$S90),$V90,$U90)))=Milestones!$AB$70),UPPER(TEXT(EDATE($D90,Milestones!$AA$70),"dd mmm yy"))&amp;" "&amp;Milestones!$AB$70&amp;" "&amp;Milestones!$AC$70&amp;";  ","")&amp;IF(AND(EDATE($D90,Milestones!$AA$71)&lt;=AsOfDate,IF($R90=0,$X90,IF(AND($T90&lt;&gt;"",EDATE($D90,Milestones!$AA$71)&gt;=$T90),$W90,IF(AND($S90&lt;&gt;"",EDATE($D90,Milestones!$AA$71)&gt;=$S90),$V90,$U90)))=Milestones!$AB$71),UPPER(TEXT(EDATE($D90,Milestones!$AA$71),"dd mmm yy"))&amp;" "&amp;Milestones!$AB$71&amp;" "&amp;Milestones!$AC$71&amp;";  ","")&amp;IF(AND(EDATE($D90,Milestones!$AA$72)&lt;=AsOfDate,IF($R90=0,$X90,IF(AND($T90&lt;&gt;"",EDATE($D90,Milestones!$AA$72)&gt;=$T90),$W90,IF(AND($S90&lt;&gt;"",EDATE($D90,Milestones!$AA$72)&gt;=$S90),$V90,$U90)))=Milestones!$AB$72),UPPER(TEXT(EDATE($D90,Milestones!$AA$72),"dd mmm yy"))&amp;" "&amp;Milestones!$AB$72&amp;" "&amp;Milestones!$AC$72&amp;";  ","")&amp;IF(AND(EDATE($D90,Milestones!$AA$73)&lt;=AsOfDate,IF($R90=0,$X90,IF(AND($T90&lt;&gt;"",EDATE($D90,Milestones!$AA$73)&gt;=$T90),$W90,IF(AND($S90&lt;&gt;"",EDATE($D90,Milestones!$AA$73)&gt;=$S90),$V90,$U90)))=Milestones!$AB$73),UPPER(TEXT(EDATE($D90,Milestones!$AA$73),"dd mmm yy"))&amp;" "&amp;Milestones!$AB$73&amp;" "&amp;Milestones!$AC$73&amp;";  ","")&amp;IF(AND(EDATE($D90,Milestones!$AA$74)&lt;=AsOfDate,IF($R90=0,$X90,IF(AND($T90&lt;&gt;"",EDATE($D90,Milestones!$AA$74)&gt;=$T90),$W90,IF(AND($S90&lt;&gt;"",EDATE($D90,Milestones!$AA$74)&gt;=$S90),$V90,$U90)))=Milestones!$AB$74),UPPER(TEXT(EDATE($D90,Milestones!$AA$74),"dd mmm yy"))&amp;" "&amp;Milestones!$AB$74&amp;" "&amp;Milestones!$AC$74&amp;";  ","")&amp;IF(AND(EDATE($D90,Milestones!$AA$75)&lt;=AsOfDate,IF($R90=0,$X90,IF(AND($T90&lt;&gt;"",EDATE($D90,Milestones!$AA$75)&gt;=$T90),$W90,IF(AND($S90&lt;&gt;"",EDATE($D90,Milestones!$AA$75)&gt;=$S90),$V90,$U90)))=Milestones!$AB$75),UPPER(TEXT(EDATE($D90,Milestones!$AA$75),"dd mmm yy"))&amp;" "&amp;Milestones!$AB$75&amp;" "&amp;Milestones!$AC$75&amp;";  ","")&amp;IF(AND(EDATE($D90,Milestones!$AA$76)&lt;=AsOfDate,IF($R90=0,$X90,IF(AND($T90&lt;&gt;"",EDATE($D90,Milestones!$AA$76)&gt;=$T90),$W90,IF(AND($S90&lt;&gt;"",EDATE($D90,Milestones!$AA$76)&gt;=$S90),$V90,$U90)))=Milestones!$AB$76),UPPER(TEXT(EDATE($D90,Milestones!$AA$76),"dd mmm yy"))&amp;" "&amp;Milestones!$AB$76&amp;" "&amp;Milestones!$AC$76&amp;";  ","")&amp;IF(AND(EDATE($D90,Milestones!$AA$77)&lt;=AsOfDate,IF($R90=0,$X90,IF(AND($T90&lt;&gt;"",EDATE($D90,Milestones!$AA$77)&gt;=$T90),$W90,IF(AND($S90&lt;&gt;"",EDATE($D90,Milestones!$AA$77)&gt;=$S90),$V90,$U90)))=Milestones!$AB$77),UPPER(TEXT(EDATE($D90,Milestones!$AA$77),"dd mmm yy"))&amp;" "&amp;Milestones!$AB$77&amp;" "&amp;Milestones!$AC$77&amp;";  ","")&amp;IF(AND(EDATE($D90,Milestones!$AA$78)&lt;=AsOfDate,IF($R90=0,$X90,IF(AND($T90&lt;&gt;"",EDATE($D90,Milestones!$AA$78)&gt;=$T90),$W90,IF(AND($S90&lt;&gt;"",EDATE($D90,Milestones!$AA$78)&gt;=$S90),$V90,$U90)))=Milestones!$AB$78),UPPER(TEXT(EDATE($D90,Milestones!$AA$78),"dd mmm yy"))&amp;" "&amp;Milestones!$AB$78&amp;" "&amp;Milestones!$AC$78&amp;";  ","")&amp;IF(AND(EDATE($D90,Milestones!$AA$79)&lt;=AsOfDate,IF($R90=0,$X90,IF(AND($T90&lt;&gt;"",EDATE($D90,Milestones!$AA$79)&gt;=$T90),$W90,IF(AND($S90&lt;&gt;"",EDATE($D90,Milestones!$AA$79)&gt;=$S90),$V90,$U90)))=Milestones!$AB$79),UPPER(TEXT(EDATE($D90,Milestones!$AA$79),"dd mmm yy"))&amp;" "&amp;Milestones!$AB$79&amp;" "&amp;Milestones!$AC$79&amp;";  ",""))</f>
        <v/>
      </c>
      <c r="L90" s="0" t="str">
        <f aca="false">IF(OR($A90="",$D90=""),"",IF(AND(EDATE($D90,Milestones!$AA$80)&lt;=AsOfDate,IF($R90=0,$X90,IF(AND($T90&lt;&gt;"",EDATE($D90,Milestones!$AA$80)&gt;=$T90),$W90,IF(AND($S90&lt;&gt;"",EDATE($D90,Milestones!$AA$80)&gt;=$S90),$V90,$U90)))=Milestones!$AB$80),UPPER(TEXT(EDATE($D90,Milestones!$AA$80),"dd mmm yy"))&amp;" "&amp;Milestones!$AB$80&amp;" "&amp;Milestones!$AC$80&amp;";  ","")&amp;IF(AND(EDATE($D90,Milestones!$AA$81)&lt;=AsOfDate,IF($R90=0,$X90,IF(AND($T90&lt;&gt;"",EDATE($D90,Milestones!$AA$81)&gt;=$T90),$W90,IF(AND($S90&lt;&gt;"",EDATE($D90,Milestones!$AA$81)&gt;=$S90),$V90,$U90)))=Milestones!$AB$81),UPPER(TEXT(EDATE($D90,Milestones!$AA$81),"dd mmm yy"))&amp;" "&amp;Milestones!$AB$81&amp;" "&amp;Milestones!$AC$81&amp;";  ","")&amp;IF(AND(EDATE($D90,Milestones!$AA$82)&lt;=AsOfDate,IF($R90=0,$X90,IF(AND($T90&lt;&gt;"",EDATE($D90,Milestones!$AA$82)&gt;=$T90),$W90,IF(AND($S90&lt;&gt;"",EDATE($D90,Milestones!$AA$82)&gt;=$S90),$V90,$U90)))=Milestones!$AB$82),UPPER(TEXT(EDATE($D90,Milestones!$AA$82),"dd mmm yy"))&amp;" "&amp;Milestones!$AB$82&amp;" "&amp;Milestones!$AC$82&amp;";  ","")&amp;IF(AND(EDATE($D90,Milestones!$AA$83)&lt;=AsOfDate,IF($R90=0,$X90,IF(AND($T90&lt;&gt;"",EDATE($D90,Milestones!$AA$83)&gt;=$T90),$W90,IF(AND($S90&lt;&gt;"",EDATE($D90,Milestones!$AA$83)&gt;=$S90),$V90,$U90)))=Milestones!$AB$83),UPPER(TEXT(EDATE($D90,Milestones!$AA$83),"dd mmm yy"))&amp;" "&amp;Milestones!$AB$83&amp;" "&amp;Milestones!$AC$83&amp;";  ","")&amp;IF(AND(EDATE($D90,Milestones!$AA$84)&lt;=AsOfDate,IF($R90=0,$X90,IF(AND($T90&lt;&gt;"",EDATE($D90,Milestones!$AA$84)&gt;=$T90),$W90,IF(AND($S90&lt;&gt;"",EDATE($D90,Milestones!$AA$84)&gt;=$S90),$V90,$U90)))=Milestones!$AB$84),UPPER(TEXT(EDATE($D90,Milestones!$AA$84),"dd mmm yy"))&amp;" "&amp;Milestones!$AB$84&amp;" "&amp;Milestones!$AC$84&amp;";  ","")&amp;IF(AND(EDATE($D90,Milestones!$AA$85)&lt;=AsOfDate,IF($R90=0,$X90,IF(AND($T90&lt;&gt;"",EDATE($D90,Milestones!$AA$85)&gt;=$T90),$W90,IF(AND($S90&lt;&gt;"",EDATE($D90,Milestones!$AA$85)&gt;=$S90),$V90,$U90)))=Milestones!$AB$85),UPPER(TEXT(EDATE($D90,Milestones!$AA$85),"dd mmm yy"))&amp;" "&amp;Milestones!$AB$85&amp;" "&amp;Milestones!$AC$85&amp;";  ","")&amp;IF(AND(EDATE($D90,Milestones!$AA$86)&lt;=AsOfDate,IF($R90=0,$X90,IF(AND($T90&lt;&gt;"",EDATE($D90,Milestones!$AA$86)&gt;=$T90),$W90,IF(AND($S90&lt;&gt;"",EDATE($D90,Milestones!$AA$86)&gt;=$S90),$V90,$U90)))=Milestones!$AB$86),UPPER(TEXT(EDATE($D90,Milestones!$AA$86),"dd mmm yy"))&amp;" "&amp;Milestones!$AB$86&amp;" "&amp;Milestones!$AC$86&amp;";  ","")&amp;IF(AND(EDATE($D90,Milestones!$AA$87)&lt;=AsOfDate,IF($R90=0,$X90,IF(AND($T90&lt;&gt;"",EDATE($D90,Milestones!$AA$87)&gt;=$T90),$W90,IF(AND($S90&lt;&gt;"",EDATE($D90,Milestones!$AA$87)&gt;=$S90),$V90,$U90)))=Milestones!$AB$87),UPPER(TEXT(EDATE($D90,Milestones!$AA$87),"dd mmm yy"))&amp;" "&amp;Milestones!$AB$87&amp;" "&amp;Milestones!$AC$87&amp;";  ","")&amp;IF(AND(EDATE($D90,Milestones!$AA$88)&lt;=AsOfDate,IF($R90=0,$X90,IF(AND($T90&lt;&gt;"",EDATE($D90,Milestones!$AA$88)&gt;=$T90),$W90,IF(AND($S90&lt;&gt;"",EDATE($D90,Milestones!$AA$88)&gt;=$S90),$V90,$U90)))=Milestones!$AB$88),UPPER(TEXT(EDATE($D90,Milestones!$AA$88),"dd mmm yy"))&amp;" "&amp;Milestones!$AB$88&amp;" "&amp;Milestones!$AC$88&amp;";  ","")&amp;IF(AND(EDATE($D90,Milestones!$AA$89)&lt;=AsOfDate,IF($R90=0,$X90,IF(AND($T90&lt;&gt;"",EDATE($D90,Milestones!$AA$89)&gt;=$T90),$W90,IF(AND($S90&lt;&gt;"",EDATE($D90,Milestones!$AA$89)&gt;=$S90),$V90,$U90)))=Milestones!$AB$89),UPPER(TEXT(EDATE($D90,Milestones!$AA$89),"dd mmm yy"))&amp;" "&amp;Milestones!$AB$89&amp;" "&amp;Milestones!$AC$89&amp;";  ","")&amp;IF(AND(EDATE($D90,Milestones!$AA$90)&lt;=AsOfDate,IF($R90=0,$X90,IF(AND($T90&lt;&gt;"",EDATE($D90,Milestones!$AA$90)&gt;=$T90),$W90,IF(AND($S90&lt;&gt;"",EDATE($D90,Milestones!$AA$90)&gt;=$S90),$V90,$U90)))=Milestones!$AB$90),UPPER(TEXT(EDATE($D90,Milestones!$AA$90),"dd mmm yy"))&amp;" "&amp;Milestones!$AB$90&amp;" "&amp;Milestones!$AC$90&amp;";  ","")&amp;IF(AND(EDATE($D90,Milestones!$AA$91)&lt;=AsOfDate,IF($R90=0,$X90,IF(AND($T90&lt;&gt;"",EDATE($D90,Milestones!$AA$91)&gt;=$T90),$W90,IF(AND($S90&lt;&gt;"",EDATE($D90,Milestones!$AA$91)&gt;=$S90),$V90,$U90)))=Milestones!$AB$91),UPPER(TEXT(EDATE($D90,Milestones!$AA$91),"dd mmm yy"))&amp;" "&amp;Milestones!$AB$91&amp;" "&amp;Milestones!$AC$91&amp;";  ","")&amp;IF(AND(EDATE($D90,Milestones!$AA$92)&lt;=AsOfDate,IF($R90=0,$X90,IF(AND($T90&lt;&gt;"",EDATE($D90,Milestones!$AA$92)&gt;=$T90),$W90,IF(AND($S90&lt;&gt;"",EDATE($D90,Milestones!$AA$92)&gt;=$S90),$V90,$U90)))=Milestones!$AB$92),UPPER(TEXT(EDATE($D90,Milestones!$AA$92),"dd mmm yy"))&amp;" "&amp;Milestones!$AB$92&amp;" "&amp;Milestones!$AC$92&amp;";  ","")&amp;IF(AND(EDATE($D90,Milestones!$AA$93)&lt;=AsOfDate,IF($R90=0,$X90,IF(AND($T90&lt;&gt;"",EDATE($D90,Milestones!$AA$93)&gt;=$T90),$W90,IF(AND($S90&lt;&gt;"",EDATE($D90,Milestones!$AA$93)&gt;=$S90),$V90,$U90)))=Milestones!$AB$93),UPPER(TEXT(EDATE($D90,Milestones!$AA$93),"dd mmm yy"))&amp;" "&amp;Milestones!$AB$93&amp;" "&amp;Milestones!$AC$93&amp;";  ","")&amp;IF(AND(EDATE($D90,Milestones!$AA$94)&lt;=AsOfDate,IF($R90=0,$X90,IF(AND($T90&lt;&gt;"",EDATE($D90,Milestones!$AA$94)&gt;=$T90),$W90,IF(AND($S90&lt;&gt;"",EDATE($D90,Milestones!$AA$94)&gt;=$S90),$V90,$U90)))=Milestones!$AB$94),UPPER(TEXT(EDATE($D90,Milestones!$AA$94),"dd mmm yy"))&amp;" "&amp;Milestones!$AB$94&amp;" "&amp;Milestones!$AC$94&amp;";  ","")&amp;IF(AND(EDATE($D90,Milestones!$AA$95)&lt;=AsOfDate,IF($R90=0,$X90,IF(AND($T90&lt;&gt;"",EDATE($D90,Milestones!$AA$95)&gt;=$T90),$W90,IF(AND($S90&lt;&gt;"",EDATE($D90,Milestones!$AA$95)&gt;=$S90),$V90,$U90)))=Milestones!$AB$95),UPPER(TEXT(EDATE($D90,Milestones!$AA$95),"dd mmm yy"))&amp;" "&amp;Milestones!$AB$95&amp;" "&amp;Milestones!$AC$95&amp;";  ","")&amp;IF(AND(EDATE($D90,Milestones!$AA$96)&lt;=AsOfDate,IF($R90=0,$X90,IF(AND($T90&lt;&gt;"",EDATE($D90,Milestones!$AA$96)&gt;=$T90),$W90,IF(AND($S90&lt;&gt;"",EDATE($D90,Milestones!$AA$96)&gt;=$S90),$V90,$U90)))=Milestones!$AB$96),UPPER(TEXT(EDATE($D90,Milestones!$AA$96),"dd mmm yy"))&amp;" "&amp;Milestones!$AB$96&amp;" "&amp;Milestones!$AC$96&amp;";  ","")&amp;IF(AND(EDATE($D90,Milestones!$AA$97)&lt;=AsOfDate,IF($R90=0,$X90,IF(AND($T90&lt;&gt;"",EDATE($D90,Milestones!$AA$97)&gt;=$T90),$W90,IF(AND($S90&lt;&gt;"",EDATE($D90,Milestones!$AA$97)&gt;=$S90),$V90,$U90)))=Milestones!$AB$97),UPPER(TEXT(EDATE($D90,Milestones!$AA$97),"dd mmm yy"))&amp;" "&amp;Milestones!$AB$97&amp;" "&amp;Milestones!$AC$97&amp;";  ","")&amp;IF(AND(EDATE($D90,Milestones!$AA$98)&lt;=AsOfDate,IF($R90=0,$X90,IF(AND($T90&lt;&gt;"",EDATE($D90,Milestones!$AA$98)&gt;=$T90),$W90,IF(AND($S90&lt;&gt;"",EDATE($D90,Milestones!$AA$98)&gt;=$S90),$V90,$U90)))=Milestones!$AB$98),UPPER(TEXT(EDATE($D90,Milestones!$AA$98),"dd mmm yy"))&amp;" "&amp;Milestones!$AB$98&amp;" "&amp;Milestones!$AC$98&amp;";  ","")&amp;IF(AND(EDATE($D90,Milestones!$AA$99)&lt;=AsOfDate,IF($R90=0,$X90,IF(AND($T90&lt;&gt;"",EDATE($D90,Milestones!$AA$99)&gt;=$T90),$W90,IF(AND($S90&lt;&gt;"",EDATE($D90,Milestones!$AA$99)&gt;=$S90),$V90,$U90)))=Milestones!$AB$99),UPPER(TEXT(EDATE($D90,Milestones!$AA$99),"dd mmm yy"))&amp;" "&amp;Milestones!$AB$99&amp;" "&amp;Milestones!$AC$99&amp;";  ",""))</f>
        <v/>
      </c>
      <c r="M90" s="0" t="str">
        <f aca="false">IF(OR($A90="",$D90=""),"",IF(AND(EDATE($D90,Milestones!$AA$100)&lt;=AsOfDate,IF($R90=0,$X90,IF(AND($T90&lt;&gt;"",EDATE($D90,Milestones!$AA$100)&gt;=$T90),$W90,IF(AND($S90&lt;&gt;"",EDATE($D90,Milestones!$AA$100)&gt;=$S90),$V90,$U90)))=Milestones!$AB$100),UPPER(TEXT(EDATE($D90,Milestones!$AA$100),"dd mmm yy"))&amp;" "&amp;Milestones!$AB$100&amp;" "&amp;Milestones!$AC$100&amp;";  ","")&amp;IF(AND(EDATE($D90,Milestones!$AA$101)&lt;=AsOfDate,IF($R90=0,$X90,IF(AND($T90&lt;&gt;"",EDATE($D90,Milestones!$AA$101)&gt;=$T90),$W90,IF(AND($S90&lt;&gt;"",EDATE($D90,Milestones!$AA$101)&gt;=$S90),$V90,$U90)))=Milestones!$AB$101),UPPER(TEXT(EDATE($D90,Milestones!$AA$101),"dd mmm yy"))&amp;" "&amp;Milestones!$AB$101&amp;" "&amp;Milestones!$AC$101&amp;";  ","")&amp;IF(AND(EDATE($D90,Milestones!$AA$102)&lt;=AsOfDate,IF($R90=0,$X90,IF(AND($T90&lt;&gt;"",EDATE($D90,Milestones!$AA$102)&gt;=$T90),$W90,IF(AND($S90&lt;&gt;"",EDATE($D90,Milestones!$AA$102)&gt;=$S90),$V90,$U90)))=Milestones!$AB$102),UPPER(TEXT(EDATE($D90,Milestones!$AA$102),"dd mmm yy"))&amp;" "&amp;Milestones!$AB$102&amp;" "&amp;Milestones!$AC$102&amp;";  ","")&amp;IF(AND(EDATE($D90,Milestones!$AA$103)&lt;=AsOfDate,IF($R90=0,$X90,IF(AND($T90&lt;&gt;"",EDATE($D90,Milestones!$AA$103)&gt;=$T90),$W90,IF(AND($S90&lt;&gt;"",EDATE($D90,Milestones!$AA$103)&gt;=$S90),$V90,$U90)))=Milestones!$AB$103),UPPER(TEXT(EDATE($D90,Milestones!$AA$103),"dd mmm yy"))&amp;" "&amp;Milestones!$AB$103&amp;" "&amp;Milestones!$AC$103&amp;";  ","")&amp;IF(AND(EDATE($D90,Milestones!$AA$104)&lt;=AsOfDate,IF($R90=0,$X90,IF(AND($T90&lt;&gt;"",EDATE($D90,Milestones!$AA$104)&gt;=$T90),$W90,IF(AND($S90&lt;&gt;"",EDATE($D90,Milestones!$AA$104)&gt;=$S90),$V90,$U90)))=Milestones!$AB$104),UPPER(TEXT(EDATE($D90,Milestones!$AA$104),"dd mmm yy"))&amp;" "&amp;Milestones!$AB$104&amp;" "&amp;Milestones!$AC$104&amp;";  ","")&amp;IF(AND(EDATE($D90,Milestones!$AA$105)&lt;=AsOfDate,IF($R90=0,$X90,IF(AND($T90&lt;&gt;"",EDATE($D90,Milestones!$AA$105)&gt;=$T90),$W90,IF(AND($S90&lt;&gt;"",EDATE($D90,Milestones!$AA$105)&gt;=$S90),$V90,$U90)))=Milestones!$AB$105),UPPER(TEXT(EDATE($D90,Milestones!$AA$105),"dd mmm yy"))&amp;" "&amp;Milestones!$AB$105&amp;" "&amp;Milestones!$AC$105&amp;";  ","")&amp;IF(AND(EDATE($D90,Milestones!$AA$106)&lt;=AsOfDate,IF($R90=0,$X90,IF(AND($T90&lt;&gt;"",EDATE($D90,Milestones!$AA$106)&gt;=$T90),$W90,IF(AND($S90&lt;&gt;"",EDATE($D90,Milestones!$AA$106)&gt;=$S90),$V90,$U90)))=Milestones!$AB$106),UPPER(TEXT(EDATE($D90,Milestones!$AA$106),"dd mmm yy"))&amp;" "&amp;Milestones!$AB$106&amp;" "&amp;Milestones!$AC$106&amp;";  ","")&amp;IF(AND(EDATE($D90,Milestones!$AA$107)&lt;=AsOfDate,IF($R90=0,$X90,IF(AND($T90&lt;&gt;"",EDATE($D90,Milestones!$AA$107)&gt;=$T90),$W90,IF(AND($S90&lt;&gt;"",EDATE($D90,Milestones!$AA$107)&gt;=$S90),$V90,$U90)))=Milestones!$AB$107),UPPER(TEXT(EDATE($D90,Milestones!$AA$107),"dd mmm yy"))&amp;" "&amp;Milestones!$AB$107&amp;" "&amp;Milestones!$AC$107&amp;";  ","")&amp;IF(AND(EDATE($D90,Milestones!$AA$108)&lt;=AsOfDate,IF($R90=0,$X90,IF(AND($T90&lt;&gt;"",EDATE($D90,Milestones!$AA$108)&gt;=$T90),$W90,IF(AND($S90&lt;&gt;"",EDATE($D90,Milestones!$AA$108)&gt;=$S90),$V90,$U90)))=Milestones!$AB$108),UPPER(TEXT(EDATE($D90,Milestones!$AA$108),"dd mmm yy"))&amp;" "&amp;Milestones!$AB$108&amp;" "&amp;Milestones!$AC$108&amp;";  ","")&amp;IF(AND(EDATE($D90,Milestones!$AA$109)&lt;=AsOfDate,IF($R90=0,$X90,IF(AND($T90&lt;&gt;"",EDATE($D90,Milestones!$AA$109)&gt;=$T90),$W90,IF(AND($S90&lt;&gt;"",EDATE($D90,Milestones!$AA$109)&gt;=$S90),$V90,$U90)))=Milestones!$AB$109),UPPER(TEXT(EDATE($D90,Milestones!$AA$109),"dd mmm yy"))&amp;" "&amp;Milestones!$AB$109&amp;" "&amp;Milestones!$AC$109&amp;";  ","")&amp;IF(AND(EDATE($D90,Milestones!$AA$110)&lt;=AsOfDate,IF($R90=0,$X90,IF(AND($T90&lt;&gt;"",EDATE($D90,Milestones!$AA$110)&gt;=$T90),$W90,IF(AND($S90&lt;&gt;"",EDATE($D90,Milestones!$AA$110)&gt;=$S90),$V90,$U90)))=Milestones!$AB$110),UPPER(TEXT(EDATE($D90,Milestones!$AA$110),"dd mmm yy"))&amp;" "&amp;Milestones!$AB$110&amp;" "&amp;Milestones!$AC$110&amp;";  ","")&amp;IF(AND(EDATE($D90,Milestones!$AA$111)&lt;=AsOfDate,IF($R90=0,$X90,IF(AND($T90&lt;&gt;"",EDATE($D90,Milestones!$AA$111)&gt;=$T90),$W90,IF(AND($S90&lt;&gt;"",EDATE($D90,Milestones!$AA$111)&gt;=$S90),$V90,$U90)))=Milestones!$AB$111),UPPER(TEXT(EDATE($D90,Milestones!$AA$111),"dd mmm yy"))&amp;" "&amp;Milestones!$AB$111&amp;" "&amp;Milestones!$AC$111&amp;";  ","")&amp;IF(AND(EDATE($D90,Milestones!$AA$112)&lt;=AsOfDate,IF($R90=0,$X90,IF(AND($T90&lt;&gt;"",EDATE($D90,Milestones!$AA$112)&gt;=$T90),$W90,IF(AND($S90&lt;&gt;"",EDATE($D90,Milestones!$AA$112)&gt;=$S90),$V90,$U90)))=Milestones!$AB$112),UPPER(TEXT(EDATE($D90,Milestones!$AA$112),"dd mmm yy"))&amp;" "&amp;Milestones!$AB$112&amp;" "&amp;Milestones!$AC$112&amp;";  ","")&amp;IF(AND(EDATE($D90,Milestones!$AA$113)&lt;=AsOfDate,IF($R90=0,$X90,IF(AND($T90&lt;&gt;"",EDATE($D90,Milestones!$AA$113)&gt;=$T90),$W90,IF(AND($S90&lt;&gt;"",EDATE($D90,Milestones!$AA$113)&gt;=$S90),$V90,$U90)))=Milestones!$AB$113),UPPER(TEXT(EDATE($D90,Milestones!$AA$113),"dd mmm yy"))&amp;" "&amp;Milestones!$AB$113&amp;" "&amp;Milestones!$AC$113&amp;";  ","")&amp;IF(AND(EDATE($D90,Milestones!$AA$114)&lt;=AsOfDate,IF($R90=0,$X90,IF(AND($T90&lt;&gt;"",EDATE($D90,Milestones!$AA$114)&gt;=$T90),$W90,IF(AND($S90&lt;&gt;"",EDATE($D90,Milestones!$AA$114)&gt;=$S90),$V90,$U90)))=Milestones!$AB$114),UPPER(TEXT(EDATE($D90,Milestones!$AA$114),"dd mmm yy"))&amp;" "&amp;Milestones!$AB$114&amp;" "&amp;Milestones!$AC$114&amp;";  ","")&amp;IF(AND(EDATE($D90,Milestones!$AA$115)&lt;=AsOfDate,IF($R90=0,$X90,IF(AND($T90&lt;&gt;"",EDATE($D90,Milestones!$AA$115)&gt;=$T90),$W90,IF(AND($S90&lt;&gt;"",EDATE($D90,Milestones!$AA$115)&gt;=$S90),$V90,$U90)))=Milestones!$AB$115),UPPER(TEXT(EDATE($D90,Milestones!$AA$115),"dd mmm yy"))&amp;" "&amp;Milestones!$AB$115&amp;" "&amp;Milestones!$AC$115&amp;";  ","")&amp;IF(AND(EDATE($D90,Milestones!$AA$116)&lt;=AsOfDate,IF($R90=0,$X90,IF(AND($T90&lt;&gt;"",EDATE($D90,Milestones!$AA$116)&gt;=$T90),$W90,IF(AND($S90&lt;&gt;"",EDATE($D90,Milestones!$AA$116)&gt;=$S90),$V90,$U90)))=Milestones!$AB$116),UPPER(TEXT(EDATE($D90,Milestones!$AA$116),"dd mmm yy"))&amp;" "&amp;Milestones!$AB$116&amp;" "&amp;Milestones!$AC$116&amp;";  ","")&amp;IF(AND(EDATE($D90,Milestones!$AA$117)&lt;=AsOfDate,IF($R90=0,$X90,IF(AND($T90&lt;&gt;"",EDATE($D90,Milestones!$AA$117)&gt;=$T90),$W90,IF(AND($S90&lt;&gt;"",EDATE($D90,Milestones!$AA$117)&gt;=$S90),$V90,$U90)))=Milestones!$AB$117),UPPER(TEXT(EDATE($D90,Milestones!$AA$117),"dd mmm yy"))&amp;" "&amp;Milestones!$AB$117&amp;" "&amp;Milestones!$AC$117&amp;";  ","")&amp;IF(AND(EDATE($D90,Milestones!$AA$118)&lt;=AsOfDate,IF($R90=0,$X90,IF(AND($T90&lt;&gt;"",EDATE($D90,Milestones!$AA$118)&gt;=$T90),$W90,IF(AND($S90&lt;&gt;"",EDATE($D90,Milestones!$AA$118)&gt;=$S90),$V90,$U90)))=Milestones!$AB$118),UPPER(TEXT(EDATE($D90,Milestones!$AA$118),"dd mmm yy"))&amp;" "&amp;Milestones!$AB$118&amp;" "&amp;Milestones!$AC$118&amp;";  ","")&amp;IF(AND(EDATE($D90,Milestones!$AA$119)&lt;=AsOfDate,IF($R90=0,$X90,IF(AND($T90&lt;&gt;"",EDATE($D90,Milestones!$AA$119)&gt;=$T90),$W90,IF(AND($S90&lt;&gt;"",EDATE($D90,Milestones!$AA$119)&gt;=$S90),$V90,$U90)))=Milestones!$AB$119),UPPER(TEXT(EDATE($D90,Milestones!$AA$119),"dd mmm yy"))&amp;" "&amp;Milestones!$AB$119&amp;" "&amp;Milestones!$AC$119&amp;";  ",""))</f>
        <v/>
      </c>
      <c r="N90" s="0" t="str">
        <f aca="false">IF(OR($A90="",$D90=""),"",IF(AND(EDATE($D90,Milestones!$AA$120)&lt;=AsOfDate,IF($R90=0,$X90,IF(AND($T90&lt;&gt;"",EDATE($D90,Milestones!$AA$120)&gt;=$T90),$W90,IF(AND($S90&lt;&gt;"",EDATE($D90,Milestones!$AA$120)&gt;=$S90),$V90,$U90)))=Milestones!$AB$120),UPPER(TEXT(EDATE($D90,Milestones!$AA$120),"dd mmm yy"))&amp;" "&amp;Milestones!$AB$120&amp;" "&amp;Milestones!$AC$120&amp;";  ","")&amp;IF(AND(EDATE($D90,Milestones!$AA$121)&lt;=AsOfDate,IF($R90=0,$X90,IF(AND($T90&lt;&gt;"",EDATE($D90,Milestones!$AA$121)&gt;=$T90),$W90,IF(AND($S90&lt;&gt;"",EDATE($D90,Milestones!$AA$121)&gt;=$S90),$V90,$U90)))=Milestones!$AB$121),UPPER(TEXT(EDATE($D90,Milestones!$AA$121),"dd mmm yy"))&amp;" "&amp;Milestones!$AB$121&amp;" "&amp;Milestones!$AC$121&amp;";  ","")&amp;IF(AND(EDATE($D90,Milestones!$AA$122)&lt;=AsOfDate,IF($R90=0,$X90,IF(AND($T90&lt;&gt;"",EDATE($D90,Milestones!$AA$122)&gt;=$T90),$W90,IF(AND($S90&lt;&gt;"",EDATE($D90,Milestones!$AA$122)&gt;=$S90),$V90,$U90)))=Milestones!$AB$122),UPPER(TEXT(EDATE($D90,Milestones!$AA$122),"dd mmm yy"))&amp;" "&amp;Milestones!$AB$122&amp;" "&amp;Milestones!$AC$122&amp;";  ","")&amp;IF(AND(EDATE($D90,Milestones!$AA$123)&lt;=AsOfDate,IF($R90=0,$X90,IF(AND($T90&lt;&gt;"",EDATE($D90,Milestones!$AA$123)&gt;=$T90),$W90,IF(AND($S90&lt;&gt;"",EDATE($D90,Milestones!$AA$123)&gt;=$S90),$V90,$U90)))=Milestones!$AB$123),UPPER(TEXT(EDATE($D90,Milestones!$AA$123),"dd mmm yy"))&amp;" "&amp;Milestones!$AB$123&amp;" "&amp;Milestones!$AC$123&amp;";  ","")&amp;IF(AND(EDATE($D90,Milestones!$AA$124)&lt;=AsOfDate,IF($R90=0,$X90,IF(AND($T90&lt;&gt;"",EDATE($D90,Milestones!$AA$124)&gt;=$T90),$W90,IF(AND($S90&lt;&gt;"",EDATE($D90,Milestones!$AA$124)&gt;=$S90),$V90,$U90)))=Milestones!$AB$124),UPPER(TEXT(EDATE($D90,Milestones!$AA$124),"dd mmm yy"))&amp;" "&amp;Milestones!$AB$124&amp;" "&amp;Milestones!$AC$124&amp;";  ","")&amp;IF(AND(EDATE($D90,Milestones!$AA$125)&lt;=AsOfDate,IF($R90=0,$X90,IF(AND($T90&lt;&gt;"",EDATE($D90,Milestones!$AA$125)&gt;=$T90),$W90,IF(AND($S90&lt;&gt;"",EDATE($D90,Milestones!$AA$125)&gt;=$S90),$V90,$U90)))=Milestones!$AB$125),UPPER(TEXT(EDATE($D90,Milestones!$AA$125),"dd mmm yy"))&amp;" "&amp;Milestones!$AB$125&amp;" "&amp;Milestones!$AC$125&amp;";  ","")&amp;IF(AND(EDATE($D90,Milestones!$AA$126)&lt;=AsOfDate,IF($R90=0,$X90,IF(AND($T90&lt;&gt;"",EDATE($D90,Milestones!$AA$126)&gt;=$T90),$W90,IF(AND($S90&lt;&gt;"",EDATE($D90,Milestones!$AA$126)&gt;=$S90),$V90,$U90)))=Milestones!$AB$126),UPPER(TEXT(EDATE($D90,Milestones!$AA$126),"dd mmm yy"))&amp;" "&amp;Milestones!$AB$126&amp;" "&amp;Milestones!$AC$126&amp;";  ","")&amp;IF(AND(EDATE($D90,Milestones!$AA$127)&lt;=AsOfDate,IF($R90=0,$X90,IF(AND($T90&lt;&gt;"",EDATE($D90,Milestones!$AA$127)&gt;=$T90),$W90,IF(AND($S90&lt;&gt;"",EDATE($D90,Milestones!$AA$127)&gt;=$S90),$V90,$U90)))=Milestones!$AB$127),UPPER(TEXT(EDATE($D90,Milestones!$AA$127),"dd mmm yy"))&amp;" "&amp;Milestones!$AB$127&amp;" "&amp;Milestones!$AC$127&amp;";  ","")&amp;IF(AND(EDATE($D90,Milestones!$AA$128)&lt;=AsOfDate,IF($R90=0,$X90,IF(AND($T90&lt;&gt;"",EDATE($D90,Milestones!$AA$128)&gt;=$T90),$W90,IF(AND($S90&lt;&gt;"",EDATE($D90,Milestones!$AA$128)&gt;=$S90),$V90,$U90)))=Milestones!$AB$128),UPPER(TEXT(EDATE($D90,Milestones!$AA$128),"dd mmm yy"))&amp;" "&amp;Milestones!$AB$128&amp;" "&amp;Milestones!$AC$128&amp;";  ","")&amp;IF(AND(EDATE($D90,Milestones!$AA$129)&lt;=AsOfDate,IF($R90=0,$X90,IF(AND($T90&lt;&gt;"",EDATE($D90,Milestones!$AA$129)&gt;=$T90),$W90,IF(AND($S90&lt;&gt;"",EDATE($D90,Milestones!$AA$129)&gt;=$S90),$V90,$U90)))=Milestones!$AB$129),UPPER(TEXT(EDATE($D90,Milestones!$AA$129),"dd mmm yy"))&amp;" "&amp;Milestones!$AB$129&amp;" "&amp;Milestones!$AC$129&amp;";  ","")&amp;IF(AND(EDATE($D90,Milestones!$AA$130)&lt;=AsOfDate,IF($R90=0,$X90,IF(AND($T90&lt;&gt;"",EDATE($D90,Milestones!$AA$130)&gt;=$T90),$W90,IF(AND($S90&lt;&gt;"",EDATE($D90,Milestones!$AA$130)&gt;=$S90),$V90,$U90)))=Milestones!$AB$130),UPPER(TEXT(EDATE($D90,Milestones!$AA$130),"dd mmm yy"))&amp;" "&amp;Milestones!$AB$130&amp;" "&amp;Milestones!$AC$130&amp;";  ","")&amp;IF(AND(EDATE($D90,Milestones!$AA$131)&lt;=AsOfDate,IF($R90=0,$X90,IF(AND($T90&lt;&gt;"",EDATE($D90,Milestones!$AA$131)&gt;=$T90),$W90,IF(AND($S90&lt;&gt;"",EDATE($D90,Milestones!$AA$131)&gt;=$S90),$V90,$U90)))=Milestones!$AB$131),UPPER(TEXT(EDATE($D90,Milestones!$AA$131),"dd mmm yy"))&amp;" "&amp;Milestones!$AB$131&amp;" "&amp;Milestones!$AC$131&amp;";  ","")&amp;IF(AND(EDATE($D90,Milestones!$AA$132)&lt;=AsOfDate,IF($R90=0,$X90,IF(AND($T90&lt;&gt;"",EDATE($D90,Milestones!$AA$132)&gt;=$T90),$W90,IF(AND($S90&lt;&gt;"",EDATE($D90,Milestones!$AA$132)&gt;=$S90),$V90,$U90)))=Milestones!$AB$132),UPPER(TEXT(EDATE($D90,Milestones!$AA$132),"dd mmm yy"))&amp;" "&amp;Milestones!$AB$132&amp;" "&amp;Milestones!$AC$132&amp;";  ","")&amp;IF(AND(EDATE($D90,Milestones!$AA$133)&lt;=AsOfDate,IF($R90=0,$X90,IF(AND($T90&lt;&gt;"",EDATE($D90,Milestones!$AA$133)&gt;=$T90),$W90,IF(AND($S90&lt;&gt;"",EDATE($D90,Milestones!$AA$133)&gt;=$S90),$V90,$U90)))=Milestones!$AB$133),UPPER(TEXT(EDATE($D90,Milestones!$AA$133),"dd mmm yy"))&amp;" "&amp;Milestones!$AB$133&amp;" "&amp;Milestones!$AC$133&amp;";  ","")&amp;IF(AND(EDATE($D90,Milestones!$AA$134)&lt;=AsOfDate,IF($R90=0,$X90,IF(AND($T90&lt;&gt;"",EDATE($D90,Milestones!$AA$134)&gt;=$T90),$W90,IF(AND($S90&lt;&gt;"",EDATE($D90,Milestones!$AA$134)&gt;=$S90),$V90,$U90)))=Milestones!$AB$134),UPPER(TEXT(EDATE($D90,Milestones!$AA$134),"dd mmm yy"))&amp;" "&amp;Milestones!$AB$134&amp;" "&amp;Milestones!$AC$134&amp;";  ","")&amp;IF(AND(EDATE($D90,Milestones!$AA$135)&lt;=AsOfDate,IF($R90=0,$X90,IF(AND($T90&lt;&gt;"",EDATE($D90,Milestones!$AA$135)&gt;=$T90),$W90,IF(AND($S90&lt;&gt;"",EDATE($D90,Milestones!$AA$135)&gt;=$S90),$V90,$U90)))=Milestones!$AB$135),UPPER(TEXT(EDATE($D90,Milestones!$AA$135),"dd mmm yy"))&amp;" "&amp;Milestones!$AB$135&amp;" "&amp;Milestones!$AC$135&amp;";  ","")&amp;IF(AND(EDATE($D90,Milestones!$AA$136)&lt;=AsOfDate,IF($R90=0,$X90,IF(AND($T90&lt;&gt;"",EDATE($D90,Milestones!$AA$136)&gt;=$T90),$W90,IF(AND($S90&lt;&gt;"",EDATE($D90,Milestones!$AA$136)&gt;=$S90),$V90,$U90)))=Milestones!$AB$136),UPPER(TEXT(EDATE($D90,Milestones!$AA$136),"dd mmm yy"))&amp;" "&amp;Milestones!$AB$136&amp;" "&amp;Milestones!$AC$136&amp;";  ","")&amp;IF(AND(EDATE($D90,Milestones!$AA$137)&lt;=AsOfDate,IF($R90=0,$X90,IF(AND($T90&lt;&gt;"",EDATE($D90,Milestones!$AA$137)&gt;=$T90),$W90,IF(AND($S90&lt;&gt;"",EDATE($D90,Milestones!$AA$137)&gt;=$S90),$V90,$U90)))=Milestones!$AB$137),UPPER(TEXT(EDATE($D90,Milestones!$AA$137),"dd mmm yy"))&amp;" "&amp;Milestones!$AB$137&amp;" "&amp;Milestones!$AC$137&amp;";  ","")&amp;IF(AND(EDATE($D90,Milestones!$AA$138)&lt;=AsOfDate,IF($R90=0,$X90,IF(AND($T90&lt;&gt;"",EDATE($D90,Milestones!$AA$138)&gt;=$T90),$W90,IF(AND($S90&lt;&gt;"",EDATE($D90,Milestones!$AA$138)&gt;=$S90),$V90,$U90)))=Milestones!$AB$138),UPPER(TEXT(EDATE($D90,Milestones!$AA$138),"dd mmm yy"))&amp;" "&amp;Milestones!$AB$138&amp;" "&amp;Milestones!$AC$138&amp;";  ","")&amp;IF(AND(EDATE($D90,Milestones!$AA$139)&lt;=AsOfDate,IF($R90=0,$X90,IF(AND($T90&lt;&gt;"",EDATE($D90,Milestones!$AA$139)&gt;=$T90),$W90,IF(AND($S90&lt;&gt;"",EDATE($D90,Milestones!$AA$139)&gt;=$S90),$V90,$U90)))=Milestones!$AB$139),UPPER(TEXT(EDATE($D90,Milestones!$AA$139),"dd mmm yy"))&amp;" "&amp;Milestones!$AB$139&amp;" "&amp;Milestones!$AC$139&amp;";  ",""))</f>
        <v/>
      </c>
      <c r="O90" s="0" t="str">
        <f aca="false">IF(OR($A90="",$D90=""),"",IF(AND(EDATE($D90,Milestones!$AA$140)&lt;=AsOfDate,IF($R90=0,$X90,IF(AND($T90&lt;&gt;"",EDATE($D90,Milestones!$AA$140)&gt;=$T90),$W90,IF(AND($S90&lt;&gt;"",EDATE($D90,Milestones!$AA$140)&gt;=$S90),$V90,$U90)))=Milestones!$AB$140),UPPER(TEXT(EDATE($D90,Milestones!$AA$140),"dd mmm yy"))&amp;" "&amp;Milestones!$AB$140&amp;" "&amp;Milestones!$AC$140&amp;";  ","")&amp;IF(AND(EDATE($D90,Milestones!$AA$141)&lt;=AsOfDate,IF($R90=0,$X90,IF(AND($T90&lt;&gt;"",EDATE($D90,Milestones!$AA$141)&gt;=$T90),$W90,IF(AND($S90&lt;&gt;"",EDATE($D90,Milestones!$AA$141)&gt;=$S90),$V90,$U90)))=Milestones!$AB$141),UPPER(TEXT(EDATE($D90,Milestones!$AA$141),"dd mmm yy"))&amp;" "&amp;Milestones!$AB$141&amp;" "&amp;Milestones!$AC$141&amp;";  ","")&amp;IF(AND(EDATE($D90,Milestones!$AA$142)&lt;=AsOfDate,IF($R90=0,$X90,IF(AND($T90&lt;&gt;"",EDATE($D90,Milestones!$AA$142)&gt;=$T90),$W90,IF(AND($S90&lt;&gt;"",EDATE($D90,Milestones!$AA$142)&gt;=$S90),$V90,$U90)))=Milestones!$AB$142),UPPER(TEXT(EDATE($D90,Milestones!$AA$142),"dd mmm yy"))&amp;" "&amp;Milestones!$AB$142&amp;" "&amp;Milestones!$AC$142&amp;";  ","")&amp;IF(AND(EDATE($D90,Milestones!$AA$143)&lt;=AsOfDate,IF($R90=0,$X90,IF(AND($T90&lt;&gt;"",EDATE($D90,Milestones!$AA$143)&gt;=$T90),$W90,IF(AND($S90&lt;&gt;"",EDATE($D90,Milestones!$AA$143)&gt;=$S90),$V90,$U90)))=Milestones!$AB$143),UPPER(TEXT(EDATE($D90,Milestones!$AA$143),"dd mmm yy"))&amp;" "&amp;Milestones!$AB$143&amp;" "&amp;Milestones!$AC$143&amp;";  ","")&amp;IF(AND(EDATE($D90,Milestones!$AA$144)&lt;=AsOfDate,IF($R90=0,$X90,IF(AND($T90&lt;&gt;"",EDATE($D90,Milestones!$AA$144)&gt;=$T90),$W90,IF(AND($S90&lt;&gt;"",EDATE($D90,Milestones!$AA$144)&gt;=$S90),$V90,$U90)))=Milestones!$AB$144),UPPER(TEXT(EDATE($D90,Milestones!$AA$144),"dd mmm yy"))&amp;" "&amp;Milestones!$AB$144&amp;" "&amp;Milestones!$AC$144&amp;";  ","")&amp;IF(AND(EDATE($D90,Milestones!$AA$145)&lt;=AsOfDate,IF($R90=0,$X90,IF(AND($T90&lt;&gt;"",EDATE($D90,Milestones!$AA$145)&gt;=$T90),$W90,IF(AND($S90&lt;&gt;"",EDATE($D90,Milestones!$AA$145)&gt;=$S90),$V90,$U90)))=Milestones!$AB$145),UPPER(TEXT(EDATE($D90,Milestones!$AA$145),"dd mmm yy"))&amp;" "&amp;Milestones!$AB$145&amp;" "&amp;Milestones!$AC$145&amp;";  ","")&amp;IF(AND(EDATE($D90,Milestones!$AA$146)&lt;=AsOfDate,IF($R90=0,$X90,IF(AND($T90&lt;&gt;"",EDATE($D90,Milestones!$AA$146)&gt;=$T90),$W90,IF(AND($S90&lt;&gt;"",EDATE($D90,Milestones!$AA$146)&gt;=$S90),$V90,$U90)))=Milestones!$AB$146),UPPER(TEXT(EDATE($D90,Milestones!$AA$146),"dd mmm yy"))&amp;" "&amp;Milestones!$AB$146&amp;" "&amp;Milestones!$AC$146&amp;";  ","")&amp;IF(AND(EDATE($D90,Milestones!$AA$147)&lt;=AsOfDate,IF($R90=0,$X90,IF(AND($T90&lt;&gt;"",EDATE($D90,Milestones!$AA$147)&gt;=$T90),$W90,IF(AND($S90&lt;&gt;"",EDATE($D90,Milestones!$AA$147)&gt;=$S90),$V90,$U90)))=Milestones!$AB$147),UPPER(TEXT(EDATE($D90,Milestones!$AA$147),"dd mmm yy"))&amp;" "&amp;Milestones!$AB$147&amp;" "&amp;Milestones!$AC$147&amp;";  ","")&amp;IF(AND(EDATE($D90,Milestones!$AA$148)&lt;=AsOfDate,IF($R90=0,$X90,IF(AND($T90&lt;&gt;"",EDATE($D90,Milestones!$AA$148)&gt;=$T90),$W90,IF(AND($S90&lt;&gt;"",EDATE($D90,Milestones!$AA$148)&gt;=$S90),$V90,$U90)))=Milestones!$AB$148),UPPER(TEXT(EDATE($D90,Milestones!$AA$148),"dd mmm yy"))&amp;" "&amp;Milestones!$AB$148&amp;" "&amp;Milestones!$AC$148&amp;";  ","")&amp;IF(AND(EDATE($D90,Milestones!$AA$149)&lt;=AsOfDate,IF($R90=0,$X90,IF(AND($T90&lt;&gt;"",EDATE($D90,Milestones!$AA$149)&gt;=$T90),$W90,IF(AND($S90&lt;&gt;"",EDATE($D90,Milestones!$AA$149)&gt;=$S90),$V90,$U90)))=Milestones!$AB$149),UPPER(TEXT(EDATE($D90,Milestones!$AA$149),"dd mmm yy"))&amp;" "&amp;Milestones!$AB$149&amp;" "&amp;Milestones!$AC$149&amp;";  ","")&amp;IF(AND(EDATE($D90,Milestones!$AA$150)&lt;=AsOfDate,IF($R90=0,$X90,IF(AND($T90&lt;&gt;"",EDATE($D90,Milestones!$AA$150)&gt;=$T90),$W90,IF(AND($S90&lt;&gt;"",EDATE($D90,Milestones!$AA$150)&gt;=$S90),$V90,$U90)))=Milestones!$AB$150),UPPER(TEXT(EDATE($D90,Milestones!$AA$150),"dd mmm yy"))&amp;" "&amp;Milestones!$AB$150&amp;" "&amp;Milestones!$AC$150&amp;";  ","")&amp;IF(AND(EDATE($D90,Milestones!$AA$151)&lt;=AsOfDate,IF($R90=0,$X90,IF(AND($T90&lt;&gt;"",EDATE($D90,Milestones!$AA$151)&gt;=$T90),$W90,IF(AND($S90&lt;&gt;"",EDATE($D90,Milestones!$AA$151)&gt;=$S90),$V90,$U90)))=Milestones!$AB$151),UPPER(TEXT(EDATE($D90,Milestones!$AA$151),"dd mmm yy"))&amp;" "&amp;Milestones!$AB$151&amp;" "&amp;Milestones!$AC$151&amp;";  ","")&amp;IF(AND(EDATE($D90,Milestones!$AA$152)&lt;=AsOfDate,IF($R90=0,$X90,IF(AND($T90&lt;&gt;"",EDATE($D90,Milestones!$AA$152)&gt;=$T90),$W90,IF(AND($S90&lt;&gt;"",EDATE($D90,Milestones!$AA$152)&gt;=$S90),$V90,$U90)))=Milestones!$AB$152),UPPER(TEXT(EDATE($D90,Milestones!$AA$152),"dd mmm yy"))&amp;" "&amp;Milestones!$AB$152&amp;" "&amp;Milestones!$AC$152&amp;";  ","")&amp;IF(AND(EDATE($D90,Milestones!$AA$153)&lt;=AsOfDate,IF($R90=0,$X90,IF(AND($T90&lt;&gt;"",EDATE($D90,Milestones!$AA$153)&gt;=$T90),$W90,IF(AND($S90&lt;&gt;"",EDATE($D90,Milestones!$AA$153)&gt;=$S90),$V90,$U90)))=Milestones!$AB$153),UPPER(TEXT(EDATE($D90,Milestones!$AA$153),"dd mmm yy"))&amp;" "&amp;Milestones!$AB$153&amp;" "&amp;Milestones!$AC$153&amp;";  ","")&amp;IF(AND(EDATE($D90,Milestones!$AA$154)&lt;=AsOfDate,IF($R90=0,$X90,IF(AND($T90&lt;&gt;"",EDATE($D90,Milestones!$AA$154)&gt;=$T90),$W90,IF(AND($S90&lt;&gt;"",EDATE($D90,Milestones!$AA$154)&gt;=$S90),$V90,$U90)))=Milestones!$AB$154),UPPER(TEXT(EDATE($D90,Milestones!$AA$154),"dd mmm yy"))&amp;" "&amp;Milestones!$AB$154&amp;" "&amp;Milestones!$AC$154&amp;";  ","")&amp;IF(AND(EDATE($D90,Milestones!$AA$155)&lt;=AsOfDate,IF($R90=0,$X90,IF(AND($T90&lt;&gt;"",EDATE($D90,Milestones!$AA$155)&gt;=$T90),$W90,IF(AND($S90&lt;&gt;"",EDATE($D90,Milestones!$AA$155)&gt;=$S90),$V90,$U90)))=Milestones!$AB$155),UPPER(TEXT(EDATE($D90,Milestones!$AA$155),"dd mmm yy"))&amp;" "&amp;Milestones!$AB$155&amp;" "&amp;Milestones!$AC$155&amp;";  ","")&amp;IF(AND(EDATE($D90,Milestones!$AA$156)&lt;=AsOfDate,IF($R90=0,$X90,IF(AND($T90&lt;&gt;"",EDATE($D90,Milestones!$AA$156)&gt;=$T90),$W90,IF(AND($S90&lt;&gt;"",EDATE($D90,Milestones!$AA$156)&gt;=$S90),$V90,$U90)))=Milestones!$AB$156),UPPER(TEXT(EDATE($D90,Milestones!$AA$156),"dd mmm yy"))&amp;" "&amp;Milestones!$AB$156&amp;" "&amp;Milestones!$AC$156&amp;";  ","")&amp;IF(AND(EDATE($D90,Milestones!$AA$157)&lt;=AsOfDate,IF($R90=0,$X90,IF(AND($T90&lt;&gt;"",EDATE($D90,Milestones!$AA$157)&gt;=$T90),$W90,IF(AND($S90&lt;&gt;"",EDATE($D90,Milestones!$AA$157)&gt;=$S90),$V90,$U90)))=Milestones!$AB$157),UPPER(TEXT(EDATE($D90,Milestones!$AA$157),"dd mmm yy"))&amp;" "&amp;Milestones!$AB$157&amp;" "&amp;Milestones!$AC$157&amp;";  ","")&amp;IF(AND(EDATE($D90,Milestones!$AA$158)&lt;=AsOfDate,IF($R90=0,$X90,IF(AND($T90&lt;&gt;"",EDATE($D90,Milestones!$AA$158)&gt;=$T90),$W90,IF(AND($S90&lt;&gt;"",EDATE($D90,Milestones!$AA$158)&gt;=$S90),$V90,$U90)))=Milestones!$AB$158),UPPER(TEXT(EDATE($D90,Milestones!$AA$158),"dd mmm yy"))&amp;" "&amp;Milestones!$AB$158&amp;" "&amp;Milestones!$AC$158&amp;";  ","")&amp;IF(AND(EDATE($D90,Milestones!$AA$159)&lt;=AsOfDate,IF($R90=0,$X90,IF(AND($T90&lt;&gt;"",EDATE($D90,Milestones!$AA$159)&gt;=$T90),$W90,IF(AND($S90&lt;&gt;"",EDATE($D90,Milestones!$AA$159)&gt;=$S90),$V90,$U90)))=Milestones!$AB$159),UPPER(TEXT(EDATE($D90,Milestones!$AA$159),"dd mmm yy"))&amp;" "&amp;Milestones!$AB$159&amp;" "&amp;Milestones!$AC$159&amp;";  ",""))</f>
        <v/>
      </c>
      <c r="P90" s="0" t="str">
        <f aca="false">IF(OR($A90="",$D90=""),"",IF(AND(EDATE($D90,Milestones!$AA$160)&lt;=AsOfDate,IF($R90=0,$X90,IF(AND($T90&lt;&gt;"",EDATE($D90,Milestones!$AA$160)&gt;=$T90),$W90,IF(AND($S90&lt;&gt;"",EDATE($D90,Milestones!$AA$160)&gt;=$S90),$V90,$U90)))=Milestones!$AB$160),UPPER(TEXT(EDATE($D90,Milestones!$AA$160),"dd mmm yy"))&amp;" "&amp;Milestones!$AB$160&amp;" "&amp;Milestones!$AC$160&amp;";  ","")&amp;IF(AND(EDATE($D90,Milestones!$AA$161)&lt;=AsOfDate,IF($R90=0,$X90,IF(AND($T90&lt;&gt;"",EDATE($D90,Milestones!$AA$161)&gt;=$T90),$W90,IF(AND($S90&lt;&gt;"",EDATE($D90,Milestones!$AA$161)&gt;=$S90),$V90,$U90)))=Milestones!$AB$161),UPPER(TEXT(EDATE($D90,Milestones!$AA$161),"dd mmm yy"))&amp;" "&amp;Milestones!$AB$161&amp;" "&amp;Milestones!$AC$161&amp;";  ","")&amp;IF(AND(EDATE($D90,Milestones!$AA$162)&lt;=AsOfDate,IF($R90=0,$X90,IF(AND($T90&lt;&gt;"",EDATE($D90,Milestones!$AA$162)&gt;=$T90),$W90,IF(AND($S90&lt;&gt;"",EDATE($D90,Milestones!$AA$162)&gt;=$S90),$V90,$U90)))=Milestones!$AB$162),UPPER(TEXT(EDATE($D90,Milestones!$AA$162),"dd mmm yy"))&amp;" "&amp;Milestones!$AB$162&amp;" "&amp;Milestones!$AC$162&amp;";  ","")&amp;IF(AND(EDATE($D90,Milestones!$AA$163)&lt;=AsOfDate,IF($R90=0,$X90,IF(AND($T90&lt;&gt;"",EDATE($D90,Milestones!$AA$163)&gt;=$T90),$W90,IF(AND($S90&lt;&gt;"",EDATE($D90,Milestones!$AA$163)&gt;=$S90),$V90,$U90)))=Milestones!$AB$163),UPPER(TEXT(EDATE($D90,Milestones!$AA$163),"dd mmm yy"))&amp;" "&amp;Milestones!$AB$163&amp;" "&amp;Milestones!$AC$163&amp;";  ","")&amp;IF(AND(EDATE($D90,Milestones!$AA$164)&lt;=AsOfDate,IF($R90=0,$X90,IF(AND($T90&lt;&gt;"",EDATE($D90,Milestones!$AA$164)&gt;=$T90),$W90,IF(AND($S90&lt;&gt;"",EDATE($D90,Milestones!$AA$164)&gt;=$S90),$V90,$U90)))=Milestones!$AB$164),UPPER(TEXT(EDATE($D90,Milestones!$AA$164),"dd mmm yy"))&amp;" "&amp;Milestones!$AB$164&amp;" "&amp;Milestones!$AC$164&amp;";  ","")&amp;IF(AND(EDATE($D90,Milestones!$AA$165)&lt;=AsOfDate,IF($R90=0,$X90,IF(AND($T90&lt;&gt;"",EDATE($D90,Milestones!$AA$165)&gt;=$T90),$W90,IF(AND($S90&lt;&gt;"",EDATE($D90,Milestones!$AA$165)&gt;=$S90),$V90,$U90)))=Milestones!$AB$165),UPPER(TEXT(EDATE($D90,Milestones!$AA$165),"dd mmm yy"))&amp;" "&amp;Milestones!$AB$165&amp;" "&amp;Milestones!$AC$165&amp;";  ","")&amp;IF(AND(EDATE($D90,Milestones!$AA$166)&lt;=AsOfDate,IF($R90=0,$X90,IF(AND($T90&lt;&gt;"",EDATE($D90,Milestones!$AA$166)&gt;=$T90),$W90,IF(AND($S90&lt;&gt;"",EDATE($D90,Milestones!$AA$166)&gt;=$S90),$V90,$U90)))=Milestones!$AB$166),UPPER(TEXT(EDATE($D90,Milestones!$AA$166),"dd mmm yy"))&amp;" "&amp;Milestones!$AB$166&amp;" "&amp;Milestones!$AC$166&amp;";  ","")&amp;IF(AND(EDATE($D90,Milestones!$AA$167)&lt;=AsOfDate,IF($R90=0,$X90,IF(AND($T90&lt;&gt;"",EDATE($D90,Milestones!$AA$167)&gt;=$T90),$W90,IF(AND($S90&lt;&gt;"",EDATE($D90,Milestones!$AA$167)&gt;=$S90),$V90,$U90)))=Milestones!$AB$167),UPPER(TEXT(EDATE($D90,Milestones!$AA$167),"dd mmm yy"))&amp;" "&amp;Milestones!$AB$167&amp;" "&amp;Milestones!$AC$167&amp;";  ","")&amp;IF(AND(EDATE($D90,Milestones!$AA$168)&lt;=AsOfDate,IF($R90=0,$X90,IF(AND($T90&lt;&gt;"",EDATE($D90,Milestones!$AA$168)&gt;=$T90),$W90,IF(AND($S90&lt;&gt;"",EDATE($D90,Milestones!$AA$168)&gt;=$S90),$V90,$U90)))=Milestones!$AB$168),UPPER(TEXT(EDATE($D90,Milestones!$AA$168),"dd mmm yy"))&amp;" "&amp;Milestones!$AB$168&amp;" "&amp;Milestones!$AC$168&amp;";  ","")&amp;IF(AND(EDATE($D90,Milestones!$AA$169)&lt;=AsOfDate,IF($R90=0,$X90,IF(AND($T90&lt;&gt;"",EDATE($D90,Milestones!$AA$169)&gt;=$T90),$W90,IF(AND($S90&lt;&gt;"",EDATE($D90,Milestones!$AA$169)&gt;=$S90),$V90,$U90)))=Milestones!$AB$169),UPPER(TEXT(EDATE($D90,Milestones!$AA$169),"dd mmm yy"))&amp;" "&amp;Milestones!$AB$169&amp;" "&amp;Milestones!$AC$169&amp;";  ","")&amp;IF(AND(EDATE($D90,Milestones!$AA$170)&lt;=AsOfDate,IF($R90=0,$X90,IF(AND($T90&lt;&gt;"",EDATE($D90,Milestones!$AA$170)&gt;=$T90),$W90,IF(AND($S90&lt;&gt;"",EDATE($D90,Milestones!$AA$170)&gt;=$S90),$V90,$U90)))=Milestones!$AB$170),UPPER(TEXT(EDATE($D90,Milestones!$AA$170),"dd mmm yy"))&amp;" "&amp;Milestones!$AB$170&amp;" "&amp;Milestones!$AC$170&amp;";  ","")&amp;IF(AND(EDATE($D90,Milestones!$AA$171)&lt;=AsOfDate,IF($R90=0,$X90,IF(AND($T90&lt;&gt;"",EDATE($D90,Milestones!$AA$171)&gt;=$T90),$W90,IF(AND($S90&lt;&gt;"",EDATE($D90,Milestones!$AA$171)&gt;=$S90),$V90,$U90)))=Milestones!$AB$171),UPPER(TEXT(EDATE($D90,Milestones!$AA$171),"dd mmm yy"))&amp;" "&amp;Milestones!$AB$171&amp;" "&amp;Milestones!$AC$171&amp;";  ","")&amp;IF(AND(EDATE($D90,Milestones!$AA$172)&lt;=AsOfDate,IF($R90=0,$X90,IF(AND($T90&lt;&gt;"",EDATE($D90,Milestones!$AA$172)&gt;=$T90),$W90,IF(AND($S90&lt;&gt;"",EDATE($D90,Milestones!$AA$172)&gt;=$S90),$V90,$U90)))=Milestones!$AB$172),UPPER(TEXT(EDATE($D90,Milestones!$AA$172),"dd mmm yy"))&amp;" "&amp;Milestones!$AB$172&amp;" "&amp;Milestones!$AC$172&amp;";  ","")&amp;IF(AND(EDATE($D90,Milestones!$AA$173)&lt;=AsOfDate,IF($R90=0,$X90,IF(AND($T90&lt;&gt;"",EDATE($D90,Milestones!$AA$173)&gt;=$T90),$W90,IF(AND($S90&lt;&gt;"",EDATE($D90,Milestones!$AA$173)&gt;=$S90),$V90,$U90)))=Milestones!$AB$173),UPPER(TEXT(EDATE($D90,Milestones!$AA$173),"dd mmm yy"))&amp;" "&amp;Milestones!$AB$173&amp;" "&amp;Milestones!$AC$173&amp;";  ","")&amp;IF(AND(EDATE($D90,Milestones!$AA$174)&lt;=AsOfDate,IF($R90=0,$X90,IF(AND($T90&lt;&gt;"",EDATE($D90,Milestones!$AA$174)&gt;=$T90),$W90,IF(AND($S90&lt;&gt;"",EDATE($D90,Milestones!$AA$174)&gt;=$S90),$V90,$U90)))=Milestones!$AB$174),UPPER(TEXT(EDATE($D90,Milestones!$AA$174),"dd mmm yy"))&amp;" "&amp;Milestones!$AB$174&amp;" "&amp;Milestones!$AC$174&amp;";  ","")&amp;IF(AND(EDATE($D90,Milestones!$AA$175)&lt;=AsOfDate,IF($R90=0,$X90,IF(AND($T90&lt;&gt;"",EDATE($D90,Milestones!$AA$175)&gt;=$T90),$W90,IF(AND($S90&lt;&gt;"",EDATE($D90,Milestones!$AA$175)&gt;=$S90),$V90,$U90)))=Milestones!$AB$175),UPPER(TEXT(EDATE($D90,Milestones!$AA$175),"dd mmm yy"))&amp;" "&amp;Milestones!$AB$175&amp;" "&amp;Milestones!$AC$175&amp;";  ","")&amp;IF(AND(EDATE($D90,Milestones!$AA$176)&lt;=AsOfDate,IF($R90=0,$X90,IF(AND($T90&lt;&gt;"",EDATE($D90,Milestones!$AA$176)&gt;=$T90),$W90,IF(AND($S90&lt;&gt;"",EDATE($D90,Milestones!$AA$176)&gt;=$S90),$V90,$U90)))=Milestones!$AB$176),UPPER(TEXT(EDATE($D90,Milestones!$AA$176),"dd mmm yy"))&amp;" "&amp;Milestones!$AB$176&amp;" "&amp;Milestones!$AC$176&amp;";  ","")&amp;IF(AND(EDATE($D90,Milestones!$AA$177)&lt;=AsOfDate,IF($R90=0,$X90,IF(AND($T90&lt;&gt;"",EDATE($D90,Milestones!$AA$177)&gt;=$T90),$W90,IF(AND($S90&lt;&gt;"",EDATE($D90,Milestones!$AA$177)&gt;=$S90),$V90,$U90)))=Milestones!$AB$177),UPPER(TEXT(EDATE($D90,Milestones!$AA$177),"dd mmm yy"))&amp;" "&amp;Milestones!$AB$177&amp;" "&amp;Milestones!$AC$177&amp;";  ","")&amp;IF(AND(EDATE($D90,Milestones!$AA$178)&lt;=AsOfDate,IF($R90=0,$X90,IF(AND($T90&lt;&gt;"",EDATE($D90,Milestones!$AA$178)&gt;=$T90),$W90,IF(AND($S90&lt;&gt;"",EDATE($D90,Milestones!$AA$178)&gt;=$S90),$V90,$U90)))=Milestones!$AB$178),UPPER(TEXT(EDATE($D90,Milestones!$AA$178),"dd mmm yy"))&amp;" "&amp;Milestones!$AB$178&amp;" "&amp;Milestones!$AC$178&amp;";  ","")&amp;IF(AND(EDATE($D90,Milestones!$AA$179)&lt;=AsOfDate,IF($R90=0,$X90,IF(AND($T90&lt;&gt;"",EDATE($D90,Milestones!$AA$179)&gt;=$T90),$W90,IF(AND($S90&lt;&gt;"",EDATE($D90,Milestones!$AA$179)&gt;=$S90),$V90,$U90)))=Milestones!$AB$179),UPPER(TEXT(EDATE($D90,Milestones!$AA$179),"dd mmm yy"))&amp;" "&amp;Milestones!$AB$179&amp;" "&amp;Milestones!$AC$179&amp;";  ",""))</f>
        <v/>
      </c>
      <c r="Q90" s="0" t="str">
        <f aca="false">IF(OR($A90="",$D90=""),"",IF(AND(EDATE($D90,Milestones!$AA$180)&lt;=AsOfDate,IF($R90=0,$X90,IF(AND($T90&lt;&gt;"",EDATE($D90,Milestones!$AA$180)&gt;=$T90),$W90,IF(AND($S90&lt;&gt;"",EDATE($D90,Milestones!$AA$180)&gt;=$S90),$V90,$U90)))=Milestones!$AB$180),UPPER(TEXT(EDATE($D90,Milestones!$AA$180),"dd mmm yy"))&amp;" "&amp;Milestones!$AB$180&amp;" "&amp;Milestones!$AC$180&amp;";  ","")&amp;IF(AND(EDATE($D90,Milestones!$AA$181)&lt;=AsOfDate,IF($R90=0,$X90,IF(AND($T90&lt;&gt;"",EDATE($D90,Milestones!$AA$181)&gt;=$T90),$W90,IF(AND($S90&lt;&gt;"",EDATE($D90,Milestones!$AA$181)&gt;=$S90),$V90,$U90)))=Milestones!$AB$181),UPPER(TEXT(EDATE($D90,Milestones!$AA$181),"dd mmm yy"))&amp;" "&amp;Milestones!$AB$181&amp;" "&amp;Milestones!$AC$181&amp;";  ","")&amp;IF(AND(EDATE($D90,Milestones!$AA$182)&lt;=AsOfDate,IF($R90=0,$X90,IF(AND($T90&lt;&gt;"",EDATE($D90,Milestones!$AA$182)&gt;=$T90),$W90,IF(AND($S90&lt;&gt;"",EDATE($D90,Milestones!$AA$182)&gt;=$S90),$V90,$U90)))=Milestones!$AB$182),UPPER(TEXT(EDATE($D90,Milestones!$AA$182),"dd mmm yy"))&amp;" "&amp;Milestones!$AB$182&amp;" "&amp;Milestones!$AC$182&amp;";  ","")&amp;IF(AND(EDATE($D90,Milestones!$AA$183)&lt;=AsOfDate,IF($R90=0,$X90,IF(AND($T90&lt;&gt;"",EDATE($D90,Milestones!$AA$183)&gt;=$T90),$W90,IF(AND($S90&lt;&gt;"",EDATE($D90,Milestones!$AA$183)&gt;=$S90),$V90,$U90)))=Milestones!$AB$183),UPPER(TEXT(EDATE($D90,Milestones!$AA$183),"dd mmm yy"))&amp;" "&amp;Milestones!$AB$183&amp;" "&amp;Milestones!$AC$183&amp;";  ","")&amp;IF(AND(EDATE($D90,Milestones!$AA$184)&lt;=AsOfDate,IF($R90=0,$X90,IF(AND($T90&lt;&gt;"",EDATE($D90,Milestones!$AA$184)&gt;=$T90),$W90,IF(AND($S90&lt;&gt;"",EDATE($D90,Milestones!$AA$184)&gt;=$S90),$V90,$U90)))=Milestones!$AB$184),UPPER(TEXT(EDATE($D90,Milestones!$AA$184),"dd mmm yy"))&amp;" "&amp;Milestones!$AB$184&amp;" "&amp;Milestones!$AC$184&amp;";  ","")&amp;IF(AND(EDATE($D90,Milestones!$AA$185)&lt;=AsOfDate,IF($R90=0,$X90,IF(AND($T90&lt;&gt;"",EDATE($D90,Milestones!$AA$185)&gt;=$T90),$W90,IF(AND($S90&lt;&gt;"",EDATE($D90,Milestones!$AA$185)&gt;=$S90),$V90,$U90)))=Milestones!$AB$185),UPPER(TEXT(EDATE($D90,Milestones!$AA$185),"dd mmm yy"))&amp;" "&amp;Milestones!$AB$185&amp;" "&amp;Milestones!$AC$185&amp;";  ","")&amp;IF(AND(EDATE($D90,Milestones!$AA$186)&lt;=AsOfDate,IF($R90=0,$X90,IF(AND($T90&lt;&gt;"",EDATE($D90,Milestones!$AA$186)&gt;=$T90),$W90,IF(AND($S90&lt;&gt;"",EDATE($D90,Milestones!$AA$186)&gt;=$S90),$V90,$U90)))=Milestones!$AB$186),UPPER(TEXT(EDATE($D90,Milestones!$AA$186),"dd mmm yy"))&amp;" "&amp;Milestones!$AB$186&amp;" "&amp;Milestones!$AC$186&amp;";  ","")&amp;IF(AND(EDATE($D90,Milestones!$AA$187)&lt;=AsOfDate,IF($R90=0,$X90,IF(AND($T90&lt;&gt;"",EDATE($D90,Milestones!$AA$187)&gt;=$T90),$W90,IF(AND($S90&lt;&gt;"",EDATE($D90,Milestones!$AA$187)&gt;=$S90),$V90,$U90)))=Milestones!$AB$187),UPPER(TEXT(EDATE($D90,Milestones!$AA$187),"dd mmm yy"))&amp;" "&amp;Milestones!$AB$187&amp;" "&amp;Milestones!$AC$187&amp;";  ","")&amp;IF(AND(EDATE($D90,Milestones!$AA$188)&lt;=AsOfDate,IF($R90=0,$X90,IF(AND($T90&lt;&gt;"",EDATE($D90,Milestones!$AA$188)&gt;=$T90),$W90,IF(AND($S90&lt;&gt;"",EDATE($D90,Milestones!$AA$188)&gt;=$S90),$V90,$U90)))=Milestones!$AB$188),UPPER(TEXT(EDATE($D90,Milestones!$AA$188),"dd mmm yy"))&amp;" "&amp;Milestones!$AB$188&amp;" "&amp;Milestones!$AC$188&amp;";  ","")&amp;IF(AND(EDATE($D90,Milestones!$AA$189)&lt;=AsOfDate,IF($R90=0,$X90,IF(AND($T90&lt;&gt;"",EDATE($D90,Milestones!$AA$189)&gt;=$T90),$W90,IF(AND($S90&lt;&gt;"",EDATE($D90,Milestones!$AA$189)&gt;=$S90),$V90,$U90)))=Milestones!$AB$189),UPPER(TEXT(EDATE($D90,Milestones!$AA$189),"dd mmm yy"))&amp;" "&amp;Milestones!$AB$189&amp;" "&amp;Milestones!$AC$189&amp;";  ","")&amp;IF(AND(EDATE($D90,Milestones!$AA$190)&lt;=AsOfDate,IF($R90=0,$X90,IF(AND($T90&lt;&gt;"",EDATE($D90,Milestones!$AA$190)&gt;=$T90),$W90,IF(AND($S90&lt;&gt;"",EDATE($D90,Milestones!$AA$190)&gt;=$S90),$V90,$U90)))=Milestones!$AB$190),UPPER(TEXT(EDATE($D90,Milestones!$AA$190),"dd mmm yy"))&amp;" "&amp;Milestones!$AB$190&amp;" "&amp;Milestones!$AC$190&amp;";  ","")&amp;IF(AND(EDATE($D90,Milestones!$AA$191)&lt;=AsOfDate,IF($R90=0,$X90,IF(AND($T90&lt;&gt;"",EDATE($D90,Milestones!$AA$191)&gt;=$T90),$W90,IF(AND($S90&lt;&gt;"",EDATE($D90,Milestones!$AA$191)&gt;=$S90),$V90,$U90)))=Milestones!$AB$191),UPPER(TEXT(EDATE($D90,Milestones!$AA$191),"dd mmm yy"))&amp;" "&amp;Milestones!$AB$191&amp;" "&amp;Milestones!$AC$191&amp;";  ","")&amp;IF(AND(EDATE($D90,Milestones!$AA$192)&lt;=AsOfDate,IF($R90=0,$X90,IF(AND($T90&lt;&gt;"",EDATE($D90,Milestones!$AA$192)&gt;=$T90),$W90,IF(AND($S90&lt;&gt;"",EDATE($D90,Milestones!$AA$192)&gt;=$S90),$V90,$U90)))=Milestones!$AB$192),UPPER(TEXT(EDATE($D90,Milestones!$AA$192),"dd mmm yy"))&amp;" "&amp;Milestones!$AB$192&amp;" "&amp;Milestones!$AC$192&amp;";  ","")&amp;IF(AND(EDATE($D90,Milestones!$AA$193)&lt;=AsOfDate,IF($R90=0,$X90,IF(AND($T90&lt;&gt;"",EDATE($D90,Milestones!$AA$193)&gt;=$T90),$W90,IF(AND($S90&lt;&gt;"",EDATE($D90,Milestones!$AA$193)&gt;=$S90),$V90,$U90)))=Milestones!$AB$193),UPPER(TEXT(EDATE($D90,Milestones!$AA$193),"dd mmm yy"))&amp;" "&amp;Milestones!$AB$193&amp;" "&amp;Milestones!$AC$193&amp;";  ","")&amp;IF(AND(EDATE($D90,Milestones!$AA$194)&lt;=AsOfDate,IF($R90=0,$X90,IF(AND($T90&lt;&gt;"",EDATE($D90,Milestones!$AA$194)&gt;=$T90),$W90,IF(AND($S90&lt;&gt;"",EDATE($D90,Milestones!$AA$194)&gt;=$S90),$V90,$U90)))=Milestones!$AB$194),UPPER(TEXT(EDATE($D90,Milestones!$AA$194),"dd mmm yy"))&amp;" "&amp;Milestones!$AB$194&amp;" "&amp;Milestones!$AC$194&amp;";  ","")&amp;IF(AND(EDATE($D90,Milestones!$AA$195)&lt;=AsOfDate,IF($R90=0,$X90,IF(AND($T90&lt;&gt;"",EDATE($D90,Milestones!$AA$195)&gt;=$T90),$W90,IF(AND($S90&lt;&gt;"",EDATE($D90,Milestones!$AA$195)&gt;=$S90),$V90,$U90)))=Milestones!$AB$195),UPPER(TEXT(EDATE($D90,Milestones!$AA$195),"dd mmm yy"))&amp;" "&amp;Milestones!$AB$195&amp;" "&amp;Milestones!$AC$195&amp;";  ","")&amp;IF(AND(EDATE($D90,Milestones!$AA$196)&lt;=AsOfDate,IF($R90=0,$X90,IF(AND($T90&lt;&gt;"",EDATE($D90,Milestones!$AA$196)&gt;=$T90),$W90,IF(AND($S90&lt;&gt;"",EDATE($D90,Milestones!$AA$196)&gt;=$S90),$V90,$U90)))=Milestones!$AB$196),UPPER(TEXT(EDATE($D90,Milestones!$AA$196),"dd mmm yy"))&amp;" "&amp;Milestones!$AB$196&amp;" "&amp;Milestones!$AC$196&amp;";  ","")&amp;IF(AND(EDATE($D90,Milestones!$AA$197)&lt;=AsOfDate,IF($R90=0,$X90,IF(AND($T90&lt;&gt;"",EDATE($D90,Milestones!$AA$197)&gt;=$T90),$W90,IF(AND($S90&lt;&gt;"",EDATE($D90,Milestones!$AA$197)&gt;=$S90),$V90,$U90)))=Milestones!$AB$197),UPPER(TEXT(EDATE($D90,Milestones!$AA$197),"dd mmm yy"))&amp;" "&amp;Milestones!$AB$197&amp;" "&amp;Milestones!$AC$197&amp;";  ","")&amp;IF(AND(EDATE($D90,Milestones!$AA$198)&lt;=AsOfDate,IF($R90=0,$X90,IF(AND($T90&lt;&gt;"",EDATE($D90,Milestones!$AA$198)&gt;=$T90),$W90,IF(AND($S90&lt;&gt;"",EDATE($D90,Milestones!$AA$198)&gt;=$S90),$V90,$U90)))=Milestones!$AB$198),UPPER(TEXT(EDATE($D90,Milestones!$AA$198),"dd mmm yy"))&amp;" "&amp;Milestones!$AB$198&amp;" "&amp;Milestones!$AC$198&amp;";  ","")&amp;IF(AND(EDATE($D90,Milestones!$AA$199)&lt;=AsOfDate,IF($R90=0,$X90,IF(AND($T90&lt;&gt;"",EDATE($D90,Milestones!$AA$199)&gt;=$T90),$W90,IF(AND($S90&lt;&gt;"",EDATE($D90,Milestones!$AA$199)&gt;=$S90),$V90,$U90)))=Milestones!$AB$199),UPPER(TEXT(EDATE($D90,Milestones!$AA$199),"dd mmm yy"))&amp;" "&amp;Milestones!$AB$199&amp;" "&amp;Milestones!$AC$199&amp;";  ",""))</f>
        <v/>
      </c>
      <c r="R90" s="0" t="str">
        <f aca="false">IF(Staff!$A90="","",Staff!$AI90)</f>
        <v/>
      </c>
      <c r="S90" s="0" t="str">
        <f aca="false">IF(Staff!$A90="","",Staff!$AK90)</f>
        <v/>
      </c>
      <c r="T90" s="0" t="str">
        <f aca="false">IF(Staff!$A90="","",Staff!$AL90)</f>
        <v/>
      </c>
      <c r="U90" s="0" t="str">
        <f aca="false">IF(Staff!$A90="","",Staff!$AP90)</f>
        <v/>
      </c>
      <c r="V90" s="0" t="str">
        <f aca="false">IF(Staff!$A90="","",Staff!$AQ90)</f>
        <v/>
      </c>
      <c r="W90" s="0" t="str">
        <f aca="false">IF(Staff!$A90="","",Staff!$AR90)</f>
        <v/>
      </c>
      <c r="X90" s="0" t="str">
        <f aca="false">IF(Staff!$A90="","",Staff!$AS90)</f>
        <v/>
      </c>
    </row>
    <row r="91" customFormat="false" ht="15" hidden="false" customHeight="false" outlineLevel="0" collapsed="false">
      <c r="A91" s="19" t="str">
        <f aca="false">IF(Staff!$A91="","",Staff!$A91)</f>
        <v/>
      </c>
      <c r="B91" s="19" t="str">
        <f aca="false">IF(Staff!$A91="","",Staff!$B91)</f>
        <v/>
      </c>
      <c r="C91" s="19" t="str">
        <f aca="false">IF(Staff!$A91="","",Staff!$C91)</f>
        <v/>
      </c>
      <c r="D91" s="17" t="str">
        <f aca="false">IF(Staff!$A91="","",Staff!$AH91)</f>
        <v/>
      </c>
      <c r="E91" s="19" t="str">
        <f aca="false">IF(Staff!$A91="","",Staff!$O91)</f>
        <v/>
      </c>
      <c r="F91" s="19" t="str">
        <f aca="false">IF(E91="","",E91*HoursPerDay)</f>
        <v/>
      </c>
      <c r="G91" s="19" t="str">
        <f aca="false">IF(Staff!$A91="","",Staff!$AE91)</f>
        <v/>
      </c>
      <c r="H91" s="32" t="str">
        <f aca="false">IF($A91="","",I91&amp;J91&amp;K91&amp;L91&amp;M91&amp;N91&amp;O91&amp;P91&amp;Q91)</f>
        <v/>
      </c>
      <c r="I91" s="0" t="str">
        <f aca="false">IF(OR($A91="",$D91=""),"",IF(AND(EDATE($D91,Milestones!$AA$20)&lt;=AsOfDate,IF($R91=0,$X91,IF(AND($T91&lt;&gt;"",EDATE($D91,Milestones!$AA$20)&gt;=$T91),$W91,IF(AND($S91&lt;&gt;"",EDATE($D91,Milestones!$AA$20)&gt;=$S91),$V91,$U91)))=Milestones!$AB$20),UPPER(TEXT(EDATE($D91,Milestones!$AA$20),"dd mmm yy"))&amp;" "&amp;Milestones!$AB$20&amp;" "&amp;Milestones!$AC$20&amp;";  ","")&amp;IF(AND(EDATE($D91,Milestones!$AA$21)&lt;=AsOfDate,IF($R91=0,$X91,IF(AND($T91&lt;&gt;"",EDATE($D91,Milestones!$AA$21)&gt;=$T91),$W91,IF(AND($S91&lt;&gt;"",EDATE($D91,Milestones!$AA$21)&gt;=$S91),$V91,$U91)))=Milestones!$AB$21),UPPER(TEXT(EDATE($D91,Milestones!$AA$21),"dd mmm yy"))&amp;" "&amp;Milestones!$AB$21&amp;" "&amp;Milestones!$AC$21&amp;";  ","")&amp;IF(AND(EDATE($D91,Milestones!$AA$22)&lt;=AsOfDate,IF($R91=0,$X91,IF(AND($T91&lt;&gt;"",EDATE($D91,Milestones!$AA$22)&gt;=$T91),$W91,IF(AND($S91&lt;&gt;"",EDATE($D91,Milestones!$AA$22)&gt;=$S91),$V91,$U91)))=Milestones!$AB$22),UPPER(TEXT(EDATE($D91,Milestones!$AA$22),"dd mmm yy"))&amp;" "&amp;Milestones!$AB$22&amp;" "&amp;Milestones!$AC$22&amp;";  ","")&amp;IF(AND(EDATE($D91,Milestones!$AA$23)&lt;=AsOfDate,IF($R91=0,$X91,IF(AND($T91&lt;&gt;"",EDATE($D91,Milestones!$AA$23)&gt;=$T91),$W91,IF(AND($S91&lt;&gt;"",EDATE($D91,Milestones!$AA$23)&gt;=$S91),$V91,$U91)))=Milestones!$AB$23),UPPER(TEXT(EDATE($D91,Milestones!$AA$23),"dd mmm yy"))&amp;" "&amp;Milestones!$AB$23&amp;" "&amp;Milestones!$AC$23&amp;";  ","")&amp;IF(AND(EDATE($D91,Milestones!$AA$24)&lt;=AsOfDate,IF($R91=0,$X91,IF(AND($T91&lt;&gt;"",EDATE($D91,Milestones!$AA$24)&gt;=$T91),$W91,IF(AND($S91&lt;&gt;"",EDATE($D91,Milestones!$AA$24)&gt;=$S91),$V91,$U91)))=Milestones!$AB$24),UPPER(TEXT(EDATE($D91,Milestones!$AA$24),"dd mmm yy"))&amp;" "&amp;Milestones!$AB$24&amp;" "&amp;Milestones!$AC$24&amp;";  ","")&amp;IF(AND(EDATE($D91,Milestones!$AA$25)&lt;=AsOfDate,IF($R91=0,$X91,IF(AND($T91&lt;&gt;"",EDATE($D91,Milestones!$AA$25)&gt;=$T91),$W91,IF(AND($S91&lt;&gt;"",EDATE($D91,Milestones!$AA$25)&gt;=$S91),$V91,$U91)))=Milestones!$AB$25),UPPER(TEXT(EDATE($D91,Milestones!$AA$25),"dd mmm yy"))&amp;" "&amp;Milestones!$AB$25&amp;" "&amp;Milestones!$AC$25&amp;";  ","")&amp;IF(AND(EDATE($D91,Milestones!$AA$26)&lt;=AsOfDate,IF($R91=0,$X91,IF(AND($T91&lt;&gt;"",EDATE($D91,Milestones!$AA$26)&gt;=$T91),$W91,IF(AND($S91&lt;&gt;"",EDATE($D91,Milestones!$AA$26)&gt;=$S91),$V91,$U91)))=Milestones!$AB$26),UPPER(TEXT(EDATE($D91,Milestones!$AA$26),"dd mmm yy"))&amp;" "&amp;Milestones!$AB$26&amp;" "&amp;Milestones!$AC$26&amp;";  ","")&amp;IF(AND(EDATE($D91,Milestones!$AA$27)&lt;=AsOfDate,IF($R91=0,$X91,IF(AND($T91&lt;&gt;"",EDATE($D91,Milestones!$AA$27)&gt;=$T91),$W91,IF(AND($S91&lt;&gt;"",EDATE($D91,Milestones!$AA$27)&gt;=$S91),$V91,$U91)))=Milestones!$AB$27),UPPER(TEXT(EDATE($D91,Milestones!$AA$27),"dd mmm yy"))&amp;" "&amp;Milestones!$AB$27&amp;" "&amp;Milestones!$AC$27&amp;";  ","")&amp;IF(AND(EDATE($D91,Milestones!$AA$28)&lt;=AsOfDate,IF($R91=0,$X91,IF(AND($T91&lt;&gt;"",EDATE($D91,Milestones!$AA$28)&gt;=$T91),$W91,IF(AND($S91&lt;&gt;"",EDATE($D91,Milestones!$AA$28)&gt;=$S91),$V91,$U91)))=Milestones!$AB$28),UPPER(TEXT(EDATE($D91,Milestones!$AA$28),"dd mmm yy"))&amp;" "&amp;Milestones!$AB$28&amp;" "&amp;Milestones!$AC$28&amp;";  ","")&amp;IF(AND(EDATE($D91,Milestones!$AA$29)&lt;=AsOfDate,IF($R91=0,$X91,IF(AND($T91&lt;&gt;"",EDATE($D91,Milestones!$AA$29)&gt;=$T91),$W91,IF(AND($S91&lt;&gt;"",EDATE($D91,Milestones!$AA$29)&gt;=$S91),$V91,$U91)))=Milestones!$AB$29),UPPER(TEXT(EDATE($D91,Milestones!$AA$29),"dd mmm yy"))&amp;" "&amp;Milestones!$AB$29&amp;" "&amp;Milestones!$AC$29&amp;";  ","")&amp;IF(AND(EDATE($D91,Milestones!$AA$30)&lt;=AsOfDate,IF($R91=0,$X91,IF(AND($T91&lt;&gt;"",EDATE($D91,Milestones!$AA$30)&gt;=$T91),$W91,IF(AND($S91&lt;&gt;"",EDATE($D91,Milestones!$AA$30)&gt;=$S91),$V91,$U91)))=Milestones!$AB$30),UPPER(TEXT(EDATE($D91,Milestones!$AA$30),"dd mmm yy"))&amp;" "&amp;Milestones!$AB$30&amp;" "&amp;Milestones!$AC$30&amp;";  ","")&amp;IF(AND(EDATE($D91,Milestones!$AA$31)&lt;=AsOfDate,IF($R91=0,$X91,IF(AND($T91&lt;&gt;"",EDATE($D91,Milestones!$AA$31)&gt;=$T91),$W91,IF(AND($S91&lt;&gt;"",EDATE($D91,Milestones!$AA$31)&gt;=$S91),$V91,$U91)))=Milestones!$AB$31),UPPER(TEXT(EDATE($D91,Milestones!$AA$31),"dd mmm yy"))&amp;" "&amp;Milestones!$AB$31&amp;" "&amp;Milestones!$AC$31&amp;";  ","")&amp;IF(AND(EDATE($D91,Milestones!$AA$32)&lt;=AsOfDate,IF($R91=0,$X91,IF(AND($T91&lt;&gt;"",EDATE($D91,Milestones!$AA$32)&gt;=$T91),$W91,IF(AND($S91&lt;&gt;"",EDATE($D91,Milestones!$AA$32)&gt;=$S91),$V91,$U91)))=Milestones!$AB$32),UPPER(TEXT(EDATE($D91,Milestones!$AA$32),"dd mmm yy"))&amp;" "&amp;Milestones!$AB$32&amp;" "&amp;Milestones!$AC$32&amp;";  ","")&amp;IF(AND(EDATE($D91,Milestones!$AA$33)&lt;=AsOfDate,IF($R91=0,$X91,IF(AND($T91&lt;&gt;"",EDATE($D91,Milestones!$AA$33)&gt;=$T91),$W91,IF(AND($S91&lt;&gt;"",EDATE($D91,Milestones!$AA$33)&gt;=$S91),$V91,$U91)))=Milestones!$AB$33),UPPER(TEXT(EDATE($D91,Milestones!$AA$33),"dd mmm yy"))&amp;" "&amp;Milestones!$AB$33&amp;" "&amp;Milestones!$AC$33&amp;";  ","")&amp;IF(AND(EDATE($D91,Milestones!$AA$34)&lt;=AsOfDate,IF($R91=0,$X91,IF(AND($T91&lt;&gt;"",EDATE($D91,Milestones!$AA$34)&gt;=$T91),$W91,IF(AND($S91&lt;&gt;"",EDATE($D91,Milestones!$AA$34)&gt;=$S91),$V91,$U91)))=Milestones!$AB$34),UPPER(TEXT(EDATE($D91,Milestones!$AA$34),"dd mmm yy"))&amp;" "&amp;Milestones!$AB$34&amp;" "&amp;Milestones!$AC$34&amp;";  ","")&amp;IF(AND(EDATE($D91,Milestones!$AA$35)&lt;=AsOfDate,IF($R91=0,$X91,IF(AND($T91&lt;&gt;"",EDATE($D91,Milestones!$AA$35)&gt;=$T91),$W91,IF(AND($S91&lt;&gt;"",EDATE($D91,Milestones!$AA$35)&gt;=$S91),$V91,$U91)))=Milestones!$AB$35),UPPER(TEXT(EDATE($D91,Milestones!$AA$35),"dd mmm yy"))&amp;" "&amp;Milestones!$AB$35&amp;" "&amp;Milestones!$AC$35&amp;";  ","")&amp;IF(AND(EDATE($D91,Milestones!$AA$36)&lt;=AsOfDate,IF($R91=0,$X91,IF(AND($T91&lt;&gt;"",EDATE($D91,Milestones!$AA$36)&gt;=$T91),$W91,IF(AND($S91&lt;&gt;"",EDATE($D91,Milestones!$AA$36)&gt;=$S91),$V91,$U91)))=Milestones!$AB$36),UPPER(TEXT(EDATE($D91,Milestones!$AA$36),"dd mmm yy"))&amp;" "&amp;Milestones!$AB$36&amp;" "&amp;Milestones!$AC$36&amp;";  ","")&amp;IF(AND(EDATE($D91,Milestones!$AA$37)&lt;=AsOfDate,IF($R91=0,$X91,IF(AND($T91&lt;&gt;"",EDATE($D91,Milestones!$AA$37)&gt;=$T91),$W91,IF(AND($S91&lt;&gt;"",EDATE($D91,Milestones!$AA$37)&gt;=$S91),$V91,$U91)))=Milestones!$AB$37),UPPER(TEXT(EDATE($D91,Milestones!$AA$37),"dd mmm yy"))&amp;" "&amp;Milestones!$AB$37&amp;" "&amp;Milestones!$AC$37&amp;";  ","")&amp;IF(AND(EDATE($D91,Milestones!$AA$38)&lt;=AsOfDate,IF($R91=0,$X91,IF(AND($T91&lt;&gt;"",EDATE($D91,Milestones!$AA$38)&gt;=$T91),$W91,IF(AND($S91&lt;&gt;"",EDATE($D91,Milestones!$AA$38)&gt;=$S91),$V91,$U91)))=Milestones!$AB$38),UPPER(TEXT(EDATE($D91,Milestones!$AA$38),"dd mmm yy"))&amp;" "&amp;Milestones!$AB$38&amp;" "&amp;Milestones!$AC$38&amp;";  ","")&amp;IF(AND(EDATE($D91,Milestones!$AA$39)&lt;=AsOfDate,IF($R91=0,$X91,IF(AND($T91&lt;&gt;"",EDATE($D91,Milestones!$AA$39)&gt;=$T91),$W91,IF(AND($S91&lt;&gt;"",EDATE($D91,Milestones!$AA$39)&gt;=$S91),$V91,$U91)))=Milestones!$AB$39),UPPER(TEXT(EDATE($D91,Milestones!$AA$39),"dd mmm yy"))&amp;" "&amp;Milestones!$AB$39&amp;" "&amp;Milestones!$AC$39&amp;";  ",""))</f>
        <v/>
      </c>
      <c r="J91" s="0" t="str">
        <f aca="false">IF(OR($A91="",$D91=""),"",IF(AND(EDATE($D91,Milestones!$AA$40)&lt;=AsOfDate,IF($R91=0,$X91,IF(AND($T91&lt;&gt;"",EDATE($D91,Milestones!$AA$40)&gt;=$T91),$W91,IF(AND($S91&lt;&gt;"",EDATE($D91,Milestones!$AA$40)&gt;=$S91),$V91,$U91)))=Milestones!$AB$40),UPPER(TEXT(EDATE($D91,Milestones!$AA$40),"dd mmm yy"))&amp;" "&amp;Milestones!$AB$40&amp;" "&amp;Milestones!$AC$40&amp;";  ","")&amp;IF(AND(EDATE($D91,Milestones!$AA$41)&lt;=AsOfDate,IF($R91=0,$X91,IF(AND($T91&lt;&gt;"",EDATE($D91,Milestones!$AA$41)&gt;=$T91),$W91,IF(AND($S91&lt;&gt;"",EDATE($D91,Milestones!$AA$41)&gt;=$S91),$V91,$U91)))=Milestones!$AB$41),UPPER(TEXT(EDATE($D91,Milestones!$AA$41),"dd mmm yy"))&amp;" "&amp;Milestones!$AB$41&amp;" "&amp;Milestones!$AC$41&amp;";  ","")&amp;IF(AND(EDATE($D91,Milestones!$AA$42)&lt;=AsOfDate,IF($R91=0,$X91,IF(AND($T91&lt;&gt;"",EDATE($D91,Milestones!$AA$42)&gt;=$T91),$W91,IF(AND($S91&lt;&gt;"",EDATE($D91,Milestones!$AA$42)&gt;=$S91),$V91,$U91)))=Milestones!$AB$42),UPPER(TEXT(EDATE($D91,Milestones!$AA$42),"dd mmm yy"))&amp;" "&amp;Milestones!$AB$42&amp;" "&amp;Milestones!$AC$42&amp;";  ","")&amp;IF(AND(EDATE($D91,Milestones!$AA$43)&lt;=AsOfDate,IF($R91=0,$X91,IF(AND($T91&lt;&gt;"",EDATE($D91,Milestones!$AA$43)&gt;=$T91),$W91,IF(AND($S91&lt;&gt;"",EDATE($D91,Milestones!$AA$43)&gt;=$S91),$V91,$U91)))=Milestones!$AB$43),UPPER(TEXT(EDATE($D91,Milestones!$AA$43),"dd mmm yy"))&amp;" "&amp;Milestones!$AB$43&amp;" "&amp;Milestones!$AC$43&amp;";  ","")&amp;IF(AND(EDATE($D91,Milestones!$AA$44)&lt;=AsOfDate,IF($R91=0,$X91,IF(AND($T91&lt;&gt;"",EDATE($D91,Milestones!$AA$44)&gt;=$T91),$W91,IF(AND($S91&lt;&gt;"",EDATE($D91,Milestones!$AA$44)&gt;=$S91),$V91,$U91)))=Milestones!$AB$44),UPPER(TEXT(EDATE($D91,Milestones!$AA$44),"dd mmm yy"))&amp;" "&amp;Milestones!$AB$44&amp;" "&amp;Milestones!$AC$44&amp;";  ","")&amp;IF(AND(EDATE($D91,Milestones!$AA$45)&lt;=AsOfDate,IF($R91=0,$X91,IF(AND($T91&lt;&gt;"",EDATE($D91,Milestones!$AA$45)&gt;=$T91),$W91,IF(AND($S91&lt;&gt;"",EDATE($D91,Milestones!$AA$45)&gt;=$S91),$V91,$U91)))=Milestones!$AB$45),UPPER(TEXT(EDATE($D91,Milestones!$AA$45),"dd mmm yy"))&amp;" "&amp;Milestones!$AB$45&amp;" "&amp;Milestones!$AC$45&amp;";  ","")&amp;IF(AND(EDATE($D91,Milestones!$AA$46)&lt;=AsOfDate,IF($R91=0,$X91,IF(AND($T91&lt;&gt;"",EDATE($D91,Milestones!$AA$46)&gt;=$T91),$W91,IF(AND($S91&lt;&gt;"",EDATE($D91,Milestones!$AA$46)&gt;=$S91),$V91,$U91)))=Milestones!$AB$46),UPPER(TEXT(EDATE($D91,Milestones!$AA$46),"dd mmm yy"))&amp;" "&amp;Milestones!$AB$46&amp;" "&amp;Milestones!$AC$46&amp;";  ","")&amp;IF(AND(EDATE($D91,Milestones!$AA$47)&lt;=AsOfDate,IF($R91=0,$X91,IF(AND($T91&lt;&gt;"",EDATE($D91,Milestones!$AA$47)&gt;=$T91),$W91,IF(AND($S91&lt;&gt;"",EDATE($D91,Milestones!$AA$47)&gt;=$S91),$V91,$U91)))=Milestones!$AB$47),UPPER(TEXT(EDATE($D91,Milestones!$AA$47),"dd mmm yy"))&amp;" "&amp;Milestones!$AB$47&amp;" "&amp;Milestones!$AC$47&amp;";  ","")&amp;IF(AND(EDATE($D91,Milestones!$AA$48)&lt;=AsOfDate,IF($R91=0,$X91,IF(AND($T91&lt;&gt;"",EDATE($D91,Milestones!$AA$48)&gt;=$T91),$W91,IF(AND($S91&lt;&gt;"",EDATE($D91,Milestones!$AA$48)&gt;=$S91),$V91,$U91)))=Milestones!$AB$48),UPPER(TEXT(EDATE($D91,Milestones!$AA$48),"dd mmm yy"))&amp;" "&amp;Milestones!$AB$48&amp;" "&amp;Milestones!$AC$48&amp;";  ","")&amp;IF(AND(EDATE($D91,Milestones!$AA$49)&lt;=AsOfDate,IF($R91=0,$X91,IF(AND($T91&lt;&gt;"",EDATE($D91,Milestones!$AA$49)&gt;=$T91),$W91,IF(AND($S91&lt;&gt;"",EDATE($D91,Milestones!$AA$49)&gt;=$S91),$V91,$U91)))=Milestones!$AB$49),UPPER(TEXT(EDATE($D91,Milestones!$AA$49),"dd mmm yy"))&amp;" "&amp;Milestones!$AB$49&amp;" "&amp;Milestones!$AC$49&amp;";  ","")&amp;IF(AND(EDATE($D91,Milestones!$AA$50)&lt;=AsOfDate,IF($R91=0,$X91,IF(AND($T91&lt;&gt;"",EDATE($D91,Milestones!$AA$50)&gt;=$T91),$W91,IF(AND($S91&lt;&gt;"",EDATE($D91,Milestones!$AA$50)&gt;=$S91),$V91,$U91)))=Milestones!$AB$50),UPPER(TEXT(EDATE($D91,Milestones!$AA$50),"dd mmm yy"))&amp;" "&amp;Milestones!$AB$50&amp;" "&amp;Milestones!$AC$50&amp;";  ","")&amp;IF(AND(EDATE($D91,Milestones!$AA$51)&lt;=AsOfDate,IF($R91=0,$X91,IF(AND($T91&lt;&gt;"",EDATE($D91,Milestones!$AA$51)&gt;=$T91),$W91,IF(AND($S91&lt;&gt;"",EDATE($D91,Milestones!$AA$51)&gt;=$S91),$V91,$U91)))=Milestones!$AB$51),UPPER(TEXT(EDATE($D91,Milestones!$AA$51),"dd mmm yy"))&amp;" "&amp;Milestones!$AB$51&amp;" "&amp;Milestones!$AC$51&amp;";  ","")&amp;IF(AND(EDATE($D91,Milestones!$AA$52)&lt;=AsOfDate,IF($R91=0,$X91,IF(AND($T91&lt;&gt;"",EDATE($D91,Milestones!$AA$52)&gt;=$T91),$W91,IF(AND($S91&lt;&gt;"",EDATE($D91,Milestones!$AA$52)&gt;=$S91),$V91,$U91)))=Milestones!$AB$52),UPPER(TEXT(EDATE($D91,Milestones!$AA$52),"dd mmm yy"))&amp;" "&amp;Milestones!$AB$52&amp;" "&amp;Milestones!$AC$52&amp;";  ","")&amp;IF(AND(EDATE($D91,Milestones!$AA$53)&lt;=AsOfDate,IF($R91=0,$X91,IF(AND($T91&lt;&gt;"",EDATE($D91,Milestones!$AA$53)&gt;=$T91),$W91,IF(AND($S91&lt;&gt;"",EDATE($D91,Milestones!$AA$53)&gt;=$S91),$V91,$U91)))=Milestones!$AB$53),UPPER(TEXT(EDATE($D91,Milestones!$AA$53),"dd mmm yy"))&amp;" "&amp;Milestones!$AB$53&amp;" "&amp;Milestones!$AC$53&amp;";  ","")&amp;IF(AND(EDATE($D91,Milestones!$AA$54)&lt;=AsOfDate,IF($R91=0,$X91,IF(AND($T91&lt;&gt;"",EDATE($D91,Milestones!$AA$54)&gt;=$T91),$W91,IF(AND($S91&lt;&gt;"",EDATE($D91,Milestones!$AA$54)&gt;=$S91),$V91,$U91)))=Milestones!$AB$54),UPPER(TEXT(EDATE($D91,Milestones!$AA$54),"dd mmm yy"))&amp;" "&amp;Milestones!$AB$54&amp;" "&amp;Milestones!$AC$54&amp;";  ","")&amp;IF(AND(EDATE($D91,Milestones!$AA$55)&lt;=AsOfDate,IF($R91=0,$X91,IF(AND($T91&lt;&gt;"",EDATE($D91,Milestones!$AA$55)&gt;=$T91),$W91,IF(AND($S91&lt;&gt;"",EDATE($D91,Milestones!$AA$55)&gt;=$S91),$V91,$U91)))=Milestones!$AB$55),UPPER(TEXT(EDATE($D91,Milestones!$AA$55),"dd mmm yy"))&amp;" "&amp;Milestones!$AB$55&amp;" "&amp;Milestones!$AC$55&amp;";  ","")&amp;IF(AND(EDATE($D91,Milestones!$AA$56)&lt;=AsOfDate,IF($R91=0,$X91,IF(AND($T91&lt;&gt;"",EDATE($D91,Milestones!$AA$56)&gt;=$T91),$W91,IF(AND($S91&lt;&gt;"",EDATE($D91,Milestones!$AA$56)&gt;=$S91),$V91,$U91)))=Milestones!$AB$56),UPPER(TEXT(EDATE($D91,Milestones!$AA$56),"dd mmm yy"))&amp;" "&amp;Milestones!$AB$56&amp;" "&amp;Milestones!$AC$56&amp;";  ","")&amp;IF(AND(EDATE($D91,Milestones!$AA$57)&lt;=AsOfDate,IF($R91=0,$X91,IF(AND($T91&lt;&gt;"",EDATE($D91,Milestones!$AA$57)&gt;=$T91),$W91,IF(AND($S91&lt;&gt;"",EDATE($D91,Milestones!$AA$57)&gt;=$S91),$V91,$U91)))=Milestones!$AB$57),UPPER(TEXT(EDATE($D91,Milestones!$AA$57),"dd mmm yy"))&amp;" "&amp;Milestones!$AB$57&amp;" "&amp;Milestones!$AC$57&amp;";  ","")&amp;IF(AND(EDATE($D91,Milestones!$AA$58)&lt;=AsOfDate,IF($R91=0,$X91,IF(AND($T91&lt;&gt;"",EDATE($D91,Milestones!$AA$58)&gt;=$T91),$W91,IF(AND($S91&lt;&gt;"",EDATE($D91,Milestones!$AA$58)&gt;=$S91),$V91,$U91)))=Milestones!$AB$58),UPPER(TEXT(EDATE($D91,Milestones!$AA$58),"dd mmm yy"))&amp;" "&amp;Milestones!$AB$58&amp;" "&amp;Milestones!$AC$58&amp;";  ","")&amp;IF(AND(EDATE($D91,Milestones!$AA$59)&lt;=AsOfDate,IF($R91=0,$X91,IF(AND($T91&lt;&gt;"",EDATE($D91,Milestones!$AA$59)&gt;=$T91),$W91,IF(AND($S91&lt;&gt;"",EDATE($D91,Milestones!$AA$59)&gt;=$S91),$V91,$U91)))=Milestones!$AB$59),UPPER(TEXT(EDATE($D91,Milestones!$AA$59),"dd mmm yy"))&amp;" "&amp;Milestones!$AB$59&amp;" "&amp;Milestones!$AC$59&amp;";  ",""))</f>
        <v/>
      </c>
      <c r="K91" s="0" t="str">
        <f aca="false">IF(OR($A91="",$D91=""),"",IF(AND(EDATE($D91,Milestones!$AA$60)&lt;=AsOfDate,IF($R91=0,$X91,IF(AND($T91&lt;&gt;"",EDATE($D91,Milestones!$AA$60)&gt;=$T91),$W91,IF(AND($S91&lt;&gt;"",EDATE($D91,Milestones!$AA$60)&gt;=$S91),$V91,$U91)))=Milestones!$AB$60),UPPER(TEXT(EDATE($D91,Milestones!$AA$60),"dd mmm yy"))&amp;" "&amp;Milestones!$AB$60&amp;" "&amp;Milestones!$AC$60&amp;";  ","")&amp;IF(AND(EDATE($D91,Milestones!$AA$61)&lt;=AsOfDate,IF($R91=0,$X91,IF(AND($T91&lt;&gt;"",EDATE($D91,Milestones!$AA$61)&gt;=$T91),$W91,IF(AND($S91&lt;&gt;"",EDATE($D91,Milestones!$AA$61)&gt;=$S91),$V91,$U91)))=Milestones!$AB$61),UPPER(TEXT(EDATE($D91,Milestones!$AA$61),"dd mmm yy"))&amp;" "&amp;Milestones!$AB$61&amp;" "&amp;Milestones!$AC$61&amp;";  ","")&amp;IF(AND(EDATE($D91,Milestones!$AA$62)&lt;=AsOfDate,IF($R91=0,$X91,IF(AND($T91&lt;&gt;"",EDATE($D91,Milestones!$AA$62)&gt;=$T91),$W91,IF(AND($S91&lt;&gt;"",EDATE($D91,Milestones!$AA$62)&gt;=$S91),$V91,$U91)))=Milestones!$AB$62),UPPER(TEXT(EDATE($D91,Milestones!$AA$62),"dd mmm yy"))&amp;" "&amp;Milestones!$AB$62&amp;" "&amp;Milestones!$AC$62&amp;";  ","")&amp;IF(AND(EDATE($D91,Milestones!$AA$63)&lt;=AsOfDate,IF($R91=0,$X91,IF(AND($T91&lt;&gt;"",EDATE($D91,Milestones!$AA$63)&gt;=$T91),$W91,IF(AND($S91&lt;&gt;"",EDATE($D91,Milestones!$AA$63)&gt;=$S91),$V91,$U91)))=Milestones!$AB$63),UPPER(TEXT(EDATE($D91,Milestones!$AA$63),"dd mmm yy"))&amp;" "&amp;Milestones!$AB$63&amp;" "&amp;Milestones!$AC$63&amp;";  ","")&amp;IF(AND(EDATE($D91,Milestones!$AA$64)&lt;=AsOfDate,IF($R91=0,$X91,IF(AND($T91&lt;&gt;"",EDATE($D91,Milestones!$AA$64)&gt;=$T91),$W91,IF(AND($S91&lt;&gt;"",EDATE($D91,Milestones!$AA$64)&gt;=$S91),$V91,$U91)))=Milestones!$AB$64),UPPER(TEXT(EDATE($D91,Milestones!$AA$64),"dd mmm yy"))&amp;" "&amp;Milestones!$AB$64&amp;" "&amp;Milestones!$AC$64&amp;";  ","")&amp;IF(AND(EDATE($D91,Milestones!$AA$65)&lt;=AsOfDate,IF($R91=0,$X91,IF(AND($T91&lt;&gt;"",EDATE($D91,Milestones!$AA$65)&gt;=$T91),$W91,IF(AND($S91&lt;&gt;"",EDATE($D91,Milestones!$AA$65)&gt;=$S91),$V91,$U91)))=Milestones!$AB$65),UPPER(TEXT(EDATE($D91,Milestones!$AA$65),"dd mmm yy"))&amp;" "&amp;Milestones!$AB$65&amp;" "&amp;Milestones!$AC$65&amp;";  ","")&amp;IF(AND(EDATE($D91,Milestones!$AA$66)&lt;=AsOfDate,IF($R91=0,$X91,IF(AND($T91&lt;&gt;"",EDATE($D91,Milestones!$AA$66)&gt;=$T91),$W91,IF(AND($S91&lt;&gt;"",EDATE($D91,Milestones!$AA$66)&gt;=$S91),$V91,$U91)))=Milestones!$AB$66),UPPER(TEXT(EDATE($D91,Milestones!$AA$66),"dd mmm yy"))&amp;" "&amp;Milestones!$AB$66&amp;" "&amp;Milestones!$AC$66&amp;";  ","")&amp;IF(AND(EDATE($D91,Milestones!$AA$67)&lt;=AsOfDate,IF($R91=0,$X91,IF(AND($T91&lt;&gt;"",EDATE($D91,Milestones!$AA$67)&gt;=$T91),$W91,IF(AND($S91&lt;&gt;"",EDATE($D91,Milestones!$AA$67)&gt;=$S91),$V91,$U91)))=Milestones!$AB$67),UPPER(TEXT(EDATE($D91,Milestones!$AA$67),"dd mmm yy"))&amp;" "&amp;Milestones!$AB$67&amp;" "&amp;Milestones!$AC$67&amp;";  ","")&amp;IF(AND(EDATE($D91,Milestones!$AA$68)&lt;=AsOfDate,IF($R91=0,$X91,IF(AND($T91&lt;&gt;"",EDATE($D91,Milestones!$AA$68)&gt;=$T91),$W91,IF(AND($S91&lt;&gt;"",EDATE($D91,Milestones!$AA$68)&gt;=$S91),$V91,$U91)))=Milestones!$AB$68),UPPER(TEXT(EDATE($D91,Milestones!$AA$68),"dd mmm yy"))&amp;" "&amp;Milestones!$AB$68&amp;" "&amp;Milestones!$AC$68&amp;";  ","")&amp;IF(AND(EDATE($D91,Milestones!$AA$69)&lt;=AsOfDate,IF($R91=0,$X91,IF(AND($T91&lt;&gt;"",EDATE($D91,Milestones!$AA$69)&gt;=$T91),$W91,IF(AND($S91&lt;&gt;"",EDATE($D91,Milestones!$AA$69)&gt;=$S91),$V91,$U91)))=Milestones!$AB$69),UPPER(TEXT(EDATE($D91,Milestones!$AA$69),"dd mmm yy"))&amp;" "&amp;Milestones!$AB$69&amp;" "&amp;Milestones!$AC$69&amp;";  ","")&amp;IF(AND(EDATE($D91,Milestones!$AA$70)&lt;=AsOfDate,IF($R91=0,$X91,IF(AND($T91&lt;&gt;"",EDATE($D91,Milestones!$AA$70)&gt;=$T91),$W91,IF(AND($S91&lt;&gt;"",EDATE($D91,Milestones!$AA$70)&gt;=$S91),$V91,$U91)))=Milestones!$AB$70),UPPER(TEXT(EDATE($D91,Milestones!$AA$70),"dd mmm yy"))&amp;" "&amp;Milestones!$AB$70&amp;" "&amp;Milestones!$AC$70&amp;";  ","")&amp;IF(AND(EDATE($D91,Milestones!$AA$71)&lt;=AsOfDate,IF($R91=0,$X91,IF(AND($T91&lt;&gt;"",EDATE($D91,Milestones!$AA$71)&gt;=$T91),$W91,IF(AND($S91&lt;&gt;"",EDATE($D91,Milestones!$AA$71)&gt;=$S91),$V91,$U91)))=Milestones!$AB$71),UPPER(TEXT(EDATE($D91,Milestones!$AA$71),"dd mmm yy"))&amp;" "&amp;Milestones!$AB$71&amp;" "&amp;Milestones!$AC$71&amp;";  ","")&amp;IF(AND(EDATE($D91,Milestones!$AA$72)&lt;=AsOfDate,IF($R91=0,$X91,IF(AND($T91&lt;&gt;"",EDATE($D91,Milestones!$AA$72)&gt;=$T91),$W91,IF(AND($S91&lt;&gt;"",EDATE($D91,Milestones!$AA$72)&gt;=$S91),$V91,$U91)))=Milestones!$AB$72),UPPER(TEXT(EDATE($D91,Milestones!$AA$72),"dd mmm yy"))&amp;" "&amp;Milestones!$AB$72&amp;" "&amp;Milestones!$AC$72&amp;";  ","")&amp;IF(AND(EDATE($D91,Milestones!$AA$73)&lt;=AsOfDate,IF($R91=0,$X91,IF(AND($T91&lt;&gt;"",EDATE($D91,Milestones!$AA$73)&gt;=$T91),$W91,IF(AND($S91&lt;&gt;"",EDATE($D91,Milestones!$AA$73)&gt;=$S91),$V91,$U91)))=Milestones!$AB$73),UPPER(TEXT(EDATE($D91,Milestones!$AA$73),"dd mmm yy"))&amp;" "&amp;Milestones!$AB$73&amp;" "&amp;Milestones!$AC$73&amp;";  ","")&amp;IF(AND(EDATE($D91,Milestones!$AA$74)&lt;=AsOfDate,IF($R91=0,$X91,IF(AND($T91&lt;&gt;"",EDATE($D91,Milestones!$AA$74)&gt;=$T91),$W91,IF(AND($S91&lt;&gt;"",EDATE($D91,Milestones!$AA$74)&gt;=$S91),$V91,$U91)))=Milestones!$AB$74),UPPER(TEXT(EDATE($D91,Milestones!$AA$74),"dd mmm yy"))&amp;" "&amp;Milestones!$AB$74&amp;" "&amp;Milestones!$AC$74&amp;";  ","")&amp;IF(AND(EDATE($D91,Milestones!$AA$75)&lt;=AsOfDate,IF($R91=0,$X91,IF(AND($T91&lt;&gt;"",EDATE($D91,Milestones!$AA$75)&gt;=$T91),$W91,IF(AND($S91&lt;&gt;"",EDATE($D91,Milestones!$AA$75)&gt;=$S91),$V91,$U91)))=Milestones!$AB$75),UPPER(TEXT(EDATE($D91,Milestones!$AA$75),"dd mmm yy"))&amp;" "&amp;Milestones!$AB$75&amp;" "&amp;Milestones!$AC$75&amp;";  ","")&amp;IF(AND(EDATE($D91,Milestones!$AA$76)&lt;=AsOfDate,IF($R91=0,$X91,IF(AND($T91&lt;&gt;"",EDATE($D91,Milestones!$AA$76)&gt;=$T91),$W91,IF(AND($S91&lt;&gt;"",EDATE($D91,Milestones!$AA$76)&gt;=$S91),$V91,$U91)))=Milestones!$AB$76),UPPER(TEXT(EDATE($D91,Milestones!$AA$76),"dd mmm yy"))&amp;" "&amp;Milestones!$AB$76&amp;" "&amp;Milestones!$AC$76&amp;";  ","")&amp;IF(AND(EDATE($D91,Milestones!$AA$77)&lt;=AsOfDate,IF($R91=0,$X91,IF(AND($T91&lt;&gt;"",EDATE($D91,Milestones!$AA$77)&gt;=$T91),$W91,IF(AND($S91&lt;&gt;"",EDATE($D91,Milestones!$AA$77)&gt;=$S91),$V91,$U91)))=Milestones!$AB$77),UPPER(TEXT(EDATE($D91,Milestones!$AA$77),"dd mmm yy"))&amp;" "&amp;Milestones!$AB$77&amp;" "&amp;Milestones!$AC$77&amp;";  ","")&amp;IF(AND(EDATE($D91,Milestones!$AA$78)&lt;=AsOfDate,IF($R91=0,$X91,IF(AND($T91&lt;&gt;"",EDATE($D91,Milestones!$AA$78)&gt;=$T91),$W91,IF(AND($S91&lt;&gt;"",EDATE($D91,Milestones!$AA$78)&gt;=$S91),$V91,$U91)))=Milestones!$AB$78),UPPER(TEXT(EDATE($D91,Milestones!$AA$78),"dd mmm yy"))&amp;" "&amp;Milestones!$AB$78&amp;" "&amp;Milestones!$AC$78&amp;";  ","")&amp;IF(AND(EDATE($D91,Milestones!$AA$79)&lt;=AsOfDate,IF($R91=0,$X91,IF(AND($T91&lt;&gt;"",EDATE($D91,Milestones!$AA$79)&gt;=$T91),$W91,IF(AND($S91&lt;&gt;"",EDATE($D91,Milestones!$AA$79)&gt;=$S91),$V91,$U91)))=Milestones!$AB$79),UPPER(TEXT(EDATE($D91,Milestones!$AA$79),"dd mmm yy"))&amp;" "&amp;Milestones!$AB$79&amp;" "&amp;Milestones!$AC$79&amp;";  ",""))</f>
        <v/>
      </c>
      <c r="L91" s="0" t="str">
        <f aca="false">IF(OR($A91="",$D91=""),"",IF(AND(EDATE($D91,Milestones!$AA$80)&lt;=AsOfDate,IF($R91=0,$X91,IF(AND($T91&lt;&gt;"",EDATE($D91,Milestones!$AA$80)&gt;=$T91),$W91,IF(AND($S91&lt;&gt;"",EDATE($D91,Milestones!$AA$80)&gt;=$S91),$V91,$U91)))=Milestones!$AB$80),UPPER(TEXT(EDATE($D91,Milestones!$AA$80),"dd mmm yy"))&amp;" "&amp;Milestones!$AB$80&amp;" "&amp;Milestones!$AC$80&amp;";  ","")&amp;IF(AND(EDATE($D91,Milestones!$AA$81)&lt;=AsOfDate,IF($R91=0,$X91,IF(AND($T91&lt;&gt;"",EDATE($D91,Milestones!$AA$81)&gt;=$T91),$W91,IF(AND($S91&lt;&gt;"",EDATE($D91,Milestones!$AA$81)&gt;=$S91),$V91,$U91)))=Milestones!$AB$81),UPPER(TEXT(EDATE($D91,Milestones!$AA$81),"dd mmm yy"))&amp;" "&amp;Milestones!$AB$81&amp;" "&amp;Milestones!$AC$81&amp;";  ","")&amp;IF(AND(EDATE($D91,Milestones!$AA$82)&lt;=AsOfDate,IF($R91=0,$X91,IF(AND($T91&lt;&gt;"",EDATE($D91,Milestones!$AA$82)&gt;=$T91),$W91,IF(AND($S91&lt;&gt;"",EDATE($D91,Milestones!$AA$82)&gt;=$S91),$V91,$U91)))=Milestones!$AB$82),UPPER(TEXT(EDATE($D91,Milestones!$AA$82),"dd mmm yy"))&amp;" "&amp;Milestones!$AB$82&amp;" "&amp;Milestones!$AC$82&amp;";  ","")&amp;IF(AND(EDATE($D91,Milestones!$AA$83)&lt;=AsOfDate,IF($R91=0,$X91,IF(AND($T91&lt;&gt;"",EDATE($D91,Milestones!$AA$83)&gt;=$T91),$W91,IF(AND($S91&lt;&gt;"",EDATE($D91,Milestones!$AA$83)&gt;=$S91),$V91,$U91)))=Milestones!$AB$83),UPPER(TEXT(EDATE($D91,Milestones!$AA$83),"dd mmm yy"))&amp;" "&amp;Milestones!$AB$83&amp;" "&amp;Milestones!$AC$83&amp;";  ","")&amp;IF(AND(EDATE($D91,Milestones!$AA$84)&lt;=AsOfDate,IF($R91=0,$X91,IF(AND($T91&lt;&gt;"",EDATE($D91,Milestones!$AA$84)&gt;=$T91),$W91,IF(AND($S91&lt;&gt;"",EDATE($D91,Milestones!$AA$84)&gt;=$S91),$V91,$U91)))=Milestones!$AB$84),UPPER(TEXT(EDATE($D91,Milestones!$AA$84),"dd mmm yy"))&amp;" "&amp;Milestones!$AB$84&amp;" "&amp;Milestones!$AC$84&amp;";  ","")&amp;IF(AND(EDATE($D91,Milestones!$AA$85)&lt;=AsOfDate,IF($R91=0,$X91,IF(AND($T91&lt;&gt;"",EDATE($D91,Milestones!$AA$85)&gt;=$T91),$W91,IF(AND($S91&lt;&gt;"",EDATE($D91,Milestones!$AA$85)&gt;=$S91),$V91,$U91)))=Milestones!$AB$85),UPPER(TEXT(EDATE($D91,Milestones!$AA$85),"dd mmm yy"))&amp;" "&amp;Milestones!$AB$85&amp;" "&amp;Milestones!$AC$85&amp;";  ","")&amp;IF(AND(EDATE($D91,Milestones!$AA$86)&lt;=AsOfDate,IF($R91=0,$X91,IF(AND($T91&lt;&gt;"",EDATE($D91,Milestones!$AA$86)&gt;=$T91),$W91,IF(AND($S91&lt;&gt;"",EDATE($D91,Milestones!$AA$86)&gt;=$S91),$V91,$U91)))=Milestones!$AB$86),UPPER(TEXT(EDATE($D91,Milestones!$AA$86),"dd mmm yy"))&amp;" "&amp;Milestones!$AB$86&amp;" "&amp;Milestones!$AC$86&amp;";  ","")&amp;IF(AND(EDATE($D91,Milestones!$AA$87)&lt;=AsOfDate,IF($R91=0,$X91,IF(AND($T91&lt;&gt;"",EDATE($D91,Milestones!$AA$87)&gt;=$T91),$W91,IF(AND($S91&lt;&gt;"",EDATE($D91,Milestones!$AA$87)&gt;=$S91),$V91,$U91)))=Milestones!$AB$87),UPPER(TEXT(EDATE($D91,Milestones!$AA$87),"dd mmm yy"))&amp;" "&amp;Milestones!$AB$87&amp;" "&amp;Milestones!$AC$87&amp;";  ","")&amp;IF(AND(EDATE($D91,Milestones!$AA$88)&lt;=AsOfDate,IF($R91=0,$X91,IF(AND($T91&lt;&gt;"",EDATE($D91,Milestones!$AA$88)&gt;=$T91),$W91,IF(AND($S91&lt;&gt;"",EDATE($D91,Milestones!$AA$88)&gt;=$S91),$V91,$U91)))=Milestones!$AB$88),UPPER(TEXT(EDATE($D91,Milestones!$AA$88),"dd mmm yy"))&amp;" "&amp;Milestones!$AB$88&amp;" "&amp;Milestones!$AC$88&amp;";  ","")&amp;IF(AND(EDATE($D91,Milestones!$AA$89)&lt;=AsOfDate,IF($R91=0,$X91,IF(AND($T91&lt;&gt;"",EDATE($D91,Milestones!$AA$89)&gt;=$T91),$W91,IF(AND($S91&lt;&gt;"",EDATE($D91,Milestones!$AA$89)&gt;=$S91),$V91,$U91)))=Milestones!$AB$89),UPPER(TEXT(EDATE($D91,Milestones!$AA$89),"dd mmm yy"))&amp;" "&amp;Milestones!$AB$89&amp;" "&amp;Milestones!$AC$89&amp;";  ","")&amp;IF(AND(EDATE($D91,Milestones!$AA$90)&lt;=AsOfDate,IF($R91=0,$X91,IF(AND($T91&lt;&gt;"",EDATE($D91,Milestones!$AA$90)&gt;=$T91),$W91,IF(AND($S91&lt;&gt;"",EDATE($D91,Milestones!$AA$90)&gt;=$S91),$V91,$U91)))=Milestones!$AB$90),UPPER(TEXT(EDATE($D91,Milestones!$AA$90),"dd mmm yy"))&amp;" "&amp;Milestones!$AB$90&amp;" "&amp;Milestones!$AC$90&amp;";  ","")&amp;IF(AND(EDATE($D91,Milestones!$AA$91)&lt;=AsOfDate,IF($R91=0,$X91,IF(AND($T91&lt;&gt;"",EDATE($D91,Milestones!$AA$91)&gt;=$T91),$W91,IF(AND($S91&lt;&gt;"",EDATE($D91,Milestones!$AA$91)&gt;=$S91),$V91,$U91)))=Milestones!$AB$91),UPPER(TEXT(EDATE($D91,Milestones!$AA$91),"dd mmm yy"))&amp;" "&amp;Milestones!$AB$91&amp;" "&amp;Milestones!$AC$91&amp;";  ","")&amp;IF(AND(EDATE($D91,Milestones!$AA$92)&lt;=AsOfDate,IF($R91=0,$X91,IF(AND($T91&lt;&gt;"",EDATE($D91,Milestones!$AA$92)&gt;=$T91),$W91,IF(AND($S91&lt;&gt;"",EDATE($D91,Milestones!$AA$92)&gt;=$S91),$V91,$U91)))=Milestones!$AB$92),UPPER(TEXT(EDATE($D91,Milestones!$AA$92),"dd mmm yy"))&amp;" "&amp;Milestones!$AB$92&amp;" "&amp;Milestones!$AC$92&amp;";  ","")&amp;IF(AND(EDATE($D91,Milestones!$AA$93)&lt;=AsOfDate,IF($R91=0,$X91,IF(AND($T91&lt;&gt;"",EDATE($D91,Milestones!$AA$93)&gt;=$T91),$W91,IF(AND($S91&lt;&gt;"",EDATE($D91,Milestones!$AA$93)&gt;=$S91),$V91,$U91)))=Milestones!$AB$93),UPPER(TEXT(EDATE($D91,Milestones!$AA$93),"dd mmm yy"))&amp;" "&amp;Milestones!$AB$93&amp;" "&amp;Milestones!$AC$93&amp;";  ","")&amp;IF(AND(EDATE($D91,Milestones!$AA$94)&lt;=AsOfDate,IF($R91=0,$X91,IF(AND($T91&lt;&gt;"",EDATE($D91,Milestones!$AA$94)&gt;=$T91),$W91,IF(AND($S91&lt;&gt;"",EDATE($D91,Milestones!$AA$94)&gt;=$S91),$V91,$U91)))=Milestones!$AB$94),UPPER(TEXT(EDATE($D91,Milestones!$AA$94),"dd mmm yy"))&amp;" "&amp;Milestones!$AB$94&amp;" "&amp;Milestones!$AC$94&amp;";  ","")&amp;IF(AND(EDATE($D91,Milestones!$AA$95)&lt;=AsOfDate,IF($R91=0,$X91,IF(AND($T91&lt;&gt;"",EDATE($D91,Milestones!$AA$95)&gt;=$T91),$W91,IF(AND($S91&lt;&gt;"",EDATE($D91,Milestones!$AA$95)&gt;=$S91),$V91,$U91)))=Milestones!$AB$95),UPPER(TEXT(EDATE($D91,Milestones!$AA$95),"dd mmm yy"))&amp;" "&amp;Milestones!$AB$95&amp;" "&amp;Milestones!$AC$95&amp;";  ","")&amp;IF(AND(EDATE($D91,Milestones!$AA$96)&lt;=AsOfDate,IF($R91=0,$X91,IF(AND($T91&lt;&gt;"",EDATE($D91,Milestones!$AA$96)&gt;=$T91),$W91,IF(AND($S91&lt;&gt;"",EDATE($D91,Milestones!$AA$96)&gt;=$S91),$V91,$U91)))=Milestones!$AB$96),UPPER(TEXT(EDATE($D91,Milestones!$AA$96),"dd mmm yy"))&amp;" "&amp;Milestones!$AB$96&amp;" "&amp;Milestones!$AC$96&amp;";  ","")&amp;IF(AND(EDATE($D91,Milestones!$AA$97)&lt;=AsOfDate,IF($R91=0,$X91,IF(AND($T91&lt;&gt;"",EDATE($D91,Milestones!$AA$97)&gt;=$T91),$W91,IF(AND($S91&lt;&gt;"",EDATE($D91,Milestones!$AA$97)&gt;=$S91),$V91,$U91)))=Milestones!$AB$97),UPPER(TEXT(EDATE($D91,Milestones!$AA$97),"dd mmm yy"))&amp;" "&amp;Milestones!$AB$97&amp;" "&amp;Milestones!$AC$97&amp;";  ","")&amp;IF(AND(EDATE($D91,Milestones!$AA$98)&lt;=AsOfDate,IF($R91=0,$X91,IF(AND($T91&lt;&gt;"",EDATE($D91,Milestones!$AA$98)&gt;=$T91),$W91,IF(AND($S91&lt;&gt;"",EDATE($D91,Milestones!$AA$98)&gt;=$S91),$V91,$U91)))=Milestones!$AB$98),UPPER(TEXT(EDATE($D91,Milestones!$AA$98),"dd mmm yy"))&amp;" "&amp;Milestones!$AB$98&amp;" "&amp;Milestones!$AC$98&amp;";  ","")&amp;IF(AND(EDATE($D91,Milestones!$AA$99)&lt;=AsOfDate,IF($R91=0,$X91,IF(AND($T91&lt;&gt;"",EDATE($D91,Milestones!$AA$99)&gt;=$T91),$W91,IF(AND($S91&lt;&gt;"",EDATE($D91,Milestones!$AA$99)&gt;=$S91),$V91,$U91)))=Milestones!$AB$99),UPPER(TEXT(EDATE($D91,Milestones!$AA$99),"dd mmm yy"))&amp;" "&amp;Milestones!$AB$99&amp;" "&amp;Milestones!$AC$99&amp;";  ",""))</f>
        <v/>
      </c>
      <c r="M91" s="0" t="str">
        <f aca="false">IF(OR($A91="",$D91=""),"",IF(AND(EDATE($D91,Milestones!$AA$100)&lt;=AsOfDate,IF($R91=0,$X91,IF(AND($T91&lt;&gt;"",EDATE($D91,Milestones!$AA$100)&gt;=$T91),$W91,IF(AND($S91&lt;&gt;"",EDATE($D91,Milestones!$AA$100)&gt;=$S91),$V91,$U91)))=Milestones!$AB$100),UPPER(TEXT(EDATE($D91,Milestones!$AA$100),"dd mmm yy"))&amp;" "&amp;Milestones!$AB$100&amp;" "&amp;Milestones!$AC$100&amp;";  ","")&amp;IF(AND(EDATE($D91,Milestones!$AA$101)&lt;=AsOfDate,IF($R91=0,$X91,IF(AND($T91&lt;&gt;"",EDATE($D91,Milestones!$AA$101)&gt;=$T91),$W91,IF(AND($S91&lt;&gt;"",EDATE($D91,Milestones!$AA$101)&gt;=$S91),$V91,$U91)))=Milestones!$AB$101),UPPER(TEXT(EDATE($D91,Milestones!$AA$101),"dd mmm yy"))&amp;" "&amp;Milestones!$AB$101&amp;" "&amp;Milestones!$AC$101&amp;";  ","")&amp;IF(AND(EDATE($D91,Milestones!$AA$102)&lt;=AsOfDate,IF($R91=0,$X91,IF(AND($T91&lt;&gt;"",EDATE($D91,Milestones!$AA$102)&gt;=$T91),$W91,IF(AND($S91&lt;&gt;"",EDATE($D91,Milestones!$AA$102)&gt;=$S91),$V91,$U91)))=Milestones!$AB$102),UPPER(TEXT(EDATE($D91,Milestones!$AA$102),"dd mmm yy"))&amp;" "&amp;Milestones!$AB$102&amp;" "&amp;Milestones!$AC$102&amp;";  ","")&amp;IF(AND(EDATE($D91,Milestones!$AA$103)&lt;=AsOfDate,IF($R91=0,$X91,IF(AND($T91&lt;&gt;"",EDATE($D91,Milestones!$AA$103)&gt;=$T91),$W91,IF(AND($S91&lt;&gt;"",EDATE($D91,Milestones!$AA$103)&gt;=$S91),$V91,$U91)))=Milestones!$AB$103),UPPER(TEXT(EDATE($D91,Milestones!$AA$103),"dd mmm yy"))&amp;" "&amp;Milestones!$AB$103&amp;" "&amp;Milestones!$AC$103&amp;";  ","")&amp;IF(AND(EDATE($D91,Milestones!$AA$104)&lt;=AsOfDate,IF($R91=0,$X91,IF(AND($T91&lt;&gt;"",EDATE($D91,Milestones!$AA$104)&gt;=$T91),$W91,IF(AND($S91&lt;&gt;"",EDATE($D91,Milestones!$AA$104)&gt;=$S91),$V91,$U91)))=Milestones!$AB$104),UPPER(TEXT(EDATE($D91,Milestones!$AA$104),"dd mmm yy"))&amp;" "&amp;Milestones!$AB$104&amp;" "&amp;Milestones!$AC$104&amp;";  ","")&amp;IF(AND(EDATE($D91,Milestones!$AA$105)&lt;=AsOfDate,IF($R91=0,$X91,IF(AND($T91&lt;&gt;"",EDATE($D91,Milestones!$AA$105)&gt;=$T91),$W91,IF(AND($S91&lt;&gt;"",EDATE($D91,Milestones!$AA$105)&gt;=$S91),$V91,$U91)))=Milestones!$AB$105),UPPER(TEXT(EDATE($D91,Milestones!$AA$105),"dd mmm yy"))&amp;" "&amp;Milestones!$AB$105&amp;" "&amp;Milestones!$AC$105&amp;";  ","")&amp;IF(AND(EDATE($D91,Milestones!$AA$106)&lt;=AsOfDate,IF($R91=0,$X91,IF(AND($T91&lt;&gt;"",EDATE($D91,Milestones!$AA$106)&gt;=$T91),$W91,IF(AND($S91&lt;&gt;"",EDATE($D91,Milestones!$AA$106)&gt;=$S91),$V91,$U91)))=Milestones!$AB$106),UPPER(TEXT(EDATE($D91,Milestones!$AA$106),"dd mmm yy"))&amp;" "&amp;Milestones!$AB$106&amp;" "&amp;Milestones!$AC$106&amp;";  ","")&amp;IF(AND(EDATE($D91,Milestones!$AA$107)&lt;=AsOfDate,IF($R91=0,$X91,IF(AND($T91&lt;&gt;"",EDATE($D91,Milestones!$AA$107)&gt;=$T91),$W91,IF(AND($S91&lt;&gt;"",EDATE($D91,Milestones!$AA$107)&gt;=$S91),$V91,$U91)))=Milestones!$AB$107),UPPER(TEXT(EDATE($D91,Milestones!$AA$107),"dd mmm yy"))&amp;" "&amp;Milestones!$AB$107&amp;" "&amp;Milestones!$AC$107&amp;";  ","")&amp;IF(AND(EDATE($D91,Milestones!$AA$108)&lt;=AsOfDate,IF($R91=0,$X91,IF(AND($T91&lt;&gt;"",EDATE($D91,Milestones!$AA$108)&gt;=$T91),$W91,IF(AND($S91&lt;&gt;"",EDATE($D91,Milestones!$AA$108)&gt;=$S91),$V91,$U91)))=Milestones!$AB$108),UPPER(TEXT(EDATE($D91,Milestones!$AA$108),"dd mmm yy"))&amp;" "&amp;Milestones!$AB$108&amp;" "&amp;Milestones!$AC$108&amp;";  ","")&amp;IF(AND(EDATE($D91,Milestones!$AA$109)&lt;=AsOfDate,IF($R91=0,$X91,IF(AND($T91&lt;&gt;"",EDATE($D91,Milestones!$AA$109)&gt;=$T91),$W91,IF(AND($S91&lt;&gt;"",EDATE($D91,Milestones!$AA$109)&gt;=$S91),$V91,$U91)))=Milestones!$AB$109),UPPER(TEXT(EDATE($D91,Milestones!$AA$109),"dd mmm yy"))&amp;" "&amp;Milestones!$AB$109&amp;" "&amp;Milestones!$AC$109&amp;";  ","")&amp;IF(AND(EDATE($D91,Milestones!$AA$110)&lt;=AsOfDate,IF($R91=0,$X91,IF(AND($T91&lt;&gt;"",EDATE($D91,Milestones!$AA$110)&gt;=$T91),$W91,IF(AND($S91&lt;&gt;"",EDATE($D91,Milestones!$AA$110)&gt;=$S91),$V91,$U91)))=Milestones!$AB$110),UPPER(TEXT(EDATE($D91,Milestones!$AA$110),"dd mmm yy"))&amp;" "&amp;Milestones!$AB$110&amp;" "&amp;Milestones!$AC$110&amp;";  ","")&amp;IF(AND(EDATE($D91,Milestones!$AA$111)&lt;=AsOfDate,IF($R91=0,$X91,IF(AND($T91&lt;&gt;"",EDATE($D91,Milestones!$AA$111)&gt;=$T91),$W91,IF(AND($S91&lt;&gt;"",EDATE($D91,Milestones!$AA$111)&gt;=$S91),$V91,$U91)))=Milestones!$AB$111),UPPER(TEXT(EDATE($D91,Milestones!$AA$111),"dd mmm yy"))&amp;" "&amp;Milestones!$AB$111&amp;" "&amp;Milestones!$AC$111&amp;";  ","")&amp;IF(AND(EDATE($D91,Milestones!$AA$112)&lt;=AsOfDate,IF($R91=0,$X91,IF(AND($T91&lt;&gt;"",EDATE($D91,Milestones!$AA$112)&gt;=$T91),$W91,IF(AND($S91&lt;&gt;"",EDATE($D91,Milestones!$AA$112)&gt;=$S91),$V91,$U91)))=Milestones!$AB$112),UPPER(TEXT(EDATE($D91,Milestones!$AA$112),"dd mmm yy"))&amp;" "&amp;Milestones!$AB$112&amp;" "&amp;Milestones!$AC$112&amp;";  ","")&amp;IF(AND(EDATE($D91,Milestones!$AA$113)&lt;=AsOfDate,IF($R91=0,$X91,IF(AND($T91&lt;&gt;"",EDATE($D91,Milestones!$AA$113)&gt;=$T91),$W91,IF(AND($S91&lt;&gt;"",EDATE($D91,Milestones!$AA$113)&gt;=$S91),$V91,$U91)))=Milestones!$AB$113),UPPER(TEXT(EDATE($D91,Milestones!$AA$113),"dd mmm yy"))&amp;" "&amp;Milestones!$AB$113&amp;" "&amp;Milestones!$AC$113&amp;";  ","")&amp;IF(AND(EDATE($D91,Milestones!$AA$114)&lt;=AsOfDate,IF($R91=0,$X91,IF(AND($T91&lt;&gt;"",EDATE($D91,Milestones!$AA$114)&gt;=$T91),$W91,IF(AND($S91&lt;&gt;"",EDATE($D91,Milestones!$AA$114)&gt;=$S91),$V91,$U91)))=Milestones!$AB$114),UPPER(TEXT(EDATE($D91,Milestones!$AA$114),"dd mmm yy"))&amp;" "&amp;Milestones!$AB$114&amp;" "&amp;Milestones!$AC$114&amp;";  ","")&amp;IF(AND(EDATE($D91,Milestones!$AA$115)&lt;=AsOfDate,IF($R91=0,$X91,IF(AND($T91&lt;&gt;"",EDATE($D91,Milestones!$AA$115)&gt;=$T91),$W91,IF(AND($S91&lt;&gt;"",EDATE($D91,Milestones!$AA$115)&gt;=$S91),$V91,$U91)))=Milestones!$AB$115),UPPER(TEXT(EDATE($D91,Milestones!$AA$115),"dd mmm yy"))&amp;" "&amp;Milestones!$AB$115&amp;" "&amp;Milestones!$AC$115&amp;";  ","")&amp;IF(AND(EDATE($D91,Milestones!$AA$116)&lt;=AsOfDate,IF($R91=0,$X91,IF(AND($T91&lt;&gt;"",EDATE($D91,Milestones!$AA$116)&gt;=$T91),$W91,IF(AND($S91&lt;&gt;"",EDATE($D91,Milestones!$AA$116)&gt;=$S91),$V91,$U91)))=Milestones!$AB$116),UPPER(TEXT(EDATE($D91,Milestones!$AA$116),"dd mmm yy"))&amp;" "&amp;Milestones!$AB$116&amp;" "&amp;Milestones!$AC$116&amp;";  ","")&amp;IF(AND(EDATE($D91,Milestones!$AA$117)&lt;=AsOfDate,IF($R91=0,$X91,IF(AND($T91&lt;&gt;"",EDATE($D91,Milestones!$AA$117)&gt;=$T91),$W91,IF(AND($S91&lt;&gt;"",EDATE($D91,Milestones!$AA$117)&gt;=$S91),$V91,$U91)))=Milestones!$AB$117),UPPER(TEXT(EDATE($D91,Milestones!$AA$117),"dd mmm yy"))&amp;" "&amp;Milestones!$AB$117&amp;" "&amp;Milestones!$AC$117&amp;";  ","")&amp;IF(AND(EDATE($D91,Milestones!$AA$118)&lt;=AsOfDate,IF($R91=0,$X91,IF(AND($T91&lt;&gt;"",EDATE($D91,Milestones!$AA$118)&gt;=$T91),$W91,IF(AND($S91&lt;&gt;"",EDATE($D91,Milestones!$AA$118)&gt;=$S91),$V91,$U91)))=Milestones!$AB$118),UPPER(TEXT(EDATE($D91,Milestones!$AA$118),"dd mmm yy"))&amp;" "&amp;Milestones!$AB$118&amp;" "&amp;Milestones!$AC$118&amp;";  ","")&amp;IF(AND(EDATE($D91,Milestones!$AA$119)&lt;=AsOfDate,IF($R91=0,$X91,IF(AND($T91&lt;&gt;"",EDATE($D91,Milestones!$AA$119)&gt;=$T91),$W91,IF(AND($S91&lt;&gt;"",EDATE($D91,Milestones!$AA$119)&gt;=$S91),$V91,$U91)))=Milestones!$AB$119),UPPER(TEXT(EDATE($D91,Milestones!$AA$119),"dd mmm yy"))&amp;" "&amp;Milestones!$AB$119&amp;" "&amp;Milestones!$AC$119&amp;";  ",""))</f>
        <v/>
      </c>
      <c r="N91" s="0" t="str">
        <f aca="false">IF(OR($A91="",$D91=""),"",IF(AND(EDATE($D91,Milestones!$AA$120)&lt;=AsOfDate,IF($R91=0,$X91,IF(AND($T91&lt;&gt;"",EDATE($D91,Milestones!$AA$120)&gt;=$T91),$W91,IF(AND($S91&lt;&gt;"",EDATE($D91,Milestones!$AA$120)&gt;=$S91),$V91,$U91)))=Milestones!$AB$120),UPPER(TEXT(EDATE($D91,Milestones!$AA$120),"dd mmm yy"))&amp;" "&amp;Milestones!$AB$120&amp;" "&amp;Milestones!$AC$120&amp;";  ","")&amp;IF(AND(EDATE($D91,Milestones!$AA$121)&lt;=AsOfDate,IF($R91=0,$X91,IF(AND($T91&lt;&gt;"",EDATE($D91,Milestones!$AA$121)&gt;=$T91),$W91,IF(AND($S91&lt;&gt;"",EDATE($D91,Milestones!$AA$121)&gt;=$S91),$V91,$U91)))=Milestones!$AB$121),UPPER(TEXT(EDATE($D91,Milestones!$AA$121),"dd mmm yy"))&amp;" "&amp;Milestones!$AB$121&amp;" "&amp;Milestones!$AC$121&amp;";  ","")&amp;IF(AND(EDATE($D91,Milestones!$AA$122)&lt;=AsOfDate,IF($R91=0,$X91,IF(AND($T91&lt;&gt;"",EDATE($D91,Milestones!$AA$122)&gt;=$T91),$W91,IF(AND($S91&lt;&gt;"",EDATE($D91,Milestones!$AA$122)&gt;=$S91),$V91,$U91)))=Milestones!$AB$122),UPPER(TEXT(EDATE($D91,Milestones!$AA$122),"dd mmm yy"))&amp;" "&amp;Milestones!$AB$122&amp;" "&amp;Milestones!$AC$122&amp;";  ","")&amp;IF(AND(EDATE($D91,Milestones!$AA$123)&lt;=AsOfDate,IF($R91=0,$X91,IF(AND($T91&lt;&gt;"",EDATE($D91,Milestones!$AA$123)&gt;=$T91),$W91,IF(AND($S91&lt;&gt;"",EDATE($D91,Milestones!$AA$123)&gt;=$S91),$V91,$U91)))=Milestones!$AB$123),UPPER(TEXT(EDATE($D91,Milestones!$AA$123),"dd mmm yy"))&amp;" "&amp;Milestones!$AB$123&amp;" "&amp;Milestones!$AC$123&amp;";  ","")&amp;IF(AND(EDATE($D91,Milestones!$AA$124)&lt;=AsOfDate,IF($R91=0,$X91,IF(AND($T91&lt;&gt;"",EDATE($D91,Milestones!$AA$124)&gt;=$T91),$W91,IF(AND($S91&lt;&gt;"",EDATE($D91,Milestones!$AA$124)&gt;=$S91),$V91,$U91)))=Milestones!$AB$124),UPPER(TEXT(EDATE($D91,Milestones!$AA$124),"dd mmm yy"))&amp;" "&amp;Milestones!$AB$124&amp;" "&amp;Milestones!$AC$124&amp;";  ","")&amp;IF(AND(EDATE($D91,Milestones!$AA$125)&lt;=AsOfDate,IF($R91=0,$X91,IF(AND($T91&lt;&gt;"",EDATE($D91,Milestones!$AA$125)&gt;=$T91),$W91,IF(AND($S91&lt;&gt;"",EDATE($D91,Milestones!$AA$125)&gt;=$S91),$V91,$U91)))=Milestones!$AB$125),UPPER(TEXT(EDATE($D91,Milestones!$AA$125),"dd mmm yy"))&amp;" "&amp;Milestones!$AB$125&amp;" "&amp;Milestones!$AC$125&amp;";  ","")&amp;IF(AND(EDATE($D91,Milestones!$AA$126)&lt;=AsOfDate,IF($R91=0,$X91,IF(AND($T91&lt;&gt;"",EDATE($D91,Milestones!$AA$126)&gt;=$T91),$W91,IF(AND($S91&lt;&gt;"",EDATE($D91,Milestones!$AA$126)&gt;=$S91),$V91,$U91)))=Milestones!$AB$126),UPPER(TEXT(EDATE($D91,Milestones!$AA$126),"dd mmm yy"))&amp;" "&amp;Milestones!$AB$126&amp;" "&amp;Milestones!$AC$126&amp;";  ","")&amp;IF(AND(EDATE($D91,Milestones!$AA$127)&lt;=AsOfDate,IF($R91=0,$X91,IF(AND($T91&lt;&gt;"",EDATE($D91,Milestones!$AA$127)&gt;=$T91),$W91,IF(AND($S91&lt;&gt;"",EDATE($D91,Milestones!$AA$127)&gt;=$S91),$V91,$U91)))=Milestones!$AB$127),UPPER(TEXT(EDATE($D91,Milestones!$AA$127),"dd mmm yy"))&amp;" "&amp;Milestones!$AB$127&amp;" "&amp;Milestones!$AC$127&amp;";  ","")&amp;IF(AND(EDATE($D91,Milestones!$AA$128)&lt;=AsOfDate,IF($R91=0,$X91,IF(AND($T91&lt;&gt;"",EDATE($D91,Milestones!$AA$128)&gt;=$T91),$W91,IF(AND($S91&lt;&gt;"",EDATE($D91,Milestones!$AA$128)&gt;=$S91),$V91,$U91)))=Milestones!$AB$128),UPPER(TEXT(EDATE($D91,Milestones!$AA$128),"dd mmm yy"))&amp;" "&amp;Milestones!$AB$128&amp;" "&amp;Milestones!$AC$128&amp;";  ","")&amp;IF(AND(EDATE($D91,Milestones!$AA$129)&lt;=AsOfDate,IF($R91=0,$X91,IF(AND($T91&lt;&gt;"",EDATE($D91,Milestones!$AA$129)&gt;=$T91),$W91,IF(AND($S91&lt;&gt;"",EDATE($D91,Milestones!$AA$129)&gt;=$S91),$V91,$U91)))=Milestones!$AB$129),UPPER(TEXT(EDATE($D91,Milestones!$AA$129),"dd mmm yy"))&amp;" "&amp;Milestones!$AB$129&amp;" "&amp;Milestones!$AC$129&amp;";  ","")&amp;IF(AND(EDATE($D91,Milestones!$AA$130)&lt;=AsOfDate,IF($R91=0,$X91,IF(AND($T91&lt;&gt;"",EDATE($D91,Milestones!$AA$130)&gt;=$T91),$W91,IF(AND($S91&lt;&gt;"",EDATE($D91,Milestones!$AA$130)&gt;=$S91),$V91,$U91)))=Milestones!$AB$130),UPPER(TEXT(EDATE($D91,Milestones!$AA$130),"dd mmm yy"))&amp;" "&amp;Milestones!$AB$130&amp;" "&amp;Milestones!$AC$130&amp;";  ","")&amp;IF(AND(EDATE($D91,Milestones!$AA$131)&lt;=AsOfDate,IF($R91=0,$X91,IF(AND($T91&lt;&gt;"",EDATE($D91,Milestones!$AA$131)&gt;=$T91),$W91,IF(AND($S91&lt;&gt;"",EDATE($D91,Milestones!$AA$131)&gt;=$S91),$V91,$U91)))=Milestones!$AB$131),UPPER(TEXT(EDATE($D91,Milestones!$AA$131),"dd mmm yy"))&amp;" "&amp;Milestones!$AB$131&amp;" "&amp;Milestones!$AC$131&amp;";  ","")&amp;IF(AND(EDATE($D91,Milestones!$AA$132)&lt;=AsOfDate,IF($R91=0,$X91,IF(AND($T91&lt;&gt;"",EDATE($D91,Milestones!$AA$132)&gt;=$T91),$W91,IF(AND($S91&lt;&gt;"",EDATE($D91,Milestones!$AA$132)&gt;=$S91),$V91,$U91)))=Milestones!$AB$132),UPPER(TEXT(EDATE($D91,Milestones!$AA$132),"dd mmm yy"))&amp;" "&amp;Milestones!$AB$132&amp;" "&amp;Milestones!$AC$132&amp;";  ","")&amp;IF(AND(EDATE($D91,Milestones!$AA$133)&lt;=AsOfDate,IF($R91=0,$X91,IF(AND($T91&lt;&gt;"",EDATE($D91,Milestones!$AA$133)&gt;=$T91),$W91,IF(AND($S91&lt;&gt;"",EDATE($D91,Milestones!$AA$133)&gt;=$S91),$V91,$U91)))=Milestones!$AB$133),UPPER(TEXT(EDATE($D91,Milestones!$AA$133),"dd mmm yy"))&amp;" "&amp;Milestones!$AB$133&amp;" "&amp;Milestones!$AC$133&amp;";  ","")&amp;IF(AND(EDATE($D91,Milestones!$AA$134)&lt;=AsOfDate,IF($R91=0,$X91,IF(AND($T91&lt;&gt;"",EDATE($D91,Milestones!$AA$134)&gt;=$T91),$W91,IF(AND($S91&lt;&gt;"",EDATE($D91,Milestones!$AA$134)&gt;=$S91),$V91,$U91)))=Milestones!$AB$134),UPPER(TEXT(EDATE($D91,Milestones!$AA$134),"dd mmm yy"))&amp;" "&amp;Milestones!$AB$134&amp;" "&amp;Milestones!$AC$134&amp;";  ","")&amp;IF(AND(EDATE($D91,Milestones!$AA$135)&lt;=AsOfDate,IF($R91=0,$X91,IF(AND($T91&lt;&gt;"",EDATE($D91,Milestones!$AA$135)&gt;=$T91),$W91,IF(AND($S91&lt;&gt;"",EDATE($D91,Milestones!$AA$135)&gt;=$S91),$V91,$U91)))=Milestones!$AB$135),UPPER(TEXT(EDATE($D91,Milestones!$AA$135),"dd mmm yy"))&amp;" "&amp;Milestones!$AB$135&amp;" "&amp;Milestones!$AC$135&amp;";  ","")&amp;IF(AND(EDATE($D91,Milestones!$AA$136)&lt;=AsOfDate,IF($R91=0,$X91,IF(AND($T91&lt;&gt;"",EDATE($D91,Milestones!$AA$136)&gt;=$T91),$W91,IF(AND($S91&lt;&gt;"",EDATE($D91,Milestones!$AA$136)&gt;=$S91),$V91,$U91)))=Milestones!$AB$136),UPPER(TEXT(EDATE($D91,Milestones!$AA$136),"dd mmm yy"))&amp;" "&amp;Milestones!$AB$136&amp;" "&amp;Milestones!$AC$136&amp;";  ","")&amp;IF(AND(EDATE($D91,Milestones!$AA$137)&lt;=AsOfDate,IF($R91=0,$X91,IF(AND($T91&lt;&gt;"",EDATE($D91,Milestones!$AA$137)&gt;=$T91),$W91,IF(AND($S91&lt;&gt;"",EDATE($D91,Milestones!$AA$137)&gt;=$S91),$V91,$U91)))=Milestones!$AB$137),UPPER(TEXT(EDATE($D91,Milestones!$AA$137),"dd mmm yy"))&amp;" "&amp;Milestones!$AB$137&amp;" "&amp;Milestones!$AC$137&amp;";  ","")&amp;IF(AND(EDATE($D91,Milestones!$AA$138)&lt;=AsOfDate,IF($R91=0,$X91,IF(AND($T91&lt;&gt;"",EDATE($D91,Milestones!$AA$138)&gt;=$T91),$W91,IF(AND($S91&lt;&gt;"",EDATE($D91,Milestones!$AA$138)&gt;=$S91),$V91,$U91)))=Milestones!$AB$138),UPPER(TEXT(EDATE($D91,Milestones!$AA$138),"dd mmm yy"))&amp;" "&amp;Milestones!$AB$138&amp;" "&amp;Milestones!$AC$138&amp;";  ","")&amp;IF(AND(EDATE($D91,Milestones!$AA$139)&lt;=AsOfDate,IF($R91=0,$X91,IF(AND($T91&lt;&gt;"",EDATE($D91,Milestones!$AA$139)&gt;=$T91),$W91,IF(AND($S91&lt;&gt;"",EDATE($D91,Milestones!$AA$139)&gt;=$S91),$V91,$U91)))=Milestones!$AB$139),UPPER(TEXT(EDATE($D91,Milestones!$AA$139),"dd mmm yy"))&amp;" "&amp;Milestones!$AB$139&amp;" "&amp;Milestones!$AC$139&amp;";  ",""))</f>
        <v/>
      </c>
      <c r="O91" s="0" t="str">
        <f aca="false">IF(OR($A91="",$D91=""),"",IF(AND(EDATE($D91,Milestones!$AA$140)&lt;=AsOfDate,IF($R91=0,$X91,IF(AND($T91&lt;&gt;"",EDATE($D91,Milestones!$AA$140)&gt;=$T91),$W91,IF(AND($S91&lt;&gt;"",EDATE($D91,Milestones!$AA$140)&gt;=$S91),$V91,$U91)))=Milestones!$AB$140),UPPER(TEXT(EDATE($D91,Milestones!$AA$140),"dd mmm yy"))&amp;" "&amp;Milestones!$AB$140&amp;" "&amp;Milestones!$AC$140&amp;";  ","")&amp;IF(AND(EDATE($D91,Milestones!$AA$141)&lt;=AsOfDate,IF($R91=0,$X91,IF(AND($T91&lt;&gt;"",EDATE($D91,Milestones!$AA$141)&gt;=$T91),$W91,IF(AND($S91&lt;&gt;"",EDATE($D91,Milestones!$AA$141)&gt;=$S91),$V91,$U91)))=Milestones!$AB$141),UPPER(TEXT(EDATE($D91,Milestones!$AA$141),"dd mmm yy"))&amp;" "&amp;Milestones!$AB$141&amp;" "&amp;Milestones!$AC$141&amp;";  ","")&amp;IF(AND(EDATE($D91,Milestones!$AA$142)&lt;=AsOfDate,IF($R91=0,$X91,IF(AND($T91&lt;&gt;"",EDATE($D91,Milestones!$AA$142)&gt;=$T91),$W91,IF(AND($S91&lt;&gt;"",EDATE($D91,Milestones!$AA$142)&gt;=$S91),$V91,$U91)))=Milestones!$AB$142),UPPER(TEXT(EDATE($D91,Milestones!$AA$142),"dd mmm yy"))&amp;" "&amp;Milestones!$AB$142&amp;" "&amp;Milestones!$AC$142&amp;";  ","")&amp;IF(AND(EDATE($D91,Milestones!$AA$143)&lt;=AsOfDate,IF($R91=0,$X91,IF(AND($T91&lt;&gt;"",EDATE($D91,Milestones!$AA$143)&gt;=$T91),$W91,IF(AND($S91&lt;&gt;"",EDATE($D91,Milestones!$AA$143)&gt;=$S91),$V91,$U91)))=Milestones!$AB$143),UPPER(TEXT(EDATE($D91,Milestones!$AA$143),"dd mmm yy"))&amp;" "&amp;Milestones!$AB$143&amp;" "&amp;Milestones!$AC$143&amp;";  ","")&amp;IF(AND(EDATE($D91,Milestones!$AA$144)&lt;=AsOfDate,IF($R91=0,$X91,IF(AND($T91&lt;&gt;"",EDATE($D91,Milestones!$AA$144)&gt;=$T91),$W91,IF(AND($S91&lt;&gt;"",EDATE($D91,Milestones!$AA$144)&gt;=$S91),$V91,$U91)))=Milestones!$AB$144),UPPER(TEXT(EDATE($D91,Milestones!$AA$144),"dd mmm yy"))&amp;" "&amp;Milestones!$AB$144&amp;" "&amp;Milestones!$AC$144&amp;";  ","")&amp;IF(AND(EDATE($D91,Milestones!$AA$145)&lt;=AsOfDate,IF($R91=0,$X91,IF(AND($T91&lt;&gt;"",EDATE($D91,Milestones!$AA$145)&gt;=$T91),$W91,IF(AND($S91&lt;&gt;"",EDATE($D91,Milestones!$AA$145)&gt;=$S91),$V91,$U91)))=Milestones!$AB$145),UPPER(TEXT(EDATE($D91,Milestones!$AA$145),"dd mmm yy"))&amp;" "&amp;Milestones!$AB$145&amp;" "&amp;Milestones!$AC$145&amp;";  ","")&amp;IF(AND(EDATE($D91,Milestones!$AA$146)&lt;=AsOfDate,IF($R91=0,$X91,IF(AND($T91&lt;&gt;"",EDATE($D91,Milestones!$AA$146)&gt;=$T91),$W91,IF(AND($S91&lt;&gt;"",EDATE($D91,Milestones!$AA$146)&gt;=$S91),$V91,$U91)))=Milestones!$AB$146),UPPER(TEXT(EDATE($D91,Milestones!$AA$146),"dd mmm yy"))&amp;" "&amp;Milestones!$AB$146&amp;" "&amp;Milestones!$AC$146&amp;";  ","")&amp;IF(AND(EDATE($D91,Milestones!$AA$147)&lt;=AsOfDate,IF($R91=0,$X91,IF(AND($T91&lt;&gt;"",EDATE($D91,Milestones!$AA$147)&gt;=$T91),$W91,IF(AND($S91&lt;&gt;"",EDATE($D91,Milestones!$AA$147)&gt;=$S91),$V91,$U91)))=Milestones!$AB$147),UPPER(TEXT(EDATE($D91,Milestones!$AA$147),"dd mmm yy"))&amp;" "&amp;Milestones!$AB$147&amp;" "&amp;Milestones!$AC$147&amp;";  ","")&amp;IF(AND(EDATE($D91,Milestones!$AA$148)&lt;=AsOfDate,IF($R91=0,$X91,IF(AND($T91&lt;&gt;"",EDATE($D91,Milestones!$AA$148)&gt;=$T91),$W91,IF(AND($S91&lt;&gt;"",EDATE($D91,Milestones!$AA$148)&gt;=$S91),$V91,$U91)))=Milestones!$AB$148),UPPER(TEXT(EDATE($D91,Milestones!$AA$148),"dd mmm yy"))&amp;" "&amp;Milestones!$AB$148&amp;" "&amp;Milestones!$AC$148&amp;";  ","")&amp;IF(AND(EDATE($D91,Milestones!$AA$149)&lt;=AsOfDate,IF($R91=0,$X91,IF(AND($T91&lt;&gt;"",EDATE($D91,Milestones!$AA$149)&gt;=$T91),$W91,IF(AND($S91&lt;&gt;"",EDATE($D91,Milestones!$AA$149)&gt;=$S91),$V91,$U91)))=Milestones!$AB$149),UPPER(TEXT(EDATE($D91,Milestones!$AA$149),"dd mmm yy"))&amp;" "&amp;Milestones!$AB$149&amp;" "&amp;Milestones!$AC$149&amp;";  ","")&amp;IF(AND(EDATE($D91,Milestones!$AA$150)&lt;=AsOfDate,IF($R91=0,$X91,IF(AND($T91&lt;&gt;"",EDATE($D91,Milestones!$AA$150)&gt;=$T91),$W91,IF(AND($S91&lt;&gt;"",EDATE($D91,Milestones!$AA$150)&gt;=$S91),$V91,$U91)))=Milestones!$AB$150),UPPER(TEXT(EDATE($D91,Milestones!$AA$150),"dd mmm yy"))&amp;" "&amp;Milestones!$AB$150&amp;" "&amp;Milestones!$AC$150&amp;";  ","")&amp;IF(AND(EDATE($D91,Milestones!$AA$151)&lt;=AsOfDate,IF($R91=0,$X91,IF(AND($T91&lt;&gt;"",EDATE($D91,Milestones!$AA$151)&gt;=$T91),$W91,IF(AND($S91&lt;&gt;"",EDATE($D91,Milestones!$AA$151)&gt;=$S91),$V91,$U91)))=Milestones!$AB$151),UPPER(TEXT(EDATE($D91,Milestones!$AA$151),"dd mmm yy"))&amp;" "&amp;Milestones!$AB$151&amp;" "&amp;Milestones!$AC$151&amp;";  ","")&amp;IF(AND(EDATE($D91,Milestones!$AA$152)&lt;=AsOfDate,IF($R91=0,$X91,IF(AND($T91&lt;&gt;"",EDATE($D91,Milestones!$AA$152)&gt;=$T91),$W91,IF(AND($S91&lt;&gt;"",EDATE($D91,Milestones!$AA$152)&gt;=$S91),$V91,$U91)))=Milestones!$AB$152),UPPER(TEXT(EDATE($D91,Milestones!$AA$152),"dd mmm yy"))&amp;" "&amp;Milestones!$AB$152&amp;" "&amp;Milestones!$AC$152&amp;";  ","")&amp;IF(AND(EDATE($D91,Milestones!$AA$153)&lt;=AsOfDate,IF($R91=0,$X91,IF(AND($T91&lt;&gt;"",EDATE($D91,Milestones!$AA$153)&gt;=$T91),$W91,IF(AND($S91&lt;&gt;"",EDATE($D91,Milestones!$AA$153)&gt;=$S91),$V91,$U91)))=Milestones!$AB$153),UPPER(TEXT(EDATE($D91,Milestones!$AA$153),"dd mmm yy"))&amp;" "&amp;Milestones!$AB$153&amp;" "&amp;Milestones!$AC$153&amp;";  ","")&amp;IF(AND(EDATE($D91,Milestones!$AA$154)&lt;=AsOfDate,IF($R91=0,$X91,IF(AND($T91&lt;&gt;"",EDATE($D91,Milestones!$AA$154)&gt;=$T91),$W91,IF(AND($S91&lt;&gt;"",EDATE($D91,Milestones!$AA$154)&gt;=$S91),$V91,$U91)))=Milestones!$AB$154),UPPER(TEXT(EDATE($D91,Milestones!$AA$154),"dd mmm yy"))&amp;" "&amp;Milestones!$AB$154&amp;" "&amp;Milestones!$AC$154&amp;";  ","")&amp;IF(AND(EDATE($D91,Milestones!$AA$155)&lt;=AsOfDate,IF($R91=0,$X91,IF(AND($T91&lt;&gt;"",EDATE($D91,Milestones!$AA$155)&gt;=$T91),$W91,IF(AND($S91&lt;&gt;"",EDATE($D91,Milestones!$AA$155)&gt;=$S91),$V91,$U91)))=Milestones!$AB$155),UPPER(TEXT(EDATE($D91,Milestones!$AA$155),"dd mmm yy"))&amp;" "&amp;Milestones!$AB$155&amp;" "&amp;Milestones!$AC$155&amp;";  ","")&amp;IF(AND(EDATE($D91,Milestones!$AA$156)&lt;=AsOfDate,IF($R91=0,$X91,IF(AND($T91&lt;&gt;"",EDATE($D91,Milestones!$AA$156)&gt;=$T91),$W91,IF(AND($S91&lt;&gt;"",EDATE($D91,Milestones!$AA$156)&gt;=$S91),$V91,$U91)))=Milestones!$AB$156),UPPER(TEXT(EDATE($D91,Milestones!$AA$156),"dd mmm yy"))&amp;" "&amp;Milestones!$AB$156&amp;" "&amp;Milestones!$AC$156&amp;";  ","")&amp;IF(AND(EDATE($D91,Milestones!$AA$157)&lt;=AsOfDate,IF($R91=0,$X91,IF(AND($T91&lt;&gt;"",EDATE($D91,Milestones!$AA$157)&gt;=$T91),$W91,IF(AND($S91&lt;&gt;"",EDATE($D91,Milestones!$AA$157)&gt;=$S91),$V91,$U91)))=Milestones!$AB$157),UPPER(TEXT(EDATE($D91,Milestones!$AA$157),"dd mmm yy"))&amp;" "&amp;Milestones!$AB$157&amp;" "&amp;Milestones!$AC$157&amp;";  ","")&amp;IF(AND(EDATE($D91,Milestones!$AA$158)&lt;=AsOfDate,IF($R91=0,$X91,IF(AND($T91&lt;&gt;"",EDATE($D91,Milestones!$AA$158)&gt;=$T91),$W91,IF(AND($S91&lt;&gt;"",EDATE($D91,Milestones!$AA$158)&gt;=$S91),$V91,$U91)))=Milestones!$AB$158),UPPER(TEXT(EDATE($D91,Milestones!$AA$158),"dd mmm yy"))&amp;" "&amp;Milestones!$AB$158&amp;" "&amp;Milestones!$AC$158&amp;";  ","")&amp;IF(AND(EDATE($D91,Milestones!$AA$159)&lt;=AsOfDate,IF($R91=0,$X91,IF(AND($T91&lt;&gt;"",EDATE($D91,Milestones!$AA$159)&gt;=$T91),$W91,IF(AND($S91&lt;&gt;"",EDATE($D91,Milestones!$AA$159)&gt;=$S91),$V91,$U91)))=Milestones!$AB$159),UPPER(TEXT(EDATE($D91,Milestones!$AA$159),"dd mmm yy"))&amp;" "&amp;Milestones!$AB$159&amp;" "&amp;Milestones!$AC$159&amp;";  ",""))</f>
        <v/>
      </c>
      <c r="P91" s="0" t="str">
        <f aca="false">IF(OR($A91="",$D91=""),"",IF(AND(EDATE($D91,Milestones!$AA$160)&lt;=AsOfDate,IF($R91=0,$X91,IF(AND($T91&lt;&gt;"",EDATE($D91,Milestones!$AA$160)&gt;=$T91),$W91,IF(AND($S91&lt;&gt;"",EDATE($D91,Milestones!$AA$160)&gt;=$S91),$V91,$U91)))=Milestones!$AB$160),UPPER(TEXT(EDATE($D91,Milestones!$AA$160),"dd mmm yy"))&amp;" "&amp;Milestones!$AB$160&amp;" "&amp;Milestones!$AC$160&amp;";  ","")&amp;IF(AND(EDATE($D91,Milestones!$AA$161)&lt;=AsOfDate,IF($R91=0,$X91,IF(AND($T91&lt;&gt;"",EDATE($D91,Milestones!$AA$161)&gt;=$T91),$W91,IF(AND($S91&lt;&gt;"",EDATE($D91,Milestones!$AA$161)&gt;=$S91),$V91,$U91)))=Milestones!$AB$161),UPPER(TEXT(EDATE($D91,Milestones!$AA$161),"dd mmm yy"))&amp;" "&amp;Milestones!$AB$161&amp;" "&amp;Milestones!$AC$161&amp;";  ","")&amp;IF(AND(EDATE($D91,Milestones!$AA$162)&lt;=AsOfDate,IF($R91=0,$X91,IF(AND($T91&lt;&gt;"",EDATE($D91,Milestones!$AA$162)&gt;=$T91),$W91,IF(AND($S91&lt;&gt;"",EDATE($D91,Milestones!$AA$162)&gt;=$S91),$V91,$U91)))=Milestones!$AB$162),UPPER(TEXT(EDATE($D91,Milestones!$AA$162),"dd mmm yy"))&amp;" "&amp;Milestones!$AB$162&amp;" "&amp;Milestones!$AC$162&amp;";  ","")&amp;IF(AND(EDATE($D91,Milestones!$AA$163)&lt;=AsOfDate,IF($R91=0,$X91,IF(AND($T91&lt;&gt;"",EDATE($D91,Milestones!$AA$163)&gt;=$T91),$W91,IF(AND($S91&lt;&gt;"",EDATE($D91,Milestones!$AA$163)&gt;=$S91),$V91,$U91)))=Milestones!$AB$163),UPPER(TEXT(EDATE($D91,Milestones!$AA$163),"dd mmm yy"))&amp;" "&amp;Milestones!$AB$163&amp;" "&amp;Milestones!$AC$163&amp;";  ","")&amp;IF(AND(EDATE($D91,Milestones!$AA$164)&lt;=AsOfDate,IF($R91=0,$X91,IF(AND($T91&lt;&gt;"",EDATE($D91,Milestones!$AA$164)&gt;=$T91),$W91,IF(AND($S91&lt;&gt;"",EDATE($D91,Milestones!$AA$164)&gt;=$S91),$V91,$U91)))=Milestones!$AB$164),UPPER(TEXT(EDATE($D91,Milestones!$AA$164),"dd mmm yy"))&amp;" "&amp;Milestones!$AB$164&amp;" "&amp;Milestones!$AC$164&amp;";  ","")&amp;IF(AND(EDATE($D91,Milestones!$AA$165)&lt;=AsOfDate,IF($R91=0,$X91,IF(AND($T91&lt;&gt;"",EDATE($D91,Milestones!$AA$165)&gt;=$T91),$W91,IF(AND($S91&lt;&gt;"",EDATE($D91,Milestones!$AA$165)&gt;=$S91),$V91,$U91)))=Milestones!$AB$165),UPPER(TEXT(EDATE($D91,Milestones!$AA$165),"dd mmm yy"))&amp;" "&amp;Milestones!$AB$165&amp;" "&amp;Milestones!$AC$165&amp;";  ","")&amp;IF(AND(EDATE($D91,Milestones!$AA$166)&lt;=AsOfDate,IF($R91=0,$X91,IF(AND($T91&lt;&gt;"",EDATE($D91,Milestones!$AA$166)&gt;=$T91),$W91,IF(AND($S91&lt;&gt;"",EDATE($D91,Milestones!$AA$166)&gt;=$S91),$V91,$U91)))=Milestones!$AB$166),UPPER(TEXT(EDATE($D91,Milestones!$AA$166),"dd mmm yy"))&amp;" "&amp;Milestones!$AB$166&amp;" "&amp;Milestones!$AC$166&amp;";  ","")&amp;IF(AND(EDATE($D91,Milestones!$AA$167)&lt;=AsOfDate,IF($R91=0,$X91,IF(AND($T91&lt;&gt;"",EDATE($D91,Milestones!$AA$167)&gt;=$T91),$W91,IF(AND($S91&lt;&gt;"",EDATE($D91,Milestones!$AA$167)&gt;=$S91),$V91,$U91)))=Milestones!$AB$167),UPPER(TEXT(EDATE($D91,Milestones!$AA$167),"dd mmm yy"))&amp;" "&amp;Milestones!$AB$167&amp;" "&amp;Milestones!$AC$167&amp;";  ","")&amp;IF(AND(EDATE($D91,Milestones!$AA$168)&lt;=AsOfDate,IF($R91=0,$X91,IF(AND($T91&lt;&gt;"",EDATE($D91,Milestones!$AA$168)&gt;=$T91),$W91,IF(AND($S91&lt;&gt;"",EDATE($D91,Milestones!$AA$168)&gt;=$S91),$V91,$U91)))=Milestones!$AB$168),UPPER(TEXT(EDATE($D91,Milestones!$AA$168),"dd mmm yy"))&amp;" "&amp;Milestones!$AB$168&amp;" "&amp;Milestones!$AC$168&amp;";  ","")&amp;IF(AND(EDATE($D91,Milestones!$AA$169)&lt;=AsOfDate,IF($R91=0,$X91,IF(AND($T91&lt;&gt;"",EDATE($D91,Milestones!$AA$169)&gt;=$T91),$W91,IF(AND($S91&lt;&gt;"",EDATE($D91,Milestones!$AA$169)&gt;=$S91),$V91,$U91)))=Milestones!$AB$169),UPPER(TEXT(EDATE($D91,Milestones!$AA$169),"dd mmm yy"))&amp;" "&amp;Milestones!$AB$169&amp;" "&amp;Milestones!$AC$169&amp;";  ","")&amp;IF(AND(EDATE($D91,Milestones!$AA$170)&lt;=AsOfDate,IF($R91=0,$X91,IF(AND($T91&lt;&gt;"",EDATE($D91,Milestones!$AA$170)&gt;=$T91),$W91,IF(AND($S91&lt;&gt;"",EDATE($D91,Milestones!$AA$170)&gt;=$S91),$V91,$U91)))=Milestones!$AB$170),UPPER(TEXT(EDATE($D91,Milestones!$AA$170),"dd mmm yy"))&amp;" "&amp;Milestones!$AB$170&amp;" "&amp;Milestones!$AC$170&amp;";  ","")&amp;IF(AND(EDATE($D91,Milestones!$AA$171)&lt;=AsOfDate,IF($R91=0,$X91,IF(AND($T91&lt;&gt;"",EDATE($D91,Milestones!$AA$171)&gt;=$T91),$W91,IF(AND($S91&lt;&gt;"",EDATE($D91,Milestones!$AA$171)&gt;=$S91),$V91,$U91)))=Milestones!$AB$171),UPPER(TEXT(EDATE($D91,Milestones!$AA$171),"dd mmm yy"))&amp;" "&amp;Milestones!$AB$171&amp;" "&amp;Milestones!$AC$171&amp;";  ","")&amp;IF(AND(EDATE($D91,Milestones!$AA$172)&lt;=AsOfDate,IF($R91=0,$X91,IF(AND($T91&lt;&gt;"",EDATE($D91,Milestones!$AA$172)&gt;=$T91),$W91,IF(AND($S91&lt;&gt;"",EDATE($D91,Milestones!$AA$172)&gt;=$S91),$V91,$U91)))=Milestones!$AB$172),UPPER(TEXT(EDATE($D91,Milestones!$AA$172),"dd mmm yy"))&amp;" "&amp;Milestones!$AB$172&amp;" "&amp;Milestones!$AC$172&amp;";  ","")&amp;IF(AND(EDATE($D91,Milestones!$AA$173)&lt;=AsOfDate,IF($R91=0,$X91,IF(AND($T91&lt;&gt;"",EDATE($D91,Milestones!$AA$173)&gt;=$T91),$W91,IF(AND($S91&lt;&gt;"",EDATE($D91,Milestones!$AA$173)&gt;=$S91),$V91,$U91)))=Milestones!$AB$173),UPPER(TEXT(EDATE($D91,Milestones!$AA$173),"dd mmm yy"))&amp;" "&amp;Milestones!$AB$173&amp;" "&amp;Milestones!$AC$173&amp;";  ","")&amp;IF(AND(EDATE($D91,Milestones!$AA$174)&lt;=AsOfDate,IF($R91=0,$X91,IF(AND($T91&lt;&gt;"",EDATE($D91,Milestones!$AA$174)&gt;=$T91),$W91,IF(AND($S91&lt;&gt;"",EDATE($D91,Milestones!$AA$174)&gt;=$S91),$V91,$U91)))=Milestones!$AB$174),UPPER(TEXT(EDATE($D91,Milestones!$AA$174),"dd mmm yy"))&amp;" "&amp;Milestones!$AB$174&amp;" "&amp;Milestones!$AC$174&amp;";  ","")&amp;IF(AND(EDATE($D91,Milestones!$AA$175)&lt;=AsOfDate,IF($R91=0,$X91,IF(AND($T91&lt;&gt;"",EDATE($D91,Milestones!$AA$175)&gt;=$T91),$W91,IF(AND($S91&lt;&gt;"",EDATE($D91,Milestones!$AA$175)&gt;=$S91),$V91,$U91)))=Milestones!$AB$175),UPPER(TEXT(EDATE($D91,Milestones!$AA$175),"dd mmm yy"))&amp;" "&amp;Milestones!$AB$175&amp;" "&amp;Milestones!$AC$175&amp;";  ","")&amp;IF(AND(EDATE($D91,Milestones!$AA$176)&lt;=AsOfDate,IF($R91=0,$X91,IF(AND($T91&lt;&gt;"",EDATE($D91,Milestones!$AA$176)&gt;=$T91),$W91,IF(AND($S91&lt;&gt;"",EDATE($D91,Milestones!$AA$176)&gt;=$S91),$V91,$U91)))=Milestones!$AB$176),UPPER(TEXT(EDATE($D91,Milestones!$AA$176),"dd mmm yy"))&amp;" "&amp;Milestones!$AB$176&amp;" "&amp;Milestones!$AC$176&amp;";  ","")&amp;IF(AND(EDATE($D91,Milestones!$AA$177)&lt;=AsOfDate,IF($R91=0,$X91,IF(AND($T91&lt;&gt;"",EDATE($D91,Milestones!$AA$177)&gt;=$T91),$W91,IF(AND($S91&lt;&gt;"",EDATE($D91,Milestones!$AA$177)&gt;=$S91),$V91,$U91)))=Milestones!$AB$177),UPPER(TEXT(EDATE($D91,Milestones!$AA$177),"dd mmm yy"))&amp;" "&amp;Milestones!$AB$177&amp;" "&amp;Milestones!$AC$177&amp;";  ","")&amp;IF(AND(EDATE($D91,Milestones!$AA$178)&lt;=AsOfDate,IF($R91=0,$X91,IF(AND($T91&lt;&gt;"",EDATE($D91,Milestones!$AA$178)&gt;=$T91),$W91,IF(AND($S91&lt;&gt;"",EDATE($D91,Milestones!$AA$178)&gt;=$S91),$V91,$U91)))=Milestones!$AB$178),UPPER(TEXT(EDATE($D91,Milestones!$AA$178),"dd mmm yy"))&amp;" "&amp;Milestones!$AB$178&amp;" "&amp;Milestones!$AC$178&amp;";  ","")&amp;IF(AND(EDATE($D91,Milestones!$AA$179)&lt;=AsOfDate,IF($R91=0,$X91,IF(AND($T91&lt;&gt;"",EDATE($D91,Milestones!$AA$179)&gt;=$T91),$W91,IF(AND($S91&lt;&gt;"",EDATE($D91,Milestones!$AA$179)&gt;=$S91),$V91,$U91)))=Milestones!$AB$179),UPPER(TEXT(EDATE($D91,Milestones!$AA$179),"dd mmm yy"))&amp;" "&amp;Milestones!$AB$179&amp;" "&amp;Milestones!$AC$179&amp;";  ",""))</f>
        <v/>
      </c>
      <c r="Q91" s="0" t="str">
        <f aca="false">IF(OR($A91="",$D91=""),"",IF(AND(EDATE($D91,Milestones!$AA$180)&lt;=AsOfDate,IF($R91=0,$X91,IF(AND($T91&lt;&gt;"",EDATE($D91,Milestones!$AA$180)&gt;=$T91),$W91,IF(AND($S91&lt;&gt;"",EDATE($D91,Milestones!$AA$180)&gt;=$S91),$V91,$U91)))=Milestones!$AB$180),UPPER(TEXT(EDATE($D91,Milestones!$AA$180),"dd mmm yy"))&amp;" "&amp;Milestones!$AB$180&amp;" "&amp;Milestones!$AC$180&amp;";  ","")&amp;IF(AND(EDATE($D91,Milestones!$AA$181)&lt;=AsOfDate,IF($R91=0,$X91,IF(AND($T91&lt;&gt;"",EDATE($D91,Milestones!$AA$181)&gt;=$T91),$W91,IF(AND($S91&lt;&gt;"",EDATE($D91,Milestones!$AA$181)&gt;=$S91),$V91,$U91)))=Milestones!$AB$181),UPPER(TEXT(EDATE($D91,Milestones!$AA$181),"dd mmm yy"))&amp;" "&amp;Milestones!$AB$181&amp;" "&amp;Milestones!$AC$181&amp;";  ","")&amp;IF(AND(EDATE($D91,Milestones!$AA$182)&lt;=AsOfDate,IF($R91=0,$X91,IF(AND($T91&lt;&gt;"",EDATE($D91,Milestones!$AA$182)&gt;=$T91),$W91,IF(AND($S91&lt;&gt;"",EDATE($D91,Milestones!$AA$182)&gt;=$S91),$V91,$U91)))=Milestones!$AB$182),UPPER(TEXT(EDATE($D91,Milestones!$AA$182),"dd mmm yy"))&amp;" "&amp;Milestones!$AB$182&amp;" "&amp;Milestones!$AC$182&amp;";  ","")&amp;IF(AND(EDATE($D91,Milestones!$AA$183)&lt;=AsOfDate,IF($R91=0,$X91,IF(AND($T91&lt;&gt;"",EDATE($D91,Milestones!$AA$183)&gt;=$T91),$W91,IF(AND($S91&lt;&gt;"",EDATE($D91,Milestones!$AA$183)&gt;=$S91),$V91,$U91)))=Milestones!$AB$183),UPPER(TEXT(EDATE($D91,Milestones!$AA$183),"dd mmm yy"))&amp;" "&amp;Milestones!$AB$183&amp;" "&amp;Milestones!$AC$183&amp;";  ","")&amp;IF(AND(EDATE($D91,Milestones!$AA$184)&lt;=AsOfDate,IF($R91=0,$X91,IF(AND($T91&lt;&gt;"",EDATE($D91,Milestones!$AA$184)&gt;=$T91),$W91,IF(AND($S91&lt;&gt;"",EDATE($D91,Milestones!$AA$184)&gt;=$S91),$V91,$U91)))=Milestones!$AB$184),UPPER(TEXT(EDATE($D91,Milestones!$AA$184),"dd mmm yy"))&amp;" "&amp;Milestones!$AB$184&amp;" "&amp;Milestones!$AC$184&amp;";  ","")&amp;IF(AND(EDATE($D91,Milestones!$AA$185)&lt;=AsOfDate,IF($R91=0,$X91,IF(AND($T91&lt;&gt;"",EDATE($D91,Milestones!$AA$185)&gt;=$T91),$W91,IF(AND($S91&lt;&gt;"",EDATE($D91,Milestones!$AA$185)&gt;=$S91),$V91,$U91)))=Milestones!$AB$185),UPPER(TEXT(EDATE($D91,Milestones!$AA$185),"dd mmm yy"))&amp;" "&amp;Milestones!$AB$185&amp;" "&amp;Milestones!$AC$185&amp;";  ","")&amp;IF(AND(EDATE($D91,Milestones!$AA$186)&lt;=AsOfDate,IF($R91=0,$X91,IF(AND($T91&lt;&gt;"",EDATE($D91,Milestones!$AA$186)&gt;=$T91),$W91,IF(AND($S91&lt;&gt;"",EDATE($D91,Milestones!$AA$186)&gt;=$S91),$V91,$U91)))=Milestones!$AB$186),UPPER(TEXT(EDATE($D91,Milestones!$AA$186),"dd mmm yy"))&amp;" "&amp;Milestones!$AB$186&amp;" "&amp;Milestones!$AC$186&amp;";  ","")&amp;IF(AND(EDATE($D91,Milestones!$AA$187)&lt;=AsOfDate,IF($R91=0,$X91,IF(AND($T91&lt;&gt;"",EDATE($D91,Milestones!$AA$187)&gt;=$T91),$W91,IF(AND($S91&lt;&gt;"",EDATE($D91,Milestones!$AA$187)&gt;=$S91),$V91,$U91)))=Milestones!$AB$187),UPPER(TEXT(EDATE($D91,Milestones!$AA$187),"dd mmm yy"))&amp;" "&amp;Milestones!$AB$187&amp;" "&amp;Milestones!$AC$187&amp;";  ","")&amp;IF(AND(EDATE($D91,Milestones!$AA$188)&lt;=AsOfDate,IF($R91=0,$X91,IF(AND($T91&lt;&gt;"",EDATE($D91,Milestones!$AA$188)&gt;=$T91),$W91,IF(AND($S91&lt;&gt;"",EDATE($D91,Milestones!$AA$188)&gt;=$S91),$V91,$U91)))=Milestones!$AB$188),UPPER(TEXT(EDATE($D91,Milestones!$AA$188),"dd mmm yy"))&amp;" "&amp;Milestones!$AB$188&amp;" "&amp;Milestones!$AC$188&amp;";  ","")&amp;IF(AND(EDATE($D91,Milestones!$AA$189)&lt;=AsOfDate,IF($R91=0,$X91,IF(AND($T91&lt;&gt;"",EDATE($D91,Milestones!$AA$189)&gt;=$T91),$W91,IF(AND($S91&lt;&gt;"",EDATE($D91,Milestones!$AA$189)&gt;=$S91),$V91,$U91)))=Milestones!$AB$189),UPPER(TEXT(EDATE($D91,Milestones!$AA$189),"dd mmm yy"))&amp;" "&amp;Milestones!$AB$189&amp;" "&amp;Milestones!$AC$189&amp;";  ","")&amp;IF(AND(EDATE($D91,Milestones!$AA$190)&lt;=AsOfDate,IF($R91=0,$X91,IF(AND($T91&lt;&gt;"",EDATE($D91,Milestones!$AA$190)&gt;=$T91),$W91,IF(AND($S91&lt;&gt;"",EDATE($D91,Milestones!$AA$190)&gt;=$S91),$V91,$U91)))=Milestones!$AB$190),UPPER(TEXT(EDATE($D91,Milestones!$AA$190),"dd mmm yy"))&amp;" "&amp;Milestones!$AB$190&amp;" "&amp;Milestones!$AC$190&amp;";  ","")&amp;IF(AND(EDATE($D91,Milestones!$AA$191)&lt;=AsOfDate,IF($R91=0,$X91,IF(AND($T91&lt;&gt;"",EDATE($D91,Milestones!$AA$191)&gt;=$T91),$W91,IF(AND($S91&lt;&gt;"",EDATE($D91,Milestones!$AA$191)&gt;=$S91),$V91,$U91)))=Milestones!$AB$191),UPPER(TEXT(EDATE($D91,Milestones!$AA$191),"dd mmm yy"))&amp;" "&amp;Milestones!$AB$191&amp;" "&amp;Milestones!$AC$191&amp;";  ","")&amp;IF(AND(EDATE($D91,Milestones!$AA$192)&lt;=AsOfDate,IF($R91=0,$X91,IF(AND($T91&lt;&gt;"",EDATE($D91,Milestones!$AA$192)&gt;=$T91),$W91,IF(AND($S91&lt;&gt;"",EDATE($D91,Milestones!$AA$192)&gt;=$S91),$V91,$U91)))=Milestones!$AB$192),UPPER(TEXT(EDATE($D91,Milestones!$AA$192),"dd mmm yy"))&amp;" "&amp;Milestones!$AB$192&amp;" "&amp;Milestones!$AC$192&amp;";  ","")&amp;IF(AND(EDATE($D91,Milestones!$AA$193)&lt;=AsOfDate,IF($R91=0,$X91,IF(AND($T91&lt;&gt;"",EDATE($D91,Milestones!$AA$193)&gt;=$T91),$W91,IF(AND($S91&lt;&gt;"",EDATE($D91,Milestones!$AA$193)&gt;=$S91),$V91,$U91)))=Milestones!$AB$193),UPPER(TEXT(EDATE($D91,Milestones!$AA$193),"dd mmm yy"))&amp;" "&amp;Milestones!$AB$193&amp;" "&amp;Milestones!$AC$193&amp;";  ","")&amp;IF(AND(EDATE($D91,Milestones!$AA$194)&lt;=AsOfDate,IF($R91=0,$X91,IF(AND($T91&lt;&gt;"",EDATE($D91,Milestones!$AA$194)&gt;=$T91),$W91,IF(AND($S91&lt;&gt;"",EDATE($D91,Milestones!$AA$194)&gt;=$S91),$V91,$U91)))=Milestones!$AB$194),UPPER(TEXT(EDATE($D91,Milestones!$AA$194),"dd mmm yy"))&amp;" "&amp;Milestones!$AB$194&amp;" "&amp;Milestones!$AC$194&amp;";  ","")&amp;IF(AND(EDATE($D91,Milestones!$AA$195)&lt;=AsOfDate,IF($R91=0,$X91,IF(AND($T91&lt;&gt;"",EDATE($D91,Milestones!$AA$195)&gt;=$T91),$W91,IF(AND($S91&lt;&gt;"",EDATE($D91,Milestones!$AA$195)&gt;=$S91),$V91,$U91)))=Milestones!$AB$195),UPPER(TEXT(EDATE($D91,Milestones!$AA$195),"dd mmm yy"))&amp;" "&amp;Milestones!$AB$195&amp;" "&amp;Milestones!$AC$195&amp;";  ","")&amp;IF(AND(EDATE($D91,Milestones!$AA$196)&lt;=AsOfDate,IF($R91=0,$X91,IF(AND($T91&lt;&gt;"",EDATE($D91,Milestones!$AA$196)&gt;=$T91),$W91,IF(AND($S91&lt;&gt;"",EDATE($D91,Milestones!$AA$196)&gt;=$S91),$V91,$U91)))=Milestones!$AB$196),UPPER(TEXT(EDATE($D91,Milestones!$AA$196),"dd mmm yy"))&amp;" "&amp;Milestones!$AB$196&amp;" "&amp;Milestones!$AC$196&amp;";  ","")&amp;IF(AND(EDATE($D91,Milestones!$AA$197)&lt;=AsOfDate,IF($R91=0,$X91,IF(AND($T91&lt;&gt;"",EDATE($D91,Milestones!$AA$197)&gt;=$T91),$W91,IF(AND($S91&lt;&gt;"",EDATE($D91,Milestones!$AA$197)&gt;=$S91),$V91,$U91)))=Milestones!$AB$197),UPPER(TEXT(EDATE($D91,Milestones!$AA$197),"dd mmm yy"))&amp;" "&amp;Milestones!$AB$197&amp;" "&amp;Milestones!$AC$197&amp;";  ","")&amp;IF(AND(EDATE($D91,Milestones!$AA$198)&lt;=AsOfDate,IF($R91=0,$X91,IF(AND($T91&lt;&gt;"",EDATE($D91,Milestones!$AA$198)&gt;=$T91),$W91,IF(AND($S91&lt;&gt;"",EDATE($D91,Milestones!$AA$198)&gt;=$S91),$V91,$U91)))=Milestones!$AB$198),UPPER(TEXT(EDATE($D91,Milestones!$AA$198),"dd mmm yy"))&amp;" "&amp;Milestones!$AB$198&amp;" "&amp;Milestones!$AC$198&amp;";  ","")&amp;IF(AND(EDATE($D91,Milestones!$AA$199)&lt;=AsOfDate,IF($R91=0,$X91,IF(AND($T91&lt;&gt;"",EDATE($D91,Milestones!$AA$199)&gt;=$T91),$W91,IF(AND($S91&lt;&gt;"",EDATE($D91,Milestones!$AA$199)&gt;=$S91),$V91,$U91)))=Milestones!$AB$199),UPPER(TEXT(EDATE($D91,Milestones!$AA$199),"dd mmm yy"))&amp;" "&amp;Milestones!$AB$199&amp;" "&amp;Milestones!$AC$199&amp;";  ",""))</f>
        <v/>
      </c>
      <c r="R91" s="0" t="str">
        <f aca="false">IF(Staff!$A91="","",Staff!$AI91)</f>
        <v/>
      </c>
      <c r="S91" s="0" t="str">
        <f aca="false">IF(Staff!$A91="","",Staff!$AK91)</f>
        <v/>
      </c>
      <c r="T91" s="0" t="str">
        <f aca="false">IF(Staff!$A91="","",Staff!$AL91)</f>
        <v/>
      </c>
      <c r="U91" s="0" t="str">
        <f aca="false">IF(Staff!$A91="","",Staff!$AP91)</f>
        <v/>
      </c>
      <c r="V91" s="0" t="str">
        <f aca="false">IF(Staff!$A91="","",Staff!$AQ91)</f>
        <v/>
      </c>
      <c r="W91" s="0" t="str">
        <f aca="false">IF(Staff!$A91="","",Staff!$AR91)</f>
        <v/>
      </c>
      <c r="X91" s="0" t="str">
        <f aca="false">IF(Staff!$A91="","",Staff!$AS91)</f>
        <v/>
      </c>
    </row>
    <row r="92" customFormat="false" ht="15" hidden="false" customHeight="false" outlineLevel="0" collapsed="false">
      <c r="A92" s="19" t="str">
        <f aca="false">IF(Staff!$A92="","",Staff!$A92)</f>
        <v/>
      </c>
      <c r="B92" s="19" t="str">
        <f aca="false">IF(Staff!$A92="","",Staff!$B92)</f>
        <v/>
      </c>
      <c r="C92" s="19" t="str">
        <f aca="false">IF(Staff!$A92="","",Staff!$C92)</f>
        <v/>
      </c>
      <c r="D92" s="17" t="str">
        <f aca="false">IF(Staff!$A92="","",Staff!$AH92)</f>
        <v/>
      </c>
      <c r="E92" s="19" t="str">
        <f aca="false">IF(Staff!$A92="","",Staff!$O92)</f>
        <v/>
      </c>
      <c r="F92" s="19" t="str">
        <f aca="false">IF(E92="","",E92*HoursPerDay)</f>
        <v/>
      </c>
      <c r="G92" s="19" t="str">
        <f aca="false">IF(Staff!$A92="","",Staff!$AE92)</f>
        <v/>
      </c>
      <c r="H92" s="32" t="str">
        <f aca="false">IF($A92="","",I92&amp;J92&amp;K92&amp;L92&amp;M92&amp;N92&amp;O92&amp;P92&amp;Q92)</f>
        <v/>
      </c>
      <c r="I92" s="0" t="str">
        <f aca="false">IF(OR($A92="",$D92=""),"",IF(AND(EDATE($D92,Milestones!$AA$20)&lt;=AsOfDate,IF($R92=0,$X92,IF(AND($T92&lt;&gt;"",EDATE($D92,Milestones!$AA$20)&gt;=$T92),$W92,IF(AND($S92&lt;&gt;"",EDATE($D92,Milestones!$AA$20)&gt;=$S92),$V92,$U92)))=Milestones!$AB$20),UPPER(TEXT(EDATE($D92,Milestones!$AA$20),"dd mmm yy"))&amp;" "&amp;Milestones!$AB$20&amp;" "&amp;Milestones!$AC$20&amp;";  ","")&amp;IF(AND(EDATE($D92,Milestones!$AA$21)&lt;=AsOfDate,IF($R92=0,$X92,IF(AND($T92&lt;&gt;"",EDATE($D92,Milestones!$AA$21)&gt;=$T92),$W92,IF(AND($S92&lt;&gt;"",EDATE($D92,Milestones!$AA$21)&gt;=$S92),$V92,$U92)))=Milestones!$AB$21),UPPER(TEXT(EDATE($D92,Milestones!$AA$21),"dd mmm yy"))&amp;" "&amp;Milestones!$AB$21&amp;" "&amp;Milestones!$AC$21&amp;";  ","")&amp;IF(AND(EDATE($D92,Milestones!$AA$22)&lt;=AsOfDate,IF($R92=0,$X92,IF(AND($T92&lt;&gt;"",EDATE($D92,Milestones!$AA$22)&gt;=$T92),$W92,IF(AND($S92&lt;&gt;"",EDATE($D92,Milestones!$AA$22)&gt;=$S92),$V92,$U92)))=Milestones!$AB$22),UPPER(TEXT(EDATE($D92,Milestones!$AA$22),"dd mmm yy"))&amp;" "&amp;Milestones!$AB$22&amp;" "&amp;Milestones!$AC$22&amp;";  ","")&amp;IF(AND(EDATE($D92,Milestones!$AA$23)&lt;=AsOfDate,IF($R92=0,$X92,IF(AND($T92&lt;&gt;"",EDATE($D92,Milestones!$AA$23)&gt;=$T92),$W92,IF(AND($S92&lt;&gt;"",EDATE($D92,Milestones!$AA$23)&gt;=$S92),$V92,$U92)))=Milestones!$AB$23),UPPER(TEXT(EDATE($D92,Milestones!$AA$23),"dd mmm yy"))&amp;" "&amp;Milestones!$AB$23&amp;" "&amp;Milestones!$AC$23&amp;";  ","")&amp;IF(AND(EDATE($D92,Milestones!$AA$24)&lt;=AsOfDate,IF($R92=0,$X92,IF(AND($T92&lt;&gt;"",EDATE($D92,Milestones!$AA$24)&gt;=$T92),$W92,IF(AND($S92&lt;&gt;"",EDATE($D92,Milestones!$AA$24)&gt;=$S92),$V92,$U92)))=Milestones!$AB$24),UPPER(TEXT(EDATE($D92,Milestones!$AA$24),"dd mmm yy"))&amp;" "&amp;Milestones!$AB$24&amp;" "&amp;Milestones!$AC$24&amp;";  ","")&amp;IF(AND(EDATE($D92,Milestones!$AA$25)&lt;=AsOfDate,IF($R92=0,$X92,IF(AND($T92&lt;&gt;"",EDATE($D92,Milestones!$AA$25)&gt;=$T92),$W92,IF(AND($S92&lt;&gt;"",EDATE($D92,Milestones!$AA$25)&gt;=$S92),$V92,$U92)))=Milestones!$AB$25),UPPER(TEXT(EDATE($D92,Milestones!$AA$25),"dd mmm yy"))&amp;" "&amp;Milestones!$AB$25&amp;" "&amp;Milestones!$AC$25&amp;";  ","")&amp;IF(AND(EDATE($D92,Milestones!$AA$26)&lt;=AsOfDate,IF($R92=0,$X92,IF(AND($T92&lt;&gt;"",EDATE($D92,Milestones!$AA$26)&gt;=$T92),$W92,IF(AND($S92&lt;&gt;"",EDATE($D92,Milestones!$AA$26)&gt;=$S92),$V92,$U92)))=Milestones!$AB$26),UPPER(TEXT(EDATE($D92,Milestones!$AA$26),"dd mmm yy"))&amp;" "&amp;Milestones!$AB$26&amp;" "&amp;Milestones!$AC$26&amp;";  ","")&amp;IF(AND(EDATE($D92,Milestones!$AA$27)&lt;=AsOfDate,IF($R92=0,$X92,IF(AND($T92&lt;&gt;"",EDATE($D92,Milestones!$AA$27)&gt;=$T92),$W92,IF(AND($S92&lt;&gt;"",EDATE($D92,Milestones!$AA$27)&gt;=$S92),$V92,$U92)))=Milestones!$AB$27),UPPER(TEXT(EDATE($D92,Milestones!$AA$27),"dd mmm yy"))&amp;" "&amp;Milestones!$AB$27&amp;" "&amp;Milestones!$AC$27&amp;";  ","")&amp;IF(AND(EDATE($D92,Milestones!$AA$28)&lt;=AsOfDate,IF($R92=0,$X92,IF(AND($T92&lt;&gt;"",EDATE($D92,Milestones!$AA$28)&gt;=$T92),$W92,IF(AND($S92&lt;&gt;"",EDATE($D92,Milestones!$AA$28)&gt;=$S92),$V92,$U92)))=Milestones!$AB$28),UPPER(TEXT(EDATE($D92,Milestones!$AA$28),"dd mmm yy"))&amp;" "&amp;Milestones!$AB$28&amp;" "&amp;Milestones!$AC$28&amp;";  ","")&amp;IF(AND(EDATE($D92,Milestones!$AA$29)&lt;=AsOfDate,IF($R92=0,$X92,IF(AND($T92&lt;&gt;"",EDATE($D92,Milestones!$AA$29)&gt;=$T92),$W92,IF(AND($S92&lt;&gt;"",EDATE($D92,Milestones!$AA$29)&gt;=$S92),$V92,$U92)))=Milestones!$AB$29),UPPER(TEXT(EDATE($D92,Milestones!$AA$29),"dd mmm yy"))&amp;" "&amp;Milestones!$AB$29&amp;" "&amp;Milestones!$AC$29&amp;";  ","")&amp;IF(AND(EDATE($D92,Milestones!$AA$30)&lt;=AsOfDate,IF($R92=0,$X92,IF(AND($T92&lt;&gt;"",EDATE($D92,Milestones!$AA$30)&gt;=$T92),$W92,IF(AND($S92&lt;&gt;"",EDATE($D92,Milestones!$AA$30)&gt;=$S92),$V92,$U92)))=Milestones!$AB$30),UPPER(TEXT(EDATE($D92,Milestones!$AA$30),"dd mmm yy"))&amp;" "&amp;Milestones!$AB$30&amp;" "&amp;Milestones!$AC$30&amp;";  ","")&amp;IF(AND(EDATE($D92,Milestones!$AA$31)&lt;=AsOfDate,IF($R92=0,$X92,IF(AND($T92&lt;&gt;"",EDATE($D92,Milestones!$AA$31)&gt;=$T92),$W92,IF(AND($S92&lt;&gt;"",EDATE($D92,Milestones!$AA$31)&gt;=$S92),$V92,$U92)))=Milestones!$AB$31),UPPER(TEXT(EDATE($D92,Milestones!$AA$31),"dd mmm yy"))&amp;" "&amp;Milestones!$AB$31&amp;" "&amp;Milestones!$AC$31&amp;";  ","")&amp;IF(AND(EDATE($D92,Milestones!$AA$32)&lt;=AsOfDate,IF($R92=0,$X92,IF(AND($T92&lt;&gt;"",EDATE($D92,Milestones!$AA$32)&gt;=$T92),$W92,IF(AND($S92&lt;&gt;"",EDATE($D92,Milestones!$AA$32)&gt;=$S92),$V92,$U92)))=Milestones!$AB$32),UPPER(TEXT(EDATE($D92,Milestones!$AA$32),"dd mmm yy"))&amp;" "&amp;Milestones!$AB$32&amp;" "&amp;Milestones!$AC$32&amp;";  ","")&amp;IF(AND(EDATE($D92,Milestones!$AA$33)&lt;=AsOfDate,IF($R92=0,$X92,IF(AND($T92&lt;&gt;"",EDATE($D92,Milestones!$AA$33)&gt;=$T92),$W92,IF(AND($S92&lt;&gt;"",EDATE($D92,Milestones!$AA$33)&gt;=$S92),$V92,$U92)))=Milestones!$AB$33),UPPER(TEXT(EDATE($D92,Milestones!$AA$33),"dd mmm yy"))&amp;" "&amp;Milestones!$AB$33&amp;" "&amp;Milestones!$AC$33&amp;";  ","")&amp;IF(AND(EDATE($D92,Milestones!$AA$34)&lt;=AsOfDate,IF($R92=0,$X92,IF(AND($T92&lt;&gt;"",EDATE($D92,Milestones!$AA$34)&gt;=$T92),$W92,IF(AND($S92&lt;&gt;"",EDATE($D92,Milestones!$AA$34)&gt;=$S92),$V92,$U92)))=Milestones!$AB$34),UPPER(TEXT(EDATE($D92,Milestones!$AA$34),"dd mmm yy"))&amp;" "&amp;Milestones!$AB$34&amp;" "&amp;Milestones!$AC$34&amp;";  ","")&amp;IF(AND(EDATE($D92,Milestones!$AA$35)&lt;=AsOfDate,IF($R92=0,$X92,IF(AND($T92&lt;&gt;"",EDATE($D92,Milestones!$AA$35)&gt;=$T92),$W92,IF(AND($S92&lt;&gt;"",EDATE($D92,Milestones!$AA$35)&gt;=$S92),$V92,$U92)))=Milestones!$AB$35),UPPER(TEXT(EDATE($D92,Milestones!$AA$35),"dd mmm yy"))&amp;" "&amp;Milestones!$AB$35&amp;" "&amp;Milestones!$AC$35&amp;";  ","")&amp;IF(AND(EDATE($D92,Milestones!$AA$36)&lt;=AsOfDate,IF($R92=0,$X92,IF(AND($T92&lt;&gt;"",EDATE($D92,Milestones!$AA$36)&gt;=$T92),$W92,IF(AND($S92&lt;&gt;"",EDATE($D92,Milestones!$AA$36)&gt;=$S92),$V92,$U92)))=Milestones!$AB$36),UPPER(TEXT(EDATE($D92,Milestones!$AA$36),"dd mmm yy"))&amp;" "&amp;Milestones!$AB$36&amp;" "&amp;Milestones!$AC$36&amp;";  ","")&amp;IF(AND(EDATE($D92,Milestones!$AA$37)&lt;=AsOfDate,IF($R92=0,$X92,IF(AND($T92&lt;&gt;"",EDATE($D92,Milestones!$AA$37)&gt;=$T92),$W92,IF(AND($S92&lt;&gt;"",EDATE($D92,Milestones!$AA$37)&gt;=$S92),$V92,$U92)))=Milestones!$AB$37),UPPER(TEXT(EDATE($D92,Milestones!$AA$37),"dd mmm yy"))&amp;" "&amp;Milestones!$AB$37&amp;" "&amp;Milestones!$AC$37&amp;";  ","")&amp;IF(AND(EDATE($D92,Milestones!$AA$38)&lt;=AsOfDate,IF($R92=0,$X92,IF(AND($T92&lt;&gt;"",EDATE($D92,Milestones!$AA$38)&gt;=$T92),$W92,IF(AND($S92&lt;&gt;"",EDATE($D92,Milestones!$AA$38)&gt;=$S92),$V92,$U92)))=Milestones!$AB$38),UPPER(TEXT(EDATE($D92,Milestones!$AA$38),"dd mmm yy"))&amp;" "&amp;Milestones!$AB$38&amp;" "&amp;Milestones!$AC$38&amp;";  ","")&amp;IF(AND(EDATE($D92,Milestones!$AA$39)&lt;=AsOfDate,IF($R92=0,$X92,IF(AND($T92&lt;&gt;"",EDATE($D92,Milestones!$AA$39)&gt;=$T92),$W92,IF(AND($S92&lt;&gt;"",EDATE($D92,Milestones!$AA$39)&gt;=$S92),$V92,$U92)))=Milestones!$AB$39),UPPER(TEXT(EDATE($D92,Milestones!$AA$39),"dd mmm yy"))&amp;" "&amp;Milestones!$AB$39&amp;" "&amp;Milestones!$AC$39&amp;";  ",""))</f>
        <v/>
      </c>
      <c r="J92" s="0" t="str">
        <f aca="false">IF(OR($A92="",$D92=""),"",IF(AND(EDATE($D92,Milestones!$AA$40)&lt;=AsOfDate,IF($R92=0,$X92,IF(AND($T92&lt;&gt;"",EDATE($D92,Milestones!$AA$40)&gt;=$T92),$W92,IF(AND($S92&lt;&gt;"",EDATE($D92,Milestones!$AA$40)&gt;=$S92),$V92,$U92)))=Milestones!$AB$40),UPPER(TEXT(EDATE($D92,Milestones!$AA$40),"dd mmm yy"))&amp;" "&amp;Milestones!$AB$40&amp;" "&amp;Milestones!$AC$40&amp;";  ","")&amp;IF(AND(EDATE($D92,Milestones!$AA$41)&lt;=AsOfDate,IF($R92=0,$X92,IF(AND($T92&lt;&gt;"",EDATE($D92,Milestones!$AA$41)&gt;=$T92),$W92,IF(AND($S92&lt;&gt;"",EDATE($D92,Milestones!$AA$41)&gt;=$S92),$V92,$U92)))=Milestones!$AB$41),UPPER(TEXT(EDATE($D92,Milestones!$AA$41),"dd mmm yy"))&amp;" "&amp;Milestones!$AB$41&amp;" "&amp;Milestones!$AC$41&amp;";  ","")&amp;IF(AND(EDATE($D92,Milestones!$AA$42)&lt;=AsOfDate,IF($R92=0,$X92,IF(AND($T92&lt;&gt;"",EDATE($D92,Milestones!$AA$42)&gt;=$T92),$W92,IF(AND($S92&lt;&gt;"",EDATE($D92,Milestones!$AA$42)&gt;=$S92),$V92,$U92)))=Milestones!$AB$42),UPPER(TEXT(EDATE($D92,Milestones!$AA$42),"dd mmm yy"))&amp;" "&amp;Milestones!$AB$42&amp;" "&amp;Milestones!$AC$42&amp;";  ","")&amp;IF(AND(EDATE($D92,Milestones!$AA$43)&lt;=AsOfDate,IF($R92=0,$X92,IF(AND($T92&lt;&gt;"",EDATE($D92,Milestones!$AA$43)&gt;=$T92),$W92,IF(AND($S92&lt;&gt;"",EDATE($D92,Milestones!$AA$43)&gt;=$S92),$V92,$U92)))=Milestones!$AB$43),UPPER(TEXT(EDATE($D92,Milestones!$AA$43),"dd mmm yy"))&amp;" "&amp;Milestones!$AB$43&amp;" "&amp;Milestones!$AC$43&amp;";  ","")&amp;IF(AND(EDATE($D92,Milestones!$AA$44)&lt;=AsOfDate,IF($R92=0,$X92,IF(AND($T92&lt;&gt;"",EDATE($D92,Milestones!$AA$44)&gt;=$T92),$W92,IF(AND($S92&lt;&gt;"",EDATE($D92,Milestones!$AA$44)&gt;=$S92),$V92,$U92)))=Milestones!$AB$44),UPPER(TEXT(EDATE($D92,Milestones!$AA$44),"dd mmm yy"))&amp;" "&amp;Milestones!$AB$44&amp;" "&amp;Milestones!$AC$44&amp;";  ","")&amp;IF(AND(EDATE($D92,Milestones!$AA$45)&lt;=AsOfDate,IF($R92=0,$X92,IF(AND($T92&lt;&gt;"",EDATE($D92,Milestones!$AA$45)&gt;=$T92),$W92,IF(AND($S92&lt;&gt;"",EDATE($D92,Milestones!$AA$45)&gt;=$S92),$V92,$U92)))=Milestones!$AB$45),UPPER(TEXT(EDATE($D92,Milestones!$AA$45),"dd mmm yy"))&amp;" "&amp;Milestones!$AB$45&amp;" "&amp;Milestones!$AC$45&amp;";  ","")&amp;IF(AND(EDATE($D92,Milestones!$AA$46)&lt;=AsOfDate,IF($R92=0,$X92,IF(AND($T92&lt;&gt;"",EDATE($D92,Milestones!$AA$46)&gt;=$T92),$W92,IF(AND($S92&lt;&gt;"",EDATE($D92,Milestones!$AA$46)&gt;=$S92),$V92,$U92)))=Milestones!$AB$46),UPPER(TEXT(EDATE($D92,Milestones!$AA$46),"dd mmm yy"))&amp;" "&amp;Milestones!$AB$46&amp;" "&amp;Milestones!$AC$46&amp;";  ","")&amp;IF(AND(EDATE($D92,Milestones!$AA$47)&lt;=AsOfDate,IF($R92=0,$X92,IF(AND($T92&lt;&gt;"",EDATE($D92,Milestones!$AA$47)&gt;=$T92),$W92,IF(AND($S92&lt;&gt;"",EDATE($D92,Milestones!$AA$47)&gt;=$S92),$V92,$U92)))=Milestones!$AB$47),UPPER(TEXT(EDATE($D92,Milestones!$AA$47),"dd mmm yy"))&amp;" "&amp;Milestones!$AB$47&amp;" "&amp;Milestones!$AC$47&amp;";  ","")&amp;IF(AND(EDATE($D92,Milestones!$AA$48)&lt;=AsOfDate,IF($R92=0,$X92,IF(AND($T92&lt;&gt;"",EDATE($D92,Milestones!$AA$48)&gt;=$T92),$W92,IF(AND($S92&lt;&gt;"",EDATE($D92,Milestones!$AA$48)&gt;=$S92),$V92,$U92)))=Milestones!$AB$48),UPPER(TEXT(EDATE($D92,Milestones!$AA$48),"dd mmm yy"))&amp;" "&amp;Milestones!$AB$48&amp;" "&amp;Milestones!$AC$48&amp;";  ","")&amp;IF(AND(EDATE($D92,Milestones!$AA$49)&lt;=AsOfDate,IF($R92=0,$X92,IF(AND($T92&lt;&gt;"",EDATE($D92,Milestones!$AA$49)&gt;=$T92),$W92,IF(AND($S92&lt;&gt;"",EDATE($D92,Milestones!$AA$49)&gt;=$S92),$V92,$U92)))=Milestones!$AB$49),UPPER(TEXT(EDATE($D92,Milestones!$AA$49),"dd mmm yy"))&amp;" "&amp;Milestones!$AB$49&amp;" "&amp;Milestones!$AC$49&amp;";  ","")&amp;IF(AND(EDATE($D92,Milestones!$AA$50)&lt;=AsOfDate,IF($R92=0,$X92,IF(AND($T92&lt;&gt;"",EDATE($D92,Milestones!$AA$50)&gt;=$T92),$W92,IF(AND($S92&lt;&gt;"",EDATE($D92,Milestones!$AA$50)&gt;=$S92),$V92,$U92)))=Milestones!$AB$50),UPPER(TEXT(EDATE($D92,Milestones!$AA$50),"dd mmm yy"))&amp;" "&amp;Milestones!$AB$50&amp;" "&amp;Milestones!$AC$50&amp;";  ","")&amp;IF(AND(EDATE($D92,Milestones!$AA$51)&lt;=AsOfDate,IF($R92=0,$X92,IF(AND($T92&lt;&gt;"",EDATE($D92,Milestones!$AA$51)&gt;=$T92),$W92,IF(AND($S92&lt;&gt;"",EDATE($D92,Milestones!$AA$51)&gt;=$S92),$V92,$U92)))=Milestones!$AB$51),UPPER(TEXT(EDATE($D92,Milestones!$AA$51),"dd mmm yy"))&amp;" "&amp;Milestones!$AB$51&amp;" "&amp;Milestones!$AC$51&amp;";  ","")&amp;IF(AND(EDATE($D92,Milestones!$AA$52)&lt;=AsOfDate,IF($R92=0,$X92,IF(AND($T92&lt;&gt;"",EDATE($D92,Milestones!$AA$52)&gt;=$T92),$W92,IF(AND($S92&lt;&gt;"",EDATE($D92,Milestones!$AA$52)&gt;=$S92),$V92,$U92)))=Milestones!$AB$52),UPPER(TEXT(EDATE($D92,Milestones!$AA$52),"dd mmm yy"))&amp;" "&amp;Milestones!$AB$52&amp;" "&amp;Milestones!$AC$52&amp;";  ","")&amp;IF(AND(EDATE($D92,Milestones!$AA$53)&lt;=AsOfDate,IF($R92=0,$X92,IF(AND($T92&lt;&gt;"",EDATE($D92,Milestones!$AA$53)&gt;=$T92),$W92,IF(AND($S92&lt;&gt;"",EDATE($D92,Milestones!$AA$53)&gt;=$S92),$V92,$U92)))=Milestones!$AB$53),UPPER(TEXT(EDATE($D92,Milestones!$AA$53),"dd mmm yy"))&amp;" "&amp;Milestones!$AB$53&amp;" "&amp;Milestones!$AC$53&amp;";  ","")&amp;IF(AND(EDATE($D92,Milestones!$AA$54)&lt;=AsOfDate,IF($R92=0,$X92,IF(AND($T92&lt;&gt;"",EDATE($D92,Milestones!$AA$54)&gt;=$T92),$W92,IF(AND($S92&lt;&gt;"",EDATE($D92,Milestones!$AA$54)&gt;=$S92),$V92,$U92)))=Milestones!$AB$54),UPPER(TEXT(EDATE($D92,Milestones!$AA$54),"dd mmm yy"))&amp;" "&amp;Milestones!$AB$54&amp;" "&amp;Milestones!$AC$54&amp;";  ","")&amp;IF(AND(EDATE($D92,Milestones!$AA$55)&lt;=AsOfDate,IF($R92=0,$X92,IF(AND($T92&lt;&gt;"",EDATE($D92,Milestones!$AA$55)&gt;=$T92),$W92,IF(AND($S92&lt;&gt;"",EDATE($D92,Milestones!$AA$55)&gt;=$S92),$V92,$U92)))=Milestones!$AB$55),UPPER(TEXT(EDATE($D92,Milestones!$AA$55),"dd mmm yy"))&amp;" "&amp;Milestones!$AB$55&amp;" "&amp;Milestones!$AC$55&amp;";  ","")&amp;IF(AND(EDATE($D92,Milestones!$AA$56)&lt;=AsOfDate,IF($R92=0,$X92,IF(AND($T92&lt;&gt;"",EDATE($D92,Milestones!$AA$56)&gt;=$T92),$W92,IF(AND($S92&lt;&gt;"",EDATE($D92,Milestones!$AA$56)&gt;=$S92),$V92,$U92)))=Milestones!$AB$56),UPPER(TEXT(EDATE($D92,Milestones!$AA$56),"dd mmm yy"))&amp;" "&amp;Milestones!$AB$56&amp;" "&amp;Milestones!$AC$56&amp;";  ","")&amp;IF(AND(EDATE($D92,Milestones!$AA$57)&lt;=AsOfDate,IF($R92=0,$X92,IF(AND($T92&lt;&gt;"",EDATE($D92,Milestones!$AA$57)&gt;=$T92),$W92,IF(AND($S92&lt;&gt;"",EDATE($D92,Milestones!$AA$57)&gt;=$S92),$V92,$U92)))=Milestones!$AB$57),UPPER(TEXT(EDATE($D92,Milestones!$AA$57),"dd mmm yy"))&amp;" "&amp;Milestones!$AB$57&amp;" "&amp;Milestones!$AC$57&amp;";  ","")&amp;IF(AND(EDATE($D92,Milestones!$AA$58)&lt;=AsOfDate,IF($R92=0,$X92,IF(AND($T92&lt;&gt;"",EDATE($D92,Milestones!$AA$58)&gt;=$T92),$W92,IF(AND($S92&lt;&gt;"",EDATE($D92,Milestones!$AA$58)&gt;=$S92),$V92,$U92)))=Milestones!$AB$58),UPPER(TEXT(EDATE($D92,Milestones!$AA$58),"dd mmm yy"))&amp;" "&amp;Milestones!$AB$58&amp;" "&amp;Milestones!$AC$58&amp;";  ","")&amp;IF(AND(EDATE($D92,Milestones!$AA$59)&lt;=AsOfDate,IF($R92=0,$X92,IF(AND($T92&lt;&gt;"",EDATE($D92,Milestones!$AA$59)&gt;=$T92),$W92,IF(AND($S92&lt;&gt;"",EDATE($D92,Milestones!$AA$59)&gt;=$S92),$V92,$U92)))=Milestones!$AB$59),UPPER(TEXT(EDATE($D92,Milestones!$AA$59),"dd mmm yy"))&amp;" "&amp;Milestones!$AB$59&amp;" "&amp;Milestones!$AC$59&amp;";  ",""))</f>
        <v/>
      </c>
      <c r="K92" s="0" t="str">
        <f aca="false">IF(OR($A92="",$D92=""),"",IF(AND(EDATE($D92,Milestones!$AA$60)&lt;=AsOfDate,IF($R92=0,$X92,IF(AND($T92&lt;&gt;"",EDATE($D92,Milestones!$AA$60)&gt;=$T92),$W92,IF(AND($S92&lt;&gt;"",EDATE($D92,Milestones!$AA$60)&gt;=$S92),$V92,$U92)))=Milestones!$AB$60),UPPER(TEXT(EDATE($D92,Milestones!$AA$60),"dd mmm yy"))&amp;" "&amp;Milestones!$AB$60&amp;" "&amp;Milestones!$AC$60&amp;";  ","")&amp;IF(AND(EDATE($D92,Milestones!$AA$61)&lt;=AsOfDate,IF($R92=0,$X92,IF(AND($T92&lt;&gt;"",EDATE($D92,Milestones!$AA$61)&gt;=$T92),$W92,IF(AND($S92&lt;&gt;"",EDATE($D92,Milestones!$AA$61)&gt;=$S92),$V92,$U92)))=Milestones!$AB$61),UPPER(TEXT(EDATE($D92,Milestones!$AA$61),"dd mmm yy"))&amp;" "&amp;Milestones!$AB$61&amp;" "&amp;Milestones!$AC$61&amp;";  ","")&amp;IF(AND(EDATE($D92,Milestones!$AA$62)&lt;=AsOfDate,IF($R92=0,$X92,IF(AND($T92&lt;&gt;"",EDATE($D92,Milestones!$AA$62)&gt;=$T92),$W92,IF(AND($S92&lt;&gt;"",EDATE($D92,Milestones!$AA$62)&gt;=$S92),$V92,$U92)))=Milestones!$AB$62),UPPER(TEXT(EDATE($D92,Milestones!$AA$62),"dd mmm yy"))&amp;" "&amp;Milestones!$AB$62&amp;" "&amp;Milestones!$AC$62&amp;";  ","")&amp;IF(AND(EDATE($D92,Milestones!$AA$63)&lt;=AsOfDate,IF($R92=0,$X92,IF(AND($T92&lt;&gt;"",EDATE($D92,Milestones!$AA$63)&gt;=$T92),$W92,IF(AND($S92&lt;&gt;"",EDATE($D92,Milestones!$AA$63)&gt;=$S92),$V92,$U92)))=Milestones!$AB$63),UPPER(TEXT(EDATE($D92,Milestones!$AA$63),"dd mmm yy"))&amp;" "&amp;Milestones!$AB$63&amp;" "&amp;Milestones!$AC$63&amp;";  ","")&amp;IF(AND(EDATE($D92,Milestones!$AA$64)&lt;=AsOfDate,IF($R92=0,$X92,IF(AND($T92&lt;&gt;"",EDATE($D92,Milestones!$AA$64)&gt;=$T92),$W92,IF(AND($S92&lt;&gt;"",EDATE($D92,Milestones!$AA$64)&gt;=$S92),$V92,$U92)))=Milestones!$AB$64),UPPER(TEXT(EDATE($D92,Milestones!$AA$64),"dd mmm yy"))&amp;" "&amp;Milestones!$AB$64&amp;" "&amp;Milestones!$AC$64&amp;";  ","")&amp;IF(AND(EDATE($D92,Milestones!$AA$65)&lt;=AsOfDate,IF($R92=0,$X92,IF(AND($T92&lt;&gt;"",EDATE($D92,Milestones!$AA$65)&gt;=$T92),$W92,IF(AND($S92&lt;&gt;"",EDATE($D92,Milestones!$AA$65)&gt;=$S92),$V92,$U92)))=Milestones!$AB$65),UPPER(TEXT(EDATE($D92,Milestones!$AA$65),"dd mmm yy"))&amp;" "&amp;Milestones!$AB$65&amp;" "&amp;Milestones!$AC$65&amp;";  ","")&amp;IF(AND(EDATE($D92,Milestones!$AA$66)&lt;=AsOfDate,IF($R92=0,$X92,IF(AND($T92&lt;&gt;"",EDATE($D92,Milestones!$AA$66)&gt;=$T92),$W92,IF(AND($S92&lt;&gt;"",EDATE($D92,Milestones!$AA$66)&gt;=$S92),$V92,$U92)))=Milestones!$AB$66),UPPER(TEXT(EDATE($D92,Milestones!$AA$66),"dd mmm yy"))&amp;" "&amp;Milestones!$AB$66&amp;" "&amp;Milestones!$AC$66&amp;";  ","")&amp;IF(AND(EDATE($D92,Milestones!$AA$67)&lt;=AsOfDate,IF($R92=0,$X92,IF(AND($T92&lt;&gt;"",EDATE($D92,Milestones!$AA$67)&gt;=$T92),$W92,IF(AND($S92&lt;&gt;"",EDATE($D92,Milestones!$AA$67)&gt;=$S92),$V92,$U92)))=Milestones!$AB$67),UPPER(TEXT(EDATE($D92,Milestones!$AA$67),"dd mmm yy"))&amp;" "&amp;Milestones!$AB$67&amp;" "&amp;Milestones!$AC$67&amp;";  ","")&amp;IF(AND(EDATE($D92,Milestones!$AA$68)&lt;=AsOfDate,IF($R92=0,$X92,IF(AND($T92&lt;&gt;"",EDATE($D92,Milestones!$AA$68)&gt;=$T92),$W92,IF(AND($S92&lt;&gt;"",EDATE($D92,Milestones!$AA$68)&gt;=$S92),$V92,$U92)))=Milestones!$AB$68),UPPER(TEXT(EDATE($D92,Milestones!$AA$68),"dd mmm yy"))&amp;" "&amp;Milestones!$AB$68&amp;" "&amp;Milestones!$AC$68&amp;";  ","")&amp;IF(AND(EDATE($D92,Milestones!$AA$69)&lt;=AsOfDate,IF($R92=0,$X92,IF(AND($T92&lt;&gt;"",EDATE($D92,Milestones!$AA$69)&gt;=$T92),$W92,IF(AND($S92&lt;&gt;"",EDATE($D92,Milestones!$AA$69)&gt;=$S92),$V92,$U92)))=Milestones!$AB$69),UPPER(TEXT(EDATE($D92,Milestones!$AA$69),"dd mmm yy"))&amp;" "&amp;Milestones!$AB$69&amp;" "&amp;Milestones!$AC$69&amp;";  ","")&amp;IF(AND(EDATE($D92,Milestones!$AA$70)&lt;=AsOfDate,IF($R92=0,$X92,IF(AND($T92&lt;&gt;"",EDATE($D92,Milestones!$AA$70)&gt;=$T92),$W92,IF(AND($S92&lt;&gt;"",EDATE($D92,Milestones!$AA$70)&gt;=$S92),$V92,$U92)))=Milestones!$AB$70),UPPER(TEXT(EDATE($D92,Milestones!$AA$70),"dd mmm yy"))&amp;" "&amp;Milestones!$AB$70&amp;" "&amp;Milestones!$AC$70&amp;";  ","")&amp;IF(AND(EDATE($D92,Milestones!$AA$71)&lt;=AsOfDate,IF($R92=0,$X92,IF(AND($T92&lt;&gt;"",EDATE($D92,Milestones!$AA$71)&gt;=$T92),$W92,IF(AND($S92&lt;&gt;"",EDATE($D92,Milestones!$AA$71)&gt;=$S92),$V92,$U92)))=Milestones!$AB$71),UPPER(TEXT(EDATE($D92,Milestones!$AA$71),"dd mmm yy"))&amp;" "&amp;Milestones!$AB$71&amp;" "&amp;Milestones!$AC$71&amp;";  ","")&amp;IF(AND(EDATE($D92,Milestones!$AA$72)&lt;=AsOfDate,IF($R92=0,$X92,IF(AND($T92&lt;&gt;"",EDATE($D92,Milestones!$AA$72)&gt;=$T92),$W92,IF(AND($S92&lt;&gt;"",EDATE($D92,Milestones!$AA$72)&gt;=$S92),$V92,$U92)))=Milestones!$AB$72),UPPER(TEXT(EDATE($D92,Milestones!$AA$72),"dd mmm yy"))&amp;" "&amp;Milestones!$AB$72&amp;" "&amp;Milestones!$AC$72&amp;";  ","")&amp;IF(AND(EDATE($D92,Milestones!$AA$73)&lt;=AsOfDate,IF($R92=0,$X92,IF(AND($T92&lt;&gt;"",EDATE($D92,Milestones!$AA$73)&gt;=$T92),$W92,IF(AND($S92&lt;&gt;"",EDATE($D92,Milestones!$AA$73)&gt;=$S92),$V92,$U92)))=Milestones!$AB$73),UPPER(TEXT(EDATE($D92,Milestones!$AA$73),"dd mmm yy"))&amp;" "&amp;Milestones!$AB$73&amp;" "&amp;Milestones!$AC$73&amp;";  ","")&amp;IF(AND(EDATE($D92,Milestones!$AA$74)&lt;=AsOfDate,IF($R92=0,$X92,IF(AND($T92&lt;&gt;"",EDATE($D92,Milestones!$AA$74)&gt;=$T92),$W92,IF(AND($S92&lt;&gt;"",EDATE($D92,Milestones!$AA$74)&gt;=$S92),$V92,$U92)))=Milestones!$AB$74),UPPER(TEXT(EDATE($D92,Milestones!$AA$74),"dd mmm yy"))&amp;" "&amp;Milestones!$AB$74&amp;" "&amp;Milestones!$AC$74&amp;";  ","")&amp;IF(AND(EDATE($D92,Milestones!$AA$75)&lt;=AsOfDate,IF($R92=0,$X92,IF(AND($T92&lt;&gt;"",EDATE($D92,Milestones!$AA$75)&gt;=$T92),$W92,IF(AND($S92&lt;&gt;"",EDATE($D92,Milestones!$AA$75)&gt;=$S92),$V92,$U92)))=Milestones!$AB$75),UPPER(TEXT(EDATE($D92,Milestones!$AA$75),"dd mmm yy"))&amp;" "&amp;Milestones!$AB$75&amp;" "&amp;Milestones!$AC$75&amp;";  ","")&amp;IF(AND(EDATE($D92,Milestones!$AA$76)&lt;=AsOfDate,IF($R92=0,$X92,IF(AND($T92&lt;&gt;"",EDATE($D92,Milestones!$AA$76)&gt;=$T92),$W92,IF(AND($S92&lt;&gt;"",EDATE($D92,Milestones!$AA$76)&gt;=$S92),$V92,$U92)))=Milestones!$AB$76),UPPER(TEXT(EDATE($D92,Milestones!$AA$76),"dd mmm yy"))&amp;" "&amp;Milestones!$AB$76&amp;" "&amp;Milestones!$AC$76&amp;";  ","")&amp;IF(AND(EDATE($D92,Milestones!$AA$77)&lt;=AsOfDate,IF($R92=0,$X92,IF(AND($T92&lt;&gt;"",EDATE($D92,Milestones!$AA$77)&gt;=$T92),$W92,IF(AND($S92&lt;&gt;"",EDATE($D92,Milestones!$AA$77)&gt;=$S92),$V92,$U92)))=Milestones!$AB$77),UPPER(TEXT(EDATE($D92,Milestones!$AA$77),"dd mmm yy"))&amp;" "&amp;Milestones!$AB$77&amp;" "&amp;Milestones!$AC$77&amp;";  ","")&amp;IF(AND(EDATE($D92,Milestones!$AA$78)&lt;=AsOfDate,IF($R92=0,$X92,IF(AND($T92&lt;&gt;"",EDATE($D92,Milestones!$AA$78)&gt;=$T92),$W92,IF(AND($S92&lt;&gt;"",EDATE($D92,Milestones!$AA$78)&gt;=$S92),$V92,$U92)))=Milestones!$AB$78),UPPER(TEXT(EDATE($D92,Milestones!$AA$78),"dd mmm yy"))&amp;" "&amp;Milestones!$AB$78&amp;" "&amp;Milestones!$AC$78&amp;";  ","")&amp;IF(AND(EDATE($D92,Milestones!$AA$79)&lt;=AsOfDate,IF($R92=0,$X92,IF(AND($T92&lt;&gt;"",EDATE($D92,Milestones!$AA$79)&gt;=$T92),$W92,IF(AND($S92&lt;&gt;"",EDATE($D92,Milestones!$AA$79)&gt;=$S92),$V92,$U92)))=Milestones!$AB$79),UPPER(TEXT(EDATE($D92,Milestones!$AA$79),"dd mmm yy"))&amp;" "&amp;Milestones!$AB$79&amp;" "&amp;Milestones!$AC$79&amp;";  ",""))</f>
        <v/>
      </c>
      <c r="L92" s="0" t="str">
        <f aca="false">IF(OR($A92="",$D92=""),"",IF(AND(EDATE($D92,Milestones!$AA$80)&lt;=AsOfDate,IF($R92=0,$X92,IF(AND($T92&lt;&gt;"",EDATE($D92,Milestones!$AA$80)&gt;=$T92),$W92,IF(AND($S92&lt;&gt;"",EDATE($D92,Milestones!$AA$80)&gt;=$S92),$V92,$U92)))=Milestones!$AB$80),UPPER(TEXT(EDATE($D92,Milestones!$AA$80),"dd mmm yy"))&amp;" "&amp;Milestones!$AB$80&amp;" "&amp;Milestones!$AC$80&amp;";  ","")&amp;IF(AND(EDATE($D92,Milestones!$AA$81)&lt;=AsOfDate,IF($R92=0,$X92,IF(AND($T92&lt;&gt;"",EDATE($D92,Milestones!$AA$81)&gt;=$T92),$W92,IF(AND($S92&lt;&gt;"",EDATE($D92,Milestones!$AA$81)&gt;=$S92),$V92,$U92)))=Milestones!$AB$81),UPPER(TEXT(EDATE($D92,Milestones!$AA$81),"dd mmm yy"))&amp;" "&amp;Milestones!$AB$81&amp;" "&amp;Milestones!$AC$81&amp;";  ","")&amp;IF(AND(EDATE($D92,Milestones!$AA$82)&lt;=AsOfDate,IF($R92=0,$X92,IF(AND($T92&lt;&gt;"",EDATE($D92,Milestones!$AA$82)&gt;=$T92),$W92,IF(AND($S92&lt;&gt;"",EDATE($D92,Milestones!$AA$82)&gt;=$S92),$V92,$U92)))=Milestones!$AB$82),UPPER(TEXT(EDATE($D92,Milestones!$AA$82),"dd mmm yy"))&amp;" "&amp;Milestones!$AB$82&amp;" "&amp;Milestones!$AC$82&amp;";  ","")&amp;IF(AND(EDATE($D92,Milestones!$AA$83)&lt;=AsOfDate,IF($R92=0,$X92,IF(AND($T92&lt;&gt;"",EDATE($D92,Milestones!$AA$83)&gt;=$T92),$W92,IF(AND($S92&lt;&gt;"",EDATE($D92,Milestones!$AA$83)&gt;=$S92),$V92,$U92)))=Milestones!$AB$83),UPPER(TEXT(EDATE($D92,Milestones!$AA$83),"dd mmm yy"))&amp;" "&amp;Milestones!$AB$83&amp;" "&amp;Milestones!$AC$83&amp;";  ","")&amp;IF(AND(EDATE($D92,Milestones!$AA$84)&lt;=AsOfDate,IF($R92=0,$X92,IF(AND($T92&lt;&gt;"",EDATE($D92,Milestones!$AA$84)&gt;=$T92),$W92,IF(AND($S92&lt;&gt;"",EDATE($D92,Milestones!$AA$84)&gt;=$S92),$V92,$U92)))=Milestones!$AB$84),UPPER(TEXT(EDATE($D92,Milestones!$AA$84),"dd mmm yy"))&amp;" "&amp;Milestones!$AB$84&amp;" "&amp;Milestones!$AC$84&amp;";  ","")&amp;IF(AND(EDATE($D92,Milestones!$AA$85)&lt;=AsOfDate,IF($R92=0,$X92,IF(AND($T92&lt;&gt;"",EDATE($D92,Milestones!$AA$85)&gt;=$T92),$W92,IF(AND($S92&lt;&gt;"",EDATE($D92,Milestones!$AA$85)&gt;=$S92),$V92,$U92)))=Milestones!$AB$85),UPPER(TEXT(EDATE($D92,Milestones!$AA$85),"dd mmm yy"))&amp;" "&amp;Milestones!$AB$85&amp;" "&amp;Milestones!$AC$85&amp;";  ","")&amp;IF(AND(EDATE($D92,Milestones!$AA$86)&lt;=AsOfDate,IF($R92=0,$X92,IF(AND($T92&lt;&gt;"",EDATE($D92,Milestones!$AA$86)&gt;=$T92),$W92,IF(AND($S92&lt;&gt;"",EDATE($D92,Milestones!$AA$86)&gt;=$S92),$V92,$U92)))=Milestones!$AB$86),UPPER(TEXT(EDATE($D92,Milestones!$AA$86),"dd mmm yy"))&amp;" "&amp;Milestones!$AB$86&amp;" "&amp;Milestones!$AC$86&amp;";  ","")&amp;IF(AND(EDATE($D92,Milestones!$AA$87)&lt;=AsOfDate,IF($R92=0,$X92,IF(AND($T92&lt;&gt;"",EDATE($D92,Milestones!$AA$87)&gt;=$T92),$W92,IF(AND($S92&lt;&gt;"",EDATE($D92,Milestones!$AA$87)&gt;=$S92),$V92,$U92)))=Milestones!$AB$87),UPPER(TEXT(EDATE($D92,Milestones!$AA$87),"dd mmm yy"))&amp;" "&amp;Milestones!$AB$87&amp;" "&amp;Milestones!$AC$87&amp;";  ","")&amp;IF(AND(EDATE($D92,Milestones!$AA$88)&lt;=AsOfDate,IF($R92=0,$X92,IF(AND($T92&lt;&gt;"",EDATE($D92,Milestones!$AA$88)&gt;=$T92),$W92,IF(AND($S92&lt;&gt;"",EDATE($D92,Milestones!$AA$88)&gt;=$S92),$V92,$U92)))=Milestones!$AB$88),UPPER(TEXT(EDATE($D92,Milestones!$AA$88),"dd mmm yy"))&amp;" "&amp;Milestones!$AB$88&amp;" "&amp;Milestones!$AC$88&amp;";  ","")&amp;IF(AND(EDATE($D92,Milestones!$AA$89)&lt;=AsOfDate,IF($R92=0,$X92,IF(AND($T92&lt;&gt;"",EDATE($D92,Milestones!$AA$89)&gt;=$T92),$W92,IF(AND($S92&lt;&gt;"",EDATE($D92,Milestones!$AA$89)&gt;=$S92),$V92,$U92)))=Milestones!$AB$89),UPPER(TEXT(EDATE($D92,Milestones!$AA$89),"dd mmm yy"))&amp;" "&amp;Milestones!$AB$89&amp;" "&amp;Milestones!$AC$89&amp;";  ","")&amp;IF(AND(EDATE($D92,Milestones!$AA$90)&lt;=AsOfDate,IF($R92=0,$X92,IF(AND($T92&lt;&gt;"",EDATE($D92,Milestones!$AA$90)&gt;=$T92),$W92,IF(AND($S92&lt;&gt;"",EDATE($D92,Milestones!$AA$90)&gt;=$S92),$V92,$U92)))=Milestones!$AB$90),UPPER(TEXT(EDATE($D92,Milestones!$AA$90),"dd mmm yy"))&amp;" "&amp;Milestones!$AB$90&amp;" "&amp;Milestones!$AC$90&amp;";  ","")&amp;IF(AND(EDATE($D92,Milestones!$AA$91)&lt;=AsOfDate,IF($R92=0,$X92,IF(AND($T92&lt;&gt;"",EDATE($D92,Milestones!$AA$91)&gt;=$T92),$W92,IF(AND($S92&lt;&gt;"",EDATE($D92,Milestones!$AA$91)&gt;=$S92),$V92,$U92)))=Milestones!$AB$91),UPPER(TEXT(EDATE($D92,Milestones!$AA$91),"dd mmm yy"))&amp;" "&amp;Milestones!$AB$91&amp;" "&amp;Milestones!$AC$91&amp;";  ","")&amp;IF(AND(EDATE($D92,Milestones!$AA$92)&lt;=AsOfDate,IF($R92=0,$X92,IF(AND($T92&lt;&gt;"",EDATE($D92,Milestones!$AA$92)&gt;=$T92),$W92,IF(AND($S92&lt;&gt;"",EDATE($D92,Milestones!$AA$92)&gt;=$S92),$V92,$U92)))=Milestones!$AB$92),UPPER(TEXT(EDATE($D92,Milestones!$AA$92),"dd mmm yy"))&amp;" "&amp;Milestones!$AB$92&amp;" "&amp;Milestones!$AC$92&amp;";  ","")&amp;IF(AND(EDATE($D92,Milestones!$AA$93)&lt;=AsOfDate,IF($R92=0,$X92,IF(AND($T92&lt;&gt;"",EDATE($D92,Milestones!$AA$93)&gt;=$T92),$W92,IF(AND($S92&lt;&gt;"",EDATE($D92,Milestones!$AA$93)&gt;=$S92),$V92,$U92)))=Milestones!$AB$93),UPPER(TEXT(EDATE($D92,Milestones!$AA$93),"dd mmm yy"))&amp;" "&amp;Milestones!$AB$93&amp;" "&amp;Milestones!$AC$93&amp;";  ","")&amp;IF(AND(EDATE($D92,Milestones!$AA$94)&lt;=AsOfDate,IF($R92=0,$X92,IF(AND($T92&lt;&gt;"",EDATE($D92,Milestones!$AA$94)&gt;=$T92),$W92,IF(AND($S92&lt;&gt;"",EDATE($D92,Milestones!$AA$94)&gt;=$S92),$V92,$U92)))=Milestones!$AB$94),UPPER(TEXT(EDATE($D92,Milestones!$AA$94),"dd mmm yy"))&amp;" "&amp;Milestones!$AB$94&amp;" "&amp;Milestones!$AC$94&amp;";  ","")&amp;IF(AND(EDATE($D92,Milestones!$AA$95)&lt;=AsOfDate,IF($R92=0,$X92,IF(AND($T92&lt;&gt;"",EDATE($D92,Milestones!$AA$95)&gt;=$T92),$W92,IF(AND($S92&lt;&gt;"",EDATE($D92,Milestones!$AA$95)&gt;=$S92),$V92,$U92)))=Milestones!$AB$95),UPPER(TEXT(EDATE($D92,Milestones!$AA$95),"dd mmm yy"))&amp;" "&amp;Milestones!$AB$95&amp;" "&amp;Milestones!$AC$95&amp;";  ","")&amp;IF(AND(EDATE($D92,Milestones!$AA$96)&lt;=AsOfDate,IF($R92=0,$X92,IF(AND($T92&lt;&gt;"",EDATE($D92,Milestones!$AA$96)&gt;=$T92),$W92,IF(AND($S92&lt;&gt;"",EDATE($D92,Milestones!$AA$96)&gt;=$S92),$V92,$U92)))=Milestones!$AB$96),UPPER(TEXT(EDATE($D92,Milestones!$AA$96),"dd mmm yy"))&amp;" "&amp;Milestones!$AB$96&amp;" "&amp;Milestones!$AC$96&amp;";  ","")&amp;IF(AND(EDATE($D92,Milestones!$AA$97)&lt;=AsOfDate,IF($R92=0,$X92,IF(AND($T92&lt;&gt;"",EDATE($D92,Milestones!$AA$97)&gt;=$T92),$W92,IF(AND($S92&lt;&gt;"",EDATE($D92,Milestones!$AA$97)&gt;=$S92),$V92,$U92)))=Milestones!$AB$97),UPPER(TEXT(EDATE($D92,Milestones!$AA$97),"dd mmm yy"))&amp;" "&amp;Milestones!$AB$97&amp;" "&amp;Milestones!$AC$97&amp;";  ","")&amp;IF(AND(EDATE($D92,Milestones!$AA$98)&lt;=AsOfDate,IF($R92=0,$X92,IF(AND($T92&lt;&gt;"",EDATE($D92,Milestones!$AA$98)&gt;=$T92),$W92,IF(AND($S92&lt;&gt;"",EDATE($D92,Milestones!$AA$98)&gt;=$S92),$V92,$U92)))=Milestones!$AB$98),UPPER(TEXT(EDATE($D92,Milestones!$AA$98),"dd mmm yy"))&amp;" "&amp;Milestones!$AB$98&amp;" "&amp;Milestones!$AC$98&amp;";  ","")&amp;IF(AND(EDATE($D92,Milestones!$AA$99)&lt;=AsOfDate,IF($R92=0,$X92,IF(AND($T92&lt;&gt;"",EDATE($D92,Milestones!$AA$99)&gt;=$T92),$W92,IF(AND($S92&lt;&gt;"",EDATE($D92,Milestones!$AA$99)&gt;=$S92),$V92,$U92)))=Milestones!$AB$99),UPPER(TEXT(EDATE($D92,Milestones!$AA$99),"dd mmm yy"))&amp;" "&amp;Milestones!$AB$99&amp;" "&amp;Milestones!$AC$99&amp;";  ",""))</f>
        <v/>
      </c>
      <c r="M92" s="0" t="str">
        <f aca="false">IF(OR($A92="",$D92=""),"",IF(AND(EDATE($D92,Milestones!$AA$100)&lt;=AsOfDate,IF($R92=0,$X92,IF(AND($T92&lt;&gt;"",EDATE($D92,Milestones!$AA$100)&gt;=$T92),$W92,IF(AND($S92&lt;&gt;"",EDATE($D92,Milestones!$AA$100)&gt;=$S92),$V92,$U92)))=Milestones!$AB$100),UPPER(TEXT(EDATE($D92,Milestones!$AA$100),"dd mmm yy"))&amp;" "&amp;Milestones!$AB$100&amp;" "&amp;Milestones!$AC$100&amp;";  ","")&amp;IF(AND(EDATE($D92,Milestones!$AA$101)&lt;=AsOfDate,IF($R92=0,$X92,IF(AND($T92&lt;&gt;"",EDATE($D92,Milestones!$AA$101)&gt;=$T92),$W92,IF(AND($S92&lt;&gt;"",EDATE($D92,Milestones!$AA$101)&gt;=$S92),$V92,$U92)))=Milestones!$AB$101),UPPER(TEXT(EDATE($D92,Milestones!$AA$101),"dd mmm yy"))&amp;" "&amp;Milestones!$AB$101&amp;" "&amp;Milestones!$AC$101&amp;";  ","")&amp;IF(AND(EDATE($D92,Milestones!$AA$102)&lt;=AsOfDate,IF($R92=0,$X92,IF(AND($T92&lt;&gt;"",EDATE($D92,Milestones!$AA$102)&gt;=$T92),$W92,IF(AND($S92&lt;&gt;"",EDATE($D92,Milestones!$AA$102)&gt;=$S92),$V92,$U92)))=Milestones!$AB$102),UPPER(TEXT(EDATE($D92,Milestones!$AA$102),"dd mmm yy"))&amp;" "&amp;Milestones!$AB$102&amp;" "&amp;Milestones!$AC$102&amp;";  ","")&amp;IF(AND(EDATE($D92,Milestones!$AA$103)&lt;=AsOfDate,IF($R92=0,$X92,IF(AND($T92&lt;&gt;"",EDATE($D92,Milestones!$AA$103)&gt;=$T92),$W92,IF(AND($S92&lt;&gt;"",EDATE($D92,Milestones!$AA$103)&gt;=$S92),$V92,$U92)))=Milestones!$AB$103),UPPER(TEXT(EDATE($D92,Milestones!$AA$103),"dd mmm yy"))&amp;" "&amp;Milestones!$AB$103&amp;" "&amp;Milestones!$AC$103&amp;";  ","")&amp;IF(AND(EDATE($D92,Milestones!$AA$104)&lt;=AsOfDate,IF($R92=0,$X92,IF(AND($T92&lt;&gt;"",EDATE($D92,Milestones!$AA$104)&gt;=$T92),$W92,IF(AND($S92&lt;&gt;"",EDATE($D92,Milestones!$AA$104)&gt;=$S92),$V92,$U92)))=Milestones!$AB$104),UPPER(TEXT(EDATE($D92,Milestones!$AA$104),"dd mmm yy"))&amp;" "&amp;Milestones!$AB$104&amp;" "&amp;Milestones!$AC$104&amp;";  ","")&amp;IF(AND(EDATE($D92,Milestones!$AA$105)&lt;=AsOfDate,IF($R92=0,$X92,IF(AND($T92&lt;&gt;"",EDATE($D92,Milestones!$AA$105)&gt;=$T92),$W92,IF(AND($S92&lt;&gt;"",EDATE($D92,Milestones!$AA$105)&gt;=$S92),$V92,$U92)))=Milestones!$AB$105),UPPER(TEXT(EDATE($D92,Milestones!$AA$105),"dd mmm yy"))&amp;" "&amp;Milestones!$AB$105&amp;" "&amp;Milestones!$AC$105&amp;";  ","")&amp;IF(AND(EDATE($D92,Milestones!$AA$106)&lt;=AsOfDate,IF($R92=0,$X92,IF(AND($T92&lt;&gt;"",EDATE($D92,Milestones!$AA$106)&gt;=$T92),$W92,IF(AND($S92&lt;&gt;"",EDATE($D92,Milestones!$AA$106)&gt;=$S92),$V92,$U92)))=Milestones!$AB$106),UPPER(TEXT(EDATE($D92,Milestones!$AA$106),"dd mmm yy"))&amp;" "&amp;Milestones!$AB$106&amp;" "&amp;Milestones!$AC$106&amp;";  ","")&amp;IF(AND(EDATE($D92,Milestones!$AA$107)&lt;=AsOfDate,IF($R92=0,$X92,IF(AND($T92&lt;&gt;"",EDATE($D92,Milestones!$AA$107)&gt;=$T92),$W92,IF(AND($S92&lt;&gt;"",EDATE($D92,Milestones!$AA$107)&gt;=$S92),$V92,$U92)))=Milestones!$AB$107),UPPER(TEXT(EDATE($D92,Milestones!$AA$107),"dd mmm yy"))&amp;" "&amp;Milestones!$AB$107&amp;" "&amp;Milestones!$AC$107&amp;";  ","")&amp;IF(AND(EDATE($D92,Milestones!$AA$108)&lt;=AsOfDate,IF($R92=0,$X92,IF(AND($T92&lt;&gt;"",EDATE($D92,Milestones!$AA$108)&gt;=$T92),$W92,IF(AND($S92&lt;&gt;"",EDATE($D92,Milestones!$AA$108)&gt;=$S92),$V92,$U92)))=Milestones!$AB$108),UPPER(TEXT(EDATE($D92,Milestones!$AA$108),"dd mmm yy"))&amp;" "&amp;Milestones!$AB$108&amp;" "&amp;Milestones!$AC$108&amp;";  ","")&amp;IF(AND(EDATE($D92,Milestones!$AA$109)&lt;=AsOfDate,IF($R92=0,$X92,IF(AND($T92&lt;&gt;"",EDATE($D92,Milestones!$AA$109)&gt;=$T92),$W92,IF(AND($S92&lt;&gt;"",EDATE($D92,Milestones!$AA$109)&gt;=$S92),$V92,$U92)))=Milestones!$AB$109),UPPER(TEXT(EDATE($D92,Milestones!$AA$109),"dd mmm yy"))&amp;" "&amp;Milestones!$AB$109&amp;" "&amp;Milestones!$AC$109&amp;";  ","")&amp;IF(AND(EDATE($D92,Milestones!$AA$110)&lt;=AsOfDate,IF($R92=0,$X92,IF(AND($T92&lt;&gt;"",EDATE($D92,Milestones!$AA$110)&gt;=$T92),$W92,IF(AND($S92&lt;&gt;"",EDATE($D92,Milestones!$AA$110)&gt;=$S92),$V92,$U92)))=Milestones!$AB$110),UPPER(TEXT(EDATE($D92,Milestones!$AA$110),"dd mmm yy"))&amp;" "&amp;Milestones!$AB$110&amp;" "&amp;Milestones!$AC$110&amp;";  ","")&amp;IF(AND(EDATE($D92,Milestones!$AA$111)&lt;=AsOfDate,IF($R92=0,$X92,IF(AND($T92&lt;&gt;"",EDATE($D92,Milestones!$AA$111)&gt;=$T92),$W92,IF(AND($S92&lt;&gt;"",EDATE($D92,Milestones!$AA$111)&gt;=$S92),$V92,$U92)))=Milestones!$AB$111),UPPER(TEXT(EDATE($D92,Milestones!$AA$111),"dd mmm yy"))&amp;" "&amp;Milestones!$AB$111&amp;" "&amp;Milestones!$AC$111&amp;";  ","")&amp;IF(AND(EDATE($D92,Milestones!$AA$112)&lt;=AsOfDate,IF($R92=0,$X92,IF(AND($T92&lt;&gt;"",EDATE($D92,Milestones!$AA$112)&gt;=$T92),$W92,IF(AND($S92&lt;&gt;"",EDATE($D92,Milestones!$AA$112)&gt;=$S92),$V92,$U92)))=Milestones!$AB$112),UPPER(TEXT(EDATE($D92,Milestones!$AA$112),"dd mmm yy"))&amp;" "&amp;Milestones!$AB$112&amp;" "&amp;Milestones!$AC$112&amp;";  ","")&amp;IF(AND(EDATE($D92,Milestones!$AA$113)&lt;=AsOfDate,IF($R92=0,$X92,IF(AND($T92&lt;&gt;"",EDATE($D92,Milestones!$AA$113)&gt;=$T92),$W92,IF(AND($S92&lt;&gt;"",EDATE($D92,Milestones!$AA$113)&gt;=$S92),$V92,$U92)))=Milestones!$AB$113),UPPER(TEXT(EDATE($D92,Milestones!$AA$113),"dd mmm yy"))&amp;" "&amp;Milestones!$AB$113&amp;" "&amp;Milestones!$AC$113&amp;";  ","")&amp;IF(AND(EDATE($D92,Milestones!$AA$114)&lt;=AsOfDate,IF($R92=0,$X92,IF(AND($T92&lt;&gt;"",EDATE($D92,Milestones!$AA$114)&gt;=$T92),$W92,IF(AND($S92&lt;&gt;"",EDATE($D92,Milestones!$AA$114)&gt;=$S92),$V92,$U92)))=Milestones!$AB$114),UPPER(TEXT(EDATE($D92,Milestones!$AA$114),"dd mmm yy"))&amp;" "&amp;Milestones!$AB$114&amp;" "&amp;Milestones!$AC$114&amp;";  ","")&amp;IF(AND(EDATE($D92,Milestones!$AA$115)&lt;=AsOfDate,IF($R92=0,$X92,IF(AND($T92&lt;&gt;"",EDATE($D92,Milestones!$AA$115)&gt;=$T92),$W92,IF(AND($S92&lt;&gt;"",EDATE($D92,Milestones!$AA$115)&gt;=$S92),$V92,$U92)))=Milestones!$AB$115),UPPER(TEXT(EDATE($D92,Milestones!$AA$115),"dd mmm yy"))&amp;" "&amp;Milestones!$AB$115&amp;" "&amp;Milestones!$AC$115&amp;";  ","")&amp;IF(AND(EDATE($D92,Milestones!$AA$116)&lt;=AsOfDate,IF($R92=0,$X92,IF(AND($T92&lt;&gt;"",EDATE($D92,Milestones!$AA$116)&gt;=$T92),$W92,IF(AND($S92&lt;&gt;"",EDATE($D92,Milestones!$AA$116)&gt;=$S92),$V92,$U92)))=Milestones!$AB$116),UPPER(TEXT(EDATE($D92,Milestones!$AA$116),"dd mmm yy"))&amp;" "&amp;Milestones!$AB$116&amp;" "&amp;Milestones!$AC$116&amp;";  ","")&amp;IF(AND(EDATE($D92,Milestones!$AA$117)&lt;=AsOfDate,IF($R92=0,$X92,IF(AND($T92&lt;&gt;"",EDATE($D92,Milestones!$AA$117)&gt;=$T92),$W92,IF(AND($S92&lt;&gt;"",EDATE($D92,Milestones!$AA$117)&gt;=$S92),$V92,$U92)))=Milestones!$AB$117),UPPER(TEXT(EDATE($D92,Milestones!$AA$117),"dd mmm yy"))&amp;" "&amp;Milestones!$AB$117&amp;" "&amp;Milestones!$AC$117&amp;";  ","")&amp;IF(AND(EDATE($D92,Milestones!$AA$118)&lt;=AsOfDate,IF($R92=0,$X92,IF(AND($T92&lt;&gt;"",EDATE($D92,Milestones!$AA$118)&gt;=$T92),$W92,IF(AND($S92&lt;&gt;"",EDATE($D92,Milestones!$AA$118)&gt;=$S92),$V92,$U92)))=Milestones!$AB$118),UPPER(TEXT(EDATE($D92,Milestones!$AA$118),"dd mmm yy"))&amp;" "&amp;Milestones!$AB$118&amp;" "&amp;Milestones!$AC$118&amp;";  ","")&amp;IF(AND(EDATE($D92,Milestones!$AA$119)&lt;=AsOfDate,IF($R92=0,$X92,IF(AND($T92&lt;&gt;"",EDATE($D92,Milestones!$AA$119)&gt;=$T92),$W92,IF(AND($S92&lt;&gt;"",EDATE($D92,Milestones!$AA$119)&gt;=$S92),$V92,$U92)))=Milestones!$AB$119),UPPER(TEXT(EDATE($D92,Milestones!$AA$119),"dd mmm yy"))&amp;" "&amp;Milestones!$AB$119&amp;" "&amp;Milestones!$AC$119&amp;";  ",""))</f>
        <v/>
      </c>
      <c r="N92" s="0" t="str">
        <f aca="false">IF(OR($A92="",$D92=""),"",IF(AND(EDATE($D92,Milestones!$AA$120)&lt;=AsOfDate,IF($R92=0,$X92,IF(AND($T92&lt;&gt;"",EDATE($D92,Milestones!$AA$120)&gt;=$T92),$W92,IF(AND($S92&lt;&gt;"",EDATE($D92,Milestones!$AA$120)&gt;=$S92),$V92,$U92)))=Milestones!$AB$120),UPPER(TEXT(EDATE($D92,Milestones!$AA$120),"dd mmm yy"))&amp;" "&amp;Milestones!$AB$120&amp;" "&amp;Milestones!$AC$120&amp;";  ","")&amp;IF(AND(EDATE($D92,Milestones!$AA$121)&lt;=AsOfDate,IF($R92=0,$X92,IF(AND($T92&lt;&gt;"",EDATE($D92,Milestones!$AA$121)&gt;=$T92),$W92,IF(AND($S92&lt;&gt;"",EDATE($D92,Milestones!$AA$121)&gt;=$S92),$V92,$U92)))=Milestones!$AB$121),UPPER(TEXT(EDATE($D92,Milestones!$AA$121),"dd mmm yy"))&amp;" "&amp;Milestones!$AB$121&amp;" "&amp;Milestones!$AC$121&amp;";  ","")&amp;IF(AND(EDATE($D92,Milestones!$AA$122)&lt;=AsOfDate,IF($R92=0,$X92,IF(AND($T92&lt;&gt;"",EDATE($D92,Milestones!$AA$122)&gt;=$T92),$W92,IF(AND($S92&lt;&gt;"",EDATE($D92,Milestones!$AA$122)&gt;=$S92),$V92,$U92)))=Milestones!$AB$122),UPPER(TEXT(EDATE($D92,Milestones!$AA$122),"dd mmm yy"))&amp;" "&amp;Milestones!$AB$122&amp;" "&amp;Milestones!$AC$122&amp;";  ","")&amp;IF(AND(EDATE($D92,Milestones!$AA$123)&lt;=AsOfDate,IF($R92=0,$X92,IF(AND($T92&lt;&gt;"",EDATE($D92,Milestones!$AA$123)&gt;=$T92),$W92,IF(AND($S92&lt;&gt;"",EDATE($D92,Milestones!$AA$123)&gt;=$S92),$V92,$U92)))=Milestones!$AB$123),UPPER(TEXT(EDATE($D92,Milestones!$AA$123),"dd mmm yy"))&amp;" "&amp;Milestones!$AB$123&amp;" "&amp;Milestones!$AC$123&amp;";  ","")&amp;IF(AND(EDATE($D92,Milestones!$AA$124)&lt;=AsOfDate,IF($R92=0,$X92,IF(AND($T92&lt;&gt;"",EDATE($D92,Milestones!$AA$124)&gt;=$T92),$W92,IF(AND($S92&lt;&gt;"",EDATE($D92,Milestones!$AA$124)&gt;=$S92),$V92,$U92)))=Milestones!$AB$124),UPPER(TEXT(EDATE($D92,Milestones!$AA$124),"dd mmm yy"))&amp;" "&amp;Milestones!$AB$124&amp;" "&amp;Milestones!$AC$124&amp;";  ","")&amp;IF(AND(EDATE($D92,Milestones!$AA$125)&lt;=AsOfDate,IF($R92=0,$X92,IF(AND($T92&lt;&gt;"",EDATE($D92,Milestones!$AA$125)&gt;=$T92),$W92,IF(AND($S92&lt;&gt;"",EDATE($D92,Milestones!$AA$125)&gt;=$S92),$V92,$U92)))=Milestones!$AB$125),UPPER(TEXT(EDATE($D92,Milestones!$AA$125),"dd mmm yy"))&amp;" "&amp;Milestones!$AB$125&amp;" "&amp;Milestones!$AC$125&amp;";  ","")&amp;IF(AND(EDATE($D92,Milestones!$AA$126)&lt;=AsOfDate,IF($R92=0,$X92,IF(AND($T92&lt;&gt;"",EDATE($D92,Milestones!$AA$126)&gt;=$T92),$W92,IF(AND($S92&lt;&gt;"",EDATE($D92,Milestones!$AA$126)&gt;=$S92),$V92,$U92)))=Milestones!$AB$126),UPPER(TEXT(EDATE($D92,Milestones!$AA$126),"dd mmm yy"))&amp;" "&amp;Milestones!$AB$126&amp;" "&amp;Milestones!$AC$126&amp;";  ","")&amp;IF(AND(EDATE($D92,Milestones!$AA$127)&lt;=AsOfDate,IF($R92=0,$X92,IF(AND($T92&lt;&gt;"",EDATE($D92,Milestones!$AA$127)&gt;=$T92),$W92,IF(AND($S92&lt;&gt;"",EDATE($D92,Milestones!$AA$127)&gt;=$S92),$V92,$U92)))=Milestones!$AB$127),UPPER(TEXT(EDATE($D92,Milestones!$AA$127),"dd mmm yy"))&amp;" "&amp;Milestones!$AB$127&amp;" "&amp;Milestones!$AC$127&amp;";  ","")&amp;IF(AND(EDATE($D92,Milestones!$AA$128)&lt;=AsOfDate,IF($R92=0,$X92,IF(AND($T92&lt;&gt;"",EDATE($D92,Milestones!$AA$128)&gt;=$T92),$W92,IF(AND($S92&lt;&gt;"",EDATE($D92,Milestones!$AA$128)&gt;=$S92),$V92,$U92)))=Milestones!$AB$128),UPPER(TEXT(EDATE($D92,Milestones!$AA$128),"dd mmm yy"))&amp;" "&amp;Milestones!$AB$128&amp;" "&amp;Milestones!$AC$128&amp;";  ","")&amp;IF(AND(EDATE($D92,Milestones!$AA$129)&lt;=AsOfDate,IF($R92=0,$X92,IF(AND($T92&lt;&gt;"",EDATE($D92,Milestones!$AA$129)&gt;=$T92),$W92,IF(AND($S92&lt;&gt;"",EDATE($D92,Milestones!$AA$129)&gt;=$S92),$V92,$U92)))=Milestones!$AB$129),UPPER(TEXT(EDATE($D92,Milestones!$AA$129),"dd mmm yy"))&amp;" "&amp;Milestones!$AB$129&amp;" "&amp;Milestones!$AC$129&amp;";  ","")&amp;IF(AND(EDATE($D92,Milestones!$AA$130)&lt;=AsOfDate,IF($R92=0,$X92,IF(AND($T92&lt;&gt;"",EDATE($D92,Milestones!$AA$130)&gt;=$T92),$W92,IF(AND($S92&lt;&gt;"",EDATE($D92,Milestones!$AA$130)&gt;=$S92),$V92,$U92)))=Milestones!$AB$130),UPPER(TEXT(EDATE($D92,Milestones!$AA$130),"dd mmm yy"))&amp;" "&amp;Milestones!$AB$130&amp;" "&amp;Milestones!$AC$130&amp;";  ","")&amp;IF(AND(EDATE($D92,Milestones!$AA$131)&lt;=AsOfDate,IF($R92=0,$X92,IF(AND($T92&lt;&gt;"",EDATE($D92,Milestones!$AA$131)&gt;=$T92),$W92,IF(AND($S92&lt;&gt;"",EDATE($D92,Milestones!$AA$131)&gt;=$S92),$V92,$U92)))=Milestones!$AB$131),UPPER(TEXT(EDATE($D92,Milestones!$AA$131),"dd mmm yy"))&amp;" "&amp;Milestones!$AB$131&amp;" "&amp;Milestones!$AC$131&amp;";  ","")&amp;IF(AND(EDATE($D92,Milestones!$AA$132)&lt;=AsOfDate,IF($R92=0,$X92,IF(AND($T92&lt;&gt;"",EDATE($D92,Milestones!$AA$132)&gt;=$T92),$W92,IF(AND($S92&lt;&gt;"",EDATE($D92,Milestones!$AA$132)&gt;=$S92),$V92,$U92)))=Milestones!$AB$132),UPPER(TEXT(EDATE($D92,Milestones!$AA$132),"dd mmm yy"))&amp;" "&amp;Milestones!$AB$132&amp;" "&amp;Milestones!$AC$132&amp;";  ","")&amp;IF(AND(EDATE($D92,Milestones!$AA$133)&lt;=AsOfDate,IF($R92=0,$X92,IF(AND($T92&lt;&gt;"",EDATE($D92,Milestones!$AA$133)&gt;=$T92),$W92,IF(AND($S92&lt;&gt;"",EDATE($D92,Milestones!$AA$133)&gt;=$S92),$V92,$U92)))=Milestones!$AB$133),UPPER(TEXT(EDATE($D92,Milestones!$AA$133),"dd mmm yy"))&amp;" "&amp;Milestones!$AB$133&amp;" "&amp;Milestones!$AC$133&amp;";  ","")&amp;IF(AND(EDATE($D92,Milestones!$AA$134)&lt;=AsOfDate,IF($R92=0,$X92,IF(AND($T92&lt;&gt;"",EDATE($D92,Milestones!$AA$134)&gt;=$T92),$W92,IF(AND($S92&lt;&gt;"",EDATE($D92,Milestones!$AA$134)&gt;=$S92),$V92,$U92)))=Milestones!$AB$134),UPPER(TEXT(EDATE($D92,Milestones!$AA$134),"dd mmm yy"))&amp;" "&amp;Milestones!$AB$134&amp;" "&amp;Milestones!$AC$134&amp;";  ","")&amp;IF(AND(EDATE($D92,Milestones!$AA$135)&lt;=AsOfDate,IF($R92=0,$X92,IF(AND($T92&lt;&gt;"",EDATE($D92,Milestones!$AA$135)&gt;=$T92),$W92,IF(AND($S92&lt;&gt;"",EDATE($D92,Milestones!$AA$135)&gt;=$S92),$V92,$U92)))=Milestones!$AB$135),UPPER(TEXT(EDATE($D92,Milestones!$AA$135),"dd mmm yy"))&amp;" "&amp;Milestones!$AB$135&amp;" "&amp;Milestones!$AC$135&amp;";  ","")&amp;IF(AND(EDATE($D92,Milestones!$AA$136)&lt;=AsOfDate,IF($R92=0,$X92,IF(AND($T92&lt;&gt;"",EDATE($D92,Milestones!$AA$136)&gt;=$T92),$W92,IF(AND($S92&lt;&gt;"",EDATE($D92,Milestones!$AA$136)&gt;=$S92),$V92,$U92)))=Milestones!$AB$136),UPPER(TEXT(EDATE($D92,Milestones!$AA$136),"dd mmm yy"))&amp;" "&amp;Milestones!$AB$136&amp;" "&amp;Milestones!$AC$136&amp;";  ","")&amp;IF(AND(EDATE($D92,Milestones!$AA$137)&lt;=AsOfDate,IF($R92=0,$X92,IF(AND($T92&lt;&gt;"",EDATE($D92,Milestones!$AA$137)&gt;=$T92),$W92,IF(AND($S92&lt;&gt;"",EDATE($D92,Milestones!$AA$137)&gt;=$S92),$V92,$U92)))=Milestones!$AB$137),UPPER(TEXT(EDATE($D92,Milestones!$AA$137),"dd mmm yy"))&amp;" "&amp;Milestones!$AB$137&amp;" "&amp;Milestones!$AC$137&amp;";  ","")&amp;IF(AND(EDATE($D92,Milestones!$AA$138)&lt;=AsOfDate,IF($R92=0,$X92,IF(AND($T92&lt;&gt;"",EDATE($D92,Milestones!$AA$138)&gt;=$T92),$W92,IF(AND($S92&lt;&gt;"",EDATE($D92,Milestones!$AA$138)&gt;=$S92),$V92,$U92)))=Milestones!$AB$138),UPPER(TEXT(EDATE($D92,Milestones!$AA$138),"dd mmm yy"))&amp;" "&amp;Milestones!$AB$138&amp;" "&amp;Milestones!$AC$138&amp;";  ","")&amp;IF(AND(EDATE($D92,Milestones!$AA$139)&lt;=AsOfDate,IF($R92=0,$X92,IF(AND($T92&lt;&gt;"",EDATE($D92,Milestones!$AA$139)&gt;=$T92),$W92,IF(AND($S92&lt;&gt;"",EDATE($D92,Milestones!$AA$139)&gt;=$S92),$V92,$U92)))=Milestones!$AB$139),UPPER(TEXT(EDATE($D92,Milestones!$AA$139),"dd mmm yy"))&amp;" "&amp;Milestones!$AB$139&amp;" "&amp;Milestones!$AC$139&amp;";  ",""))</f>
        <v/>
      </c>
      <c r="O92" s="0" t="str">
        <f aca="false">IF(OR($A92="",$D92=""),"",IF(AND(EDATE($D92,Milestones!$AA$140)&lt;=AsOfDate,IF($R92=0,$X92,IF(AND($T92&lt;&gt;"",EDATE($D92,Milestones!$AA$140)&gt;=$T92),$W92,IF(AND($S92&lt;&gt;"",EDATE($D92,Milestones!$AA$140)&gt;=$S92),$V92,$U92)))=Milestones!$AB$140),UPPER(TEXT(EDATE($D92,Milestones!$AA$140),"dd mmm yy"))&amp;" "&amp;Milestones!$AB$140&amp;" "&amp;Milestones!$AC$140&amp;";  ","")&amp;IF(AND(EDATE($D92,Milestones!$AA$141)&lt;=AsOfDate,IF($R92=0,$X92,IF(AND($T92&lt;&gt;"",EDATE($D92,Milestones!$AA$141)&gt;=$T92),$W92,IF(AND($S92&lt;&gt;"",EDATE($D92,Milestones!$AA$141)&gt;=$S92),$V92,$U92)))=Milestones!$AB$141),UPPER(TEXT(EDATE($D92,Milestones!$AA$141),"dd mmm yy"))&amp;" "&amp;Milestones!$AB$141&amp;" "&amp;Milestones!$AC$141&amp;";  ","")&amp;IF(AND(EDATE($D92,Milestones!$AA$142)&lt;=AsOfDate,IF($R92=0,$X92,IF(AND($T92&lt;&gt;"",EDATE($D92,Milestones!$AA$142)&gt;=$T92),$W92,IF(AND($S92&lt;&gt;"",EDATE($D92,Milestones!$AA$142)&gt;=$S92),$V92,$U92)))=Milestones!$AB$142),UPPER(TEXT(EDATE($D92,Milestones!$AA$142),"dd mmm yy"))&amp;" "&amp;Milestones!$AB$142&amp;" "&amp;Milestones!$AC$142&amp;";  ","")&amp;IF(AND(EDATE($D92,Milestones!$AA$143)&lt;=AsOfDate,IF($R92=0,$X92,IF(AND($T92&lt;&gt;"",EDATE($D92,Milestones!$AA$143)&gt;=$T92),$W92,IF(AND($S92&lt;&gt;"",EDATE($D92,Milestones!$AA$143)&gt;=$S92),$V92,$U92)))=Milestones!$AB$143),UPPER(TEXT(EDATE($D92,Milestones!$AA$143),"dd mmm yy"))&amp;" "&amp;Milestones!$AB$143&amp;" "&amp;Milestones!$AC$143&amp;";  ","")&amp;IF(AND(EDATE($D92,Milestones!$AA$144)&lt;=AsOfDate,IF($R92=0,$X92,IF(AND($T92&lt;&gt;"",EDATE($D92,Milestones!$AA$144)&gt;=$T92),$W92,IF(AND($S92&lt;&gt;"",EDATE($D92,Milestones!$AA$144)&gt;=$S92),$V92,$U92)))=Milestones!$AB$144),UPPER(TEXT(EDATE($D92,Milestones!$AA$144),"dd mmm yy"))&amp;" "&amp;Milestones!$AB$144&amp;" "&amp;Milestones!$AC$144&amp;";  ","")&amp;IF(AND(EDATE($D92,Milestones!$AA$145)&lt;=AsOfDate,IF($R92=0,$X92,IF(AND($T92&lt;&gt;"",EDATE($D92,Milestones!$AA$145)&gt;=$T92),$W92,IF(AND($S92&lt;&gt;"",EDATE($D92,Milestones!$AA$145)&gt;=$S92),$V92,$U92)))=Milestones!$AB$145),UPPER(TEXT(EDATE($D92,Milestones!$AA$145),"dd mmm yy"))&amp;" "&amp;Milestones!$AB$145&amp;" "&amp;Milestones!$AC$145&amp;";  ","")&amp;IF(AND(EDATE($D92,Milestones!$AA$146)&lt;=AsOfDate,IF($R92=0,$X92,IF(AND($T92&lt;&gt;"",EDATE($D92,Milestones!$AA$146)&gt;=$T92),$W92,IF(AND($S92&lt;&gt;"",EDATE($D92,Milestones!$AA$146)&gt;=$S92),$V92,$U92)))=Milestones!$AB$146),UPPER(TEXT(EDATE($D92,Milestones!$AA$146),"dd mmm yy"))&amp;" "&amp;Milestones!$AB$146&amp;" "&amp;Milestones!$AC$146&amp;";  ","")&amp;IF(AND(EDATE($D92,Milestones!$AA$147)&lt;=AsOfDate,IF($R92=0,$X92,IF(AND($T92&lt;&gt;"",EDATE($D92,Milestones!$AA$147)&gt;=$T92),$W92,IF(AND($S92&lt;&gt;"",EDATE($D92,Milestones!$AA$147)&gt;=$S92),$V92,$U92)))=Milestones!$AB$147),UPPER(TEXT(EDATE($D92,Milestones!$AA$147),"dd mmm yy"))&amp;" "&amp;Milestones!$AB$147&amp;" "&amp;Milestones!$AC$147&amp;";  ","")&amp;IF(AND(EDATE($D92,Milestones!$AA$148)&lt;=AsOfDate,IF($R92=0,$X92,IF(AND($T92&lt;&gt;"",EDATE($D92,Milestones!$AA$148)&gt;=$T92),$W92,IF(AND($S92&lt;&gt;"",EDATE($D92,Milestones!$AA$148)&gt;=$S92),$V92,$U92)))=Milestones!$AB$148),UPPER(TEXT(EDATE($D92,Milestones!$AA$148),"dd mmm yy"))&amp;" "&amp;Milestones!$AB$148&amp;" "&amp;Milestones!$AC$148&amp;";  ","")&amp;IF(AND(EDATE($D92,Milestones!$AA$149)&lt;=AsOfDate,IF($R92=0,$X92,IF(AND($T92&lt;&gt;"",EDATE($D92,Milestones!$AA$149)&gt;=$T92),$W92,IF(AND($S92&lt;&gt;"",EDATE($D92,Milestones!$AA$149)&gt;=$S92),$V92,$U92)))=Milestones!$AB$149),UPPER(TEXT(EDATE($D92,Milestones!$AA$149),"dd mmm yy"))&amp;" "&amp;Milestones!$AB$149&amp;" "&amp;Milestones!$AC$149&amp;";  ","")&amp;IF(AND(EDATE($D92,Milestones!$AA$150)&lt;=AsOfDate,IF($R92=0,$X92,IF(AND($T92&lt;&gt;"",EDATE($D92,Milestones!$AA$150)&gt;=$T92),$W92,IF(AND($S92&lt;&gt;"",EDATE($D92,Milestones!$AA$150)&gt;=$S92),$V92,$U92)))=Milestones!$AB$150),UPPER(TEXT(EDATE($D92,Milestones!$AA$150),"dd mmm yy"))&amp;" "&amp;Milestones!$AB$150&amp;" "&amp;Milestones!$AC$150&amp;";  ","")&amp;IF(AND(EDATE($D92,Milestones!$AA$151)&lt;=AsOfDate,IF($R92=0,$X92,IF(AND($T92&lt;&gt;"",EDATE($D92,Milestones!$AA$151)&gt;=$T92),$W92,IF(AND($S92&lt;&gt;"",EDATE($D92,Milestones!$AA$151)&gt;=$S92),$V92,$U92)))=Milestones!$AB$151),UPPER(TEXT(EDATE($D92,Milestones!$AA$151),"dd mmm yy"))&amp;" "&amp;Milestones!$AB$151&amp;" "&amp;Milestones!$AC$151&amp;";  ","")&amp;IF(AND(EDATE($D92,Milestones!$AA$152)&lt;=AsOfDate,IF($R92=0,$X92,IF(AND($T92&lt;&gt;"",EDATE($D92,Milestones!$AA$152)&gt;=$T92),$W92,IF(AND($S92&lt;&gt;"",EDATE($D92,Milestones!$AA$152)&gt;=$S92),$V92,$U92)))=Milestones!$AB$152),UPPER(TEXT(EDATE($D92,Milestones!$AA$152),"dd mmm yy"))&amp;" "&amp;Milestones!$AB$152&amp;" "&amp;Milestones!$AC$152&amp;";  ","")&amp;IF(AND(EDATE($D92,Milestones!$AA$153)&lt;=AsOfDate,IF($R92=0,$X92,IF(AND($T92&lt;&gt;"",EDATE($D92,Milestones!$AA$153)&gt;=$T92),$W92,IF(AND($S92&lt;&gt;"",EDATE($D92,Milestones!$AA$153)&gt;=$S92),$V92,$U92)))=Milestones!$AB$153),UPPER(TEXT(EDATE($D92,Milestones!$AA$153),"dd mmm yy"))&amp;" "&amp;Milestones!$AB$153&amp;" "&amp;Milestones!$AC$153&amp;";  ","")&amp;IF(AND(EDATE($D92,Milestones!$AA$154)&lt;=AsOfDate,IF($R92=0,$X92,IF(AND($T92&lt;&gt;"",EDATE($D92,Milestones!$AA$154)&gt;=$T92),$W92,IF(AND($S92&lt;&gt;"",EDATE($D92,Milestones!$AA$154)&gt;=$S92),$V92,$U92)))=Milestones!$AB$154),UPPER(TEXT(EDATE($D92,Milestones!$AA$154),"dd mmm yy"))&amp;" "&amp;Milestones!$AB$154&amp;" "&amp;Milestones!$AC$154&amp;";  ","")&amp;IF(AND(EDATE($D92,Milestones!$AA$155)&lt;=AsOfDate,IF($R92=0,$X92,IF(AND($T92&lt;&gt;"",EDATE($D92,Milestones!$AA$155)&gt;=$T92),$W92,IF(AND($S92&lt;&gt;"",EDATE($D92,Milestones!$AA$155)&gt;=$S92),$V92,$U92)))=Milestones!$AB$155),UPPER(TEXT(EDATE($D92,Milestones!$AA$155),"dd mmm yy"))&amp;" "&amp;Milestones!$AB$155&amp;" "&amp;Milestones!$AC$155&amp;";  ","")&amp;IF(AND(EDATE($D92,Milestones!$AA$156)&lt;=AsOfDate,IF($R92=0,$X92,IF(AND($T92&lt;&gt;"",EDATE($D92,Milestones!$AA$156)&gt;=$T92),$W92,IF(AND($S92&lt;&gt;"",EDATE($D92,Milestones!$AA$156)&gt;=$S92),$V92,$U92)))=Milestones!$AB$156),UPPER(TEXT(EDATE($D92,Milestones!$AA$156),"dd mmm yy"))&amp;" "&amp;Milestones!$AB$156&amp;" "&amp;Milestones!$AC$156&amp;";  ","")&amp;IF(AND(EDATE($D92,Milestones!$AA$157)&lt;=AsOfDate,IF($R92=0,$X92,IF(AND($T92&lt;&gt;"",EDATE($D92,Milestones!$AA$157)&gt;=$T92),$W92,IF(AND($S92&lt;&gt;"",EDATE($D92,Milestones!$AA$157)&gt;=$S92),$V92,$U92)))=Milestones!$AB$157),UPPER(TEXT(EDATE($D92,Milestones!$AA$157),"dd mmm yy"))&amp;" "&amp;Milestones!$AB$157&amp;" "&amp;Milestones!$AC$157&amp;";  ","")&amp;IF(AND(EDATE($D92,Milestones!$AA$158)&lt;=AsOfDate,IF($R92=0,$X92,IF(AND($T92&lt;&gt;"",EDATE($D92,Milestones!$AA$158)&gt;=$T92),$W92,IF(AND($S92&lt;&gt;"",EDATE($D92,Milestones!$AA$158)&gt;=$S92),$V92,$U92)))=Milestones!$AB$158),UPPER(TEXT(EDATE($D92,Milestones!$AA$158),"dd mmm yy"))&amp;" "&amp;Milestones!$AB$158&amp;" "&amp;Milestones!$AC$158&amp;";  ","")&amp;IF(AND(EDATE($D92,Milestones!$AA$159)&lt;=AsOfDate,IF($R92=0,$X92,IF(AND($T92&lt;&gt;"",EDATE($D92,Milestones!$AA$159)&gt;=$T92),$W92,IF(AND($S92&lt;&gt;"",EDATE($D92,Milestones!$AA$159)&gt;=$S92),$V92,$U92)))=Milestones!$AB$159),UPPER(TEXT(EDATE($D92,Milestones!$AA$159),"dd mmm yy"))&amp;" "&amp;Milestones!$AB$159&amp;" "&amp;Milestones!$AC$159&amp;";  ",""))</f>
        <v/>
      </c>
      <c r="P92" s="0" t="str">
        <f aca="false">IF(OR($A92="",$D92=""),"",IF(AND(EDATE($D92,Milestones!$AA$160)&lt;=AsOfDate,IF($R92=0,$X92,IF(AND($T92&lt;&gt;"",EDATE($D92,Milestones!$AA$160)&gt;=$T92),$W92,IF(AND($S92&lt;&gt;"",EDATE($D92,Milestones!$AA$160)&gt;=$S92),$V92,$U92)))=Milestones!$AB$160),UPPER(TEXT(EDATE($D92,Milestones!$AA$160),"dd mmm yy"))&amp;" "&amp;Milestones!$AB$160&amp;" "&amp;Milestones!$AC$160&amp;";  ","")&amp;IF(AND(EDATE($D92,Milestones!$AA$161)&lt;=AsOfDate,IF($R92=0,$X92,IF(AND($T92&lt;&gt;"",EDATE($D92,Milestones!$AA$161)&gt;=$T92),$W92,IF(AND($S92&lt;&gt;"",EDATE($D92,Milestones!$AA$161)&gt;=$S92),$V92,$U92)))=Milestones!$AB$161),UPPER(TEXT(EDATE($D92,Milestones!$AA$161),"dd mmm yy"))&amp;" "&amp;Milestones!$AB$161&amp;" "&amp;Milestones!$AC$161&amp;";  ","")&amp;IF(AND(EDATE($D92,Milestones!$AA$162)&lt;=AsOfDate,IF($R92=0,$X92,IF(AND($T92&lt;&gt;"",EDATE($D92,Milestones!$AA$162)&gt;=$T92),$W92,IF(AND($S92&lt;&gt;"",EDATE($D92,Milestones!$AA$162)&gt;=$S92),$V92,$U92)))=Milestones!$AB$162),UPPER(TEXT(EDATE($D92,Milestones!$AA$162),"dd mmm yy"))&amp;" "&amp;Milestones!$AB$162&amp;" "&amp;Milestones!$AC$162&amp;";  ","")&amp;IF(AND(EDATE($D92,Milestones!$AA$163)&lt;=AsOfDate,IF($R92=0,$X92,IF(AND($T92&lt;&gt;"",EDATE($D92,Milestones!$AA$163)&gt;=$T92),$W92,IF(AND($S92&lt;&gt;"",EDATE($D92,Milestones!$AA$163)&gt;=$S92),$V92,$U92)))=Milestones!$AB$163),UPPER(TEXT(EDATE($D92,Milestones!$AA$163),"dd mmm yy"))&amp;" "&amp;Milestones!$AB$163&amp;" "&amp;Milestones!$AC$163&amp;";  ","")&amp;IF(AND(EDATE($D92,Milestones!$AA$164)&lt;=AsOfDate,IF($R92=0,$X92,IF(AND($T92&lt;&gt;"",EDATE($D92,Milestones!$AA$164)&gt;=$T92),$W92,IF(AND($S92&lt;&gt;"",EDATE($D92,Milestones!$AA$164)&gt;=$S92),$V92,$U92)))=Milestones!$AB$164),UPPER(TEXT(EDATE($D92,Milestones!$AA$164),"dd mmm yy"))&amp;" "&amp;Milestones!$AB$164&amp;" "&amp;Milestones!$AC$164&amp;";  ","")&amp;IF(AND(EDATE($D92,Milestones!$AA$165)&lt;=AsOfDate,IF($R92=0,$X92,IF(AND($T92&lt;&gt;"",EDATE($D92,Milestones!$AA$165)&gt;=$T92),$W92,IF(AND($S92&lt;&gt;"",EDATE($D92,Milestones!$AA$165)&gt;=$S92),$V92,$U92)))=Milestones!$AB$165),UPPER(TEXT(EDATE($D92,Milestones!$AA$165),"dd mmm yy"))&amp;" "&amp;Milestones!$AB$165&amp;" "&amp;Milestones!$AC$165&amp;";  ","")&amp;IF(AND(EDATE($D92,Milestones!$AA$166)&lt;=AsOfDate,IF($R92=0,$X92,IF(AND($T92&lt;&gt;"",EDATE($D92,Milestones!$AA$166)&gt;=$T92),$W92,IF(AND($S92&lt;&gt;"",EDATE($D92,Milestones!$AA$166)&gt;=$S92),$V92,$U92)))=Milestones!$AB$166),UPPER(TEXT(EDATE($D92,Milestones!$AA$166),"dd mmm yy"))&amp;" "&amp;Milestones!$AB$166&amp;" "&amp;Milestones!$AC$166&amp;";  ","")&amp;IF(AND(EDATE($D92,Milestones!$AA$167)&lt;=AsOfDate,IF($R92=0,$X92,IF(AND($T92&lt;&gt;"",EDATE($D92,Milestones!$AA$167)&gt;=$T92),$W92,IF(AND($S92&lt;&gt;"",EDATE($D92,Milestones!$AA$167)&gt;=$S92),$V92,$U92)))=Milestones!$AB$167),UPPER(TEXT(EDATE($D92,Milestones!$AA$167),"dd mmm yy"))&amp;" "&amp;Milestones!$AB$167&amp;" "&amp;Milestones!$AC$167&amp;";  ","")&amp;IF(AND(EDATE($D92,Milestones!$AA$168)&lt;=AsOfDate,IF($R92=0,$X92,IF(AND($T92&lt;&gt;"",EDATE($D92,Milestones!$AA$168)&gt;=$T92),$W92,IF(AND($S92&lt;&gt;"",EDATE($D92,Milestones!$AA$168)&gt;=$S92),$V92,$U92)))=Milestones!$AB$168),UPPER(TEXT(EDATE($D92,Milestones!$AA$168),"dd mmm yy"))&amp;" "&amp;Milestones!$AB$168&amp;" "&amp;Milestones!$AC$168&amp;";  ","")&amp;IF(AND(EDATE($D92,Milestones!$AA$169)&lt;=AsOfDate,IF($R92=0,$X92,IF(AND($T92&lt;&gt;"",EDATE($D92,Milestones!$AA$169)&gt;=$T92),$W92,IF(AND($S92&lt;&gt;"",EDATE($D92,Milestones!$AA$169)&gt;=$S92),$V92,$U92)))=Milestones!$AB$169),UPPER(TEXT(EDATE($D92,Milestones!$AA$169),"dd mmm yy"))&amp;" "&amp;Milestones!$AB$169&amp;" "&amp;Milestones!$AC$169&amp;";  ","")&amp;IF(AND(EDATE($D92,Milestones!$AA$170)&lt;=AsOfDate,IF($R92=0,$X92,IF(AND($T92&lt;&gt;"",EDATE($D92,Milestones!$AA$170)&gt;=$T92),$W92,IF(AND($S92&lt;&gt;"",EDATE($D92,Milestones!$AA$170)&gt;=$S92),$V92,$U92)))=Milestones!$AB$170),UPPER(TEXT(EDATE($D92,Milestones!$AA$170),"dd mmm yy"))&amp;" "&amp;Milestones!$AB$170&amp;" "&amp;Milestones!$AC$170&amp;";  ","")&amp;IF(AND(EDATE($D92,Milestones!$AA$171)&lt;=AsOfDate,IF($R92=0,$X92,IF(AND($T92&lt;&gt;"",EDATE($D92,Milestones!$AA$171)&gt;=$T92),$W92,IF(AND($S92&lt;&gt;"",EDATE($D92,Milestones!$AA$171)&gt;=$S92),$V92,$U92)))=Milestones!$AB$171),UPPER(TEXT(EDATE($D92,Milestones!$AA$171),"dd mmm yy"))&amp;" "&amp;Milestones!$AB$171&amp;" "&amp;Milestones!$AC$171&amp;";  ","")&amp;IF(AND(EDATE($D92,Milestones!$AA$172)&lt;=AsOfDate,IF($R92=0,$X92,IF(AND($T92&lt;&gt;"",EDATE($D92,Milestones!$AA$172)&gt;=$T92),$W92,IF(AND($S92&lt;&gt;"",EDATE($D92,Milestones!$AA$172)&gt;=$S92),$V92,$U92)))=Milestones!$AB$172),UPPER(TEXT(EDATE($D92,Milestones!$AA$172),"dd mmm yy"))&amp;" "&amp;Milestones!$AB$172&amp;" "&amp;Milestones!$AC$172&amp;";  ","")&amp;IF(AND(EDATE($D92,Milestones!$AA$173)&lt;=AsOfDate,IF($R92=0,$X92,IF(AND($T92&lt;&gt;"",EDATE($D92,Milestones!$AA$173)&gt;=$T92),$W92,IF(AND($S92&lt;&gt;"",EDATE($D92,Milestones!$AA$173)&gt;=$S92),$V92,$U92)))=Milestones!$AB$173),UPPER(TEXT(EDATE($D92,Milestones!$AA$173),"dd mmm yy"))&amp;" "&amp;Milestones!$AB$173&amp;" "&amp;Milestones!$AC$173&amp;";  ","")&amp;IF(AND(EDATE($D92,Milestones!$AA$174)&lt;=AsOfDate,IF($R92=0,$X92,IF(AND($T92&lt;&gt;"",EDATE($D92,Milestones!$AA$174)&gt;=$T92),$W92,IF(AND($S92&lt;&gt;"",EDATE($D92,Milestones!$AA$174)&gt;=$S92),$V92,$U92)))=Milestones!$AB$174),UPPER(TEXT(EDATE($D92,Milestones!$AA$174),"dd mmm yy"))&amp;" "&amp;Milestones!$AB$174&amp;" "&amp;Milestones!$AC$174&amp;";  ","")&amp;IF(AND(EDATE($D92,Milestones!$AA$175)&lt;=AsOfDate,IF($R92=0,$X92,IF(AND($T92&lt;&gt;"",EDATE($D92,Milestones!$AA$175)&gt;=$T92),$W92,IF(AND($S92&lt;&gt;"",EDATE($D92,Milestones!$AA$175)&gt;=$S92),$V92,$U92)))=Milestones!$AB$175),UPPER(TEXT(EDATE($D92,Milestones!$AA$175),"dd mmm yy"))&amp;" "&amp;Milestones!$AB$175&amp;" "&amp;Milestones!$AC$175&amp;";  ","")&amp;IF(AND(EDATE($D92,Milestones!$AA$176)&lt;=AsOfDate,IF($R92=0,$X92,IF(AND($T92&lt;&gt;"",EDATE($D92,Milestones!$AA$176)&gt;=$T92),$W92,IF(AND($S92&lt;&gt;"",EDATE($D92,Milestones!$AA$176)&gt;=$S92),$V92,$U92)))=Milestones!$AB$176),UPPER(TEXT(EDATE($D92,Milestones!$AA$176),"dd mmm yy"))&amp;" "&amp;Milestones!$AB$176&amp;" "&amp;Milestones!$AC$176&amp;";  ","")&amp;IF(AND(EDATE($D92,Milestones!$AA$177)&lt;=AsOfDate,IF($R92=0,$X92,IF(AND($T92&lt;&gt;"",EDATE($D92,Milestones!$AA$177)&gt;=$T92),$W92,IF(AND($S92&lt;&gt;"",EDATE($D92,Milestones!$AA$177)&gt;=$S92),$V92,$U92)))=Milestones!$AB$177),UPPER(TEXT(EDATE($D92,Milestones!$AA$177),"dd mmm yy"))&amp;" "&amp;Milestones!$AB$177&amp;" "&amp;Milestones!$AC$177&amp;";  ","")&amp;IF(AND(EDATE($D92,Milestones!$AA$178)&lt;=AsOfDate,IF($R92=0,$X92,IF(AND($T92&lt;&gt;"",EDATE($D92,Milestones!$AA$178)&gt;=$T92),$W92,IF(AND($S92&lt;&gt;"",EDATE($D92,Milestones!$AA$178)&gt;=$S92),$V92,$U92)))=Milestones!$AB$178),UPPER(TEXT(EDATE($D92,Milestones!$AA$178),"dd mmm yy"))&amp;" "&amp;Milestones!$AB$178&amp;" "&amp;Milestones!$AC$178&amp;";  ","")&amp;IF(AND(EDATE($D92,Milestones!$AA$179)&lt;=AsOfDate,IF($R92=0,$X92,IF(AND($T92&lt;&gt;"",EDATE($D92,Milestones!$AA$179)&gt;=$T92),$W92,IF(AND($S92&lt;&gt;"",EDATE($D92,Milestones!$AA$179)&gt;=$S92),$V92,$U92)))=Milestones!$AB$179),UPPER(TEXT(EDATE($D92,Milestones!$AA$179),"dd mmm yy"))&amp;" "&amp;Milestones!$AB$179&amp;" "&amp;Milestones!$AC$179&amp;";  ",""))</f>
        <v/>
      </c>
      <c r="Q92" s="0" t="str">
        <f aca="false">IF(OR($A92="",$D92=""),"",IF(AND(EDATE($D92,Milestones!$AA$180)&lt;=AsOfDate,IF($R92=0,$X92,IF(AND($T92&lt;&gt;"",EDATE($D92,Milestones!$AA$180)&gt;=$T92),$W92,IF(AND($S92&lt;&gt;"",EDATE($D92,Milestones!$AA$180)&gt;=$S92),$V92,$U92)))=Milestones!$AB$180),UPPER(TEXT(EDATE($D92,Milestones!$AA$180),"dd mmm yy"))&amp;" "&amp;Milestones!$AB$180&amp;" "&amp;Milestones!$AC$180&amp;";  ","")&amp;IF(AND(EDATE($D92,Milestones!$AA$181)&lt;=AsOfDate,IF($R92=0,$X92,IF(AND($T92&lt;&gt;"",EDATE($D92,Milestones!$AA$181)&gt;=$T92),$W92,IF(AND($S92&lt;&gt;"",EDATE($D92,Milestones!$AA$181)&gt;=$S92),$V92,$U92)))=Milestones!$AB$181),UPPER(TEXT(EDATE($D92,Milestones!$AA$181),"dd mmm yy"))&amp;" "&amp;Milestones!$AB$181&amp;" "&amp;Milestones!$AC$181&amp;";  ","")&amp;IF(AND(EDATE($D92,Milestones!$AA$182)&lt;=AsOfDate,IF($R92=0,$X92,IF(AND($T92&lt;&gt;"",EDATE($D92,Milestones!$AA$182)&gt;=$T92),$W92,IF(AND($S92&lt;&gt;"",EDATE($D92,Milestones!$AA$182)&gt;=$S92),$V92,$U92)))=Milestones!$AB$182),UPPER(TEXT(EDATE($D92,Milestones!$AA$182),"dd mmm yy"))&amp;" "&amp;Milestones!$AB$182&amp;" "&amp;Milestones!$AC$182&amp;";  ","")&amp;IF(AND(EDATE($D92,Milestones!$AA$183)&lt;=AsOfDate,IF($R92=0,$X92,IF(AND($T92&lt;&gt;"",EDATE($D92,Milestones!$AA$183)&gt;=$T92),$W92,IF(AND($S92&lt;&gt;"",EDATE($D92,Milestones!$AA$183)&gt;=$S92),$V92,$U92)))=Milestones!$AB$183),UPPER(TEXT(EDATE($D92,Milestones!$AA$183),"dd mmm yy"))&amp;" "&amp;Milestones!$AB$183&amp;" "&amp;Milestones!$AC$183&amp;";  ","")&amp;IF(AND(EDATE($D92,Milestones!$AA$184)&lt;=AsOfDate,IF($R92=0,$X92,IF(AND($T92&lt;&gt;"",EDATE($D92,Milestones!$AA$184)&gt;=$T92),$W92,IF(AND($S92&lt;&gt;"",EDATE($D92,Milestones!$AA$184)&gt;=$S92),$V92,$U92)))=Milestones!$AB$184),UPPER(TEXT(EDATE($D92,Milestones!$AA$184),"dd mmm yy"))&amp;" "&amp;Milestones!$AB$184&amp;" "&amp;Milestones!$AC$184&amp;";  ","")&amp;IF(AND(EDATE($D92,Milestones!$AA$185)&lt;=AsOfDate,IF($R92=0,$X92,IF(AND($T92&lt;&gt;"",EDATE($D92,Milestones!$AA$185)&gt;=$T92),$W92,IF(AND($S92&lt;&gt;"",EDATE($D92,Milestones!$AA$185)&gt;=$S92),$V92,$U92)))=Milestones!$AB$185),UPPER(TEXT(EDATE($D92,Milestones!$AA$185),"dd mmm yy"))&amp;" "&amp;Milestones!$AB$185&amp;" "&amp;Milestones!$AC$185&amp;";  ","")&amp;IF(AND(EDATE($D92,Milestones!$AA$186)&lt;=AsOfDate,IF($R92=0,$X92,IF(AND($T92&lt;&gt;"",EDATE($D92,Milestones!$AA$186)&gt;=$T92),$W92,IF(AND($S92&lt;&gt;"",EDATE($D92,Milestones!$AA$186)&gt;=$S92),$V92,$U92)))=Milestones!$AB$186),UPPER(TEXT(EDATE($D92,Milestones!$AA$186),"dd mmm yy"))&amp;" "&amp;Milestones!$AB$186&amp;" "&amp;Milestones!$AC$186&amp;";  ","")&amp;IF(AND(EDATE($D92,Milestones!$AA$187)&lt;=AsOfDate,IF($R92=0,$X92,IF(AND($T92&lt;&gt;"",EDATE($D92,Milestones!$AA$187)&gt;=$T92),$W92,IF(AND($S92&lt;&gt;"",EDATE($D92,Milestones!$AA$187)&gt;=$S92),$V92,$U92)))=Milestones!$AB$187),UPPER(TEXT(EDATE($D92,Milestones!$AA$187),"dd mmm yy"))&amp;" "&amp;Milestones!$AB$187&amp;" "&amp;Milestones!$AC$187&amp;";  ","")&amp;IF(AND(EDATE($D92,Milestones!$AA$188)&lt;=AsOfDate,IF($R92=0,$X92,IF(AND($T92&lt;&gt;"",EDATE($D92,Milestones!$AA$188)&gt;=$T92),$W92,IF(AND($S92&lt;&gt;"",EDATE($D92,Milestones!$AA$188)&gt;=$S92),$V92,$U92)))=Milestones!$AB$188),UPPER(TEXT(EDATE($D92,Milestones!$AA$188),"dd mmm yy"))&amp;" "&amp;Milestones!$AB$188&amp;" "&amp;Milestones!$AC$188&amp;";  ","")&amp;IF(AND(EDATE($D92,Milestones!$AA$189)&lt;=AsOfDate,IF($R92=0,$X92,IF(AND($T92&lt;&gt;"",EDATE($D92,Milestones!$AA$189)&gt;=$T92),$W92,IF(AND($S92&lt;&gt;"",EDATE($D92,Milestones!$AA$189)&gt;=$S92),$V92,$U92)))=Milestones!$AB$189),UPPER(TEXT(EDATE($D92,Milestones!$AA$189),"dd mmm yy"))&amp;" "&amp;Milestones!$AB$189&amp;" "&amp;Milestones!$AC$189&amp;";  ","")&amp;IF(AND(EDATE($D92,Milestones!$AA$190)&lt;=AsOfDate,IF($R92=0,$X92,IF(AND($T92&lt;&gt;"",EDATE($D92,Milestones!$AA$190)&gt;=$T92),$W92,IF(AND($S92&lt;&gt;"",EDATE($D92,Milestones!$AA$190)&gt;=$S92),$V92,$U92)))=Milestones!$AB$190),UPPER(TEXT(EDATE($D92,Milestones!$AA$190),"dd mmm yy"))&amp;" "&amp;Milestones!$AB$190&amp;" "&amp;Milestones!$AC$190&amp;";  ","")&amp;IF(AND(EDATE($D92,Milestones!$AA$191)&lt;=AsOfDate,IF($R92=0,$X92,IF(AND($T92&lt;&gt;"",EDATE($D92,Milestones!$AA$191)&gt;=$T92),$W92,IF(AND($S92&lt;&gt;"",EDATE($D92,Milestones!$AA$191)&gt;=$S92),$V92,$U92)))=Milestones!$AB$191),UPPER(TEXT(EDATE($D92,Milestones!$AA$191),"dd mmm yy"))&amp;" "&amp;Milestones!$AB$191&amp;" "&amp;Milestones!$AC$191&amp;";  ","")&amp;IF(AND(EDATE($D92,Milestones!$AA$192)&lt;=AsOfDate,IF($R92=0,$X92,IF(AND($T92&lt;&gt;"",EDATE($D92,Milestones!$AA$192)&gt;=$T92),$W92,IF(AND($S92&lt;&gt;"",EDATE($D92,Milestones!$AA$192)&gt;=$S92),$V92,$U92)))=Milestones!$AB$192),UPPER(TEXT(EDATE($D92,Milestones!$AA$192),"dd mmm yy"))&amp;" "&amp;Milestones!$AB$192&amp;" "&amp;Milestones!$AC$192&amp;";  ","")&amp;IF(AND(EDATE($D92,Milestones!$AA$193)&lt;=AsOfDate,IF($R92=0,$X92,IF(AND($T92&lt;&gt;"",EDATE($D92,Milestones!$AA$193)&gt;=$T92),$W92,IF(AND($S92&lt;&gt;"",EDATE($D92,Milestones!$AA$193)&gt;=$S92),$V92,$U92)))=Milestones!$AB$193),UPPER(TEXT(EDATE($D92,Milestones!$AA$193),"dd mmm yy"))&amp;" "&amp;Milestones!$AB$193&amp;" "&amp;Milestones!$AC$193&amp;";  ","")&amp;IF(AND(EDATE($D92,Milestones!$AA$194)&lt;=AsOfDate,IF($R92=0,$X92,IF(AND($T92&lt;&gt;"",EDATE($D92,Milestones!$AA$194)&gt;=$T92),$W92,IF(AND($S92&lt;&gt;"",EDATE($D92,Milestones!$AA$194)&gt;=$S92),$V92,$U92)))=Milestones!$AB$194),UPPER(TEXT(EDATE($D92,Milestones!$AA$194),"dd mmm yy"))&amp;" "&amp;Milestones!$AB$194&amp;" "&amp;Milestones!$AC$194&amp;";  ","")&amp;IF(AND(EDATE($D92,Milestones!$AA$195)&lt;=AsOfDate,IF($R92=0,$X92,IF(AND($T92&lt;&gt;"",EDATE($D92,Milestones!$AA$195)&gt;=$T92),$W92,IF(AND($S92&lt;&gt;"",EDATE($D92,Milestones!$AA$195)&gt;=$S92),$V92,$U92)))=Milestones!$AB$195),UPPER(TEXT(EDATE($D92,Milestones!$AA$195),"dd mmm yy"))&amp;" "&amp;Milestones!$AB$195&amp;" "&amp;Milestones!$AC$195&amp;";  ","")&amp;IF(AND(EDATE($D92,Milestones!$AA$196)&lt;=AsOfDate,IF($R92=0,$X92,IF(AND($T92&lt;&gt;"",EDATE($D92,Milestones!$AA$196)&gt;=$T92),$W92,IF(AND($S92&lt;&gt;"",EDATE($D92,Milestones!$AA$196)&gt;=$S92),$V92,$U92)))=Milestones!$AB$196),UPPER(TEXT(EDATE($D92,Milestones!$AA$196),"dd mmm yy"))&amp;" "&amp;Milestones!$AB$196&amp;" "&amp;Milestones!$AC$196&amp;";  ","")&amp;IF(AND(EDATE($D92,Milestones!$AA$197)&lt;=AsOfDate,IF($R92=0,$X92,IF(AND($T92&lt;&gt;"",EDATE($D92,Milestones!$AA$197)&gt;=$T92),$W92,IF(AND($S92&lt;&gt;"",EDATE($D92,Milestones!$AA$197)&gt;=$S92),$V92,$U92)))=Milestones!$AB$197),UPPER(TEXT(EDATE($D92,Milestones!$AA$197),"dd mmm yy"))&amp;" "&amp;Milestones!$AB$197&amp;" "&amp;Milestones!$AC$197&amp;";  ","")&amp;IF(AND(EDATE($D92,Milestones!$AA$198)&lt;=AsOfDate,IF($R92=0,$X92,IF(AND($T92&lt;&gt;"",EDATE($D92,Milestones!$AA$198)&gt;=$T92),$W92,IF(AND($S92&lt;&gt;"",EDATE($D92,Milestones!$AA$198)&gt;=$S92),$V92,$U92)))=Milestones!$AB$198),UPPER(TEXT(EDATE($D92,Milestones!$AA$198),"dd mmm yy"))&amp;" "&amp;Milestones!$AB$198&amp;" "&amp;Milestones!$AC$198&amp;";  ","")&amp;IF(AND(EDATE($D92,Milestones!$AA$199)&lt;=AsOfDate,IF($R92=0,$X92,IF(AND($T92&lt;&gt;"",EDATE($D92,Milestones!$AA$199)&gt;=$T92),$W92,IF(AND($S92&lt;&gt;"",EDATE($D92,Milestones!$AA$199)&gt;=$S92),$V92,$U92)))=Milestones!$AB$199),UPPER(TEXT(EDATE($D92,Milestones!$AA$199),"dd mmm yy"))&amp;" "&amp;Milestones!$AB$199&amp;" "&amp;Milestones!$AC$199&amp;";  ",""))</f>
        <v/>
      </c>
      <c r="R92" s="0" t="str">
        <f aca="false">IF(Staff!$A92="","",Staff!$AI92)</f>
        <v/>
      </c>
      <c r="S92" s="0" t="str">
        <f aca="false">IF(Staff!$A92="","",Staff!$AK92)</f>
        <v/>
      </c>
      <c r="T92" s="0" t="str">
        <f aca="false">IF(Staff!$A92="","",Staff!$AL92)</f>
        <v/>
      </c>
      <c r="U92" s="0" t="str">
        <f aca="false">IF(Staff!$A92="","",Staff!$AP92)</f>
        <v/>
      </c>
      <c r="V92" s="0" t="str">
        <f aca="false">IF(Staff!$A92="","",Staff!$AQ92)</f>
        <v/>
      </c>
      <c r="W92" s="0" t="str">
        <f aca="false">IF(Staff!$A92="","",Staff!$AR92)</f>
        <v/>
      </c>
      <c r="X92" s="0" t="str">
        <f aca="false">IF(Staff!$A92="","",Staff!$AS92)</f>
        <v/>
      </c>
    </row>
    <row r="93" customFormat="false" ht="15" hidden="false" customHeight="false" outlineLevel="0" collapsed="false">
      <c r="A93" s="19" t="str">
        <f aca="false">IF(Staff!$A93="","",Staff!$A93)</f>
        <v/>
      </c>
      <c r="B93" s="19" t="str">
        <f aca="false">IF(Staff!$A93="","",Staff!$B93)</f>
        <v/>
      </c>
      <c r="C93" s="19" t="str">
        <f aca="false">IF(Staff!$A93="","",Staff!$C93)</f>
        <v/>
      </c>
      <c r="D93" s="17" t="str">
        <f aca="false">IF(Staff!$A93="","",Staff!$AH93)</f>
        <v/>
      </c>
      <c r="E93" s="19" t="str">
        <f aca="false">IF(Staff!$A93="","",Staff!$O93)</f>
        <v/>
      </c>
      <c r="F93" s="19" t="str">
        <f aca="false">IF(E93="","",E93*HoursPerDay)</f>
        <v/>
      </c>
      <c r="G93" s="19" t="str">
        <f aca="false">IF(Staff!$A93="","",Staff!$AE93)</f>
        <v/>
      </c>
      <c r="H93" s="32" t="str">
        <f aca="false">IF($A93="","",I93&amp;J93&amp;K93&amp;L93&amp;M93&amp;N93&amp;O93&amp;P93&amp;Q93)</f>
        <v/>
      </c>
      <c r="I93" s="0" t="str">
        <f aca="false">IF(OR($A93="",$D93=""),"",IF(AND(EDATE($D93,Milestones!$AA$20)&lt;=AsOfDate,IF($R93=0,$X93,IF(AND($T93&lt;&gt;"",EDATE($D93,Milestones!$AA$20)&gt;=$T93),$W93,IF(AND($S93&lt;&gt;"",EDATE($D93,Milestones!$AA$20)&gt;=$S93),$V93,$U93)))=Milestones!$AB$20),UPPER(TEXT(EDATE($D93,Milestones!$AA$20),"dd mmm yy"))&amp;" "&amp;Milestones!$AB$20&amp;" "&amp;Milestones!$AC$20&amp;";  ","")&amp;IF(AND(EDATE($D93,Milestones!$AA$21)&lt;=AsOfDate,IF($R93=0,$X93,IF(AND($T93&lt;&gt;"",EDATE($D93,Milestones!$AA$21)&gt;=$T93),$W93,IF(AND($S93&lt;&gt;"",EDATE($D93,Milestones!$AA$21)&gt;=$S93),$V93,$U93)))=Milestones!$AB$21),UPPER(TEXT(EDATE($D93,Milestones!$AA$21),"dd mmm yy"))&amp;" "&amp;Milestones!$AB$21&amp;" "&amp;Milestones!$AC$21&amp;";  ","")&amp;IF(AND(EDATE($D93,Milestones!$AA$22)&lt;=AsOfDate,IF($R93=0,$X93,IF(AND($T93&lt;&gt;"",EDATE($D93,Milestones!$AA$22)&gt;=$T93),$W93,IF(AND($S93&lt;&gt;"",EDATE($D93,Milestones!$AA$22)&gt;=$S93),$V93,$U93)))=Milestones!$AB$22),UPPER(TEXT(EDATE($D93,Milestones!$AA$22),"dd mmm yy"))&amp;" "&amp;Milestones!$AB$22&amp;" "&amp;Milestones!$AC$22&amp;";  ","")&amp;IF(AND(EDATE($D93,Milestones!$AA$23)&lt;=AsOfDate,IF($R93=0,$X93,IF(AND($T93&lt;&gt;"",EDATE($D93,Milestones!$AA$23)&gt;=$T93),$W93,IF(AND($S93&lt;&gt;"",EDATE($D93,Milestones!$AA$23)&gt;=$S93),$V93,$U93)))=Milestones!$AB$23),UPPER(TEXT(EDATE($D93,Milestones!$AA$23),"dd mmm yy"))&amp;" "&amp;Milestones!$AB$23&amp;" "&amp;Milestones!$AC$23&amp;";  ","")&amp;IF(AND(EDATE($D93,Milestones!$AA$24)&lt;=AsOfDate,IF($R93=0,$X93,IF(AND($T93&lt;&gt;"",EDATE($D93,Milestones!$AA$24)&gt;=$T93),$W93,IF(AND($S93&lt;&gt;"",EDATE($D93,Milestones!$AA$24)&gt;=$S93),$V93,$U93)))=Milestones!$AB$24),UPPER(TEXT(EDATE($D93,Milestones!$AA$24),"dd mmm yy"))&amp;" "&amp;Milestones!$AB$24&amp;" "&amp;Milestones!$AC$24&amp;";  ","")&amp;IF(AND(EDATE($D93,Milestones!$AA$25)&lt;=AsOfDate,IF($R93=0,$X93,IF(AND($T93&lt;&gt;"",EDATE($D93,Milestones!$AA$25)&gt;=$T93),$W93,IF(AND($S93&lt;&gt;"",EDATE($D93,Milestones!$AA$25)&gt;=$S93),$V93,$U93)))=Milestones!$AB$25),UPPER(TEXT(EDATE($D93,Milestones!$AA$25),"dd mmm yy"))&amp;" "&amp;Milestones!$AB$25&amp;" "&amp;Milestones!$AC$25&amp;";  ","")&amp;IF(AND(EDATE($D93,Milestones!$AA$26)&lt;=AsOfDate,IF($R93=0,$X93,IF(AND($T93&lt;&gt;"",EDATE($D93,Milestones!$AA$26)&gt;=$T93),$W93,IF(AND($S93&lt;&gt;"",EDATE($D93,Milestones!$AA$26)&gt;=$S93),$V93,$U93)))=Milestones!$AB$26),UPPER(TEXT(EDATE($D93,Milestones!$AA$26),"dd mmm yy"))&amp;" "&amp;Milestones!$AB$26&amp;" "&amp;Milestones!$AC$26&amp;";  ","")&amp;IF(AND(EDATE($D93,Milestones!$AA$27)&lt;=AsOfDate,IF($R93=0,$X93,IF(AND($T93&lt;&gt;"",EDATE($D93,Milestones!$AA$27)&gt;=$T93),$W93,IF(AND($S93&lt;&gt;"",EDATE($D93,Milestones!$AA$27)&gt;=$S93),$V93,$U93)))=Milestones!$AB$27),UPPER(TEXT(EDATE($D93,Milestones!$AA$27),"dd mmm yy"))&amp;" "&amp;Milestones!$AB$27&amp;" "&amp;Milestones!$AC$27&amp;";  ","")&amp;IF(AND(EDATE($D93,Milestones!$AA$28)&lt;=AsOfDate,IF($R93=0,$X93,IF(AND($T93&lt;&gt;"",EDATE($D93,Milestones!$AA$28)&gt;=$T93),$W93,IF(AND($S93&lt;&gt;"",EDATE($D93,Milestones!$AA$28)&gt;=$S93),$V93,$U93)))=Milestones!$AB$28),UPPER(TEXT(EDATE($D93,Milestones!$AA$28),"dd mmm yy"))&amp;" "&amp;Milestones!$AB$28&amp;" "&amp;Milestones!$AC$28&amp;";  ","")&amp;IF(AND(EDATE($D93,Milestones!$AA$29)&lt;=AsOfDate,IF($R93=0,$X93,IF(AND($T93&lt;&gt;"",EDATE($D93,Milestones!$AA$29)&gt;=$T93),$W93,IF(AND($S93&lt;&gt;"",EDATE($D93,Milestones!$AA$29)&gt;=$S93),$V93,$U93)))=Milestones!$AB$29),UPPER(TEXT(EDATE($D93,Milestones!$AA$29),"dd mmm yy"))&amp;" "&amp;Milestones!$AB$29&amp;" "&amp;Milestones!$AC$29&amp;";  ","")&amp;IF(AND(EDATE($D93,Milestones!$AA$30)&lt;=AsOfDate,IF($R93=0,$X93,IF(AND($T93&lt;&gt;"",EDATE($D93,Milestones!$AA$30)&gt;=$T93),$W93,IF(AND($S93&lt;&gt;"",EDATE($D93,Milestones!$AA$30)&gt;=$S93),$V93,$U93)))=Milestones!$AB$30),UPPER(TEXT(EDATE($D93,Milestones!$AA$30),"dd mmm yy"))&amp;" "&amp;Milestones!$AB$30&amp;" "&amp;Milestones!$AC$30&amp;";  ","")&amp;IF(AND(EDATE($D93,Milestones!$AA$31)&lt;=AsOfDate,IF($R93=0,$X93,IF(AND($T93&lt;&gt;"",EDATE($D93,Milestones!$AA$31)&gt;=$T93),$W93,IF(AND($S93&lt;&gt;"",EDATE($D93,Milestones!$AA$31)&gt;=$S93),$V93,$U93)))=Milestones!$AB$31),UPPER(TEXT(EDATE($D93,Milestones!$AA$31),"dd mmm yy"))&amp;" "&amp;Milestones!$AB$31&amp;" "&amp;Milestones!$AC$31&amp;";  ","")&amp;IF(AND(EDATE($D93,Milestones!$AA$32)&lt;=AsOfDate,IF($R93=0,$X93,IF(AND($T93&lt;&gt;"",EDATE($D93,Milestones!$AA$32)&gt;=$T93),$W93,IF(AND($S93&lt;&gt;"",EDATE($D93,Milestones!$AA$32)&gt;=$S93),$V93,$U93)))=Milestones!$AB$32),UPPER(TEXT(EDATE($D93,Milestones!$AA$32),"dd mmm yy"))&amp;" "&amp;Milestones!$AB$32&amp;" "&amp;Milestones!$AC$32&amp;";  ","")&amp;IF(AND(EDATE($D93,Milestones!$AA$33)&lt;=AsOfDate,IF($R93=0,$X93,IF(AND($T93&lt;&gt;"",EDATE($D93,Milestones!$AA$33)&gt;=$T93),$W93,IF(AND($S93&lt;&gt;"",EDATE($D93,Milestones!$AA$33)&gt;=$S93),$V93,$U93)))=Milestones!$AB$33),UPPER(TEXT(EDATE($D93,Milestones!$AA$33),"dd mmm yy"))&amp;" "&amp;Milestones!$AB$33&amp;" "&amp;Milestones!$AC$33&amp;";  ","")&amp;IF(AND(EDATE($D93,Milestones!$AA$34)&lt;=AsOfDate,IF($R93=0,$X93,IF(AND($T93&lt;&gt;"",EDATE($D93,Milestones!$AA$34)&gt;=$T93),$W93,IF(AND($S93&lt;&gt;"",EDATE($D93,Milestones!$AA$34)&gt;=$S93),$V93,$U93)))=Milestones!$AB$34),UPPER(TEXT(EDATE($D93,Milestones!$AA$34),"dd mmm yy"))&amp;" "&amp;Milestones!$AB$34&amp;" "&amp;Milestones!$AC$34&amp;";  ","")&amp;IF(AND(EDATE($D93,Milestones!$AA$35)&lt;=AsOfDate,IF($R93=0,$X93,IF(AND($T93&lt;&gt;"",EDATE($D93,Milestones!$AA$35)&gt;=$T93),$W93,IF(AND($S93&lt;&gt;"",EDATE($D93,Milestones!$AA$35)&gt;=$S93),$V93,$U93)))=Milestones!$AB$35),UPPER(TEXT(EDATE($D93,Milestones!$AA$35),"dd mmm yy"))&amp;" "&amp;Milestones!$AB$35&amp;" "&amp;Milestones!$AC$35&amp;";  ","")&amp;IF(AND(EDATE($D93,Milestones!$AA$36)&lt;=AsOfDate,IF($R93=0,$X93,IF(AND($T93&lt;&gt;"",EDATE($D93,Milestones!$AA$36)&gt;=$T93),$W93,IF(AND($S93&lt;&gt;"",EDATE($D93,Milestones!$AA$36)&gt;=$S93),$V93,$U93)))=Milestones!$AB$36),UPPER(TEXT(EDATE($D93,Milestones!$AA$36),"dd mmm yy"))&amp;" "&amp;Milestones!$AB$36&amp;" "&amp;Milestones!$AC$36&amp;";  ","")&amp;IF(AND(EDATE($D93,Milestones!$AA$37)&lt;=AsOfDate,IF($R93=0,$X93,IF(AND($T93&lt;&gt;"",EDATE($D93,Milestones!$AA$37)&gt;=$T93),$W93,IF(AND($S93&lt;&gt;"",EDATE($D93,Milestones!$AA$37)&gt;=$S93),$V93,$U93)))=Milestones!$AB$37),UPPER(TEXT(EDATE($D93,Milestones!$AA$37),"dd mmm yy"))&amp;" "&amp;Milestones!$AB$37&amp;" "&amp;Milestones!$AC$37&amp;";  ","")&amp;IF(AND(EDATE($D93,Milestones!$AA$38)&lt;=AsOfDate,IF($R93=0,$X93,IF(AND($T93&lt;&gt;"",EDATE($D93,Milestones!$AA$38)&gt;=$T93),$W93,IF(AND($S93&lt;&gt;"",EDATE($D93,Milestones!$AA$38)&gt;=$S93),$V93,$U93)))=Milestones!$AB$38),UPPER(TEXT(EDATE($D93,Milestones!$AA$38),"dd mmm yy"))&amp;" "&amp;Milestones!$AB$38&amp;" "&amp;Milestones!$AC$38&amp;";  ","")&amp;IF(AND(EDATE($D93,Milestones!$AA$39)&lt;=AsOfDate,IF($R93=0,$X93,IF(AND($T93&lt;&gt;"",EDATE($D93,Milestones!$AA$39)&gt;=$T93),$W93,IF(AND($S93&lt;&gt;"",EDATE($D93,Milestones!$AA$39)&gt;=$S93),$V93,$U93)))=Milestones!$AB$39),UPPER(TEXT(EDATE($D93,Milestones!$AA$39),"dd mmm yy"))&amp;" "&amp;Milestones!$AB$39&amp;" "&amp;Milestones!$AC$39&amp;";  ",""))</f>
        <v/>
      </c>
      <c r="J93" s="0" t="str">
        <f aca="false">IF(OR($A93="",$D93=""),"",IF(AND(EDATE($D93,Milestones!$AA$40)&lt;=AsOfDate,IF($R93=0,$X93,IF(AND($T93&lt;&gt;"",EDATE($D93,Milestones!$AA$40)&gt;=$T93),$W93,IF(AND($S93&lt;&gt;"",EDATE($D93,Milestones!$AA$40)&gt;=$S93),$V93,$U93)))=Milestones!$AB$40),UPPER(TEXT(EDATE($D93,Milestones!$AA$40),"dd mmm yy"))&amp;" "&amp;Milestones!$AB$40&amp;" "&amp;Milestones!$AC$40&amp;";  ","")&amp;IF(AND(EDATE($D93,Milestones!$AA$41)&lt;=AsOfDate,IF($R93=0,$X93,IF(AND($T93&lt;&gt;"",EDATE($D93,Milestones!$AA$41)&gt;=$T93),$W93,IF(AND($S93&lt;&gt;"",EDATE($D93,Milestones!$AA$41)&gt;=$S93),$V93,$U93)))=Milestones!$AB$41),UPPER(TEXT(EDATE($D93,Milestones!$AA$41),"dd mmm yy"))&amp;" "&amp;Milestones!$AB$41&amp;" "&amp;Milestones!$AC$41&amp;";  ","")&amp;IF(AND(EDATE($D93,Milestones!$AA$42)&lt;=AsOfDate,IF($R93=0,$X93,IF(AND($T93&lt;&gt;"",EDATE($D93,Milestones!$AA$42)&gt;=$T93),$W93,IF(AND($S93&lt;&gt;"",EDATE($D93,Milestones!$AA$42)&gt;=$S93),$V93,$U93)))=Milestones!$AB$42),UPPER(TEXT(EDATE($D93,Milestones!$AA$42),"dd mmm yy"))&amp;" "&amp;Milestones!$AB$42&amp;" "&amp;Milestones!$AC$42&amp;";  ","")&amp;IF(AND(EDATE($D93,Milestones!$AA$43)&lt;=AsOfDate,IF($R93=0,$X93,IF(AND($T93&lt;&gt;"",EDATE($D93,Milestones!$AA$43)&gt;=$T93),$W93,IF(AND($S93&lt;&gt;"",EDATE($D93,Milestones!$AA$43)&gt;=$S93),$V93,$U93)))=Milestones!$AB$43),UPPER(TEXT(EDATE($D93,Milestones!$AA$43),"dd mmm yy"))&amp;" "&amp;Milestones!$AB$43&amp;" "&amp;Milestones!$AC$43&amp;";  ","")&amp;IF(AND(EDATE($D93,Milestones!$AA$44)&lt;=AsOfDate,IF($R93=0,$X93,IF(AND($T93&lt;&gt;"",EDATE($D93,Milestones!$AA$44)&gt;=$T93),$W93,IF(AND($S93&lt;&gt;"",EDATE($D93,Milestones!$AA$44)&gt;=$S93),$V93,$U93)))=Milestones!$AB$44),UPPER(TEXT(EDATE($D93,Milestones!$AA$44),"dd mmm yy"))&amp;" "&amp;Milestones!$AB$44&amp;" "&amp;Milestones!$AC$44&amp;";  ","")&amp;IF(AND(EDATE($D93,Milestones!$AA$45)&lt;=AsOfDate,IF($R93=0,$X93,IF(AND($T93&lt;&gt;"",EDATE($D93,Milestones!$AA$45)&gt;=$T93),$W93,IF(AND($S93&lt;&gt;"",EDATE($D93,Milestones!$AA$45)&gt;=$S93),$V93,$U93)))=Milestones!$AB$45),UPPER(TEXT(EDATE($D93,Milestones!$AA$45),"dd mmm yy"))&amp;" "&amp;Milestones!$AB$45&amp;" "&amp;Milestones!$AC$45&amp;";  ","")&amp;IF(AND(EDATE($D93,Milestones!$AA$46)&lt;=AsOfDate,IF($R93=0,$X93,IF(AND($T93&lt;&gt;"",EDATE($D93,Milestones!$AA$46)&gt;=$T93),$W93,IF(AND($S93&lt;&gt;"",EDATE($D93,Milestones!$AA$46)&gt;=$S93),$V93,$U93)))=Milestones!$AB$46),UPPER(TEXT(EDATE($D93,Milestones!$AA$46),"dd mmm yy"))&amp;" "&amp;Milestones!$AB$46&amp;" "&amp;Milestones!$AC$46&amp;";  ","")&amp;IF(AND(EDATE($D93,Milestones!$AA$47)&lt;=AsOfDate,IF($R93=0,$X93,IF(AND($T93&lt;&gt;"",EDATE($D93,Milestones!$AA$47)&gt;=$T93),$W93,IF(AND($S93&lt;&gt;"",EDATE($D93,Milestones!$AA$47)&gt;=$S93),$V93,$U93)))=Milestones!$AB$47),UPPER(TEXT(EDATE($D93,Milestones!$AA$47),"dd mmm yy"))&amp;" "&amp;Milestones!$AB$47&amp;" "&amp;Milestones!$AC$47&amp;";  ","")&amp;IF(AND(EDATE($D93,Milestones!$AA$48)&lt;=AsOfDate,IF($R93=0,$X93,IF(AND($T93&lt;&gt;"",EDATE($D93,Milestones!$AA$48)&gt;=$T93),$W93,IF(AND($S93&lt;&gt;"",EDATE($D93,Milestones!$AA$48)&gt;=$S93),$V93,$U93)))=Milestones!$AB$48),UPPER(TEXT(EDATE($D93,Milestones!$AA$48),"dd mmm yy"))&amp;" "&amp;Milestones!$AB$48&amp;" "&amp;Milestones!$AC$48&amp;";  ","")&amp;IF(AND(EDATE($D93,Milestones!$AA$49)&lt;=AsOfDate,IF($R93=0,$X93,IF(AND($T93&lt;&gt;"",EDATE($D93,Milestones!$AA$49)&gt;=$T93),$W93,IF(AND($S93&lt;&gt;"",EDATE($D93,Milestones!$AA$49)&gt;=$S93),$V93,$U93)))=Milestones!$AB$49),UPPER(TEXT(EDATE($D93,Milestones!$AA$49),"dd mmm yy"))&amp;" "&amp;Milestones!$AB$49&amp;" "&amp;Milestones!$AC$49&amp;";  ","")&amp;IF(AND(EDATE($D93,Milestones!$AA$50)&lt;=AsOfDate,IF($R93=0,$X93,IF(AND($T93&lt;&gt;"",EDATE($D93,Milestones!$AA$50)&gt;=$T93),$W93,IF(AND($S93&lt;&gt;"",EDATE($D93,Milestones!$AA$50)&gt;=$S93),$V93,$U93)))=Milestones!$AB$50),UPPER(TEXT(EDATE($D93,Milestones!$AA$50),"dd mmm yy"))&amp;" "&amp;Milestones!$AB$50&amp;" "&amp;Milestones!$AC$50&amp;";  ","")&amp;IF(AND(EDATE($D93,Milestones!$AA$51)&lt;=AsOfDate,IF($R93=0,$X93,IF(AND($T93&lt;&gt;"",EDATE($D93,Milestones!$AA$51)&gt;=$T93),$W93,IF(AND($S93&lt;&gt;"",EDATE($D93,Milestones!$AA$51)&gt;=$S93),$V93,$U93)))=Milestones!$AB$51),UPPER(TEXT(EDATE($D93,Milestones!$AA$51),"dd mmm yy"))&amp;" "&amp;Milestones!$AB$51&amp;" "&amp;Milestones!$AC$51&amp;";  ","")&amp;IF(AND(EDATE($D93,Milestones!$AA$52)&lt;=AsOfDate,IF($R93=0,$X93,IF(AND($T93&lt;&gt;"",EDATE($D93,Milestones!$AA$52)&gt;=$T93),$W93,IF(AND($S93&lt;&gt;"",EDATE($D93,Milestones!$AA$52)&gt;=$S93),$V93,$U93)))=Milestones!$AB$52),UPPER(TEXT(EDATE($D93,Milestones!$AA$52),"dd mmm yy"))&amp;" "&amp;Milestones!$AB$52&amp;" "&amp;Milestones!$AC$52&amp;";  ","")&amp;IF(AND(EDATE($D93,Milestones!$AA$53)&lt;=AsOfDate,IF($R93=0,$X93,IF(AND($T93&lt;&gt;"",EDATE($D93,Milestones!$AA$53)&gt;=$T93),$W93,IF(AND($S93&lt;&gt;"",EDATE($D93,Milestones!$AA$53)&gt;=$S93),$V93,$U93)))=Milestones!$AB$53),UPPER(TEXT(EDATE($D93,Milestones!$AA$53),"dd mmm yy"))&amp;" "&amp;Milestones!$AB$53&amp;" "&amp;Milestones!$AC$53&amp;";  ","")&amp;IF(AND(EDATE($D93,Milestones!$AA$54)&lt;=AsOfDate,IF($R93=0,$X93,IF(AND($T93&lt;&gt;"",EDATE($D93,Milestones!$AA$54)&gt;=$T93),$W93,IF(AND($S93&lt;&gt;"",EDATE($D93,Milestones!$AA$54)&gt;=$S93),$V93,$U93)))=Milestones!$AB$54),UPPER(TEXT(EDATE($D93,Milestones!$AA$54),"dd mmm yy"))&amp;" "&amp;Milestones!$AB$54&amp;" "&amp;Milestones!$AC$54&amp;";  ","")&amp;IF(AND(EDATE($D93,Milestones!$AA$55)&lt;=AsOfDate,IF($R93=0,$X93,IF(AND($T93&lt;&gt;"",EDATE($D93,Milestones!$AA$55)&gt;=$T93),$W93,IF(AND($S93&lt;&gt;"",EDATE($D93,Milestones!$AA$55)&gt;=$S93),$V93,$U93)))=Milestones!$AB$55),UPPER(TEXT(EDATE($D93,Milestones!$AA$55),"dd mmm yy"))&amp;" "&amp;Milestones!$AB$55&amp;" "&amp;Milestones!$AC$55&amp;";  ","")&amp;IF(AND(EDATE($D93,Milestones!$AA$56)&lt;=AsOfDate,IF($R93=0,$X93,IF(AND($T93&lt;&gt;"",EDATE($D93,Milestones!$AA$56)&gt;=$T93),$W93,IF(AND($S93&lt;&gt;"",EDATE($D93,Milestones!$AA$56)&gt;=$S93),$V93,$U93)))=Milestones!$AB$56),UPPER(TEXT(EDATE($D93,Milestones!$AA$56),"dd mmm yy"))&amp;" "&amp;Milestones!$AB$56&amp;" "&amp;Milestones!$AC$56&amp;";  ","")&amp;IF(AND(EDATE($D93,Milestones!$AA$57)&lt;=AsOfDate,IF($R93=0,$X93,IF(AND($T93&lt;&gt;"",EDATE($D93,Milestones!$AA$57)&gt;=$T93),$W93,IF(AND($S93&lt;&gt;"",EDATE($D93,Milestones!$AA$57)&gt;=$S93),$V93,$U93)))=Milestones!$AB$57),UPPER(TEXT(EDATE($D93,Milestones!$AA$57),"dd mmm yy"))&amp;" "&amp;Milestones!$AB$57&amp;" "&amp;Milestones!$AC$57&amp;";  ","")&amp;IF(AND(EDATE($D93,Milestones!$AA$58)&lt;=AsOfDate,IF($R93=0,$X93,IF(AND($T93&lt;&gt;"",EDATE($D93,Milestones!$AA$58)&gt;=$T93),$W93,IF(AND($S93&lt;&gt;"",EDATE($D93,Milestones!$AA$58)&gt;=$S93),$V93,$U93)))=Milestones!$AB$58),UPPER(TEXT(EDATE($D93,Milestones!$AA$58),"dd mmm yy"))&amp;" "&amp;Milestones!$AB$58&amp;" "&amp;Milestones!$AC$58&amp;";  ","")&amp;IF(AND(EDATE($D93,Milestones!$AA$59)&lt;=AsOfDate,IF($R93=0,$X93,IF(AND($T93&lt;&gt;"",EDATE($D93,Milestones!$AA$59)&gt;=$T93),$W93,IF(AND($S93&lt;&gt;"",EDATE($D93,Milestones!$AA$59)&gt;=$S93),$V93,$U93)))=Milestones!$AB$59),UPPER(TEXT(EDATE($D93,Milestones!$AA$59),"dd mmm yy"))&amp;" "&amp;Milestones!$AB$59&amp;" "&amp;Milestones!$AC$59&amp;";  ",""))</f>
        <v/>
      </c>
      <c r="K93" s="0" t="str">
        <f aca="false">IF(OR($A93="",$D93=""),"",IF(AND(EDATE($D93,Milestones!$AA$60)&lt;=AsOfDate,IF($R93=0,$X93,IF(AND($T93&lt;&gt;"",EDATE($D93,Milestones!$AA$60)&gt;=$T93),$W93,IF(AND($S93&lt;&gt;"",EDATE($D93,Milestones!$AA$60)&gt;=$S93),$V93,$U93)))=Milestones!$AB$60),UPPER(TEXT(EDATE($D93,Milestones!$AA$60),"dd mmm yy"))&amp;" "&amp;Milestones!$AB$60&amp;" "&amp;Milestones!$AC$60&amp;";  ","")&amp;IF(AND(EDATE($D93,Milestones!$AA$61)&lt;=AsOfDate,IF($R93=0,$X93,IF(AND($T93&lt;&gt;"",EDATE($D93,Milestones!$AA$61)&gt;=$T93),$W93,IF(AND($S93&lt;&gt;"",EDATE($D93,Milestones!$AA$61)&gt;=$S93),$V93,$U93)))=Milestones!$AB$61),UPPER(TEXT(EDATE($D93,Milestones!$AA$61),"dd mmm yy"))&amp;" "&amp;Milestones!$AB$61&amp;" "&amp;Milestones!$AC$61&amp;";  ","")&amp;IF(AND(EDATE($D93,Milestones!$AA$62)&lt;=AsOfDate,IF($R93=0,$X93,IF(AND($T93&lt;&gt;"",EDATE($D93,Milestones!$AA$62)&gt;=$T93),$W93,IF(AND($S93&lt;&gt;"",EDATE($D93,Milestones!$AA$62)&gt;=$S93),$V93,$U93)))=Milestones!$AB$62),UPPER(TEXT(EDATE($D93,Milestones!$AA$62),"dd mmm yy"))&amp;" "&amp;Milestones!$AB$62&amp;" "&amp;Milestones!$AC$62&amp;";  ","")&amp;IF(AND(EDATE($D93,Milestones!$AA$63)&lt;=AsOfDate,IF($R93=0,$X93,IF(AND($T93&lt;&gt;"",EDATE($D93,Milestones!$AA$63)&gt;=$T93),$W93,IF(AND($S93&lt;&gt;"",EDATE($D93,Milestones!$AA$63)&gt;=$S93),$V93,$U93)))=Milestones!$AB$63),UPPER(TEXT(EDATE($D93,Milestones!$AA$63),"dd mmm yy"))&amp;" "&amp;Milestones!$AB$63&amp;" "&amp;Milestones!$AC$63&amp;";  ","")&amp;IF(AND(EDATE($D93,Milestones!$AA$64)&lt;=AsOfDate,IF($R93=0,$X93,IF(AND($T93&lt;&gt;"",EDATE($D93,Milestones!$AA$64)&gt;=$T93),$W93,IF(AND($S93&lt;&gt;"",EDATE($D93,Milestones!$AA$64)&gt;=$S93),$V93,$U93)))=Milestones!$AB$64),UPPER(TEXT(EDATE($D93,Milestones!$AA$64),"dd mmm yy"))&amp;" "&amp;Milestones!$AB$64&amp;" "&amp;Milestones!$AC$64&amp;";  ","")&amp;IF(AND(EDATE($D93,Milestones!$AA$65)&lt;=AsOfDate,IF($R93=0,$X93,IF(AND($T93&lt;&gt;"",EDATE($D93,Milestones!$AA$65)&gt;=$T93),$W93,IF(AND($S93&lt;&gt;"",EDATE($D93,Milestones!$AA$65)&gt;=$S93),$V93,$U93)))=Milestones!$AB$65),UPPER(TEXT(EDATE($D93,Milestones!$AA$65),"dd mmm yy"))&amp;" "&amp;Milestones!$AB$65&amp;" "&amp;Milestones!$AC$65&amp;";  ","")&amp;IF(AND(EDATE($D93,Milestones!$AA$66)&lt;=AsOfDate,IF($R93=0,$X93,IF(AND($T93&lt;&gt;"",EDATE($D93,Milestones!$AA$66)&gt;=$T93),$W93,IF(AND($S93&lt;&gt;"",EDATE($D93,Milestones!$AA$66)&gt;=$S93),$V93,$U93)))=Milestones!$AB$66),UPPER(TEXT(EDATE($D93,Milestones!$AA$66),"dd mmm yy"))&amp;" "&amp;Milestones!$AB$66&amp;" "&amp;Milestones!$AC$66&amp;";  ","")&amp;IF(AND(EDATE($D93,Milestones!$AA$67)&lt;=AsOfDate,IF($R93=0,$X93,IF(AND($T93&lt;&gt;"",EDATE($D93,Milestones!$AA$67)&gt;=$T93),$W93,IF(AND($S93&lt;&gt;"",EDATE($D93,Milestones!$AA$67)&gt;=$S93),$V93,$U93)))=Milestones!$AB$67),UPPER(TEXT(EDATE($D93,Milestones!$AA$67),"dd mmm yy"))&amp;" "&amp;Milestones!$AB$67&amp;" "&amp;Milestones!$AC$67&amp;";  ","")&amp;IF(AND(EDATE($D93,Milestones!$AA$68)&lt;=AsOfDate,IF($R93=0,$X93,IF(AND($T93&lt;&gt;"",EDATE($D93,Milestones!$AA$68)&gt;=$T93),$W93,IF(AND($S93&lt;&gt;"",EDATE($D93,Milestones!$AA$68)&gt;=$S93),$V93,$U93)))=Milestones!$AB$68),UPPER(TEXT(EDATE($D93,Milestones!$AA$68),"dd mmm yy"))&amp;" "&amp;Milestones!$AB$68&amp;" "&amp;Milestones!$AC$68&amp;";  ","")&amp;IF(AND(EDATE($D93,Milestones!$AA$69)&lt;=AsOfDate,IF($R93=0,$X93,IF(AND($T93&lt;&gt;"",EDATE($D93,Milestones!$AA$69)&gt;=$T93),$W93,IF(AND($S93&lt;&gt;"",EDATE($D93,Milestones!$AA$69)&gt;=$S93),$V93,$U93)))=Milestones!$AB$69),UPPER(TEXT(EDATE($D93,Milestones!$AA$69),"dd mmm yy"))&amp;" "&amp;Milestones!$AB$69&amp;" "&amp;Milestones!$AC$69&amp;";  ","")&amp;IF(AND(EDATE($D93,Milestones!$AA$70)&lt;=AsOfDate,IF($R93=0,$X93,IF(AND($T93&lt;&gt;"",EDATE($D93,Milestones!$AA$70)&gt;=$T93),$W93,IF(AND($S93&lt;&gt;"",EDATE($D93,Milestones!$AA$70)&gt;=$S93),$V93,$U93)))=Milestones!$AB$70),UPPER(TEXT(EDATE($D93,Milestones!$AA$70),"dd mmm yy"))&amp;" "&amp;Milestones!$AB$70&amp;" "&amp;Milestones!$AC$70&amp;";  ","")&amp;IF(AND(EDATE($D93,Milestones!$AA$71)&lt;=AsOfDate,IF($R93=0,$X93,IF(AND($T93&lt;&gt;"",EDATE($D93,Milestones!$AA$71)&gt;=$T93),$W93,IF(AND($S93&lt;&gt;"",EDATE($D93,Milestones!$AA$71)&gt;=$S93),$V93,$U93)))=Milestones!$AB$71),UPPER(TEXT(EDATE($D93,Milestones!$AA$71),"dd mmm yy"))&amp;" "&amp;Milestones!$AB$71&amp;" "&amp;Milestones!$AC$71&amp;";  ","")&amp;IF(AND(EDATE($D93,Milestones!$AA$72)&lt;=AsOfDate,IF($R93=0,$X93,IF(AND($T93&lt;&gt;"",EDATE($D93,Milestones!$AA$72)&gt;=$T93),$W93,IF(AND($S93&lt;&gt;"",EDATE($D93,Milestones!$AA$72)&gt;=$S93),$V93,$U93)))=Milestones!$AB$72),UPPER(TEXT(EDATE($D93,Milestones!$AA$72),"dd mmm yy"))&amp;" "&amp;Milestones!$AB$72&amp;" "&amp;Milestones!$AC$72&amp;";  ","")&amp;IF(AND(EDATE($D93,Milestones!$AA$73)&lt;=AsOfDate,IF($R93=0,$X93,IF(AND($T93&lt;&gt;"",EDATE($D93,Milestones!$AA$73)&gt;=$T93),$W93,IF(AND($S93&lt;&gt;"",EDATE($D93,Milestones!$AA$73)&gt;=$S93),$V93,$U93)))=Milestones!$AB$73),UPPER(TEXT(EDATE($D93,Milestones!$AA$73),"dd mmm yy"))&amp;" "&amp;Milestones!$AB$73&amp;" "&amp;Milestones!$AC$73&amp;";  ","")&amp;IF(AND(EDATE($D93,Milestones!$AA$74)&lt;=AsOfDate,IF($R93=0,$X93,IF(AND($T93&lt;&gt;"",EDATE($D93,Milestones!$AA$74)&gt;=$T93),$W93,IF(AND($S93&lt;&gt;"",EDATE($D93,Milestones!$AA$74)&gt;=$S93),$V93,$U93)))=Milestones!$AB$74),UPPER(TEXT(EDATE($D93,Milestones!$AA$74),"dd mmm yy"))&amp;" "&amp;Milestones!$AB$74&amp;" "&amp;Milestones!$AC$74&amp;";  ","")&amp;IF(AND(EDATE($D93,Milestones!$AA$75)&lt;=AsOfDate,IF($R93=0,$X93,IF(AND($T93&lt;&gt;"",EDATE($D93,Milestones!$AA$75)&gt;=$T93),$W93,IF(AND($S93&lt;&gt;"",EDATE($D93,Milestones!$AA$75)&gt;=$S93),$V93,$U93)))=Milestones!$AB$75),UPPER(TEXT(EDATE($D93,Milestones!$AA$75),"dd mmm yy"))&amp;" "&amp;Milestones!$AB$75&amp;" "&amp;Milestones!$AC$75&amp;";  ","")&amp;IF(AND(EDATE($D93,Milestones!$AA$76)&lt;=AsOfDate,IF($R93=0,$X93,IF(AND($T93&lt;&gt;"",EDATE($D93,Milestones!$AA$76)&gt;=$T93),$W93,IF(AND($S93&lt;&gt;"",EDATE($D93,Milestones!$AA$76)&gt;=$S93),$V93,$U93)))=Milestones!$AB$76),UPPER(TEXT(EDATE($D93,Milestones!$AA$76),"dd mmm yy"))&amp;" "&amp;Milestones!$AB$76&amp;" "&amp;Milestones!$AC$76&amp;";  ","")&amp;IF(AND(EDATE($D93,Milestones!$AA$77)&lt;=AsOfDate,IF($R93=0,$X93,IF(AND($T93&lt;&gt;"",EDATE($D93,Milestones!$AA$77)&gt;=$T93),$W93,IF(AND($S93&lt;&gt;"",EDATE($D93,Milestones!$AA$77)&gt;=$S93),$V93,$U93)))=Milestones!$AB$77),UPPER(TEXT(EDATE($D93,Milestones!$AA$77),"dd mmm yy"))&amp;" "&amp;Milestones!$AB$77&amp;" "&amp;Milestones!$AC$77&amp;";  ","")&amp;IF(AND(EDATE($D93,Milestones!$AA$78)&lt;=AsOfDate,IF($R93=0,$X93,IF(AND($T93&lt;&gt;"",EDATE($D93,Milestones!$AA$78)&gt;=$T93),$W93,IF(AND($S93&lt;&gt;"",EDATE($D93,Milestones!$AA$78)&gt;=$S93),$V93,$U93)))=Milestones!$AB$78),UPPER(TEXT(EDATE($D93,Milestones!$AA$78),"dd mmm yy"))&amp;" "&amp;Milestones!$AB$78&amp;" "&amp;Milestones!$AC$78&amp;";  ","")&amp;IF(AND(EDATE($D93,Milestones!$AA$79)&lt;=AsOfDate,IF($R93=0,$X93,IF(AND($T93&lt;&gt;"",EDATE($D93,Milestones!$AA$79)&gt;=$T93),$W93,IF(AND($S93&lt;&gt;"",EDATE($D93,Milestones!$AA$79)&gt;=$S93),$V93,$U93)))=Milestones!$AB$79),UPPER(TEXT(EDATE($D93,Milestones!$AA$79),"dd mmm yy"))&amp;" "&amp;Milestones!$AB$79&amp;" "&amp;Milestones!$AC$79&amp;";  ",""))</f>
        <v/>
      </c>
      <c r="L93" s="0" t="str">
        <f aca="false">IF(OR($A93="",$D93=""),"",IF(AND(EDATE($D93,Milestones!$AA$80)&lt;=AsOfDate,IF($R93=0,$X93,IF(AND($T93&lt;&gt;"",EDATE($D93,Milestones!$AA$80)&gt;=$T93),$W93,IF(AND($S93&lt;&gt;"",EDATE($D93,Milestones!$AA$80)&gt;=$S93),$V93,$U93)))=Milestones!$AB$80),UPPER(TEXT(EDATE($D93,Milestones!$AA$80),"dd mmm yy"))&amp;" "&amp;Milestones!$AB$80&amp;" "&amp;Milestones!$AC$80&amp;";  ","")&amp;IF(AND(EDATE($D93,Milestones!$AA$81)&lt;=AsOfDate,IF($R93=0,$X93,IF(AND($T93&lt;&gt;"",EDATE($D93,Milestones!$AA$81)&gt;=$T93),$W93,IF(AND($S93&lt;&gt;"",EDATE($D93,Milestones!$AA$81)&gt;=$S93),$V93,$U93)))=Milestones!$AB$81),UPPER(TEXT(EDATE($D93,Milestones!$AA$81),"dd mmm yy"))&amp;" "&amp;Milestones!$AB$81&amp;" "&amp;Milestones!$AC$81&amp;";  ","")&amp;IF(AND(EDATE($D93,Milestones!$AA$82)&lt;=AsOfDate,IF($R93=0,$X93,IF(AND($T93&lt;&gt;"",EDATE($D93,Milestones!$AA$82)&gt;=$T93),$W93,IF(AND($S93&lt;&gt;"",EDATE($D93,Milestones!$AA$82)&gt;=$S93),$V93,$U93)))=Milestones!$AB$82),UPPER(TEXT(EDATE($D93,Milestones!$AA$82),"dd mmm yy"))&amp;" "&amp;Milestones!$AB$82&amp;" "&amp;Milestones!$AC$82&amp;";  ","")&amp;IF(AND(EDATE($D93,Milestones!$AA$83)&lt;=AsOfDate,IF($R93=0,$X93,IF(AND($T93&lt;&gt;"",EDATE($D93,Milestones!$AA$83)&gt;=$T93),$W93,IF(AND($S93&lt;&gt;"",EDATE($D93,Milestones!$AA$83)&gt;=$S93),$V93,$U93)))=Milestones!$AB$83),UPPER(TEXT(EDATE($D93,Milestones!$AA$83),"dd mmm yy"))&amp;" "&amp;Milestones!$AB$83&amp;" "&amp;Milestones!$AC$83&amp;";  ","")&amp;IF(AND(EDATE($D93,Milestones!$AA$84)&lt;=AsOfDate,IF($R93=0,$X93,IF(AND($T93&lt;&gt;"",EDATE($D93,Milestones!$AA$84)&gt;=$T93),$W93,IF(AND($S93&lt;&gt;"",EDATE($D93,Milestones!$AA$84)&gt;=$S93),$V93,$U93)))=Milestones!$AB$84),UPPER(TEXT(EDATE($D93,Milestones!$AA$84),"dd mmm yy"))&amp;" "&amp;Milestones!$AB$84&amp;" "&amp;Milestones!$AC$84&amp;";  ","")&amp;IF(AND(EDATE($D93,Milestones!$AA$85)&lt;=AsOfDate,IF($R93=0,$X93,IF(AND($T93&lt;&gt;"",EDATE($D93,Milestones!$AA$85)&gt;=$T93),$W93,IF(AND($S93&lt;&gt;"",EDATE($D93,Milestones!$AA$85)&gt;=$S93),$V93,$U93)))=Milestones!$AB$85),UPPER(TEXT(EDATE($D93,Milestones!$AA$85),"dd mmm yy"))&amp;" "&amp;Milestones!$AB$85&amp;" "&amp;Milestones!$AC$85&amp;";  ","")&amp;IF(AND(EDATE($D93,Milestones!$AA$86)&lt;=AsOfDate,IF($R93=0,$X93,IF(AND($T93&lt;&gt;"",EDATE($D93,Milestones!$AA$86)&gt;=$T93),$W93,IF(AND($S93&lt;&gt;"",EDATE($D93,Milestones!$AA$86)&gt;=$S93),$V93,$U93)))=Milestones!$AB$86),UPPER(TEXT(EDATE($D93,Milestones!$AA$86),"dd mmm yy"))&amp;" "&amp;Milestones!$AB$86&amp;" "&amp;Milestones!$AC$86&amp;";  ","")&amp;IF(AND(EDATE($D93,Milestones!$AA$87)&lt;=AsOfDate,IF($R93=0,$X93,IF(AND($T93&lt;&gt;"",EDATE($D93,Milestones!$AA$87)&gt;=$T93),$W93,IF(AND($S93&lt;&gt;"",EDATE($D93,Milestones!$AA$87)&gt;=$S93),$V93,$U93)))=Milestones!$AB$87),UPPER(TEXT(EDATE($D93,Milestones!$AA$87),"dd mmm yy"))&amp;" "&amp;Milestones!$AB$87&amp;" "&amp;Milestones!$AC$87&amp;";  ","")&amp;IF(AND(EDATE($D93,Milestones!$AA$88)&lt;=AsOfDate,IF($R93=0,$X93,IF(AND($T93&lt;&gt;"",EDATE($D93,Milestones!$AA$88)&gt;=$T93),$W93,IF(AND($S93&lt;&gt;"",EDATE($D93,Milestones!$AA$88)&gt;=$S93),$V93,$U93)))=Milestones!$AB$88),UPPER(TEXT(EDATE($D93,Milestones!$AA$88),"dd mmm yy"))&amp;" "&amp;Milestones!$AB$88&amp;" "&amp;Milestones!$AC$88&amp;";  ","")&amp;IF(AND(EDATE($D93,Milestones!$AA$89)&lt;=AsOfDate,IF($R93=0,$X93,IF(AND($T93&lt;&gt;"",EDATE($D93,Milestones!$AA$89)&gt;=$T93),$W93,IF(AND($S93&lt;&gt;"",EDATE($D93,Milestones!$AA$89)&gt;=$S93),$V93,$U93)))=Milestones!$AB$89),UPPER(TEXT(EDATE($D93,Milestones!$AA$89),"dd mmm yy"))&amp;" "&amp;Milestones!$AB$89&amp;" "&amp;Milestones!$AC$89&amp;";  ","")&amp;IF(AND(EDATE($D93,Milestones!$AA$90)&lt;=AsOfDate,IF($R93=0,$X93,IF(AND($T93&lt;&gt;"",EDATE($D93,Milestones!$AA$90)&gt;=$T93),$W93,IF(AND($S93&lt;&gt;"",EDATE($D93,Milestones!$AA$90)&gt;=$S93),$V93,$U93)))=Milestones!$AB$90),UPPER(TEXT(EDATE($D93,Milestones!$AA$90),"dd mmm yy"))&amp;" "&amp;Milestones!$AB$90&amp;" "&amp;Milestones!$AC$90&amp;";  ","")&amp;IF(AND(EDATE($D93,Milestones!$AA$91)&lt;=AsOfDate,IF($R93=0,$X93,IF(AND($T93&lt;&gt;"",EDATE($D93,Milestones!$AA$91)&gt;=$T93),$W93,IF(AND($S93&lt;&gt;"",EDATE($D93,Milestones!$AA$91)&gt;=$S93),$V93,$U93)))=Milestones!$AB$91),UPPER(TEXT(EDATE($D93,Milestones!$AA$91),"dd mmm yy"))&amp;" "&amp;Milestones!$AB$91&amp;" "&amp;Milestones!$AC$91&amp;";  ","")&amp;IF(AND(EDATE($D93,Milestones!$AA$92)&lt;=AsOfDate,IF($R93=0,$X93,IF(AND($T93&lt;&gt;"",EDATE($D93,Milestones!$AA$92)&gt;=$T93),$W93,IF(AND($S93&lt;&gt;"",EDATE($D93,Milestones!$AA$92)&gt;=$S93),$V93,$U93)))=Milestones!$AB$92),UPPER(TEXT(EDATE($D93,Milestones!$AA$92),"dd mmm yy"))&amp;" "&amp;Milestones!$AB$92&amp;" "&amp;Milestones!$AC$92&amp;";  ","")&amp;IF(AND(EDATE($D93,Milestones!$AA$93)&lt;=AsOfDate,IF($R93=0,$X93,IF(AND($T93&lt;&gt;"",EDATE($D93,Milestones!$AA$93)&gt;=$T93),$W93,IF(AND($S93&lt;&gt;"",EDATE($D93,Milestones!$AA$93)&gt;=$S93),$V93,$U93)))=Milestones!$AB$93),UPPER(TEXT(EDATE($D93,Milestones!$AA$93),"dd mmm yy"))&amp;" "&amp;Milestones!$AB$93&amp;" "&amp;Milestones!$AC$93&amp;";  ","")&amp;IF(AND(EDATE($D93,Milestones!$AA$94)&lt;=AsOfDate,IF($R93=0,$X93,IF(AND($T93&lt;&gt;"",EDATE($D93,Milestones!$AA$94)&gt;=$T93),$W93,IF(AND($S93&lt;&gt;"",EDATE($D93,Milestones!$AA$94)&gt;=$S93),$V93,$U93)))=Milestones!$AB$94),UPPER(TEXT(EDATE($D93,Milestones!$AA$94),"dd mmm yy"))&amp;" "&amp;Milestones!$AB$94&amp;" "&amp;Milestones!$AC$94&amp;";  ","")&amp;IF(AND(EDATE($D93,Milestones!$AA$95)&lt;=AsOfDate,IF($R93=0,$X93,IF(AND($T93&lt;&gt;"",EDATE($D93,Milestones!$AA$95)&gt;=$T93),$W93,IF(AND($S93&lt;&gt;"",EDATE($D93,Milestones!$AA$95)&gt;=$S93),$V93,$U93)))=Milestones!$AB$95),UPPER(TEXT(EDATE($D93,Milestones!$AA$95),"dd mmm yy"))&amp;" "&amp;Milestones!$AB$95&amp;" "&amp;Milestones!$AC$95&amp;";  ","")&amp;IF(AND(EDATE($D93,Milestones!$AA$96)&lt;=AsOfDate,IF($R93=0,$X93,IF(AND($T93&lt;&gt;"",EDATE($D93,Milestones!$AA$96)&gt;=$T93),$W93,IF(AND($S93&lt;&gt;"",EDATE($D93,Milestones!$AA$96)&gt;=$S93),$V93,$U93)))=Milestones!$AB$96),UPPER(TEXT(EDATE($D93,Milestones!$AA$96),"dd mmm yy"))&amp;" "&amp;Milestones!$AB$96&amp;" "&amp;Milestones!$AC$96&amp;";  ","")&amp;IF(AND(EDATE($D93,Milestones!$AA$97)&lt;=AsOfDate,IF($R93=0,$X93,IF(AND($T93&lt;&gt;"",EDATE($D93,Milestones!$AA$97)&gt;=$T93),$W93,IF(AND($S93&lt;&gt;"",EDATE($D93,Milestones!$AA$97)&gt;=$S93),$V93,$U93)))=Milestones!$AB$97),UPPER(TEXT(EDATE($D93,Milestones!$AA$97),"dd mmm yy"))&amp;" "&amp;Milestones!$AB$97&amp;" "&amp;Milestones!$AC$97&amp;";  ","")&amp;IF(AND(EDATE($D93,Milestones!$AA$98)&lt;=AsOfDate,IF($R93=0,$X93,IF(AND($T93&lt;&gt;"",EDATE($D93,Milestones!$AA$98)&gt;=$T93),$W93,IF(AND($S93&lt;&gt;"",EDATE($D93,Milestones!$AA$98)&gt;=$S93),$V93,$U93)))=Milestones!$AB$98),UPPER(TEXT(EDATE($D93,Milestones!$AA$98),"dd mmm yy"))&amp;" "&amp;Milestones!$AB$98&amp;" "&amp;Milestones!$AC$98&amp;";  ","")&amp;IF(AND(EDATE($D93,Milestones!$AA$99)&lt;=AsOfDate,IF($R93=0,$X93,IF(AND($T93&lt;&gt;"",EDATE($D93,Milestones!$AA$99)&gt;=$T93),$W93,IF(AND($S93&lt;&gt;"",EDATE($D93,Milestones!$AA$99)&gt;=$S93),$V93,$U93)))=Milestones!$AB$99),UPPER(TEXT(EDATE($D93,Milestones!$AA$99),"dd mmm yy"))&amp;" "&amp;Milestones!$AB$99&amp;" "&amp;Milestones!$AC$99&amp;";  ",""))</f>
        <v/>
      </c>
      <c r="M93" s="0" t="str">
        <f aca="false">IF(OR($A93="",$D93=""),"",IF(AND(EDATE($D93,Milestones!$AA$100)&lt;=AsOfDate,IF($R93=0,$X93,IF(AND($T93&lt;&gt;"",EDATE($D93,Milestones!$AA$100)&gt;=$T93),$W93,IF(AND($S93&lt;&gt;"",EDATE($D93,Milestones!$AA$100)&gt;=$S93),$V93,$U93)))=Milestones!$AB$100),UPPER(TEXT(EDATE($D93,Milestones!$AA$100),"dd mmm yy"))&amp;" "&amp;Milestones!$AB$100&amp;" "&amp;Milestones!$AC$100&amp;";  ","")&amp;IF(AND(EDATE($D93,Milestones!$AA$101)&lt;=AsOfDate,IF($R93=0,$X93,IF(AND($T93&lt;&gt;"",EDATE($D93,Milestones!$AA$101)&gt;=$T93),$W93,IF(AND($S93&lt;&gt;"",EDATE($D93,Milestones!$AA$101)&gt;=$S93),$V93,$U93)))=Milestones!$AB$101),UPPER(TEXT(EDATE($D93,Milestones!$AA$101),"dd mmm yy"))&amp;" "&amp;Milestones!$AB$101&amp;" "&amp;Milestones!$AC$101&amp;";  ","")&amp;IF(AND(EDATE($D93,Milestones!$AA$102)&lt;=AsOfDate,IF($R93=0,$X93,IF(AND($T93&lt;&gt;"",EDATE($D93,Milestones!$AA$102)&gt;=$T93),$W93,IF(AND($S93&lt;&gt;"",EDATE($D93,Milestones!$AA$102)&gt;=$S93),$V93,$U93)))=Milestones!$AB$102),UPPER(TEXT(EDATE($D93,Milestones!$AA$102),"dd mmm yy"))&amp;" "&amp;Milestones!$AB$102&amp;" "&amp;Milestones!$AC$102&amp;";  ","")&amp;IF(AND(EDATE($D93,Milestones!$AA$103)&lt;=AsOfDate,IF($R93=0,$X93,IF(AND($T93&lt;&gt;"",EDATE($D93,Milestones!$AA$103)&gt;=$T93),$W93,IF(AND($S93&lt;&gt;"",EDATE($D93,Milestones!$AA$103)&gt;=$S93),$V93,$U93)))=Milestones!$AB$103),UPPER(TEXT(EDATE($D93,Milestones!$AA$103),"dd mmm yy"))&amp;" "&amp;Milestones!$AB$103&amp;" "&amp;Milestones!$AC$103&amp;";  ","")&amp;IF(AND(EDATE($D93,Milestones!$AA$104)&lt;=AsOfDate,IF($R93=0,$X93,IF(AND($T93&lt;&gt;"",EDATE($D93,Milestones!$AA$104)&gt;=$T93),$W93,IF(AND($S93&lt;&gt;"",EDATE($D93,Milestones!$AA$104)&gt;=$S93),$V93,$U93)))=Milestones!$AB$104),UPPER(TEXT(EDATE($D93,Milestones!$AA$104),"dd mmm yy"))&amp;" "&amp;Milestones!$AB$104&amp;" "&amp;Milestones!$AC$104&amp;";  ","")&amp;IF(AND(EDATE($D93,Milestones!$AA$105)&lt;=AsOfDate,IF($R93=0,$X93,IF(AND($T93&lt;&gt;"",EDATE($D93,Milestones!$AA$105)&gt;=$T93),$W93,IF(AND($S93&lt;&gt;"",EDATE($D93,Milestones!$AA$105)&gt;=$S93),$V93,$U93)))=Milestones!$AB$105),UPPER(TEXT(EDATE($D93,Milestones!$AA$105),"dd mmm yy"))&amp;" "&amp;Milestones!$AB$105&amp;" "&amp;Milestones!$AC$105&amp;";  ","")&amp;IF(AND(EDATE($D93,Milestones!$AA$106)&lt;=AsOfDate,IF($R93=0,$X93,IF(AND($T93&lt;&gt;"",EDATE($D93,Milestones!$AA$106)&gt;=$T93),$W93,IF(AND($S93&lt;&gt;"",EDATE($D93,Milestones!$AA$106)&gt;=$S93),$V93,$U93)))=Milestones!$AB$106),UPPER(TEXT(EDATE($D93,Milestones!$AA$106),"dd mmm yy"))&amp;" "&amp;Milestones!$AB$106&amp;" "&amp;Milestones!$AC$106&amp;";  ","")&amp;IF(AND(EDATE($D93,Milestones!$AA$107)&lt;=AsOfDate,IF($R93=0,$X93,IF(AND($T93&lt;&gt;"",EDATE($D93,Milestones!$AA$107)&gt;=$T93),$W93,IF(AND($S93&lt;&gt;"",EDATE($D93,Milestones!$AA$107)&gt;=$S93),$V93,$U93)))=Milestones!$AB$107),UPPER(TEXT(EDATE($D93,Milestones!$AA$107),"dd mmm yy"))&amp;" "&amp;Milestones!$AB$107&amp;" "&amp;Milestones!$AC$107&amp;";  ","")&amp;IF(AND(EDATE($D93,Milestones!$AA$108)&lt;=AsOfDate,IF($R93=0,$X93,IF(AND($T93&lt;&gt;"",EDATE($D93,Milestones!$AA$108)&gt;=$T93),$W93,IF(AND($S93&lt;&gt;"",EDATE($D93,Milestones!$AA$108)&gt;=$S93),$V93,$U93)))=Milestones!$AB$108),UPPER(TEXT(EDATE($D93,Milestones!$AA$108),"dd mmm yy"))&amp;" "&amp;Milestones!$AB$108&amp;" "&amp;Milestones!$AC$108&amp;";  ","")&amp;IF(AND(EDATE($D93,Milestones!$AA$109)&lt;=AsOfDate,IF($R93=0,$X93,IF(AND($T93&lt;&gt;"",EDATE($D93,Milestones!$AA$109)&gt;=$T93),$W93,IF(AND($S93&lt;&gt;"",EDATE($D93,Milestones!$AA$109)&gt;=$S93),$V93,$U93)))=Milestones!$AB$109),UPPER(TEXT(EDATE($D93,Milestones!$AA$109),"dd mmm yy"))&amp;" "&amp;Milestones!$AB$109&amp;" "&amp;Milestones!$AC$109&amp;";  ","")&amp;IF(AND(EDATE($D93,Milestones!$AA$110)&lt;=AsOfDate,IF($R93=0,$X93,IF(AND($T93&lt;&gt;"",EDATE($D93,Milestones!$AA$110)&gt;=$T93),$W93,IF(AND($S93&lt;&gt;"",EDATE($D93,Milestones!$AA$110)&gt;=$S93),$V93,$U93)))=Milestones!$AB$110),UPPER(TEXT(EDATE($D93,Milestones!$AA$110),"dd mmm yy"))&amp;" "&amp;Milestones!$AB$110&amp;" "&amp;Milestones!$AC$110&amp;";  ","")&amp;IF(AND(EDATE($D93,Milestones!$AA$111)&lt;=AsOfDate,IF($R93=0,$X93,IF(AND($T93&lt;&gt;"",EDATE($D93,Milestones!$AA$111)&gt;=$T93),$W93,IF(AND($S93&lt;&gt;"",EDATE($D93,Milestones!$AA$111)&gt;=$S93),$V93,$U93)))=Milestones!$AB$111),UPPER(TEXT(EDATE($D93,Milestones!$AA$111),"dd mmm yy"))&amp;" "&amp;Milestones!$AB$111&amp;" "&amp;Milestones!$AC$111&amp;";  ","")&amp;IF(AND(EDATE($D93,Milestones!$AA$112)&lt;=AsOfDate,IF($R93=0,$X93,IF(AND($T93&lt;&gt;"",EDATE($D93,Milestones!$AA$112)&gt;=$T93),$W93,IF(AND($S93&lt;&gt;"",EDATE($D93,Milestones!$AA$112)&gt;=$S93),$V93,$U93)))=Milestones!$AB$112),UPPER(TEXT(EDATE($D93,Milestones!$AA$112),"dd mmm yy"))&amp;" "&amp;Milestones!$AB$112&amp;" "&amp;Milestones!$AC$112&amp;";  ","")&amp;IF(AND(EDATE($D93,Milestones!$AA$113)&lt;=AsOfDate,IF($R93=0,$X93,IF(AND($T93&lt;&gt;"",EDATE($D93,Milestones!$AA$113)&gt;=$T93),$W93,IF(AND($S93&lt;&gt;"",EDATE($D93,Milestones!$AA$113)&gt;=$S93),$V93,$U93)))=Milestones!$AB$113),UPPER(TEXT(EDATE($D93,Milestones!$AA$113),"dd mmm yy"))&amp;" "&amp;Milestones!$AB$113&amp;" "&amp;Milestones!$AC$113&amp;";  ","")&amp;IF(AND(EDATE($D93,Milestones!$AA$114)&lt;=AsOfDate,IF($R93=0,$X93,IF(AND($T93&lt;&gt;"",EDATE($D93,Milestones!$AA$114)&gt;=$T93),$W93,IF(AND($S93&lt;&gt;"",EDATE($D93,Milestones!$AA$114)&gt;=$S93),$V93,$U93)))=Milestones!$AB$114),UPPER(TEXT(EDATE($D93,Milestones!$AA$114),"dd mmm yy"))&amp;" "&amp;Milestones!$AB$114&amp;" "&amp;Milestones!$AC$114&amp;";  ","")&amp;IF(AND(EDATE($D93,Milestones!$AA$115)&lt;=AsOfDate,IF($R93=0,$X93,IF(AND($T93&lt;&gt;"",EDATE($D93,Milestones!$AA$115)&gt;=$T93),$W93,IF(AND($S93&lt;&gt;"",EDATE($D93,Milestones!$AA$115)&gt;=$S93),$V93,$U93)))=Milestones!$AB$115),UPPER(TEXT(EDATE($D93,Milestones!$AA$115),"dd mmm yy"))&amp;" "&amp;Milestones!$AB$115&amp;" "&amp;Milestones!$AC$115&amp;";  ","")&amp;IF(AND(EDATE($D93,Milestones!$AA$116)&lt;=AsOfDate,IF($R93=0,$X93,IF(AND($T93&lt;&gt;"",EDATE($D93,Milestones!$AA$116)&gt;=$T93),$W93,IF(AND($S93&lt;&gt;"",EDATE($D93,Milestones!$AA$116)&gt;=$S93),$V93,$U93)))=Milestones!$AB$116),UPPER(TEXT(EDATE($D93,Milestones!$AA$116),"dd mmm yy"))&amp;" "&amp;Milestones!$AB$116&amp;" "&amp;Milestones!$AC$116&amp;";  ","")&amp;IF(AND(EDATE($D93,Milestones!$AA$117)&lt;=AsOfDate,IF($R93=0,$X93,IF(AND($T93&lt;&gt;"",EDATE($D93,Milestones!$AA$117)&gt;=$T93),$W93,IF(AND($S93&lt;&gt;"",EDATE($D93,Milestones!$AA$117)&gt;=$S93),$V93,$U93)))=Milestones!$AB$117),UPPER(TEXT(EDATE($D93,Milestones!$AA$117),"dd mmm yy"))&amp;" "&amp;Milestones!$AB$117&amp;" "&amp;Milestones!$AC$117&amp;";  ","")&amp;IF(AND(EDATE($D93,Milestones!$AA$118)&lt;=AsOfDate,IF($R93=0,$X93,IF(AND($T93&lt;&gt;"",EDATE($D93,Milestones!$AA$118)&gt;=$T93),$W93,IF(AND($S93&lt;&gt;"",EDATE($D93,Milestones!$AA$118)&gt;=$S93),$V93,$U93)))=Milestones!$AB$118),UPPER(TEXT(EDATE($D93,Milestones!$AA$118),"dd mmm yy"))&amp;" "&amp;Milestones!$AB$118&amp;" "&amp;Milestones!$AC$118&amp;";  ","")&amp;IF(AND(EDATE($D93,Milestones!$AA$119)&lt;=AsOfDate,IF($R93=0,$X93,IF(AND($T93&lt;&gt;"",EDATE($D93,Milestones!$AA$119)&gt;=$T93),$W93,IF(AND($S93&lt;&gt;"",EDATE($D93,Milestones!$AA$119)&gt;=$S93),$V93,$U93)))=Milestones!$AB$119),UPPER(TEXT(EDATE($D93,Milestones!$AA$119),"dd mmm yy"))&amp;" "&amp;Milestones!$AB$119&amp;" "&amp;Milestones!$AC$119&amp;";  ",""))</f>
        <v/>
      </c>
      <c r="N93" s="0" t="str">
        <f aca="false">IF(OR($A93="",$D93=""),"",IF(AND(EDATE($D93,Milestones!$AA$120)&lt;=AsOfDate,IF($R93=0,$X93,IF(AND($T93&lt;&gt;"",EDATE($D93,Milestones!$AA$120)&gt;=$T93),$W93,IF(AND($S93&lt;&gt;"",EDATE($D93,Milestones!$AA$120)&gt;=$S93),$V93,$U93)))=Milestones!$AB$120),UPPER(TEXT(EDATE($D93,Milestones!$AA$120),"dd mmm yy"))&amp;" "&amp;Milestones!$AB$120&amp;" "&amp;Milestones!$AC$120&amp;";  ","")&amp;IF(AND(EDATE($D93,Milestones!$AA$121)&lt;=AsOfDate,IF($R93=0,$X93,IF(AND($T93&lt;&gt;"",EDATE($D93,Milestones!$AA$121)&gt;=$T93),$W93,IF(AND($S93&lt;&gt;"",EDATE($D93,Milestones!$AA$121)&gt;=$S93),$V93,$U93)))=Milestones!$AB$121),UPPER(TEXT(EDATE($D93,Milestones!$AA$121),"dd mmm yy"))&amp;" "&amp;Milestones!$AB$121&amp;" "&amp;Milestones!$AC$121&amp;";  ","")&amp;IF(AND(EDATE($D93,Milestones!$AA$122)&lt;=AsOfDate,IF($R93=0,$X93,IF(AND($T93&lt;&gt;"",EDATE($D93,Milestones!$AA$122)&gt;=$T93),$W93,IF(AND($S93&lt;&gt;"",EDATE($D93,Milestones!$AA$122)&gt;=$S93),$V93,$U93)))=Milestones!$AB$122),UPPER(TEXT(EDATE($D93,Milestones!$AA$122),"dd mmm yy"))&amp;" "&amp;Milestones!$AB$122&amp;" "&amp;Milestones!$AC$122&amp;";  ","")&amp;IF(AND(EDATE($D93,Milestones!$AA$123)&lt;=AsOfDate,IF($R93=0,$X93,IF(AND($T93&lt;&gt;"",EDATE($D93,Milestones!$AA$123)&gt;=$T93),$W93,IF(AND($S93&lt;&gt;"",EDATE($D93,Milestones!$AA$123)&gt;=$S93),$V93,$U93)))=Milestones!$AB$123),UPPER(TEXT(EDATE($D93,Milestones!$AA$123),"dd mmm yy"))&amp;" "&amp;Milestones!$AB$123&amp;" "&amp;Milestones!$AC$123&amp;";  ","")&amp;IF(AND(EDATE($D93,Milestones!$AA$124)&lt;=AsOfDate,IF($R93=0,$X93,IF(AND($T93&lt;&gt;"",EDATE($D93,Milestones!$AA$124)&gt;=$T93),$W93,IF(AND($S93&lt;&gt;"",EDATE($D93,Milestones!$AA$124)&gt;=$S93),$V93,$U93)))=Milestones!$AB$124),UPPER(TEXT(EDATE($D93,Milestones!$AA$124),"dd mmm yy"))&amp;" "&amp;Milestones!$AB$124&amp;" "&amp;Milestones!$AC$124&amp;";  ","")&amp;IF(AND(EDATE($D93,Milestones!$AA$125)&lt;=AsOfDate,IF($R93=0,$X93,IF(AND($T93&lt;&gt;"",EDATE($D93,Milestones!$AA$125)&gt;=$T93),$W93,IF(AND($S93&lt;&gt;"",EDATE($D93,Milestones!$AA$125)&gt;=$S93),$V93,$U93)))=Milestones!$AB$125),UPPER(TEXT(EDATE($D93,Milestones!$AA$125),"dd mmm yy"))&amp;" "&amp;Milestones!$AB$125&amp;" "&amp;Milestones!$AC$125&amp;";  ","")&amp;IF(AND(EDATE($D93,Milestones!$AA$126)&lt;=AsOfDate,IF($R93=0,$X93,IF(AND($T93&lt;&gt;"",EDATE($D93,Milestones!$AA$126)&gt;=$T93),$W93,IF(AND($S93&lt;&gt;"",EDATE($D93,Milestones!$AA$126)&gt;=$S93),$V93,$U93)))=Milestones!$AB$126),UPPER(TEXT(EDATE($D93,Milestones!$AA$126),"dd mmm yy"))&amp;" "&amp;Milestones!$AB$126&amp;" "&amp;Milestones!$AC$126&amp;";  ","")&amp;IF(AND(EDATE($D93,Milestones!$AA$127)&lt;=AsOfDate,IF($R93=0,$X93,IF(AND($T93&lt;&gt;"",EDATE($D93,Milestones!$AA$127)&gt;=$T93),$W93,IF(AND($S93&lt;&gt;"",EDATE($D93,Milestones!$AA$127)&gt;=$S93),$V93,$U93)))=Milestones!$AB$127),UPPER(TEXT(EDATE($D93,Milestones!$AA$127),"dd mmm yy"))&amp;" "&amp;Milestones!$AB$127&amp;" "&amp;Milestones!$AC$127&amp;";  ","")&amp;IF(AND(EDATE($D93,Milestones!$AA$128)&lt;=AsOfDate,IF($R93=0,$X93,IF(AND($T93&lt;&gt;"",EDATE($D93,Milestones!$AA$128)&gt;=$T93),$W93,IF(AND($S93&lt;&gt;"",EDATE($D93,Milestones!$AA$128)&gt;=$S93),$V93,$U93)))=Milestones!$AB$128),UPPER(TEXT(EDATE($D93,Milestones!$AA$128),"dd mmm yy"))&amp;" "&amp;Milestones!$AB$128&amp;" "&amp;Milestones!$AC$128&amp;";  ","")&amp;IF(AND(EDATE($D93,Milestones!$AA$129)&lt;=AsOfDate,IF($R93=0,$X93,IF(AND($T93&lt;&gt;"",EDATE($D93,Milestones!$AA$129)&gt;=$T93),$W93,IF(AND($S93&lt;&gt;"",EDATE($D93,Milestones!$AA$129)&gt;=$S93),$V93,$U93)))=Milestones!$AB$129),UPPER(TEXT(EDATE($D93,Milestones!$AA$129),"dd mmm yy"))&amp;" "&amp;Milestones!$AB$129&amp;" "&amp;Milestones!$AC$129&amp;";  ","")&amp;IF(AND(EDATE($D93,Milestones!$AA$130)&lt;=AsOfDate,IF($R93=0,$X93,IF(AND($T93&lt;&gt;"",EDATE($D93,Milestones!$AA$130)&gt;=$T93),$W93,IF(AND($S93&lt;&gt;"",EDATE($D93,Milestones!$AA$130)&gt;=$S93),$V93,$U93)))=Milestones!$AB$130),UPPER(TEXT(EDATE($D93,Milestones!$AA$130),"dd mmm yy"))&amp;" "&amp;Milestones!$AB$130&amp;" "&amp;Milestones!$AC$130&amp;";  ","")&amp;IF(AND(EDATE($D93,Milestones!$AA$131)&lt;=AsOfDate,IF($R93=0,$X93,IF(AND($T93&lt;&gt;"",EDATE($D93,Milestones!$AA$131)&gt;=$T93),$W93,IF(AND($S93&lt;&gt;"",EDATE($D93,Milestones!$AA$131)&gt;=$S93),$V93,$U93)))=Milestones!$AB$131),UPPER(TEXT(EDATE($D93,Milestones!$AA$131),"dd mmm yy"))&amp;" "&amp;Milestones!$AB$131&amp;" "&amp;Milestones!$AC$131&amp;";  ","")&amp;IF(AND(EDATE($D93,Milestones!$AA$132)&lt;=AsOfDate,IF($R93=0,$X93,IF(AND($T93&lt;&gt;"",EDATE($D93,Milestones!$AA$132)&gt;=$T93),$W93,IF(AND($S93&lt;&gt;"",EDATE($D93,Milestones!$AA$132)&gt;=$S93),$V93,$U93)))=Milestones!$AB$132),UPPER(TEXT(EDATE($D93,Milestones!$AA$132),"dd mmm yy"))&amp;" "&amp;Milestones!$AB$132&amp;" "&amp;Milestones!$AC$132&amp;";  ","")&amp;IF(AND(EDATE($D93,Milestones!$AA$133)&lt;=AsOfDate,IF($R93=0,$X93,IF(AND($T93&lt;&gt;"",EDATE($D93,Milestones!$AA$133)&gt;=$T93),$W93,IF(AND($S93&lt;&gt;"",EDATE($D93,Milestones!$AA$133)&gt;=$S93),$V93,$U93)))=Milestones!$AB$133),UPPER(TEXT(EDATE($D93,Milestones!$AA$133),"dd mmm yy"))&amp;" "&amp;Milestones!$AB$133&amp;" "&amp;Milestones!$AC$133&amp;";  ","")&amp;IF(AND(EDATE($D93,Milestones!$AA$134)&lt;=AsOfDate,IF($R93=0,$X93,IF(AND($T93&lt;&gt;"",EDATE($D93,Milestones!$AA$134)&gt;=$T93),$W93,IF(AND($S93&lt;&gt;"",EDATE($D93,Milestones!$AA$134)&gt;=$S93),$V93,$U93)))=Milestones!$AB$134),UPPER(TEXT(EDATE($D93,Milestones!$AA$134),"dd mmm yy"))&amp;" "&amp;Milestones!$AB$134&amp;" "&amp;Milestones!$AC$134&amp;";  ","")&amp;IF(AND(EDATE($D93,Milestones!$AA$135)&lt;=AsOfDate,IF($R93=0,$X93,IF(AND($T93&lt;&gt;"",EDATE($D93,Milestones!$AA$135)&gt;=$T93),$W93,IF(AND($S93&lt;&gt;"",EDATE($D93,Milestones!$AA$135)&gt;=$S93),$V93,$U93)))=Milestones!$AB$135),UPPER(TEXT(EDATE($D93,Milestones!$AA$135),"dd mmm yy"))&amp;" "&amp;Milestones!$AB$135&amp;" "&amp;Milestones!$AC$135&amp;";  ","")&amp;IF(AND(EDATE($D93,Milestones!$AA$136)&lt;=AsOfDate,IF($R93=0,$X93,IF(AND($T93&lt;&gt;"",EDATE($D93,Milestones!$AA$136)&gt;=$T93),$W93,IF(AND($S93&lt;&gt;"",EDATE($D93,Milestones!$AA$136)&gt;=$S93),$V93,$U93)))=Milestones!$AB$136),UPPER(TEXT(EDATE($D93,Milestones!$AA$136),"dd mmm yy"))&amp;" "&amp;Milestones!$AB$136&amp;" "&amp;Milestones!$AC$136&amp;";  ","")&amp;IF(AND(EDATE($D93,Milestones!$AA$137)&lt;=AsOfDate,IF($R93=0,$X93,IF(AND($T93&lt;&gt;"",EDATE($D93,Milestones!$AA$137)&gt;=$T93),$W93,IF(AND($S93&lt;&gt;"",EDATE($D93,Milestones!$AA$137)&gt;=$S93),$V93,$U93)))=Milestones!$AB$137),UPPER(TEXT(EDATE($D93,Milestones!$AA$137),"dd mmm yy"))&amp;" "&amp;Milestones!$AB$137&amp;" "&amp;Milestones!$AC$137&amp;";  ","")&amp;IF(AND(EDATE($D93,Milestones!$AA$138)&lt;=AsOfDate,IF($R93=0,$X93,IF(AND($T93&lt;&gt;"",EDATE($D93,Milestones!$AA$138)&gt;=$T93),$W93,IF(AND($S93&lt;&gt;"",EDATE($D93,Milestones!$AA$138)&gt;=$S93),$V93,$U93)))=Milestones!$AB$138),UPPER(TEXT(EDATE($D93,Milestones!$AA$138),"dd mmm yy"))&amp;" "&amp;Milestones!$AB$138&amp;" "&amp;Milestones!$AC$138&amp;";  ","")&amp;IF(AND(EDATE($D93,Milestones!$AA$139)&lt;=AsOfDate,IF($R93=0,$X93,IF(AND($T93&lt;&gt;"",EDATE($D93,Milestones!$AA$139)&gt;=$T93),$W93,IF(AND($S93&lt;&gt;"",EDATE($D93,Milestones!$AA$139)&gt;=$S93),$V93,$U93)))=Milestones!$AB$139),UPPER(TEXT(EDATE($D93,Milestones!$AA$139),"dd mmm yy"))&amp;" "&amp;Milestones!$AB$139&amp;" "&amp;Milestones!$AC$139&amp;";  ",""))</f>
        <v/>
      </c>
      <c r="O93" s="0" t="str">
        <f aca="false">IF(OR($A93="",$D93=""),"",IF(AND(EDATE($D93,Milestones!$AA$140)&lt;=AsOfDate,IF($R93=0,$X93,IF(AND($T93&lt;&gt;"",EDATE($D93,Milestones!$AA$140)&gt;=$T93),$W93,IF(AND($S93&lt;&gt;"",EDATE($D93,Milestones!$AA$140)&gt;=$S93),$V93,$U93)))=Milestones!$AB$140),UPPER(TEXT(EDATE($D93,Milestones!$AA$140),"dd mmm yy"))&amp;" "&amp;Milestones!$AB$140&amp;" "&amp;Milestones!$AC$140&amp;";  ","")&amp;IF(AND(EDATE($D93,Milestones!$AA$141)&lt;=AsOfDate,IF($R93=0,$X93,IF(AND($T93&lt;&gt;"",EDATE($D93,Milestones!$AA$141)&gt;=$T93),$W93,IF(AND($S93&lt;&gt;"",EDATE($D93,Milestones!$AA$141)&gt;=$S93),$V93,$U93)))=Milestones!$AB$141),UPPER(TEXT(EDATE($D93,Milestones!$AA$141),"dd mmm yy"))&amp;" "&amp;Milestones!$AB$141&amp;" "&amp;Milestones!$AC$141&amp;";  ","")&amp;IF(AND(EDATE($D93,Milestones!$AA$142)&lt;=AsOfDate,IF($R93=0,$X93,IF(AND($T93&lt;&gt;"",EDATE($D93,Milestones!$AA$142)&gt;=$T93),$W93,IF(AND($S93&lt;&gt;"",EDATE($D93,Milestones!$AA$142)&gt;=$S93),$V93,$U93)))=Milestones!$AB$142),UPPER(TEXT(EDATE($D93,Milestones!$AA$142),"dd mmm yy"))&amp;" "&amp;Milestones!$AB$142&amp;" "&amp;Milestones!$AC$142&amp;";  ","")&amp;IF(AND(EDATE($D93,Milestones!$AA$143)&lt;=AsOfDate,IF($R93=0,$X93,IF(AND($T93&lt;&gt;"",EDATE($D93,Milestones!$AA$143)&gt;=$T93),$W93,IF(AND($S93&lt;&gt;"",EDATE($D93,Milestones!$AA$143)&gt;=$S93),$V93,$U93)))=Milestones!$AB$143),UPPER(TEXT(EDATE($D93,Milestones!$AA$143),"dd mmm yy"))&amp;" "&amp;Milestones!$AB$143&amp;" "&amp;Milestones!$AC$143&amp;";  ","")&amp;IF(AND(EDATE($D93,Milestones!$AA$144)&lt;=AsOfDate,IF($R93=0,$X93,IF(AND($T93&lt;&gt;"",EDATE($D93,Milestones!$AA$144)&gt;=$T93),$W93,IF(AND($S93&lt;&gt;"",EDATE($D93,Milestones!$AA$144)&gt;=$S93),$V93,$U93)))=Milestones!$AB$144),UPPER(TEXT(EDATE($D93,Milestones!$AA$144),"dd mmm yy"))&amp;" "&amp;Milestones!$AB$144&amp;" "&amp;Milestones!$AC$144&amp;";  ","")&amp;IF(AND(EDATE($D93,Milestones!$AA$145)&lt;=AsOfDate,IF($R93=0,$X93,IF(AND($T93&lt;&gt;"",EDATE($D93,Milestones!$AA$145)&gt;=$T93),$W93,IF(AND($S93&lt;&gt;"",EDATE($D93,Milestones!$AA$145)&gt;=$S93),$V93,$U93)))=Milestones!$AB$145),UPPER(TEXT(EDATE($D93,Milestones!$AA$145),"dd mmm yy"))&amp;" "&amp;Milestones!$AB$145&amp;" "&amp;Milestones!$AC$145&amp;";  ","")&amp;IF(AND(EDATE($D93,Milestones!$AA$146)&lt;=AsOfDate,IF($R93=0,$X93,IF(AND($T93&lt;&gt;"",EDATE($D93,Milestones!$AA$146)&gt;=$T93),$W93,IF(AND($S93&lt;&gt;"",EDATE($D93,Milestones!$AA$146)&gt;=$S93),$V93,$U93)))=Milestones!$AB$146),UPPER(TEXT(EDATE($D93,Milestones!$AA$146),"dd mmm yy"))&amp;" "&amp;Milestones!$AB$146&amp;" "&amp;Milestones!$AC$146&amp;";  ","")&amp;IF(AND(EDATE($D93,Milestones!$AA$147)&lt;=AsOfDate,IF($R93=0,$X93,IF(AND($T93&lt;&gt;"",EDATE($D93,Milestones!$AA$147)&gt;=$T93),$W93,IF(AND($S93&lt;&gt;"",EDATE($D93,Milestones!$AA$147)&gt;=$S93),$V93,$U93)))=Milestones!$AB$147),UPPER(TEXT(EDATE($D93,Milestones!$AA$147),"dd mmm yy"))&amp;" "&amp;Milestones!$AB$147&amp;" "&amp;Milestones!$AC$147&amp;";  ","")&amp;IF(AND(EDATE($D93,Milestones!$AA$148)&lt;=AsOfDate,IF($R93=0,$X93,IF(AND($T93&lt;&gt;"",EDATE($D93,Milestones!$AA$148)&gt;=$T93),$W93,IF(AND($S93&lt;&gt;"",EDATE($D93,Milestones!$AA$148)&gt;=$S93),$V93,$U93)))=Milestones!$AB$148),UPPER(TEXT(EDATE($D93,Milestones!$AA$148),"dd mmm yy"))&amp;" "&amp;Milestones!$AB$148&amp;" "&amp;Milestones!$AC$148&amp;";  ","")&amp;IF(AND(EDATE($D93,Milestones!$AA$149)&lt;=AsOfDate,IF($R93=0,$X93,IF(AND($T93&lt;&gt;"",EDATE($D93,Milestones!$AA$149)&gt;=$T93),$W93,IF(AND($S93&lt;&gt;"",EDATE($D93,Milestones!$AA$149)&gt;=$S93),$V93,$U93)))=Milestones!$AB$149),UPPER(TEXT(EDATE($D93,Milestones!$AA$149),"dd mmm yy"))&amp;" "&amp;Milestones!$AB$149&amp;" "&amp;Milestones!$AC$149&amp;";  ","")&amp;IF(AND(EDATE($D93,Milestones!$AA$150)&lt;=AsOfDate,IF($R93=0,$X93,IF(AND($T93&lt;&gt;"",EDATE($D93,Milestones!$AA$150)&gt;=$T93),$W93,IF(AND($S93&lt;&gt;"",EDATE($D93,Milestones!$AA$150)&gt;=$S93),$V93,$U93)))=Milestones!$AB$150),UPPER(TEXT(EDATE($D93,Milestones!$AA$150),"dd mmm yy"))&amp;" "&amp;Milestones!$AB$150&amp;" "&amp;Milestones!$AC$150&amp;";  ","")&amp;IF(AND(EDATE($D93,Milestones!$AA$151)&lt;=AsOfDate,IF($R93=0,$X93,IF(AND($T93&lt;&gt;"",EDATE($D93,Milestones!$AA$151)&gt;=$T93),$W93,IF(AND($S93&lt;&gt;"",EDATE($D93,Milestones!$AA$151)&gt;=$S93),$V93,$U93)))=Milestones!$AB$151),UPPER(TEXT(EDATE($D93,Milestones!$AA$151),"dd mmm yy"))&amp;" "&amp;Milestones!$AB$151&amp;" "&amp;Milestones!$AC$151&amp;";  ","")&amp;IF(AND(EDATE($D93,Milestones!$AA$152)&lt;=AsOfDate,IF($R93=0,$X93,IF(AND($T93&lt;&gt;"",EDATE($D93,Milestones!$AA$152)&gt;=$T93),$W93,IF(AND($S93&lt;&gt;"",EDATE($D93,Milestones!$AA$152)&gt;=$S93),$V93,$U93)))=Milestones!$AB$152),UPPER(TEXT(EDATE($D93,Milestones!$AA$152),"dd mmm yy"))&amp;" "&amp;Milestones!$AB$152&amp;" "&amp;Milestones!$AC$152&amp;";  ","")&amp;IF(AND(EDATE($D93,Milestones!$AA$153)&lt;=AsOfDate,IF($R93=0,$X93,IF(AND($T93&lt;&gt;"",EDATE($D93,Milestones!$AA$153)&gt;=$T93),$W93,IF(AND($S93&lt;&gt;"",EDATE($D93,Milestones!$AA$153)&gt;=$S93),$V93,$U93)))=Milestones!$AB$153),UPPER(TEXT(EDATE($D93,Milestones!$AA$153),"dd mmm yy"))&amp;" "&amp;Milestones!$AB$153&amp;" "&amp;Milestones!$AC$153&amp;";  ","")&amp;IF(AND(EDATE($D93,Milestones!$AA$154)&lt;=AsOfDate,IF($R93=0,$X93,IF(AND($T93&lt;&gt;"",EDATE($D93,Milestones!$AA$154)&gt;=$T93),$W93,IF(AND($S93&lt;&gt;"",EDATE($D93,Milestones!$AA$154)&gt;=$S93),$V93,$U93)))=Milestones!$AB$154),UPPER(TEXT(EDATE($D93,Milestones!$AA$154),"dd mmm yy"))&amp;" "&amp;Milestones!$AB$154&amp;" "&amp;Milestones!$AC$154&amp;";  ","")&amp;IF(AND(EDATE($D93,Milestones!$AA$155)&lt;=AsOfDate,IF($R93=0,$X93,IF(AND($T93&lt;&gt;"",EDATE($D93,Milestones!$AA$155)&gt;=$T93),$W93,IF(AND($S93&lt;&gt;"",EDATE($D93,Milestones!$AA$155)&gt;=$S93),$V93,$U93)))=Milestones!$AB$155),UPPER(TEXT(EDATE($D93,Milestones!$AA$155),"dd mmm yy"))&amp;" "&amp;Milestones!$AB$155&amp;" "&amp;Milestones!$AC$155&amp;";  ","")&amp;IF(AND(EDATE($D93,Milestones!$AA$156)&lt;=AsOfDate,IF($R93=0,$X93,IF(AND($T93&lt;&gt;"",EDATE($D93,Milestones!$AA$156)&gt;=$T93),$W93,IF(AND($S93&lt;&gt;"",EDATE($D93,Milestones!$AA$156)&gt;=$S93),$V93,$U93)))=Milestones!$AB$156),UPPER(TEXT(EDATE($D93,Milestones!$AA$156),"dd mmm yy"))&amp;" "&amp;Milestones!$AB$156&amp;" "&amp;Milestones!$AC$156&amp;";  ","")&amp;IF(AND(EDATE($D93,Milestones!$AA$157)&lt;=AsOfDate,IF($R93=0,$X93,IF(AND($T93&lt;&gt;"",EDATE($D93,Milestones!$AA$157)&gt;=$T93),$W93,IF(AND($S93&lt;&gt;"",EDATE($D93,Milestones!$AA$157)&gt;=$S93),$V93,$U93)))=Milestones!$AB$157),UPPER(TEXT(EDATE($D93,Milestones!$AA$157),"dd mmm yy"))&amp;" "&amp;Milestones!$AB$157&amp;" "&amp;Milestones!$AC$157&amp;";  ","")&amp;IF(AND(EDATE($D93,Milestones!$AA$158)&lt;=AsOfDate,IF($R93=0,$X93,IF(AND($T93&lt;&gt;"",EDATE($D93,Milestones!$AA$158)&gt;=$T93),$W93,IF(AND($S93&lt;&gt;"",EDATE($D93,Milestones!$AA$158)&gt;=$S93),$V93,$U93)))=Milestones!$AB$158),UPPER(TEXT(EDATE($D93,Milestones!$AA$158),"dd mmm yy"))&amp;" "&amp;Milestones!$AB$158&amp;" "&amp;Milestones!$AC$158&amp;";  ","")&amp;IF(AND(EDATE($D93,Milestones!$AA$159)&lt;=AsOfDate,IF($R93=0,$X93,IF(AND($T93&lt;&gt;"",EDATE($D93,Milestones!$AA$159)&gt;=$T93),$W93,IF(AND($S93&lt;&gt;"",EDATE($D93,Milestones!$AA$159)&gt;=$S93),$V93,$U93)))=Milestones!$AB$159),UPPER(TEXT(EDATE($D93,Milestones!$AA$159),"dd mmm yy"))&amp;" "&amp;Milestones!$AB$159&amp;" "&amp;Milestones!$AC$159&amp;";  ",""))</f>
        <v/>
      </c>
      <c r="P93" s="0" t="str">
        <f aca="false">IF(OR($A93="",$D93=""),"",IF(AND(EDATE($D93,Milestones!$AA$160)&lt;=AsOfDate,IF($R93=0,$X93,IF(AND($T93&lt;&gt;"",EDATE($D93,Milestones!$AA$160)&gt;=$T93),$W93,IF(AND($S93&lt;&gt;"",EDATE($D93,Milestones!$AA$160)&gt;=$S93),$V93,$U93)))=Milestones!$AB$160),UPPER(TEXT(EDATE($D93,Milestones!$AA$160),"dd mmm yy"))&amp;" "&amp;Milestones!$AB$160&amp;" "&amp;Milestones!$AC$160&amp;";  ","")&amp;IF(AND(EDATE($D93,Milestones!$AA$161)&lt;=AsOfDate,IF($R93=0,$X93,IF(AND($T93&lt;&gt;"",EDATE($D93,Milestones!$AA$161)&gt;=$T93),$W93,IF(AND($S93&lt;&gt;"",EDATE($D93,Milestones!$AA$161)&gt;=$S93),$V93,$U93)))=Milestones!$AB$161),UPPER(TEXT(EDATE($D93,Milestones!$AA$161),"dd mmm yy"))&amp;" "&amp;Milestones!$AB$161&amp;" "&amp;Milestones!$AC$161&amp;";  ","")&amp;IF(AND(EDATE($D93,Milestones!$AA$162)&lt;=AsOfDate,IF($R93=0,$X93,IF(AND($T93&lt;&gt;"",EDATE($D93,Milestones!$AA$162)&gt;=$T93),$W93,IF(AND($S93&lt;&gt;"",EDATE($D93,Milestones!$AA$162)&gt;=$S93),$V93,$U93)))=Milestones!$AB$162),UPPER(TEXT(EDATE($D93,Milestones!$AA$162),"dd mmm yy"))&amp;" "&amp;Milestones!$AB$162&amp;" "&amp;Milestones!$AC$162&amp;";  ","")&amp;IF(AND(EDATE($D93,Milestones!$AA$163)&lt;=AsOfDate,IF($R93=0,$X93,IF(AND($T93&lt;&gt;"",EDATE($D93,Milestones!$AA$163)&gt;=$T93),$W93,IF(AND($S93&lt;&gt;"",EDATE($D93,Milestones!$AA$163)&gt;=$S93),$V93,$U93)))=Milestones!$AB$163),UPPER(TEXT(EDATE($D93,Milestones!$AA$163),"dd mmm yy"))&amp;" "&amp;Milestones!$AB$163&amp;" "&amp;Milestones!$AC$163&amp;";  ","")&amp;IF(AND(EDATE($D93,Milestones!$AA$164)&lt;=AsOfDate,IF($R93=0,$X93,IF(AND($T93&lt;&gt;"",EDATE($D93,Milestones!$AA$164)&gt;=$T93),$W93,IF(AND($S93&lt;&gt;"",EDATE($D93,Milestones!$AA$164)&gt;=$S93),$V93,$U93)))=Milestones!$AB$164),UPPER(TEXT(EDATE($D93,Milestones!$AA$164),"dd mmm yy"))&amp;" "&amp;Milestones!$AB$164&amp;" "&amp;Milestones!$AC$164&amp;";  ","")&amp;IF(AND(EDATE($D93,Milestones!$AA$165)&lt;=AsOfDate,IF($R93=0,$X93,IF(AND($T93&lt;&gt;"",EDATE($D93,Milestones!$AA$165)&gt;=$T93),$W93,IF(AND($S93&lt;&gt;"",EDATE($D93,Milestones!$AA$165)&gt;=$S93),$V93,$U93)))=Milestones!$AB$165),UPPER(TEXT(EDATE($D93,Milestones!$AA$165),"dd mmm yy"))&amp;" "&amp;Milestones!$AB$165&amp;" "&amp;Milestones!$AC$165&amp;";  ","")&amp;IF(AND(EDATE($D93,Milestones!$AA$166)&lt;=AsOfDate,IF($R93=0,$X93,IF(AND($T93&lt;&gt;"",EDATE($D93,Milestones!$AA$166)&gt;=$T93),$W93,IF(AND($S93&lt;&gt;"",EDATE($D93,Milestones!$AA$166)&gt;=$S93),$V93,$U93)))=Milestones!$AB$166),UPPER(TEXT(EDATE($D93,Milestones!$AA$166),"dd mmm yy"))&amp;" "&amp;Milestones!$AB$166&amp;" "&amp;Milestones!$AC$166&amp;";  ","")&amp;IF(AND(EDATE($D93,Milestones!$AA$167)&lt;=AsOfDate,IF($R93=0,$X93,IF(AND($T93&lt;&gt;"",EDATE($D93,Milestones!$AA$167)&gt;=$T93),$W93,IF(AND($S93&lt;&gt;"",EDATE($D93,Milestones!$AA$167)&gt;=$S93),$V93,$U93)))=Milestones!$AB$167),UPPER(TEXT(EDATE($D93,Milestones!$AA$167),"dd mmm yy"))&amp;" "&amp;Milestones!$AB$167&amp;" "&amp;Milestones!$AC$167&amp;";  ","")&amp;IF(AND(EDATE($D93,Milestones!$AA$168)&lt;=AsOfDate,IF($R93=0,$X93,IF(AND($T93&lt;&gt;"",EDATE($D93,Milestones!$AA$168)&gt;=$T93),$W93,IF(AND($S93&lt;&gt;"",EDATE($D93,Milestones!$AA$168)&gt;=$S93),$V93,$U93)))=Milestones!$AB$168),UPPER(TEXT(EDATE($D93,Milestones!$AA$168),"dd mmm yy"))&amp;" "&amp;Milestones!$AB$168&amp;" "&amp;Milestones!$AC$168&amp;";  ","")&amp;IF(AND(EDATE($D93,Milestones!$AA$169)&lt;=AsOfDate,IF($R93=0,$X93,IF(AND($T93&lt;&gt;"",EDATE($D93,Milestones!$AA$169)&gt;=$T93),$W93,IF(AND($S93&lt;&gt;"",EDATE($D93,Milestones!$AA$169)&gt;=$S93),$V93,$U93)))=Milestones!$AB$169),UPPER(TEXT(EDATE($D93,Milestones!$AA$169),"dd mmm yy"))&amp;" "&amp;Milestones!$AB$169&amp;" "&amp;Milestones!$AC$169&amp;";  ","")&amp;IF(AND(EDATE($D93,Milestones!$AA$170)&lt;=AsOfDate,IF($R93=0,$X93,IF(AND($T93&lt;&gt;"",EDATE($D93,Milestones!$AA$170)&gt;=$T93),$W93,IF(AND($S93&lt;&gt;"",EDATE($D93,Milestones!$AA$170)&gt;=$S93),$V93,$U93)))=Milestones!$AB$170),UPPER(TEXT(EDATE($D93,Milestones!$AA$170),"dd mmm yy"))&amp;" "&amp;Milestones!$AB$170&amp;" "&amp;Milestones!$AC$170&amp;";  ","")&amp;IF(AND(EDATE($D93,Milestones!$AA$171)&lt;=AsOfDate,IF($R93=0,$X93,IF(AND($T93&lt;&gt;"",EDATE($D93,Milestones!$AA$171)&gt;=$T93),$W93,IF(AND($S93&lt;&gt;"",EDATE($D93,Milestones!$AA$171)&gt;=$S93),$V93,$U93)))=Milestones!$AB$171),UPPER(TEXT(EDATE($D93,Milestones!$AA$171),"dd mmm yy"))&amp;" "&amp;Milestones!$AB$171&amp;" "&amp;Milestones!$AC$171&amp;";  ","")&amp;IF(AND(EDATE($D93,Milestones!$AA$172)&lt;=AsOfDate,IF($R93=0,$X93,IF(AND($T93&lt;&gt;"",EDATE($D93,Milestones!$AA$172)&gt;=$T93),$W93,IF(AND($S93&lt;&gt;"",EDATE($D93,Milestones!$AA$172)&gt;=$S93),$V93,$U93)))=Milestones!$AB$172),UPPER(TEXT(EDATE($D93,Milestones!$AA$172),"dd mmm yy"))&amp;" "&amp;Milestones!$AB$172&amp;" "&amp;Milestones!$AC$172&amp;";  ","")&amp;IF(AND(EDATE($D93,Milestones!$AA$173)&lt;=AsOfDate,IF($R93=0,$X93,IF(AND($T93&lt;&gt;"",EDATE($D93,Milestones!$AA$173)&gt;=$T93),$W93,IF(AND($S93&lt;&gt;"",EDATE($D93,Milestones!$AA$173)&gt;=$S93),$V93,$U93)))=Milestones!$AB$173),UPPER(TEXT(EDATE($D93,Milestones!$AA$173),"dd mmm yy"))&amp;" "&amp;Milestones!$AB$173&amp;" "&amp;Milestones!$AC$173&amp;";  ","")&amp;IF(AND(EDATE($D93,Milestones!$AA$174)&lt;=AsOfDate,IF($R93=0,$X93,IF(AND($T93&lt;&gt;"",EDATE($D93,Milestones!$AA$174)&gt;=$T93),$W93,IF(AND($S93&lt;&gt;"",EDATE($D93,Milestones!$AA$174)&gt;=$S93),$V93,$U93)))=Milestones!$AB$174),UPPER(TEXT(EDATE($D93,Milestones!$AA$174),"dd mmm yy"))&amp;" "&amp;Milestones!$AB$174&amp;" "&amp;Milestones!$AC$174&amp;";  ","")&amp;IF(AND(EDATE($D93,Milestones!$AA$175)&lt;=AsOfDate,IF($R93=0,$X93,IF(AND($T93&lt;&gt;"",EDATE($D93,Milestones!$AA$175)&gt;=$T93),$W93,IF(AND($S93&lt;&gt;"",EDATE($D93,Milestones!$AA$175)&gt;=$S93),$V93,$U93)))=Milestones!$AB$175),UPPER(TEXT(EDATE($D93,Milestones!$AA$175),"dd mmm yy"))&amp;" "&amp;Milestones!$AB$175&amp;" "&amp;Milestones!$AC$175&amp;";  ","")&amp;IF(AND(EDATE($D93,Milestones!$AA$176)&lt;=AsOfDate,IF($R93=0,$X93,IF(AND($T93&lt;&gt;"",EDATE($D93,Milestones!$AA$176)&gt;=$T93),$W93,IF(AND($S93&lt;&gt;"",EDATE($D93,Milestones!$AA$176)&gt;=$S93),$V93,$U93)))=Milestones!$AB$176),UPPER(TEXT(EDATE($D93,Milestones!$AA$176),"dd mmm yy"))&amp;" "&amp;Milestones!$AB$176&amp;" "&amp;Milestones!$AC$176&amp;";  ","")&amp;IF(AND(EDATE($D93,Milestones!$AA$177)&lt;=AsOfDate,IF($R93=0,$X93,IF(AND($T93&lt;&gt;"",EDATE($D93,Milestones!$AA$177)&gt;=$T93),$W93,IF(AND($S93&lt;&gt;"",EDATE($D93,Milestones!$AA$177)&gt;=$S93),$V93,$U93)))=Milestones!$AB$177),UPPER(TEXT(EDATE($D93,Milestones!$AA$177),"dd mmm yy"))&amp;" "&amp;Milestones!$AB$177&amp;" "&amp;Milestones!$AC$177&amp;";  ","")&amp;IF(AND(EDATE($D93,Milestones!$AA$178)&lt;=AsOfDate,IF($R93=0,$X93,IF(AND($T93&lt;&gt;"",EDATE($D93,Milestones!$AA$178)&gt;=$T93),$W93,IF(AND($S93&lt;&gt;"",EDATE($D93,Milestones!$AA$178)&gt;=$S93),$V93,$U93)))=Milestones!$AB$178),UPPER(TEXT(EDATE($D93,Milestones!$AA$178),"dd mmm yy"))&amp;" "&amp;Milestones!$AB$178&amp;" "&amp;Milestones!$AC$178&amp;";  ","")&amp;IF(AND(EDATE($D93,Milestones!$AA$179)&lt;=AsOfDate,IF($R93=0,$X93,IF(AND($T93&lt;&gt;"",EDATE($D93,Milestones!$AA$179)&gt;=$T93),$W93,IF(AND($S93&lt;&gt;"",EDATE($D93,Milestones!$AA$179)&gt;=$S93),$V93,$U93)))=Milestones!$AB$179),UPPER(TEXT(EDATE($D93,Milestones!$AA$179),"dd mmm yy"))&amp;" "&amp;Milestones!$AB$179&amp;" "&amp;Milestones!$AC$179&amp;";  ",""))</f>
        <v/>
      </c>
      <c r="Q93" s="0" t="str">
        <f aca="false">IF(OR($A93="",$D93=""),"",IF(AND(EDATE($D93,Milestones!$AA$180)&lt;=AsOfDate,IF($R93=0,$X93,IF(AND($T93&lt;&gt;"",EDATE($D93,Milestones!$AA$180)&gt;=$T93),$W93,IF(AND($S93&lt;&gt;"",EDATE($D93,Milestones!$AA$180)&gt;=$S93),$V93,$U93)))=Milestones!$AB$180),UPPER(TEXT(EDATE($D93,Milestones!$AA$180),"dd mmm yy"))&amp;" "&amp;Milestones!$AB$180&amp;" "&amp;Milestones!$AC$180&amp;";  ","")&amp;IF(AND(EDATE($D93,Milestones!$AA$181)&lt;=AsOfDate,IF($R93=0,$X93,IF(AND($T93&lt;&gt;"",EDATE($D93,Milestones!$AA$181)&gt;=$T93),$W93,IF(AND($S93&lt;&gt;"",EDATE($D93,Milestones!$AA$181)&gt;=$S93),$V93,$U93)))=Milestones!$AB$181),UPPER(TEXT(EDATE($D93,Milestones!$AA$181),"dd mmm yy"))&amp;" "&amp;Milestones!$AB$181&amp;" "&amp;Milestones!$AC$181&amp;";  ","")&amp;IF(AND(EDATE($D93,Milestones!$AA$182)&lt;=AsOfDate,IF($R93=0,$X93,IF(AND($T93&lt;&gt;"",EDATE($D93,Milestones!$AA$182)&gt;=$T93),$W93,IF(AND($S93&lt;&gt;"",EDATE($D93,Milestones!$AA$182)&gt;=$S93),$V93,$U93)))=Milestones!$AB$182),UPPER(TEXT(EDATE($D93,Milestones!$AA$182),"dd mmm yy"))&amp;" "&amp;Milestones!$AB$182&amp;" "&amp;Milestones!$AC$182&amp;";  ","")&amp;IF(AND(EDATE($D93,Milestones!$AA$183)&lt;=AsOfDate,IF($R93=0,$X93,IF(AND($T93&lt;&gt;"",EDATE($D93,Milestones!$AA$183)&gt;=$T93),$W93,IF(AND($S93&lt;&gt;"",EDATE($D93,Milestones!$AA$183)&gt;=$S93),$V93,$U93)))=Milestones!$AB$183),UPPER(TEXT(EDATE($D93,Milestones!$AA$183),"dd mmm yy"))&amp;" "&amp;Milestones!$AB$183&amp;" "&amp;Milestones!$AC$183&amp;";  ","")&amp;IF(AND(EDATE($D93,Milestones!$AA$184)&lt;=AsOfDate,IF($R93=0,$X93,IF(AND($T93&lt;&gt;"",EDATE($D93,Milestones!$AA$184)&gt;=$T93),$W93,IF(AND($S93&lt;&gt;"",EDATE($D93,Milestones!$AA$184)&gt;=$S93),$V93,$U93)))=Milestones!$AB$184),UPPER(TEXT(EDATE($D93,Milestones!$AA$184),"dd mmm yy"))&amp;" "&amp;Milestones!$AB$184&amp;" "&amp;Milestones!$AC$184&amp;";  ","")&amp;IF(AND(EDATE($D93,Milestones!$AA$185)&lt;=AsOfDate,IF($R93=0,$X93,IF(AND($T93&lt;&gt;"",EDATE($D93,Milestones!$AA$185)&gt;=$T93),$W93,IF(AND($S93&lt;&gt;"",EDATE($D93,Milestones!$AA$185)&gt;=$S93),$V93,$U93)))=Milestones!$AB$185),UPPER(TEXT(EDATE($D93,Milestones!$AA$185),"dd mmm yy"))&amp;" "&amp;Milestones!$AB$185&amp;" "&amp;Milestones!$AC$185&amp;";  ","")&amp;IF(AND(EDATE($D93,Milestones!$AA$186)&lt;=AsOfDate,IF($R93=0,$X93,IF(AND($T93&lt;&gt;"",EDATE($D93,Milestones!$AA$186)&gt;=$T93),$W93,IF(AND($S93&lt;&gt;"",EDATE($D93,Milestones!$AA$186)&gt;=$S93),$V93,$U93)))=Milestones!$AB$186),UPPER(TEXT(EDATE($D93,Milestones!$AA$186),"dd mmm yy"))&amp;" "&amp;Milestones!$AB$186&amp;" "&amp;Milestones!$AC$186&amp;";  ","")&amp;IF(AND(EDATE($D93,Milestones!$AA$187)&lt;=AsOfDate,IF($R93=0,$X93,IF(AND($T93&lt;&gt;"",EDATE($D93,Milestones!$AA$187)&gt;=$T93),$W93,IF(AND($S93&lt;&gt;"",EDATE($D93,Milestones!$AA$187)&gt;=$S93),$V93,$U93)))=Milestones!$AB$187),UPPER(TEXT(EDATE($D93,Milestones!$AA$187),"dd mmm yy"))&amp;" "&amp;Milestones!$AB$187&amp;" "&amp;Milestones!$AC$187&amp;";  ","")&amp;IF(AND(EDATE($D93,Milestones!$AA$188)&lt;=AsOfDate,IF($R93=0,$X93,IF(AND($T93&lt;&gt;"",EDATE($D93,Milestones!$AA$188)&gt;=$T93),$W93,IF(AND($S93&lt;&gt;"",EDATE($D93,Milestones!$AA$188)&gt;=$S93),$V93,$U93)))=Milestones!$AB$188),UPPER(TEXT(EDATE($D93,Milestones!$AA$188),"dd mmm yy"))&amp;" "&amp;Milestones!$AB$188&amp;" "&amp;Milestones!$AC$188&amp;";  ","")&amp;IF(AND(EDATE($D93,Milestones!$AA$189)&lt;=AsOfDate,IF($R93=0,$X93,IF(AND($T93&lt;&gt;"",EDATE($D93,Milestones!$AA$189)&gt;=$T93),$W93,IF(AND($S93&lt;&gt;"",EDATE($D93,Milestones!$AA$189)&gt;=$S93),$V93,$U93)))=Milestones!$AB$189),UPPER(TEXT(EDATE($D93,Milestones!$AA$189),"dd mmm yy"))&amp;" "&amp;Milestones!$AB$189&amp;" "&amp;Milestones!$AC$189&amp;";  ","")&amp;IF(AND(EDATE($D93,Milestones!$AA$190)&lt;=AsOfDate,IF($R93=0,$X93,IF(AND($T93&lt;&gt;"",EDATE($D93,Milestones!$AA$190)&gt;=$T93),$W93,IF(AND($S93&lt;&gt;"",EDATE($D93,Milestones!$AA$190)&gt;=$S93),$V93,$U93)))=Milestones!$AB$190),UPPER(TEXT(EDATE($D93,Milestones!$AA$190),"dd mmm yy"))&amp;" "&amp;Milestones!$AB$190&amp;" "&amp;Milestones!$AC$190&amp;";  ","")&amp;IF(AND(EDATE($D93,Milestones!$AA$191)&lt;=AsOfDate,IF($R93=0,$X93,IF(AND($T93&lt;&gt;"",EDATE($D93,Milestones!$AA$191)&gt;=$T93),$W93,IF(AND($S93&lt;&gt;"",EDATE($D93,Milestones!$AA$191)&gt;=$S93),$V93,$U93)))=Milestones!$AB$191),UPPER(TEXT(EDATE($D93,Milestones!$AA$191),"dd mmm yy"))&amp;" "&amp;Milestones!$AB$191&amp;" "&amp;Milestones!$AC$191&amp;";  ","")&amp;IF(AND(EDATE($D93,Milestones!$AA$192)&lt;=AsOfDate,IF($R93=0,$X93,IF(AND($T93&lt;&gt;"",EDATE($D93,Milestones!$AA$192)&gt;=$T93),$W93,IF(AND($S93&lt;&gt;"",EDATE($D93,Milestones!$AA$192)&gt;=$S93),$V93,$U93)))=Milestones!$AB$192),UPPER(TEXT(EDATE($D93,Milestones!$AA$192),"dd mmm yy"))&amp;" "&amp;Milestones!$AB$192&amp;" "&amp;Milestones!$AC$192&amp;";  ","")&amp;IF(AND(EDATE($D93,Milestones!$AA$193)&lt;=AsOfDate,IF($R93=0,$X93,IF(AND($T93&lt;&gt;"",EDATE($D93,Milestones!$AA$193)&gt;=$T93),$W93,IF(AND($S93&lt;&gt;"",EDATE($D93,Milestones!$AA$193)&gt;=$S93),$V93,$U93)))=Milestones!$AB$193),UPPER(TEXT(EDATE($D93,Milestones!$AA$193),"dd mmm yy"))&amp;" "&amp;Milestones!$AB$193&amp;" "&amp;Milestones!$AC$193&amp;";  ","")&amp;IF(AND(EDATE($D93,Milestones!$AA$194)&lt;=AsOfDate,IF($R93=0,$X93,IF(AND($T93&lt;&gt;"",EDATE($D93,Milestones!$AA$194)&gt;=$T93),$W93,IF(AND($S93&lt;&gt;"",EDATE($D93,Milestones!$AA$194)&gt;=$S93),$V93,$U93)))=Milestones!$AB$194),UPPER(TEXT(EDATE($D93,Milestones!$AA$194),"dd mmm yy"))&amp;" "&amp;Milestones!$AB$194&amp;" "&amp;Milestones!$AC$194&amp;";  ","")&amp;IF(AND(EDATE($D93,Milestones!$AA$195)&lt;=AsOfDate,IF($R93=0,$X93,IF(AND($T93&lt;&gt;"",EDATE($D93,Milestones!$AA$195)&gt;=$T93),$W93,IF(AND($S93&lt;&gt;"",EDATE($D93,Milestones!$AA$195)&gt;=$S93),$V93,$U93)))=Milestones!$AB$195),UPPER(TEXT(EDATE($D93,Milestones!$AA$195),"dd mmm yy"))&amp;" "&amp;Milestones!$AB$195&amp;" "&amp;Milestones!$AC$195&amp;";  ","")&amp;IF(AND(EDATE($D93,Milestones!$AA$196)&lt;=AsOfDate,IF($R93=0,$X93,IF(AND($T93&lt;&gt;"",EDATE($D93,Milestones!$AA$196)&gt;=$T93),$W93,IF(AND($S93&lt;&gt;"",EDATE($D93,Milestones!$AA$196)&gt;=$S93),$V93,$U93)))=Milestones!$AB$196),UPPER(TEXT(EDATE($D93,Milestones!$AA$196),"dd mmm yy"))&amp;" "&amp;Milestones!$AB$196&amp;" "&amp;Milestones!$AC$196&amp;";  ","")&amp;IF(AND(EDATE($D93,Milestones!$AA$197)&lt;=AsOfDate,IF($R93=0,$X93,IF(AND($T93&lt;&gt;"",EDATE($D93,Milestones!$AA$197)&gt;=$T93),$W93,IF(AND($S93&lt;&gt;"",EDATE($D93,Milestones!$AA$197)&gt;=$S93),$V93,$U93)))=Milestones!$AB$197),UPPER(TEXT(EDATE($D93,Milestones!$AA$197),"dd mmm yy"))&amp;" "&amp;Milestones!$AB$197&amp;" "&amp;Milestones!$AC$197&amp;";  ","")&amp;IF(AND(EDATE($D93,Milestones!$AA$198)&lt;=AsOfDate,IF($R93=0,$X93,IF(AND($T93&lt;&gt;"",EDATE($D93,Milestones!$AA$198)&gt;=$T93),$W93,IF(AND($S93&lt;&gt;"",EDATE($D93,Milestones!$AA$198)&gt;=$S93),$V93,$U93)))=Milestones!$AB$198),UPPER(TEXT(EDATE($D93,Milestones!$AA$198),"dd mmm yy"))&amp;" "&amp;Milestones!$AB$198&amp;" "&amp;Milestones!$AC$198&amp;";  ","")&amp;IF(AND(EDATE($D93,Milestones!$AA$199)&lt;=AsOfDate,IF($R93=0,$X93,IF(AND($T93&lt;&gt;"",EDATE($D93,Milestones!$AA$199)&gt;=$T93),$W93,IF(AND($S93&lt;&gt;"",EDATE($D93,Milestones!$AA$199)&gt;=$S93),$V93,$U93)))=Milestones!$AB$199),UPPER(TEXT(EDATE($D93,Milestones!$AA$199),"dd mmm yy"))&amp;" "&amp;Milestones!$AB$199&amp;" "&amp;Milestones!$AC$199&amp;";  ",""))</f>
        <v/>
      </c>
      <c r="R93" s="0" t="str">
        <f aca="false">IF(Staff!$A93="","",Staff!$AI93)</f>
        <v/>
      </c>
      <c r="S93" s="0" t="str">
        <f aca="false">IF(Staff!$A93="","",Staff!$AK93)</f>
        <v/>
      </c>
      <c r="T93" s="0" t="str">
        <f aca="false">IF(Staff!$A93="","",Staff!$AL93)</f>
        <v/>
      </c>
      <c r="U93" s="0" t="str">
        <f aca="false">IF(Staff!$A93="","",Staff!$AP93)</f>
        <v/>
      </c>
      <c r="V93" s="0" t="str">
        <f aca="false">IF(Staff!$A93="","",Staff!$AQ93)</f>
        <v/>
      </c>
      <c r="W93" s="0" t="str">
        <f aca="false">IF(Staff!$A93="","",Staff!$AR93)</f>
        <v/>
      </c>
      <c r="X93" s="0" t="str">
        <f aca="false">IF(Staff!$A93="","",Staff!$AS93)</f>
        <v/>
      </c>
    </row>
    <row r="94" customFormat="false" ht="15" hidden="false" customHeight="false" outlineLevel="0" collapsed="false">
      <c r="A94" s="19" t="str">
        <f aca="false">IF(Staff!$A94="","",Staff!$A94)</f>
        <v/>
      </c>
      <c r="B94" s="19" t="str">
        <f aca="false">IF(Staff!$A94="","",Staff!$B94)</f>
        <v/>
      </c>
      <c r="C94" s="19" t="str">
        <f aca="false">IF(Staff!$A94="","",Staff!$C94)</f>
        <v/>
      </c>
      <c r="D94" s="17" t="str">
        <f aca="false">IF(Staff!$A94="","",Staff!$AH94)</f>
        <v/>
      </c>
      <c r="E94" s="19" t="str">
        <f aca="false">IF(Staff!$A94="","",Staff!$O94)</f>
        <v/>
      </c>
      <c r="F94" s="19" t="str">
        <f aca="false">IF(E94="","",E94*HoursPerDay)</f>
        <v/>
      </c>
      <c r="G94" s="19" t="str">
        <f aca="false">IF(Staff!$A94="","",Staff!$AE94)</f>
        <v/>
      </c>
      <c r="H94" s="32" t="str">
        <f aca="false">IF($A94="","",I94&amp;J94&amp;K94&amp;L94&amp;M94&amp;N94&amp;O94&amp;P94&amp;Q94)</f>
        <v/>
      </c>
      <c r="I94" s="0" t="str">
        <f aca="false">IF(OR($A94="",$D94=""),"",IF(AND(EDATE($D94,Milestones!$AA$20)&lt;=AsOfDate,IF($R94=0,$X94,IF(AND($T94&lt;&gt;"",EDATE($D94,Milestones!$AA$20)&gt;=$T94),$W94,IF(AND($S94&lt;&gt;"",EDATE($D94,Milestones!$AA$20)&gt;=$S94),$V94,$U94)))=Milestones!$AB$20),UPPER(TEXT(EDATE($D94,Milestones!$AA$20),"dd mmm yy"))&amp;" "&amp;Milestones!$AB$20&amp;" "&amp;Milestones!$AC$20&amp;";  ","")&amp;IF(AND(EDATE($D94,Milestones!$AA$21)&lt;=AsOfDate,IF($R94=0,$X94,IF(AND($T94&lt;&gt;"",EDATE($D94,Milestones!$AA$21)&gt;=$T94),$W94,IF(AND($S94&lt;&gt;"",EDATE($D94,Milestones!$AA$21)&gt;=$S94),$V94,$U94)))=Milestones!$AB$21),UPPER(TEXT(EDATE($D94,Milestones!$AA$21),"dd mmm yy"))&amp;" "&amp;Milestones!$AB$21&amp;" "&amp;Milestones!$AC$21&amp;";  ","")&amp;IF(AND(EDATE($D94,Milestones!$AA$22)&lt;=AsOfDate,IF($R94=0,$X94,IF(AND($T94&lt;&gt;"",EDATE($D94,Milestones!$AA$22)&gt;=$T94),$W94,IF(AND($S94&lt;&gt;"",EDATE($D94,Milestones!$AA$22)&gt;=$S94),$V94,$U94)))=Milestones!$AB$22),UPPER(TEXT(EDATE($D94,Milestones!$AA$22),"dd mmm yy"))&amp;" "&amp;Milestones!$AB$22&amp;" "&amp;Milestones!$AC$22&amp;";  ","")&amp;IF(AND(EDATE($D94,Milestones!$AA$23)&lt;=AsOfDate,IF($R94=0,$X94,IF(AND($T94&lt;&gt;"",EDATE($D94,Milestones!$AA$23)&gt;=$T94),$W94,IF(AND($S94&lt;&gt;"",EDATE($D94,Milestones!$AA$23)&gt;=$S94),$V94,$U94)))=Milestones!$AB$23),UPPER(TEXT(EDATE($D94,Milestones!$AA$23),"dd mmm yy"))&amp;" "&amp;Milestones!$AB$23&amp;" "&amp;Milestones!$AC$23&amp;";  ","")&amp;IF(AND(EDATE($D94,Milestones!$AA$24)&lt;=AsOfDate,IF($R94=0,$X94,IF(AND($T94&lt;&gt;"",EDATE($D94,Milestones!$AA$24)&gt;=$T94),$W94,IF(AND($S94&lt;&gt;"",EDATE($D94,Milestones!$AA$24)&gt;=$S94),$V94,$U94)))=Milestones!$AB$24),UPPER(TEXT(EDATE($D94,Milestones!$AA$24),"dd mmm yy"))&amp;" "&amp;Milestones!$AB$24&amp;" "&amp;Milestones!$AC$24&amp;";  ","")&amp;IF(AND(EDATE($D94,Milestones!$AA$25)&lt;=AsOfDate,IF($R94=0,$X94,IF(AND($T94&lt;&gt;"",EDATE($D94,Milestones!$AA$25)&gt;=$T94),$W94,IF(AND($S94&lt;&gt;"",EDATE($D94,Milestones!$AA$25)&gt;=$S94),$V94,$U94)))=Milestones!$AB$25),UPPER(TEXT(EDATE($D94,Milestones!$AA$25),"dd mmm yy"))&amp;" "&amp;Milestones!$AB$25&amp;" "&amp;Milestones!$AC$25&amp;";  ","")&amp;IF(AND(EDATE($D94,Milestones!$AA$26)&lt;=AsOfDate,IF($R94=0,$X94,IF(AND($T94&lt;&gt;"",EDATE($D94,Milestones!$AA$26)&gt;=$T94),$W94,IF(AND($S94&lt;&gt;"",EDATE($D94,Milestones!$AA$26)&gt;=$S94),$V94,$U94)))=Milestones!$AB$26),UPPER(TEXT(EDATE($D94,Milestones!$AA$26),"dd mmm yy"))&amp;" "&amp;Milestones!$AB$26&amp;" "&amp;Milestones!$AC$26&amp;";  ","")&amp;IF(AND(EDATE($D94,Milestones!$AA$27)&lt;=AsOfDate,IF($R94=0,$X94,IF(AND($T94&lt;&gt;"",EDATE($D94,Milestones!$AA$27)&gt;=$T94),$W94,IF(AND($S94&lt;&gt;"",EDATE($D94,Milestones!$AA$27)&gt;=$S94),$V94,$U94)))=Milestones!$AB$27),UPPER(TEXT(EDATE($D94,Milestones!$AA$27),"dd mmm yy"))&amp;" "&amp;Milestones!$AB$27&amp;" "&amp;Milestones!$AC$27&amp;";  ","")&amp;IF(AND(EDATE($D94,Milestones!$AA$28)&lt;=AsOfDate,IF($R94=0,$X94,IF(AND($T94&lt;&gt;"",EDATE($D94,Milestones!$AA$28)&gt;=$T94),$W94,IF(AND($S94&lt;&gt;"",EDATE($D94,Milestones!$AA$28)&gt;=$S94),$V94,$U94)))=Milestones!$AB$28),UPPER(TEXT(EDATE($D94,Milestones!$AA$28),"dd mmm yy"))&amp;" "&amp;Milestones!$AB$28&amp;" "&amp;Milestones!$AC$28&amp;";  ","")&amp;IF(AND(EDATE($D94,Milestones!$AA$29)&lt;=AsOfDate,IF($R94=0,$X94,IF(AND($T94&lt;&gt;"",EDATE($D94,Milestones!$AA$29)&gt;=$T94),$W94,IF(AND($S94&lt;&gt;"",EDATE($D94,Milestones!$AA$29)&gt;=$S94),$V94,$U94)))=Milestones!$AB$29),UPPER(TEXT(EDATE($D94,Milestones!$AA$29),"dd mmm yy"))&amp;" "&amp;Milestones!$AB$29&amp;" "&amp;Milestones!$AC$29&amp;";  ","")&amp;IF(AND(EDATE($D94,Milestones!$AA$30)&lt;=AsOfDate,IF($R94=0,$X94,IF(AND($T94&lt;&gt;"",EDATE($D94,Milestones!$AA$30)&gt;=$T94),$W94,IF(AND($S94&lt;&gt;"",EDATE($D94,Milestones!$AA$30)&gt;=$S94),$V94,$U94)))=Milestones!$AB$30),UPPER(TEXT(EDATE($D94,Milestones!$AA$30),"dd mmm yy"))&amp;" "&amp;Milestones!$AB$30&amp;" "&amp;Milestones!$AC$30&amp;";  ","")&amp;IF(AND(EDATE($D94,Milestones!$AA$31)&lt;=AsOfDate,IF($R94=0,$X94,IF(AND($T94&lt;&gt;"",EDATE($D94,Milestones!$AA$31)&gt;=$T94),$W94,IF(AND($S94&lt;&gt;"",EDATE($D94,Milestones!$AA$31)&gt;=$S94),$V94,$U94)))=Milestones!$AB$31),UPPER(TEXT(EDATE($D94,Milestones!$AA$31),"dd mmm yy"))&amp;" "&amp;Milestones!$AB$31&amp;" "&amp;Milestones!$AC$31&amp;";  ","")&amp;IF(AND(EDATE($D94,Milestones!$AA$32)&lt;=AsOfDate,IF($R94=0,$X94,IF(AND($T94&lt;&gt;"",EDATE($D94,Milestones!$AA$32)&gt;=$T94),$W94,IF(AND($S94&lt;&gt;"",EDATE($D94,Milestones!$AA$32)&gt;=$S94),$V94,$U94)))=Milestones!$AB$32),UPPER(TEXT(EDATE($D94,Milestones!$AA$32),"dd mmm yy"))&amp;" "&amp;Milestones!$AB$32&amp;" "&amp;Milestones!$AC$32&amp;";  ","")&amp;IF(AND(EDATE($D94,Milestones!$AA$33)&lt;=AsOfDate,IF($R94=0,$X94,IF(AND($T94&lt;&gt;"",EDATE($D94,Milestones!$AA$33)&gt;=$T94),$W94,IF(AND($S94&lt;&gt;"",EDATE($D94,Milestones!$AA$33)&gt;=$S94),$V94,$U94)))=Milestones!$AB$33),UPPER(TEXT(EDATE($D94,Milestones!$AA$33),"dd mmm yy"))&amp;" "&amp;Milestones!$AB$33&amp;" "&amp;Milestones!$AC$33&amp;";  ","")&amp;IF(AND(EDATE($D94,Milestones!$AA$34)&lt;=AsOfDate,IF($R94=0,$X94,IF(AND($T94&lt;&gt;"",EDATE($D94,Milestones!$AA$34)&gt;=$T94),$W94,IF(AND($S94&lt;&gt;"",EDATE($D94,Milestones!$AA$34)&gt;=$S94),$V94,$U94)))=Milestones!$AB$34),UPPER(TEXT(EDATE($D94,Milestones!$AA$34),"dd mmm yy"))&amp;" "&amp;Milestones!$AB$34&amp;" "&amp;Milestones!$AC$34&amp;";  ","")&amp;IF(AND(EDATE($D94,Milestones!$AA$35)&lt;=AsOfDate,IF($R94=0,$X94,IF(AND($T94&lt;&gt;"",EDATE($D94,Milestones!$AA$35)&gt;=$T94),$W94,IF(AND($S94&lt;&gt;"",EDATE($D94,Milestones!$AA$35)&gt;=$S94),$V94,$U94)))=Milestones!$AB$35),UPPER(TEXT(EDATE($D94,Milestones!$AA$35),"dd mmm yy"))&amp;" "&amp;Milestones!$AB$35&amp;" "&amp;Milestones!$AC$35&amp;";  ","")&amp;IF(AND(EDATE($D94,Milestones!$AA$36)&lt;=AsOfDate,IF($R94=0,$X94,IF(AND($T94&lt;&gt;"",EDATE($D94,Milestones!$AA$36)&gt;=$T94),$W94,IF(AND($S94&lt;&gt;"",EDATE($D94,Milestones!$AA$36)&gt;=$S94),$V94,$U94)))=Milestones!$AB$36),UPPER(TEXT(EDATE($D94,Milestones!$AA$36),"dd mmm yy"))&amp;" "&amp;Milestones!$AB$36&amp;" "&amp;Milestones!$AC$36&amp;";  ","")&amp;IF(AND(EDATE($D94,Milestones!$AA$37)&lt;=AsOfDate,IF($R94=0,$X94,IF(AND($T94&lt;&gt;"",EDATE($D94,Milestones!$AA$37)&gt;=$T94),$W94,IF(AND($S94&lt;&gt;"",EDATE($D94,Milestones!$AA$37)&gt;=$S94),$V94,$U94)))=Milestones!$AB$37),UPPER(TEXT(EDATE($D94,Milestones!$AA$37),"dd mmm yy"))&amp;" "&amp;Milestones!$AB$37&amp;" "&amp;Milestones!$AC$37&amp;";  ","")&amp;IF(AND(EDATE($D94,Milestones!$AA$38)&lt;=AsOfDate,IF($R94=0,$X94,IF(AND($T94&lt;&gt;"",EDATE($D94,Milestones!$AA$38)&gt;=$T94),$W94,IF(AND($S94&lt;&gt;"",EDATE($D94,Milestones!$AA$38)&gt;=$S94),$V94,$U94)))=Milestones!$AB$38),UPPER(TEXT(EDATE($D94,Milestones!$AA$38),"dd mmm yy"))&amp;" "&amp;Milestones!$AB$38&amp;" "&amp;Milestones!$AC$38&amp;";  ","")&amp;IF(AND(EDATE($D94,Milestones!$AA$39)&lt;=AsOfDate,IF($R94=0,$X94,IF(AND($T94&lt;&gt;"",EDATE($D94,Milestones!$AA$39)&gt;=$T94),$W94,IF(AND($S94&lt;&gt;"",EDATE($D94,Milestones!$AA$39)&gt;=$S94),$V94,$U94)))=Milestones!$AB$39),UPPER(TEXT(EDATE($D94,Milestones!$AA$39),"dd mmm yy"))&amp;" "&amp;Milestones!$AB$39&amp;" "&amp;Milestones!$AC$39&amp;";  ",""))</f>
        <v/>
      </c>
      <c r="J94" s="0" t="str">
        <f aca="false">IF(OR($A94="",$D94=""),"",IF(AND(EDATE($D94,Milestones!$AA$40)&lt;=AsOfDate,IF($R94=0,$X94,IF(AND($T94&lt;&gt;"",EDATE($D94,Milestones!$AA$40)&gt;=$T94),$W94,IF(AND($S94&lt;&gt;"",EDATE($D94,Milestones!$AA$40)&gt;=$S94),$V94,$U94)))=Milestones!$AB$40),UPPER(TEXT(EDATE($D94,Milestones!$AA$40),"dd mmm yy"))&amp;" "&amp;Milestones!$AB$40&amp;" "&amp;Milestones!$AC$40&amp;";  ","")&amp;IF(AND(EDATE($D94,Milestones!$AA$41)&lt;=AsOfDate,IF($R94=0,$X94,IF(AND($T94&lt;&gt;"",EDATE($D94,Milestones!$AA$41)&gt;=$T94),$W94,IF(AND($S94&lt;&gt;"",EDATE($D94,Milestones!$AA$41)&gt;=$S94),$V94,$U94)))=Milestones!$AB$41),UPPER(TEXT(EDATE($D94,Milestones!$AA$41),"dd mmm yy"))&amp;" "&amp;Milestones!$AB$41&amp;" "&amp;Milestones!$AC$41&amp;";  ","")&amp;IF(AND(EDATE($D94,Milestones!$AA$42)&lt;=AsOfDate,IF($R94=0,$X94,IF(AND($T94&lt;&gt;"",EDATE($D94,Milestones!$AA$42)&gt;=$T94),$W94,IF(AND($S94&lt;&gt;"",EDATE($D94,Milestones!$AA$42)&gt;=$S94),$V94,$U94)))=Milestones!$AB$42),UPPER(TEXT(EDATE($D94,Milestones!$AA$42),"dd mmm yy"))&amp;" "&amp;Milestones!$AB$42&amp;" "&amp;Milestones!$AC$42&amp;";  ","")&amp;IF(AND(EDATE($D94,Milestones!$AA$43)&lt;=AsOfDate,IF($R94=0,$X94,IF(AND($T94&lt;&gt;"",EDATE($D94,Milestones!$AA$43)&gt;=$T94),$W94,IF(AND($S94&lt;&gt;"",EDATE($D94,Milestones!$AA$43)&gt;=$S94),$V94,$U94)))=Milestones!$AB$43),UPPER(TEXT(EDATE($D94,Milestones!$AA$43),"dd mmm yy"))&amp;" "&amp;Milestones!$AB$43&amp;" "&amp;Milestones!$AC$43&amp;";  ","")&amp;IF(AND(EDATE($D94,Milestones!$AA$44)&lt;=AsOfDate,IF($R94=0,$X94,IF(AND($T94&lt;&gt;"",EDATE($D94,Milestones!$AA$44)&gt;=$T94),$W94,IF(AND($S94&lt;&gt;"",EDATE($D94,Milestones!$AA$44)&gt;=$S94),$V94,$U94)))=Milestones!$AB$44),UPPER(TEXT(EDATE($D94,Milestones!$AA$44),"dd mmm yy"))&amp;" "&amp;Milestones!$AB$44&amp;" "&amp;Milestones!$AC$44&amp;";  ","")&amp;IF(AND(EDATE($D94,Milestones!$AA$45)&lt;=AsOfDate,IF($R94=0,$X94,IF(AND($T94&lt;&gt;"",EDATE($D94,Milestones!$AA$45)&gt;=$T94),$W94,IF(AND($S94&lt;&gt;"",EDATE($D94,Milestones!$AA$45)&gt;=$S94),$V94,$U94)))=Milestones!$AB$45),UPPER(TEXT(EDATE($D94,Milestones!$AA$45),"dd mmm yy"))&amp;" "&amp;Milestones!$AB$45&amp;" "&amp;Milestones!$AC$45&amp;";  ","")&amp;IF(AND(EDATE($D94,Milestones!$AA$46)&lt;=AsOfDate,IF($R94=0,$X94,IF(AND($T94&lt;&gt;"",EDATE($D94,Milestones!$AA$46)&gt;=$T94),$W94,IF(AND($S94&lt;&gt;"",EDATE($D94,Milestones!$AA$46)&gt;=$S94),$V94,$U94)))=Milestones!$AB$46),UPPER(TEXT(EDATE($D94,Milestones!$AA$46),"dd mmm yy"))&amp;" "&amp;Milestones!$AB$46&amp;" "&amp;Milestones!$AC$46&amp;";  ","")&amp;IF(AND(EDATE($D94,Milestones!$AA$47)&lt;=AsOfDate,IF($R94=0,$X94,IF(AND($T94&lt;&gt;"",EDATE($D94,Milestones!$AA$47)&gt;=$T94),$W94,IF(AND($S94&lt;&gt;"",EDATE($D94,Milestones!$AA$47)&gt;=$S94),$V94,$U94)))=Milestones!$AB$47),UPPER(TEXT(EDATE($D94,Milestones!$AA$47),"dd mmm yy"))&amp;" "&amp;Milestones!$AB$47&amp;" "&amp;Milestones!$AC$47&amp;";  ","")&amp;IF(AND(EDATE($D94,Milestones!$AA$48)&lt;=AsOfDate,IF($R94=0,$X94,IF(AND($T94&lt;&gt;"",EDATE($D94,Milestones!$AA$48)&gt;=$T94),$W94,IF(AND($S94&lt;&gt;"",EDATE($D94,Milestones!$AA$48)&gt;=$S94),$V94,$U94)))=Milestones!$AB$48),UPPER(TEXT(EDATE($D94,Milestones!$AA$48),"dd mmm yy"))&amp;" "&amp;Milestones!$AB$48&amp;" "&amp;Milestones!$AC$48&amp;";  ","")&amp;IF(AND(EDATE($D94,Milestones!$AA$49)&lt;=AsOfDate,IF($R94=0,$X94,IF(AND($T94&lt;&gt;"",EDATE($D94,Milestones!$AA$49)&gt;=$T94),$W94,IF(AND($S94&lt;&gt;"",EDATE($D94,Milestones!$AA$49)&gt;=$S94),$V94,$U94)))=Milestones!$AB$49),UPPER(TEXT(EDATE($D94,Milestones!$AA$49),"dd mmm yy"))&amp;" "&amp;Milestones!$AB$49&amp;" "&amp;Milestones!$AC$49&amp;";  ","")&amp;IF(AND(EDATE($D94,Milestones!$AA$50)&lt;=AsOfDate,IF($R94=0,$X94,IF(AND($T94&lt;&gt;"",EDATE($D94,Milestones!$AA$50)&gt;=$T94),$W94,IF(AND($S94&lt;&gt;"",EDATE($D94,Milestones!$AA$50)&gt;=$S94),$V94,$U94)))=Milestones!$AB$50),UPPER(TEXT(EDATE($D94,Milestones!$AA$50),"dd mmm yy"))&amp;" "&amp;Milestones!$AB$50&amp;" "&amp;Milestones!$AC$50&amp;";  ","")&amp;IF(AND(EDATE($D94,Milestones!$AA$51)&lt;=AsOfDate,IF($R94=0,$X94,IF(AND($T94&lt;&gt;"",EDATE($D94,Milestones!$AA$51)&gt;=$T94),$W94,IF(AND($S94&lt;&gt;"",EDATE($D94,Milestones!$AA$51)&gt;=$S94),$V94,$U94)))=Milestones!$AB$51),UPPER(TEXT(EDATE($D94,Milestones!$AA$51),"dd mmm yy"))&amp;" "&amp;Milestones!$AB$51&amp;" "&amp;Milestones!$AC$51&amp;";  ","")&amp;IF(AND(EDATE($D94,Milestones!$AA$52)&lt;=AsOfDate,IF($R94=0,$X94,IF(AND($T94&lt;&gt;"",EDATE($D94,Milestones!$AA$52)&gt;=$T94),$W94,IF(AND($S94&lt;&gt;"",EDATE($D94,Milestones!$AA$52)&gt;=$S94),$V94,$U94)))=Milestones!$AB$52),UPPER(TEXT(EDATE($D94,Milestones!$AA$52),"dd mmm yy"))&amp;" "&amp;Milestones!$AB$52&amp;" "&amp;Milestones!$AC$52&amp;";  ","")&amp;IF(AND(EDATE($D94,Milestones!$AA$53)&lt;=AsOfDate,IF($R94=0,$X94,IF(AND($T94&lt;&gt;"",EDATE($D94,Milestones!$AA$53)&gt;=$T94),$W94,IF(AND($S94&lt;&gt;"",EDATE($D94,Milestones!$AA$53)&gt;=$S94),$V94,$U94)))=Milestones!$AB$53),UPPER(TEXT(EDATE($D94,Milestones!$AA$53),"dd mmm yy"))&amp;" "&amp;Milestones!$AB$53&amp;" "&amp;Milestones!$AC$53&amp;";  ","")&amp;IF(AND(EDATE($D94,Milestones!$AA$54)&lt;=AsOfDate,IF($R94=0,$X94,IF(AND($T94&lt;&gt;"",EDATE($D94,Milestones!$AA$54)&gt;=$T94),$W94,IF(AND($S94&lt;&gt;"",EDATE($D94,Milestones!$AA$54)&gt;=$S94),$V94,$U94)))=Milestones!$AB$54),UPPER(TEXT(EDATE($D94,Milestones!$AA$54),"dd mmm yy"))&amp;" "&amp;Milestones!$AB$54&amp;" "&amp;Milestones!$AC$54&amp;";  ","")&amp;IF(AND(EDATE($D94,Milestones!$AA$55)&lt;=AsOfDate,IF($R94=0,$X94,IF(AND($T94&lt;&gt;"",EDATE($D94,Milestones!$AA$55)&gt;=$T94),$W94,IF(AND($S94&lt;&gt;"",EDATE($D94,Milestones!$AA$55)&gt;=$S94),$V94,$U94)))=Milestones!$AB$55),UPPER(TEXT(EDATE($D94,Milestones!$AA$55),"dd mmm yy"))&amp;" "&amp;Milestones!$AB$55&amp;" "&amp;Milestones!$AC$55&amp;";  ","")&amp;IF(AND(EDATE($D94,Milestones!$AA$56)&lt;=AsOfDate,IF($R94=0,$X94,IF(AND($T94&lt;&gt;"",EDATE($D94,Milestones!$AA$56)&gt;=$T94),$W94,IF(AND($S94&lt;&gt;"",EDATE($D94,Milestones!$AA$56)&gt;=$S94),$V94,$U94)))=Milestones!$AB$56),UPPER(TEXT(EDATE($D94,Milestones!$AA$56),"dd mmm yy"))&amp;" "&amp;Milestones!$AB$56&amp;" "&amp;Milestones!$AC$56&amp;";  ","")&amp;IF(AND(EDATE($D94,Milestones!$AA$57)&lt;=AsOfDate,IF($R94=0,$X94,IF(AND($T94&lt;&gt;"",EDATE($D94,Milestones!$AA$57)&gt;=$T94),$W94,IF(AND($S94&lt;&gt;"",EDATE($D94,Milestones!$AA$57)&gt;=$S94),$V94,$U94)))=Milestones!$AB$57),UPPER(TEXT(EDATE($D94,Milestones!$AA$57),"dd mmm yy"))&amp;" "&amp;Milestones!$AB$57&amp;" "&amp;Milestones!$AC$57&amp;";  ","")&amp;IF(AND(EDATE($D94,Milestones!$AA$58)&lt;=AsOfDate,IF($R94=0,$X94,IF(AND($T94&lt;&gt;"",EDATE($D94,Milestones!$AA$58)&gt;=$T94),$W94,IF(AND($S94&lt;&gt;"",EDATE($D94,Milestones!$AA$58)&gt;=$S94),$V94,$U94)))=Milestones!$AB$58),UPPER(TEXT(EDATE($D94,Milestones!$AA$58),"dd mmm yy"))&amp;" "&amp;Milestones!$AB$58&amp;" "&amp;Milestones!$AC$58&amp;";  ","")&amp;IF(AND(EDATE($D94,Milestones!$AA$59)&lt;=AsOfDate,IF($R94=0,$X94,IF(AND($T94&lt;&gt;"",EDATE($D94,Milestones!$AA$59)&gt;=$T94),$W94,IF(AND($S94&lt;&gt;"",EDATE($D94,Milestones!$AA$59)&gt;=$S94),$V94,$U94)))=Milestones!$AB$59),UPPER(TEXT(EDATE($D94,Milestones!$AA$59),"dd mmm yy"))&amp;" "&amp;Milestones!$AB$59&amp;" "&amp;Milestones!$AC$59&amp;";  ",""))</f>
        <v/>
      </c>
      <c r="K94" s="0" t="str">
        <f aca="false">IF(OR($A94="",$D94=""),"",IF(AND(EDATE($D94,Milestones!$AA$60)&lt;=AsOfDate,IF($R94=0,$X94,IF(AND($T94&lt;&gt;"",EDATE($D94,Milestones!$AA$60)&gt;=$T94),$W94,IF(AND($S94&lt;&gt;"",EDATE($D94,Milestones!$AA$60)&gt;=$S94),$V94,$U94)))=Milestones!$AB$60),UPPER(TEXT(EDATE($D94,Milestones!$AA$60),"dd mmm yy"))&amp;" "&amp;Milestones!$AB$60&amp;" "&amp;Milestones!$AC$60&amp;";  ","")&amp;IF(AND(EDATE($D94,Milestones!$AA$61)&lt;=AsOfDate,IF($R94=0,$X94,IF(AND($T94&lt;&gt;"",EDATE($D94,Milestones!$AA$61)&gt;=$T94),$W94,IF(AND($S94&lt;&gt;"",EDATE($D94,Milestones!$AA$61)&gt;=$S94),$V94,$U94)))=Milestones!$AB$61),UPPER(TEXT(EDATE($D94,Milestones!$AA$61),"dd mmm yy"))&amp;" "&amp;Milestones!$AB$61&amp;" "&amp;Milestones!$AC$61&amp;";  ","")&amp;IF(AND(EDATE($D94,Milestones!$AA$62)&lt;=AsOfDate,IF($R94=0,$X94,IF(AND($T94&lt;&gt;"",EDATE($D94,Milestones!$AA$62)&gt;=$T94),$W94,IF(AND($S94&lt;&gt;"",EDATE($D94,Milestones!$AA$62)&gt;=$S94),$V94,$U94)))=Milestones!$AB$62),UPPER(TEXT(EDATE($D94,Milestones!$AA$62),"dd mmm yy"))&amp;" "&amp;Milestones!$AB$62&amp;" "&amp;Milestones!$AC$62&amp;";  ","")&amp;IF(AND(EDATE($D94,Milestones!$AA$63)&lt;=AsOfDate,IF($R94=0,$X94,IF(AND($T94&lt;&gt;"",EDATE($D94,Milestones!$AA$63)&gt;=$T94),$W94,IF(AND($S94&lt;&gt;"",EDATE($D94,Milestones!$AA$63)&gt;=$S94),$V94,$U94)))=Milestones!$AB$63),UPPER(TEXT(EDATE($D94,Milestones!$AA$63),"dd mmm yy"))&amp;" "&amp;Milestones!$AB$63&amp;" "&amp;Milestones!$AC$63&amp;";  ","")&amp;IF(AND(EDATE($D94,Milestones!$AA$64)&lt;=AsOfDate,IF($R94=0,$X94,IF(AND($T94&lt;&gt;"",EDATE($D94,Milestones!$AA$64)&gt;=$T94),$W94,IF(AND($S94&lt;&gt;"",EDATE($D94,Milestones!$AA$64)&gt;=$S94),$V94,$U94)))=Milestones!$AB$64),UPPER(TEXT(EDATE($D94,Milestones!$AA$64),"dd mmm yy"))&amp;" "&amp;Milestones!$AB$64&amp;" "&amp;Milestones!$AC$64&amp;";  ","")&amp;IF(AND(EDATE($D94,Milestones!$AA$65)&lt;=AsOfDate,IF($R94=0,$X94,IF(AND($T94&lt;&gt;"",EDATE($D94,Milestones!$AA$65)&gt;=$T94),$W94,IF(AND($S94&lt;&gt;"",EDATE($D94,Milestones!$AA$65)&gt;=$S94),$V94,$U94)))=Milestones!$AB$65),UPPER(TEXT(EDATE($D94,Milestones!$AA$65),"dd mmm yy"))&amp;" "&amp;Milestones!$AB$65&amp;" "&amp;Milestones!$AC$65&amp;";  ","")&amp;IF(AND(EDATE($D94,Milestones!$AA$66)&lt;=AsOfDate,IF($R94=0,$X94,IF(AND($T94&lt;&gt;"",EDATE($D94,Milestones!$AA$66)&gt;=$T94),$W94,IF(AND($S94&lt;&gt;"",EDATE($D94,Milestones!$AA$66)&gt;=$S94),$V94,$U94)))=Milestones!$AB$66),UPPER(TEXT(EDATE($D94,Milestones!$AA$66),"dd mmm yy"))&amp;" "&amp;Milestones!$AB$66&amp;" "&amp;Milestones!$AC$66&amp;";  ","")&amp;IF(AND(EDATE($D94,Milestones!$AA$67)&lt;=AsOfDate,IF($R94=0,$X94,IF(AND($T94&lt;&gt;"",EDATE($D94,Milestones!$AA$67)&gt;=$T94),$W94,IF(AND($S94&lt;&gt;"",EDATE($D94,Milestones!$AA$67)&gt;=$S94),$V94,$U94)))=Milestones!$AB$67),UPPER(TEXT(EDATE($D94,Milestones!$AA$67),"dd mmm yy"))&amp;" "&amp;Milestones!$AB$67&amp;" "&amp;Milestones!$AC$67&amp;";  ","")&amp;IF(AND(EDATE($D94,Milestones!$AA$68)&lt;=AsOfDate,IF($R94=0,$X94,IF(AND($T94&lt;&gt;"",EDATE($D94,Milestones!$AA$68)&gt;=$T94),$W94,IF(AND($S94&lt;&gt;"",EDATE($D94,Milestones!$AA$68)&gt;=$S94),$V94,$U94)))=Milestones!$AB$68),UPPER(TEXT(EDATE($D94,Milestones!$AA$68),"dd mmm yy"))&amp;" "&amp;Milestones!$AB$68&amp;" "&amp;Milestones!$AC$68&amp;";  ","")&amp;IF(AND(EDATE($D94,Milestones!$AA$69)&lt;=AsOfDate,IF($R94=0,$X94,IF(AND($T94&lt;&gt;"",EDATE($D94,Milestones!$AA$69)&gt;=$T94),$W94,IF(AND($S94&lt;&gt;"",EDATE($D94,Milestones!$AA$69)&gt;=$S94),$V94,$U94)))=Milestones!$AB$69),UPPER(TEXT(EDATE($D94,Milestones!$AA$69),"dd mmm yy"))&amp;" "&amp;Milestones!$AB$69&amp;" "&amp;Milestones!$AC$69&amp;";  ","")&amp;IF(AND(EDATE($D94,Milestones!$AA$70)&lt;=AsOfDate,IF($R94=0,$X94,IF(AND($T94&lt;&gt;"",EDATE($D94,Milestones!$AA$70)&gt;=$T94),$W94,IF(AND($S94&lt;&gt;"",EDATE($D94,Milestones!$AA$70)&gt;=$S94),$V94,$U94)))=Milestones!$AB$70),UPPER(TEXT(EDATE($D94,Milestones!$AA$70),"dd mmm yy"))&amp;" "&amp;Milestones!$AB$70&amp;" "&amp;Milestones!$AC$70&amp;";  ","")&amp;IF(AND(EDATE($D94,Milestones!$AA$71)&lt;=AsOfDate,IF($R94=0,$X94,IF(AND($T94&lt;&gt;"",EDATE($D94,Milestones!$AA$71)&gt;=$T94),$W94,IF(AND($S94&lt;&gt;"",EDATE($D94,Milestones!$AA$71)&gt;=$S94),$V94,$U94)))=Milestones!$AB$71),UPPER(TEXT(EDATE($D94,Milestones!$AA$71),"dd mmm yy"))&amp;" "&amp;Milestones!$AB$71&amp;" "&amp;Milestones!$AC$71&amp;";  ","")&amp;IF(AND(EDATE($D94,Milestones!$AA$72)&lt;=AsOfDate,IF($R94=0,$X94,IF(AND($T94&lt;&gt;"",EDATE($D94,Milestones!$AA$72)&gt;=$T94),$W94,IF(AND($S94&lt;&gt;"",EDATE($D94,Milestones!$AA$72)&gt;=$S94),$V94,$U94)))=Milestones!$AB$72),UPPER(TEXT(EDATE($D94,Milestones!$AA$72),"dd mmm yy"))&amp;" "&amp;Milestones!$AB$72&amp;" "&amp;Milestones!$AC$72&amp;";  ","")&amp;IF(AND(EDATE($D94,Milestones!$AA$73)&lt;=AsOfDate,IF($R94=0,$X94,IF(AND($T94&lt;&gt;"",EDATE($D94,Milestones!$AA$73)&gt;=$T94),$W94,IF(AND($S94&lt;&gt;"",EDATE($D94,Milestones!$AA$73)&gt;=$S94),$V94,$U94)))=Milestones!$AB$73),UPPER(TEXT(EDATE($D94,Milestones!$AA$73),"dd mmm yy"))&amp;" "&amp;Milestones!$AB$73&amp;" "&amp;Milestones!$AC$73&amp;";  ","")&amp;IF(AND(EDATE($D94,Milestones!$AA$74)&lt;=AsOfDate,IF($R94=0,$X94,IF(AND($T94&lt;&gt;"",EDATE($D94,Milestones!$AA$74)&gt;=$T94),$W94,IF(AND($S94&lt;&gt;"",EDATE($D94,Milestones!$AA$74)&gt;=$S94),$V94,$U94)))=Milestones!$AB$74),UPPER(TEXT(EDATE($D94,Milestones!$AA$74),"dd mmm yy"))&amp;" "&amp;Milestones!$AB$74&amp;" "&amp;Milestones!$AC$74&amp;";  ","")&amp;IF(AND(EDATE($D94,Milestones!$AA$75)&lt;=AsOfDate,IF($R94=0,$X94,IF(AND($T94&lt;&gt;"",EDATE($D94,Milestones!$AA$75)&gt;=$T94),$W94,IF(AND($S94&lt;&gt;"",EDATE($D94,Milestones!$AA$75)&gt;=$S94),$V94,$U94)))=Milestones!$AB$75),UPPER(TEXT(EDATE($D94,Milestones!$AA$75),"dd mmm yy"))&amp;" "&amp;Milestones!$AB$75&amp;" "&amp;Milestones!$AC$75&amp;";  ","")&amp;IF(AND(EDATE($D94,Milestones!$AA$76)&lt;=AsOfDate,IF($R94=0,$X94,IF(AND($T94&lt;&gt;"",EDATE($D94,Milestones!$AA$76)&gt;=$T94),$W94,IF(AND($S94&lt;&gt;"",EDATE($D94,Milestones!$AA$76)&gt;=$S94),$V94,$U94)))=Milestones!$AB$76),UPPER(TEXT(EDATE($D94,Milestones!$AA$76),"dd mmm yy"))&amp;" "&amp;Milestones!$AB$76&amp;" "&amp;Milestones!$AC$76&amp;";  ","")&amp;IF(AND(EDATE($D94,Milestones!$AA$77)&lt;=AsOfDate,IF($R94=0,$X94,IF(AND($T94&lt;&gt;"",EDATE($D94,Milestones!$AA$77)&gt;=$T94),$W94,IF(AND($S94&lt;&gt;"",EDATE($D94,Milestones!$AA$77)&gt;=$S94),$V94,$U94)))=Milestones!$AB$77),UPPER(TEXT(EDATE($D94,Milestones!$AA$77),"dd mmm yy"))&amp;" "&amp;Milestones!$AB$77&amp;" "&amp;Milestones!$AC$77&amp;";  ","")&amp;IF(AND(EDATE($D94,Milestones!$AA$78)&lt;=AsOfDate,IF($R94=0,$X94,IF(AND($T94&lt;&gt;"",EDATE($D94,Milestones!$AA$78)&gt;=$T94),$W94,IF(AND($S94&lt;&gt;"",EDATE($D94,Milestones!$AA$78)&gt;=$S94),$V94,$U94)))=Milestones!$AB$78),UPPER(TEXT(EDATE($D94,Milestones!$AA$78),"dd mmm yy"))&amp;" "&amp;Milestones!$AB$78&amp;" "&amp;Milestones!$AC$78&amp;";  ","")&amp;IF(AND(EDATE($D94,Milestones!$AA$79)&lt;=AsOfDate,IF($R94=0,$X94,IF(AND($T94&lt;&gt;"",EDATE($D94,Milestones!$AA$79)&gt;=$T94),$W94,IF(AND($S94&lt;&gt;"",EDATE($D94,Milestones!$AA$79)&gt;=$S94),$V94,$U94)))=Milestones!$AB$79),UPPER(TEXT(EDATE($D94,Milestones!$AA$79),"dd mmm yy"))&amp;" "&amp;Milestones!$AB$79&amp;" "&amp;Milestones!$AC$79&amp;";  ",""))</f>
        <v/>
      </c>
      <c r="L94" s="0" t="str">
        <f aca="false">IF(OR($A94="",$D94=""),"",IF(AND(EDATE($D94,Milestones!$AA$80)&lt;=AsOfDate,IF($R94=0,$X94,IF(AND($T94&lt;&gt;"",EDATE($D94,Milestones!$AA$80)&gt;=$T94),$W94,IF(AND($S94&lt;&gt;"",EDATE($D94,Milestones!$AA$80)&gt;=$S94),$V94,$U94)))=Milestones!$AB$80),UPPER(TEXT(EDATE($D94,Milestones!$AA$80),"dd mmm yy"))&amp;" "&amp;Milestones!$AB$80&amp;" "&amp;Milestones!$AC$80&amp;";  ","")&amp;IF(AND(EDATE($D94,Milestones!$AA$81)&lt;=AsOfDate,IF($R94=0,$X94,IF(AND($T94&lt;&gt;"",EDATE($D94,Milestones!$AA$81)&gt;=$T94),$W94,IF(AND($S94&lt;&gt;"",EDATE($D94,Milestones!$AA$81)&gt;=$S94),$V94,$U94)))=Milestones!$AB$81),UPPER(TEXT(EDATE($D94,Milestones!$AA$81),"dd mmm yy"))&amp;" "&amp;Milestones!$AB$81&amp;" "&amp;Milestones!$AC$81&amp;";  ","")&amp;IF(AND(EDATE($D94,Milestones!$AA$82)&lt;=AsOfDate,IF($R94=0,$X94,IF(AND($T94&lt;&gt;"",EDATE($D94,Milestones!$AA$82)&gt;=$T94),$W94,IF(AND($S94&lt;&gt;"",EDATE($D94,Milestones!$AA$82)&gt;=$S94),$V94,$U94)))=Milestones!$AB$82),UPPER(TEXT(EDATE($D94,Milestones!$AA$82),"dd mmm yy"))&amp;" "&amp;Milestones!$AB$82&amp;" "&amp;Milestones!$AC$82&amp;";  ","")&amp;IF(AND(EDATE($D94,Milestones!$AA$83)&lt;=AsOfDate,IF($R94=0,$X94,IF(AND($T94&lt;&gt;"",EDATE($D94,Milestones!$AA$83)&gt;=$T94),$W94,IF(AND($S94&lt;&gt;"",EDATE($D94,Milestones!$AA$83)&gt;=$S94),$V94,$U94)))=Milestones!$AB$83),UPPER(TEXT(EDATE($D94,Milestones!$AA$83),"dd mmm yy"))&amp;" "&amp;Milestones!$AB$83&amp;" "&amp;Milestones!$AC$83&amp;";  ","")&amp;IF(AND(EDATE($D94,Milestones!$AA$84)&lt;=AsOfDate,IF($R94=0,$X94,IF(AND($T94&lt;&gt;"",EDATE($D94,Milestones!$AA$84)&gt;=$T94),$W94,IF(AND($S94&lt;&gt;"",EDATE($D94,Milestones!$AA$84)&gt;=$S94),$V94,$U94)))=Milestones!$AB$84),UPPER(TEXT(EDATE($D94,Milestones!$AA$84),"dd mmm yy"))&amp;" "&amp;Milestones!$AB$84&amp;" "&amp;Milestones!$AC$84&amp;";  ","")&amp;IF(AND(EDATE($D94,Milestones!$AA$85)&lt;=AsOfDate,IF($R94=0,$X94,IF(AND($T94&lt;&gt;"",EDATE($D94,Milestones!$AA$85)&gt;=$T94),$W94,IF(AND($S94&lt;&gt;"",EDATE($D94,Milestones!$AA$85)&gt;=$S94),$V94,$U94)))=Milestones!$AB$85),UPPER(TEXT(EDATE($D94,Milestones!$AA$85),"dd mmm yy"))&amp;" "&amp;Milestones!$AB$85&amp;" "&amp;Milestones!$AC$85&amp;";  ","")&amp;IF(AND(EDATE($D94,Milestones!$AA$86)&lt;=AsOfDate,IF($R94=0,$X94,IF(AND($T94&lt;&gt;"",EDATE($D94,Milestones!$AA$86)&gt;=$T94),$W94,IF(AND($S94&lt;&gt;"",EDATE($D94,Milestones!$AA$86)&gt;=$S94),$V94,$U94)))=Milestones!$AB$86),UPPER(TEXT(EDATE($D94,Milestones!$AA$86),"dd mmm yy"))&amp;" "&amp;Milestones!$AB$86&amp;" "&amp;Milestones!$AC$86&amp;";  ","")&amp;IF(AND(EDATE($D94,Milestones!$AA$87)&lt;=AsOfDate,IF($R94=0,$X94,IF(AND($T94&lt;&gt;"",EDATE($D94,Milestones!$AA$87)&gt;=$T94),$W94,IF(AND($S94&lt;&gt;"",EDATE($D94,Milestones!$AA$87)&gt;=$S94),$V94,$U94)))=Milestones!$AB$87),UPPER(TEXT(EDATE($D94,Milestones!$AA$87),"dd mmm yy"))&amp;" "&amp;Milestones!$AB$87&amp;" "&amp;Milestones!$AC$87&amp;";  ","")&amp;IF(AND(EDATE($D94,Milestones!$AA$88)&lt;=AsOfDate,IF($R94=0,$X94,IF(AND($T94&lt;&gt;"",EDATE($D94,Milestones!$AA$88)&gt;=$T94),$W94,IF(AND($S94&lt;&gt;"",EDATE($D94,Milestones!$AA$88)&gt;=$S94),$V94,$U94)))=Milestones!$AB$88),UPPER(TEXT(EDATE($D94,Milestones!$AA$88),"dd mmm yy"))&amp;" "&amp;Milestones!$AB$88&amp;" "&amp;Milestones!$AC$88&amp;";  ","")&amp;IF(AND(EDATE($D94,Milestones!$AA$89)&lt;=AsOfDate,IF($R94=0,$X94,IF(AND($T94&lt;&gt;"",EDATE($D94,Milestones!$AA$89)&gt;=$T94),$W94,IF(AND($S94&lt;&gt;"",EDATE($D94,Milestones!$AA$89)&gt;=$S94),$V94,$U94)))=Milestones!$AB$89),UPPER(TEXT(EDATE($D94,Milestones!$AA$89),"dd mmm yy"))&amp;" "&amp;Milestones!$AB$89&amp;" "&amp;Milestones!$AC$89&amp;";  ","")&amp;IF(AND(EDATE($D94,Milestones!$AA$90)&lt;=AsOfDate,IF($R94=0,$X94,IF(AND($T94&lt;&gt;"",EDATE($D94,Milestones!$AA$90)&gt;=$T94),$W94,IF(AND($S94&lt;&gt;"",EDATE($D94,Milestones!$AA$90)&gt;=$S94),$V94,$U94)))=Milestones!$AB$90),UPPER(TEXT(EDATE($D94,Milestones!$AA$90),"dd mmm yy"))&amp;" "&amp;Milestones!$AB$90&amp;" "&amp;Milestones!$AC$90&amp;";  ","")&amp;IF(AND(EDATE($D94,Milestones!$AA$91)&lt;=AsOfDate,IF($R94=0,$X94,IF(AND($T94&lt;&gt;"",EDATE($D94,Milestones!$AA$91)&gt;=$T94),$W94,IF(AND($S94&lt;&gt;"",EDATE($D94,Milestones!$AA$91)&gt;=$S94),$V94,$U94)))=Milestones!$AB$91),UPPER(TEXT(EDATE($D94,Milestones!$AA$91),"dd mmm yy"))&amp;" "&amp;Milestones!$AB$91&amp;" "&amp;Milestones!$AC$91&amp;";  ","")&amp;IF(AND(EDATE($D94,Milestones!$AA$92)&lt;=AsOfDate,IF($R94=0,$X94,IF(AND($T94&lt;&gt;"",EDATE($D94,Milestones!$AA$92)&gt;=$T94),$W94,IF(AND($S94&lt;&gt;"",EDATE($D94,Milestones!$AA$92)&gt;=$S94),$V94,$U94)))=Milestones!$AB$92),UPPER(TEXT(EDATE($D94,Milestones!$AA$92),"dd mmm yy"))&amp;" "&amp;Milestones!$AB$92&amp;" "&amp;Milestones!$AC$92&amp;";  ","")&amp;IF(AND(EDATE($D94,Milestones!$AA$93)&lt;=AsOfDate,IF($R94=0,$X94,IF(AND($T94&lt;&gt;"",EDATE($D94,Milestones!$AA$93)&gt;=$T94),$W94,IF(AND($S94&lt;&gt;"",EDATE($D94,Milestones!$AA$93)&gt;=$S94),$V94,$U94)))=Milestones!$AB$93),UPPER(TEXT(EDATE($D94,Milestones!$AA$93),"dd mmm yy"))&amp;" "&amp;Milestones!$AB$93&amp;" "&amp;Milestones!$AC$93&amp;";  ","")&amp;IF(AND(EDATE($D94,Milestones!$AA$94)&lt;=AsOfDate,IF($R94=0,$X94,IF(AND($T94&lt;&gt;"",EDATE($D94,Milestones!$AA$94)&gt;=$T94),$W94,IF(AND($S94&lt;&gt;"",EDATE($D94,Milestones!$AA$94)&gt;=$S94),$V94,$U94)))=Milestones!$AB$94),UPPER(TEXT(EDATE($D94,Milestones!$AA$94),"dd mmm yy"))&amp;" "&amp;Milestones!$AB$94&amp;" "&amp;Milestones!$AC$94&amp;";  ","")&amp;IF(AND(EDATE($D94,Milestones!$AA$95)&lt;=AsOfDate,IF($R94=0,$X94,IF(AND($T94&lt;&gt;"",EDATE($D94,Milestones!$AA$95)&gt;=$T94),$W94,IF(AND($S94&lt;&gt;"",EDATE($D94,Milestones!$AA$95)&gt;=$S94),$V94,$U94)))=Milestones!$AB$95),UPPER(TEXT(EDATE($D94,Milestones!$AA$95),"dd mmm yy"))&amp;" "&amp;Milestones!$AB$95&amp;" "&amp;Milestones!$AC$95&amp;";  ","")&amp;IF(AND(EDATE($D94,Milestones!$AA$96)&lt;=AsOfDate,IF($R94=0,$X94,IF(AND($T94&lt;&gt;"",EDATE($D94,Milestones!$AA$96)&gt;=$T94),$W94,IF(AND($S94&lt;&gt;"",EDATE($D94,Milestones!$AA$96)&gt;=$S94),$V94,$U94)))=Milestones!$AB$96),UPPER(TEXT(EDATE($D94,Milestones!$AA$96),"dd mmm yy"))&amp;" "&amp;Milestones!$AB$96&amp;" "&amp;Milestones!$AC$96&amp;";  ","")&amp;IF(AND(EDATE($D94,Milestones!$AA$97)&lt;=AsOfDate,IF($R94=0,$X94,IF(AND($T94&lt;&gt;"",EDATE($D94,Milestones!$AA$97)&gt;=$T94),$W94,IF(AND($S94&lt;&gt;"",EDATE($D94,Milestones!$AA$97)&gt;=$S94),$V94,$U94)))=Milestones!$AB$97),UPPER(TEXT(EDATE($D94,Milestones!$AA$97),"dd mmm yy"))&amp;" "&amp;Milestones!$AB$97&amp;" "&amp;Milestones!$AC$97&amp;";  ","")&amp;IF(AND(EDATE($D94,Milestones!$AA$98)&lt;=AsOfDate,IF($R94=0,$X94,IF(AND($T94&lt;&gt;"",EDATE($D94,Milestones!$AA$98)&gt;=$T94),$W94,IF(AND($S94&lt;&gt;"",EDATE($D94,Milestones!$AA$98)&gt;=$S94),$V94,$U94)))=Milestones!$AB$98),UPPER(TEXT(EDATE($D94,Milestones!$AA$98),"dd mmm yy"))&amp;" "&amp;Milestones!$AB$98&amp;" "&amp;Milestones!$AC$98&amp;";  ","")&amp;IF(AND(EDATE($D94,Milestones!$AA$99)&lt;=AsOfDate,IF($R94=0,$X94,IF(AND($T94&lt;&gt;"",EDATE($D94,Milestones!$AA$99)&gt;=$T94),$W94,IF(AND($S94&lt;&gt;"",EDATE($D94,Milestones!$AA$99)&gt;=$S94),$V94,$U94)))=Milestones!$AB$99),UPPER(TEXT(EDATE($D94,Milestones!$AA$99),"dd mmm yy"))&amp;" "&amp;Milestones!$AB$99&amp;" "&amp;Milestones!$AC$99&amp;";  ",""))</f>
        <v/>
      </c>
      <c r="M94" s="0" t="str">
        <f aca="false">IF(OR($A94="",$D94=""),"",IF(AND(EDATE($D94,Milestones!$AA$100)&lt;=AsOfDate,IF($R94=0,$X94,IF(AND($T94&lt;&gt;"",EDATE($D94,Milestones!$AA$100)&gt;=$T94),$W94,IF(AND($S94&lt;&gt;"",EDATE($D94,Milestones!$AA$100)&gt;=$S94),$V94,$U94)))=Milestones!$AB$100),UPPER(TEXT(EDATE($D94,Milestones!$AA$100),"dd mmm yy"))&amp;" "&amp;Milestones!$AB$100&amp;" "&amp;Milestones!$AC$100&amp;";  ","")&amp;IF(AND(EDATE($D94,Milestones!$AA$101)&lt;=AsOfDate,IF($R94=0,$X94,IF(AND($T94&lt;&gt;"",EDATE($D94,Milestones!$AA$101)&gt;=$T94),$W94,IF(AND($S94&lt;&gt;"",EDATE($D94,Milestones!$AA$101)&gt;=$S94),$V94,$U94)))=Milestones!$AB$101),UPPER(TEXT(EDATE($D94,Milestones!$AA$101),"dd mmm yy"))&amp;" "&amp;Milestones!$AB$101&amp;" "&amp;Milestones!$AC$101&amp;";  ","")&amp;IF(AND(EDATE($D94,Milestones!$AA$102)&lt;=AsOfDate,IF($R94=0,$X94,IF(AND($T94&lt;&gt;"",EDATE($D94,Milestones!$AA$102)&gt;=$T94),$W94,IF(AND($S94&lt;&gt;"",EDATE($D94,Milestones!$AA$102)&gt;=$S94),$V94,$U94)))=Milestones!$AB$102),UPPER(TEXT(EDATE($D94,Milestones!$AA$102),"dd mmm yy"))&amp;" "&amp;Milestones!$AB$102&amp;" "&amp;Milestones!$AC$102&amp;";  ","")&amp;IF(AND(EDATE($D94,Milestones!$AA$103)&lt;=AsOfDate,IF($R94=0,$X94,IF(AND($T94&lt;&gt;"",EDATE($D94,Milestones!$AA$103)&gt;=$T94),$W94,IF(AND($S94&lt;&gt;"",EDATE($D94,Milestones!$AA$103)&gt;=$S94),$V94,$U94)))=Milestones!$AB$103),UPPER(TEXT(EDATE($D94,Milestones!$AA$103),"dd mmm yy"))&amp;" "&amp;Milestones!$AB$103&amp;" "&amp;Milestones!$AC$103&amp;";  ","")&amp;IF(AND(EDATE($D94,Milestones!$AA$104)&lt;=AsOfDate,IF($R94=0,$X94,IF(AND($T94&lt;&gt;"",EDATE($D94,Milestones!$AA$104)&gt;=$T94),$W94,IF(AND($S94&lt;&gt;"",EDATE($D94,Milestones!$AA$104)&gt;=$S94),$V94,$U94)))=Milestones!$AB$104),UPPER(TEXT(EDATE($D94,Milestones!$AA$104),"dd mmm yy"))&amp;" "&amp;Milestones!$AB$104&amp;" "&amp;Milestones!$AC$104&amp;";  ","")&amp;IF(AND(EDATE($D94,Milestones!$AA$105)&lt;=AsOfDate,IF($R94=0,$X94,IF(AND($T94&lt;&gt;"",EDATE($D94,Milestones!$AA$105)&gt;=$T94),$W94,IF(AND($S94&lt;&gt;"",EDATE($D94,Milestones!$AA$105)&gt;=$S94),$V94,$U94)))=Milestones!$AB$105),UPPER(TEXT(EDATE($D94,Milestones!$AA$105),"dd mmm yy"))&amp;" "&amp;Milestones!$AB$105&amp;" "&amp;Milestones!$AC$105&amp;";  ","")&amp;IF(AND(EDATE($D94,Milestones!$AA$106)&lt;=AsOfDate,IF($R94=0,$X94,IF(AND($T94&lt;&gt;"",EDATE($D94,Milestones!$AA$106)&gt;=$T94),$W94,IF(AND($S94&lt;&gt;"",EDATE($D94,Milestones!$AA$106)&gt;=$S94),$V94,$U94)))=Milestones!$AB$106),UPPER(TEXT(EDATE($D94,Milestones!$AA$106),"dd mmm yy"))&amp;" "&amp;Milestones!$AB$106&amp;" "&amp;Milestones!$AC$106&amp;";  ","")&amp;IF(AND(EDATE($D94,Milestones!$AA$107)&lt;=AsOfDate,IF($R94=0,$X94,IF(AND($T94&lt;&gt;"",EDATE($D94,Milestones!$AA$107)&gt;=$T94),$W94,IF(AND($S94&lt;&gt;"",EDATE($D94,Milestones!$AA$107)&gt;=$S94),$V94,$U94)))=Milestones!$AB$107),UPPER(TEXT(EDATE($D94,Milestones!$AA$107),"dd mmm yy"))&amp;" "&amp;Milestones!$AB$107&amp;" "&amp;Milestones!$AC$107&amp;";  ","")&amp;IF(AND(EDATE($D94,Milestones!$AA$108)&lt;=AsOfDate,IF($R94=0,$X94,IF(AND($T94&lt;&gt;"",EDATE($D94,Milestones!$AA$108)&gt;=$T94),$W94,IF(AND($S94&lt;&gt;"",EDATE($D94,Milestones!$AA$108)&gt;=$S94),$V94,$U94)))=Milestones!$AB$108),UPPER(TEXT(EDATE($D94,Milestones!$AA$108),"dd mmm yy"))&amp;" "&amp;Milestones!$AB$108&amp;" "&amp;Milestones!$AC$108&amp;";  ","")&amp;IF(AND(EDATE($D94,Milestones!$AA$109)&lt;=AsOfDate,IF($R94=0,$X94,IF(AND($T94&lt;&gt;"",EDATE($D94,Milestones!$AA$109)&gt;=$T94),$W94,IF(AND($S94&lt;&gt;"",EDATE($D94,Milestones!$AA$109)&gt;=$S94),$V94,$U94)))=Milestones!$AB$109),UPPER(TEXT(EDATE($D94,Milestones!$AA$109),"dd mmm yy"))&amp;" "&amp;Milestones!$AB$109&amp;" "&amp;Milestones!$AC$109&amp;";  ","")&amp;IF(AND(EDATE($D94,Milestones!$AA$110)&lt;=AsOfDate,IF($R94=0,$X94,IF(AND($T94&lt;&gt;"",EDATE($D94,Milestones!$AA$110)&gt;=$T94),$W94,IF(AND($S94&lt;&gt;"",EDATE($D94,Milestones!$AA$110)&gt;=$S94),$V94,$U94)))=Milestones!$AB$110),UPPER(TEXT(EDATE($D94,Milestones!$AA$110),"dd mmm yy"))&amp;" "&amp;Milestones!$AB$110&amp;" "&amp;Milestones!$AC$110&amp;";  ","")&amp;IF(AND(EDATE($D94,Milestones!$AA$111)&lt;=AsOfDate,IF($R94=0,$X94,IF(AND($T94&lt;&gt;"",EDATE($D94,Milestones!$AA$111)&gt;=$T94),$W94,IF(AND($S94&lt;&gt;"",EDATE($D94,Milestones!$AA$111)&gt;=$S94),$V94,$U94)))=Milestones!$AB$111),UPPER(TEXT(EDATE($D94,Milestones!$AA$111),"dd mmm yy"))&amp;" "&amp;Milestones!$AB$111&amp;" "&amp;Milestones!$AC$111&amp;";  ","")&amp;IF(AND(EDATE($D94,Milestones!$AA$112)&lt;=AsOfDate,IF($R94=0,$X94,IF(AND($T94&lt;&gt;"",EDATE($D94,Milestones!$AA$112)&gt;=$T94),$W94,IF(AND($S94&lt;&gt;"",EDATE($D94,Milestones!$AA$112)&gt;=$S94),$V94,$U94)))=Milestones!$AB$112),UPPER(TEXT(EDATE($D94,Milestones!$AA$112),"dd mmm yy"))&amp;" "&amp;Milestones!$AB$112&amp;" "&amp;Milestones!$AC$112&amp;";  ","")&amp;IF(AND(EDATE($D94,Milestones!$AA$113)&lt;=AsOfDate,IF($R94=0,$X94,IF(AND($T94&lt;&gt;"",EDATE($D94,Milestones!$AA$113)&gt;=$T94),$W94,IF(AND($S94&lt;&gt;"",EDATE($D94,Milestones!$AA$113)&gt;=$S94),$V94,$U94)))=Milestones!$AB$113),UPPER(TEXT(EDATE($D94,Milestones!$AA$113),"dd mmm yy"))&amp;" "&amp;Milestones!$AB$113&amp;" "&amp;Milestones!$AC$113&amp;";  ","")&amp;IF(AND(EDATE($D94,Milestones!$AA$114)&lt;=AsOfDate,IF($R94=0,$X94,IF(AND($T94&lt;&gt;"",EDATE($D94,Milestones!$AA$114)&gt;=$T94),$W94,IF(AND($S94&lt;&gt;"",EDATE($D94,Milestones!$AA$114)&gt;=$S94),$V94,$U94)))=Milestones!$AB$114),UPPER(TEXT(EDATE($D94,Milestones!$AA$114),"dd mmm yy"))&amp;" "&amp;Milestones!$AB$114&amp;" "&amp;Milestones!$AC$114&amp;";  ","")&amp;IF(AND(EDATE($D94,Milestones!$AA$115)&lt;=AsOfDate,IF($R94=0,$X94,IF(AND($T94&lt;&gt;"",EDATE($D94,Milestones!$AA$115)&gt;=$T94),$W94,IF(AND($S94&lt;&gt;"",EDATE($D94,Milestones!$AA$115)&gt;=$S94),$V94,$U94)))=Milestones!$AB$115),UPPER(TEXT(EDATE($D94,Milestones!$AA$115),"dd mmm yy"))&amp;" "&amp;Milestones!$AB$115&amp;" "&amp;Milestones!$AC$115&amp;";  ","")&amp;IF(AND(EDATE($D94,Milestones!$AA$116)&lt;=AsOfDate,IF($R94=0,$X94,IF(AND($T94&lt;&gt;"",EDATE($D94,Milestones!$AA$116)&gt;=$T94),$W94,IF(AND($S94&lt;&gt;"",EDATE($D94,Milestones!$AA$116)&gt;=$S94),$V94,$U94)))=Milestones!$AB$116),UPPER(TEXT(EDATE($D94,Milestones!$AA$116),"dd mmm yy"))&amp;" "&amp;Milestones!$AB$116&amp;" "&amp;Milestones!$AC$116&amp;";  ","")&amp;IF(AND(EDATE($D94,Milestones!$AA$117)&lt;=AsOfDate,IF($R94=0,$X94,IF(AND($T94&lt;&gt;"",EDATE($D94,Milestones!$AA$117)&gt;=$T94),$W94,IF(AND($S94&lt;&gt;"",EDATE($D94,Milestones!$AA$117)&gt;=$S94),$V94,$U94)))=Milestones!$AB$117),UPPER(TEXT(EDATE($D94,Milestones!$AA$117),"dd mmm yy"))&amp;" "&amp;Milestones!$AB$117&amp;" "&amp;Milestones!$AC$117&amp;";  ","")&amp;IF(AND(EDATE($D94,Milestones!$AA$118)&lt;=AsOfDate,IF($R94=0,$X94,IF(AND($T94&lt;&gt;"",EDATE($D94,Milestones!$AA$118)&gt;=$T94),$W94,IF(AND($S94&lt;&gt;"",EDATE($D94,Milestones!$AA$118)&gt;=$S94),$V94,$U94)))=Milestones!$AB$118),UPPER(TEXT(EDATE($D94,Milestones!$AA$118),"dd mmm yy"))&amp;" "&amp;Milestones!$AB$118&amp;" "&amp;Milestones!$AC$118&amp;";  ","")&amp;IF(AND(EDATE($D94,Milestones!$AA$119)&lt;=AsOfDate,IF($R94=0,$X94,IF(AND($T94&lt;&gt;"",EDATE($D94,Milestones!$AA$119)&gt;=$T94),$W94,IF(AND($S94&lt;&gt;"",EDATE($D94,Milestones!$AA$119)&gt;=$S94),$V94,$U94)))=Milestones!$AB$119),UPPER(TEXT(EDATE($D94,Milestones!$AA$119),"dd mmm yy"))&amp;" "&amp;Milestones!$AB$119&amp;" "&amp;Milestones!$AC$119&amp;";  ",""))</f>
        <v/>
      </c>
      <c r="N94" s="0" t="str">
        <f aca="false">IF(OR($A94="",$D94=""),"",IF(AND(EDATE($D94,Milestones!$AA$120)&lt;=AsOfDate,IF($R94=0,$X94,IF(AND($T94&lt;&gt;"",EDATE($D94,Milestones!$AA$120)&gt;=$T94),$W94,IF(AND($S94&lt;&gt;"",EDATE($D94,Milestones!$AA$120)&gt;=$S94),$V94,$U94)))=Milestones!$AB$120),UPPER(TEXT(EDATE($D94,Milestones!$AA$120),"dd mmm yy"))&amp;" "&amp;Milestones!$AB$120&amp;" "&amp;Milestones!$AC$120&amp;";  ","")&amp;IF(AND(EDATE($D94,Milestones!$AA$121)&lt;=AsOfDate,IF($R94=0,$X94,IF(AND($T94&lt;&gt;"",EDATE($D94,Milestones!$AA$121)&gt;=$T94),$W94,IF(AND($S94&lt;&gt;"",EDATE($D94,Milestones!$AA$121)&gt;=$S94),$V94,$U94)))=Milestones!$AB$121),UPPER(TEXT(EDATE($D94,Milestones!$AA$121),"dd mmm yy"))&amp;" "&amp;Milestones!$AB$121&amp;" "&amp;Milestones!$AC$121&amp;";  ","")&amp;IF(AND(EDATE($D94,Milestones!$AA$122)&lt;=AsOfDate,IF($R94=0,$X94,IF(AND($T94&lt;&gt;"",EDATE($D94,Milestones!$AA$122)&gt;=$T94),$W94,IF(AND($S94&lt;&gt;"",EDATE($D94,Milestones!$AA$122)&gt;=$S94),$V94,$U94)))=Milestones!$AB$122),UPPER(TEXT(EDATE($D94,Milestones!$AA$122),"dd mmm yy"))&amp;" "&amp;Milestones!$AB$122&amp;" "&amp;Milestones!$AC$122&amp;";  ","")&amp;IF(AND(EDATE($D94,Milestones!$AA$123)&lt;=AsOfDate,IF($R94=0,$X94,IF(AND($T94&lt;&gt;"",EDATE($D94,Milestones!$AA$123)&gt;=$T94),$W94,IF(AND($S94&lt;&gt;"",EDATE($D94,Milestones!$AA$123)&gt;=$S94),$V94,$U94)))=Milestones!$AB$123),UPPER(TEXT(EDATE($D94,Milestones!$AA$123),"dd mmm yy"))&amp;" "&amp;Milestones!$AB$123&amp;" "&amp;Milestones!$AC$123&amp;";  ","")&amp;IF(AND(EDATE($D94,Milestones!$AA$124)&lt;=AsOfDate,IF($R94=0,$X94,IF(AND($T94&lt;&gt;"",EDATE($D94,Milestones!$AA$124)&gt;=$T94),$W94,IF(AND($S94&lt;&gt;"",EDATE($D94,Milestones!$AA$124)&gt;=$S94),$V94,$U94)))=Milestones!$AB$124),UPPER(TEXT(EDATE($D94,Milestones!$AA$124),"dd mmm yy"))&amp;" "&amp;Milestones!$AB$124&amp;" "&amp;Milestones!$AC$124&amp;";  ","")&amp;IF(AND(EDATE($D94,Milestones!$AA$125)&lt;=AsOfDate,IF($R94=0,$X94,IF(AND($T94&lt;&gt;"",EDATE($D94,Milestones!$AA$125)&gt;=$T94),$W94,IF(AND($S94&lt;&gt;"",EDATE($D94,Milestones!$AA$125)&gt;=$S94),$V94,$U94)))=Milestones!$AB$125),UPPER(TEXT(EDATE($D94,Milestones!$AA$125),"dd mmm yy"))&amp;" "&amp;Milestones!$AB$125&amp;" "&amp;Milestones!$AC$125&amp;";  ","")&amp;IF(AND(EDATE($D94,Milestones!$AA$126)&lt;=AsOfDate,IF($R94=0,$X94,IF(AND($T94&lt;&gt;"",EDATE($D94,Milestones!$AA$126)&gt;=$T94),$W94,IF(AND($S94&lt;&gt;"",EDATE($D94,Milestones!$AA$126)&gt;=$S94),$V94,$U94)))=Milestones!$AB$126),UPPER(TEXT(EDATE($D94,Milestones!$AA$126),"dd mmm yy"))&amp;" "&amp;Milestones!$AB$126&amp;" "&amp;Milestones!$AC$126&amp;";  ","")&amp;IF(AND(EDATE($D94,Milestones!$AA$127)&lt;=AsOfDate,IF($R94=0,$X94,IF(AND($T94&lt;&gt;"",EDATE($D94,Milestones!$AA$127)&gt;=$T94),$W94,IF(AND($S94&lt;&gt;"",EDATE($D94,Milestones!$AA$127)&gt;=$S94),$V94,$U94)))=Milestones!$AB$127),UPPER(TEXT(EDATE($D94,Milestones!$AA$127),"dd mmm yy"))&amp;" "&amp;Milestones!$AB$127&amp;" "&amp;Milestones!$AC$127&amp;";  ","")&amp;IF(AND(EDATE($D94,Milestones!$AA$128)&lt;=AsOfDate,IF($R94=0,$X94,IF(AND($T94&lt;&gt;"",EDATE($D94,Milestones!$AA$128)&gt;=$T94),$W94,IF(AND($S94&lt;&gt;"",EDATE($D94,Milestones!$AA$128)&gt;=$S94),$V94,$U94)))=Milestones!$AB$128),UPPER(TEXT(EDATE($D94,Milestones!$AA$128),"dd mmm yy"))&amp;" "&amp;Milestones!$AB$128&amp;" "&amp;Milestones!$AC$128&amp;";  ","")&amp;IF(AND(EDATE($D94,Milestones!$AA$129)&lt;=AsOfDate,IF($R94=0,$X94,IF(AND($T94&lt;&gt;"",EDATE($D94,Milestones!$AA$129)&gt;=$T94),$W94,IF(AND($S94&lt;&gt;"",EDATE($D94,Milestones!$AA$129)&gt;=$S94),$V94,$U94)))=Milestones!$AB$129),UPPER(TEXT(EDATE($D94,Milestones!$AA$129),"dd mmm yy"))&amp;" "&amp;Milestones!$AB$129&amp;" "&amp;Milestones!$AC$129&amp;";  ","")&amp;IF(AND(EDATE($D94,Milestones!$AA$130)&lt;=AsOfDate,IF($R94=0,$X94,IF(AND($T94&lt;&gt;"",EDATE($D94,Milestones!$AA$130)&gt;=$T94),$W94,IF(AND($S94&lt;&gt;"",EDATE($D94,Milestones!$AA$130)&gt;=$S94),$V94,$U94)))=Milestones!$AB$130),UPPER(TEXT(EDATE($D94,Milestones!$AA$130),"dd mmm yy"))&amp;" "&amp;Milestones!$AB$130&amp;" "&amp;Milestones!$AC$130&amp;";  ","")&amp;IF(AND(EDATE($D94,Milestones!$AA$131)&lt;=AsOfDate,IF($R94=0,$X94,IF(AND($T94&lt;&gt;"",EDATE($D94,Milestones!$AA$131)&gt;=$T94),$W94,IF(AND($S94&lt;&gt;"",EDATE($D94,Milestones!$AA$131)&gt;=$S94),$V94,$U94)))=Milestones!$AB$131),UPPER(TEXT(EDATE($D94,Milestones!$AA$131),"dd mmm yy"))&amp;" "&amp;Milestones!$AB$131&amp;" "&amp;Milestones!$AC$131&amp;";  ","")&amp;IF(AND(EDATE($D94,Milestones!$AA$132)&lt;=AsOfDate,IF($R94=0,$X94,IF(AND($T94&lt;&gt;"",EDATE($D94,Milestones!$AA$132)&gt;=$T94),$W94,IF(AND($S94&lt;&gt;"",EDATE($D94,Milestones!$AA$132)&gt;=$S94),$V94,$U94)))=Milestones!$AB$132),UPPER(TEXT(EDATE($D94,Milestones!$AA$132),"dd mmm yy"))&amp;" "&amp;Milestones!$AB$132&amp;" "&amp;Milestones!$AC$132&amp;";  ","")&amp;IF(AND(EDATE($D94,Milestones!$AA$133)&lt;=AsOfDate,IF($R94=0,$X94,IF(AND($T94&lt;&gt;"",EDATE($D94,Milestones!$AA$133)&gt;=$T94),$W94,IF(AND($S94&lt;&gt;"",EDATE($D94,Milestones!$AA$133)&gt;=$S94),$V94,$U94)))=Milestones!$AB$133),UPPER(TEXT(EDATE($D94,Milestones!$AA$133),"dd mmm yy"))&amp;" "&amp;Milestones!$AB$133&amp;" "&amp;Milestones!$AC$133&amp;";  ","")&amp;IF(AND(EDATE($D94,Milestones!$AA$134)&lt;=AsOfDate,IF($R94=0,$X94,IF(AND($T94&lt;&gt;"",EDATE($D94,Milestones!$AA$134)&gt;=$T94),$W94,IF(AND($S94&lt;&gt;"",EDATE($D94,Milestones!$AA$134)&gt;=$S94),$V94,$U94)))=Milestones!$AB$134),UPPER(TEXT(EDATE($D94,Milestones!$AA$134),"dd mmm yy"))&amp;" "&amp;Milestones!$AB$134&amp;" "&amp;Milestones!$AC$134&amp;";  ","")&amp;IF(AND(EDATE($D94,Milestones!$AA$135)&lt;=AsOfDate,IF($R94=0,$X94,IF(AND($T94&lt;&gt;"",EDATE($D94,Milestones!$AA$135)&gt;=$T94),$W94,IF(AND($S94&lt;&gt;"",EDATE($D94,Milestones!$AA$135)&gt;=$S94),$V94,$U94)))=Milestones!$AB$135),UPPER(TEXT(EDATE($D94,Milestones!$AA$135),"dd mmm yy"))&amp;" "&amp;Milestones!$AB$135&amp;" "&amp;Milestones!$AC$135&amp;";  ","")&amp;IF(AND(EDATE($D94,Milestones!$AA$136)&lt;=AsOfDate,IF($R94=0,$X94,IF(AND($T94&lt;&gt;"",EDATE($D94,Milestones!$AA$136)&gt;=$T94),$W94,IF(AND($S94&lt;&gt;"",EDATE($D94,Milestones!$AA$136)&gt;=$S94),$V94,$U94)))=Milestones!$AB$136),UPPER(TEXT(EDATE($D94,Milestones!$AA$136),"dd mmm yy"))&amp;" "&amp;Milestones!$AB$136&amp;" "&amp;Milestones!$AC$136&amp;";  ","")&amp;IF(AND(EDATE($D94,Milestones!$AA$137)&lt;=AsOfDate,IF($R94=0,$X94,IF(AND($T94&lt;&gt;"",EDATE($D94,Milestones!$AA$137)&gt;=$T94),$W94,IF(AND($S94&lt;&gt;"",EDATE($D94,Milestones!$AA$137)&gt;=$S94),$V94,$U94)))=Milestones!$AB$137),UPPER(TEXT(EDATE($D94,Milestones!$AA$137),"dd mmm yy"))&amp;" "&amp;Milestones!$AB$137&amp;" "&amp;Milestones!$AC$137&amp;";  ","")&amp;IF(AND(EDATE($D94,Milestones!$AA$138)&lt;=AsOfDate,IF($R94=0,$X94,IF(AND($T94&lt;&gt;"",EDATE($D94,Milestones!$AA$138)&gt;=$T94),$W94,IF(AND($S94&lt;&gt;"",EDATE($D94,Milestones!$AA$138)&gt;=$S94),$V94,$U94)))=Milestones!$AB$138),UPPER(TEXT(EDATE($D94,Milestones!$AA$138),"dd mmm yy"))&amp;" "&amp;Milestones!$AB$138&amp;" "&amp;Milestones!$AC$138&amp;";  ","")&amp;IF(AND(EDATE($D94,Milestones!$AA$139)&lt;=AsOfDate,IF($R94=0,$X94,IF(AND($T94&lt;&gt;"",EDATE($D94,Milestones!$AA$139)&gt;=$T94),$W94,IF(AND($S94&lt;&gt;"",EDATE($D94,Milestones!$AA$139)&gt;=$S94),$V94,$U94)))=Milestones!$AB$139),UPPER(TEXT(EDATE($D94,Milestones!$AA$139),"dd mmm yy"))&amp;" "&amp;Milestones!$AB$139&amp;" "&amp;Milestones!$AC$139&amp;";  ",""))</f>
        <v/>
      </c>
      <c r="O94" s="0" t="str">
        <f aca="false">IF(OR($A94="",$D94=""),"",IF(AND(EDATE($D94,Milestones!$AA$140)&lt;=AsOfDate,IF($R94=0,$X94,IF(AND($T94&lt;&gt;"",EDATE($D94,Milestones!$AA$140)&gt;=$T94),$W94,IF(AND($S94&lt;&gt;"",EDATE($D94,Milestones!$AA$140)&gt;=$S94),$V94,$U94)))=Milestones!$AB$140),UPPER(TEXT(EDATE($D94,Milestones!$AA$140),"dd mmm yy"))&amp;" "&amp;Milestones!$AB$140&amp;" "&amp;Milestones!$AC$140&amp;";  ","")&amp;IF(AND(EDATE($D94,Milestones!$AA$141)&lt;=AsOfDate,IF($R94=0,$X94,IF(AND($T94&lt;&gt;"",EDATE($D94,Milestones!$AA$141)&gt;=$T94),$W94,IF(AND($S94&lt;&gt;"",EDATE($D94,Milestones!$AA$141)&gt;=$S94),$V94,$U94)))=Milestones!$AB$141),UPPER(TEXT(EDATE($D94,Milestones!$AA$141),"dd mmm yy"))&amp;" "&amp;Milestones!$AB$141&amp;" "&amp;Milestones!$AC$141&amp;";  ","")&amp;IF(AND(EDATE($D94,Milestones!$AA$142)&lt;=AsOfDate,IF($R94=0,$X94,IF(AND($T94&lt;&gt;"",EDATE($D94,Milestones!$AA$142)&gt;=$T94),$W94,IF(AND($S94&lt;&gt;"",EDATE($D94,Milestones!$AA$142)&gt;=$S94),$V94,$U94)))=Milestones!$AB$142),UPPER(TEXT(EDATE($D94,Milestones!$AA$142),"dd mmm yy"))&amp;" "&amp;Milestones!$AB$142&amp;" "&amp;Milestones!$AC$142&amp;";  ","")&amp;IF(AND(EDATE($D94,Milestones!$AA$143)&lt;=AsOfDate,IF($R94=0,$X94,IF(AND($T94&lt;&gt;"",EDATE($D94,Milestones!$AA$143)&gt;=$T94),$W94,IF(AND($S94&lt;&gt;"",EDATE($D94,Milestones!$AA$143)&gt;=$S94),$V94,$U94)))=Milestones!$AB$143),UPPER(TEXT(EDATE($D94,Milestones!$AA$143),"dd mmm yy"))&amp;" "&amp;Milestones!$AB$143&amp;" "&amp;Milestones!$AC$143&amp;";  ","")&amp;IF(AND(EDATE($D94,Milestones!$AA$144)&lt;=AsOfDate,IF($R94=0,$X94,IF(AND($T94&lt;&gt;"",EDATE($D94,Milestones!$AA$144)&gt;=$T94),$W94,IF(AND($S94&lt;&gt;"",EDATE($D94,Milestones!$AA$144)&gt;=$S94),$V94,$U94)))=Milestones!$AB$144),UPPER(TEXT(EDATE($D94,Milestones!$AA$144),"dd mmm yy"))&amp;" "&amp;Milestones!$AB$144&amp;" "&amp;Milestones!$AC$144&amp;";  ","")&amp;IF(AND(EDATE($D94,Milestones!$AA$145)&lt;=AsOfDate,IF($R94=0,$X94,IF(AND($T94&lt;&gt;"",EDATE($D94,Milestones!$AA$145)&gt;=$T94),$W94,IF(AND($S94&lt;&gt;"",EDATE($D94,Milestones!$AA$145)&gt;=$S94),$V94,$U94)))=Milestones!$AB$145),UPPER(TEXT(EDATE($D94,Milestones!$AA$145),"dd mmm yy"))&amp;" "&amp;Milestones!$AB$145&amp;" "&amp;Milestones!$AC$145&amp;";  ","")&amp;IF(AND(EDATE($D94,Milestones!$AA$146)&lt;=AsOfDate,IF($R94=0,$X94,IF(AND($T94&lt;&gt;"",EDATE($D94,Milestones!$AA$146)&gt;=$T94),$W94,IF(AND($S94&lt;&gt;"",EDATE($D94,Milestones!$AA$146)&gt;=$S94),$V94,$U94)))=Milestones!$AB$146),UPPER(TEXT(EDATE($D94,Milestones!$AA$146),"dd mmm yy"))&amp;" "&amp;Milestones!$AB$146&amp;" "&amp;Milestones!$AC$146&amp;";  ","")&amp;IF(AND(EDATE($D94,Milestones!$AA$147)&lt;=AsOfDate,IF($R94=0,$X94,IF(AND($T94&lt;&gt;"",EDATE($D94,Milestones!$AA$147)&gt;=$T94),$W94,IF(AND($S94&lt;&gt;"",EDATE($D94,Milestones!$AA$147)&gt;=$S94),$V94,$U94)))=Milestones!$AB$147),UPPER(TEXT(EDATE($D94,Milestones!$AA$147),"dd mmm yy"))&amp;" "&amp;Milestones!$AB$147&amp;" "&amp;Milestones!$AC$147&amp;";  ","")&amp;IF(AND(EDATE($D94,Milestones!$AA$148)&lt;=AsOfDate,IF($R94=0,$X94,IF(AND($T94&lt;&gt;"",EDATE($D94,Milestones!$AA$148)&gt;=$T94),$W94,IF(AND($S94&lt;&gt;"",EDATE($D94,Milestones!$AA$148)&gt;=$S94),$V94,$U94)))=Milestones!$AB$148),UPPER(TEXT(EDATE($D94,Milestones!$AA$148),"dd mmm yy"))&amp;" "&amp;Milestones!$AB$148&amp;" "&amp;Milestones!$AC$148&amp;";  ","")&amp;IF(AND(EDATE($D94,Milestones!$AA$149)&lt;=AsOfDate,IF($R94=0,$X94,IF(AND($T94&lt;&gt;"",EDATE($D94,Milestones!$AA$149)&gt;=$T94),$W94,IF(AND($S94&lt;&gt;"",EDATE($D94,Milestones!$AA$149)&gt;=$S94),$V94,$U94)))=Milestones!$AB$149),UPPER(TEXT(EDATE($D94,Milestones!$AA$149),"dd mmm yy"))&amp;" "&amp;Milestones!$AB$149&amp;" "&amp;Milestones!$AC$149&amp;";  ","")&amp;IF(AND(EDATE($D94,Milestones!$AA$150)&lt;=AsOfDate,IF($R94=0,$X94,IF(AND($T94&lt;&gt;"",EDATE($D94,Milestones!$AA$150)&gt;=$T94),$W94,IF(AND($S94&lt;&gt;"",EDATE($D94,Milestones!$AA$150)&gt;=$S94),$V94,$U94)))=Milestones!$AB$150),UPPER(TEXT(EDATE($D94,Milestones!$AA$150),"dd mmm yy"))&amp;" "&amp;Milestones!$AB$150&amp;" "&amp;Milestones!$AC$150&amp;";  ","")&amp;IF(AND(EDATE($D94,Milestones!$AA$151)&lt;=AsOfDate,IF($R94=0,$X94,IF(AND($T94&lt;&gt;"",EDATE($D94,Milestones!$AA$151)&gt;=$T94),$W94,IF(AND($S94&lt;&gt;"",EDATE($D94,Milestones!$AA$151)&gt;=$S94),$V94,$U94)))=Milestones!$AB$151),UPPER(TEXT(EDATE($D94,Milestones!$AA$151),"dd mmm yy"))&amp;" "&amp;Milestones!$AB$151&amp;" "&amp;Milestones!$AC$151&amp;";  ","")&amp;IF(AND(EDATE($D94,Milestones!$AA$152)&lt;=AsOfDate,IF($R94=0,$X94,IF(AND($T94&lt;&gt;"",EDATE($D94,Milestones!$AA$152)&gt;=$T94),$W94,IF(AND($S94&lt;&gt;"",EDATE($D94,Milestones!$AA$152)&gt;=$S94),$V94,$U94)))=Milestones!$AB$152),UPPER(TEXT(EDATE($D94,Milestones!$AA$152),"dd mmm yy"))&amp;" "&amp;Milestones!$AB$152&amp;" "&amp;Milestones!$AC$152&amp;";  ","")&amp;IF(AND(EDATE($D94,Milestones!$AA$153)&lt;=AsOfDate,IF($R94=0,$X94,IF(AND($T94&lt;&gt;"",EDATE($D94,Milestones!$AA$153)&gt;=$T94),$W94,IF(AND($S94&lt;&gt;"",EDATE($D94,Milestones!$AA$153)&gt;=$S94),$V94,$U94)))=Milestones!$AB$153),UPPER(TEXT(EDATE($D94,Milestones!$AA$153),"dd mmm yy"))&amp;" "&amp;Milestones!$AB$153&amp;" "&amp;Milestones!$AC$153&amp;";  ","")&amp;IF(AND(EDATE($D94,Milestones!$AA$154)&lt;=AsOfDate,IF($R94=0,$X94,IF(AND($T94&lt;&gt;"",EDATE($D94,Milestones!$AA$154)&gt;=$T94),$W94,IF(AND($S94&lt;&gt;"",EDATE($D94,Milestones!$AA$154)&gt;=$S94),$V94,$U94)))=Milestones!$AB$154),UPPER(TEXT(EDATE($D94,Milestones!$AA$154),"dd mmm yy"))&amp;" "&amp;Milestones!$AB$154&amp;" "&amp;Milestones!$AC$154&amp;";  ","")&amp;IF(AND(EDATE($D94,Milestones!$AA$155)&lt;=AsOfDate,IF($R94=0,$X94,IF(AND($T94&lt;&gt;"",EDATE($D94,Milestones!$AA$155)&gt;=$T94),$W94,IF(AND($S94&lt;&gt;"",EDATE($D94,Milestones!$AA$155)&gt;=$S94),$V94,$U94)))=Milestones!$AB$155),UPPER(TEXT(EDATE($D94,Milestones!$AA$155),"dd mmm yy"))&amp;" "&amp;Milestones!$AB$155&amp;" "&amp;Milestones!$AC$155&amp;";  ","")&amp;IF(AND(EDATE($D94,Milestones!$AA$156)&lt;=AsOfDate,IF($R94=0,$X94,IF(AND($T94&lt;&gt;"",EDATE($D94,Milestones!$AA$156)&gt;=$T94),$W94,IF(AND($S94&lt;&gt;"",EDATE($D94,Milestones!$AA$156)&gt;=$S94),$V94,$U94)))=Milestones!$AB$156),UPPER(TEXT(EDATE($D94,Milestones!$AA$156),"dd mmm yy"))&amp;" "&amp;Milestones!$AB$156&amp;" "&amp;Milestones!$AC$156&amp;";  ","")&amp;IF(AND(EDATE($D94,Milestones!$AA$157)&lt;=AsOfDate,IF($R94=0,$X94,IF(AND($T94&lt;&gt;"",EDATE($D94,Milestones!$AA$157)&gt;=$T94),$W94,IF(AND($S94&lt;&gt;"",EDATE($D94,Milestones!$AA$157)&gt;=$S94),$V94,$U94)))=Milestones!$AB$157),UPPER(TEXT(EDATE($D94,Milestones!$AA$157),"dd mmm yy"))&amp;" "&amp;Milestones!$AB$157&amp;" "&amp;Milestones!$AC$157&amp;";  ","")&amp;IF(AND(EDATE($D94,Milestones!$AA$158)&lt;=AsOfDate,IF($R94=0,$X94,IF(AND($T94&lt;&gt;"",EDATE($D94,Milestones!$AA$158)&gt;=$T94),$W94,IF(AND($S94&lt;&gt;"",EDATE($D94,Milestones!$AA$158)&gt;=$S94),$V94,$U94)))=Milestones!$AB$158),UPPER(TEXT(EDATE($D94,Milestones!$AA$158),"dd mmm yy"))&amp;" "&amp;Milestones!$AB$158&amp;" "&amp;Milestones!$AC$158&amp;";  ","")&amp;IF(AND(EDATE($D94,Milestones!$AA$159)&lt;=AsOfDate,IF($R94=0,$X94,IF(AND($T94&lt;&gt;"",EDATE($D94,Milestones!$AA$159)&gt;=$T94),$W94,IF(AND($S94&lt;&gt;"",EDATE($D94,Milestones!$AA$159)&gt;=$S94),$V94,$U94)))=Milestones!$AB$159),UPPER(TEXT(EDATE($D94,Milestones!$AA$159),"dd mmm yy"))&amp;" "&amp;Milestones!$AB$159&amp;" "&amp;Milestones!$AC$159&amp;";  ",""))</f>
        <v/>
      </c>
      <c r="P94" s="0" t="str">
        <f aca="false">IF(OR($A94="",$D94=""),"",IF(AND(EDATE($D94,Milestones!$AA$160)&lt;=AsOfDate,IF($R94=0,$X94,IF(AND($T94&lt;&gt;"",EDATE($D94,Milestones!$AA$160)&gt;=$T94),$W94,IF(AND($S94&lt;&gt;"",EDATE($D94,Milestones!$AA$160)&gt;=$S94),$V94,$U94)))=Milestones!$AB$160),UPPER(TEXT(EDATE($D94,Milestones!$AA$160),"dd mmm yy"))&amp;" "&amp;Milestones!$AB$160&amp;" "&amp;Milestones!$AC$160&amp;";  ","")&amp;IF(AND(EDATE($D94,Milestones!$AA$161)&lt;=AsOfDate,IF($R94=0,$X94,IF(AND($T94&lt;&gt;"",EDATE($D94,Milestones!$AA$161)&gt;=$T94),$W94,IF(AND($S94&lt;&gt;"",EDATE($D94,Milestones!$AA$161)&gt;=$S94),$V94,$U94)))=Milestones!$AB$161),UPPER(TEXT(EDATE($D94,Milestones!$AA$161),"dd mmm yy"))&amp;" "&amp;Milestones!$AB$161&amp;" "&amp;Milestones!$AC$161&amp;";  ","")&amp;IF(AND(EDATE($D94,Milestones!$AA$162)&lt;=AsOfDate,IF($R94=0,$X94,IF(AND($T94&lt;&gt;"",EDATE($D94,Milestones!$AA$162)&gt;=$T94),$W94,IF(AND($S94&lt;&gt;"",EDATE($D94,Milestones!$AA$162)&gt;=$S94),$V94,$U94)))=Milestones!$AB$162),UPPER(TEXT(EDATE($D94,Milestones!$AA$162),"dd mmm yy"))&amp;" "&amp;Milestones!$AB$162&amp;" "&amp;Milestones!$AC$162&amp;";  ","")&amp;IF(AND(EDATE($D94,Milestones!$AA$163)&lt;=AsOfDate,IF($R94=0,$X94,IF(AND($T94&lt;&gt;"",EDATE($D94,Milestones!$AA$163)&gt;=$T94),$W94,IF(AND($S94&lt;&gt;"",EDATE($D94,Milestones!$AA$163)&gt;=$S94),$V94,$U94)))=Milestones!$AB$163),UPPER(TEXT(EDATE($D94,Milestones!$AA$163),"dd mmm yy"))&amp;" "&amp;Milestones!$AB$163&amp;" "&amp;Milestones!$AC$163&amp;";  ","")&amp;IF(AND(EDATE($D94,Milestones!$AA$164)&lt;=AsOfDate,IF($R94=0,$X94,IF(AND($T94&lt;&gt;"",EDATE($D94,Milestones!$AA$164)&gt;=$T94),$W94,IF(AND($S94&lt;&gt;"",EDATE($D94,Milestones!$AA$164)&gt;=$S94),$V94,$U94)))=Milestones!$AB$164),UPPER(TEXT(EDATE($D94,Milestones!$AA$164),"dd mmm yy"))&amp;" "&amp;Milestones!$AB$164&amp;" "&amp;Milestones!$AC$164&amp;";  ","")&amp;IF(AND(EDATE($D94,Milestones!$AA$165)&lt;=AsOfDate,IF($R94=0,$X94,IF(AND($T94&lt;&gt;"",EDATE($D94,Milestones!$AA$165)&gt;=$T94),$W94,IF(AND($S94&lt;&gt;"",EDATE($D94,Milestones!$AA$165)&gt;=$S94),$V94,$U94)))=Milestones!$AB$165),UPPER(TEXT(EDATE($D94,Milestones!$AA$165),"dd mmm yy"))&amp;" "&amp;Milestones!$AB$165&amp;" "&amp;Milestones!$AC$165&amp;";  ","")&amp;IF(AND(EDATE($D94,Milestones!$AA$166)&lt;=AsOfDate,IF($R94=0,$X94,IF(AND($T94&lt;&gt;"",EDATE($D94,Milestones!$AA$166)&gt;=$T94),$W94,IF(AND($S94&lt;&gt;"",EDATE($D94,Milestones!$AA$166)&gt;=$S94),$V94,$U94)))=Milestones!$AB$166),UPPER(TEXT(EDATE($D94,Milestones!$AA$166),"dd mmm yy"))&amp;" "&amp;Milestones!$AB$166&amp;" "&amp;Milestones!$AC$166&amp;";  ","")&amp;IF(AND(EDATE($D94,Milestones!$AA$167)&lt;=AsOfDate,IF($R94=0,$X94,IF(AND($T94&lt;&gt;"",EDATE($D94,Milestones!$AA$167)&gt;=$T94),$W94,IF(AND($S94&lt;&gt;"",EDATE($D94,Milestones!$AA$167)&gt;=$S94),$V94,$U94)))=Milestones!$AB$167),UPPER(TEXT(EDATE($D94,Milestones!$AA$167),"dd mmm yy"))&amp;" "&amp;Milestones!$AB$167&amp;" "&amp;Milestones!$AC$167&amp;";  ","")&amp;IF(AND(EDATE($D94,Milestones!$AA$168)&lt;=AsOfDate,IF($R94=0,$X94,IF(AND($T94&lt;&gt;"",EDATE($D94,Milestones!$AA$168)&gt;=$T94),$W94,IF(AND($S94&lt;&gt;"",EDATE($D94,Milestones!$AA$168)&gt;=$S94),$V94,$U94)))=Milestones!$AB$168),UPPER(TEXT(EDATE($D94,Milestones!$AA$168),"dd mmm yy"))&amp;" "&amp;Milestones!$AB$168&amp;" "&amp;Milestones!$AC$168&amp;";  ","")&amp;IF(AND(EDATE($D94,Milestones!$AA$169)&lt;=AsOfDate,IF($R94=0,$X94,IF(AND($T94&lt;&gt;"",EDATE($D94,Milestones!$AA$169)&gt;=$T94),$W94,IF(AND($S94&lt;&gt;"",EDATE($D94,Milestones!$AA$169)&gt;=$S94),$V94,$U94)))=Milestones!$AB$169),UPPER(TEXT(EDATE($D94,Milestones!$AA$169),"dd mmm yy"))&amp;" "&amp;Milestones!$AB$169&amp;" "&amp;Milestones!$AC$169&amp;";  ","")&amp;IF(AND(EDATE($D94,Milestones!$AA$170)&lt;=AsOfDate,IF($R94=0,$X94,IF(AND($T94&lt;&gt;"",EDATE($D94,Milestones!$AA$170)&gt;=$T94),$W94,IF(AND($S94&lt;&gt;"",EDATE($D94,Milestones!$AA$170)&gt;=$S94),$V94,$U94)))=Milestones!$AB$170),UPPER(TEXT(EDATE($D94,Milestones!$AA$170),"dd mmm yy"))&amp;" "&amp;Milestones!$AB$170&amp;" "&amp;Milestones!$AC$170&amp;";  ","")&amp;IF(AND(EDATE($D94,Milestones!$AA$171)&lt;=AsOfDate,IF($R94=0,$X94,IF(AND($T94&lt;&gt;"",EDATE($D94,Milestones!$AA$171)&gt;=$T94),$W94,IF(AND($S94&lt;&gt;"",EDATE($D94,Milestones!$AA$171)&gt;=$S94),$V94,$U94)))=Milestones!$AB$171),UPPER(TEXT(EDATE($D94,Milestones!$AA$171),"dd mmm yy"))&amp;" "&amp;Milestones!$AB$171&amp;" "&amp;Milestones!$AC$171&amp;";  ","")&amp;IF(AND(EDATE($D94,Milestones!$AA$172)&lt;=AsOfDate,IF($R94=0,$X94,IF(AND($T94&lt;&gt;"",EDATE($D94,Milestones!$AA$172)&gt;=$T94),$W94,IF(AND($S94&lt;&gt;"",EDATE($D94,Milestones!$AA$172)&gt;=$S94),$V94,$U94)))=Milestones!$AB$172),UPPER(TEXT(EDATE($D94,Milestones!$AA$172),"dd mmm yy"))&amp;" "&amp;Milestones!$AB$172&amp;" "&amp;Milestones!$AC$172&amp;";  ","")&amp;IF(AND(EDATE($D94,Milestones!$AA$173)&lt;=AsOfDate,IF($R94=0,$X94,IF(AND($T94&lt;&gt;"",EDATE($D94,Milestones!$AA$173)&gt;=$T94),$W94,IF(AND($S94&lt;&gt;"",EDATE($D94,Milestones!$AA$173)&gt;=$S94),$V94,$U94)))=Milestones!$AB$173),UPPER(TEXT(EDATE($D94,Milestones!$AA$173),"dd mmm yy"))&amp;" "&amp;Milestones!$AB$173&amp;" "&amp;Milestones!$AC$173&amp;";  ","")&amp;IF(AND(EDATE($D94,Milestones!$AA$174)&lt;=AsOfDate,IF($R94=0,$X94,IF(AND($T94&lt;&gt;"",EDATE($D94,Milestones!$AA$174)&gt;=$T94),$W94,IF(AND($S94&lt;&gt;"",EDATE($D94,Milestones!$AA$174)&gt;=$S94),$V94,$U94)))=Milestones!$AB$174),UPPER(TEXT(EDATE($D94,Milestones!$AA$174),"dd mmm yy"))&amp;" "&amp;Milestones!$AB$174&amp;" "&amp;Milestones!$AC$174&amp;";  ","")&amp;IF(AND(EDATE($D94,Milestones!$AA$175)&lt;=AsOfDate,IF($R94=0,$X94,IF(AND($T94&lt;&gt;"",EDATE($D94,Milestones!$AA$175)&gt;=$T94),$W94,IF(AND($S94&lt;&gt;"",EDATE($D94,Milestones!$AA$175)&gt;=$S94),$V94,$U94)))=Milestones!$AB$175),UPPER(TEXT(EDATE($D94,Milestones!$AA$175),"dd mmm yy"))&amp;" "&amp;Milestones!$AB$175&amp;" "&amp;Milestones!$AC$175&amp;";  ","")&amp;IF(AND(EDATE($D94,Milestones!$AA$176)&lt;=AsOfDate,IF($R94=0,$X94,IF(AND($T94&lt;&gt;"",EDATE($D94,Milestones!$AA$176)&gt;=$T94),$W94,IF(AND($S94&lt;&gt;"",EDATE($D94,Milestones!$AA$176)&gt;=$S94),$V94,$U94)))=Milestones!$AB$176),UPPER(TEXT(EDATE($D94,Milestones!$AA$176),"dd mmm yy"))&amp;" "&amp;Milestones!$AB$176&amp;" "&amp;Milestones!$AC$176&amp;";  ","")&amp;IF(AND(EDATE($D94,Milestones!$AA$177)&lt;=AsOfDate,IF($R94=0,$X94,IF(AND($T94&lt;&gt;"",EDATE($D94,Milestones!$AA$177)&gt;=$T94),$W94,IF(AND($S94&lt;&gt;"",EDATE($D94,Milestones!$AA$177)&gt;=$S94),$V94,$U94)))=Milestones!$AB$177),UPPER(TEXT(EDATE($D94,Milestones!$AA$177),"dd mmm yy"))&amp;" "&amp;Milestones!$AB$177&amp;" "&amp;Milestones!$AC$177&amp;";  ","")&amp;IF(AND(EDATE($D94,Milestones!$AA$178)&lt;=AsOfDate,IF($R94=0,$X94,IF(AND($T94&lt;&gt;"",EDATE($D94,Milestones!$AA$178)&gt;=$T94),$W94,IF(AND($S94&lt;&gt;"",EDATE($D94,Milestones!$AA$178)&gt;=$S94),$V94,$U94)))=Milestones!$AB$178),UPPER(TEXT(EDATE($D94,Milestones!$AA$178),"dd mmm yy"))&amp;" "&amp;Milestones!$AB$178&amp;" "&amp;Milestones!$AC$178&amp;";  ","")&amp;IF(AND(EDATE($D94,Milestones!$AA$179)&lt;=AsOfDate,IF($R94=0,$X94,IF(AND($T94&lt;&gt;"",EDATE($D94,Milestones!$AA$179)&gt;=$T94),$W94,IF(AND($S94&lt;&gt;"",EDATE($D94,Milestones!$AA$179)&gt;=$S94),$V94,$U94)))=Milestones!$AB$179),UPPER(TEXT(EDATE($D94,Milestones!$AA$179),"dd mmm yy"))&amp;" "&amp;Milestones!$AB$179&amp;" "&amp;Milestones!$AC$179&amp;";  ",""))</f>
        <v/>
      </c>
      <c r="Q94" s="0" t="str">
        <f aca="false">IF(OR($A94="",$D94=""),"",IF(AND(EDATE($D94,Milestones!$AA$180)&lt;=AsOfDate,IF($R94=0,$X94,IF(AND($T94&lt;&gt;"",EDATE($D94,Milestones!$AA$180)&gt;=$T94),$W94,IF(AND($S94&lt;&gt;"",EDATE($D94,Milestones!$AA$180)&gt;=$S94),$V94,$U94)))=Milestones!$AB$180),UPPER(TEXT(EDATE($D94,Milestones!$AA$180),"dd mmm yy"))&amp;" "&amp;Milestones!$AB$180&amp;" "&amp;Milestones!$AC$180&amp;";  ","")&amp;IF(AND(EDATE($D94,Milestones!$AA$181)&lt;=AsOfDate,IF($R94=0,$X94,IF(AND($T94&lt;&gt;"",EDATE($D94,Milestones!$AA$181)&gt;=$T94),$W94,IF(AND($S94&lt;&gt;"",EDATE($D94,Milestones!$AA$181)&gt;=$S94),$V94,$U94)))=Milestones!$AB$181),UPPER(TEXT(EDATE($D94,Milestones!$AA$181),"dd mmm yy"))&amp;" "&amp;Milestones!$AB$181&amp;" "&amp;Milestones!$AC$181&amp;";  ","")&amp;IF(AND(EDATE($D94,Milestones!$AA$182)&lt;=AsOfDate,IF($R94=0,$X94,IF(AND($T94&lt;&gt;"",EDATE($D94,Milestones!$AA$182)&gt;=$T94),$W94,IF(AND($S94&lt;&gt;"",EDATE($D94,Milestones!$AA$182)&gt;=$S94),$V94,$U94)))=Milestones!$AB$182),UPPER(TEXT(EDATE($D94,Milestones!$AA$182),"dd mmm yy"))&amp;" "&amp;Milestones!$AB$182&amp;" "&amp;Milestones!$AC$182&amp;";  ","")&amp;IF(AND(EDATE($D94,Milestones!$AA$183)&lt;=AsOfDate,IF($R94=0,$X94,IF(AND($T94&lt;&gt;"",EDATE($D94,Milestones!$AA$183)&gt;=$T94),$W94,IF(AND($S94&lt;&gt;"",EDATE($D94,Milestones!$AA$183)&gt;=$S94),$V94,$U94)))=Milestones!$AB$183),UPPER(TEXT(EDATE($D94,Milestones!$AA$183),"dd mmm yy"))&amp;" "&amp;Milestones!$AB$183&amp;" "&amp;Milestones!$AC$183&amp;";  ","")&amp;IF(AND(EDATE($D94,Milestones!$AA$184)&lt;=AsOfDate,IF($R94=0,$X94,IF(AND($T94&lt;&gt;"",EDATE($D94,Milestones!$AA$184)&gt;=$T94),$W94,IF(AND($S94&lt;&gt;"",EDATE($D94,Milestones!$AA$184)&gt;=$S94),$V94,$U94)))=Milestones!$AB$184),UPPER(TEXT(EDATE($D94,Milestones!$AA$184),"dd mmm yy"))&amp;" "&amp;Milestones!$AB$184&amp;" "&amp;Milestones!$AC$184&amp;";  ","")&amp;IF(AND(EDATE($D94,Milestones!$AA$185)&lt;=AsOfDate,IF($R94=0,$X94,IF(AND($T94&lt;&gt;"",EDATE($D94,Milestones!$AA$185)&gt;=$T94),$W94,IF(AND($S94&lt;&gt;"",EDATE($D94,Milestones!$AA$185)&gt;=$S94),$V94,$U94)))=Milestones!$AB$185),UPPER(TEXT(EDATE($D94,Milestones!$AA$185),"dd mmm yy"))&amp;" "&amp;Milestones!$AB$185&amp;" "&amp;Milestones!$AC$185&amp;";  ","")&amp;IF(AND(EDATE($D94,Milestones!$AA$186)&lt;=AsOfDate,IF($R94=0,$X94,IF(AND($T94&lt;&gt;"",EDATE($D94,Milestones!$AA$186)&gt;=$T94),$W94,IF(AND($S94&lt;&gt;"",EDATE($D94,Milestones!$AA$186)&gt;=$S94),$V94,$U94)))=Milestones!$AB$186),UPPER(TEXT(EDATE($D94,Milestones!$AA$186),"dd mmm yy"))&amp;" "&amp;Milestones!$AB$186&amp;" "&amp;Milestones!$AC$186&amp;";  ","")&amp;IF(AND(EDATE($D94,Milestones!$AA$187)&lt;=AsOfDate,IF($R94=0,$X94,IF(AND($T94&lt;&gt;"",EDATE($D94,Milestones!$AA$187)&gt;=$T94),$W94,IF(AND($S94&lt;&gt;"",EDATE($D94,Milestones!$AA$187)&gt;=$S94),$V94,$U94)))=Milestones!$AB$187),UPPER(TEXT(EDATE($D94,Milestones!$AA$187),"dd mmm yy"))&amp;" "&amp;Milestones!$AB$187&amp;" "&amp;Milestones!$AC$187&amp;";  ","")&amp;IF(AND(EDATE($D94,Milestones!$AA$188)&lt;=AsOfDate,IF($R94=0,$X94,IF(AND($T94&lt;&gt;"",EDATE($D94,Milestones!$AA$188)&gt;=$T94),$W94,IF(AND($S94&lt;&gt;"",EDATE($D94,Milestones!$AA$188)&gt;=$S94),$V94,$U94)))=Milestones!$AB$188),UPPER(TEXT(EDATE($D94,Milestones!$AA$188),"dd mmm yy"))&amp;" "&amp;Milestones!$AB$188&amp;" "&amp;Milestones!$AC$188&amp;";  ","")&amp;IF(AND(EDATE($D94,Milestones!$AA$189)&lt;=AsOfDate,IF($R94=0,$X94,IF(AND($T94&lt;&gt;"",EDATE($D94,Milestones!$AA$189)&gt;=$T94),$W94,IF(AND($S94&lt;&gt;"",EDATE($D94,Milestones!$AA$189)&gt;=$S94),$V94,$U94)))=Milestones!$AB$189),UPPER(TEXT(EDATE($D94,Milestones!$AA$189),"dd mmm yy"))&amp;" "&amp;Milestones!$AB$189&amp;" "&amp;Milestones!$AC$189&amp;";  ","")&amp;IF(AND(EDATE($D94,Milestones!$AA$190)&lt;=AsOfDate,IF($R94=0,$X94,IF(AND($T94&lt;&gt;"",EDATE($D94,Milestones!$AA$190)&gt;=$T94),$W94,IF(AND($S94&lt;&gt;"",EDATE($D94,Milestones!$AA$190)&gt;=$S94),$V94,$U94)))=Milestones!$AB$190),UPPER(TEXT(EDATE($D94,Milestones!$AA$190),"dd mmm yy"))&amp;" "&amp;Milestones!$AB$190&amp;" "&amp;Milestones!$AC$190&amp;";  ","")&amp;IF(AND(EDATE($D94,Milestones!$AA$191)&lt;=AsOfDate,IF($R94=0,$X94,IF(AND($T94&lt;&gt;"",EDATE($D94,Milestones!$AA$191)&gt;=$T94),$W94,IF(AND($S94&lt;&gt;"",EDATE($D94,Milestones!$AA$191)&gt;=$S94),$V94,$U94)))=Milestones!$AB$191),UPPER(TEXT(EDATE($D94,Milestones!$AA$191),"dd mmm yy"))&amp;" "&amp;Milestones!$AB$191&amp;" "&amp;Milestones!$AC$191&amp;";  ","")&amp;IF(AND(EDATE($D94,Milestones!$AA$192)&lt;=AsOfDate,IF($R94=0,$X94,IF(AND($T94&lt;&gt;"",EDATE($D94,Milestones!$AA$192)&gt;=$T94),$W94,IF(AND($S94&lt;&gt;"",EDATE($D94,Milestones!$AA$192)&gt;=$S94),$V94,$U94)))=Milestones!$AB$192),UPPER(TEXT(EDATE($D94,Milestones!$AA$192),"dd mmm yy"))&amp;" "&amp;Milestones!$AB$192&amp;" "&amp;Milestones!$AC$192&amp;";  ","")&amp;IF(AND(EDATE($D94,Milestones!$AA$193)&lt;=AsOfDate,IF($R94=0,$X94,IF(AND($T94&lt;&gt;"",EDATE($D94,Milestones!$AA$193)&gt;=$T94),$W94,IF(AND($S94&lt;&gt;"",EDATE($D94,Milestones!$AA$193)&gt;=$S94),$V94,$U94)))=Milestones!$AB$193),UPPER(TEXT(EDATE($D94,Milestones!$AA$193),"dd mmm yy"))&amp;" "&amp;Milestones!$AB$193&amp;" "&amp;Milestones!$AC$193&amp;";  ","")&amp;IF(AND(EDATE($D94,Milestones!$AA$194)&lt;=AsOfDate,IF($R94=0,$X94,IF(AND($T94&lt;&gt;"",EDATE($D94,Milestones!$AA$194)&gt;=$T94),$W94,IF(AND($S94&lt;&gt;"",EDATE($D94,Milestones!$AA$194)&gt;=$S94),$V94,$U94)))=Milestones!$AB$194),UPPER(TEXT(EDATE($D94,Milestones!$AA$194),"dd mmm yy"))&amp;" "&amp;Milestones!$AB$194&amp;" "&amp;Milestones!$AC$194&amp;";  ","")&amp;IF(AND(EDATE($D94,Milestones!$AA$195)&lt;=AsOfDate,IF($R94=0,$X94,IF(AND($T94&lt;&gt;"",EDATE($D94,Milestones!$AA$195)&gt;=$T94),$W94,IF(AND($S94&lt;&gt;"",EDATE($D94,Milestones!$AA$195)&gt;=$S94),$V94,$U94)))=Milestones!$AB$195),UPPER(TEXT(EDATE($D94,Milestones!$AA$195),"dd mmm yy"))&amp;" "&amp;Milestones!$AB$195&amp;" "&amp;Milestones!$AC$195&amp;";  ","")&amp;IF(AND(EDATE($D94,Milestones!$AA$196)&lt;=AsOfDate,IF($R94=0,$X94,IF(AND($T94&lt;&gt;"",EDATE($D94,Milestones!$AA$196)&gt;=$T94),$W94,IF(AND($S94&lt;&gt;"",EDATE($D94,Milestones!$AA$196)&gt;=$S94),$V94,$U94)))=Milestones!$AB$196),UPPER(TEXT(EDATE($D94,Milestones!$AA$196),"dd mmm yy"))&amp;" "&amp;Milestones!$AB$196&amp;" "&amp;Milestones!$AC$196&amp;";  ","")&amp;IF(AND(EDATE($D94,Milestones!$AA$197)&lt;=AsOfDate,IF($R94=0,$X94,IF(AND($T94&lt;&gt;"",EDATE($D94,Milestones!$AA$197)&gt;=$T94),$W94,IF(AND($S94&lt;&gt;"",EDATE($D94,Milestones!$AA$197)&gt;=$S94),$V94,$U94)))=Milestones!$AB$197),UPPER(TEXT(EDATE($D94,Milestones!$AA$197),"dd mmm yy"))&amp;" "&amp;Milestones!$AB$197&amp;" "&amp;Milestones!$AC$197&amp;";  ","")&amp;IF(AND(EDATE($D94,Milestones!$AA$198)&lt;=AsOfDate,IF($R94=0,$X94,IF(AND($T94&lt;&gt;"",EDATE($D94,Milestones!$AA$198)&gt;=$T94),$W94,IF(AND($S94&lt;&gt;"",EDATE($D94,Milestones!$AA$198)&gt;=$S94),$V94,$U94)))=Milestones!$AB$198),UPPER(TEXT(EDATE($D94,Milestones!$AA$198),"dd mmm yy"))&amp;" "&amp;Milestones!$AB$198&amp;" "&amp;Milestones!$AC$198&amp;";  ","")&amp;IF(AND(EDATE($D94,Milestones!$AA$199)&lt;=AsOfDate,IF($R94=0,$X94,IF(AND($T94&lt;&gt;"",EDATE($D94,Milestones!$AA$199)&gt;=$T94),$W94,IF(AND($S94&lt;&gt;"",EDATE($D94,Milestones!$AA$199)&gt;=$S94),$V94,$U94)))=Milestones!$AB$199),UPPER(TEXT(EDATE($D94,Milestones!$AA$199),"dd mmm yy"))&amp;" "&amp;Milestones!$AB$199&amp;" "&amp;Milestones!$AC$199&amp;";  ",""))</f>
        <v/>
      </c>
      <c r="R94" s="0" t="str">
        <f aca="false">IF(Staff!$A94="","",Staff!$AI94)</f>
        <v/>
      </c>
      <c r="S94" s="0" t="str">
        <f aca="false">IF(Staff!$A94="","",Staff!$AK94)</f>
        <v/>
      </c>
      <c r="T94" s="0" t="str">
        <f aca="false">IF(Staff!$A94="","",Staff!$AL94)</f>
        <v/>
      </c>
      <c r="U94" s="0" t="str">
        <f aca="false">IF(Staff!$A94="","",Staff!$AP94)</f>
        <v/>
      </c>
      <c r="V94" s="0" t="str">
        <f aca="false">IF(Staff!$A94="","",Staff!$AQ94)</f>
        <v/>
      </c>
      <c r="W94" s="0" t="str">
        <f aca="false">IF(Staff!$A94="","",Staff!$AR94)</f>
        <v/>
      </c>
      <c r="X94" s="0" t="str">
        <f aca="false">IF(Staff!$A94="","",Staff!$AS94)</f>
        <v/>
      </c>
    </row>
    <row r="95" customFormat="false" ht="15" hidden="false" customHeight="false" outlineLevel="0" collapsed="false">
      <c r="A95" s="19" t="str">
        <f aca="false">IF(Staff!$A95="","",Staff!$A95)</f>
        <v/>
      </c>
      <c r="B95" s="19" t="str">
        <f aca="false">IF(Staff!$A95="","",Staff!$B95)</f>
        <v/>
      </c>
      <c r="C95" s="19" t="str">
        <f aca="false">IF(Staff!$A95="","",Staff!$C95)</f>
        <v/>
      </c>
      <c r="D95" s="17" t="str">
        <f aca="false">IF(Staff!$A95="","",Staff!$AH95)</f>
        <v/>
      </c>
      <c r="E95" s="19" t="str">
        <f aca="false">IF(Staff!$A95="","",Staff!$O95)</f>
        <v/>
      </c>
      <c r="F95" s="19" t="str">
        <f aca="false">IF(E95="","",E95*HoursPerDay)</f>
        <v/>
      </c>
      <c r="G95" s="19" t="str">
        <f aca="false">IF(Staff!$A95="","",Staff!$AE95)</f>
        <v/>
      </c>
      <c r="H95" s="32" t="str">
        <f aca="false">IF($A95="","",I95&amp;J95&amp;K95&amp;L95&amp;M95&amp;N95&amp;O95&amp;P95&amp;Q95)</f>
        <v/>
      </c>
      <c r="I95" s="0" t="str">
        <f aca="false">IF(OR($A95="",$D95=""),"",IF(AND(EDATE($D95,Milestones!$AA$20)&lt;=AsOfDate,IF($R95=0,$X95,IF(AND($T95&lt;&gt;"",EDATE($D95,Milestones!$AA$20)&gt;=$T95),$W95,IF(AND($S95&lt;&gt;"",EDATE($D95,Milestones!$AA$20)&gt;=$S95),$V95,$U95)))=Milestones!$AB$20),UPPER(TEXT(EDATE($D95,Milestones!$AA$20),"dd mmm yy"))&amp;" "&amp;Milestones!$AB$20&amp;" "&amp;Milestones!$AC$20&amp;";  ","")&amp;IF(AND(EDATE($D95,Milestones!$AA$21)&lt;=AsOfDate,IF($R95=0,$X95,IF(AND($T95&lt;&gt;"",EDATE($D95,Milestones!$AA$21)&gt;=$T95),$W95,IF(AND($S95&lt;&gt;"",EDATE($D95,Milestones!$AA$21)&gt;=$S95),$V95,$U95)))=Milestones!$AB$21),UPPER(TEXT(EDATE($D95,Milestones!$AA$21),"dd mmm yy"))&amp;" "&amp;Milestones!$AB$21&amp;" "&amp;Milestones!$AC$21&amp;";  ","")&amp;IF(AND(EDATE($D95,Milestones!$AA$22)&lt;=AsOfDate,IF($R95=0,$X95,IF(AND($T95&lt;&gt;"",EDATE($D95,Milestones!$AA$22)&gt;=$T95),$W95,IF(AND($S95&lt;&gt;"",EDATE($D95,Milestones!$AA$22)&gt;=$S95),$V95,$U95)))=Milestones!$AB$22),UPPER(TEXT(EDATE($D95,Milestones!$AA$22),"dd mmm yy"))&amp;" "&amp;Milestones!$AB$22&amp;" "&amp;Milestones!$AC$22&amp;";  ","")&amp;IF(AND(EDATE($D95,Milestones!$AA$23)&lt;=AsOfDate,IF($R95=0,$X95,IF(AND($T95&lt;&gt;"",EDATE($D95,Milestones!$AA$23)&gt;=$T95),$W95,IF(AND($S95&lt;&gt;"",EDATE($D95,Milestones!$AA$23)&gt;=$S95),$V95,$U95)))=Milestones!$AB$23),UPPER(TEXT(EDATE($D95,Milestones!$AA$23),"dd mmm yy"))&amp;" "&amp;Milestones!$AB$23&amp;" "&amp;Milestones!$AC$23&amp;";  ","")&amp;IF(AND(EDATE($D95,Milestones!$AA$24)&lt;=AsOfDate,IF($R95=0,$X95,IF(AND($T95&lt;&gt;"",EDATE($D95,Milestones!$AA$24)&gt;=$T95),$W95,IF(AND($S95&lt;&gt;"",EDATE($D95,Milestones!$AA$24)&gt;=$S95),$V95,$U95)))=Milestones!$AB$24),UPPER(TEXT(EDATE($D95,Milestones!$AA$24),"dd mmm yy"))&amp;" "&amp;Milestones!$AB$24&amp;" "&amp;Milestones!$AC$24&amp;";  ","")&amp;IF(AND(EDATE($D95,Milestones!$AA$25)&lt;=AsOfDate,IF($R95=0,$X95,IF(AND($T95&lt;&gt;"",EDATE($D95,Milestones!$AA$25)&gt;=$T95),$W95,IF(AND($S95&lt;&gt;"",EDATE($D95,Milestones!$AA$25)&gt;=$S95),$V95,$U95)))=Milestones!$AB$25),UPPER(TEXT(EDATE($D95,Milestones!$AA$25),"dd mmm yy"))&amp;" "&amp;Milestones!$AB$25&amp;" "&amp;Milestones!$AC$25&amp;";  ","")&amp;IF(AND(EDATE($D95,Milestones!$AA$26)&lt;=AsOfDate,IF($R95=0,$X95,IF(AND($T95&lt;&gt;"",EDATE($D95,Milestones!$AA$26)&gt;=$T95),$W95,IF(AND($S95&lt;&gt;"",EDATE($D95,Milestones!$AA$26)&gt;=$S95),$V95,$U95)))=Milestones!$AB$26),UPPER(TEXT(EDATE($D95,Milestones!$AA$26),"dd mmm yy"))&amp;" "&amp;Milestones!$AB$26&amp;" "&amp;Milestones!$AC$26&amp;";  ","")&amp;IF(AND(EDATE($D95,Milestones!$AA$27)&lt;=AsOfDate,IF($R95=0,$X95,IF(AND($T95&lt;&gt;"",EDATE($D95,Milestones!$AA$27)&gt;=$T95),$W95,IF(AND($S95&lt;&gt;"",EDATE($D95,Milestones!$AA$27)&gt;=$S95),$V95,$U95)))=Milestones!$AB$27),UPPER(TEXT(EDATE($D95,Milestones!$AA$27),"dd mmm yy"))&amp;" "&amp;Milestones!$AB$27&amp;" "&amp;Milestones!$AC$27&amp;";  ","")&amp;IF(AND(EDATE($D95,Milestones!$AA$28)&lt;=AsOfDate,IF($R95=0,$X95,IF(AND($T95&lt;&gt;"",EDATE($D95,Milestones!$AA$28)&gt;=$T95),$W95,IF(AND($S95&lt;&gt;"",EDATE($D95,Milestones!$AA$28)&gt;=$S95),$V95,$U95)))=Milestones!$AB$28),UPPER(TEXT(EDATE($D95,Milestones!$AA$28),"dd mmm yy"))&amp;" "&amp;Milestones!$AB$28&amp;" "&amp;Milestones!$AC$28&amp;";  ","")&amp;IF(AND(EDATE($D95,Milestones!$AA$29)&lt;=AsOfDate,IF($R95=0,$X95,IF(AND($T95&lt;&gt;"",EDATE($D95,Milestones!$AA$29)&gt;=$T95),$W95,IF(AND($S95&lt;&gt;"",EDATE($D95,Milestones!$AA$29)&gt;=$S95),$V95,$U95)))=Milestones!$AB$29),UPPER(TEXT(EDATE($D95,Milestones!$AA$29),"dd mmm yy"))&amp;" "&amp;Milestones!$AB$29&amp;" "&amp;Milestones!$AC$29&amp;";  ","")&amp;IF(AND(EDATE($D95,Milestones!$AA$30)&lt;=AsOfDate,IF($R95=0,$X95,IF(AND($T95&lt;&gt;"",EDATE($D95,Milestones!$AA$30)&gt;=$T95),$W95,IF(AND($S95&lt;&gt;"",EDATE($D95,Milestones!$AA$30)&gt;=$S95),$V95,$U95)))=Milestones!$AB$30),UPPER(TEXT(EDATE($D95,Milestones!$AA$30),"dd mmm yy"))&amp;" "&amp;Milestones!$AB$30&amp;" "&amp;Milestones!$AC$30&amp;";  ","")&amp;IF(AND(EDATE($D95,Milestones!$AA$31)&lt;=AsOfDate,IF($R95=0,$X95,IF(AND($T95&lt;&gt;"",EDATE($D95,Milestones!$AA$31)&gt;=$T95),$W95,IF(AND($S95&lt;&gt;"",EDATE($D95,Milestones!$AA$31)&gt;=$S95),$V95,$U95)))=Milestones!$AB$31),UPPER(TEXT(EDATE($D95,Milestones!$AA$31),"dd mmm yy"))&amp;" "&amp;Milestones!$AB$31&amp;" "&amp;Milestones!$AC$31&amp;";  ","")&amp;IF(AND(EDATE($D95,Milestones!$AA$32)&lt;=AsOfDate,IF($R95=0,$X95,IF(AND($T95&lt;&gt;"",EDATE($D95,Milestones!$AA$32)&gt;=$T95),$W95,IF(AND($S95&lt;&gt;"",EDATE($D95,Milestones!$AA$32)&gt;=$S95),$V95,$U95)))=Milestones!$AB$32),UPPER(TEXT(EDATE($D95,Milestones!$AA$32),"dd mmm yy"))&amp;" "&amp;Milestones!$AB$32&amp;" "&amp;Milestones!$AC$32&amp;";  ","")&amp;IF(AND(EDATE($D95,Milestones!$AA$33)&lt;=AsOfDate,IF($R95=0,$X95,IF(AND($T95&lt;&gt;"",EDATE($D95,Milestones!$AA$33)&gt;=$T95),$W95,IF(AND($S95&lt;&gt;"",EDATE($D95,Milestones!$AA$33)&gt;=$S95),$V95,$U95)))=Milestones!$AB$33),UPPER(TEXT(EDATE($D95,Milestones!$AA$33),"dd mmm yy"))&amp;" "&amp;Milestones!$AB$33&amp;" "&amp;Milestones!$AC$33&amp;";  ","")&amp;IF(AND(EDATE($D95,Milestones!$AA$34)&lt;=AsOfDate,IF($R95=0,$X95,IF(AND($T95&lt;&gt;"",EDATE($D95,Milestones!$AA$34)&gt;=$T95),$W95,IF(AND($S95&lt;&gt;"",EDATE($D95,Milestones!$AA$34)&gt;=$S95),$V95,$U95)))=Milestones!$AB$34),UPPER(TEXT(EDATE($D95,Milestones!$AA$34),"dd mmm yy"))&amp;" "&amp;Milestones!$AB$34&amp;" "&amp;Milestones!$AC$34&amp;";  ","")&amp;IF(AND(EDATE($D95,Milestones!$AA$35)&lt;=AsOfDate,IF($R95=0,$X95,IF(AND($T95&lt;&gt;"",EDATE($D95,Milestones!$AA$35)&gt;=$T95),$W95,IF(AND($S95&lt;&gt;"",EDATE($D95,Milestones!$AA$35)&gt;=$S95),$V95,$U95)))=Milestones!$AB$35),UPPER(TEXT(EDATE($D95,Milestones!$AA$35),"dd mmm yy"))&amp;" "&amp;Milestones!$AB$35&amp;" "&amp;Milestones!$AC$35&amp;";  ","")&amp;IF(AND(EDATE($D95,Milestones!$AA$36)&lt;=AsOfDate,IF($R95=0,$X95,IF(AND($T95&lt;&gt;"",EDATE($D95,Milestones!$AA$36)&gt;=$T95),$W95,IF(AND($S95&lt;&gt;"",EDATE($D95,Milestones!$AA$36)&gt;=$S95),$V95,$U95)))=Milestones!$AB$36),UPPER(TEXT(EDATE($D95,Milestones!$AA$36),"dd mmm yy"))&amp;" "&amp;Milestones!$AB$36&amp;" "&amp;Milestones!$AC$36&amp;";  ","")&amp;IF(AND(EDATE($D95,Milestones!$AA$37)&lt;=AsOfDate,IF($R95=0,$X95,IF(AND($T95&lt;&gt;"",EDATE($D95,Milestones!$AA$37)&gt;=$T95),$W95,IF(AND($S95&lt;&gt;"",EDATE($D95,Milestones!$AA$37)&gt;=$S95),$V95,$U95)))=Milestones!$AB$37),UPPER(TEXT(EDATE($D95,Milestones!$AA$37),"dd mmm yy"))&amp;" "&amp;Milestones!$AB$37&amp;" "&amp;Milestones!$AC$37&amp;";  ","")&amp;IF(AND(EDATE($D95,Milestones!$AA$38)&lt;=AsOfDate,IF($R95=0,$X95,IF(AND($T95&lt;&gt;"",EDATE($D95,Milestones!$AA$38)&gt;=$T95),$W95,IF(AND($S95&lt;&gt;"",EDATE($D95,Milestones!$AA$38)&gt;=$S95),$V95,$U95)))=Milestones!$AB$38),UPPER(TEXT(EDATE($D95,Milestones!$AA$38),"dd mmm yy"))&amp;" "&amp;Milestones!$AB$38&amp;" "&amp;Milestones!$AC$38&amp;";  ","")&amp;IF(AND(EDATE($D95,Milestones!$AA$39)&lt;=AsOfDate,IF($R95=0,$X95,IF(AND($T95&lt;&gt;"",EDATE($D95,Milestones!$AA$39)&gt;=$T95),$W95,IF(AND($S95&lt;&gt;"",EDATE($D95,Milestones!$AA$39)&gt;=$S95),$V95,$U95)))=Milestones!$AB$39),UPPER(TEXT(EDATE($D95,Milestones!$AA$39),"dd mmm yy"))&amp;" "&amp;Milestones!$AB$39&amp;" "&amp;Milestones!$AC$39&amp;";  ",""))</f>
        <v/>
      </c>
      <c r="J95" s="0" t="str">
        <f aca="false">IF(OR($A95="",$D95=""),"",IF(AND(EDATE($D95,Milestones!$AA$40)&lt;=AsOfDate,IF($R95=0,$X95,IF(AND($T95&lt;&gt;"",EDATE($D95,Milestones!$AA$40)&gt;=$T95),$W95,IF(AND($S95&lt;&gt;"",EDATE($D95,Milestones!$AA$40)&gt;=$S95),$V95,$U95)))=Milestones!$AB$40),UPPER(TEXT(EDATE($D95,Milestones!$AA$40),"dd mmm yy"))&amp;" "&amp;Milestones!$AB$40&amp;" "&amp;Milestones!$AC$40&amp;";  ","")&amp;IF(AND(EDATE($D95,Milestones!$AA$41)&lt;=AsOfDate,IF($R95=0,$X95,IF(AND($T95&lt;&gt;"",EDATE($D95,Milestones!$AA$41)&gt;=$T95),$W95,IF(AND($S95&lt;&gt;"",EDATE($D95,Milestones!$AA$41)&gt;=$S95),$V95,$U95)))=Milestones!$AB$41),UPPER(TEXT(EDATE($D95,Milestones!$AA$41),"dd mmm yy"))&amp;" "&amp;Milestones!$AB$41&amp;" "&amp;Milestones!$AC$41&amp;";  ","")&amp;IF(AND(EDATE($D95,Milestones!$AA$42)&lt;=AsOfDate,IF($R95=0,$X95,IF(AND($T95&lt;&gt;"",EDATE($D95,Milestones!$AA$42)&gt;=$T95),$W95,IF(AND($S95&lt;&gt;"",EDATE($D95,Milestones!$AA$42)&gt;=$S95),$V95,$U95)))=Milestones!$AB$42),UPPER(TEXT(EDATE($D95,Milestones!$AA$42),"dd mmm yy"))&amp;" "&amp;Milestones!$AB$42&amp;" "&amp;Milestones!$AC$42&amp;";  ","")&amp;IF(AND(EDATE($D95,Milestones!$AA$43)&lt;=AsOfDate,IF($R95=0,$X95,IF(AND($T95&lt;&gt;"",EDATE($D95,Milestones!$AA$43)&gt;=$T95),$W95,IF(AND($S95&lt;&gt;"",EDATE($D95,Milestones!$AA$43)&gt;=$S95),$V95,$U95)))=Milestones!$AB$43),UPPER(TEXT(EDATE($D95,Milestones!$AA$43),"dd mmm yy"))&amp;" "&amp;Milestones!$AB$43&amp;" "&amp;Milestones!$AC$43&amp;";  ","")&amp;IF(AND(EDATE($D95,Milestones!$AA$44)&lt;=AsOfDate,IF($R95=0,$X95,IF(AND($T95&lt;&gt;"",EDATE($D95,Milestones!$AA$44)&gt;=$T95),$W95,IF(AND($S95&lt;&gt;"",EDATE($D95,Milestones!$AA$44)&gt;=$S95),$V95,$U95)))=Milestones!$AB$44),UPPER(TEXT(EDATE($D95,Milestones!$AA$44),"dd mmm yy"))&amp;" "&amp;Milestones!$AB$44&amp;" "&amp;Milestones!$AC$44&amp;";  ","")&amp;IF(AND(EDATE($D95,Milestones!$AA$45)&lt;=AsOfDate,IF($R95=0,$X95,IF(AND($T95&lt;&gt;"",EDATE($D95,Milestones!$AA$45)&gt;=$T95),$W95,IF(AND($S95&lt;&gt;"",EDATE($D95,Milestones!$AA$45)&gt;=$S95),$V95,$U95)))=Milestones!$AB$45),UPPER(TEXT(EDATE($D95,Milestones!$AA$45),"dd mmm yy"))&amp;" "&amp;Milestones!$AB$45&amp;" "&amp;Milestones!$AC$45&amp;";  ","")&amp;IF(AND(EDATE($D95,Milestones!$AA$46)&lt;=AsOfDate,IF($R95=0,$X95,IF(AND($T95&lt;&gt;"",EDATE($D95,Milestones!$AA$46)&gt;=$T95),$W95,IF(AND($S95&lt;&gt;"",EDATE($D95,Milestones!$AA$46)&gt;=$S95),$V95,$U95)))=Milestones!$AB$46),UPPER(TEXT(EDATE($D95,Milestones!$AA$46),"dd mmm yy"))&amp;" "&amp;Milestones!$AB$46&amp;" "&amp;Milestones!$AC$46&amp;";  ","")&amp;IF(AND(EDATE($D95,Milestones!$AA$47)&lt;=AsOfDate,IF($R95=0,$X95,IF(AND($T95&lt;&gt;"",EDATE($D95,Milestones!$AA$47)&gt;=$T95),$W95,IF(AND($S95&lt;&gt;"",EDATE($D95,Milestones!$AA$47)&gt;=$S95),$V95,$U95)))=Milestones!$AB$47),UPPER(TEXT(EDATE($D95,Milestones!$AA$47),"dd mmm yy"))&amp;" "&amp;Milestones!$AB$47&amp;" "&amp;Milestones!$AC$47&amp;";  ","")&amp;IF(AND(EDATE($D95,Milestones!$AA$48)&lt;=AsOfDate,IF($R95=0,$X95,IF(AND($T95&lt;&gt;"",EDATE($D95,Milestones!$AA$48)&gt;=$T95),$W95,IF(AND($S95&lt;&gt;"",EDATE($D95,Milestones!$AA$48)&gt;=$S95),$V95,$U95)))=Milestones!$AB$48),UPPER(TEXT(EDATE($D95,Milestones!$AA$48),"dd mmm yy"))&amp;" "&amp;Milestones!$AB$48&amp;" "&amp;Milestones!$AC$48&amp;";  ","")&amp;IF(AND(EDATE($D95,Milestones!$AA$49)&lt;=AsOfDate,IF($R95=0,$X95,IF(AND($T95&lt;&gt;"",EDATE($D95,Milestones!$AA$49)&gt;=$T95),$W95,IF(AND($S95&lt;&gt;"",EDATE($D95,Milestones!$AA$49)&gt;=$S95),$V95,$U95)))=Milestones!$AB$49),UPPER(TEXT(EDATE($D95,Milestones!$AA$49),"dd mmm yy"))&amp;" "&amp;Milestones!$AB$49&amp;" "&amp;Milestones!$AC$49&amp;";  ","")&amp;IF(AND(EDATE($D95,Milestones!$AA$50)&lt;=AsOfDate,IF($R95=0,$X95,IF(AND($T95&lt;&gt;"",EDATE($D95,Milestones!$AA$50)&gt;=$T95),$W95,IF(AND($S95&lt;&gt;"",EDATE($D95,Milestones!$AA$50)&gt;=$S95),$V95,$U95)))=Milestones!$AB$50),UPPER(TEXT(EDATE($D95,Milestones!$AA$50),"dd mmm yy"))&amp;" "&amp;Milestones!$AB$50&amp;" "&amp;Milestones!$AC$50&amp;";  ","")&amp;IF(AND(EDATE($D95,Milestones!$AA$51)&lt;=AsOfDate,IF($R95=0,$X95,IF(AND($T95&lt;&gt;"",EDATE($D95,Milestones!$AA$51)&gt;=$T95),$W95,IF(AND($S95&lt;&gt;"",EDATE($D95,Milestones!$AA$51)&gt;=$S95),$V95,$U95)))=Milestones!$AB$51),UPPER(TEXT(EDATE($D95,Milestones!$AA$51),"dd mmm yy"))&amp;" "&amp;Milestones!$AB$51&amp;" "&amp;Milestones!$AC$51&amp;";  ","")&amp;IF(AND(EDATE($D95,Milestones!$AA$52)&lt;=AsOfDate,IF($R95=0,$X95,IF(AND($T95&lt;&gt;"",EDATE($D95,Milestones!$AA$52)&gt;=$T95),$W95,IF(AND($S95&lt;&gt;"",EDATE($D95,Milestones!$AA$52)&gt;=$S95),$V95,$U95)))=Milestones!$AB$52),UPPER(TEXT(EDATE($D95,Milestones!$AA$52),"dd mmm yy"))&amp;" "&amp;Milestones!$AB$52&amp;" "&amp;Milestones!$AC$52&amp;";  ","")&amp;IF(AND(EDATE($D95,Milestones!$AA$53)&lt;=AsOfDate,IF($R95=0,$X95,IF(AND($T95&lt;&gt;"",EDATE($D95,Milestones!$AA$53)&gt;=$T95),$W95,IF(AND($S95&lt;&gt;"",EDATE($D95,Milestones!$AA$53)&gt;=$S95),$V95,$U95)))=Milestones!$AB$53),UPPER(TEXT(EDATE($D95,Milestones!$AA$53),"dd mmm yy"))&amp;" "&amp;Milestones!$AB$53&amp;" "&amp;Milestones!$AC$53&amp;";  ","")&amp;IF(AND(EDATE($D95,Milestones!$AA$54)&lt;=AsOfDate,IF($R95=0,$X95,IF(AND($T95&lt;&gt;"",EDATE($D95,Milestones!$AA$54)&gt;=$T95),$W95,IF(AND($S95&lt;&gt;"",EDATE($D95,Milestones!$AA$54)&gt;=$S95),$V95,$U95)))=Milestones!$AB$54),UPPER(TEXT(EDATE($D95,Milestones!$AA$54),"dd mmm yy"))&amp;" "&amp;Milestones!$AB$54&amp;" "&amp;Milestones!$AC$54&amp;";  ","")&amp;IF(AND(EDATE($D95,Milestones!$AA$55)&lt;=AsOfDate,IF($R95=0,$X95,IF(AND($T95&lt;&gt;"",EDATE($D95,Milestones!$AA$55)&gt;=$T95),$W95,IF(AND($S95&lt;&gt;"",EDATE($D95,Milestones!$AA$55)&gt;=$S95),$V95,$U95)))=Milestones!$AB$55),UPPER(TEXT(EDATE($D95,Milestones!$AA$55),"dd mmm yy"))&amp;" "&amp;Milestones!$AB$55&amp;" "&amp;Milestones!$AC$55&amp;";  ","")&amp;IF(AND(EDATE($D95,Milestones!$AA$56)&lt;=AsOfDate,IF($R95=0,$X95,IF(AND($T95&lt;&gt;"",EDATE($D95,Milestones!$AA$56)&gt;=$T95),$W95,IF(AND($S95&lt;&gt;"",EDATE($D95,Milestones!$AA$56)&gt;=$S95),$V95,$U95)))=Milestones!$AB$56),UPPER(TEXT(EDATE($D95,Milestones!$AA$56),"dd mmm yy"))&amp;" "&amp;Milestones!$AB$56&amp;" "&amp;Milestones!$AC$56&amp;";  ","")&amp;IF(AND(EDATE($D95,Milestones!$AA$57)&lt;=AsOfDate,IF($R95=0,$X95,IF(AND($T95&lt;&gt;"",EDATE($D95,Milestones!$AA$57)&gt;=$T95),$W95,IF(AND($S95&lt;&gt;"",EDATE($D95,Milestones!$AA$57)&gt;=$S95),$V95,$U95)))=Milestones!$AB$57),UPPER(TEXT(EDATE($D95,Milestones!$AA$57),"dd mmm yy"))&amp;" "&amp;Milestones!$AB$57&amp;" "&amp;Milestones!$AC$57&amp;";  ","")&amp;IF(AND(EDATE($D95,Milestones!$AA$58)&lt;=AsOfDate,IF($R95=0,$X95,IF(AND($T95&lt;&gt;"",EDATE($D95,Milestones!$AA$58)&gt;=$T95),$W95,IF(AND($S95&lt;&gt;"",EDATE($D95,Milestones!$AA$58)&gt;=$S95),$V95,$U95)))=Milestones!$AB$58),UPPER(TEXT(EDATE($D95,Milestones!$AA$58),"dd mmm yy"))&amp;" "&amp;Milestones!$AB$58&amp;" "&amp;Milestones!$AC$58&amp;";  ","")&amp;IF(AND(EDATE($D95,Milestones!$AA$59)&lt;=AsOfDate,IF($R95=0,$X95,IF(AND($T95&lt;&gt;"",EDATE($D95,Milestones!$AA$59)&gt;=$T95),$W95,IF(AND($S95&lt;&gt;"",EDATE($D95,Milestones!$AA$59)&gt;=$S95),$V95,$U95)))=Milestones!$AB$59),UPPER(TEXT(EDATE($D95,Milestones!$AA$59),"dd mmm yy"))&amp;" "&amp;Milestones!$AB$59&amp;" "&amp;Milestones!$AC$59&amp;";  ",""))</f>
        <v/>
      </c>
      <c r="K95" s="0" t="str">
        <f aca="false">IF(OR($A95="",$D95=""),"",IF(AND(EDATE($D95,Milestones!$AA$60)&lt;=AsOfDate,IF($R95=0,$X95,IF(AND($T95&lt;&gt;"",EDATE($D95,Milestones!$AA$60)&gt;=$T95),$W95,IF(AND($S95&lt;&gt;"",EDATE($D95,Milestones!$AA$60)&gt;=$S95),$V95,$U95)))=Milestones!$AB$60),UPPER(TEXT(EDATE($D95,Milestones!$AA$60),"dd mmm yy"))&amp;" "&amp;Milestones!$AB$60&amp;" "&amp;Milestones!$AC$60&amp;";  ","")&amp;IF(AND(EDATE($D95,Milestones!$AA$61)&lt;=AsOfDate,IF($R95=0,$X95,IF(AND($T95&lt;&gt;"",EDATE($D95,Milestones!$AA$61)&gt;=$T95),$W95,IF(AND($S95&lt;&gt;"",EDATE($D95,Milestones!$AA$61)&gt;=$S95),$V95,$U95)))=Milestones!$AB$61),UPPER(TEXT(EDATE($D95,Milestones!$AA$61),"dd mmm yy"))&amp;" "&amp;Milestones!$AB$61&amp;" "&amp;Milestones!$AC$61&amp;";  ","")&amp;IF(AND(EDATE($D95,Milestones!$AA$62)&lt;=AsOfDate,IF($R95=0,$X95,IF(AND($T95&lt;&gt;"",EDATE($D95,Milestones!$AA$62)&gt;=$T95),$W95,IF(AND($S95&lt;&gt;"",EDATE($D95,Milestones!$AA$62)&gt;=$S95),$V95,$U95)))=Milestones!$AB$62),UPPER(TEXT(EDATE($D95,Milestones!$AA$62),"dd mmm yy"))&amp;" "&amp;Milestones!$AB$62&amp;" "&amp;Milestones!$AC$62&amp;";  ","")&amp;IF(AND(EDATE($D95,Milestones!$AA$63)&lt;=AsOfDate,IF($R95=0,$X95,IF(AND($T95&lt;&gt;"",EDATE($D95,Milestones!$AA$63)&gt;=$T95),$W95,IF(AND($S95&lt;&gt;"",EDATE($D95,Milestones!$AA$63)&gt;=$S95),$V95,$U95)))=Milestones!$AB$63),UPPER(TEXT(EDATE($D95,Milestones!$AA$63),"dd mmm yy"))&amp;" "&amp;Milestones!$AB$63&amp;" "&amp;Milestones!$AC$63&amp;";  ","")&amp;IF(AND(EDATE($D95,Milestones!$AA$64)&lt;=AsOfDate,IF($R95=0,$X95,IF(AND($T95&lt;&gt;"",EDATE($D95,Milestones!$AA$64)&gt;=$T95),$W95,IF(AND($S95&lt;&gt;"",EDATE($D95,Milestones!$AA$64)&gt;=$S95),$V95,$U95)))=Milestones!$AB$64),UPPER(TEXT(EDATE($D95,Milestones!$AA$64),"dd mmm yy"))&amp;" "&amp;Milestones!$AB$64&amp;" "&amp;Milestones!$AC$64&amp;";  ","")&amp;IF(AND(EDATE($D95,Milestones!$AA$65)&lt;=AsOfDate,IF($R95=0,$X95,IF(AND($T95&lt;&gt;"",EDATE($D95,Milestones!$AA$65)&gt;=$T95),$W95,IF(AND($S95&lt;&gt;"",EDATE($D95,Milestones!$AA$65)&gt;=$S95),$V95,$U95)))=Milestones!$AB$65),UPPER(TEXT(EDATE($D95,Milestones!$AA$65),"dd mmm yy"))&amp;" "&amp;Milestones!$AB$65&amp;" "&amp;Milestones!$AC$65&amp;";  ","")&amp;IF(AND(EDATE($D95,Milestones!$AA$66)&lt;=AsOfDate,IF($R95=0,$X95,IF(AND($T95&lt;&gt;"",EDATE($D95,Milestones!$AA$66)&gt;=$T95),$W95,IF(AND($S95&lt;&gt;"",EDATE($D95,Milestones!$AA$66)&gt;=$S95),$V95,$U95)))=Milestones!$AB$66),UPPER(TEXT(EDATE($D95,Milestones!$AA$66),"dd mmm yy"))&amp;" "&amp;Milestones!$AB$66&amp;" "&amp;Milestones!$AC$66&amp;";  ","")&amp;IF(AND(EDATE($D95,Milestones!$AA$67)&lt;=AsOfDate,IF($R95=0,$X95,IF(AND($T95&lt;&gt;"",EDATE($D95,Milestones!$AA$67)&gt;=$T95),$W95,IF(AND($S95&lt;&gt;"",EDATE($D95,Milestones!$AA$67)&gt;=$S95),$V95,$U95)))=Milestones!$AB$67),UPPER(TEXT(EDATE($D95,Milestones!$AA$67),"dd mmm yy"))&amp;" "&amp;Milestones!$AB$67&amp;" "&amp;Milestones!$AC$67&amp;";  ","")&amp;IF(AND(EDATE($D95,Milestones!$AA$68)&lt;=AsOfDate,IF($R95=0,$X95,IF(AND($T95&lt;&gt;"",EDATE($D95,Milestones!$AA$68)&gt;=$T95),$W95,IF(AND($S95&lt;&gt;"",EDATE($D95,Milestones!$AA$68)&gt;=$S95),$V95,$U95)))=Milestones!$AB$68),UPPER(TEXT(EDATE($D95,Milestones!$AA$68),"dd mmm yy"))&amp;" "&amp;Milestones!$AB$68&amp;" "&amp;Milestones!$AC$68&amp;";  ","")&amp;IF(AND(EDATE($D95,Milestones!$AA$69)&lt;=AsOfDate,IF($R95=0,$X95,IF(AND($T95&lt;&gt;"",EDATE($D95,Milestones!$AA$69)&gt;=$T95),$W95,IF(AND($S95&lt;&gt;"",EDATE($D95,Milestones!$AA$69)&gt;=$S95),$V95,$U95)))=Milestones!$AB$69),UPPER(TEXT(EDATE($D95,Milestones!$AA$69),"dd mmm yy"))&amp;" "&amp;Milestones!$AB$69&amp;" "&amp;Milestones!$AC$69&amp;";  ","")&amp;IF(AND(EDATE($D95,Milestones!$AA$70)&lt;=AsOfDate,IF($R95=0,$X95,IF(AND($T95&lt;&gt;"",EDATE($D95,Milestones!$AA$70)&gt;=$T95),$W95,IF(AND($S95&lt;&gt;"",EDATE($D95,Milestones!$AA$70)&gt;=$S95),$V95,$U95)))=Milestones!$AB$70),UPPER(TEXT(EDATE($D95,Milestones!$AA$70),"dd mmm yy"))&amp;" "&amp;Milestones!$AB$70&amp;" "&amp;Milestones!$AC$70&amp;";  ","")&amp;IF(AND(EDATE($D95,Milestones!$AA$71)&lt;=AsOfDate,IF($R95=0,$X95,IF(AND($T95&lt;&gt;"",EDATE($D95,Milestones!$AA$71)&gt;=$T95),$W95,IF(AND($S95&lt;&gt;"",EDATE($D95,Milestones!$AA$71)&gt;=$S95),$V95,$U95)))=Milestones!$AB$71),UPPER(TEXT(EDATE($D95,Milestones!$AA$71),"dd mmm yy"))&amp;" "&amp;Milestones!$AB$71&amp;" "&amp;Milestones!$AC$71&amp;";  ","")&amp;IF(AND(EDATE($D95,Milestones!$AA$72)&lt;=AsOfDate,IF($R95=0,$X95,IF(AND($T95&lt;&gt;"",EDATE($D95,Milestones!$AA$72)&gt;=$T95),$W95,IF(AND($S95&lt;&gt;"",EDATE($D95,Milestones!$AA$72)&gt;=$S95),$V95,$U95)))=Milestones!$AB$72),UPPER(TEXT(EDATE($D95,Milestones!$AA$72),"dd mmm yy"))&amp;" "&amp;Milestones!$AB$72&amp;" "&amp;Milestones!$AC$72&amp;";  ","")&amp;IF(AND(EDATE($D95,Milestones!$AA$73)&lt;=AsOfDate,IF($R95=0,$X95,IF(AND($T95&lt;&gt;"",EDATE($D95,Milestones!$AA$73)&gt;=$T95),$W95,IF(AND($S95&lt;&gt;"",EDATE($D95,Milestones!$AA$73)&gt;=$S95),$V95,$U95)))=Milestones!$AB$73),UPPER(TEXT(EDATE($D95,Milestones!$AA$73),"dd mmm yy"))&amp;" "&amp;Milestones!$AB$73&amp;" "&amp;Milestones!$AC$73&amp;";  ","")&amp;IF(AND(EDATE($D95,Milestones!$AA$74)&lt;=AsOfDate,IF($R95=0,$X95,IF(AND($T95&lt;&gt;"",EDATE($D95,Milestones!$AA$74)&gt;=$T95),$W95,IF(AND($S95&lt;&gt;"",EDATE($D95,Milestones!$AA$74)&gt;=$S95),$V95,$U95)))=Milestones!$AB$74),UPPER(TEXT(EDATE($D95,Milestones!$AA$74),"dd mmm yy"))&amp;" "&amp;Milestones!$AB$74&amp;" "&amp;Milestones!$AC$74&amp;";  ","")&amp;IF(AND(EDATE($D95,Milestones!$AA$75)&lt;=AsOfDate,IF($R95=0,$X95,IF(AND($T95&lt;&gt;"",EDATE($D95,Milestones!$AA$75)&gt;=$T95),$W95,IF(AND($S95&lt;&gt;"",EDATE($D95,Milestones!$AA$75)&gt;=$S95),$V95,$U95)))=Milestones!$AB$75),UPPER(TEXT(EDATE($D95,Milestones!$AA$75),"dd mmm yy"))&amp;" "&amp;Milestones!$AB$75&amp;" "&amp;Milestones!$AC$75&amp;";  ","")&amp;IF(AND(EDATE($D95,Milestones!$AA$76)&lt;=AsOfDate,IF($R95=0,$X95,IF(AND($T95&lt;&gt;"",EDATE($D95,Milestones!$AA$76)&gt;=$T95),$W95,IF(AND($S95&lt;&gt;"",EDATE($D95,Milestones!$AA$76)&gt;=$S95),$V95,$U95)))=Milestones!$AB$76),UPPER(TEXT(EDATE($D95,Milestones!$AA$76),"dd mmm yy"))&amp;" "&amp;Milestones!$AB$76&amp;" "&amp;Milestones!$AC$76&amp;";  ","")&amp;IF(AND(EDATE($D95,Milestones!$AA$77)&lt;=AsOfDate,IF($R95=0,$X95,IF(AND($T95&lt;&gt;"",EDATE($D95,Milestones!$AA$77)&gt;=$T95),$W95,IF(AND($S95&lt;&gt;"",EDATE($D95,Milestones!$AA$77)&gt;=$S95),$V95,$U95)))=Milestones!$AB$77),UPPER(TEXT(EDATE($D95,Milestones!$AA$77),"dd mmm yy"))&amp;" "&amp;Milestones!$AB$77&amp;" "&amp;Milestones!$AC$77&amp;";  ","")&amp;IF(AND(EDATE($D95,Milestones!$AA$78)&lt;=AsOfDate,IF($R95=0,$X95,IF(AND($T95&lt;&gt;"",EDATE($D95,Milestones!$AA$78)&gt;=$T95),$W95,IF(AND($S95&lt;&gt;"",EDATE($D95,Milestones!$AA$78)&gt;=$S95),$V95,$U95)))=Milestones!$AB$78),UPPER(TEXT(EDATE($D95,Milestones!$AA$78),"dd mmm yy"))&amp;" "&amp;Milestones!$AB$78&amp;" "&amp;Milestones!$AC$78&amp;";  ","")&amp;IF(AND(EDATE($D95,Milestones!$AA$79)&lt;=AsOfDate,IF($R95=0,$X95,IF(AND($T95&lt;&gt;"",EDATE($D95,Milestones!$AA$79)&gt;=$T95),$W95,IF(AND($S95&lt;&gt;"",EDATE($D95,Milestones!$AA$79)&gt;=$S95),$V95,$U95)))=Milestones!$AB$79),UPPER(TEXT(EDATE($D95,Milestones!$AA$79),"dd mmm yy"))&amp;" "&amp;Milestones!$AB$79&amp;" "&amp;Milestones!$AC$79&amp;";  ",""))</f>
        <v/>
      </c>
      <c r="L95" s="0" t="str">
        <f aca="false">IF(OR($A95="",$D95=""),"",IF(AND(EDATE($D95,Milestones!$AA$80)&lt;=AsOfDate,IF($R95=0,$X95,IF(AND($T95&lt;&gt;"",EDATE($D95,Milestones!$AA$80)&gt;=$T95),$W95,IF(AND($S95&lt;&gt;"",EDATE($D95,Milestones!$AA$80)&gt;=$S95),$V95,$U95)))=Milestones!$AB$80),UPPER(TEXT(EDATE($D95,Milestones!$AA$80),"dd mmm yy"))&amp;" "&amp;Milestones!$AB$80&amp;" "&amp;Milestones!$AC$80&amp;";  ","")&amp;IF(AND(EDATE($D95,Milestones!$AA$81)&lt;=AsOfDate,IF($R95=0,$X95,IF(AND($T95&lt;&gt;"",EDATE($D95,Milestones!$AA$81)&gt;=$T95),$W95,IF(AND($S95&lt;&gt;"",EDATE($D95,Milestones!$AA$81)&gt;=$S95),$V95,$U95)))=Milestones!$AB$81),UPPER(TEXT(EDATE($D95,Milestones!$AA$81),"dd mmm yy"))&amp;" "&amp;Milestones!$AB$81&amp;" "&amp;Milestones!$AC$81&amp;";  ","")&amp;IF(AND(EDATE($D95,Milestones!$AA$82)&lt;=AsOfDate,IF($R95=0,$X95,IF(AND($T95&lt;&gt;"",EDATE($D95,Milestones!$AA$82)&gt;=$T95),$W95,IF(AND($S95&lt;&gt;"",EDATE($D95,Milestones!$AA$82)&gt;=$S95),$V95,$U95)))=Milestones!$AB$82),UPPER(TEXT(EDATE($D95,Milestones!$AA$82),"dd mmm yy"))&amp;" "&amp;Milestones!$AB$82&amp;" "&amp;Milestones!$AC$82&amp;";  ","")&amp;IF(AND(EDATE($D95,Milestones!$AA$83)&lt;=AsOfDate,IF($R95=0,$X95,IF(AND($T95&lt;&gt;"",EDATE($D95,Milestones!$AA$83)&gt;=$T95),$W95,IF(AND($S95&lt;&gt;"",EDATE($D95,Milestones!$AA$83)&gt;=$S95),$V95,$U95)))=Milestones!$AB$83),UPPER(TEXT(EDATE($D95,Milestones!$AA$83),"dd mmm yy"))&amp;" "&amp;Milestones!$AB$83&amp;" "&amp;Milestones!$AC$83&amp;";  ","")&amp;IF(AND(EDATE($D95,Milestones!$AA$84)&lt;=AsOfDate,IF($R95=0,$X95,IF(AND($T95&lt;&gt;"",EDATE($D95,Milestones!$AA$84)&gt;=$T95),$W95,IF(AND($S95&lt;&gt;"",EDATE($D95,Milestones!$AA$84)&gt;=$S95),$V95,$U95)))=Milestones!$AB$84),UPPER(TEXT(EDATE($D95,Milestones!$AA$84),"dd mmm yy"))&amp;" "&amp;Milestones!$AB$84&amp;" "&amp;Milestones!$AC$84&amp;";  ","")&amp;IF(AND(EDATE($D95,Milestones!$AA$85)&lt;=AsOfDate,IF($R95=0,$X95,IF(AND($T95&lt;&gt;"",EDATE($D95,Milestones!$AA$85)&gt;=$T95),$W95,IF(AND($S95&lt;&gt;"",EDATE($D95,Milestones!$AA$85)&gt;=$S95),$V95,$U95)))=Milestones!$AB$85),UPPER(TEXT(EDATE($D95,Milestones!$AA$85),"dd mmm yy"))&amp;" "&amp;Milestones!$AB$85&amp;" "&amp;Milestones!$AC$85&amp;";  ","")&amp;IF(AND(EDATE($D95,Milestones!$AA$86)&lt;=AsOfDate,IF($R95=0,$X95,IF(AND($T95&lt;&gt;"",EDATE($D95,Milestones!$AA$86)&gt;=$T95),$W95,IF(AND($S95&lt;&gt;"",EDATE($D95,Milestones!$AA$86)&gt;=$S95),$V95,$U95)))=Milestones!$AB$86),UPPER(TEXT(EDATE($D95,Milestones!$AA$86),"dd mmm yy"))&amp;" "&amp;Milestones!$AB$86&amp;" "&amp;Milestones!$AC$86&amp;";  ","")&amp;IF(AND(EDATE($D95,Milestones!$AA$87)&lt;=AsOfDate,IF($R95=0,$X95,IF(AND($T95&lt;&gt;"",EDATE($D95,Milestones!$AA$87)&gt;=$T95),$W95,IF(AND($S95&lt;&gt;"",EDATE($D95,Milestones!$AA$87)&gt;=$S95),$V95,$U95)))=Milestones!$AB$87),UPPER(TEXT(EDATE($D95,Milestones!$AA$87),"dd mmm yy"))&amp;" "&amp;Milestones!$AB$87&amp;" "&amp;Milestones!$AC$87&amp;";  ","")&amp;IF(AND(EDATE($D95,Milestones!$AA$88)&lt;=AsOfDate,IF($R95=0,$X95,IF(AND($T95&lt;&gt;"",EDATE($D95,Milestones!$AA$88)&gt;=$T95),$W95,IF(AND($S95&lt;&gt;"",EDATE($D95,Milestones!$AA$88)&gt;=$S95),$V95,$U95)))=Milestones!$AB$88),UPPER(TEXT(EDATE($D95,Milestones!$AA$88),"dd mmm yy"))&amp;" "&amp;Milestones!$AB$88&amp;" "&amp;Milestones!$AC$88&amp;";  ","")&amp;IF(AND(EDATE($D95,Milestones!$AA$89)&lt;=AsOfDate,IF($R95=0,$X95,IF(AND($T95&lt;&gt;"",EDATE($D95,Milestones!$AA$89)&gt;=$T95),$W95,IF(AND($S95&lt;&gt;"",EDATE($D95,Milestones!$AA$89)&gt;=$S95),$V95,$U95)))=Milestones!$AB$89),UPPER(TEXT(EDATE($D95,Milestones!$AA$89),"dd mmm yy"))&amp;" "&amp;Milestones!$AB$89&amp;" "&amp;Milestones!$AC$89&amp;";  ","")&amp;IF(AND(EDATE($D95,Milestones!$AA$90)&lt;=AsOfDate,IF($R95=0,$X95,IF(AND($T95&lt;&gt;"",EDATE($D95,Milestones!$AA$90)&gt;=$T95),$W95,IF(AND($S95&lt;&gt;"",EDATE($D95,Milestones!$AA$90)&gt;=$S95),$V95,$U95)))=Milestones!$AB$90),UPPER(TEXT(EDATE($D95,Milestones!$AA$90),"dd mmm yy"))&amp;" "&amp;Milestones!$AB$90&amp;" "&amp;Milestones!$AC$90&amp;";  ","")&amp;IF(AND(EDATE($D95,Milestones!$AA$91)&lt;=AsOfDate,IF($R95=0,$X95,IF(AND($T95&lt;&gt;"",EDATE($D95,Milestones!$AA$91)&gt;=$T95),$W95,IF(AND($S95&lt;&gt;"",EDATE($D95,Milestones!$AA$91)&gt;=$S95),$V95,$U95)))=Milestones!$AB$91),UPPER(TEXT(EDATE($D95,Milestones!$AA$91),"dd mmm yy"))&amp;" "&amp;Milestones!$AB$91&amp;" "&amp;Milestones!$AC$91&amp;";  ","")&amp;IF(AND(EDATE($D95,Milestones!$AA$92)&lt;=AsOfDate,IF($R95=0,$X95,IF(AND($T95&lt;&gt;"",EDATE($D95,Milestones!$AA$92)&gt;=$T95),$W95,IF(AND($S95&lt;&gt;"",EDATE($D95,Milestones!$AA$92)&gt;=$S95),$V95,$U95)))=Milestones!$AB$92),UPPER(TEXT(EDATE($D95,Milestones!$AA$92),"dd mmm yy"))&amp;" "&amp;Milestones!$AB$92&amp;" "&amp;Milestones!$AC$92&amp;";  ","")&amp;IF(AND(EDATE($D95,Milestones!$AA$93)&lt;=AsOfDate,IF($R95=0,$X95,IF(AND($T95&lt;&gt;"",EDATE($D95,Milestones!$AA$93)&gt;=$T95),$W95,IF(AND($S95&lt;&gt;"",EDATE($D95,Milestones!$AA$93)&gt;=$S95),$V95,$U95)))=Milestones!$AB$93),UPPER(TEXT(EDATE($D95,Milestones!$AA$93),"dd mmm yy"))&amp;" "&amp;Milestones!$AB$93&amp;" "&amp;Milestones!$AC$93&amp;";  ","")&amp;IF(AND(EDATE($D95,Milestones!$AA$94)&lt;=AsOfDate,IF($R95=0,$X95,IF(AND($T95&lt;&gt;"",EDATE($D95,Milestones!$AA$94)&gt;=$T95),$W95,IF(AND($S95&lt;&gt;"",EDATE($D95,Milestones!$AA$94)&gt;=$S95),$V95,$U95)))=Milestones!$AB$94),UPPER(TEXT(EDATE($D95,Milestones!$AA$94),"dd mmm yy"))&amp;" "&amp;Milestones!$AB$94&amp;" "&amp;Milestones!$AC$94&amp;";  ","")&amp;IF(AND(EDATE($D95,Milestones!$AA$95)&lt;=AsOfDate,IF($R95=0,$X95,IF(AND($T95&lt;&gt;"",EDATE($D95,Milestones!$AA$95)&gt;=$T95),$W95,IF(AND($S95&lt;&gt;"",EDATE($D95,Milestones!$AA$95)&gt;=$S95),$V95,$U95)))=Milestones!$AB$95),UPPER(TEXT(EDATE($D95,Milestones!$AA$95),"dd mmm yy"))&amp;" "&amp;Milestones!$AB$95&amp;" "&amp;Milestones!$AC$95&amp;";  ","")&amp;IF(AND(EDATE($D95,Milestones!$AA$96)&lt;=AsOfDate,IF($R95=0,$X95,IF(AND($T95&lt;&gt;"",EDATE($D95,Milestones!$AA$96)&gt;=$T95),$W95,IF(AND($S95&lt;&gt;"",EDATE($D95,Milestones!$AA$96)&gt;=$S95),$V95,$U95)))=Milestones!$AB$96),UPPER(TEXT(EDATE($D95,Milestones!$AA$96),"dd mmm yy"))&amp;" "&amp;Milestones!$AB$96&amp;" "&amp;Milestones!$AC$96&amp;";  ","")&amp;IF(AND(EDATE($D95,Milestones!$AA$97)&lt;=AsOfDate,IF($R95=0,$X95,IF(AND($T95&lt;&gt;"",EDATE($D95,Milestones!$AA$97)&gt;=$T95),$W95,IF(AND($S95&lt;&gt;"",EDATE($D95,Milestones!$AA$97)&gt;=$S95),$V95,$U95)))=Milestones!$AB$97),UPPER(TEXT(EDATE($D95,Milestones!$AA$97),"dd mmm yy"))&amp;" "&amp;Milestones!$AB$97&amp;" "&amp;Milestones!$AC$97&amp;";  ","")&amp;IF(AND(EDATE($D95,Milestones!$AA$98)&lt;=AsOfDate,IF($R95=0,$X95,IF(AND($T95&lt;&gt;"",EDATE($D95,Milestones!$AA$98)&gt;=$T95),$W95,IF(AND($S95&lt;&gt;"",EDATE($D95,Milestones!$AA$98)&gt;=$S95),$V95,$U95)))=Milestones!$AB$98),UPPER(TEXT(EDATE($D95,Milestones!$AA$98),"dd mmm yy"))&amp;" "&amp;Milestones!$AB$98&amp;" "&amp;Milestones!$AC$98&amp;";  ","")&amp;IF(AND(EDATE($D95,Milestones!$AA$99)&lt;=AsOfDate,IF($R95=0,$X95,IF(AND($T95&lt;&gt;"",EDATE($D95,Milestones!$AA$99)&gt;=$T95),$W95,IF(AND($S95&lt;&gt;"",EDATE($D95,Milestones!$AA$99)&gt;=$S95),$V95,$U95)))=Milestones!$AB$99),UPPER(TEXT(EDATE($D95,Milestones!$AA$99),"dd mmm yy"))&amp;" "&amp;Milestones!$AB$99&amp;" "&amp;Milestones!$AC$99&amp;";  ",""))</f>
        <v/>
      </c>
      <c r="M95" s="0" t="str">
        <f aca="false">IF(OR($A95="",$D95=""),"",IF(AND(EDATE($D95,Milestones!$AA$100)&lt;=AsOfDate,IF($R95=0,$X95,IF(AND($T95&lt;&gt;"",EDATE($D95,Milestones!$AA$100)&gt;=$T95),$W95,IF(AND($S95&lt;&gt;"",EDATE($D95,Milestones!$AA$100)&gt;=$S95),$V95,$U95)))=Milestones!$AB$100),UPPER(TEXT(EDATE($D95,Milestones!$AA$100),"dd mmm yy"))&amp;" "&amp;Milestones!$AB$100&amp;" "&amp;Milestones!$AC$100&amp;";  ","")&amp;IF(AND(EDATE($D95,Milestones!$AA$101)&lt;=AsOfDate,IF($R95=0,$X95,IF(AND($T95&lt;&gt;"",EDATE($D95,Milestones!$AA$101)&gt;=$T95),$W95,IF(AND($S95&lt;&gt;"",EDATE($D95,Milestones!$AA$101)&gt;=$S95),$V95,$U95)))=Milestones!$AB$101),UPPER(TEXT(EDATE($D95,Milestones!$AA$101),"dd mmm yy"))&amp;" "&amp;Milestones!$AB$101&amp;" "&amp;Milestones!$AC$101&amp;";  ","")&amp;IF(AND(EDATE($D95,Milestones!$AA$102)&lt;=AsOfDate,IF($R95=0,$X95,IF(AND($T95&lt;&gt;"",EDATE($D95,Milestones!$AA$102)&gt;=$T95),$W95,IF(AND($S95&lt;&gt;"",EDATE($D95,Milestones!$AA$102)&gt;=$S95),$V95,$U95)))=Milestones!$AB$102),UPPER(TEXT(EDATE($D95,Milestones!$AA$102),"dd mmm yy"))&amp;" "&amp;Milestones!$AB$102&amp;" "&amp;Milestones!$AC$102&amp;";  ","")&amp;IF(AND(EDATE($D95,Milestones!$AA$103)&lt;=AsOfDate,IF($R95=0,$X95,IF(AND($T95&lt;&gt;"",EDATE($D95,Milestones!$AA$103)&gt;=$T95),$W95,IF(AND($S95&lt;&gt;"",EDATE($D95,Milestones!$AA$103)&gt;=$S95),$V95,$U95)))=Milestones!$AB$103),UPPER(TEXT(EDATE($D95,Milestones!$AA$103),"dd mmm yy"))&amp;" "&amp;Milestones!$AB$103&amp;" "&amp;Milestones!$AC$103&amp;";  ","")&amp;IF(AND(EDATE($D95,Milestones!$AA$104)&lt;=AsOfDate,IF($R95=0,$X95,IF(AND($T95&lt;&gt;"",EDATE($D95,Milestones!$AA$104)&gt;=$T95),$W95,IF(AND($S95&lt;&gt;"",EDATE($D95,Milestones!$AA$104)&gt;=$S95),$V95,$U95)))=Milestones!$AB$104),UPPER(TEXT(EDATE($D95,Milestones!$AA$104),"dd mmm yy"))&amp;" "&amp;Milestones!$AB$104&amp;" "&amp;Milestones!$AC$104&amp;";  ","")&amp;IF(AND(EDATE($D95,Milestones!$AA$105)&lt;=AsOfDate,IF($R95=0,$X95,IF(AND($T95&lt;&gt;"",EDATE($D95,Milestones!$AA$105)&gt;=$T95),$W95,IF(AND($S95&lt;&gt;"",EDATE($D95,Milestones!$AA$105)&gt;=$S95),$V95,$U95)))=Milestones!$AB$105),UPPER(TEXT(EDATE($D95,Milestones!$AA$105),"dd mmm yy"))&amp;" "&amp;Milestones!$AB$105&amp;" "&amp;Milestones!$AC$105&amp;";  ","")&amp;IF(AND(EDATE($D95,Milestones!$AA$106)&lt;=AsOfDate,IF($R95=0,$X95,IF(AND($T95&lt;&gt;"",EDATE($D95,Milestones!$AA$106)&gt;=$T95),$W95,IF(AND($S95&lt;&gt;"",EDATE($D95,Milestones!$AA$106)&gt;=$S95),$V95,$U95)))=Milestones!$AB$106),UPPER(TEXT(EDATE($D95,Milestones!$AA$106),"dd mmm yy"))&amp;" "&amp;Milestones!$AB$106&amp;" "&amp;Milestones!$AC$106&amp;";  ","")&amp;IF(AND(EDATE($D95,Milestones!$AA$107)&lt;=AsOfDate,IF($R95=0,$X95,IF(AND($T95&lt;&gt;"",EDATE($D95,Milestones!$AA$107)&gt;=$T95),$W95,IF(AND($S95&lt;&gt;"",EDATE($D95,Milestones!$AA$107)&gt;=$S95),$V95,$U95)))=Milestones!$AB$107),UPPER(TEXT(EDATE($D95,Milestones!$AA$107),"dd mmm yy"))&amp;" "&amp;Milestones!$AB$107&amp;" "&amp;Milestones!$AC$107&amp;";  ","")&amp;IF(AND(EDATE($D95,Milestones!$AA$108)&lt;=AsOfDate,IF($R95=0,$X95,IF(AND($T95&lt;&gt;"",EDATE($D95,Milestones!$AA$108)&gt;=$T95),$W95,IF(AND($S95&lt;&gt;"",EDATE($D95,Milestones!$AA$108)&gt;=$S95),$V95,$U95)))=Milestones!$AB$108),UPPER(TEXT(EDATE($D95,Milestones!$AA$108),"dd mmm yy"))&amp;" "&amp;Milestones!$AB$108&amp;" "&amp;Milestones!$AC$108&amp;";  ","")&amp;IF(AND(EDATE($D95,Milestones!$AA$109)&lt;=AsOfDate,IF($R95=0,$X95,IF(AND($T95&lt;&gt;"",EDATE($D95,Milestones!$AA$109)&gt;=$T95),$W95,IF(AND($S95&lt;&gt;"",EDATE($D95,Milestones!$AA$109)&gt;=$S95),$V95,$U95)))=Milestones!$AB$109),UPPER(TEXT(EDATE($D95,Milestones!$AA$109),"dd mmm yy"))&amp;" "&amp;Milestones!$AB$109&amp;" "&amp;Milestones!$AC$109&amp;";  ","")&amp;IF(AND(EDATE($D95,Milestones!$AA$110)&lt;=AsOfDate,IF($R95=0,$X95,IF(AND($T95&lt;&gt;"",EDATE($D95,Milestones!$AA$110)&gt;=$T95),$W95,IF(AND($S95&lt;&gt;"",EDATE($D95,Milestones!$AA$110)&gt;=$S95),$V95,$U95)))=Milestones!$AB$110),UPPER(TEXT(EDATE($D95,Milestones!$AA$110),"dd mmm yy"))&amp;" "&amp;Milestones!$AB$110&amp;" "&amp;Milestones!$AC$110&amp;";  ","")&amp;IF(AND(EDATE($D95,Milestones!$AA$111)&lt;=AsOfDate,IF($R95=0,$X95,IF(AND($T95&lt;&gt;"",EDATE($D95,Milestones!$AA$111)&gt;=$T95),$W95,IF(AND($S95&lt;&gt;"",EDATE($D95,Milestones!$AA$111)&gt;=$S95),$V95,$U95)))=Milestones!$AB$111),UPPER(TEXT(EDATE($D95,Milestones!$AA$111),"dd mmm yy"))&amp;" "&amp;Milestones!$AB$111&amp;" "&amp;Milestones!$AC$111&amp;";  ","")&amp;IF(AND(EDATE($D95,Milestones!$AA$112)&lt;=AsOfDate,IF($R95=0,$X95,IF(AND($T95&lt;&gt;"",EDATE($D95,Milestones!$AA$112)&gt;=$T95),$W95,IF(AND($S95&lt;&gt;"",EDATE($D95,Milestones!$AA$112)&gt;=$S95),$V95,$U95)))=Milestones!$AB$112),UPPER(TEXT(EDATE($D95,Milestones!$AA$112),"dd mmm yy"))&amp;" "&amp;Milestones!$AB$112&amp;" "&amp;Milestones!$AC$112&amp;";  ","")&amp;IF(AND(EDATE($D95,Milestones!$AA$113)&lt;=AsOfDate,IF($R95=0,$X95,IF(AND($T95&lt;&gt;"",EDATE($D95,Milestones!$AA$113)&gt;=$T95),$W95,IF(AND($S95&lt;&gt;"",EDATE($D95,Milestones!$AA$113)&gt;=$S95),$V95,$U95)))=Milestones!$AB$113),UPPER(TEXT(EDATE($D95,Milestones!$AA$113),"dd mmm yy"))&amp;" "&amp;Milestones!$AB$113&amp;" "&amp;Milestones!$AC$113&amp;";  ","")&amp;IF(AND(EDATE($D95,Milestones!$AA$114)&lt;=AsOfDate,IF($R95=0,$X95,IF(AND($T95&lt;&gt;"",EDATE($D95,Milestones!$AA$114)&gt;=$T95),$W95,IF(AND($S95&lt;&gt;"",EDATE($D95,Milestones!$AA$114)&gt;=$S95),$V95,$U95)))=Milestones!$AB$114),UPPER(TEXT(EDATE($D95,Milestones!$AA$114),"dd mmm yy"))&amp;" "&amp;Milestones!$AB$114&amp;" "&amp;Milestones!$AC$114&amp;";  ","")&amp;IF(AND(EDATE($D95,Milestones!$AA$115)&lt;=AsOfDate,IF($R95=0,$X95,IF(AND($T95&lt;&gt;"",EDATE($D95,Milestones!$AA$115)&gt;=$T95),$W95,IF(AND($S95&lt;&gt;"",EDATE($D95,Milestones!$AA$115)&gt;=$S95),$V95,$U95)))=Milestones!$AB$115),UPPER(TEXT(EDATE($D95,Milestones!$AA$115),"dd mmm yy"))&amp;" "&amp;Milestones!$AB$115&amp;" "&amp;Milestones!$AC$115&amp;";  ","")&amp;IF(AND(EDATE($D95,Milestones!$AA$116)&lt;=AsOfDate,IF($R95=0,$X95,IF(AND($T95&lt;&gt;"",EDATE($D95,Milestones!$AA$116)&gt;=$T95),$W95,IF(AND($S95&lt;&gt;"",EDATE($D95,Milestones!$AA$116)&gt;=$S95),$V95,$U95)))=Milestones!$AB$116),UPPER(TEXT(EDATE($D95,Milestones!$AA$116),"dd mmm yy"))&amp;" "&amp;Milestones!$AB$116&amp;" "&amp;Milestones!$AC$116&amp;";  ","")&amp;IF(AND(EDATE($D95,Milestones!$AA$117)&lt;=AsOfDate,IF($R95=0,$X95,IF(AND($T95&lt;&gt;"",EDATE($D95,Milestones!$AA$117)&gt;=$T95),$W95,IF(AND($S95&lt;&gt;"",EDATE($D95,Milestones!$AA$117)&gt;=$S95),$V95,$U95)))=Milestones!$AB$117),UPPER(TEXT(EDATE($D95,Milestones!$AA$117),"dd mmm yy"))&amp;" "&amp;Milestones!$AB$117&amp;" "&amp;Milestones!$AC$117&amp;";  ","")&amp;IF(AND(EDATE($D95,Milestones!$AA$118)&lt;=AsOfDate,IF($R95=0,$X95,IF(AND($T95&lt;&gt;"",EDATE($D95,Milestones!$AA$118)&gt;=$T95),$W95,IF(AND($S95&lt;&gt;"",EDATE($D95,Milestones!$AA$118)&gt;=$S95),$V95,$U95)))=Milestones!$AB$118),UPPER(TEXT(EDATE($D95,Milestones!$AA$118),"dd mmm yy"))&amp;" "&amp;Milestones!$AB$118&amp;" "&amp;Milestones!$AC$118&amp;";  ","")&amp;IF(AND(EDATE($D95,Milestones!$AA$119)&lt;=AsOfDate,IF($R95=0,$X95,IF(AND($T95&lt;&gt;"",EDATE($D95,Milestones!$AA$119)&gt;=$T95),$W95,IF(AND($S95&lt;&gt;"",EDATE($D95,Milestones!$AA$119)&gt;=$S95),$V95,$U95)))=Milestones!$AB$119),UPPER(TEXT(EDATE($D95,Milestones!$AA$119),"dd mmm yy"))&amp;" "&amp;Milestones!$AB$119&amp;" "&amp;Milestones!$AC$119&amp;";  ",""))</f>
        <v/>
      </c>
      <c r="N95" s="0" t="str">
        <f aca="false">IF(OR($A95="",$D95=""),"",IF(AND(EDATE($D95,Milestones!$AA$120)&lt;=AsOfDate,IF($R95=0,$X95,IF(AND($T95&lt;&gt;"",EDATE($D95,Milestones!$AA$120)&gt;=$T95),$W95,IF(AND($S95&lt;&gt;"",EDATE($D95,Milestones!$AA$120)&gt;=$S95),$V95,$U95)))=Milestones!$AB$120),UPPER(TEXT(EDATE($D95,Milestones!$AA$120),"dd mmm yy"))&amp;" "&amp;Milestones!$AB$120&amp;" "&amp;Milestones!$AC$120&amp;";  ","")&amp;IF(AND(EDATE($D95,Milestones!$AA$121)&lt;=AsOfDate,IF($R95=0,$X95,IF(AND($T95&lt;&gt;"",EDATE($D95,Milestones!$AA$121)&gt;=$T95),$W95,IF(AND($S95&lt;&gt;"",EDATE($D95,Milestones!$AA$121)&gt;=$S95),$V95,$U95)))=Milestones!$AB$121),UPPER(TEXT(EDATE($D95,Milestones!$AA$121),"dd mmm yy"))&amp;" "&amp;Milestones!$AB$121&amp;" "&amp;Milestones!$AC$121&amp;";  ","")&amp;IF(AND(EDATE($D95,Milestones!$AA$122)&lt;=AsOfDate,IF($R95=0,$X95,IF(AND($T95&lt;&gt;"",EDATE($D95,Milestones!$AA$122)&gt;=$T95),$W95,IF(AND($S95&lt;&gt;"",EDATE($D95,Milestones!$AA$122)&gt;=$S95),$V95,$U95)))=Milestones!$AB$122),UPPER(TEXT(EDATE($D95,Milestones!$AA$122),"dd mmm yy"))&amp;" "&amp;Milestones!$AB$122&amp;" "&amp;Milestones!$AC$122&amp;";  ","")&amp;IF(AND(EDATE($D95,Milestones!$AA$123)&lt;=AsOfDate,IF($R95=0,$X95,IF(AND($T95&lt;&gt;"",EDATE($D95,Milestones!$AA$123)&gt;=$T95),$W95,IF(AND($S95&lt;&gt;"",EDATE($D95,Milestones!$AA$123)&gt;=$S95),$V95,$U95)))=Milestones!$AB$123),UPPER(TEXT(EDATE($D95,Milestones!$AA$123),"dd mmm yy"))&amp;" "&amp;Milestones!$AB$123&amp;" "&amp;Milestones!$AC$123&amp;";  ","")&amp;IF(AND(EDATE($D95,Milestones!$AA$124)&lt;=AsOfDate,IF($R95=0,$X95,IF(AND($T95&lt;&gt;"",EDATE($D95,Milestones!$AA$124)&gt;=$T95),$W95,IF(AND($S95&lt;&gt;"",EDATE($D95,Milestones!$AA$124)&gt;=$S95),$V95,$U95)))=Milestones!$AB$124),UPPER(TEXT(EDATE($D95,Milestones!$AA$124),"dd mmm yy"))&amp;" "&amp;Milestones!$AB$124&amp;" "&amp;Milestones!$AC$124&amp;";  ","")&amp;IF(AND(EDATE($D95,Milestones!$AA$125)&lt;=AsOfDate,IF($R95=0,$X95,IF(AND($T95&lt;&gt;"",EDATE($D95,Milestones!$AA$125)&gt;=$T95),$W95,IF(AND($S95&lt;&gt;"",EDATE($D95,Milestones!$AA$125)&gt;=$S95),$V95,$U95)))=Milestones!$AB$125),UPPER(TEXT(EDATE($D95,Milestones!$AA$125),"dd mmm yy"))&amp;" "&amp;Milestones!$AB$125&amp;" "&amp;Milestones!$AC$125&amp;";  ","")&amp;IF(AND(EDATE($D95,Milestones!$AA$126)&lt;=AsOfDate,IF($R95=0,$X95,IF(AND($T95&lt;&gt;"",EDATE($D95,Milestones!$AA$126)&gt;=$T95),$W95,IF(AND($S95&lt;&gt;"",EDATE($D95,Milestones!$AA$126)&gt;=$S95),$V95,$U95)))=Milestones!$AB$126),UPPER(TEXT(EDATE($D95,Milestones!$AA$126),"dd mmm yy"))&amp;" "&amp;Milestones!$AB$126&amp;" "&amp;Milestones!$AC$126&amp;";  ","")&amp;IF(AND(EDATE($D95,Milestones!$AA$127)&lt;=AsOfDate,IF($R95=0,$X95,IF(AND($T95&lt;&gt;"",EDATE($D95,Milestones!$AA$127)&gt;=$T95),$W95,IF(AND($S95&lt;&gt;"",EDATE($D95,Milestones!$AA$127)&gt;=$S95),$V95,$U95)))=Milestones!$AB$127),UPPER(TEXT(EDATE($D95,Milestones!$AA$127),"dd mmm yy"))&amp;" "&amp;Milestones!$AB$127&amp;" "&amp;Milestones!$AC$127&amp;";  ","")&amp;IF(AND(EDATE($D95,Milestones!$AA$128)&lt;=AsOfDate,IF($R95=0,$X95,IF(AND($T95&lt;&gt;"",EDATE($D95,Milestones!$AA$128)&gt;=$T95),$W95,IF(AND($S95&lt;&gt;"",EDATE($D95,Milestones!$AA$128)&gt;=$S95),$V95,$U95)))=Milestones!$AB$128),UPPER(TEXT(EDATE($D95,Milestones!$AA$128),"dd mmm yy"))&amp;" "&amp;Milestones!$AB$128&amp;" "&amp;Milestones!$AC$128&amp;";  ","")&amp;IF(AND(EDATE($D95,Milestones!$AA$129)&lt;=AsOfDate,IF($R95=0,$X95,IF(AND($T95&lt;&gt;"",EDATE($D95,Milestones!$AA$129)&gt;=$T95),$W95,IF(AND($S95&lt;&gt;"",EDATE($D95,Milestones!$AA$129)&gt;=$S95),$V95,$U95)))=Milestones!$AB$129),UPPER(TEXT(EDATE($D95,Milestones!$AA$129),"dd mmm yy"))&amp;" "&amp;Milestones!$AB$129&amp;" "&amp;Milestones!$AC$129&amp;";  ","")&amp;IF(AND(EDATE($D95,Milestones!$AA$130)&lt;=AsOfDate,IF($R95=0,$X95,IF(AND($T95&lt;&gt;"",EDATE($D95,Milestones!$AA$130)&gt;=$T95),$W95,IF(AND($S95&lt;&gt;"",EDATE($D95,Milestones!$AA$130)&gt;=$S95),$V95,$U95)))=Milestones!$AB$130),UPPER(TEXT(EDATE($D95,Milestones!$AA$130),"dd mmm yy"))&amp;" "&amp;Milestones!$AB$130&amp;" "&amp;Milestones!$AC$130&amp;";  ","")&amp;IF(AND(EDATE($D95,Milestones!$AA$131)&lt;=AsOfDate,IF($R95=0,$X95,IF(AND($T95&lt;&gt;"",EDATE($D95,Milestones!$AA$131)&gt;=$T95),$W95,IF(AND($S95&lt;&gt;"",EDATE($D95,Milestones!$AA$131)&gt;=$S95),$V95,$U95)))=Milestones!$AB$131),UPPER(TEXT(EDATE($D95,Milestones!$AA$131),"dd mmm yy"))&amp;" "&amp;Milestones!$AB$131&amp;" "&amp;Milestones!$AC$131&amp;";  ","")&amp;IF(AND(EDATE($D95,Milestones!$AA$132)&lt;=AsOfDate,IF($R95=0,$X95,IF(AND($T95&lt;&gt;"",EDATE($D95,Milestones!$AA$132)&gt;=$T95),$W95,IF(AND($S95&lt;&gt;"",EDATE($D95,Milestones!$AA$132)&gt;=$S95),$V95,$U95)))=Milestones!$AB$132),UPPER(TEXT(EDATE($D95,Milestones!$AA$132),"dd mmm yy"))&amp;" "&amp;Milestones!$AB$132&amp;" "&amp;Milestones!$AC$132&amp;";  ","")&amp;IF(AND(EDATE($D95,Milestones!$AA$133)&lt;=AsOfDate,IF($R95=0,$X95,IF(AND($T95&lt;&gt;"",EDATE($D95,Milestones!$AA$133)&gt;=$T95),$W95,IF(AND($S95&lt;&gt;"",EDATE($D95,Milestones!$AA$133)&gt;=$S95),$V95,$U95)))=Milestones!$AB$133),UPPER(TEXT(EDATE($D95,Milestones!$AA$133),"dd mmm yy"))&amp;" "&amp;Milestones!$AB$133&amp;" "&amp;Milestones!$AC$133&amp;";  ","")&amp;IF(AND(EDATE($D95,Milestones!$AA$134)&lt;=AsOfDate,IF($R95=0,$X95,IF(AND($T95&lt;&gt;"",EDATE($D95,Milestones!$AA$134)&gt;=$T95),$W95,IF(AND($S95&lt;&gt;"",EDATE($D95,Milestones!$AA$134)&gt;=$S95),$V95,$U95)))=Milestones!$AB$134),UPPER(TEXT(EDATE($D95,Milestones!$AA$134),"dd mmm yy"))&amp;" "&amp;Milestones!$AB$134&amp;" "&amp;Milestones!$AC$134&amp;";  ","")&amp;IF(AND(EDATE($D95,Milestones!$AA$135)&lt;=AsOfDate,IF($R95=0,$X95,IF(AND($T95&lt;&gt;"",EDATE($D95,Milestones!$AA$135)&gt;=$T95),$W95,IF(AND($S95&lt;&gt;"",EDATE($D95,Milestones!$AA$135)&gt;=$S95),$V95,$U95)))=Milestones!$AB$135),UPPER(TEXT(EDATE($D95,Milestones!$AA$135),"dd mmm yy"))&amp;" "&amp;Milestones!$AB$135&amp;" "&amp;Milestones!$AC$135&amp;";  ","")&amp;IF(AND(EDATE($D95,Milestones!$AA$136)&lt;=AsOfDate,IF($R95=0,$X95,IF(AND($T95&lt;&gt;"",EDATE($D95,Milestones!$AA$136)&gt;=$T95),$W95,IF(AND($S95&lt;&gt;"",EDATE($D95,Milestones!$AA$136)&gt;=$S95),$V95,$U95)))=Milestones!$AB$136),UPPER(TEXT(EDATE($D95,Milestones!$AA$136),"dd mmm yy"))&amp;" "&amp;Milestones!$AB$136&amp;" "&amp;Milestones!$AC$136&amp;";  ","")&amp;IF(AND(EDATE($D95,Milestones!$AA$137)&lt;=AsOfDate,IF($R95=0,$X95,IF(AND($T95&lt;&gt;"",EDATE($D95,Milestones!$AA$137)&gt;=$T95),$W95,IF(AND($S95&lt;&gt;"",EDATE($D95,Milestones!$AA$137)&gt;=$S95),$V95,$U95)))=Milestones!$AB$137),UPPER(TEXT(EDATE($D95,Milestones!$AA$137),"dd mmm yy"))&amp;" "&amp;Milestones!$AB$137&amp;" "&amp;Milestones!$AC$137&amp;";  ","")&amp;IF(AND(EDATE($D95,Milestones!$AA$138)&lt;=AsOfDate,IF($R95=0,$X95,IF(AND($T95&lt;&gt;"",EDATE($D95,Milestones!$AA$138)&gt;=$T95),$W95,IF(AND($S95&lt;&gt;"",EDATE($D95,Milestones!$AA$138)&gt;=$S95),$V95,$U95)))=Milestones!$AB$138),UPPER(TEXT(EDATE($D95,Milestones!$AA$138),"dd mmm yy"))&amp;" "&amp;Milestones!$AB$138&amp;" "&amp;Milestones!$AC$138&amp;";  ","")&amp;IF(AND(EDATE($D95,Milestones!$AA$139)&lt;=AsOfDate,IF($R95=0,$X95,IF(AND($T95&lt;&gt;"",EDATE($D95,Milestones!$AA$139)&gt;=$T95),$W95,IF(AND($S95&lt;&gt;"",EDATE($D95,Milestones!$AA$139)&gt;=$S95),$V95,$U95)))=Milestones!$AB$139),UPPER(TEXT(EDATE($D95,Milestones!$AA$139),"dd mmm yy"))&amp;" "&amp;Milestones!$AB$139&amp;" "&amp;Milestones!$AC$139&amp;";  ",""))</f>
        <v/>
      </c>
      <c r="O95" s="0" t="str">
        <f aca="false">IF(OR($A95="",$D95=""),"",IF(AND(EDATE($D95,Milestones!$AA$140)&lt;=AsOfDate,IF($R95=0,$X95,IF(AND($T95&lt;&gt;"",EDATE($D95,Milestones!$AA$140)&gt;=$T95),$W95,IF(AND($S95&lt;&gt;"",EDATE($D95,Milestones!$AA$140)&gt;=$S95),$V95,$U95)))=Milestones!$AB$140),UPPER(TEXT(EDATE($D95,Milestones!$AA$140),"dd mmm yy"))&amp;" "&amp;Milestones!$AB$140&amp;" "&amp;Milestones!$AC$140&amp;";  ","")&amp;IF(AND(EDATE($D95,Milestones!$AA$141)&lt;=AsOfDate,IF($R95=0,$X95,IF(AND($T95&lt;&gt;"",EDATE($D95,Milestones!$AA$141)&gt;=$T95),$W95,IF(AND($S95&lt;&gt;"",EDATE($D95,Milestones!$AA$141)&gt;=$S95),$V95,$U95)))=Milestones!$AB$141),UPPER(TEXT(EDATE($D95,Milestones!$AA$141),"dd mmm yy"))&amp;" "&amp;Milestones!$AB$141&amp;" "&amp;Milestones!$AC$141&amp;";  ","")&amp;IF(AND(EDATE($D95,Milestones!$AA$142)&lt;=AsOfDate,IF($R95=0,$X95,IF(AND($T95&lt;&gt;"",EDATE($D95,Milestones!$AA$142)&gt;=$T95),$W95,IF(AND($S95&lt;&gt;"",EDATE($D95,Milestones!$AA$142)&gt;=$S95),$V95,$U95)))=Milestones!$AB$142),UPPER(TEXT(EDATE($D95,Milestones!$AA$142),"dd mmm yy"))&amp;" "&amp;Milestones!$AB$142&amp;" "&amp;Milestones!$AC$142&amp;";  ","")&amp;IF(AND(EDATE($D95,Milestones!$AA$143)&lt;=AsOfDate,IF($R95=0,$X95,IF(AND($T95&lt;&gt;"",EDATE($D95,Milestones!$AA$143)&gt;=$T95),$W95,IF(AND($S95&lt;&gt;"",EDATE($D95,Milestones!$AA$143)&gt;=$S95),$V95,$U95)))=Milestones!$AB$143),UPPER(TEXT(EDATE($D95,Milestones!$AA$143),"dd mmm yy"))&amp;" "&amp;Milestones!$AB$143&amp;" "&amp;Milestones!$AC$143&amp;";  ","")&amp;IF(AND(EDATE($D95,Milestones!$AA$144)&lt;=AsOfDate,IF($R95=0,$X95,IF(AND($T95&lt;&gt;"",EDATE($D95,Milestones!$AA$144)&gt;=$T95),$W95,IF(AND($S95&lt;&gt;"",EDATE($D95,Milestones!$AA$144)&gt;=$S95),$V95,$U95)))=Milestones!$AB$144),UPPER(TEXT(EDATE($D95,Milestones!$AA$144),"dd mmm yy"))&amp;" "&amp;Milestones!$AB$144&amp;" "&amp;Milestones!$AC$144&amp;";  ","")&amp;IF(AND(EDATE($D95,Milestones!$AA$145)&lt;=AsOfDate,IF($R95=0,$X95,IF(AND($T95&lt;&gt;"",EDATE($D95,Milestones!$AA$145)&gt;=$T95),$W95,IF(AND($S95&lt;&gt;"",EDATE($D95,Milestones!$AA$145)&gt;=$S95),$V95,$U95)))=Milestones!$AB$145),UPPER(TEXT(EDATE($D95,Milestones!$AA$145),"dd mmm yy"))&amp;" "&amp;Milestones!$AB$145&amp;" "&amp;Milestones!$AC$145&amp;";  ","")&amp;IF(AND(EDATE($D95,Milestones!$AA$146)&lt;=AsOfDate,IF($R95=0,$X95,IF(AND($T95&lt;&gt;"",EDATE($D95,Milestones!$AA$146)&gt;=$T95),$W95,IF(AND($S95&lt;&gt;"",EDATE($D95,Milestones!$AA$146)&gt;=$S95),$V95,$U95)))=Milestones!$AB$146),UPPER(TEXT(EDATE($D95,Milestones!$AA$146),"dd mmm yy"))&amp;" "&amp;Milestones!$AB$146&amp;" "&amp;Milestones!$AC$146&amp;";  ","")&amp;IF(AND(EDATE($D95,Milestones!$AA$147)&lt;=AsOfDate,IF($R95=0,$X95,IF(AND($T95&lt;&gt;"",EDATE($D95,Milestones!$AA$147)&gt;=$T95),$W95,IF(AND($S95&lt;&gt;"",EDATE($D95,Milestones!$AA$147)&gt;=$S95),$V95,$U95)))=Milestones!$AB$147),UPPER(TEXT(EDATE($D95,Milestones!$AA$147),"dd mmm yy"))&amp;" "&amp;Milestones!$AB$147&amp;" "&amp;Milestones!$AC$147&amp;";  ","")&amp;IF(AND(EDATE($D95,Milestones!$AA$148)&lt;=AsOfDate,IF($R95=0,$X95,IF(AND($T95&lt;&gt;"",EDATE($D95,Milestones!$AA$148)&gt;=$T95),$W95,IF(AND($S95&lt;&gt;"",EDATE($D95,Milestones!$AA$148)&gt;=$S95),$V95,$U95)))=Milestones!$AB$148),UPPER(TEXT(EDATE($D95,Milestones!$AA$148),"dd mmm yy"))&amp;" "&amp;Milestones!$AB$148&amp;" "&amp;Milestones!$AC$148&amp;";  ","")&amp;IF(AND(EDATE($D95,Milestones!$AA$149)&lt;=AsOfDate,IF($R95=0,$X95,IF(AND($T95&lt;&gt;"",EDATE($D95,Milestones!$AA$149)&gt;=$T95),$W95,IF(AND($S95&lt;&gt;"",EDATE($D95,Milestones!$AA$149)&gt;=$S95),$V95,$U95)))=Milestones!$AB$149),UPPER(TEXT(EDATE($D95,Milestones!$AA$149),"dd mmm yy"))&amp;" "&amp;Milestones!$AB$149&amp;" "&amp;Milestones!$AC$149&amp;";  ","")&amp;IF(AND(EDATE($D95,Milestones!$AA$150)&lt;=AsOfDate,IF($R95=0,$X95,IF(AND($T95&lt;&gt;"",EDATE($D95,Milestones!$AA$150)&gt;=$T95),$W95,IF(AND($S95&lt;&gt;"",EDATE($D95,Milestones!$AA$150)&gt;=$S95),$V95,$U95)))=Milestones!$AB$150),UPPER(TEXT(EDATE($D95,Milestones!$AA$150),"dd mmm yy"))&amp;" "&amp;Milestones!$AB$150&amp;" "&amp;Milestones!$AC$150&amp;";  ","")&amp;IF(AND(EDATE($D95,Milestones!$AA$151)&lt;=AsOfDate,IF($R95=0,$X95,IF(AND($T95&lt;&gt;"",EDATE($D95,Milestones!$AA$151)&gt;=$T95),$W95,IF(AND($S95&lt;&gt;"",EDATE($D95,Milestones!$AA$151)&gt;=$S95),$V95,$U95)))=Milestones!$AB$151),UPPER(TEXT(EDATE($D95,Milestones!$AA$151),"dd mmm yy"))&amp;" "&amp;Milestones!$AB$151&amp;" "&amp;Milestones!$AC$151&amp;";  ","")&amp;IF(AND(EDATE($D95,Milestones!$AA$152)&lt;=AsOfDate,IF($R95=0,$X95,IF(AND($T95&lt;&gt;"",EDATE($D95,Milestones!$AA$152)&gt;=$T95),$W95,IF(AND($S95&lt;&gt;"",EDATE($D95,Milestones!$AA$152)&gt;=$S95),$V95,$U95)))=Milestones!$AB$152),UPPER(TEXT(EDATE($D95,Milestones!$AA$152),"dd mmm yy"))&amp;" "&amp;Milestones!$AB$152&amp;" "&amp;Milestones!$AC$152&amp;";  ","")&amp;IF(AND(EDATE($D95,Milestones!$AA$153)&lt;=AsOfDate,IF($R95=0,$X95,IF(AND($T95&lt;&gt;"",EDATE($D95,Milestones!$AA$153)&gt;=$T95),$W95,IF(AND($S95&lt;&gt;"",EDATE($D95,Milestones!$AA$153)&gt;=$S95),$V95,$U95)))=Milestones!$AB$153),UPPER(TEXT(EDATE($D95,Milestones!$AA$153),"dd mmm yy"))&amp;" "&amp;Milestones!$AB$153&amp;" "&amp;Milestones!$AC$153&amp;";  ","")&amp;IF(AND(EDATE($D95,Milestones!$AA$154)&lt;=AsOfDate,IF($R95=0,$X95,IF(AND($T95&lt;&gt;"",EDATE($D95,Milestones!$AA$154)&gt;=$T95),$W95,IF(AND($S95&lt;&gt;"",EDATE($D95,Milestones!$AA$154)&gt;=$S95),$V95,$U95)))=Milestones!$AB$154),UPPER(TEXT(EDATE($D95,Milestones!$AA$154),"dd mmm yy"))&amp;" "&amp;Milestones!$AB$154&amp;" "&amp;Milestones!$AC$154&amp;";  ","")&amp;IF(AND(EDATE($D95,Milestones!$AA$155)&lt;=AsOfDate,IF($R95=0,$X95,IF(AND($T95&lt;&gt;"",EDATE($D95,Milestones!$AA$155)&gt;=$T95),$W95,IF(AND($S95&lt;&gt;"",EDATE($D95,Milestones!$AA$155)&gt;=$S95),$V95,$U95)))=Milestones!$AB$155),UPPER(TEXT(EDATE($D95,Milestones!$AA$155),"dd mmm yy"))&amp;" "&amp;Milestones!$AB$155&amp;" "&amp;Milestones!$AC$155&amp;";  ","")&amp;IF(AND(EDATE($D95,Milestones!$AA$156)&lt;=AsOfDate,IF($R95=0,$X95,IF(AND($T95&lt;&gt;"",EDATE($D95,Milestones!$AA$156)&gt;=$T95),$W95,IF(AND($S95&lt;&gt;"",EDATE($D95,Milestones!$AA$156)&gt;=$S95),$V95,$U95)))=Milestones!$AB$156),UPPER(TEXT(EDATE($D95,Milestones!$AA$156),"dd mmm yy"))&amp;" "&amp;Milestones!$AB$156&amp;" "&amp;Milestones!$AC$156&amp;";  ","")&amp;IF(AND(EDATE($D95,Milestones!$AA$157)&lt;=AsOfDate,IF($R95=0,$X95,IF(AND($T95&lt;&gt;"",EDATE($D95,Milestones!$AA$157)&gt;=$T95),$W95,IF(AND($S95&lt;&gt;"",EDATE($D95,Milestones!$AA$157)&gt;=$S95),$V95,$U95)))=Milestones!$AB$157),UPPER(TEXT(EDATE($D95,Milestones!$AA$157),"dd mmm yy"))&amp;" "&amp;Milestones!$AB$157&amp;" "&amp;Milestones!$AC$157&amp;";  ","")&amp;IF(AND(EDATE($D95,Milestones!$AA$158)&lt;=AsOfDate,IF($R95=0,$X95,IF(AND($T95&lt;&gt;"",EDATE($D95,Milestones!$AA$158)&gt;=$T95),$W95,IF(AND($S95&lt;&gt;"",EDATE($D95,Milestones!$AA$158)&gt;=$S95),$V95,$U95)))=Milestones!$AB$158),UPPER(TEXT(EDATE($D95,Milestones!$AA$158),"dd mmm yy"))&amp;" "&amp;Milestones!$AB$158&amp;" "&amp;Milestones!$AC$158&amp;";  ","")&amp;IF(AND(EDATE($D95,Milestones!$AA$159)&lt;=AsOfDate,IF($R95=0,$X95,IF(AND($T95&lt;&gt;"",EDATE($D95,Milestones!$AA$159)&gt;=$T95),$W95,IF(AND($S95&lt;&gt;"",EDATE($D95,Milestones!$AA$159)&gt;=$S95),$V95,$U95)))=Milestones!$AB$159),UPPER(TEXT(EDATE($D95,Milestones!$AA$159),"dd mmm yy"))&amp;" "&amp;Milestones!$AB$159&amp;" "&amp;Milestones!$AC$159&amp;";  ",""))</f>
        <v/>
      </c>
      <c r="P95" s="0" t="str">
        <f aca="false">IF(OR($A95="",$D95=""),"",IF(AND(EDATE($D95,Milestones!$AA$160)&lt;=AsOfDate,IF($R95=0,$X95,IF(AND($T95&lt;&gt;"",EDATE($D95,Milestones!$AA$160)&gt;=$T95),$W95,IF(AND($S95&lt;&gt;"",EDATE($D95,Milestones!$AA$160)&gt;=$S95),$V95,$U95)))=Milestones!$AB$160),UPPER(TEXT(EDATE($D95,Milestones!$AA$160),"dd mmm yy"))&amp;" "&amp;Milestones!$AB$160&amp;" "&amp;Milestones!$AC$160&amp;";  ","")&amp;IF(AND(EDATE($D95,Milestones!$AA$161)&lt;=AsOfDate,IF($R95=0,$X95,IF(AND($T95&lt;&gt;"",EDATE($D95,Milestones!$AA$161)&gt;=$T95),$W95,IF(AND($S95&lt;&gt;"",EDATE($D95,Milestones!$AA$161)&gt;=$S95),$V95,$U95)))=Milestones!$AB$161),UPPER(TEXT(EDATE($D95,Milestones!$AA$161),"dd mmm yy"))&amp;" "&amp;Milestones!$AB$161&amp;" "&amp;Milestones!$AC$161&amp;";  ","")&amp;IF(AND(EDATE($D95,Milestones!$AA$162)&lt;=AsOfDate,IF($R95=0,$X95,IF(AND($T95&lt;&gt;"",EDATE($D95,Milestones!$AA$162)&gt;=$T95),$W95,IF(AND($S95&lt;&gt;"",EDATE($D95,Milestones!$AA$162)&gt;=$S95),$V95,$U95)))=Milestones!$AB$162),UPPER(TEXT(EDATE($D95,Milestones!$AA$162),"dd mmm yy"))&amp;" "&amp;Milestones!$AB$162&amp;" "&amp;Milestones!$AC$162&amp;";  ","")&amp;IF(AND(EDATE($D95,Milestones!$AA$163)&lt;=AsOfDate,IF($R95=0,$X95,IF(AND($T95&lt;&gt;"",EDATE($D95,Milestones!$AA$163)&gt;=$T95),$W95,IF(AND($S95&lt;&gt;"",EDATE($D95,Milestones!$AA$163)&gt;=$S95),$V95,$U95)))=Milestones!$AB$163),UPPER(TEXT(EDATE($D95,Milestones!$AA$163),"dd mmm yy"))&amp;" "&amp;Milestones!$AB$163&amp;" "&amp;Milestones!$AC$163&amp;";  ","")&amp;IF(AND(EDATE($D95,Milestones!$AA$164)&lt;=AsOfDate,IF($R95=0,$X95,IF(AND($T95&lt;&gt;"",EDATE($D95,Milestones!$AA$164)&gt;=$T95),$W95,IF(AND($S95&lt;&gt;"",EDATE($D95,Milestones!$AA$164)&gt;=$S95),$V95,$U95)))=Milestones!$AB$164),UPPER(TEXT(EDATE($D95,Milestones!$AA$164),"dd mmm yy"))&amp;" "&amp;Milestones!$AB$164&amp;" "&amp;Milestones!$AC$164&amp;";  ","")&amp;IF(AND(EDATE($D95,Milestones!$AA$165)&lt;=AsOfDate,IF($R95=0,$X95,IF(AND($T95&lt;&gt;"",EDATE($D95,Milestones!$AA$165)&gt;=$T95),$W95,IF(AND($S95&lt;&gt;"",EDATE($D95,Milestones!$AA$165)&gt;=$S95),$V95,$U95)))=Milestones!$AB$165),UPPER(TEXT(EDATE($D95,Milestones!$AA$165),"dd mmm yy"))&amp;" "&amp;Milestones!$AB$165&amp;" "&amp;Milestones!$AC$165&amp;";  ","")&amp;IF(AND(EDATE($D95,Milestones!$AA$166)&lt;=AsOfDate,IF($R95=0,$X95,IF(AND($T95&lt;&gt;"",EDATE($D95,Milestones!$AA$166)&gt;=$T95),$W95,IF(AND($S95&lt;&gt;"",EDATE($D95,Milestones!$AA$166)&gt;=$S95),$V95,$U95)))=Milestones!$AB$166),UPPER(TEXT(EDATE($D95,Milestones!$AA$166),"dd mmm yy"))&amp;" "&amp;Milestones!$AB$166&amp;" "&amp;Milestones!$AC$166&amp;";  ","")&amp;IF(AND(EDATE($D95,Milestones!$AA$167)&lt;=AsOfDate,IF($R95=0,$X95,IF(AND($T95&lt;&gt;"",EDATE($D95,Milestones!$AA$167)&gt;=$T95),$W95,IF(AND($S95&lt;&gt;"",EDATE($D95,Milestones!$AA$167)&gt;=$S95),$V95,$U95)))=Milestones!$AB$167),UPPER(TEXT(EDATE($D95,Milestones!$AA$167),"dd mmm yy"))&amp;" "&amp;Milestones!$AB$167&amp;" "&amp;Milestones!$AC$167&amp;";  ","")&amp;IF(AND(EDATE($D95,Milestones!$AA$168)&lt;=AsOfDate,IF($R95=0,$X95,IF(AND($T95&lt;&gt;"",EDATE($D95,Milestones!$AA$168)&gt;=$T95),$W95,IF(AND($S95&lt;&gt;"",EDATE($D95,Milestones!$AA$168)&gt;=$S95),$V95,$U95)))=Milestones!$AB$168),UPPER(TEXT(EDATE($D95,Milestones!$AA$168),"dd mmm yy"))&amp;" "&amp;Milestones!$AB$168&amp;" "&amp;Milestones!$AC$168&amp;";  ","")&amp;IF(AND(EDATE($D95,Milestones!$AA$169)&lt;=AsOfDate,IF($R95=0,$X95,IF(AND($T95&lt;&gt;"",EDATE($D95,Milestones!$AA$169)&gt;=$T95),$W95,IF(AND($S95&lt;&gt;"",EDATE($D95,Milestones!$AA$169)&gt;=$S95),$V95,$U95)))=Milestones!$AB$169),UPPER(TEXT(EDATE($D95,Milestones!$AA$169),"dd mmm yy"))&amp;" "&amp;Milestones!$AB$169&amp;" "&amp;Milestones!$AC$169&amp;";  ","")&amp;IF(AND(EDATE($D95,Milestones!$AA$170)&lt;=AsOfDate,IF($R95=0,$X95,IF(AND($T95&lt;&gt;"",EDATE($D95,Milestones!$AA$170)&gt;=$T95),$W95,IF(AND($S95&lt;&gt;"",EDATE($D95,Milestones!$AA$170)&gt;=$S95),$V95,$U95)))=Milestones!$AB$170),UPPER(TEXT(EDATE($D95,Milestones!$AA$170),"dd mmm yy"))&amp;" "&amp;Milestones!$AB$170&amp;" "&amp;Milestones!$AC$170&amp;";  ","")&amp;IF(AND(EDATE($D95,Milestones!$AA$171)&lt;=AsOfDate,IF($R95=0,$X95,IF(AND($T95&lt;&gt;"",EDATE($D95,Milestones!$AA$171)&gt;=$T95),$W95,IF(AND($S95&lt;&gt;"",EDATE($D95,Milestones!$AA$171)&gt;=$S95),$V95,$U95)))=Milestones!$AB$171),UPPER(TEXT(EDATE($D95,Milestones!$AA$171),"dd mmm yy"))&amp;" "&amp;Milestones!$AB$171&amp;" "&amp;Milestones!$AC$171&amp;";  ","")&amp;IF(AND(EDATE($D95,Milestones!$AA$172)&lt;=AsOfDate,IF($R95=0,$X95,IF(AND($T95&lt;&gt;"",EDATE($D95,Milestones!$AA$172)&gt;=$T95),$W95,IF(AND($S95&lt;&gt;"",EDATE($D95,Milestones!$AA$172)&gt;=$S95),$V95,$U95)))=Milestones!$AB$172),UPPER(TEXT(EDATE($D95,Milestones!$AA$172),"dd mmm yy"))&amp;" "&amp;Milestones!$AB$172&amp;" "&amp;Milestones!$AC$172&amp;";  ","")&amp;IF(AND(EDATE($D95,Milestones!$AA$173)&lt;=AsOfDate,IF($R95=0,$X95,IF(AND($T95&lt;&gt;"",EDATE($D95,Milestones!$AA$173)&gt;=$T95),$W95,IF(AND($S95&lt;&gt;"",EDATE($D95,Milestones!$AA$173)&gt;=$S95),$V95,$U95)))=Milestones!$AB$173),UPPER(TEXT(EDATE($D95,Milestones!$AA$173),"dd mmm yy"))&amp;" "&amp;Milestones!$AB$173&amp;" "&amp;Milestones!$AC$173&amp;";  ","")&amp;IF(AND(EDATE($D95,Milestones!$AA$174)&lt;=AsOfDate,IF($R95=0,$X95,IF(AND($T95&lt;&gt;"",EDATE($D95,Milestones!$AA$174)&gt;=$T95),$W95,IF(AND($S95&lt;&gt;"",EDATE($D95,Milestones!$AA$174)&gt;=$S95),$V95,$U95)))=Milestones!$AB$174),UPPER(TEXT(EDATE($D95,Milestones!$AA$174),"dd mmm yy"))&amp;" "&amp;Milestones!$AB$174&amp;" "&amp;Milestones!$AC$174&amp;";  ","")&amp;IF(AND(EDATE($D95,Milestones!$AA$175)&lt;=AsOfDate,IF($R95=0,$X95,IF(AND($T95&lt;&gt;"",EDATE($D95,Milestones!$AA$175)&gt;=$T95),$W95,IF(AND($S95&lt;&gt;"",EDATE($D95,Milestones!$AA$175)&gt;=$S95),$V95,$U95)))=Milestones!$AB$175),UPPER(TEXT(EDATE($D95,Milestones!$AA$175),"dd mmm yy"))&amp;" "&amp;Milestones!$AB$175&amp;" "&amp;Milestones!$AC$175&amp;";  ","")&amp;IF(AND(EDATE($D95,Milestones!$AA$176)&lt;=AsOfDate,IF($R95=0,$X95,IF(AND($T95&lt;&gt;"",EDATE($D95,Milestones!$AA$176)&gt;=$T95),$W95,IF(AND($S95&lt;&gt;"",EDATE($D95,Milestones!$AA$176)&gt;=$S95),$V95,$U95)))=Milestones!$AB$176),UPPER(TEXT(EDATE($D95,Milestones!$AA$176),"dd mmm yy"))&amp;" "&amp;Milestones!$AB$176&amp;" "&amp;Milestones!$AC$176&amp;";  ","")&amp;IF(AND(EDATE($D95,Milestones!$AA$177)&lt;=AsOfDate,IF($R95=0,$X95,IF(AND($T95&lt;&gt;"",EDATE($D95,Milestones!$AA$177)&gt;=$T95),$W95,IF(AND($S95&lt;&gt;"",EDATE($D95,Milestones!$AA$177)&gt;=$S95),$V95,$U95)))=Milestones!$AB$177),UPPER(TEXT(EDATE($D95,Milestones!$AA$177),"dd mmm yy"))&amp;" "&amp;Milestones!$AB$177&amp;" "&amp;Milestones!$AC$177&amp;";  ","")&amp;IF(AND(EDATE($D95,Milestones!$AA$178)&lt;=AsOfDate,IF($R95=0,$X95,IF(AND($T95&lt;&gt;"",EDATE($D95,Milestones!$AA$178)&gt;=$T95),$W95,IF(AND($S95&lt;&gt;"",EDATE($D95,Milestones!$AA$178)&gt;=$S95),$V95,$U95)))=Milestones!$AB$178),UPPER(TEXT(EDATE($D95,Milestones!$AA$178),"dd mmm yy"))&amp;" "&amp;Milestones!$AB$178&amp;" "&amp;Milestones!$AC$178&amp;";  ","")&amp;IF(AND(EDATE($D95,Milestones!$AA$179)&lt;=AsOfDate,IF($R95=0,$X95,IF(AND($T95&lt;&gt;"",EDATE($D95,Milestones!$AA$179)&gt;=$T95),$W95,IF(AND($S95&lt;&gt;"",EDATE($D95,Milestones!$AA$179)&gt;=$S95),$V95,$U95)))=Milestones!$AB$179),UPPER(TEXT(EDATE($D95,Milestones!$AA$179),"dd mmm yy"))&amp;" "&amp;Milestones!$AB$179&amp;" "&amp;Milestones!$AC$179&amp;";  ",""))</f>
        <v/>
      </c>
      <c r="Q95" s="0" t="str">
        <f aca="false">IF(OR($A95="",$D95=""),"",IF(AND(EDATE($D95,Milestones!$AA$180)&lt;=AsOfDate,IF($R95=0,$X95,IF(AND($T95&lt;&gt;"",EDATE($D95,Milestones!$AA$180)&gt;=$T95),$W95,IF(AND($S95&lt;&gt;"",EDATE($D95,Milestones!$AA$180)&gt;=$S95),$V95,$U95)))=Milestones!$AB$180),UPPER(TEXT(EDATE($D95,Milestones!$AA$180),"dd mmm yy"))&amp;" "&amp;Milestones!$AB$180&amp;" "&amp;Milestones!$AC$180&amp;";  ","")&amp;IF(AND(EDATE($D95,Milestones!$AA$181)&lt;=AsOfDate,IF($R95=0,$X95,IF(AND($T95&lt;&gt;"",EDATE($D95,Milestones!$AA$181)&gt;=$T95),$W95,IF(AND($S95&lt;&gt;"",EDATE($D95,Milestones!$AA$181)&gt;=$S95),$V95,$U95)))=Milestones!$AB$181),UPPER(TEXT(EDATE($D95,Milestones!$AA$181),"dd mmm yy"))&amp;" "&amp;Milestones!$AB$181&amp;" "&amp;Milestones!$AC$181&amp;";  ","")&amp;IF(AND(EDATE($D95,Milestones!$AA$182)&lt;=AsOfDate,IF($R95=0,$X95,IF(AND($T95&lt;&gt;"",EDATE($D95,Milestones!$AA$182)&gt;=$T95),$W95,IF(AND($S95&lt;&gt;"",EDATE($D95,Milestones!$AA$182)&gt;=$S95),$V95,$U95)))=Milestones!$AB$182),UPPER(TEXT(EDATE($D95,Milestones!$AA$182),"dd mmm yy"))&amp;" "&amp;Milestones!$AB$182&amp;" "&amp;Milestones!$AC$182&amp;";  ","")&amp;IF(AND(EDATE($D95,Milestones!$AA$183)&lt;=AsOfDate,IF($R95=0,$X95,IF(AND($T95&lt;&gt;"",EDATE($D95,Milestones!$AA$183)&gt;=$T95),$W95,IF(AND($S95&lt;&gt;"",EDATE($D95,Milestones!$AA$183)&gt;=$S95),$V95,$U95)))=Milestones!$AB$183),UPPER(TEXT(EDATE($D95,Milestones!$AA$183),"dd mmm yy"))&amp;" "&amp;Milestones!$AB$183&amp;" "&amp;Milestones!$AC$183&amp;";  ","")&amp;IF(AND(EDATE($D95,Milestones!$AA$184)&lt;=AsOfDate,IF($R95=0,$X95,IF(AND($T95&lt;&gt;"",EDATE($D95,Milestones!$AA$184)&gt;=$T95),$W95,IF(AND($S95&lt;&gt;"",EDATE($D95,Milestones!$AA$184)&gt;=$S95),$V95,$U95)))=Milestones!$AB$184),UPPER(TEXT(EDATE($D95,Milestones!$AA$184),"dd mmm yy"))&amp;" "&amp;Milestones!$AB$184&amp;" "&amp;Milestones!$AC$184&amp;";  ","")&amp;IF(AND(EDATE($D95,Milestones!$AA$185)&lt;=AsOfDate,IF($R95=0,$X95,IF(AND($T95&lt;&gt;"",EDATE($D95,Milestones!$AA$185)&gt;=$T95),$W95,IF(AND($S95&lt;&gt;"",EDATE($D95,Milestones!$AA$185)&gt;=$S95),$V95,$U95)))=Milestones!$AB$185),UPPER(TEXT(EDATE($D95,Milestones!$AA$185),"dd mmm yy"))&amp;" "&amp;Milestones!$AB$185&amp;" "&amp;Milestones!$AC$185&amp;";  ","")&amp;IF(AND(EDATE($D95,Milestones!$AA$186)&lt;=AsOfDate,IF($R95=0,$X95,IF(AND($T95&lt;&gt;"",EDATE($D95,Milestones!$AA$186)&gt;=$T95),$W95,IF(AND($S95&lt;&gt;"",EDATE($D95,Milestones!$AA$186)&gt;=$S95),$V95,$U95)))=Milestones!$AB$186),UPPER(TEXT(EDATE($D95,Milestones!$AA$186),"dd mmm yy"))&amp;" "&amp;Milestones!$AB$186&amp;" "&amp;Milestones!$AC$186&amp;";  ","")&amp;IF(AND(EDATE($D95,Milestones!$AA$187)&lt;=AsOfDate,IF($R95=0,$X95,IF(AND($T95&lt;&gt;"",EDATE($D95,Milestones!$AA$187)&gt;=$T95),$W95,IF(AND($S95&lt;&gt;"",EDATE($D95,Milestones!$AA$187)&gt;=$S95),$V95,$U95)))=Milestones!$AB$187),UPPER(TEXT(EDATE($D95,Milestones!$AA$187),"dd mmm yy"))&amp;" "&amp;Milestones!$AB$187&amp;" "&amp;Milestones!$AC$187&amp;";  ","")&amp;IF(AND(EDATE($D95,Milestones!$AA$188)&lt;=AsOfDate,IF($R95=0,$X95,IF(AND($T95&lt;&gt;"",EDATE($D95,Milestones!$AA$188)&gt;=$T95),$W95,IF(AND($S95&lt;&gt;"",EDATE($D95,Milestones!$AA$188)&gt;=$S95),$V95,$U95)))=Milestones!$AB$188),UPPER(TEXT(EDATE($D95,Milestones!$AA$188),"dd mmm yy"))&amp;" "&amp;Milestones!$AB$188&amp;" "&amp;Milestones!$AC$188&amp;";  ","")&amp;IF(AND(EDATE($D95,Milestones!$AA$189)&lt;=AsOfDate,IF($R95=0,$X95,IF(AND($T95&lt;&gt;"",EDATE($D95,Milestones!$AA$189)&gt;=$T95),$W95,IF(AND($S95&lt;&gt;"",EDATE($D95,Milestones!$AA$189)&gt;=$S95),$V95,$U95)))=Milestones!$AB$189),UPPER(TEXT(EDATE($D95,Milestones!$AA$189),"dd mmm yy"))&amp;" "&amp;Milestones!$AB$189&amp;" "&amp;Milestones!$AC$189&amp;";  ","")&amp;IF(AND(EDATE($D95,Milestones!$AA$190)&lt;=AsOfDate,IF($R95=0,$X95,IF(AND($T95&lt;&gt;"",EDATE($D95,Milestones!$AA$190)&gt;=$T95),$W95,IF(AND($S95&lt;&gt;"",EDATE($D95,Milestones!$AA$190)&gt;=$S95),$V95,$U95)))=Milestones!$AB$190),UPPER(TEXT(EDATE($D95,Milestones!$AA$190),"dd mmm yy"))&amp;" "&amp;Milestones!$AB$190&amp;" "&amp;Milestones!$AC$190&amp;";  ","")&amp;IF(AND(EDATE($D95,Milestones!$AA$191)&lt;=AsOfDate,IF($R95=0,$X95,IF(AND($T95&lt;&gt;"",EDATE($D95,Milestones!$AA$191)&gt;=$T95),$W95,IF(AND($S95&lt;&gt;"",EDATE($D95,Milestones!$AA$191)&gt;=$S95),$V95,$U95)))=Milestones!$AB$191),UPPER(TEXT(EDATE($D95,Milestones!$AA$191),"dd mmm yy"))&amp;" "&amp;Milestones!$AB$191&amp;" "&amp;Milestones!$AC$191&amp;";  ","")&amp;IF(AND(EDATE($D95,Milestones!$AA$192)&lt;=AsOfDate,IF($R95=0,$X95,IF(AND($T95&lt;&gt;"",EDATE($D95,Milestones!$AA$192)&gt;=$T95),$W95,IF(AND($S95&lt;&gt;"",EDATE($D95,Milestones!$AA$192)&gt;=$S95),$V95,$U95)))=Milestones!$AB$192),UPPER(TEXT(EDATE($D95,Milestones!$AA$192),"dd mmm yy"))&amp;" "&amp;Milestones!$AB$192&amp;" "&amp;Milestones!$AC$192&amp;";  ","")&amp;IF(AND(EDATE($D95,Milestones!$AA$193)&lt;=AsOfDate,IF($R95=0,$X95,IF(AND($T95&lt;&gt;"",EDATE($D95,Milestones!$AA$193)&gt;=$T95),$W95,IF(AND($S95&lt;&gt;"",EDATE($D95,Milestones!$AA$193)&gt;=$S95),$V95,$U95)))=Milestones!$AB$193),UPPER(TEXT(EDATE($D95,Milestones!$AA$193),"dd mmm yy"))&amp;" "&amp;Milestones!$AB$193&amp;" "&amp;Milestones!$AC$193&amp;";  ","")&amp;IF(AND(EDATE($D95,Milestones!$AA$194)&lt;=AsOfDate,IF($R95=0,$X95,IF(AND($T95&lt;&gt;"",EDATE($D95,Milestones!$AA$194)&gt;=$T95),$W95,IF(AND($S95&lt;&gt;"",EDATE($D95,Milestones!$AA$194)&gt;=$S95),$V95,$U95)))=Milestones!$AB$194),UPPER(TEXT(EDATE($D95,Milestones!$AA$194),"dd mmm yy"))&amp;" "&amp;Milestones!$AB$194&amp;" "&amp;Milestones!$AC$194&amp;";  ","")&amp;IF(AND(EDATE($D95,Milestones!$AA$195)&lt;=AsOfDate,IF($R95=0,$X95,IF(AND($T95&lt;&gt;"",EDATE($D95,Milestones!$AA$195)&gt;=$T95),$W95,IF(AND($S95&lt;&gt;"",EDATE($D95,Milestones!$AA$195)&gt;=$S95),$V95,$U95)))=Milestones!$AB$195),UPPER(TEXT(EDATE($D95,Milestones!$AA$195),"dd mmm yy"))&amp;" "&amp;Milestones!$AB$195&amp;" "&amp;Milestones!$AC$195&amp;";  ","")&amp;IF(AND(EDATE($D95,Milestones!$AA$196)&lt;=AsOfDate,IF($R95=0,$X95,IF(AND($T95&lt;&gt;"",EDATE($D95,Milestones!$AA$196)&gt;=$T95),$W95,IF(AND($S95&lt;&gt;"",EDATE($D95,Milestones!$AA$196)&gt;=$S95),$V95,$U95)))=Milestones!$AB$196),UPPER(TEXT(EDATE($D95,Milestones!$AA$196),"dd mmm yy"))&amp;" "&amp;Milestones!$AB$196&amp;" "&amp;Milestones!$AC$196&amp;";  ","")&amp;IF(AND(EDATE($D95,Milestones!$AA$197)&lt;=AsOfDate,IF($R95=0,$X95,IF(AND($T95&lt;&gt;"",EDATE($D95,Milestones!$AA$197)&gt;=$T95),$W95,IF(AND($S95&lt;&gt;"",EDATE($D95,Milestones!$AA$197)&gt;=$S95),$V95,$U95)))=Milestones!$AB$197),UPPER(TEXT(EDATE($D95,Milestones!$AA$197),"dd mmm yy"))&amp;" "&amp;Milestones!$AB$197&amp;" "&amp;Milestones!$AC$197&amp;";  ","")&amp;IF(AND(EDATE($D95,Milestones!$AA$198)&lt;=AsOfDate,IF($R95=0,$X95,IF(AND($T95&lt;&gt;"",EDATE($D95,Milestones!$AA$198)&gt;=$T95),$W95,IF(AND($S95&lt;&gt;"",EDATE($D95,Milestones!$AA$198)&gt;=$S95),$V95,$U95)))=Milestones!$AB$198),UPPER(TEXT(EDATE($D95,Milestones!$AA$198),"dd mmm yy"))&amp;" "&amp;Milestones!$AB$198&amp;" "&amp;Milestones!$AC$198&amp;";  ","")&amp;IF(AND(EDATE($D95,Milestones!$AA$199)&lt;=AsOfDate,IF($R95=0,$X95,IF(AND($T95&lt;&gt;"",EDATE($D95,Milestones!$AA$199)&gt;=$T95),$W95,IF(AND($S95&lt;&gt;"",EDATE($D95,Milestones!$AA$199)&gt;=$S95),$V95,$U95)))=Milestones!$AB$199),UPPER(TEXT(EDATE($D95,Milestones!$AA$199),"dd mmm yy"))&amp;" "&amp;Milestones!$AB$199&amp;" "&amp;Milestones!$AC$199&amp;";  ",""))</f>
        <v/>
      </c>
      <c r="R95" s="0" t="str">
        <f aca="false">IF(Staff!$A95="","",Staff!$AI95)</f>
        <v/>
      </c>
      <c r="S95" s="0" t="str">
        <f aca="false">IF(Staff!$A95="","",Staff!$AK95)</f>
        <v/>
      </c>
      <c r="T95" s="0" t="str">
        <f aca="false">IF(Staff!$A95="","",Staff!$AL95)</f>
        <v/>
      </c>
      <c r="U95" s="0" t="str">
        <f aca="false">IF(Staff!$A95="","",Staff!$AP95)</f>
        <v/>
      </c>
      <c r="V95" s="0" t="str">
        <f aca="false">IF(Staff!$A95="","",Staff!$AQ95)</f>
        <v/>
      </c>
      <c r="W95" s="0" t="str">
        <f aca="false">IF(Staff!$A95="","",Staff!$AR95)</f>
        <v/>
      </c>
      <c r="X95" s="0" t="str">
        <f aca="false">IF(Staff!$A95="","",Staff!$AS95)</f>
        <v/>
      </c>
    </row>
    <row r="96" customFormat="false" ht="15" hidden="false" customHeight="false" outlineLevel="0" collapsed="false">
      <c r="A96" s="19" t="str">
        <f aca="false">IF(Staff!$A96="","",Staff!$A96)</f>
        <v/>
      </c>
      <c r="B96" s="19" t="str">
        <f aca="false">IF(Staff!$A96="","",Staff!$B96)</f>
        <v/>
      </c>
      <c r="C96" s="19" t="str">
        <f aca="false">IF(Staff!$A96="","",Staff!$C96)</f>
        <v/>
      </c>
      <c r="D96" s="17" t="str">
        <f aca="false">IF(Staff!$A96="","",Staff!$AH96)</f>
        <v/>
      </c>
      <c r="E96" s="19" t="str">
        <f aca="false">IF(Staff!$A96="","",Staff!$O96)</f>
        <v/>
      </c>
      <c r="F96" s="19" t="str">
        <f aca="false">IF(E96="","",E96*HoursPerDay)</f>
        <v/>
      </c>
      <c r="G96" s="19" t="str">
        <f aca="false">IF(Staff!$A96="","",Staff!$AE96)</f>
        <v/>
      </c>
      <c r="H96" s="32" t="str">
        <f aca="false">IF($A96="","",I96&amp;J96&amp;K96&amp;L96&amp;M96&amp;N96&amp;O96&amp;P96&amp;Q96)</f>
        <v/>
      </c>
      <c r="I96" s="0" t="str">
        <f aca="false">IF(OR($A96="",$D96=""),"",IF(AND(EDATE($D96,Milestones!$AA$20)&lt;=AsOfDate,IF($R96=0,$X96,IF(AND($T96&lt;&gt;"",EDATE($D96,Milestones!$AA$20)&gt;=$T96),$W96,IF(AND($S96&lt;&gt;"",EDATE($D96,Milestones!$AA$20)&gt;=$S96),$V96,$U96)))=Milestones!$AB$20),UPPER(TEXT(EDATE($D96,Milestones!$AA$20),"dd mmm yy"))&amp;" "&amp;Milestones!$AB$20&amp;" "&amp;Milestones!$AC$20&amp;";  ","")&amp;IF(AND(EDATE($D96,Milestones!$AA$21)&lt;=AsOfDate,IF($R96=0,$X96,IF(AND($T96&lt;&gt;"",EDATE($D96,Milestones!$AA$21)&gt;=$T96),$W96,IF(AND($S96&lt;&gt;"",EDATE($D96,Milestones!$AA$21)&gt;=$S96),$V96,$U96)))=Milestones!$AB$21),UPPER(TEXT(EDATE($D96,Milestones!$AA$21),"dd mmm yy"))&amp;" "&amp;Milestones!$AB$21&amp;" "&amp;Milestones!$AC$21&amp;";  ","")&amp;IF(AND(EDATE($D96,Milestones!$AA$22)&lt;=AsOfDate,IF($R96=0,$X96,IF(AND($T96&lt;&gt;"",EDATE($D96,Milestones!$AA$22)&gt;=$T96),$W96,IF(AND($S96&lt;&gt;"",EDATE($D96,Milestones!$AA$22)&gt;=$S96),$V96,$U96)))=Milestones!$AB$22),UPPER(TEXT(EDATE($D96,Milestones!$AA$22),"dd mmm yy"))&amp;" "&amp;Milestones!$AB$22&amp;" "&amp;Milestones!$AC$22&amp;";  ","")&amp;IF(AND(EDATE($D96,Milestones!$AA$23)&lt;=AsOfDate,IF($R96=0,$X96,IF(AND($T96&lt;&gt;"",EDATE($D96,Milestones!$AA$23)&gt;=$T96),$W96,IF(AND($S96&lt;&gt;"",EDATE($D96,Milestones!$AA$23)&gt;=$S96),$V96,$U96)))=Milestones!$AB$23),UPPER(TEXT(EDATE($D96,Milestones!$AA$23),"dd mmm yy"))&amp;" "&amp;Milestones!$AB$23&amp;" "&amp;Milestones!$AC$23&amp;";  ","")&amp;IF(AND(EDATE($D96,Milestones!$AA$24)&lt;=AsOfDate,IF($R96=0,$X96,IF(AND($T96&lt;&gt;"",EDATE($D96,Milestones!$AA$24)&gt;=$T96),$W96,IF(AND($S96&lt;&gt;"",EDATE($D96,Milestones!$AA$24)&gt;=$S96),$V96,$U96)))=Milestones!$AB$24),UPPER(TEXT(EDATE($D96,Milestones!$AA$24),"dd mmm yy"))&amp;" "&amp;Milestones!$AB$24&amp;" "&amp;Milestones!$AC$24&amp;";  ","")&amp;IF(AND(EDATE($D96,Milestones!$AA$25)&lt;=AsOfDate,IF($R96=0,$X96,IF(AND($T96&lt;&gt;"",EDATE($D96,Milestones!$AA$25)&gt;=$T96),$W96,IF(AND($S96&lt;&gt;"",EDATE($D96,Milestones!$AA$25)&gt;=$S96),$V96,$U96)))=Milestones!$AB$25),UPPER(TEXT(EDATE($D96,Milestones!$AA$25),"dd mmm yy"))&amp;" "&amp;Milestones!$AB$25&amp;" "&amp;Milestones!$AC$25&amp;";  ","")&amp;IF(AND(EDATE($D96,Milestones!$AA$26)&lt;=AsOfDate,IF($R96=0,$X96,IF(AND($T96&lt;&gt;"",EDATE($D96,Milestones!$AA$26)&gt;=$T96),$W96,IF(AND($S96&lt;&gt;"",EDATE($D96,Milestones!$AA$26)&gt;=$S96),$V96,$U96)))=Milestones!$AB$26),UPPER(TEXT(EDATE($D96,Milestones!$AA$26),"dd mmm yy"))&amp;" "&amp;Milestones!$AB$26&amp;" "&amp;Milestones!$AC$26&amp;";  ","")&amp;IF(AND(EDATE($D96,Milestones!$AA$27)&lt;=AsOfDate,IF($R96=0,$X96,IF(AND($T96&lt;&gt;"",EDATE($D96,Milestones!$AA$27)&gt;=$T96),$W96,IF(AND($S96&lt;&gt;"",EDATE($D96,Milestones!$AA$27)&gt;=$S96),$V96,$U96)))=Milestones!$AB$27),UPPER(TEXT(EDATE($D96,Milestones!$AA$27),"dd mmm yy"))&amp;" "&amp;Milestones!$AB$27&amp;" "&amp;Milestones!$AC$27&amp;";  ","")&amp;IF(AND(EDATE($D96,Milestones!$AA$28)&lt;=AsOfDate,IF($R96=0,$X96,IF(AND($T96&lt;&gt;"",EDATE($D96,Milestones!$AA$28)&gt;=$T96),$W96,IF(AND($S96&lt;&gt;"",EDATE($D96,Milestones!$AA$28)&gt;=$S96),$V96,$U96)))=Milestones!$AB$28),UPPER(TEXT(EDATE($D96,Milestones!$AA$28),"dd mmm yy"))&amp;" "&amp;Milestones!$AB$28&amp;" "&amp;Milestones!$AC$28&amp;";  ","")&amp;IF(AND(EDATE($D96,Milestones!$AA$29)&lt;=AsOfDate,IF($R96=0,$X96,IF(AND($T96&lt;&gt;"",EDATE($D96,Milestones!$AA$29)&gt;=$T96),$W96,IF(AND($S96&lt;&gt;"",EDATE($D96,Milestones!$AA$29)&gt;=$S96),$V96,$U96)))=Milestones!$AB$29),UPPER(TEXT(EDATE($D96,Milestones!$AA$29),"dd mmm yy"))&amp;" "&amp;Milestones!$AB$29&amp;" "&amp;Milestones!$AC$29&amp;";  ","")&amp;IF(AND(EDATE($D96,Milestones!$AA$30)&lt;=AsOfDate,IF($R96=0,$X96,IF(AND($T96&lt;&gt;"",EDATE($D96,Milestones!$AA$30)&gt;=$T96),$W96,IF(AND($S96&lt;&gt;"",EDATE($D96,Milestones!$AA$30)&gt;=$S96),$V96,$U96)))=Milestones!$AB$30),UPPER(TEXT(EDATE($D96,Milestones!$AA$30),"dd mmm yy"))&amp;" "&amp;Milestones!$AB$30&amp;" "&amp;Milestones!$AC$30&amp;";  ","")&amp;IF(AND(EDATE($D96,Milestones!$AA$31)&lt;=AsOfDate,IF($R96=0,$X96,IF(AND($T96&lt;&gt;"",EDATE($D96,Milestones!$AA$31)&gt;=$T96),$W96,IF(AND($S96&lt;&gt;"",EDATE($D96,Milestones!$AA$31)&gt;=$S96),$V96,$U96)))=Milestones!$AB$31),UPPER(TEXT(EDATE($D96,Milestones!$AA$31),"dd mmm yy"))&amp;" "&amp;Milestones!$AB$31&amp;" "&amp;Milestones!$AC$31&amp;";  ","")&amp;IF(AND(EDATE($D96,Milestones!$AA$32)&lt;=AsOfDate,IF($R96=0,$X96,IF(AND($T96&lt;&gt;"",EDATE($D96,Milestones!$AA$32)&gt;=$T96),$W96,IF(AND($S96&lt;&gt;"",EDATE($D96,Milestones!$AA$32)&gt;=$S96),$V96,$U96)))=Milestones!$AB$32),UPPER(TEXT(EDATE($D96,Milestones!$AA$32),"dd mmm yy"))&amp;" "&amp;Milestones!$AB$32&amp;" "&amp;Milestones!$AC$32&amp;";  ","")&amp;IF(AND(EDATE($D96,Milestones!$AA$33)&lt;=AsOfDate,IF($R96=0,$X96,IF(AND($T96&lt;&gt;"",EDATE($D96,Milestones!$AA$33)&gt;=$T96),$W96,IF(AND($S96&lt;&gt;"",EDATE($D96,Milestones!$AA$33)&gt;=$S96),$V96,$U96)))=Milestones!$AB$33),UPPER(TEXT(EDATE($D96,Milestones!$AA$33),"dd mmm yy"))&amp;" "&amp;Milestones!$AB$33&amp;" "&amp;Milestones!$AC$33&amp;";  ","")&amp;IF(AND(EDATE($D96,Milestones!$AA$34)&lt;=AsOfDate,IF($R96=0,$X96,IF(AND($T96&lt;&gt;"",EDATE($D96,Milestones!$AA$34)&gt;=$T96),$W96,IF(AND($S96&lt;&gt;"",EDATE($D96,Milestones!$AA$34)&gt;=$S96),$V96,$U96)))=Milestones!$AB$34),UPPER(TEXT(EDATE($D96,Milestones!$AA$34),"dd mmm yy"))&amp;" "&amp;Milestones!$AB$34&amp;" "&amp;Milestones!$AC$34&amp;";  ","")&amp;IF(AND(EDATE($D96,Milestones!$AA$35)&lt;=AsOfDate,IF($R96=0,$X96,IF(AND($T96&lt;&gt;"",EDATE($D96,Milestones!$AA$35)&gt;=$T96),$W96,IF(AND($S96&lt;&gt;"",EDATE($D96,Milestones!$AA$35)&gt;=$S96),$V96,$U96)))=Milestones!$AB$35),UPPER(TEXT(EDATE($D96,Milestones!$AA$35),"dd mmm yy"))&amp;" "&amp;Milestones!$AB$35&amp;" "&amp;Milestones!$AC$35&amp;";  ","")&amp;IF(AND(EDATE($D96,Milestones!$AA$36)&lt;=AsOfDate,IF($R96=0,$X96,IF(AND($T96&lt;&gt;"",EDATE($D96,Milestones!$AA$36)&gt;=$T96),$W96,IF(AND($S96&lt;&gt;"",EDATE($D96,Milestones!$AA$36)&gt;=$S96),$V96,$U96)))=Milestones!$AB$36),UPPER(TEXT(EDATE($D96,Milestones!$AA$36),"dd mmm yy"))&amp;" "&amp;Milestones!$AB$36&amp;" "&amp;Milestones!$AC$36&amp;";  ","")&amp;IF(AND(EDATE($D96,Milestones!$AA$37)&lt;=AsOfDate,IF($R96=0,$X96,IF(AND($T96&lt;&gt;"",EDATE($D96,Milestones!$AA$37)&gt;=$T96),$W96,IF(AND($S96&lt;&gt;"",EDATE($D96,Milestones!$AA$37)&gt;=$S96),$V96,$U96)))=Milestones!$AB$37),UPPER(TEXT(EDATE($D96,Milestones!$AA$37),"dd mmm yy"))&amp;" "&amp;Milestones!$AB$37&amp;" "&amp;Milestones!$AC$37&amp;";  ","")&amp;IF(AND(EDATE($D96,Milestones!$AA$38)&lt;=AsOfDate,IF($R96=0,$X96,IF(AND($T96&lt;&gt;"",EDATE($D96,Milestones!$AA$38)&gt;=$T96),$W96,IF(AND($S96&lt;&gt;"",EDATE($D96,Milestones!$AA$38)&gt;=$S96),$V96,$U96)))=Milestones!$AB$38),UPPER(TEXT(EDATE($D96,Milestones!$AA$38),"dd mmm yy"))&amp;" "&amp;Milestones!$AB$38&amp;" "&amp;Milestones!$AC$38&amp;";  ","")&amp;IF(AND(EDATE($D96,Milestones!$AA$39)&lt;=AsOfDate,IF($R96=0,$X96,IF(AND($T96&lt;&gt;"",EDATE($D96,Milestones!$AA$39)&gt;=$T96),$W96,IF(AND($S96&lt;&gt;"",EDATE($D96,Milestones!$AA$39)&gt;=$S96),$V96,$U96)))=Milestones!$AB$39),UPPER(TEXT(EDATE($D96,Milestones!$AA$39),"dd mmm yy"))&amp;" "&amp;Milestones!$AB$39&amp;" "&amp;Milestones!$AC$39&amp;";  ",""))</f>
        <v/>
      </c>
      <c r="J96" s="0" t="str">
        <f aca="false">IF(OR($A96="",$D96=""),"",IF(AND(EDATE($D96,Milestones!$AA$40)&lt;=AsOfDate,IF($R96=0,$X96,IF(AND($T96&lt;&gt;"",EDATE($D96,Milestones!$AA$40)&gt;=$T96),$W96,IF(AND($S96&lt;&gt;"",EDATE($D96,Milestones!$AA$40)&gt;=$S96),$V96,$U96)))=Milestones!$AB$40),UPPER(TEXT(EDATE($D96,Milestones!$AA$40),"dd mmm yy"))&amp;" "&amp;Milestones!$AB$40&amp;" "&amp;Milestones!$AC$40&amp;";  ","")&amp;IF(AND(EDATE($D96,Milestones!$AA$41)&lt;=AsOfDate,IF($R96=0,$X96,IF(AND($T96&lt;&gt;"",EDATE($D96,Milestones!$AA$41)&gt;=$T96),$W96,IF(AND($S96&lt;&gt;"",EDATE($D96,Milestones!$AA$41)&gt;=$S96),$V96,$U96)))=Milestones!$AB$41),UPPER(TEXT(EDATE($D96,Milestones!$AA$41),"dd mmm yy"))&amp;" "&amp;Milestones!$AB$41&amp;" "&amp;Milestones!$AC$41&amp;";  ","")&amp;IF(AND(EDATE($D96,Milestones!$AA$42)&lt;=AsOfDate,IF($R96=0,$X96,IF(AND($T96&lt;&gt;"",EDATE($D96,Milestones!$AA$42)&gt;=$T96),$W96,IF(AND($S96&lt;&gt;"",EDATE($D96,Milestones!$AA$42)&gt;=$S96),$V96,$U96)))=Milestones!$AB$42),UPPER(TEXT(EDATE($D96,Milestones!$AA$42),"dd mmm yy"))&amp;" "&amp;Milestones!$AB$42&amp;" "&amp;Milestones!$AC$42&amp;";  ","")&amp;IF(AND(EDATE($D96,Milestones!$AA$43)&lt;=AsOfDate,IF($R96=0,$X96,IF(AND($T96&lt;&gt;"",EDATE($D96,Milestones!$AA$43)&gt;=$T96),$W96,IF(AND($S96&lt;&gt;"",EDATE($D96,Milestones!$AA$43)&gt;=$S96),$V96,$U96)))=Milestones!$AB$43),UPPER(TEXT(EDATE($D96,Milestones!$AA$43),"dd mmm yy"))&amp;" "&amp;Milestones!$AB$43&amp;" "&amp;Milestones!$AC$43&amp;";  ","")&amp;IF(AND(EDATE($D96,Milestones!$AA$44)&lt;=AsOfDate,IF($R96=0,$X96,IF(AND($T96&lt;&gt;"",EDATE($D96,Milestones!$AA$44)&gt;=$T96),$W96,IF(AND($S96&lt;&gt;"",EDATE($D96,Milestones!$AA$44)&gt;=$S96),$V96,$U96)))=Milestones!$AB$44),UPPER(TEXT(EDATE($D96,Milestones!$AA$44),"dd mmm yy"))&amp;" "&amp;Milestones!$AB$44&amp;" "&amp;Milestones!$AC$44&amp;";  ","")&amp;IF(AND(EDATE($D96,Milestones!$AA$45)&lt;=AsOfDate,IF($R96=0,$X96,IF(AND($T96&lt;&gt;"",EDATE($D96,Milestones!$AA$45)&gt;=$T96),$W96,IF(AND($S96&lt;&gt;"",EDATE($D96,Milestones!$AA$45)&gt;=$S96),$V96,$U96)))=Milestones!$AB$45),UPPER(TEXT(EDATE($D96,Milestones!$AA$45),"dd mmm yy"))&amp;" "&amp;Milestones!$AB$45&amp;" "&amp;Milestones!$AC$45&amp;";  ","")&amp;IF(AND(EDATE($D96,Milestones!$AA$46)&lt;=AsOfDate,IF($R96=0,$X96,IF(AND($T96&lt;&gt;"",EDATE($D96,Milestones!$AA$46)&gt;=$T96),$W96,IF(AND($S96&lt;&gt;"",EDATE($D96,Milestones!$AA$46)&gt;=$S96),$V96,$U96)))=Milestones!$AB$46),UPPER(TEXT(EDATE($D96,Milestones!$AA$46),"dd mmm yy"))&amp;" "&amp;Milestones!$AB$46&amp;" "&amp;Milestones!$AC$46&amp;";  ","")&amp;IF(AND(EDATE($D96,Milestones!$AA$47)&lt;=AsOfDate,IF($R96=0,$X96,IF(AND($T96&lt;&gt;"",EDATE($D96,Milestones!$AA$47)&gt;=$T96),$W96,IF(AND($S96&lt;&gt;"",EDATE($D96,Milestones!$AA$47)&gt;=$S96),$V96,$U96)))=Milestones!$AB$47),UPPER(TEXT(EDATE($D96,Milestones!$AA$47),"dd mmm yy"))&amp;" "&amp;Milestones!$AB$47&amp;" "&amp;Milestones!$AC$47&amp;";  ","")&amp;IF(AND(EDATE($D96,Milestones!$AA$48)&lt;=AsOfDate,IF($R96=0,$X96,IF(AND($T96&lt;&gt;"",EDATE($D96,Milestones!$AA$48)&gt;=$T96),$W96,IF(AND($S96&lt;&gt;"",EDATE($D96,Milestones!$AA$48)&gt;=$S96),$V96,$U96)))=Milestones!$AB$48),UPPER(TEXT(EDATE($D96,Milestones!$AA$48),"dd mmm yy"))&amp;" "&amp;Milestones!$AB$48&amp;" "&amp;Milestones!$AC$48&amp;";  ","")&amp;IF(AND(EDATE($D96,Milestones!$AA$49)&lt;=AsOfDate,IF($R96=0,$X96,IF(AND($T96&lt;&gt;"",EDATE($D96,Milestones!$AA$49)&gt;=$T96),$W96,IF(AND($S96&lt;&gt;"",EDATE($D96,Milestones!$AA$49)&gt;=$S96),$V96,$U96)))=Milestones!$AB$49),UPPER(TEXT(EDATE($D96,Milestones!$AA$49),"dd mmm yy"))&amp;" "&amp;Milestones!$AB$49&amp;" "&amp;Milestones!$AC$49&amp;";  ","")&amp;IF(AND(EDATE($D96,Milestones!$AA$50)&lt;=AsOfDate,IF($R96=0,$X96,IF(AND($T96&lt;&gt;"",EDATE($D96,Milestones!$AA$50)&gt;=$T96),$W96,IF(AND($S96&lt;&gt;"",EDATE($D96,Milestones!$AA$50)&gt;=$S96),$V96,$U96)))=Milestones!$AB$50),UPPER(TEXT(EDATE($D96,Milestones!$AA$50),"dd mmm yy"))&amp;" "&amp;Milestones!$AB$50&amp;" "&amp;Milestones!$AC$50&amp;";  ","")&amp;IF(AND(EDATE($D96,Milestones!$AA$51)&lt;=AsOfDate,IF($R96=0,$X96,IF(AND($T96&lt;&gt;"",EDATE($D96,Milestones!$AA$51)&gt;=$T96),$W96,IF(AND($S96&lt;&gt;"",EDATE($D96,Milestones!$AA$51)&gt;=$S96),$V96,$U96)))=Milestones!$AB$51),UPPER(TEXT(EDATE($D96,Milestones!$AA$51),"dd mmm yy"))&amp;" "&amp;Milestones!$AB$51&amp;" "&amp;Milestones!$AC$51&amp;";  ","")&amp;IF(AND(EDATE($D96,Milestones!$AA$52)&lt;=AsOfDate,IF($R96=0,$X96,IF(AND($T96&lt;&gt;"",EDATE($D96,Milestones!$AA$52)&gt;=$T96),$W96,IF(AND($S96&lt;&gt;"",EDATE($D96,Milestones!$AA$52)&gt;=$S96),$V96,$U96)))=Milestones!$AB$52),UPPER(TEXT(EDATE($D96,Milestones!$AA$52),"dd mmm yy"))&amp;" "&amp;Milestones!$AB$52&amp;" "&amp;Milestones!$AC$52&amp;";  ","")&amp;IF(AND(EDATE($D96,Milestones!$AA$53)&lt;=AsOfDate,IF($R96=0,$X96,IF(AND($T96&lt;&gt;"",EDATE($D96,Milestones!$AA$53)&gt;=$T96),$W96,IF(AND($S96&lt;&gt;"",EDATE($D96,Milestones!$AA$53)&gt;=$S96),$V96,$U96)))=Milestones!$AB$53),UPPER(TEXT(EDATE($D96,Milestones!$AA$53),"dd mmm yy"))&amp;" "&amp;Milestones!$AB$53&amp;" "&amp;Milestones!$AC$53&amp;";  ","")&amp;IF(AND(EDATE($D96,Milestones!$AA$54)&lt;=AsOfDate,IF($R96=0,$X96,IF(AND($T96&lt;&gt;"",EDATE($D96,Milestones!$AA$54)&gt;=$T96),$W96,IF(AND($S96&lt;&gt;"",EDATE($D96,Milestones!$AA$54)&gt;=$S96),$V96,$U96)))=Milestones!$AB$54),UPPER(TEXT(EDATE($D96,Milestones!$AA$54),"dd mmm yy"))&amp;" "&amp;Milestones!$AB$54&amp;" "&amp;Milestones!$AC$54&amp;";  ","")&amp;IF(AND(EDATE($D96,Milestones!$AA$55)&lt;=AsOfDate,IF($R96=0,$X96,IF(AND($T96&lt;&gt;"",EDATE($D96,Milestones!$AA$55)&gt;=$T96),$W96,IF(AND($S96&lt;&gt;"",EDATE($D96,Milestones!$AA$55)&gt;=$S96),$V96,$U96)))=Milestones!$AB$55),UPPER(TEXT(EDATE($D96,Milestones!$AA$55),"dd mmm yy"))&amp;" "&amp;Milestones!$AB$55&amp;" "&amp;Milestones!$AC$55&amp;";  ","")&amp;IF(AND(EDATE($D96,Milestones!$AA$56)&lt;=AsOfDate,IF($R96=0,$X96,IF(AND($T96&lt;&gt;"",EDATE($D96,Milestones!$AA$56)&gt;=$T96),$W96,IF(AND($S96&lt;&gt;"",EDATE($D96,Milestones!$AA$56)&gt;=$S96),$V96,$U96)))=Milestones!$AB$56),UPPER(TEXT(EDATE($D96,Milestones!$AA$56),"dd mmm yy"))&amp;" "&amp;Milestones!$AB$56&amp;" "&amp;Milestones!$AC$56&amp;";  ","")&amp;IF(AND(EDATE($D96,Milestones!$AA$57)&lt;=AsOfDate,IF($R96=0,$X96,IF(AND($T96&lt;&gt;"",EDATE($D96,Milestones!$AA$57)&gt;=$T96),$W96,IF(AND($S96&lt;&gt;"",EDATE($D96,Milestones!$AA$57)&gt;=$S96),$V96,$U96)))=Milestones!$AB$57),UPPER(TEXT(EDATE($D96,Milestones!$AA$57),"dd mmm yy"))&amp;" "&amp;Milestones!$AB$57&amp;" "&amp;Milestones!$AC$57&amp;";  ","")&amp;IF(AND(EDATE($D96,Milestones!$AA$58)&lt;=AsOfDate,IF($R96=0,$X96,IF(AND($T96&lt;&gt;"",EDATE($D96,Milestones!$AA$58)&gt;=$T96),$W96,IF(AND($S96&lt;&gt;"",EDATE($D96,Milestones!$AA$58)&gt;=$S96),$V96,$U96)))=Milestones!$AB$58),UPPER(TEXT(EDATE($D96,Milestones!$AA$58),"dd mmm yy"))&amp;" "&amp;Milestones!$AB$58&amp;" "&amp;Milestones!$AC$58&amp;";  ","")&amp;IF(AND(EDATE($D96,Milestones!$AA$59)&lt;=AsOfDate,IF($R96=0,$X96,IF(AND($T96&lt;&gt;"",EDATE($D96,Milestones!$AA$59)&gt;=$T96),$W96,IF(AND($S96&lt;&gt;"",EDATE($D96,Milestones!$AA$59)&gt;=$S96),$V96,$U96)))=Milestones!$AB$59),UPPER(TEXT(EDATE($D96,Milestones!$AA$59),"dd mmm yy"))&amp;" "&amp;Milestones!$AB$59&amp;" "&amp;Milestones!$AC$59&amp;";  ",""))</f>
        <v/>
      </c>
      <c r="K96" s="0" t="str">
        <f aca="false">IF(OR($A96="",$D96=""),"",IF(AND(EDATE($D96,Milestones!$AA$60)&lt;=AsOfDate,IF($R96=0,$X96,IF(AND($T96&lt;&gt;"",EDATE($D96,Milestones!$AA$60)&gt;=$T96),$W96,IF(AND($S96&lt;&gt;"",EDATE($D96,Milestones!$AA$60)&gt;=$S96),$V96,$U96)))=Milestones!$AB$60),UPPER(TEXT(EDATE($D96,Milestones!$AA$60),"dd mmm yy"))&amp;" "&amp;Milestones!$AB$60&amp;" "&amp;Milestones!$AC$60&amp;";  ","")&amp;IF(AND(EDATE($D96,Milestones!$AA$61)&lt;=AsOfDate,IF($R96=0,$X96,IF(AND($T96&lt;&gt;"",EDATE($D96,Milestones!$AA$61)&gt;=$T96),$W96,IF(AND($S96&lt;&gt;"",EDATE($D96,Milestones!$AA$61)&gt;=$S96),$V96,$U96)))=Milestones!$AB$61),UPPER(TEXT(EDATE($D96,Milestones!$AA$61),"dd mmm yy"))&amp;" "&amp;Milestones!$AB$61&amp;" "&amp;Milestones!$AC$61&amp;";  ","")&amp;IF(AND(EDATE($D96,Milestones!$AA$62)&lt;=AsOfDate,IF($R96=0,$X96,IF(AND($T96&lt;&gt;"",EDATE($D96,Milestones!$AA$62)&gt;=$T96),$W96,IF(AND($S96&lt;&gt;"",EDATE($D96,Milestones!$AA$62)&gt;=$S96),$V96,$U96)))=Milestones!$AB$62),UPPER(TEXT(EDATE($D96,Milestones!$AA$62),"dd mmm yy"))&amp;" "&amp;Milestones!$AB$62&amp;" "&amp;Milestones!$AC$62&amp;";  ","")&amp;IF(AND(EDATE($D96,Milestones!$AA$63)&lt;=AsOfDate,IF($R96=0,$X96,IF(AND($T96&lt;&gt;"",EDATE($D96,Milestones!$AA$63)&gt;=$T96),$W96,IF(AND($S96&lt;&gt;"",EDATE($D96,Milestones!$AA$63)&gt;=$S96),$V96,$U96)))=Milestones!$AB$63),UPPER(TEXT(EDATE($D96,Milestones!$AA$63),"dd mmm yy"))&amp;" "&amp;Milestones!$AB$63&amp;" "&amp;Milestones!$AC$63&amp;";  ","")&amp;IF(AND(EDATE($D96,Milestones!$AA$64)&lt;=AsOfDate,IF($R96=0,$X96,IF(AND($T96&lt;&gt;"",EDATE($D96,Milestones!$AA$64)&gt;=$T96),$W96,IF(AND($S96&lt;&gt;"",EDATE($D96,Milestones!$AA$64)&gt;=$S96),$V96,$U96)))=Milestones!$AB$64),UPPER(TEXT(EDATE($D96,Milestones!$AA$64),"dd mmm yy"))&amp;" "&amp;Milestones!$AB$64&amp;" "&amp;Milestones!$AC$64&amp;";  ","")&amp;IF(AND(EDATE($D96,Milestones!$AA$65)&lt;=AsOfDate,IF($R96=0,$X96,IF(AND($T96&lt;&gt;"",EDATE($D96,Milestones!$AA$65)&gt;=$T96),$W96,IF(AND($S96&lt;&gt;"",EDATE($D96,Milestones!$AA$65)&gt;=$S96),$V96,$U96)))=Milestones!$AB$65),UPPER(TEXT(EDATE($D96,Milestones!$AA$65),"dd mmm yy"))&amp;" "&amp;Milestones!$AB$65&amp;" "&amp;Milestones!$AC$65&amp;";  ","")&amp;IF(AND(EDATE($D96,Milestones!$AA$66)&lt;=AsOfDate,IF($R96=0,$X96,IF(AND($T96&lt;&gt;"",EDATE($D96,Milestones!$AA$66)&gt;=$T96),$W96,IF(AND($S96&lt;&gt;"",EDATE($D96,Milestones!$AA$66)&gt;=$S96),$V96,$U96)))=Milestones!$AB$66),UPPER(TEXT(EDATE($D96,Milestones!$AA$66),"dd mmm yy"))&amp;" "&amp;Milestones!$AB$66&amp;" "&amp;Milestones!$AC$66&amp;";  ","")&amp;IF(AND(EDATE($D96,Milestones!$AA$67)&lt;=AsOfDate,IF($R96=0,$X96,IF(AND($T96&lt;&gt;"",EDATE($D96,Milestones!$AA$67)&gt;=$T96),$W96,IF(AND($S96&lt;&gt;"",EDATE($D96,Milestones!$AA$67)&gt;=$S96),$V96,$U96)))=Milestones!$AB$67),UPPER(TEXT(EDATE($D96,Milestones!$AA$67),"dd mmm yy"))&amp;" "&amp;Milestones!$AB$67&amp;" "&amp;Milestones!$AC$67&amp;";  ","")&amp;IF(AND(EDATE($D96,Milestones!$AA$68)&lt;=AsOfDate,IF($R96=0,$X96,IF(AND($T96&lt;&gt;"",EDATE($D96,Milestones!$AA$68)&gt;=$T96),$W96,IF(AND($S96&lt;&gt;"",EDATE($D96,Milestones!$AA$68)&gt;=$S96),$V96,$U96)))=Milestones!$AB$68),UPPER(TEXT(EDATE($D96,Milestones!$AA$68),"dd mmm yy"))&amp;" "&amp;Milestones!$AB$68&amp;" "&amp;Milestones!$AC$68&amp;";  ","")&amp;IF(AND(EDATE($D96,Milestones!$AA$69)&lt;=AsOfDate,IF($R96=0,$X96,IF(AND($T96&lt;&gt;"",EDATE($D96,Milestones!$AA$69)&gt;=$T96),$W96,IF(AND($S96&lt;&gt;"",EDATE($D96,Milestones!$AA$69)&gt;=$S96),$V96,$U96)))=Milestones!$AB$69),UPPER(TEXT(EDATE($D96,Milestones!$AA$69),"dd mmm yy"))&amp;" "&amp;Milestones!$AB$69&amp;" "&amp;Milestones!$AC$69&amp;";  ","")&amp;IF(AND(EDATE($D96,Milestones!$AA$70)&lt;=AsOfDate,IF($R96=0,$X96,IF(AND($T96&lt;&gt;"",EDATE($D96,Milestones!$AA$70)&gt;=$T96),$W96,IF(AND($S96&lt;&gt;"",EDATE($D96,Milestones!$AA$70)&gt;=$S96),$V96,$U96)))=Milestones!$AB$70),UPPER(TEXT(EDATE($D96,Milestones!$AA$70),"dd mmm yy"))&amp;" "&amp;Milestones!$AB$70&amp;" "&amp;Milestones!$AC$70&amp;";  ","")&amp;IF(AND(EDATE($D96,Milestones!$AA$71)&lt;=AsOfDate,IF($R96=0,$X96,IF(AND($T96&lt;&gt;"",EDATE($D96,Milestones!$AA$71)&gt;=$T96),$W96,IF(AND($S96&lt;&gt;"",EDATE($D96,Milestones!$AA$71)&gt;=$S96),$V96,$U96)))=Milestones!$AB$71),UPPER(TEXT(EDATE($D96,Milestones!$AA$71),"dd mmm yy"))&amp;" "&amp;Milestones!$AB$71&amp;" "&amp;Milestones!$AC$71&amp;";  ","")&amp;IF(AND(EDATE($D96,Milestones!$AA$72)&lt;=AsOfDate,IF($R96=0,$X96,IF(AND($T96&lt;&gt;"",EDATE($D96,Milestones!$AA$72)&gt;=$T96),$W96,IF(AND($S96&lt;&gt;"",EDATE($D96,Milestones!$AA$72)&gt;=$S96),$V96,$U96)))=Milestones!$AB$72),UPPER(TEXT(EDATE($D96,Milestones!$AA$72),"dd mmm yy"))&amp;" "&amp;Milestones!$AB$72&amp;" "&amp;Milestones!$AC$72&amp;";  ","")&amp;IF(AND(EDATE($D96,Milestones!$AA$73)&lt;=AsOfDate,IF($R96=0,$X96,IF(AND($T96&lt;&gt;"",EDATE($D96,Milestones!$AA$73)&gt;=$T96),$W96,IF(AND($S96&lt;&gt;"",EDATE($D96,Milestones!$AA$73)&gt;=$S96),$V96,$U96)))=Milestones!$AB$73),UPPER(TEXT(EDATE($D96,Milestones!$AA$73),"dd mmm yy"))&amp;" "&amp;Milestones!$AB$73&amp;" "&amp;Milestones!$AC$73&amp;";  ","")&amp;IF(AND(EDATE($D96,Milestones!$AA$74)&lt;=AsOfDate,IF($R96=0,$X96,IF(AND($T96&lt;&gt;"",EDATE($D96,Milestones!$AA$74)&gt;=$T96),$W96,IF(AND($S96&lt;&gt;"",EDATE($D96,Milestones!$AA$74)&gt;=$S96),$V96,$U96)))=Milestones!$AB$74),UPPER(TEXT(EDATE($D96,Milestones!$AA$74),"dd mmm yy"))&amp;" "&amp;Milestones!$AB$74&amp;" "&amp;Milestones!$AC$74&amp;";  ","")&amp;IF(AND(EDATE($D96,Milestones!$AA$75)&lt;=AsOfDate,IF($R96=0,$X96,IF(AND($T96&lt;&gt;"",EDATE($D96,Milestones!$AA$75)&gt;=$T96),$W96,IF(AND($S96&lt;&gt;"",EDATE($D96,Milestones!$AA$75)&gt;=$S96),$V96,$U96)))=Milestones!$AB$75),UPPER(TEXT(EDATE($D96,Milestones!$AA$75),"dd mmm yy"))&amp;" "&amp;Milestones!$AB$75&amp;" "&amp;Milestones!$AC$75&amp;";  ","")&amp;IF(AND(EDATE($D96,Milestones!$AA$76)&lt;=AsOfDate,IF($R96=0,$X96,IF(AND($T96&lt;&gt;"",EDATE($D96,Milestones!$AA$76)&gt;=$T96),$W96,IF(AND($S96&lt;&gt;"",EDATE($D96,Milestones!$AA$76)&gt;=$S96),$V96,$U96)))=Milestones!$AB$76),UPPER(TEXT(EDATE($D96,Milestones!$AA$76),"dd mmm yy"))&amp;" "&amp;Milestones!$AB$76&amp;" "&amp;Milestones!$AC$76&amp;";  ","")&amp;IF(AND(EDATE($D96,Milestones!$AA$77)&lt;=AsOfDate,IF($R96=0,$X96,IF(AND($T96&lt;&gt;"",EDATE($D96,Milestones!$AA$77)&gt;=$T96),$W96,IF(AND($S96&lt;&gt;"",EDATE($D96,Milestones!$AA$77)&gt;=$S96),$V96,$U96)))=Milestones!$AB$77),UPPER(TEXT(EDATE($D96,Milestones!$AA$77),"dd mmm yy"))&amp;" "&amp;Milestones!$AB$77&amp;" "&amp;Milestones!$AC$77&amp;";  ","")&amp;IF(AND(EDATE($D96,Milestones!$AA$78)&lt;=AsOfDate,IF($R96=0,$X96,IF(AND($T96&lt;&gt;"",EDATE($D96,Milestones!$AA$78)&gt;=$T96),$W96,IF(AND($S96&lt;&gt;"",EDATE($D96,Milestones!$AA$78)&gt;=$S96),$V96,$U96)))=Milestones!$AB$78),UPPER(TEXT(EDATE($D96,Milestones!$AA$78),"dd mmm yy"))&amp;" "&amp;Milestones!$AB$78&amp;" "&amp;Milestones!$AC$78&amp;";  ","")&amp;IF(AND(EDATE($D96,Milestones!$AA$79)&lt;=AsOfDate,IF($R96=0,$X96,IF(AND($T96&lt;&gt;"",EDATE($D96,Milestones!$AA$79)&gt;=$T96),$W96,IF(AND($S96&lt;&gt;"",EDATE($D96,Milestones!$AA$79)&gt;=$S96),$V96,$U96)))=Milestones!$AB$79),UPPER(TEXT(EDATE($D96,Milestones!$AA$79),"dd mmm yy"))&amp;" "&amp;Milestones!$AB$79&amp;" "&amp;Milestones!$AC$79&amp;";  ",""))</f>
        <v/>
      </c>
      <c r="L96" s="0" t="str">
        <f aca="false">IF(OR($A96="",$D96=""),"",IF(AND(EDATE($D96,Milestones!$AA$80)&lt;=AsOfDate,IF($R96=0,$X96,IF(AND($T96&lt;&gt;"",EDATE($D96,Milestones!$AA$80)&gt;=$T96),$W96,IF(AND($S96&lt;&gt;"",EDATE($D96,Milestones!$AA$80)&gt;=$S96),$V96,$U96)))=Milestones!$AB$80),UPPER(TEXT(EDATE($D96,Milestones!$AA$80),"dd mmm yy"))&amp;" "&amp;Milestones!$AB$80&amp;" "&amp;Milestones!$AC$80&amp;";  ","")&amp;IF(AND(EDATE($D96,Milestones!$AA$81)&lt;=AsOfDate,IF($R96=0,$X96,IF(AND($T96&lt;&gt;"",EDATE($D96,Milestones!$AA$81)&gt;=$T96),$W96,IF(AND($S96&lt;&gt;"",EDATE($D96,Milestones!$AA$81)&gt;=$S96),$V96,$U96)))=Milestones!$AB$81),UPPER(TEXT(EDATE($D96,Milestones!$AA$81),"dd mmm yy"))&amp;" "&amp;Milestones!$AB$81&amp;" "&amp;Milestones!$AC$81&amp;";  ","")&amp;IF(AND(EDATE($D96,Milestones!$AA$82)&lt;=AsOfDate,IF($R96=0,$X96,IF(AND($T96&lt;&gt;"",EDATE($D96,Milestones!$AA$82)&gt;=$T96),$W96,IF(AND($S96&lt;&gt;"",EDATE($D96,Milestones!$AA$82)&gt;=$S96),$V96,$U96)))=Milestones!$AB$82),UPPER(TEXT(EDATE($D96,Milestones!$AA$82),"dd mmm yy"))&amp;" "&amp;Milestones!$AB$82&amp;" "&amp;Milestones!$AC$82&amp;";  ","")&amp;IF(AND(EDATE($D96,Milestones!$AA$83)&lt;=AsOfDate,IF($R96=0,$X96,IF(AND($T96&lt;&gt;"",EDATE($D96,Milestones!$AA$83)&gt;=$T96),$W96,IF(AND($S96&lt;&gt;"",EDATE($D96,Milestones!$AA$83)&gt;=$S96),$V96,$U96)))=Milestones!$AB$83),UPPER(TEXT(EDATE($D96,Milestones!$AA$83),"dd mmm yy"))&amp;" "&amp;Milestones!$AB$83&amp;" "&amp;Milestones!$AC$83&amp;";  ","")&amp;IF(AND(EDATE($D96,Milestones!$AA$84)&lt;=AsOfDate,IF($R96=0,$X96,IF(AND($T96&lt;&gt;"",EDATE($D96,Milestones!$AA$84)&gt;=$T96),$W96,IF(AND($S96&lt;&gt;"",EDATE($D96,Milestones!$AA$84)&gt;=$S96),$V96,$U96)))=Milestones!$AB$84),UPPER(TEXT(EDATE($D96,Milestones!$AA$84),"dd mmm yy"))&amp;" "&amp;Milestones!$AB$84&amp;" "&amp;Milestones!$AC$84&amp;";  ","")&amp;IF(AND(EDATE($D96,Milestones!$AA$85)&lt;=AsOfDate,IF($R96=0,$X96,IF(AND($T96&lt;&gt;"",EDATE($D96,Milestones!$AA$85)&gt;=$T96),$W96,IF(AND($S96&lt;&gt;"",EDATE($D96,Milestones!$AA$85)&gt;=$S96),$V96,$U96)))=Milestones!$AB$85),UPPER(TEXT(EDATE($D96,Milestones!$AA$85),"dd mmm yy"))&amp;" "&amp;Milestones!$AB$85&amp;" "&amp;Milestones!$AC$85&amp;";  ","")&amp;IF(AND(EDATE($D96,Milestones!$AA$86)&lt;=AsOfDate,IF($R96=0,$X96,IF(AND($T96&lt;&gt;"",EDATE($D96,Milestones!$AA$86)&gt;=$T96),$W96,IF(AND($S96&lt;&gt;"",EDATE($D96,Milestones!$AA$86)&gt;=$S96),$V96,$U96)))=Milestones!$AB$86),UPPER(TEXT(EDATE($D96,Milestones!$AA$86),"dd mmm yy"))&amp;" "&amp;Milestones!$AB$86&amp;" "&amp;Milestones!$AC$86&amp;";  ","")&amp;IF(AND(EDATE($D96,Milestones!$AA$87)&lt;=AsOfDate,IF($R96=0,$X96,IF(AND($T96&lt;&gt;"",EDATE($D96,Milestones!$AA$87)&gt;=$T96),$W96,IF(AND($S96&lt;&gt;"",EDATE($D96,Milestones!$AA$87)&gt;=$S96),$V96,$U96)))=Milestones!$AB$87),UPPER(TEXT(EDATE($D96,Milestones!$AA$87),"dd mmm yy"))&amp;" "&amp;Milestones!$AB$87&amp;" "&amp;Milestones!$AC$87&amp;";  ","")&amp;IF(AND(EDATE($D96,Milestones!$AA$88)&lt;=AsOfDate,IF($R96=0,$X96,IF(AND($T96&lt;&gt;"",EDATE($D96,Milestones!$AA$88)&gt;=$T96),$W96,IF(AND($S96&lt;&gt;"",EDATE($D96,Milestones!$AA$88)&gt;=$S96),$V96,$U96)))=Milestones!$AB$88),UPPER(TEXT(EDATE($D96,Milestones!$AA$88),"dd mmm yy"))&amp;" "&amp;Milestones!$AB$88&amp;" "&amp;Milestones!$AC$88&amp;";  ","")&amp;IF(AND(EDATE($D96,Milestones!$AA$89)&lt;=AsOfDate,IF($R96=0,$X96,IF(AND($T96&lt;&gt;"",EDATE($D96,Milestones!$AA$89)&gt;=$T96),$W96,IF(AND($S96&lt;&gt;"",EDATE($D96,Milestones!$AA$89)&gt;=$S96),$V96,$U96)))=Milestones!$AB$89),UPPER(TEXT(EDATE($D96,Milestones!$AA$89),"dd mmm yy"))&amp;" "&amp;Milestones!$AB$89&amp;" "&amp;Milestones!$AC$89&amp;";  ","")&amp;IF(AND(EDATE($D96,Milestones!$AA$90)&lt;=AsOfDate,IF($R96=0,$X96,IF(AND($T96&lt;&gt;"",EDATE($D96,Milestones!$AA$90)&gt;=$T96),$W96,IF(AND($S96&lt;&gt;"",EDATE($D96,Milestones!$AA$90)&gt;=$S96),$V96,$U96)))=Milestones!$AB$90),UPPER(TEXT(EDATE($D96,Milestones!$AA$90),"dd mmm yy"))&amp;" "&amp;Milestones!$AB$90&amp;" "&amp;Milestones!$AC$90&amp;";  ","")&amp;IF(AND(EDATE($D96,Milestones!$AA$91)&lt;=AsOfDate,IF($R96=0,$X96,IF(AND($T96&lt;&gt;"",EDATE($D96,Milestones!$AA$91)&gt;=$T96),$W96,IF(AND($S96&lt;&gt;"",EDATE($D96,Milestones!$AA$91)&gt;=$S96),$V96,$U96)))=Milestones!$AB$91),UPPER(TEXT(EDATE($D96,Milestones!$AA$91),"dd mmm yy"))&amp;" "&amp;Milestones!$AB$91&amp;" "&amp;Milestones!$AC$91&amp;";  ","")&amp;IF(AND(EDATE($D96,Milestones!$AA$92)&lt;=AsOfDate,IF($R96=0,$X96,IF(AND($T96&lt;&gt;"",EDATE($D96,Milestones!$AA$92)&gt;=$T96),$W96,IF(AND($S96&lt;&gt;"",EDATE($D96,Milestones!$AA$92)&gt;=$S96),$V96,$U96)))=Milestones!$AB$92),UPPER(TEXT(EDATE($D96,Milestones!$AA$92),"dd mmm yy"))&amp;" "&amp;Milestones!$AB$92&amp;" "&amp;Milestones!$AC$92&amp;";  ","")&amp;IF(AND(EDATE($D96,Milestones!$AA$93)&lt;=AsOfDate,IF($R96=0,$X96,IF(AND($T96&lt;&gt;"",EDATE($D96,Milestones!$AA$93)&gt;=$T96),$W96,IF(AND($S96&lt;&gt;"",EDATE($D96,Milestones!$AA$93)&gt;=$S96),$V96,$U96)))=Milestones!$AB$93),UPPER(TEXT(EDATE($D96,Milestones!$AA$93),"dd mmm yy"))&amp;" "&amp;Milestones!$AB$93&amp;" "&amp;Milestones!$AC$93&amp;";  ","")&amp;IF(AND(EDATE($D96,Milestones!$AA$94)&lt;=AsOfDate,IF($R96=0,$X96,IF(AND($T96&lt;&gt;"",EDATE($D96,Milestones!$AA$94)&gt;=$T96),$W96,IF(AND($S96&lt;&gt;"",EDATE($D96,Milestones!$AA$94)&gt;=$S96),$V96,$U96)))=Milestones!$AB$94),UPPER(TEXT(EDATE($D96,Milestones!$AA$94),"dd mmm yy"))&amp;" "&amp;Milestones!$AB$94&amp;" "&amp;Milestones!$AC$94&amp;";  ","")&amp;IF(AND(EDATE($D96,Milestones!$AA$95)&lt;=AsOfDate,IF($R96=0,$X96,IF(AND($T96&lt;&gt;"",EDATE($D96,Milestones!$AA$95)&gt;=$T96),$W96,IF(AND($S96&lt;&gt;"",EDATE($D96,Milestones!$AA$95)&gt;=$S96),$V96,$U96)))=Milestones!$AB$95),UPPER(TEXT(EDATE($D96,Milestones!$AA$95),"dd mmm yy"))&amp;" "&amp;Milestones!$AB$95&amp;" "&amp;Milestones!$AC$95&amp;";  ","")&amp;IF(AND(EDATE($D96,Milestones!$AA$96)&lt;=AsOfDate,IF($R96=0,$X96,IF(AND($T96&lt;&gt;"",EDATE($D96,Milestones!$AA$96)&gt;=$T96),$W96,IF(AND($S96&lt;&gt;"",EDATE($D96,Milestones!$AA$96)&gt;=$S96),$V96,$U96)))=Milestones!$AB$96),UPPER(TEXT(EDATE($D96,Milestones!$AA$96),"dd mmm yy"))&amp;" "&amp;Milestones!$AB$96&amp;" "&amp;Milestones!$AC$96&amp;";  ","")&amp;IF(AND(EDATE($D96,Milestones!$AA$97)&lt;=AsOfDate,IF($R96=0,$X96,IF(AND($T96&lt;&gt;"",EDATE($D96,Milestones!$AA$97)&gt;=$T96),$W96,IF(AND($S96&lt;&gt;"",EDATE($D96,Milestones!$AA$97)&gt;=$S96),$V96,$U96)))=Milestones!$AB$97),UPPER(TEXT(EDATE($D96,Milestones!$AA$97),"dd mmm yy"))&amp;" "&amp;Milestones!$AB$97&amp;" "&amp;Milestones!$AC$97&amp;";  ","")&amp;IF(AND(EDATE($D96,Milestones!$AA$98)&lt;=AsOfDate,IF($R96=0,$X96,IF(AND($T96&lt;&gt;"",EDATE($D96,Milestones!$AA$98)&gt;=$T96),$W96,IF(AND($S96&lt;&gt;"",EDATE($D96,Milestones!$AA$98)&gt;=$S96),$V96,$U96)))=Milestones!$AB$98),UPPER(TEXT(EDATE($D96,Milestones!$AA$98),"dd mmm yy"))&amp;" "&amp;Milestones!$AB$98&amp;" "&amp;Milestones!$AC$98&amp;";  ","")&amp;IF(AND(EDATE($D96,Milestones!$AA$99)&lt;=AsOfDate,IF($R96=0,$X96,IF(AND($T96&lt;&gt;"",EDATE($D96,Milestones!$AA$99)&gt;=$T96),$W96,IF(AND($S96&lt;&gt;"",EDATE($D96,Milestones!$AA$99)&gt;=$S96),$V96,$U96)))=Milestones!$AB$99),UPPER(TEXT(EDATE($D96,Milestones!$AA$99),"dd mmm yy"))&amp;" "&amp;Milestones!$AB$99&amp;" "&amp;Milestones!$AC$99&amp;";  ",""))</f>
        <v/>
      </c>
      <c r="M96" s="0" t="str">
        <f aca="false">IF(OR($A96="",$D96=""),"",IF(AND(EDATE($D96,Milestones!$AA$100)&lt;=AsOfDate,IF($R96=0,$X96,IF(AND($T96&lt;&gt;"",EDATE($D96,Milestones!$AA$100)&gt;=$T96),$W96,IF(AND($S96&lt;&gt;"",EDATE($D96,Milestones!$AA$100)&gt;=$S96),$V96,$U96)))=Milestones!$AB$100),UPPER(TEXT(EDATE($D96,Milestones!$AA$100),"dd mmm yy"))&amp;" "&amp;Milestones!$AB$100&amp;" "&amp;Milestones!$AC$100&amp;";  ","")&amp;IF(AND(EDATE($D96,Milestones!$AA$101)&lt;=AsOfDate,IF($R96=0,$X96,IF(AND($T96&lt;&gt;"",EDATE($D96,Milestones!$AA$101)&gt;=$T96),$W96,IF(AND($S96&lt;&gt;"",EDATE($D96,Milestones!$AA$101)&gt;=$S96),$V96,$U96)))=Milestones!$AB$101),UPPER(TEXT(EDATE($D96,Milestones!$AA$101),"dd mmm yy"))&amp;" "&amp;Milestones!$AB$101&amp;" "&amp;Milestones!$AC$101&amp;";  ","")&amp;IF(AND(EDATE($D96,Milestones!$AA$102)&lt;=AsOfDate,IF($R96=0,$X96,IF(AND($T96&lt;&gt;"",EDATE($D96,Milestones!$AA$102)&gt;=$T96),$W96,IF(AND($S96&lt;&gt;"",EDATE($D96,Milestones!$AA$102)&gt;=$S96),$V96,$U96)))=Milestones!$AB$102),UPPER(TEXT(EDATE($D96,Milestones!$AA$102),"dd mmm yy"))&amp;" "&amp;Milestones!$AB$102&amp;" "&amp;Milestones!$AC$102&amp;";  ","")&amp;IF(AND(EDATE($D96,Milestones!$AA$103)&lt;=AsOfDate,IF($R96=0,$X96,IF(AND($T96&lt;&gt;"",EDATE($D96,Milestones!$AA$103)&gt;=$T96),$W96,IF(AND($S96&lt;&gt;"",EDATE($D96,Milestones!$AA$103)&gt;=$S96),$V96,$U96)))=Milestones!$AB$103),UPPER(TEXT(EDATE($D96,Milestones!$AA$103),"dd mmm yy"))&amp;" "&amp;Milestones!$AB$103&amp;" "&amp;Milestones!$AC$103&amp;";  ","")&amp;IF(AND(EDATE($D96,Milestones!$AA$104)&lt;=AsOfDate,IF($R96=0,$X96,IF(AND($T96&lt;&gt;"",EDATE($D96,Milestones!$AA$104)&gt;=$T96),$W96,IF(AND($S96&lt;&gt;"",EDATE($D96,Milestones!$AA$104)&gt;=$S96),$V96,$U96)))=Milestones!$AB$104),UPPER(TEXT(EDATE($D96,Milestones!$AA$104),"dd mmm yy"))&amp;" "&amp;Milestones!$AB$104&amp;" "&amp;Milestones!$AC$104&amp;";  ","")&amp;IF(AND(EDATE($D96,Milestones!$AA$105)&lt;=AsOfDate,IF($R96=0,$X96,IF(AND($T96&lt;&gt;"",EDATE($D96,Milestones!$AA$105)&gt;=$T96),$W96,IF(AND($S96&lt;&gt;"",EDATE($D96,Milestones!$AA$105)&gt;=$S96),$V96,$U96)))=Milestones!$AB$105),UPPER(TEXT(EDATE($D96,Milestones!$AA$105),"dd mmm yy"))&amp;" "&amp;Milestones!$AB$105&amp;" "&amp;Milestones!$AC$105&amp;";  ","")&amp;IF(AND(EDATE($D96,Milestones!$AA$106)&lt;=AsOfDate,IF($R96=0,$X96,IF(AND($T96&lt;&gt;"",EDATE($D96,Milestones!$AA$106)&gt;=$T96),$W96,IF(AND($S96&lt;&gt;"",EDATE($D96,Milestones!$AA$106)&gt;=$S96),$V96,$U96)))=Milestones!$AB$106),UPPER(TEXT(EDATE($D96,Milestones!$AA$106),"dd mmm yy"))&amp;" "&amp;Milestones!$AB$106&amp;" "&amp;Milestones!$AC$106&amp;";  ","")&amp;IF(AND(EDATE($D96,Milestones!$AA$107)&lt;=AsOfDate,IF($R96=0,$X96,IF(AND($T96&lt;&gt;"",EDATE($D96,Milestones!$AA$107)&gt;=$T96),$W96,IF(AND($S96&lt;&gt;"",EDATE($D96,Milestones!$AA$107)&gt;=$S96),$V96,$U96)))=Milestones!$AB$107),UPPER(TEXT(EDATE($D96,Milestones!$AA$107),"dd mmm yy"))&amp;" "&amp;Milestones!$AB$107&amp;" "&amp;Milestones!$AC$107&amp;";  ","")&amp;IF(AND(EDATE($D96,Milestones!$AA$108)&lt;=AsOfDate,IF($R96=0,$X96,IF(AND($T96&lt;&gt;"",EDATE($D96,Milestones!$AA$108)&gt;=$T96),$W96,IF(AND($S96&lt;&gt;"",EDATE($D96,Milestones!$AA$108)&gt;=$S96),$V96,$U96)))=Milestones!$AB$108),UPPER(TEXT(EDATE($D96,Milestones!$AA$108),"dd mmm yy"))&amp;" "&amp;Milestones!$AB$108&amp;" "&amp;Milestones!$AC$108&amp;";  ","")&amp;IF(AND(EDATE($D96,Milestones!$AA$109)&lt;=AsOfDate,IF($R96=0,$X96,IF(AND($T96&lt;&gt;"",EDATE($D96,Milestones!$AA$109)&gt;=$T96),$W96,IF(AND($S96&lt;&gt;"",EDATE($D96,Milestones!$AA$109)&gt;=$S96),$V96,$U96)))=Milestones!$AB$109),UPPER(TEXT(EDATE($D96,Milestones!$AA$109),"dd mmm yy"))&amp;" "&amp;Milestones!$AB$109&amp;" "&amp;Milestones!$AC$109&amp;";  ","")&amp;IF(AND(EDATE($D96,Milestones!$AA$110)&lt;=AsOfDate,IF($R96=0,$X96,IF(AND($T96&lt;&gt;"",EDATE($D96,Milestones!$AA$110)&gt;=$T96),$W96,IF(AND($S96&lt;&gt;"",EDATE($D96,Milestones!$AA$110)&gt;=$S96),$V96,$U96)))=Milestones!$AB$110),UPPER(TEXT(EDATE($D96,Milestones!$AA$110),"dd mmm yy"))&amp;" "&amp;Milestones!$AB$110&amp;" "&amp;Milestones!$AC$110&amp;";  ","")&amp;IF(AND(EDATE($D96,Milestones!$AA$111)&lt;=AsOfDate,IF($R96=0,$X96,IF(AND($T96&lt;&gt;"",EDATE($D96,Milestones!$AA$111)&gt;=$T96),$W96,IF(AND($S96&lt;&gt;"",EDATE($D96,Milestones!$AA$111)&gt;=$S96),$V96,$U96)))=Milestones!$AB$111),UPPER(TEXT(EDATE($D96,Milestones!$AA$111),"dd mmm yy"))&amp;" "&amp;Milestones!$AB$111&amp;" "&amp;Milestones!$AC$111&amp;";  ","")&amp;IF(AND(EDATE($D96,Milestones!$AA$112)&lt;=AsOfDate,IF($R96=0,$X96,IF(AND($T96&lt;&gt;"",EDATE($D96,Milestones!$AA$112)&gt;=$T96),$W96,IF(AND($S96&lt;&gt;"",EDATE($D96,Milestones!$AA$112)&gt;=$S96),$V96,$U96)))=Milestones!$AB$112),UPPER(TEXT(EDATE($D96,Milestones!$AA$112),"dd mmm yy"))&amp;" "&amp;Milestones!$AB$112&amp;" "&amp;Milestones!$AC$112&amp;";  ","")&amp;IF(AND(EDATE($D96,Milestones!$AA$113)&lt;=AsOfDate,IF($R96=0,$X96,IF(AND($T96&lt;&gt;"",EDATE($D96,Milestones!$AA$113)&gt;=$T96),$W96,IF(AND($S96&lt;&gt;"",EDATE($D96,Milestones!$AA$113)&gt;=$S96),$V96,$U96)))=Milestones!$AB$113),UPPER(TEXT(EDATE($D96,Milestones!$AA$113),"dd mmm yy"))&amp;" "&amp;Milestones!$AB$113&amp;" "&amp;Milestones!$AC$113&amp;";  ","")&amp;IF(AND(EDATE($D96,Milestones!$AA$114)&lt;=AsOfDate,IF($R96=0,$X96,IF(AND($T96&lt;&gt;"",EDATE($D96,Milestones!$AA$114)&gt;=$T96),$W96,IF(AND($S96&lt;&gt;"",EDATE($D96,Milestones!$AA$114)&gt;=$S96),$V96,$U96)))=Milestones!$AB$114),UPPER(TEXT(EDATE($D96,Milestones!$AA$114),"dd mmm yy"))&amp;" "&amp;Milestones!$AB$114&amp;" "&amp;Milestones!$AC$114&amp;";  ","")&amp;IF(AND(EDATE($D96,Milestones!$AA$115)&lt;=AsOfDate,IF($R96=0,$X96,IF(AND($T96&lt;&gt;"",EDATE($D96,Milestones!$AA$115)&gt;=$T96),$W96,IF(AND($S96&lt;&gt;"",EDATE($D96,Milestones!$AA$115)&gt;=$S96),$V96,$U96)))=Milestones!$AB$115),UPPER(TEXT(EDATE($D96,Milestones!$AA$115),"dd mmm yy"))&amp;" "&amp;Milestones!$AB$115&amp;" "&amp;Milestones!$AC$115&amp;";  ","")&amp;IF(AND(EDATE($D96,Milestones!$AA$116)&lt;=AsOfDate,IF($R96=0,$X96,IF(AND($T96&lt;&gt;"",EDATE($D96,Milestones!$AA$116)&gt;=$T96),$W96,IF(AND($S96&lt;&gt;"",EDATE($D96,Milestones!$AA$116)&gt;=$S96),$V96,$U96)))=Milestones!$AB$116),UPPER(TEXT(EDATE($D96,Milestones!$AA$116),"dd mmm yy"))&amp;" "&amp;Milestones!$AB$116&amp;" "&amp;Milestones!$AC$116&amp;";  ","")&amp;IF(AND(EDATE($D96,Milestones!$AA$117)&lt;=AsOfDate,IF($R96=0,$X96,IF(AND($T96&lt;&gt;"",EDATE($D96,Milestones!$AA$117)&gt;=$T96),$W96,IF(AND($S96&lt;&gt;"",EDATE($D96,Milestones!$AA$117)&gt;=$S96),$V96,$U96)))=Milestones!$AB$117),UPPER(TEXT(EDATE($D96,Milestones!$AA$117),"dd mmm yy"))&amp;" "&amp;Milestones!$AB$117&amp;" "&amp;Milestones!$AC$117&amp;";  ","")&amp;IF(AND(EDATE($D96,Milestones!$AA$118)&lt;=AsOfDate,IF($R96=0,$X96,IF(AND($T96&lt;&gt;"",EDATE($D96,Milestones!$AA$118)&gt;=$T96),$W96,IF(AND($S96&lt;&gt;"",EDATE($D96,Milestones!$AA$118)&gt;=$S96),$V96,$U96)))=Milestones!$AB$118),UPPER(TEXT(EDATE($D96,Milestones!$AA$118),"dd mmm yy"))&amp;" "&amp;Milestones!$AB$118&amp;" "&amp;Milestones!$AC$118&amp;";  ","")&amp;IF(AND(EDATE($D96,Milestones!$AA$119)&lt;=AsOfDate,IF($R96=0,$X96,IF(AND($T96&lt;&gt;"",EDATE($D96,Milestones!$AA$119)&gt;=$T96),$W96,IF(AND($S96&lt;&gt;"",EDATE($D96,Milestones!$AA$119)&gt;=$S96),$V96,$U96)))=Milestones!$AB$119),UPPER(TEXT(EDATE($D96,Milestones!$AA$119),"dd mmm yy"))&amp;" "&amp;Milestones!$AB$119&amp;" "&amp;Milestones!$AC$119&amp;";  ",""))</f>
        <v/>
      </c>
      <c r="N96" s="0" t="str">
        <f aca="false">IF(OR($A96="",$D96=""),"",IF(AND(EDATE($D96,Milestones!$AA$120)&lt;=AsOfDate,IF($R96=0,$X96,IF(AND($T96&lt;&gt;"",EDATE($D96,Milestones!$AA$120)&gt;=$T96),$W96,IF(AND($S96&lt;&gt;"",EDATE($D96,Milestones!$AA$120)&gt;=$S96),$V96,$U96)))=Milestones!$AB$120),UPPER(TEXT(EDATE($D96,Milestones!$AA$120),"dd mmm yy"))&amp;" "&amp;Milestones!$AB$120&amp;" "&amp;Milestones!$AC$120&amp;";  ","")&amp;IF(AND(EDATE($D96,Milestones!$AA$121)&lt;=AsOfDate,IF($R96=0,$X96,IF(AND($T96&lt;&gt;"",EDATE($D96,Milestones!$AA$121)&gt;=$T96),$W96,IF(AND($S96&lt;&gt;"",EDATE($D96,Milestones!$AA$121)&gt;=$S96),$V96,$U96)))=Milestones!$AB$121),UPPER(TEXT(EDATE($D96,Milestones!$AA$121),"dd mmm yy"))&amp;" "&amp;Milestones!$AB$121&amp;" "&amp;Milestones!$AC$121&amp;";  ","")&amp;IF(AND(EDATE($D96,Milestones!$AA$122)&lt;=AsOfDate,IF($R96=0,$X96,IF(AND($T96&lt;&gt;"",EDATE($D96,Milestones!$AA$122)&gt;=$T96),$W96,IF(AND($S96&lt;&gt;"",EDATE($D96,Milestones!$AA$122)&gt;=$S96),$V96,$U96)))=Milestones!$AB$122),UPPER(TEXT(EDATE($D96,Milestones!$AA$122),"dd mmm yy"))&amp;" "&amp;Milestones!$AB$122&amp;" "&amp;Milestones!$AC$122&amp;";  ","")&amp;IF(AND(EDATE($D96,Milestones!$AA$123)&lt;=AsOfDate,IF($R96=0,$X96,IF(AND($T96&lt;&gt;"",EDATE($D96,Milestones!$AA$123)&gt;=$T96),$W96,IF(AND($S96&lt;&gt;"",EDATE($D96,Milestones!$AA$123)&gt;=$S96),$V96,$U96)))=Milestones!$AB$123),UPPER(TEXT(EDATE($D96,Milestones!$AA$123),"dd mmm yy"))&amp;" "&amp;Milestones!$AB$123&amp;" "&amp;Milestones!$AC$123&amp;";  ","")&amp;IF(AND(EDATE($D96,Milestones!$AA$124)&lt;=AsOfDate,IF($R96=0,$X96,IF(AND($T96&lt;&gt;"",EDATE($D96,Milestones!$AA$124)&gt;=$T96),$W96,IF(AND($S96&lt;&gt;"",EDATE($D96,Milestones!$AA$124)&gt;=$S96),$V96,$U96)))=Milestones!$AB$124),UPPER(TEXT(EDATE($D96,Milestones!$AA$124),"dd mmm yy"))&amp;" "&amp;Milestones!$AB$124&amp;" "&amp;Milestones!$AC$124&amp;";  ","")&amp;IF(AND(EDATE($D96,Milestones!$AA$125)&lt;=AsOfDate,IF($R96=0,$X96,IF(AND($T96&lt;&gt;"",EDATE($D96,Milestones!$AA$125)&gt;=$T96),$W96,IF(AND($S96&lt;&gt;"",EDATE($D96,Milestones!$AA$125)&gt;=$S96),$V96,$U96)))=Milestones!$AB$125),UPPER(TEXT(EDATE($D96,Milestones!$AA$125),"dd mmm yy"))&amp;" "&amp;Milestones!$AB$125&amp;" "&amp;Milestones!$AC$125&amp;";  ","")&amp;IF(AND(EDATE($D96,Milestones!$AA$126)&lt;=AsOfDate,IF($R96=0,$X96,IF(AND($T96&lt;&gt;"",EDATE($D96,Milestones!$AA$126)&gt;=$T96),$W96,IF(AND($S96&lt;&gt;"",EDATE($D96,Milestones!$AA$126)&gt;=$S96),$V96,$U96)))=Milestones!$AB$126),UPPER(TEXT(EDATE($D96,Milestones!$AA$126),"dd mmm yy"))&amp;" "&amp;Milestones!$AB$126&amp;" "&amp;Milestones!$AC$126&amp;";  ","")&amp;IF(AND(EDATE($D96,Milestones!$AA$127)&lt;=AsOfDate,IF($R96=0,$X96,IF(AND($T96&lt;&gt;"",EDATE($D96,Milestones!$AA$127)&gt;=$T96),$W96,IF(AND($S96&lt;&gt;"",EDATE($D96,Milestones!$AA$127)&gt;=$S96),$V96,$U96)))=Milestones!$AB$127),UPPER(TEXT(EDATE($D96,Milestones!$AA$127),"dd mmm yy"))&amp;" "&amp;Milestones!$AB$127&amp;" "&amp;Milestones!$AC$127&amp;";  ","")&amp;IF(AND(EDATE($D96,Milestones!$AA$128)&lt;=AsOfDate,IF($R96=0,$X96,IF(AND($T96&lt;&gt;"",EDATE($D96,Milestones!$AA$128)&gt;=$T96),$W96,IF(AND($S96&lt;&gt;"",EDATE($D96,Milestones!$AA$128)&gt;=$S96),$V96,$U96)))=Milestones!$AB$128),UPPER(TEXT(EDATE($D96,Milestones!$AA$128),"dd mmm yy"))&amp;" "&amp;Milestones!$AB$128&amp;" "&amp;Milestones!$AC$128&amp;";  ","")&amp;IF(AND(EDATE($D96,Milestones!$AA$129)&lt;=AsOfDate,IF($R96=0,$X96,IF(AND($T96&lt;&gt;"",EDATE($D96,Milestones!$AA$129)&gt;=$T96),$W96,IF(AND($S96&lt;&gt;"",EDATE($D96,Milestones!$AA$129)&gt;=$S96),$V96,$U96)))=Milestones!$AB$129),UPPER(TEXT(EDATE($D96,Milestones!$AA$129),"dd mmm yy"))&amp;" "&amp;Milestones!$AB$129&amp;" "&amp;Milestones!$AC$129&amp;";  ","")&amp;IF(AND(EDATE($D96,Milestones!$AA$130)&lt;=AsOfDate,IF($R96=0,$X96,IF(AND($T96&lt;&gt;"",EDATE($D96,Milestones!$AA$130)&gt;=$T96),$W96,IF(AND($S96&lt;&gt;"",EDATE($D96,Milestones!$AA$130)&gt;=$S96),$V96,$U96)))=Milestones!$AB$130),UPPER(TEXT(EDATE($D96,Milestones!$AA$130),"dd mmm yy"))&amp;" "&amp;Milestones!$AB$130&amp;" "&amp;Milestones!$AC$130&amp;";  ","")&amp;IF(AND(EDATE($D96,Milestones!$AA$131)&lt;=AsOfDate,IF($R96=0,$X96,IF(AND($T96&lt;&gt;"",EDATE($D96,Milestones!$AA$131)&gt;=$T96),$W96,IF(AND($S96&lt;&gt;"",EDATE($D96,Milestones!$AA$131)&gt;=$S96),$V96,$U96)))=Milestones!$AB$131),UPPER(TEXT(EDATE($D96,Milestones!$AA$131),"dd mmm yy"))&amp;" "&amp;Milestones!$AB$131&amp;" "&amp;Milestones!$AC$131&amp;";  ","")&amp;IF(AND(EDATE($D96,Milestones!$AA$132)&lt;=AsOfDate,IF($R96=0,$X96,IF(AND($T96&lt;&gt;"",EDATE($D96,Milestones!$AA$132)&gt;=$T96),$W96,IF(AND($S96&lt;&gt;"",EDATE($D96,Milestones!$AA$132)&gt;=$S96),$V96,$U96)))=Milestones!$AB$132),UPPER(TEXT(EDATE($D96,Milestones!$AA$132),"dd mmm yy"))&amp;" "&amp;Milestones!$AB$132&amp;" "&amp;Milestones!$AC$132&amp;";  ","")&amp;IF(AND(EDATE($D96,Milestones!$AA$133)&lt;=AsOfDate,IF($R96=0,$X96,IF(AND($T96&lt;&gt;"",EDATE($D96,Milestones!$AA$133)&gt;=$T96),$W96,IF(AND($S96&lt;&gt;"",EDATE($D96,Milestones!$AA$133)&gt;=$S96),$V96,$U96)))=Milestones!$AB$133),UPPER(TEXT(EDATE($D96,Milestones!$AA$133),"dd mmm yy"))&amp;" "&amp;Milestones!$AB$133&amp;" "&amp;Milestones!$AC$133&amp;";  ","")&amp;IF(AND(EDATE($D96,Milestones!$AA$134)&lt;=AsOfDate,IF($R96=0,$X96,IF(AND($T96&lt;&gt;"",EDATE($D96,Milestones!$AA$134)&gt;=$T96),$W96,IF(AND($S96&lt;&gt;"",EDATE($D96,Milestones!$AA$134)&gt;=$S96),$V96,$U96)))=Milestones!$AB$134),UPPER(TEXT(EDATE($D96,Milestones!$AA$134),"dd mmm yy"))&amp;" "&amp;Milestones!$AB$134&amp;" "&amp;Milestones!$AC$134&amp;";  ","")&amp;IF(AND(EDATE($D96,Milestones!$AA$135)&lt;=AsOfDate,IF($R96=0,$X96,IF(AND($T96&lt;&gt;"",EDATE($D96,Milestones!$AA$135)&gt;=$T96),$W96,IF(AND($S96&lt;&gt;"",EDATE($D96,Milestones!$AA$135)&gt;=$S96),$V96,$U96)))=Milestones!$AB$135),UPPER(TEXT(EDATE($D96,Milestones!$AA$135),"dd mmm yy"))&amp;" "&amp;Milestones!$AB$135&amp;" "&amp;Milestones!$AC$135&amp;";  ","")&amp;IF(AND(EDATE($D96,Milestones!$AA$136)&lt;=AsOfDate,IF($R96=0,$X96,IF(AND($T96&lt;&gt;"",EDATE($D96,Milestones!$AA$136)&gt;=$T96),$W96,IF(AND($S96&lt;&gt;"",EDATE($D96,Milestones!$AA$136)&gt;=$S96),$V96,$U96)))=Milestones!$AB$136),UPPER(TEXT(EDATE($D96,Milestones!$AA$136),"dd mmm yy"))&amp;" "&amp;Milestones!$AB$136&amp;" "&amp;Milestones!$AC$136&amp;";  ","")&amp;IF(AND(EDATE($D96,Milestones!$AA$137)&lt;=AsOfDate,IF($R96=0,$X96,IF(AND($T96&lt;&gt;"",EDATE($D96,Milestones!$AA$137)&gt;=$T96),$W96,IF(AND($S96&lt;&gt;"",EDATE($D96,Milestones!$AA$137)&gt;=$S96),$V96,$U96)))=Milestones!$AB$137),UPPER(TEXT(EDATE($D96,Milestones!$AA$137),"dd mmm yy"))&amp;" "&amp;Milestones!$AB$137&amp;" "&amp;Milestones!$AC$137&amp;";  ","")&amp;IF(AND(EDATE($D96,Milestones!$AA$138)&lt;=AsOfDate,IF($R96=0,$X96,IF(AND($T96&lt;&gt;"",EDATE($D96,Milestones!$AA$138)&gt;=$T96),$W96,IF(AND($S96&lt;&gt;"",EDATE($D96,Milestones!$AA$138)&gt;=$S96),$V96,$U96)))=Milestones!$AB$138),UPPER(TEXT(EDATE($D96,Milestones!$AA$138),"dd mmm yy"))&amp;" "&amp;Milestones!$AB$138&amp;" "&amp;Milestones!$AC$138&amp;";  ","")&amp;IF(AND(EDATE($D96,Milestones!$AA$139)&lt;=AsOfDate,IF($R96=0,$X96,IF(AND($T96&lt;&gt;"",EDATE($D96,Milestones!$AA$139)&gt;=$T96),$W96,IF(AND($S96&lt;&gt;"",EDATE($D96,Milestones!$AA$139)&gt;=$S96),$V96,$U96)))=Milestones!$AB$139),UPPER(TEXT(EDATE($D96,Milestones!$AA$139),"dd mmm yy"))&amp;" "&amp;Milestones!$AB$139&amp;" "&amp;Milestones!$AC$139&amp;";  ",""))</f>
        <v/>
      </c>
      <c r="O96" s="0" t="str">
        <f aca="false">IF(OR($A96="",$D96=""),"",IF(AND(EDATE($D96,Milestones!$AA$140)&lt;=AsOfDate,IF($R96=0,$X96,IF(AND($T96&lt;&gt;"",EDATE($D96,Milestones!$AA$140)&gt;=$T96),$W96,IF(AND($S96&lt;&gt;"",EDATE($D96,Milestones!$AA$140)&gt;=$S96),$V96,$U96)))=Milestones!$AB$140),UPPER(TEXT(EDATE($D96,Milestones!$AA$140),"dd mmm yy"))&amp;" "&amp;Milestones!$AB$140&amp;" "&amp;Milestones!$AC$140&amp;";  ","")&amp;IF(AND(EDATE($D96,Milestones!$AA$141)&lt;=AsOfDate,IF($R96=0,$X96,IF(AND($T96&lt;&gt;"",EDATE($D96,Milestones!$AA$141)&gt;=$T96),$W96,IF(AND($S96&lt;&gt;"",EDATE($D96,Milestones!$AA$141)&gt;=$S96),$V96,$U96)))=Milestones!$AB$141),UPPER(TEXT(EDATE($D96,Milestones!$AA$141),"dd mmm yy"))&amp;" "&amp;Milestones!$AB$141&amp;" "&amp;Milestones!$AC$141&amp;";  ","")&amp;IF(AND(EDATE($D96,Milestones!$AA$142)&lt;=AsOfDate,IF($R96=0,$X96,IF(AND($T96&lt;&gt;"",EDATE($D96,Milestones!$AA$142)&gt;=$T96),$W96,IF(AND($S96&lt;&gt;"",EDATE($D96,Milestones!$AA$142)&gt;=$S96),$V96,$U96)))=Milestones!$AB$142),UPPER(TEXT(EDATE($D96,Milestones!$AA$142),"dd mmm yy"))&amp;" "&amp;Milestones!$AB$142&amp;" "&amp;Milestones!$AC$142&amp;";  ","")&amp;IF(AND(EDATE($D96,Milestones!$AA$143)&lt;=AsOfDate,IF($R96=0,$X96,IF(AND($T96&lt;&gt;"",EDATE($D96,Milestones!$AA$143)&gt;=$T96),$W96,IF(AND($S96&lt;&gt;"",EDATE($D96,Milestones!$AA$143)&gt;=$S96),$V96,$U96)))=Milestones!$AB$143),UPPER(TEXT(EDATE($D96,Milestones!$AA$143),"dd mmm yy"))&amp;" "&amp;Milestones!$AB$143&amp;" "&amp;Milestones!$AC$143&amp;";  ","")&amp;IF(AND(EDATE($D96,Milestones!$AA$144)&lt;=AsOfDate,IF($R96=0,$X96,IF(AND($T96&lt;&gt;"",EDATE($D96,Milestones!$AA$144)&gt;=$T96),$W96,IF(AND($S96&lt;&gt;"",EDATE($D96,Milestones!$AA$144)&gt;=$S96),$V96,$U96)))=Milestones!$AB$144),UPPER(TEXT(EDATE($D96,Milestones!$AA$144),"dd mmm yy"))&amp;" "&amp;Milestones!$AB$144&amp;" "&amp;Milestones!$AC$144&amp;";  ","")&amp;IF(AND(EDATE($D96,Milestones!$AA$145)&lt;=AsOfDate,IF($R96=0,$X96,IF(AND($T96&lt;&gt;"",EDATE($D96,Milestones!$AA$145)&gt;=$T96),$W96,IF(AND($S96&lt;&gt;"",EDATE($D96,Milestones!$AA$145)&gt;=$S96),$V96,$U96)))=Milestones!$AB$145),UPPER(TEXT(EDATE($D96,Milestones!$AA$145),"dd mmm yy"))&amp;" "&amp;Milestones!$AB$145&amp;" "&amp;Milestones!$AC$145&amp;";  ","")&amp;IF(AND(EDATE($D96,Milestones!$AA$146)&lt;=AsOfDate,IF($R96=0,$X96,IF(AND($T96&lt;&gt;"",EDATE($D96,Milestones!$AA$146)&gt;=$T96),$W96,IF(AND($S96&lt;&gt;"",EDATE($D96,Milestones!$AA$146)&gt;=$S96),$V96,$U96)))=Milestones!$AB$146),UPPER(TEXT(EDATE($D96,Milestones!$AA$146),"dd mmm yy"))&amp;" "&amp;Milestones!$AB$146&amp;" "&amp;Milestones!$AC$146&amp;";  ","")&amp;IF(AND(EDATE($D96,Milestones!$AA$147)&lt;=AsOfDate,IF($R96=0,$X96,IF(AND($T96&lt;&gt;"",EDATE($D96,Milestones!$AA$147)&gt;=$T96),$W96,IF(AND($S96&lt;&gt;"",EDATE($D96,Milestones!$AA$147)&gt;=$S96),$V96,$U96)))=Milestones!$AB$147),UPPER(TEXT(EDATE($D96,Milestones!$AA$147),"dd mmm yy"))&amp;" "&amp;Milestones!$AB$147&amp;" "&amp;Milestones!$AC$147&amp;";  ","")&amp;IF(AND(EDATE($D96,Milestones!$AA$148)&lt;=AsOfDate,IF($R96=0,$X96,IF(AND($T96&lt;&gt;"",EDATE($D96,Milestones!$AA$148)&gt;=$T96),$W96,IF(AND($S96&lt;&gt;"",EDATE($D96,Milestones!$AA$148)&gt;=$S96),$V96,$U96)))=Milestones!$AB$148),UPPER(TEXT(EDATE($D96,Milestones!$AA$148),"dd mmm yy"))&amp;" "&amp;Milestones!$AB$148&amp;" "&amp;Milestones!$AC$148&amp;";  ","")&amp;IF(AND(EDATE($D96,Milestones!$AA$149)&lt;=AsOfDate,IF($R96=0,$X96,IF(AND($T96&lt;&gt;"",EDATE($D96,Milestones!$AA$149)&gt;=$T96),$W96,IF(AND($S96&lt;&gt;"",EDATE($D96,Milestones!$AA$149)&gt;=$S96),$V96,$U96)))=Milestones!$AB$149),UPPER(TEXT(EDATE($D96,Milestones!$AA$149),"dd mmm yy"))&amp;" "&amp;Milestones!$AB$149&amp;" "&amp;Milestones!$AC$149&amp;";  ","")&amp;IF(AND(EDATE($D96,Milestones!$AA$150)&lt;=AsOfDate,IF($R96=0,$X96,IF(AND($T96&lt;&gt;"",EDATE($D96,Milestones!$AA$150)&gt;=$T96),$W96,IF(AND($S96&lt;&gt;"",EDATE($D96,Milestones!$AA$150)&gt;=$S96),$V96,$U96)))=Milestones!$AB$150),UPPER(TEXT(EDATE($D96,Milestones!$AA$150),"dd mmm yy"))&amp;" "&amp;Milestones!$AB$150&amp;" "&amp;Milestones!$AC$150&amp;";  ","")&amp;IF(AND(EDATE($D96,Milestones!$AA$151)&lt;=AsOfDate,IF($R96=0,$X96,IF(AND($T96&lt;&gt;"",EDATE($D96,Milestones!$AA$151)&gt;=$T96),$W96,IF(AND($S96&lt;&gt;"",EDATE($D96,Milestones!$AA$151)&gt;=$S96),$V96,$U96)))=Milestones!$AB$151),UPPER(TEXT(EDATE($D96,Milestones!$AA$151),"dd mmm yy"))&amp;" "&amp;Milestones!$AB$151&amp;" "&amp;Milestones!$AC$151&amp;";  ","")&amp;IF(AND(EDATE($D96,Milestones!$AA$152)&lt;=AsOfDate,IF($R96=0,$X96,IF(AND($T96&lt;&gt;"",EDATE($D96,Milestones!$AA$152)&gt;=$T96),$W96,IF(AND($S96&lt;&gt;"",EDATE($D96,Milestones!$AA$152)&gt;=$S96),$V96,$U96)))=Milestones!$AB$152),UPPER(TEXT(EDATE($D96,Milestones!$AA$152),"dd mmm yy"))&amp;" "&amp;Milestones!$AB$152&amp;" "&amp;Milestones!$AC$152&amp;";  ","")&amp;IF(AND(EDATE($D96,Milestones!$AA$153)&lt;=AsOfDate,IF($R96=0,$X96,IF(AND($T96&lt;&gt;"",EDATE($D96,Milestones!$AA$153)&gt;=$T96),$W96,IF(AND($S96&lt;&gt;"",EDATE($D96,Milestones!$AA$153)&gt;=$S96),$V96,$U96)))=Milestones!$AB$153),UPPER(TEXT(EDATE($D96,Milestones!$AA$153),"dd mmm yy"))&amp;" "&amp;Milestones!$AB$153&amp;" "&amp;Milestones!$AC$153&amp;";  ","")&amp;IF(AND(EDATE($D96,Milestones!$AA$154)&lt;=AsOfDate,IF($R96=0,$X96,IF(AND($T96&lt;&gt;"",EDATE($D96,Milestones!$AA$154)&gt;=$T96),$W96,IF(AND($S96&lt;&gt;"",EDATE($D96,Milestones!$AA$154)&gt;=$S96),$V96,$U96)))=Milestones!$AB$154),UPPER(TEXT(EDATE($D96,Milestones!$AA$154),"dd mmm yy"))&amp;" "&amp;Milestones!$AB$154&amp;" "&amp;Milestones!$AC$154&amp;";  ","")&amp;IF(AND(EDATE($D96,Milestones!$AA$155)&lt;=AsOfDate,IF($R96=0,$X96,IF(AND($T96&lt;&gt;"",EDATE($D96,Milestones!$AA$155)&gt;=$T96),$W96,IF(AND($S96&lt;&gt;"",EDATE($D96,Milestones!$AA$155)&gt;=$S96),$V96,$U96)))=Milestones!$AB$155),UPPER(TEXT(EDATE($D96,Milestones!$AA$155),"dd mmm yy"))&amp;" "&amp;Milestones!$AB$155&amp;" "&amp;Milestones!$AC$155&amp;";  ","")&amp;IF(AND(EDATE($D96,Milestones!$AA$156)&lt;=AsOfDate,IF($R96=0,$X96,IF(AND($T96&lt;&gt;"",EDATE($D96,Milestones!$AA$156)&gt;=$T96),$W96,IF(AND($S96&lt;&gt;"",EDATE($D96,Milestones!$AA$156)&gt;=$S96),$V96,$U96)))=Milestones!$AB$156),UPPER(TEXT(EDATE($D96,Milestones!$AA$156),"dd mmm yy"))&amp;" "&amp;Milestones!$AB$156&amp;" "&amp;Milestones!$AC$156&amp;";  ","")&amp;IF(AND(EDATE($D96,Milestones!$AA$157)&lt;=AsOfDate,IF($R96=0,$X96,IF(AND($T96&lt;&gt;"",EDATE($D96,Milestones!$AA$157)&gt;=$T96),$W96,IF(AND($S96&lt;&gt;"",EDATE($D96,Milestones!$AA$157)&gt;=$S96),$V96,$U96)))=Milestones!$AB$157),UPPER(TEXT(EDATE($D96,Milestones!$AA$157),"dd mmm yy"))&amp;" "&amp;Milestones!$AB$157&amp;" "&amp;Milestones!$AC$157&amp;";  ","")&amp;IF(AND(EDATE($D96,Milestones!$AA$158)&lt;=AsOfDate,IF($R96=0,$X96,IF(AND($T96&lt;&gt;"",EDATE($D96,Milestones!$AA$158)&gt;=$T96),$W96,IF(AND($S96&lt;&gt;"",EDATE($D96,Milestones!$AA$158)&gt;=$S96),$V96,$U96)))=Milestones!$AB$158),UPPER(TEXT(EDATE($D96,Milestones!$AA$158),"dd mmm yy"))&amp;" "&amp;Milestones!$AB$158&amp;" "&amp;Milestones!$AC$158&amp;";  ","")&amp;IF(AND(EDATE($D96,Milestones!$AA$159)&lt;=AsOfDate,IF($R96=0,$X96,IF(AND($T96&lt;&gt;"",EDATE($D96,Milestones!$AA$159)&gt;=$T96),$W96,IF(AND($S96&lt;&gt;"",EDATE($D96,Milestones!$AA$159)&gt;=$S96),$V96,$U96)))=Milestones!$AB$159),UPPER(TEXT(EDATE($D96,Milestones!$AA$159),"dd mmm yy"))&amp;" "&amp;Milestones!$AB$159&amp;" "&amp;Milestones!$AC$159&amp;";  ",""))</f>
        <v/>
      </c>
      <c r="P96" s="0" t="str">
        <f aca="false">IF(OR($A96="",$D96=""),"",IF(AND(EDATE($D96,Milestones!$AA$160)&lt;=AsOfDate,IF($R96=0,$X96,IF(AND($T96&lt;&gt;"",EDATE($D96,Milestones!$AA$160)&gt;=$T96),$W96,IF(AND($S96&lt;&gt;"",EDATE($D96,Milestones!$AA$160)&gt;=$S96),$V96,$U96)))=Milestones!$AB$160),UPPER(TEXT(EDATE($D96,Milestones!$AA$160),"dd mmm yy"))&amp;" "&amp;Milestones!$AB$160&amp;" "&amp;Milestones!$AC$160&amp;";  ","")&amp;IF(AND(EDATE($D96,Milestones!$AA$161)&lt;=AsOfDate,IF($R96=0,$X96,IF(AND($T96&lt;&gt;"",EDATE($D96,Milestones!$AA$161)&gt;=$T96),$W96,IF(AND($S96&lt;&gt;"",EDATE($D96,Milestones!$AA$161)&gt;=$S96),$V96,$U96)))=Milestones!$AB$161),UPPER(TEXT(EDATE($D96,Milestones!$AA$161),"dd mmm yy"))&amp;" "&amp;Milestones!$AB$161&amp;" "&amp;Milestones!$AC$161&amp;";  ","")&amp;IF(AND(EDATE($D96,Milestones!$AA$162)&lt;=AsOfDate,IF($R96=0,$X96,IF(AND($T96&lt;&gt;"",EDATE($D96,Milestones!$AA$162)&gt;=$T96),$W96,IF(AND($S96&lt;&gt;"",EDATE($D96,Milestones!$AA$162)&gt;=$S96),$V96,$U96)))=Milestones!$AB$162),UPPER(TEXT(EDATE($D96,Milestones!$AA$162),"dd mmm yy"))&amp;" "&amp;Milestones!$AB$162&amp;" "&amp;Milestones!$AC$162&amp;";  ","")&amp;IF(AND(EDATE($D96,Milestones!$AA$163)&lt;=AsOfDate,IF($R96=0,$X96,IF(AND($T96&lt;&gt;"",EDATE($D96,Milestones!$AA$163)&gt;=$T96),$W96,IF(AND($S96&lt;&gt;"",EDATE($D96,Milestones!$AA$163)&gt;=$S96),$V96,$U96)))=Milestones!$AB$163),UPPER(TEXT(EDATE($D96,Milestones!$AA$163),"dd mmm yy"))&amp;" "&amp;Milestones!$AB$163&amp;" "&amp;Milestones!$AC$163&amp;";  ","")&amp;IF(AND(EDATE($D96,Milestones!$AA$164)&lt;=AsOfDate,IF($R96=0,$X96,IF(AND($T96&lt;&gt;"",EDATE($D96,Milestones!$AA$164)&gt;=$T96),$W96,IF(AND($S96&lt;&gt;"",EDATE($D96,Milestones!$AA$164)&gt;=$S96),$V96,$U96)))=Milestones!$AB$164),UPPER(TEXT(EDATE($D96,Milestones!$AA$164),"dd mmm yy"))&amp;" "&amp;Milestones!$AB$164&amp;" "&amp;Milestones!$AC$164&amp;";  ","")&amp;IF(AND(EDATE($D96,Milestones!$AA$165)&lt;=AsOfDate,IF($R96=0,$X96,IF(AND($T96&lt;&gt;"",EDATE($D96,Milestones!$AA$165)&gt;=$T96),$W96,IF(AND($S96&lt;&gt;"",EDATE($D96,Milestones!$AA$165)&gt;=$S96),$V96,$U96)))=Milestones!$AB$165),UPPER(TEXT(EDATE($D96,Milestones!$AA$165),"dd mmm yy"))&amp;" "&amp;Milestones!$AB$165&amp;" "&amp;Milestones!$AC$165&amp;";  ","")&amp;IF(AND(EDATE($D96,Milestones!$AA$166)&lt;=AsOfDate,IF($R96=0,$X96,IF(AND($T96&lt;&gt;"",EDATE($D96,Milestones!$AA$166)&gt;=$T96),$W96,IF(AND($S96&lt;&gt;"",EDATE($D96,Milestones!$AA$166)&gt;=$S96),$V96,$U96)))=Milestones!$AB$166),UPPER(TEXT(EDATE($D96,Milestones!$AA$166),"dd mmm yy"))&amp;" "&amp;Milestones!$AB$166&amp;" "&amp;Milestones!$AC$166&amp;";  ","")&amp;IF(AND(EDATE($D96,Milestones!$AA$167)&lt;=AsOfDate,IF($R96=0,$X96,IF(AND($T96&lt;&gt;"",EDATE($D96,Milestones!$AA$167)&gt;=$T96),$W96,IF(AND($S96&lt;&gt;"",EDATE($D96,Milestones!$AA$167)&gt;=$S96),$V96,$U96)))=Milestones!$AB$167),UPPER(TEXT(EDATE($D96,Milestones!$AA$167),"dd mmm yy"))&amp;" "&amp;Milestones!$AB$167&amp;" "&amp;Milestones!$AC$167&amp;";  ","")&amp;IF(AND(EDATE($D96,Milestones!$AA$168)&lt;=AsOfDate,IF($R96=0,$X96,IF(AND($T96&lt;&gt;"",EDATE($D96,Milestones!$AA$168)&gt;=$T96),$W96,IF(AND($S96&lt;&gt;"",EDATE($D96,Milestones!$AA$168)&gt;=$S96),$V96,$U96)))=Milestones!$AB$168),UPPER(TEXT(EDATE($D96,Milestones!$AA$168),"dd mmm yy"))&amp;" "&amp;Milestones!$AB$168&amp;" "&amp;Milestones!$AC$168&amp;";  ","")&amp;IF(AND(EDATE($D96,Milestones!$AA$169)&lt;=AsOfDate,IF($R96=0,$X96,IF(AND($T96&lt;&gt;"",EDATE($D96,Milestones!$AA$169)&gt;=$T96),$W96,IF(AND($S96&lt;&gt;"",EDATE($D96,Milestones!$AA$169)&gt;=$S96),$V96,$U96)))=Milestones!$AB$169),UPPER(TEXT(EDATE($D96,Milestones!$AA$169),"dd mmm yy"))&amp;" "&amp;Milestones!$AB$169&amp;" "&amp;Milestones!$AC$169&amp;";  ","")&amp;IF(AND(EDATE($D96,Milestones!$AA$170)&lt;=AsOfDate,IF($R96=0,$X96,IF(AND($T96&lt;&gt;"",EDATE($D96,Milestones!$AA$170)&gt;=$T96),$W96,IF(AND($S96&lt;&gt;"",EDATE($D96,Milestones!$AA$170)&gt;=$S96),$V96,$U96)))=Milestones!$AB$170),UPPER(TEXT(EDATE($D96,Milestones!$AA$170),"dd mmm yy"))&amp;" "&amp;Milestones!$AB$170&amp;" "&amp;Milestones!$AC$170&amp;";  ","")&amp;IF(AND(EDATE($D96,Milestones!$AA$171)&lt;=AsOfDate,IF($R96=0,$X96,IF(AND($T96&lt;&gt;"",EDATE($D96,Milestones!$AA$171)&gt;=$T96),$W96,IF(AND($S96&lt;&gt;"",EDATE($D96,Milestones!$AA$171)&gt;=$S96),$V96,$U96)))=Milestones!$AB$171),UPPER(TEXT(EDATE($D96,Milestones!$AA$171),"dd mmm yy"))&amp;" "&amp;Milestones!$AB$171&amp;" "&amp;Milestones!$AC$171&amp;";  ","")&amp;IF(AND(EDATE($D96,Milestones!$AA$172)&lt;=AsOfDate,IF($R96=0,$X96,IF(AND($T96&lt;&gt;"",EDATE($D96,Milestones!$AA$172)&gt;=$T96),$W96,IF(AND($S96&lt;&gt;"",EDATE($D96,Milestones!$AA$172)&gt;=$S96),$V96,$U96)))=Milestones!$AB$172),UPPER(TEXT(EDATE($D96,Milestones!$AA$172),"dd mmm yy"))&amp;" "&amp;Milestones!$AB$172&amp;" "&amp;Milestones!$AC$172&amp;";  ","")&amp;IF(AND(EDATE($D96,Milestones!$AA$173)&lt;=AsOfDate,IF($R96=0,$X96,IF(AND($T96&lt;&gt;"",EDATE($D96,Milestones!$AA$173)&gt;=$T96),$W96,IF(AND($S96&lt;&gt;"",EDATE($D96,Milestones!$AA$173)&gt;=$S96),$V96,$U96)))=Milestones!$AB$173),UPPER(TEXT(EDATE($D96,Milestones!$AA$173),"dd mmm yy"))&amp;" "&amp;Milestones!$AB$173&amp;" "&amp;Milestones!$AC$173&amp;";  ","")&amp;IF(AND(EDATE($D96,Milestones!$AA$174)&lt;=AsOfDate,IF($R96=0,$X96,IF(AND($T96&lt;&gt;"",EDATE($D96,Milestones!$AA$174)&gt;=$T96),$W96,IF(AND($S96&lt;&gt;"",EDATE($D96,Milestones!$AA$174)&gt;=$S96),$V96,$U96)))=Milestones!$AB$174),UPPER(TEXT(EDATE($D96,Milestones!$AA$174),"dd mmm yy"))&amp;" "&amp;Milestones!$AB$174&amp;" "&amp;Milestones!$AC$174&amp;";  ","")&amp;IF(AND(EDATE($D96,Milestones!$AA$175)&lt;=AsOfDate,IF($R96=0,$X96,IF(AND($T96&lt;&gt;"",EDATE($D96,Milestones!$AA$175)&gt;=$T96),$W96,IF(AND($S96&lt;&gt;"",EDATE($D96,Milestones!$AA$175)&gt;=$S96),$V96,$U96)))=Milestones!$AB$175),UPPER(TEXT(EDATE($D96,Milestones!$AA$175),"dd mmm yy"))&amp;" "&amp;Milestones!$AB$175&amp;" "&amp;Milestones!$AC$175&amp;";  ","")&amp;IF(AND(EDATE($D96,Milestones!$AA$176)&lt;=AsOfDate,IF($R96=0,$X96,IF(AND($T96&lt;&gt;"",EDATE($D96,Milestones!$AA$176)&gt;=$T96),$W96,IF(AND($S96&lt;&gt;"",EDATE($D96,Milestones!$AA$176)&gt;=$S96),$V96,$U96)))=Milestones!$AB$176),UPPER(TEXT(EDATE($D96,Milestones!$AA$176),"dd mmm yy"))&amp;" "&amp;Milestones!$AB$176&amp;" "&amp;Milestones!$AC$176&amp;";  ","")&amp;IF(AND(EDATE($D96,Milestones!$AA$177)&lt;=AsOfDate,IF($R96=0,$X96,IF(AND($T96&lt;&gt;"",EDATE($D96,Milestones!$AA$177)&gt;=$T96),$W96,IF(AND($S96&lt;&gt;"",EDATE($D96,Milestones!$AA$177)&gt;=$S96),$V96,$U96)))=Milestones!$AB$177),UPPER(TEXT(EDATE($D96,Milestones!$AA$177),"dd mmm yy"))&amp;" "&amp;Milestones!$AB$177&amp;" "&amp;Milestones!$AC$177&amp;";  ","")&amp;IF(AND(EDATE($D96,Milestones!$AA$178)&lt;=AsOfDate,IF($R96=0,$X96,IF(AND($T96&lt;&gt;"",EDATE($D96,Milestones!$AA$178)&gt;=$T96),$W96,IF(AND($S96&lt;&gt;"",EDATE($D96,Milestones!$AA$178)&gt;=$S96),$V96,$U96)))=Milestones!$AB$178),UPPER(TEXT(EDATE($D96,Milestones!$AA$178),"dd mmm yy"))&amp;" "&amp;Milestones!$AB$178&amp;" "&amp;Milestones!$AC$178&amp;";  ","")&amp;IF(AND(EDATE($D96,Milestones!$AA$179)&lt;=AsOfDate,IF($R96=0,$X96,IF(AND($T96&lt;&gt;"",EDATE($D96,Milestones!$AA$179)&gt;=$T96),$W96,IF(AND($S96&lt;&gt;"",EDATE($D96,Milestones!$AA$179)&gt;=$S96),$V96,$U96)))=Milestones!$AB$179),UPPER(TEXT(EDATE($D96,Milestones!$AA$179),"dd mmm yy"))&amp;" "&amp;Milestones!$AB$179&amp;" "&amp;Milestones!$AC$179&amp;";  ",""))</f>
        <v/>
      </c>
      <c r="Q96" s="0" t="str">
        <f aca="false">IF(OR($A96="",$D96=""),"",IF(AND(EDATE($D96,Milestones!$AA$180)&lt;=AsOfDate,IF($R96=0,$X96,IF(AND($T96&lt;&gt;"",EDATE($D96,Milestones!$AA$180)&gt;=$T96),$W96,IF(AND($S96&lt;&gt;"",EDATE($D96,Milestones!$AA$180)&gt;=$S96),$V96,$U96)))=Milestones!$AB$180),UPPER(TEXT(EDATE($D96,Milestones!$AA$180),"dd mmm yy"))&amp;" "&amp;Milestones!$AB$180&amp;" "&amp;Milestones!$AC$180&amp;";  ","")&amp;IF(AND(EDATE($D96,Milestones!$AA$181)&lt;=AsOfDate,IF($R96=0,$X96,IF(AND($T96&lt;&gt;"",EDATE($D96,Milestones!$AA$181)&gt;=$T96),$W96,IF(AND($S96&lt;&gt;"",EDATE($D96,Milestones!$AA$181)&gt;=$S96),$V96,$U96)))=Milestones!$AB$181),UPPER(TEXT(EDATE($D96,Milestones!$AA$181),"dd mmm yy"))&amp;" "&amp;Milestones!$AB$181&amp;" "&amp;Milestones!$AC$181&amp;";  ","")&amp;IF(AND(EDATE($D96,Milestones!$AA$182)&lt;=AsOfDate,IF($R96=0,$X96,IF(AND($T96&lt;&gt;"",EDATE($D96,Milestones!$AA$182)&gt;=$T96),$W96,IF(AND($S96&lt;&gt;"",EDATE($D96,Milestones!$AA$182)&gt;=$S96),$V96,$U96)))=Milestones!$AB$182),UPPER(TEXT(EDATE($D96,Milestones!$AA$182),"dd mmm yy"))&amp;" "&amp;Milestones!$AB$182&amp;" "&amp;Milestones!$AC$182&amp;";  ","")&amp;IF(AND(EDATE($D96,Milestones!$AA$183)&lt;=AsOfDate,IF($R96=0,$X96,IF(AND($T96&lt;&gt;"",EDATE($D96,Milestones!$AA$183)&gt;=$T96),$W96,IF(AND($S96&lt;&gt;"",EDATE($D96,Milestones!$AA$183)&gt;=$S96),$V96,$U96)))=Milestones!$AB$183),UPPER(TEXT(EDATE($D96,Milestones!$AA$183),"dd mmm yy"))&amp;" "&amp;Milestones!$AB$183&amp;" "&amp;Milestones!$AC$183&amp;";  ","")&amp;IF(AND(EDATE($D96,Milestones!$AA$184)&lt;=AsOfDate,IF($R96=0,$X96,IF(AND($T96&lt;&gt;"",EDATE($D96,Milestones!$AA$184)&gt;=$T96),$W96,IF(AND($S96&lt;&gt;"",EDATE($D96,Milestones!$AA$184)&gt;=$S96),$V96,$U96)))=Milestones!$AB$184),UPPER(TEXT(EDATE($D96,Milestones!$AA$184),"dd mmm yy"))&amp;" "&amp;Milestones!$AB$184&amp;" "&amp;Milestones!$AC$184&amp;";  ","")&amp;IF(AND(EDATE($D96,Milestones!$AA$185)&lt;=AsOfDate,IF($R96=0,$X96,IF(AND($T96&lt;&gt;"",EDATE($D96,Milestones!$AA$185)&gt;=$T96),$W96,IF(AND($S96&lt;&gt;"",EDATE($D96,Milestones!$AA$185)&gt;=$S96),$V96,$U96)))=Milestones!$AB$185),UPPER(TEXT(EDATE($D96,Milestones!$AA$185),"dd mmm yy"))&amp;" "&amp;Milestones!$AB$185&amp;" "&amp;Milestones!$AC$185&amp;";  ","")&amp;IF(AND(EDATE($D96,Milestones!$AA$186)&lt;=AsOfDate,IF($R96=0,$X96,IF(AND($T96&lt;&gt;"",EDATE($D96,Milestones!$AA$186)&gt;=$T96),$W96,IF(AND($S96&lt;&gt;"",EDATE($D96,Milestones!$AA$186)&gt;=$S96),$V96,$U96)))=Milestones!$AB$186),UPPER(TEXT(EDATE($D96,Milestones!$AA$186),"dd mmm yy"))&amp;" "&amp;Milestones!$AB$186&amp;" "&amp;Milestones!$AC$186&amp;";  ","")&amp;IF(AND(EDATE($D96,Milestones!$AA$187)&lt;=AsOfDate,IF($R96=0,$X96,IF(AND($T96&lt;&gt;"",EDATE($D96,Milestones!$AA$187)&gt;=$T96),$W96,IF(AND($S96&lt;&gt;"",EDATE($D96,Milestones!$AA$187)&gt;=$S96),$V96,$U96)))=Milestones!$AB$187),UPPER(TEXT(EDATE($D96,Milestones!$AA$187),"dd mmm yy"))&amp;" "&amp;Milestones!$AB$187&amp;" "&amp;Milestones!$AC$187&amp;";  ","")&amp;IF(AND(EDATE($D96,Milestones!$AA$188)&lt;=AsOfDate,IF($R96=0,$X96,IF(AND($T96&lt;&gt;"",EDATE($D96,Milestones!$AA$188)&gt;=$T96),$W96,IF(AND($S96&lt;&gt;"",EDATE($D96,Milestones!$AA$188)&gt;=$S96),$V96,$U96)))=Milestones!$AB$188),UPPER(TEXT(EDATE($D96,Milestones!$AA$188),"dd mmm yy"))&amp;" "&amp;Milestones!$AB$188&amp;" "&amp;Milestones!$AC$188&amp;";  ","")&amp;IF(AND(EDATE($D96,Milestones!$AA$189)&lt;=AsOfDate,IF($R96=0,$X96,IF(AND($T96&lt;&gt;"",EDATE($D96,Milestones!$AA$189)&gt;=$T96),$W96,IF(AND($S96&lt;&gt;"",EDATE($D96,Milestones!$AA$189)&gt;=$S96),$V96,$U96)))=Milestones!$AB$189),UPPER(TEXT(EDATE($D96,Milestones!$AA$189),"dd mmm yy"))&amp;" "&amp;Milestones!$AB$189&amp;" "&amp;Milestones!$AC$189&amp;";  ","")&amp;IF(AND(EDATE($D96,Milestones!$AA$190)&lt;=AsOfDate,IF($R96=0,$X96,IF(AND($T96&lt;&gt;"",EDATE($D96,Milestones!$AA$190)&gt;=$T96),$W96,IF(AND($S96&lt;&gt;"",EDATE($D96,Milestones!$AA$190)&gt;=$S96),$V96,$U96)))=Milestones!$AB$190),UPPER(TEXT(EDATE($D96,Milestones!$AA$190),"dd mmm yy"))&amp;" "&amp;Milestones!$AB$190&amp;" "&amp;Milestones!$AC$190&amp;";  ","")&amp;IF(AND(EDATE($D96,Milestones!$AA$191)&lt;=AsOfDate,IF($R96=0,$X96,IF(AND($T96&lt;&gt;"",EDATE($D96,Milestones!$AA$191)&gt;=$T96),$W96,IF(AND($S96&lt;&gt;"",EDATE($D96,Milestones!$AA$191)&gt;=$S96),$V96,$U96)))=Milestones!$AB$191),UPPER(TEXT(EDATE($D96,Milestones!$AA$191),"dd mmm yy"))&amp;" "&amp;Milestones!$AB$191&amp;" "&amp;Milestones!$AC$191&amp;";  ","")&amp;IF(AND(EDATE($D96,Milestones!$AA$192)&lt;=AsOfDate,IF($R96=0,$X96,IF(AND($T96&lt;&gt;"",EDATE($D96,Milestones!$AA$192)&gt;=$T96),$W96,IF(AND($S96&lt;&gt;"",EDATE($D96,Milestones!$AA$192)&gt;=$S96),$V96,$U96)))=Milestones!$AB$192),UPPER(TEXT(EDATE($D96,Milestones!$AA$192),"dd mmm yy"))&amp;" "&amp;Milestones!$AB$192&amp;" "&amp;Milestones!$AC$192&amp;";  ","")&amp;IF(AND(EDATE($D96,Milestones!$AA$193)&lt;=AsOfDate,IF($R96=0,$X96,IF(AND($T96&lt;&gt;"",EDATE($D96,Milestones!$AA$193)&gt;=$T96),$W96,IF(AND($S96&lt;&gt;"",EDATE($D96,Milestones!$AA$193)&gt;=$S96),$V96,$U96)))=Milestones!$AB$193),UPPER(TEXT(EDATE($D96,Milestones!$AA$193),"dd mmm yy"))&amp;" "&amp;Milestones!$AB$193&amp;" "&amp;Milestones!$AC$193&amp;";  ","")&amp;IF(AND(EDATE($D96,Milestones!$AA$194)&lt;=AsOfDate,IF($R96=0,$X96,IF(AND($T96&lt;&gt;"",EDATE($D96,Milestones!$AA$194)&gt;=$T96),$W96,IF(AND($S96&lt;&gt;"",EDATE($D96,Milestones!$AA$194)&gt;=$S96),$V96,$U96)))=Milestones!$AB$194),UPPER(TEXT(EDATE($D96,Milestones!$AA$194),"dd mmm yy"))&amp;" "&amp;Milestones!$AB$194&amp;" "&amp;Milestones!$AC$194&amp;";  ","")&amp;IF(AND(EDATE($D96,Milestones!$AA$195)&lt;=AsOfDate,IF($R96=0,$X96,IF(AND($T96&lt;&gt;"",EDATE($D96,Milestones!$AA$195)&gt;=$T96),$W96,IF(AND($S96&lt;&gt;"",EDATE($D96,Milestones!$AA$195)&gt;=$S96),$V96,$U96)))=Milestones!$AB$195),UPPER(TEXT(EDATE($D96,Milestones!$AA$195),"dd mmm yy"))&amp;" "&amp;Milestones!$AB$195&amp;" "&amp;Milestones!$AC$195&amp;";  ","")&amp;IF(AND(EDATE($D96,Milestones!$AA$196)&lt;=AsOfDate,IF($R96=0,$X96,IF(AND($T96&lt;&gt;"",EDATE($D96,Milestones!$AA$196)&gt;=$T96),$W96,IF(AND($S96&lt;&gt;"",EDATE($D96,Milestones!$AA$196)&gt;=$S96),$V96,$U96)))=Milestones!$AB$196),UPPER(TEXT(EDATE($D96,Milestones!$AA$196),"dd mmm yy"))&amp;" "&amp;Milestones!$AB$196&amp;" "&amp;Milestones!$AC$196&amp;";  ","")&amp;IF(AND(EDATE($D96,Milestones!$AA$197)&lt;=AsOfDate,IF($R96=0,$X96,IF(AND($T96&lt;&gt;"",EDATE($D96,Milestones!$AA$197)&gt;=$T96),$W96,IF(AND($S96&lt;&gt;"",EDATE($D96,Milestones!$AA$197)&gt;=$S96),$V96,$U96)))=Milestones!$AB$197),UPPER(TEXT(EDATE($D96,Milestones!$AA$197),"dd mmm yy"))&amp;" "&amp;Milestones!$AB$197&amp;" "&amp;Milestones!$AC$197&amp;";  ","")&amp;IF(AND(EDATE($D96,Milestones!$AA$198)&lt;=AsOfDate,IF($R96=0,$X96,IF(AND($T96&lt;&gt;"",EDATE($D96,Milestones!$AA$198)&gt;=$T96),$W96,IF(AND($S96&lt;&gt;"",EDATE($D96,Milestones!$AA$198)&gt;=$S96),$V96,$U96)))=Milestones!$AB$198),UPPER(TEXT(EDATE($D96,Milestones!$AA$198),"dd mmm yy"))&amp;" "&amp;Milestones!$AB$198&amp;" "&amp;Milestones!$AC$198&amp;";  ","")&amp;IF(AND(EDATE($D96,Milestones!$AA$199)&lt;=AsOfDate,IF($R96=0,$X96,IF(AND($T96&lt;&gt;"",EDATE($D96,Milestones!$AA$199)&gt;=$T96),$W96,IF(AND($S96&lt;&gt;"",EDATE($D96,Milestones!$AA$199)&gt;=$S96),$V96,$U96)))=Milestones!$AB$199),UPPER(TEXT(EDATE($D96,Milestones!$AA$199),"dd mmm yy"))&amp;" "&amp;Milestones!$AB$199&amp;" "&amp;Milestones!$AC$199&amp;";  ",""))</f>
        <v/>
      </c>
      <c r="R96" s="0" t="str">
        <f aca="false">IF(Staff!$A96="","",Staff!$AI96)</f>
        <v/>
      </c>
      <c r="S96" s="0" t="str">
        <f aca="false">IF(Staff!$A96="","",Staff!$AK96)</f>
        <v/>
      </c>
      <c r="T96" s="0" t="str">
        <f aca="false">IF(Staff!$A96="","",Staff!$AL96)</f>
        <v/>
      </c>
      <c r="U96" s="0" t="str">
        <f aca="false">IF(Staff!$A96="","",Staff!$AP96)</f>
        <v/>
      </c>
      <c r="V96" s="0" t="str">
        <f aca="false">IF(Staff!$A96="","",Staff!$AQ96)</f>
        <v/>
      </c>
      <c r="W96" s="0" t="str">
        <f aca="false">IF(Staff!$A96="","",Staff!$AR96)</f>
        <v/>
      </c>
      <c r="X96" s="0" t="str">
        <f aca="false">IF(Staff!$A96="","",Staff!$AS96)</f>
        <v/>
      </c>
    </row>
    <row r="97" customFormat="false" ht="15" hidden="false" customHeight="false" outlineLevel="0" collapsed="false">
      <c r="A97" s="19" t="str">
        <f aca="false">IF(Staff!$A97="","",Staff!$A97)</f>
        <v/>
      </c>
      <c r="B97" s="19" t="str">
        <f aca="false">IF(Staff!$A97="","",Staff!$B97)</f>
        <v/>
      </c>
      <c r="C97" s="19" t="str">
        <f aca="false">IF(Staff!$A97="","",Staff!$C97)</f>
        <v/>
      </c>
      <c r="D97" s="17" t="str">
        <f aca="false">IF(Staff!$A97="","",Staff!$AH97)</f>
        <v/>
      </c>
      <c r="E97" s="19" t="str">
        <f aca="false">IF(Staff!$A97="","",Staff!$O97)</f>
        <v/>
      </c>
      <c r="F97" s="19" t="str">
        <f aca="false">IF(E97="","",E97*HoursPerDay)</f>
        <v/>
      </c>
      <c r="G97" s="19" t="str">
        <f aca="false">IF(Staff!$A97="","",Staff!$AE97)</f>
        <v/>
      </c>
      <c r="H97" s="32" t="str">
        <f aca="false">IF($A97="","",I97&amp;J97&amp;K97&amp;L97&amp;M97&amp;N97&amp;O97&amp;P97&amp;Q97)</f>
        <v/>
      </c>
      <c r="I97" s="0" t="str">
        <f aca="false">IF(OR($A97="",$D97=""),"",IF(AND(EDATE($D97,Milestones!$AA$20)&lt;=AsOfDate,IF($R97=0,$X97,IF(AND($T97&lt;&gt;"",EDATE($D97,Milestones!$AA$20)&gt;=$T97),$W97,IF(AND($S97&lt;&gt;"",EDATE($D97,Milestones!$AA$20)&gt;=$S97),$V97,$U97)))=Milestones!$AB$20),UPPER(TEXT(EDATE($D97,Milestones!$AA$20),"dd mmm yy"))&amp;" "&amp;Milestones!$AB$20&amp;" "&amp;Milestones!$AC$20&amp;";  ","")&amp;IF(AND(EDATE($D97,Milestones!$AA$21)&lt;=AsOfDate,IF($R97=0,$X97,IF(AND($T97&lt;&gt;"",EDATE($D97,Milestones!$AA$21)&gt;=$T97),$W97,IF(AND($S97&lt;&gt;"",EDATE($D97,Milestones!$AA$21)&gt;=$S97),$V97,$U97)))=Milestones!$AB$21),UPPER(TEXT(EDATE($D97,Milestones!$AA$21),"dd mmm yy"))&amp;" "&amp;Milestones!$AB$21&amp;" "&amp;Milestones!$AC$21&amp;";  ","")&amp;IF(AND(EDATE($D97,Milestones!$AA$22)&lt;=AsOfDate,IF($R97=0,$X97,IF(AND($T97&lt;&gt;"",EDATE($D97,Milestones!$AA$22)&gt;=$T97),$W97,IF(AND($S97&lt;&gt;"",EDATE($D97,Milestones!$AA$22)&gt;=$S97),$V97,$U97)))=Milestones!$AB$22),UPPER(TEXT(EDATE($D97,Milestones!$AA$22),"dd mmm yy"))&amp;" "&amp;Milestones!$AB$22&amp;" "&amp;Milestones!$AC$22&amp;";  ","")&amp;IF(AND(EDATE($D97,Milestones!$AA$23)&lt;=AsOfDate,IF($R97=0,$X97,IF(AND($T97&lt;&gt;"",EDATE($D97,Milestones!$AA$23)&gt;=$T97),$W97,IF(AND($S97&lt;&gt;"",EDATE($D97,Milestones!$AA$23)&gt;=$S97),$V97,$U97)))=Milestones!$AB$23),UPPER(TEXT(EDATE($D97,Milestones!$AA$23),"dd mmm yy"))&amp;" "&amp;Milestones!$AB$23&amp;" "&amp;Milestones!$AC$23&amp;";  ","")&amp;IF(AND(EDATE($D97,Milestones!$AA$24)&lt;=AsOfDate,IF($R97=0,$X97,IF(AND($T97&lt;&gt;"",EDATE($D97,Milestones!$AA$24)&gt;=$T97),$W97,IF(AND($S97&lt;&gt;"",EDATE($D97,Milestones!$AA$24)&gt;=$S97),$V97,$U97)))=Milestones!$AB$24),UPPER(TEXT(EDATE($D97,Milestones!$AA$24),"dd mmm yy"))&amp;" "&amp;Milestones!$AB$24&amp;" "&amp;Milestones!$AC$24&amp;";  ","")&amp;IF(AND(EDATE($D97,Milestones!$AA$25)&lt;=AsOfDate,IF($R97=0,$X97,IF(AND($T97&lt;&gt;"",EDATE($D97,Milestones!$AA$25)&gt;=$T97),$W97,IF(AND($S97&lt;&gt;"",EDATE($D97,Milestones!$AA$25)&gt;=$S97),$V97,$U97)))=Milestones!$AB$25),UPPER(TEXT(EDATE($D97,Milestones!$AA$25),"dd mmm yy"))&amp;" "&amp;Milestones!$AB$25&amp;" "&amp;Milestones!$AC$25&amp;";  ","")&amp;IF(AND(EDATE($D97,Milestones!$AA$26)&lt;=AsOfDate,IF($R97=0,$X97,IF(AND($T97&lt;&gt;"",EDATE($D97,Milestones!$AA$26)&gt;=$T97),$W97,IF(AND($S97&lt;&gt;"",EDATE($D97,Milestones!$AA$26)&gt;=$S97),$V97,$U97)))=Milestones!$AB$26),UPPER(TEXT(EDATE($D97,Milestones!$AA$26),"dd mmm yy"))&amp;" "&amp;Milestones!$AB$26&amp;" "&amp;Milestones!$AC$26&amp;";  ","")&amp;IF(AND(EDATE($D97,Milestones!$AA$27)&lt;=AsOfDate,IF($R97=0,$X97,IF(AND($T97&lt;&gt;"",EDATE($D97,Milestones!$AA$27)&gt;=$T97),$W97,IF(AND($S97&lt;&gt;"",EDATE($D97,Milestones!$AA$27)&gt;=$S97),$V97,$U97)))=Milestones!$AB$27),UPPER(TEXT(EDATE($D97,Milestones!$AA$27),"dd mmm yy"))&amp;" "&amp;Milestones!$AB$27&amp;" "&amp;Milestones!$AC$27&amp;";  ","")&amp;IF(AND(EDATE($D97,Milestones!$AA$28)&lt;=AsOfDate,IF($R97=0,$X97,IF(AND($T97&lt;&gt;"",EDATE($D97,Milestones!$AA$28)&gt;=$T97),$W97,IF(AND($S97&lt;&gt;"",EDATE($D97,Milestones!$AA$28)&gt;=$S97),$V97,$U97)))=Milestones!$AB$28),UPPER(TEXT(EDATE($D97,Milestones!$AA$28),"dd mmm yy"))&amp;" "&amp;Milestones!$AB$28&amp;" "&amp;Milestones!$AC$28&amp;";  ","")&amp;IF(AND(EDATE($D97,Milestones!$AA$29)&lt;=AsOfDate,IF($R97=0,$X97,IF(AND($T97&lt;&gt;"",EDATE($D97,Milestones!$AA$29)&gt;=$T97),$W97,IF(AND($S97&lt;&gt;"",EDATE($D97,Milestones!$AA$29)&gt;=$S97),$V97,$U97)))=Milestones!$AB$29),UPPER(TEXT(EDATE($D97,Milestones!$AA$29),"dd mmm yy"))&amp;" "&amp;Milestones!$AB$29&amp;" "&amp;Milestones!$AC$29&amp;";  ","")&amp;IF(AND(EDATE($D97,Milestones!$AA$30)&lt;=AsOfDate,IF($R97=0,$X97,IF(AND($T97&lt;&gt;"",EDATE($D97,Milestones!$AA$30)&gt;=$T97),$W97,IF(AND($S97&lt;&gt;"",EDATE($D97,Milestones!$AA$30)&gt;=$S97),$V97,$U97)))=Milestones!$AB$30),UPPER(TEXT(EDATE($D97,Milestones!$AA$30),"dd mmm yy"))&amp;" "&amp;Milestones!$AB$30&amp;" "&amp;Milestones!$AC$30&amp;";  ","")&amp;IF(AND(EDATE($D97,Milestones!$AA$31)&lt;=AsOfDate,IF($R97=0,$X97,IF(AND($T97&lt;&gt;"",EDATE($D97,Milestones!$AA$31)&gt;=$T97),$W97,IF(AND($S97&lt;&gt;"",EDATE($D97,Milestones!$AA$31)&gt;=$S97),$V97,$U97)))=Milestones!$AB$31),UPPER(TEXT(EDATE($D97,Milestones!$AA$31),"dd mmm yy"))&amp;" "&amp;Milestones!$AB$31&amp;" "&amp;Milestones!$AC$31&amp;";  ","")&amp;IF(AND(EDATE($D97,Milestones!$AA$32)&lt;=AsOfDate,IF($R97=0,$X97,IF(AND($T97&lt;&gt;"",EDATE($D97,Milestones!$AA$32)&gt;=$T97),$W97,IF(AND($S97&lt;&gt;"",EDATE($D97,Milestones!$AA$32)&gt;=$S97),$V97,$U97)))=Milestones!$AB$32),UPPER(TEXT(EDATE($D97,Milestones!$AA$32),"dd mmm yy"))&amp;" "&amp;Milestones!$AB$32&amp;" "&amp;Milestones!$AC$32&amp;";  ","")&amp;IF(AND(EDATE($D97,Milestones!$AA$33)&lt;=AsOfDate,IF($R97=0,$X97,IF(AND($T97&lt;&gt;"",EDATE($D97,Milestones!$AA$33)&gt;=$T97),$W97,IF(AND($S97&lt;&gt;"",EDATE($D97,Milestones!$AA$33)&gt;=$S97),$V97,$U97)))=Milestones!$AB$33),UPPER(TEXT(EDATE($D97,Milestones!$AA$33),"dd mmm yy"))&amp;" "&amp;Milestones!$AB$33&amp;" "&amp;Milestones!$AC$33&amp;";  ","")&amp;IF(AND(EDATE($D97,Milestones!$AA$34)&lt;=AsOfDate,IF($R97=0,$X97,IF(AND($T97&lt;&gt;"",EDATE($D97,Milestones!$AA$34)&gt;=$T97),$W97,IF(AND($S97&lt;&gt;"",EDATE($D97,Milestones!$AA$34)&gt;=$S97),$V97,$U97)))=Milestones!$AB$34),UPPER(TEXT(EDATE($D97,Milestones!$AA$34),"dd mmm yy"))&amp;" "&amp;Milestones!$AB$34&amp;" "&amp;Milestones!$AC$34&amp;";  ","")&amp;IF(AND(EDATE($D97,Milestones!$AA$35)&lt;=AsOfDate,IF($R97=0,$X97,IF(AND($T97&lt;&gt;"",EDATE($D97,Milestones!$AA$35)&gt;=$T97),$W97,IF(AND($S97&lt;&gt;"",EDATE($D97,Milestones!$AA$35)&gt;=$S97),$V97,$U97)))=Milestones!$AB$35),UPPER(TEXT(EDATE($D97,Milestones!$AA$35),"dd mmm yy"))&amp;" "&amp;Milestones!$AB$35&amp;" "&amp;Milestones!$AC$35&amp;";  ","")&amp;IF(AND(EDATE($D97,Milestones!$AA$36)&lt;=AsOfDate,IF($R97=0,$X97,IF(AND($T97&lt;&gt;"",EDATE($D97,Milestones!$AA$36)&gt;=$T97),$W97,IF(AND($S97&lt;&gt;"",EDATE($D97,Milestones!$AA$36)&gt;=$S97),$V97,$U97)))=Milestones!$AB$36),UPPER(TEXT(EDATE($D97,Milestones!$AA$36),"dd mmm yy"))&amp;" "&amp;Milestones!$AB$36&amp;" "&amp;Milestones!$AC$36&amp;";  ","")&amp;IF(AND(EDATE($D97,Milestones!$AA$37)&lt;=AsOfDate,IF($R97=0,$X97,IF(AND($T97&lt;&gt;"",EDATE($D97,Milestones!$AA$37)&gt;=$T97),$W97,IF(AND($S97&lt;&gt;"",EDATE($D97,Milestones!$AA$37)&gt;=$S97),$V97,$U97)))=Milestones!$AB$37),UPPER(TEXT(EDATE($D97,Milestones!$AA$37),"dd mmm yy"))&amp;" "&amp;Milestones!$AB$37&amp;" "&amp;Milestones!$AC$37&amp;";  ","")&amp;IF(AND(EDATE($D97,Milestones!$AA$38)&lt;=AsOfDate,IF($R97=0,$X97,IF(AND($T97&lt;&gt;"",EDATE($D97,Milestones!$AA$38)&gt;=$T97),$W97,IF(AND($S97&lt;&gt;"",EDATE($D97,Milestones!$AA$38)&gt;=$S97),$V97,$U97)))=Milestones!$AB$38),UPPER(TEXT(EDATE($D97,Milestones!$AA$38),"dd mmm yy"))&amp;" "&amp;Milestones!$AB$38&amp;" "&amp;Milestones!$AC$38&amp;";  ","")&amp;IF(AND(EDATE($D97,Milestones!$AA$39)&lt;=AsOfDate,IF($R97=0,$X97,IF(AND($T97&lt;&gt;"",EDATE($D97,Milestones!$AA$39)&gt;=$T97),$W97,IF(AND($S97&lt;&gt;"",EDATE($D97,Milestones!$AA$39)&gt;=$S97),$V97,$U97)))=Milestones!$AB$39),UPPER(TEXT(EDATE($D97,Milestones!$AA$39),"dd mmm yy"))&amp;" "&amp;Milestones!$AB$39&amp;" "&amp;Milestones!$AC$39&amp;";  ",""))</f>
        <v/>
      </c>
      <c r="J97" s="0" t="str">
        <f aca="false">IF(OR($A97="",$D97=""),"",IF(AND(EDATE($D97,Milestones!$AA$40)&lt;=AsOfDate,IF($R97=0,$X97,IF(AND($T97&lt;&gt;"",EDATE($D97,Milestones!$AA$40)&gt;=$T97),$W97,IF(AND($S97&lt;&gt;"",EDATE($D97,Milestones!$AA$40)&gt;=$S97),$V97,$U97)))=Milestones!$AB$40),UPPER(TEXT(EDATE($D97,Milestones!$AA$40),"dd mmm yy"))&amp;" "&amp;Milestones!$AB$40&amp;" "&amp;Milestones!$AC$40&amp;";  ","")&amp;IF(AND(EDATE($D97,Milestones!$AA$41)&lt;=AsOfDate,IF($R97=0,$X97,IF(AND($T97&lt;&gt;"",EDATE($D97,Milestones!$AA$41)&gt;=$T97),$W97,IF(AND($S97&lt;&gt;"",EDATE($D97,Milestones!$AA$41)&gt;=$S97),$V97,$U97)))=Milestones!$AB$41),UPPER(TEXT(EDATE($D97,Milestones!$AA$41),"dd mmm yy"))&amp;" "&amp;Milestones!$AB$41&amp;" "&amp;Milestones!$AC$41&amp;";  ","")&amp;IF(AND(EDATE($D97,Milestones!$AA$42)&lt;=AsOfDate,IF($R97=0,$X97,IF(AND($T97&lt;&gt;"",EDATE($D97,Milestones!$AA$42)&gt;=$T97),$W97,IF(AND($S97&lt;&gt;"",EDATE($D97,Milestones!$AA$42)&gt;=$S97),$V97,$U97)))=Milestones!$AB$42),UPPER(TEXT(EDATE($D97,Milestones!$AA$42),"dd mmm yy"))&amp;" "&amp;Milestones!$AB$42&amp;" "&amp;Milestones!$AC$42&amp;";  ","")&amp;IF(AND(EDATE($D97,Milestones!$AA$43)&lt;=AsOfDate,IF($R97=0,$X97,IF(AND($T97&lt;&gt;"",EDATE($D97,Milestones!$AA$43)&gt;=$T97),$W97,IF(AND($S97&lt;&gt;"",EDATE($D97,Milestones!$AA$43)&gt;=$S97),$V97,$U97)))=Milestones!$AB$43),UPPER(TEXT(EDATE($D97,Milestones!$AA$43),"dd mmm yy"))&amp;" "&amp;Milestones!$AB$43&amp;" "&amp;Milestones!$AC$43&amp;";  ","")&amp;IF(AND(EDATE($D97,Milestones!$AA$44)&lt;=AsOfDate,IF($R97=0,$X97,IF(AND($T97&lt;&gt;"",EDATE($D97,Milestones!$AA$44)&gt;=$T97),$W97,IF(AND($S97&lt;&gt;"",EDATE($D97,Milestones!$AA$44)&gt;=$S97),$V97,$U97)))=Milestones!$AB$44),UPPER(TEXT(EDATE($D97,Milestones!$AA$44),"dd mmm yy"))&amp;" "&amp;Milestones!$AB$44&amp;" "&amp;Milestones!$AC$44&amp;";  ","")&amp;IF(AND(EDATE($D97,Milestones!$AA$45)&lt;=AsOfDate,IF($R97=0,$X97,IF(AND($T97&lt;&gt;"",EDATE($D97,Milestones!$AA$45)&gt;=$T97),$W97,IF(AND($S97&lt;&gt;"",EDATE($D97,Milestones!$AA$45)&gt;=$S97),$V97,$U97)))=Milestones!$AB$45),UPPER(TEXT(EDATE($D97,Milestones!$AA$45),"dd mmm yy"))&amp;" "&amp;Milestones!$AB$45&amp;" "&amp;Milestones!$AC$45&amp;";  ","")&amp;IF(AND(EDATE($D97,Milestones!$AA$46)&lt;=AsOfDate,IF($R97=0,$X97,IF(AND($T97&lt;&gt;"",EDATE($D97,Milestones!$AA$46)&gt;=$T97),$W97,IF(AND($S97&lt;&gt;"",EDATE($D97,Milestones!$AA$46)&gt;=$S97),$V97,$U97)))=Milestones!$AB$46),UPPER(TEXT(EDATE($D97,Milestones!$AA$46),"dd mmm yy"))&amp;" "&amp;Milestones!$AB$46&amp;" "&amp;Milestones!$AC$46&amp;";  ","")&amp;IF(AND(EDATE($D97,Milestones!$AA$47)&lt;=AsOfDate,IF($R97=0,$X97,IF(AND($T97&lt;&gt;"",EDATE($D97,Milestones!$AA$47)&gt;=$T97),$W97,IF(AND($S97&lt;&gt;"",EDATE($D97,Milestones!$AA$47)&gt;=$S97),$V97,$U97)))=Milestones!$AB$47),UPPER(TEXT(EDATE($D97,Milestones!$AA$47),"dd mmm yy"))&amp;" "&amp;Milestones!$AB$47&amp;" "&amp;Milestones!$AC$47&amp;";  ","")&amp;IF(AND(EDATE($D97,Milestones!$AA$48)&lt;=AsOfDate,IF($R97=0,$X97,IF(AND($T97&lt;&gt;"",EDATE($D97,Milestones!$AA$48)&gt;=$T97),$W97,IF(AND($S97&lt;&gt;"",EDATE($D97,Milestones!$AA$48)&gt;=$S97),$V97,$U97)))=Milestones!$AB$48),UPPER(TEXT(EDATE($D97,Milestones!$AA$48),"dd mmm yy"))&amp;" "&amp;Milestones!$AB$48&amp;" "&amp;Milestones!$AC$48&amp;";  ","")&amp;IF(AND(EDATE($D97,Milestones!$AA$49)&lt;=AsOfDate,IF($R97=0,$X97,IF(AND($T97&lt;&gt;"",EDATE($D97,Milestones!$AA$49)&gt;=$T97),$W97,IF(AND($S97&lt;&gt;"",EDATE($D97,Milestones!$AA$49)&gt;=$S97),$V97,$U97)))=Milestones!$AB$49),UPPER(TEXT(EDATE($D97,Milestones!$AA$49),"dd mmm yy"))&amp;" "&amp;Milestones!$AB$49&amp;" "&amp;Milestones!$AC$49&amp;";  ","")&amp;IF(AND(EDATE($D97,Milestones!$AA$50)&lt;=AsOfDate,IF($R97=0,$X97,IF(AND($T97&lt;&gt;"",EDATE($D97,Milestones!$AA$50)&gt;=$T97),$W97,IF(AND($S97&lt;&gt;"",EDATE($D97,Milestones!$AA$50)&gt;=$S97),$V97,$U97)))=Milestones!$AB$50),UPPER(TEXT(EDATE($D97,Milestones!$AA$50),"dd mmm yy"))&amp;" "&amp;Milestones!$AB$50&amp;" "&amp;Milestones!$AC$50&amp;";  ","")&amp;IF(AND(EDATE($D97,Milestones!$AA$51)&lt;=AsOfDate,IF($R97=0,$X97,IF(AND($T97&lt;&gt;"",EDATE($D97,Milestones!$AA$51)&gt;=$T97),$W97,IF(AND($S97&lt;&gt;"",EDATE($D97,Milestones!$AA$51)&gt;=$S97),$V97,$U97)))=Milestones!$AB$51),UPPER(TEXT(EDATE($D97,Milestones!$AA$51),"dd mmm yy"))&amp;" "&amp;Milestones!$AB$51&amp;" "&amp;Milestones!$AC$51&amp;";  ","")&amp;IF(AND(EDATE($D97,Milestones!$AA$52)&lt;=AsOfDate,IF($R97=0,$X97,IF(AND($T97&lt;&gt;"",EDATE($D97,Milestones!$AA$52)&gt;=$T97),$W97,IF(AND($S97&lt;&gt;"",EDATE($D97,Milestones!$AA$52)&gt;=$S97),$V97,$U97)))=Milestones!$AB$52),UPPER(TEXT(EDATE($D97,Milestones!$AA$52),"dd mmm yy"))&amp;" "&amp;Milestones!$AB$52&amp;" "&amp;Milestones!$AC$52&amp;";  ","")&amp;IF(AND(EDATE($D97,Milestones!$AA$53)&lt;=AsOfDate,IF($R97=0,$X97,IF(AND($T97&lt;&gt;"",EDATE($D97,Milestones!$AA$53)&gt;=$T97),$W97,IF(AND($S97&lt;&gt;"",EDATE($D97,Milestones!$AA$53)&gt;=$S97),$V97,$U97)))=Milestones!$AB$53),UPPER(TEXT(EDATE($D97,Milestones!$AA$53),"dd mmm yy"))&amp;" "&amp;Milestones!$AB$53&amp;" "&amp;Milestones!$AC$53&amp;";  ","")&amp;IF(AND(EDATE($D97,Milestones!$AA$54)&lt;=AsOfDate,IF($R97=0,$X97,IF(AND($T97&lt;&gt;"",EDATE($D97,Milestones!$AA$54)&gt;=$T97),$W97,IF(AND($S97&lt;&gt;"",EDATE($D97,Milestones!$AA$54)&gt;=$S97),$V97,$U97)))=Milestones!$AB$54),UPPER(TEXT(EDATE($D97,Milestones!$AA$54),"dd mmm yy"))&amp;" "&amp;Milestones!$AB$54&amp;" "&amp;Milestones!$AC$54&amp;";  ","")&amp;IF(AND(EDATE($D97,Milestones!$AA$55)&lt;=AsOfDate,IF($R97=0,$X97,IF(AND($T97&lt;&gt;"",EDATE($D97,Milestones!$AA$55)&gt;=$T97),$W97,IF(AND($S97&lt;&gt;"",EDATE($D97,Milestones!$AA$55)&gt;=$S97),$V97,$U97)))=Milestones!$AB$55),UPPER(TEXT(EDATE($D97,Milestones!$AA$55),"dd mmm yy"))&amp;" "&amp;Milestones!$AB$55&amp;" "&amp;Milestones!$AC$55&amp;";  ","")&amp;IF(AND(EDATE($D97,Milestones!$AA$56)&lt;=AsOfDate,IF($R97=0,$X97,IF(AND($T97&lt;&gt;"",EDATE($D97,Milestones!$AA$56)&gt;=$T97),$W97,IF(AND($S97&lt;&gt;"",EDATE($D97,Milestones!$AA$56)&gt;=$S97),$V97,$U97)))=Milestones!$AB$56),UPPER(TEXT(EDATE($D97,Milestones!$AA$56),"dd mmm yy"))&amp;" "&amp;Milestones!$AB$56&amp;" "&amp;Milestones!$AC$56&amp;";  ","")&amp;IF(AND(EDATE($D97,Milestones!$AA$57)&lt;=AsOfDate,IF($R97=0,$X97,IF(AND($T97&lt;&gt;"",EDATE($D97,Milestones!$AA$57)&gt;=$T97),$W97,IF(AND($S97&lt;&gt;"",EDATE($D97,Milestones!$AA$57)&gt;=$S97),$V97,$U97)))=Milestones!$AB$57),UPPER(TEXT(EDATE($D97,Milestones!$AA$57),"dd mmm yy"))&amp;" "&amp;Milestones!$AB$57&amp;" "&amp;Milestones!$AC$57&amp;";  ","")&amp;IF(AND(EDATE($D97,Milestones!$AA$58)&lt;=AsOfDate,IF($R97=0,$X97,IF(AND($T97&lt;&gt;"",EDATE($D97,Milestones!$AA$58)&gt;=$T97),$W97,IF(AND($S97&lt;&gt;"",EDATE($D97,Milestones!$AA$58)&gt;=$S97),$V97,$U97)))=Milestones!$AB$58),UPPER(TEXT(EDATE($D97,Milestones!$AA$58),"dd mmm yy"))&amp;" "&amp;Milestones!$AB$58&amp;" "&amp;Milestones!$AC$58&amp;";  ","")&amp;IF(AND(EDATE($D97,Milestones!$AA$59)&lt;=AsOfDate,IF($R97=0,$X97,IF(AND($T97&lt;&gt;"",EDATE($D97,Milestones!$AA$59)&gt;=$T97),$W97,IF(AND($S97&lt;&gt;"",EDATE($D97,Milestones!$AA$59)&gt;=$S97),$V97,$U97)))=Milestones!$AB$59),UPPER(TEXT(EDATE($D97,Milestones!$AA$59),"dd mmm yy"))&amp;" "&amp;Milestones!$AB$59&amp;" "&amp;Milestones!$AC$59&amp;";  ",""))</f>
        <v/>
      </c>
      <c r="K97" s="0" t="str">
        <f aca="false">IF(OR($A97="",$D97=""),"",IF(AND(EDATE($D97,Milestones!$AA$60)&lt;=AsOfDate,IF($R97=0,$X97,IF(AND($T97&lt;&gt;"",EDATE($D97,Milestones!$AA$60)&gt;=$T97),$W97,IF(AND($S97&lt;&gt;"",EDATE($D97,Milestones!$AA$60)&gt;=$S97),$V97,$U97)))=Milestones!$AB$60),UPPER(TEXT(EDATE($D97,Milestones!$AA$60),"dd mmm yy"))&amp;" "&amp;Milestones!$AB$60&amp;" "&amp;Milestones!$AC$60&amp;";  ","")&amp;IF(AND(EDATE($D97,Milestones!$AA$61)&lt;=AsOfDate,IF($R97=0,$X97,IF(AND($T97&lt;&gt;"",EDATE($D97,Milestones!$AA$61)&gt;=$T97),$W97,IF(AND($S97&lt;&gt;"",EDATE($D97,Milestones!$AA$61)&gt;=$S97),$V97,$U97)))=Milestones!$AB$61),UPPER(TEXT(EDATE($D97,Milestones!$AA$61),"dd mmm yy"))&amp;" "&amp;Milestones!$AB$61&amp;" "&amp;Milestones!$AC$61&amp;";  ","")&amp;IF(AND(EDATE($D97,Milestones!$AA$62)&lt;=AsOfDate,IF($R97=0,$X97,IF(AND($T97&lt;&gt;"",EDATE($D97,Milestones!$AA$62)&gt;=$T97),$W97,IF(AND($S97&lt;&gt;"",EDATE($D97,Milestones!$AA$62)&gt;=$S97),$V97,$U97)))=Milestones!$AB$62),UPPER(TEXT(EDATE($D97,Milestones!$AA$62),"dd mmm yy"))&amp;" "&amp;Milestones!$AB$62&amp;" "&amp;Milestones!$AC$62&amp;";  ","")&amp;IF(AND(EDATE($D97,Milestones!$AA$63)&lt;=AsOfDate,IF($R97=0,$X97,IF(AND($T97&lt;&gt;"",EDATE($D97,Milestones!$AA$63)&gt;=$T97),$W97,IF(AND($S97&lt;&gt;"",EDATE($D97,Milestones!$AA$63)&gt;=$S97),$V97,$U97)))=Milestones!$AB$63),UPPER(TEXT(EDATE($D97,Milestones!$AA$63),"dd mmm yy"))&amp;" "&amp;Milestones!$AB$63&amp;" "&amp;Milestones!$AC$63&amp;";  ","")&amp;IF(AND(EDATE($D97,Milestones!$AA$64)&lt;=AsOfDate,IF($R97=0,$X97,IF(AND($T97&lt;&gt;"",EDATE($D97,Milestones!$AA$64)&gt;=$T97),$W97,IF(AND($S97&lt;&gt;"",EDATE($D97,Milestones!$AA$64)&gt;=$S97),$V97,$U97)))=Milestones!$AB$64),UPPER(TEXT(EDATE($D97,Milestones!$AA$64),"dd mmm yy"))&amp;" "&amp;Milestones!$AB$64&amp;" "&amp;Milestones!$AC$64&amp;";  ","")&amp;IF(AND(EDATE($D97,Milestones!$AA$65)&lt;=AsOfDate,IF($R97=0,$X97,IF(AND($T97&lt;&gt;"",EDATE($D97,Milestones!$AA$65)&gt;=$T97),$W97,IF(AND($S97&lt;&gt;"",EDATE($D97,Milestones!$AA$65)&gt;=$S97),$V97,$U97)))=Milestones!$AB$65),UPPER(TEXT(EDATE($D97,Milestones!$AA$65),"dd mmm yy"))&amp;" "&amp;Milestones!$AB$65&amp;" "&amp;Milestones!$AC$65&amp;";  ","")&amp;IF(AND(EDATE($D97,Milestones!$AA$66)&lt;=AsOfDate,IF($R97=0,$X97,IF(AND($T97&lt;&gt;"",EDATE($D97,Milestones!$AA$66)&gt;=$T97),$W97,IF(AND($S97&lt;&gt;"",EDATE($D97,Milestones!$AA$66)&gt;=$S97),$V97,$U97)))=Milestones!$AB$66),UPPER(TEXT(EDATE($D97,Milestones!$AA$66),"dd mmm yy"))&amp;" "&amp;Milestones!$AB$66&amp;" "&amp;Milestones!$AC$66&amp;";  ","")&amp;IF(AND(EDATE($D97,Milestones!$AA$67)&lt;=AsOfDate,IF($R97=0,$X97,IF(AND($T97&lt;&gt;"",EDATE($D97,Milestones!$AA$67)&gt;=$T97),$W97,IF(AND($S97&lt;&gt;"",EDATE($D97,Milestones!$AA$67)&gt;=$S97),$V97,$U97)))=Milestones!$AB$67),UPPER(TEXT(EDATE($D97,Milestones!$AA$67),"dd mmm yy"))&amp;" "&amp;Milestones!$AB$67&amp;" "&amp;Milestones!$AC$67&amp;";  ","")&amp;IF(AND(EDATE($D97,Milestones!$AA$68)&lt;=AsOfDate,IF($R97=0,$X97,IF(AND($T97&lt;&gt;"",EDATE($D97,Milestones!$AA$68)&gt;=$T97),$W97,IF(AND($S97&lt;&gt;"",EDATE($D97,Milestones!$AA$68)&gt;=$S97),$V97,$U97)))=Milestones!$AB$68),UPPER(TEXT(EDATE($D97,Milestones!$AA$68),"dd mmm yy"))&amp;" "&amp;Milestones!$AB$68&amp;" "&amp;Milestones!$AC$68&amp;";  ","")&amp;IF(AND(EDATE($D97,Milestones!$AA$69)&lt;=AsOfDate,IF($R97=0,$X97,IF(AND($T97&lt;&gt;"",EDATE($D97,Milestones!$AA$69)&gt;=$T97),$W97,IF(AND($S97&lt;&gt;"",EDATE($D97,Milestones!$AA$69)&gt;=$S97),$V97,$U97)))=Milestones!$AB$69),UPPER(TEXT(EDATE($D97,Milestones!$AA$69),"dd mmm yy"))&amp;" "&amp;Milestones!$AB$69&amp;" "&amp;Milestones!$AC$69&amp;";  ","")&amp;IF(AND(EDATE($D97,Milestones!$AA$70)&lt;=AsOfDate,IF($R97=0,$X97,IF(AND($T97&lt;&gt;"",EDATE($D97,Milestones!$AA$70)&gt;=$T97),$W97,IF(AND($S97&lt;&gt;"",EDATE($D97,Milestones!$AA$70)&gt;=$S97),$V97,$U97)))=Milestones!$AB$70),UPPER(TEXT(EDATE($D97,Milestones!$AA$70),"dd mmm yy"))&amp;" "&amp;Milestones!$AB$70&amp;" "&amp;Milestones!$AC$70&amp;";  ","")&amp;IF(AND(EDATE($D97,Milestones!$AA$71)&lt;=AsOfDate,IF($R97=0,$X97,IF(AND($T97&lt;&gt;"",EDATE($D97,Milestones!$AA$71)&gt;=$T97),$W97,IF(AND($S97&lt;&gt;"",EDATE($D97,Milestones!$AA$71)&gt;=$S97),$V97,$U97)))=Milestones!$AB$71),UPPER(TEXT(EDATE($D97,Milestones!$AA$71),"dd mmm yy"))&amp;" "&amp;Milestones!$AB$71&amp;" "&amp;Milestones!$AC$71&amp;";  ","")&amp;IF(AND(EDATE($D97,Milestones!$AA$72)&lt;=AsOfDate,IF($R97=0,$X97,IF(AND($T97&lt;&gt;"",EDATE($D97,Milestones!$AA$72)&gt;=$T97),$W97,IF(AND($S97&lt;&gt;"",EDATE($D97,Milestones!$AA$72)&gt;=$S97),$V97,$U97)))=Milestones!$AB$72),UPPER(TEXT(EDATE($D97,Milestones!$AA$72),"dd mmm yy"))&amp;" "&amp;Milestones!$AB$72&amp;" "&amp;Milestones!$AC$72&amp;";  ","")&amp;IF(AND(EDATE($D97,Milestones!$AA$73)&lt;=AsOfDate,IF($R97=0,$X97,IF(AND($T97&lt;&gt;"",EDATE($D97,Milestones!$AA$73)&gt;=$T97),$W97,IF(AND($S97&lt;&gt;"",EDATE($D97,Milestones!$AA$73)&gt;=$S97),$V97,$U97)))=Milestones!$AB$73),UPPER(TEXT(EDATE($D97,Milestones!$AA$73),"dd mmm yy"))&amp;" "&amp;Milestones!$AB$73&amp;" "&amp;Milestones!$AC$73&amp;";  ","")&amp;IF(AND(EDATE($D97,Milestones!$AA$74)&lt;=AsOfDate,IF($R97=0,$X97,IF(AND($T97&lt;&gt;"",EDATE($D97,Milestones!$AA$74)&gt;=$T97),$W97,IF(AND($S97&lt;&gt;"",EDATE($D97,Milestones!$AA$74)&gt;=$S97),$V97,$U97)))=Milestones!$AB$74),UPPER(TEXT(EDATE($D97,Milestones!$AA$74),"dd mmm yy"))&amp;" "&amp;Milestones!$AB$74&amp;" "&amp;Milestones!$AC$74&amp;";  ","")&amp;IF(AND(EDATE($D97,Milestones!$AA$75)&lt;=AsOfDate,IF($R97=0,$X97,IF(AND($T97&lt;&gt;"",EDATE($D97,Milestones!$AA$75)&gt;=$T97),$W97,IF(AND($S97&lt;&gt;"",EDATE($D97,Milestones!$AA$75)&gt;=$S97),$V97,$U97)))=Milestones!$AB$75),UPPER(TEXT(EDATE($D97,Milestones!$AA$75),"dd mmm yy"))&amp;" "&amp;Milestones!$AB$75&amp;" "&amp;Milestones!$AC$75&amp;";  ","")&amp;IF(AND(EDATE($D97,Milestones!$AA$76)&lt;=AsOfDate,IF($R97=0,$X97,IF(AND($T97&lt;&gt;"",EDATE($D97,Milestones!$AA$76)&gt;=$T97),$W97,IF(AND($S97&lt;&gt;"",EDATE($D97,Milestones!$AA$76)&gt;=$S97),$V97,$U97)))=Milestones!$AB$76),UPPER(TEXT(EDATE($D97,Milestones!$AA$76),"dd mmm yy"))&amp;" "&amp;Milestones!$AB$76&amp;" "&amp;Milestones!$AC$76&amp;";  ","")&amp;IF(AND(EDATE($D97,Milestones!$AA$77)&lt;=AsOfDate,IF($R97=0,$X97,IF(AND($T97&lt;&gt;"",EDATE($D97,Milestones!$AA$77)&gt;=$T97),$W97,IF(AND($S97&lt;&gt;"",EDATE($D97,Milestones!$AA$77)&gt;=$S97),$V97,$U97)))=Milestones!$AB$77),UPPER(TEXT(EDATE($D97,Milestones!$AA$77),"dd mmm yy"))&amp;" "&amp;Milestones!$AB$77&amp;" "&amp;Milestones!$AC$77&amp;";  ","")&amp;IF(AND(EDATE($D97,Milestones!$AA$78)&lt;=AsOfDate,IF($R97=0,$X97,IF(AND($T97&lt;&gt;"",EDATE($D97,Milestones!$AA$78)&gt;=$T97),$W97,IF(AND($S97&lt;&gt;"",EDATE($D97,Milestones!$AA$78)&gt;=$S97),$V97,$U97)))=Milestones!$AB$78),UPPER(TEXT(EDATE($D97,Milestones!$AA$78),"dd mmm yy"))&amp;" "&amp;Milestones!$AB$78&amp;" "&amp;Milestones!$AC$78&amp;";  ","")&amp;IF(AND(EDATE($D97,Milestones!$AA$79)&lt;=AsOfDate,IF($R97=0,$X97,IF(AND($T97&lt;&gt;"",EDATE($D97,Milestones!$AA$79)&gt;=$T97),$W97,IF(AND($S97&lt;&gt;"",EDATE($D97,Milestones!$AA$79)&gt;=$S97),$V97,$U97)))=Milestones!$AB$79),UPPER(TEXT(EDATE($D97,Milestones!$AA$79),"dd mmm yy"))&amp;" "&amp;Milestones!$AB$79&amp;" "&amp;Milestones!$AC$79&amp;";  ",""))</f>
        <v/>
      </c>
      <c r="L97" s="0" t="str">
        <f aca="false">IF(OR($A97="",$D97=""),"",IF(AND(EDATE($D97,Milestones!$AA$80)&lt;=AsOfDate,IF($R97=0,$X97,IF(AND($T97&lt;&gt;"",EDATE($D97,Milestones!$AA$80)&gt;=$T97),$W97,IF(AND($S97&lt;&gt;"",EDATE($D97,Milestones!$AA$80)&gt;=$S97),$V97,$U97)))=Milestones!$AB$80),UPPER(TEXT(EDATE($D97,Milestones!$AA$80),"dd mmm yy"))&amp;" "&amp;Milestones!$AB$80&amp;" "&amp;Milestones!$AC$80&amp;";  ","")&amp;IF(AND(EDATE($D97,Milestones!$AA$81)&lt;=AsOfDate,IF($R97=0,$X97,IF(AND($T97&lt;&gt;"",EDATE($D97,Milestones!$AA$81)&gt;=$T97),$W97,IF(AND($S97&lt;&gt;"",EDATE($D97,Milestones!$AA$81)&gt;=$S97),$V97,$U97)))=Milestones!$AB$81),UPPER(TEXT(EDATE($D97,Milestones!$AA$81),"dd mmm yy"))&amp;" "&amp;Milestones!$AB$81&amp;" "&amp;Milestones!$AC$81&amp;";  ","")&amp;IF(AND(EDATE($D97,Milestones!$AA$82)&lt;=AsOfDate,IF($R97=0,$X97,IF(AND($T97&lt;&gt;"",EDATE($D97,Milestones!$AA$82)&gt;=$T97),$W97,IF(AND($S97&lt;&gt;"",EDATE($D97,Milestones!$AA$82)&gt;=$S97),$V97,$U97)))=Milestones!$AB$82),UPPER(TEXT(EDATE($D97,Milestones!$AA$82),"dd mmm yy"))&amp;" "&amp;Milestones!$AB$82&amp;" "&amp;Milestones!$AC$82&amp;";  ","")&amp;IF(AND(EDATE($D97,Milestones!$AA$83)&lt;=AsOfDate,IF($R97=0,$X97,IF(AND($T97&lt;&gt;"",EDATE($D97,Milestones!$AA$83)&gt;=$T97),$W97,IF(AND($S97&lt;&gt;"",EDATE($D97,Milestones!$AA$83)&gt;=$S97),$V97,$U97)))=Milestones!$AB$83),UPPER(TEXT(EDATE($D97,Milestones!$AA$83),"dd mmm yy"))&amp;" "&amp;Milestones!$AB$83&amp;" "&amp;Milestones!$AC$83&amp;";  ","")&amp;IF(AND(EDATE($D97,Milestones!$AA$84)&lt;=AsOfDate,IF($R97=0,$X97,IF(AND($T97&lt;&gt;"",EDATE($D97,Milestones!$AA$84)&gt;=$T97),$W97,IF(AND($S97&lt;&gt;"",EDATE($D97,Milestones!$AA$84)&gt;=$S97),$V97,$U97)))=Milestones!$AB$84),UPPER(TEXT(EDATE($D97,Milestones!$AA$84),"dd mmm yy"))&amp;" "&amp;Milestones!$AB$84&amp;" "&amp;Milestones!$AC$84&amp;";  ","")&amp;IF(AND(EDATE($D97,Milestones!$AA$85)&lt;=AsOfDate,IF($R97=0,$X97,IF(AND($T97&lt;&gt;"",EDATE($D97,Milestones!$AA$85)&gt;=$T97),$W97,IF(AND($S97&lt;&gt;"",EDATE($D97,Milestones!$AA$85)&gt;=$S97),$V97,$U97)))=Milestones!$AB$85),UPPER(TEXT(EDATE($D97,Milestones!$AA$85),"dd mmm yy"))&amp;" "&amp;Milestones!$AB$85&amp;" "&amp;Milestones!$AC$85&amp;";  ","")&amp;IF(AND(EDATE($D97,Milestones!$AA$86)&lt;=AsOfDate,IF($R97=0,$X97,IF(AND($T97&lt;&gt;"",EDATE($D97,Milestones!$AA$86)&gt;=$T97),$W97,IF(AND($S97&lt;&gt;"",EDATE($D97,Milestones!$AA$86)&gt;=$S97),$V97,$U97)))=Milestones!$AB$86),UPPER(TEXT(EDATE($D97,Milestones!$AA$86),"dd mmm yy"))&amp;" "&amp;Milestones!$AB$86&amp;" "&amp;Milestones!$AC$86&amp;";  ","")&amp;IF(AND(EDATE($D97,Milestones!$AA$87)&lt;=AsOfDate,IF($R97=0,$X97,IF(AND($T97&lt;&gt;"",EDATE($D97,Milestones!$AA$87)&gt;=$T97),$W97,IF(AND($S97&lt;&gt;"",EDATE($D97,Milestones!$AA$87)&gt;=$S97),$V97,$U97)))=Milestones!$AB$87),UPPER(TEXT(EDATE($D97,Milestones!$AA$87),"dd mmm yy"))&amp;" "&amp;Milestones!$AB$87&amp;" "&amp;Milestones!$AC$87&amp;";  ","")&amp;IF(AND(EDATE($D97,Milestones!$AA$88)&lt;=AsOfDate,IF($R97=0,$X97,IF(AND($T97&lt;&gt;"",EDATE($D97,Milestones!$AA$88)&gt;=$T97),$W97,IF(AND($S97&lt;&gt;"",EDATE($D97,Milestones!$AA$88)&gt;=$S97),$V97,$U97)))=Milestones!$AB$88),UPPER(TEXT(EDATE($D97,Milestones!$AA$88),"dd mmm yy"))&amp;" "&amp;Milestones!$AB$88&amp;" "&amp;Milestones!$AC$88&amp;";  ","")&amp;IF(AND(EDATE($D97,Milestones!$AA$89)&lt;=AsOfDate,IF($R97=0,$X97,IF(AND($T97&lt;&gt;"",EDATE($D97,Milestones!$AA$89)&gt;=$T97),$W97,IF(AND($S97&lt;&gt;"",EDATE($D97,Milestones!$AA$89)&gt;=$S97),$V97,$U97)))=Milestones!$AB$89),UPPER(TEXT(EDATE($D97,Milestones!$AA$89),"dd mmm yy"))&amp;" "&amp;Milestones!$AB$89&amp;" "&amp;Milestones!$AC$89&amp;";  ","")&amp;IF(AND(EDATE($D97,Milestones!$AA$90)&lt;=AsOfDate,IF($R97=0,$X97,IF(AND($T97&lt;&gt;"",EDATE($D97,Milestones!$AA$90)&gt;=$T97),$W97,IF(AND($S97&lt;&gt;"",EDATE($D97,Milestones!$AA$90)&gt;=$S97),$V97,$U97)))=Milestones!$AB$90),UPPER(TEXT(EDATE($D97,Milestones!$AA$90),"dd mmm yy"))&amp;" "&amp;Milestones!$AB$90&amp;" "&amp;Milestones!$AC$90&amp;";  ","")&amp;IF(AND(EDATE($D97,Milestones!$AA$91)&lt;=AsOfDate,IF($R97=0,$X97,IF(AND($T97&lt;&gt;"",EDATE($D97,Milestones!$AA$91)&gt;=$T97),$W97,IF(AND($S97&lt;&gt;"",EDATE($D97,Milestones!$AA$91)&gt;=$S97),$V97,$U97)))=Milestones!$AB$91),UPPER(TEXT(EDATE($D97,Milestones!$AA$91),"dd mmm yy"))&amp;" "&amp;Milestones!$AB$91&amp;" "&amp;Milestones!$AC$91&amp;";  ","")&amp;IF(AND(EDATE($D97,Milestones!$AA$92)&lt;=AsOfDate,IF($R97=0,$X97,IF(AND($T97&lt;&gt;"",EDATE($D97,Milestones!$AA$92)&gt;=$T97),$W97,IF(AND($S97&lt;&gt;"",EDATE($D97,Milestones!$AA$92)&gt;=$S97),$V97,$U97)))=Milestones!$AB$92),UPPER(TEXT(EDATE($D97,Milestones!$AA$92),"dd mmm yy"))&amp;" "&amp;Milestones!$AB$92&amp;" "&amp;Milestones!$AC$92&amp;";  ","")&amp;IF(AND(EDATE($D97,Milestones!$AA$93)&lt;=AsOfDate,IF($R97=0,$X97,IF(AND($T97&lt;&gt;"",EDATE($D97,Milestones!$AA$93)&gt;=$T97),$W97,IF(AND($S97&lt;&gt;"",EDATE($D97,Milestones!$AA$93)&gt;=$S97),$V97,$U97)))=Milestones!$AB$93),UPPER(TEXT(EDATE($D97,Milestones!$AA$93),"dd mmm yy"))&amp;" "&amp;Milestones!$AB$93&amp;" "&amp;Milestones!$AC$93&amp;";  ","")&amp;IF(AND(EDATE($D97,Milestones!$AA$94)&lt;=AsOfDate,IF($R97=0,$X97,IF(AND($T97&lt;&gt;"",EDATE($D97,Milestones!$AA$94)&gt;=$T97),$W97,IF(AND($S97&lt;&gt;"",EDATE($D97,Milestones!$AA$94)&gt;=$S97),$V97,$U97)))=Milestones!$AB$94),UPPER(TEXT(EDATE($D97,Milestones!$AA$94),"dd mmm yy"))&amp;" "&amp;Milestones!$AB$94&amp;" "&amp;Milestones!$AC$94&amp;";  ","")&amp;IF(AND(EDATE($D97,Milestones!$AA$95)&lt;=AsOfDate,IF($R97=0,$X97,IF(AND($T97&lt;&gt;"",EDATE($D97,Milestones!$AA$95)&gt;=$T97),$W97,IF(AND($S97&lt;&gt;"",EDATE($D97,Milestones!$AA$95)&gt;=$S97),$V97,$U97)))=Milestones!$AB$95),UPPER(TEXT(EDATE($D97,Milestones!$AA$95),"dd mmm yy"))&amp;" "&amp;Milestones!$AB$95&amp;" "&amp;Milestones!$AC$95&amp;";  ","")&amp;IF(AND(EDATE($D97,Milestones!$AA$96)&lt;=AsOfDate,IF($R97=0,$X97,IF(AND($T97&lt;&gt;"",EDATE($D97,Milestones!$AA$96)&gt;=$T97),$W97,IF(AND($S97&lt;&gt;"",EDATE($D97,Milestones!$AA$96)&gt;=$S97),$V97,$U97)))=Milestones!$AB$96),UPPER(TEXT(EDATE($D97,Milestones!$AA$96),"dd mmm yy"))&amp;" "&amp;Milestones!$AB$96&amp;" "&amp;Milestones!$AC$96&amp;";  ","")&amp;IF(AND(EDATE($D97,Milestones!$AA$97)&lt;=AsOfDate,IF($R97=0,$X97,IF(AND($T97&lt;&gt;"",EDATE($D97,Milestones!$AA$97)&gt;=$T97),$W97,IF(AND($S97&lt;&gt;"",EDATE($D97,Milestones!$AA$97)&gt;=$S97),$V97,$U97)))=Milestones!$AB$97),UPPER(TEXT(EDATE($D97,Milestones!$AA$97),"dd mmm yy"))&amp;" "&amp;Milestones!$AB$97&amp;" "&amp;Milestones!$AC$97&amp;";  ","")&amp;IF(AND(EDATE($D97,Milestones!$AA$98)&lt;=AsOfDate,IF($R97=0,$X97,IF(AND($T97&lt;&gt;"",EDATE($D97,Milestones!$AA$98)&gt;=$T97),$W97,IF(AND($S97&lt;&gt;"",EDATE($D97,Milestones!$AA$98)&gt;=$S97),$V97,$U97)))=Milestones!$AB$98),UPPER(TEXT(EDATE($D97,Milestones!$AA$98),"dd mmm yy"))&amp;" "&amp;Milestones!$AB$98&amp;" "&amp;Milestones!$AC$98&amp;";  ","")&amp;IF(AND(EDATE($D97,Milestones!$AA$99)&lt;=AsOfDate,IF($R97=0,$X97,IF(AND($T97&lt;&gt;"",EDATE($D97,Milestones!$AA$99)&gt;=$T97),$W97,IF(AND($S97&lt;&gt;"",EDATE($D97,Milestones!$AA$99)&gt;=$S97),$V97,$U97)))=Milestones!$AB$99),UPPER(TEXT(EDATE($D97,Milestones!$AA$99),"dd mmm yy"))&amp;" "&amp;Milestones!$AB$99&amp;" "&amp;Milestones!$AC$99&amp;";  ",""))</f>
        <v/>
      </c>
      <c r="M97" s="0" t="str">
        <f aca="false">IF(OR($A97="",$D97=""),"",IF(AND(EDATE($D97,Milestones!$AA$100)&lt;=AsOfDate,IF($R97=0,$X97,IF(AND($T97&lt;&gt;"",EDATE($D97,Milestones!$AA$100)&gt;=$T97),$W97,IF(AND($S97&lt;&gt;"",EDATE($D97,Milestones!$AA$100)&gt;=$S97),$V97,$U97)))=Milestones!$AB$100),UPPER(TEXT(EDATE($D97,Milestones!$AA$100),"dd mmm yy"))&amp;" "&amp;Milestones!$AB$100&amp;" "&amp;Milestones!$AC$100&amp;";  ","")&amp;IF(AND(EDATE($D97,Milestones!$AA$101)&lt;=AsOfDate,IF($R97=0,$X97,IF(AND($T97&lt;&gt;"",EDATE($D97,Milestones!$AA$101)&gt;=$T97),$W97,IF(AND($S97&lt;&gt;"",EDATE($D97,Milestones!$AA$101)&gt;=$S97),$V97,$U97)))=Milestones!$AB$101),UPPER(TEXT(EDATE($D97,Milestones!$AA$101),"dd mmm yy"))&amp;" "&amp;Milestones!$AB$101&amp;" "&amp;Milestones!$AC$101&amp;";  ","")&amp;IF(AND(EDATE($D97,Milestones!$AA$102)&lt;=AsOfDate,IF($R97=0,$X97,IF(AND($T97&lt;&gt;"",EDATE($D97,Milestones!$AA$102)&gt;=$T97),$W97,IF(AND($S97&lt;&gt;"",EDATE($D97,Milestones!$AA$102)&gt;=$S97),$V97,$U97)))=Milestones!$AB$102),UPPER(TEXT(EDATE($D97,Milestones!$AA$102),"dd mmm yy"))&amp;" "&amp;Milestones!$AB$102&amp;" "&amp;Milestones!$AC$102&amp;";  ","")&amp;IF(AND(EDATE($D97,Milestones!$AA$103)&lt;=AsOfDate,IF($R97=0,$X97,IF(AND($T97&lt;&gt;"",EDATE($D97,Milestones!$AA$103)&gt;=$T97),$W97,IF(AND($S97&lt;&gt;"",EDATE($D97,Milestones!$AA$103)&gt;=$S97),$V97,$U97)))=Milestones!$AB$103),UPPER(TEXT(EDATE($D97,Milestones!$AA$103),"dd mmm yy"))&amp;" "&amp;Milestones!$AB$103&amp;" "&amp;Milestones!$AC$103&amp;";  ","")&amp;IF(AND(EDATE($D97,Milestones!$AA$104)&lt;=AsOfDate,IF($R97=0,$X97,IF(AND($T97&lt;&gt;"",EDATE($D97,Milestones!$AA$104)&gt;=$T97),$W97,IF(AND($S97&lt;&gt;"",EDATE($D97,Milestones!$AA$104)&gt;=$S97),$V97,$U97)))=Milestones!$AB$104),UPPER(TEXT(EDATE($D97,Milestones!$AA$104),"dd mmm yy"))&amp;" "&amp;Milestones!$AB$104&amp;" "&amp;Milestones!$AC$104&amp;";  ","")&amp;IF(AND(EDATE($D97,Milestones!$AA$105)&lt;=AsOfDate,IF($R97=0,$X97,IF(AND($T97&lt;&gt;"",EDATE($D97,Milestones!$AA$105)&gt;=$T97),$W97,IF(AND($S97&lt;&gt;"",EDATE($D97,Milestones!$AA$105)&gt;=$S97),$V97,$U97)))=Milestones!$AB$105),UPPER(TEXT(EDATE($D97,Milestones!$AA$105),"dd mmm yy"))&amp;" "&amp;Milestones!$AB$105&amp;" "&amp;Milestones!$AC$105&amp;";  ","")&amp;IF(AND(EDATE($D97,Milestones!$AA$106)&lt;=AsOfDate,IF($R97=0,$X97,IF(AND($T97&lt;&gt;"",EDATE($D97,Milestones!$AA$106)&gt;=$T97),$W97,IF(AND($S97&lt;&gt;"",EDATE($D97,Milestones!$AA$106)&gt;=$S97),$V97,$U97)))=Milestones!$AB$106),UPPER(TEXT(EDATE($D97,Milestones!$AA$106),"dd mmm yy"))&amp;" "&amp;Milestones!$AB$106&amp;" "&amp;Milestones!$AC$106&amp;";  ","")&amp;IF(AND(EDATE($D97,Milestones!$AA$107)&lt;=AsOfDate,IF($R97=0,$X97,IF(AND($T97&lt;&gt;"",EDATE($D97,Milestones!$AA$107)&gt;=$T97),$W97,IF(AND($S97&lt;&gt;"",EDATE($D97,Milestones!$AA$107)&gt;=$S97),$V97,$U97)))=Milestones!$AB$107),UPPER(TEXT(EDATE($D97,Milestones!$AA$107),"dd mmm yy"))&amp;" "&amp;Milestones!$AB$107&amp;" "&amp;Milestones!$AC$107&amp;";  ","")&amp;IF(AND(EDATE($D97,Milestones!$AA$108)&lt;=AsOfDate,IF($R97=0,$X97,IF(AND($T97&lt;&gt;"",EDATE($D97,Milestones!$AA$108)&gt;=$T97),$W97,IF(AND($S97&lt;&gt;"",EDATE($D97,Milestones!$AA$108)&gt;=$S97),$V97,$U97)))=Milestones!$AB$108),UPPER(TEXT(EDATE($D97,Milestones!$AA$108),"dd mmm yy"))&amp;" "&amp;Milestones!$AB$108&amp;" "&amp;Milestones!$AC$108&amp;";  ","")&amp;IF(AND(EDATE($D97,Milestones!$AA$109)&lt;=AsOfDate,IF($R97=0,$X97,IF(AND($T97&lt;&gt;"",EDATE($D97,Milestones!$AA$109)&gt;=$T97),$W97,IF(AND($S97&lt;&gt;"",EDATE($D97,Milestones!$AA$109)&gt;=$S97),$V97,$U97)))=Milestones!$AB$109),UPPER(TEXT(EDATE($D97,Milestones!$AA$109),"dd mmm yy"))&amp;" "&amp;Milestones!$AB$109&amp;" "&amp;Milestones!$AC$109&amp;";  ","")&amp;IF(AND(EDATE($D97,Milestones!$AA$110)&lt;=AsOfDate,IF($R97=0,$X97,IF(AND($T97&lt;&gt;"",EDATE($D97,Milestones!$AA$110)&gt;=$T97),$W97,IF(AND($S97&lt;&gt;"",EDATE($D97,Milestones!$AA$110)&gt;=$S97),$V97,$U97)))=Milestones!$AB$110),UPPER(TEXT(EDATE($D97,Milestones!$AA$110),"dd mmm yy"))&amp;" "&amp;Milestones!$AB$110&amp;" "&amp;Milestones!$AC$110&amp;";  ","")&amp;IF(AND(EDATE($D97,Milestones!$AA$111)&lt;=AsOfDate,IF($R97=0,$X97,IF(AND($T97&lt;&gt;"",EDATE($D97,Milestones!$AA$111)&gt;=$T97),$W97,IF(AND($S97&lt;&gt;"",EDATE($D97,Milestones!$AA$111)&gt;=$S97),$V97,$U97)))=Milestones!$AB$111),UPPER(TEXT(EDATE($D97,Milestones!$AA$111),"dd mmm yy"))&amp;" "&amp;Milestones!$AB$111&amp;" "&amp;Milestones!$AC$111&amp;";  ","")&amp;IF(AND(EDATE($D97,Milestones!$AA$112)&lt;=AsOfDate,IF($R97=0,$X97,IF(AND($T97&lt;&gt;"",EDATE($D97,Milestones!$AA$112)&gt;=$T97),$W97,IF(AND($S97&lt;&gt;"",EDATE($D97,Milestones!$AA$112)&gt;=$S97),$V97,$U97)))=Milestones!$AB$112),UPPER(TEXT(EDATE($D97,Milestones!$AA$112),"dd mmm yy"))&amp;" "&amp;Milestones!$AB$112&amp;" "&amp;Milestones!$AC$112&amp;";  ","")&amp;IF(AND(EDATE($D97,Milestones!$AA$113)&lt;=AsOfDate,IF($R97=0,$X97,IF(AND($T97&lt;&gt;"",EDATE($D97,Milestones!$AA$113)&gt;=$T97),$W97,IF(AND($S97&lt;&gt;"",EDATE($D97,Milestones!$AA$113)&gt;=$S97),$V97,$U97)))=Milestones!$AB$113),UPPER(TEXT(EDATE($D97,Milestones!$AA$113),"dd mmm yy"))&amp;" "&amp;Milestones!$AB$113&amp;" "&amp;Milestones!$AC$113&amp;";  ","")&amp;IF(AND(EDATE($D97,Milestones!$AA$114)&lt;=AsOfDate,IF($R97=0,$X97,IF(AND($T97&lt;&gt;"",EDATE($D97,Milestones!$AA$114)&gt;=$T97),$W97,IF(AND($S97&lt;&gt;"",EDATE($D97,Milestones!$AA$114)&gt;=$S97),$V97,$U97)))=Milestones!$AB$114),UPPER(TEXT(EDATE($D97,Milestones!$AA$114),"dd mmm yy"))&amp;" "&amp;Milestones!$AB$114&amp;" "&amp;Milestones!$AC$114&amp;";  ","")&amp;IF(AND(EDATE($D97,Milestones!$AA$115)&lt;=AsOfDate,IF($R97=0,$X97,IF(AND($T97&lt;&gt;"",EDATE($D97,Milestones!$AA$115)&gt;=$T97),$W97,IF(AND($S97&lt;&gt;"",EDATE($D97,Milestones!$AA$115)&gt;=$S97),$V97,$U97)))=Milestones!$AB$115),UPPER(TEXT(EDATE($D97,Milestones!$AA$115),"dd mmm yy"))&amp;" "&amp;Milestones!$AB$115&amp;" "&amp;Milestones!$AC$115&amp;";  ","")&amp;IF(AND(EDATE($D97,Milestones!$AA$116)&lt;=AsOfDate,IF($R97=0,$X97,IF(AND($T97&lt;&gt;"",EDATE($D97,Milestones!$AA$116)&gt;=$T97),$W97,IF(AND($S97&lt;&gt;"",EDATE($D97,Milestones!$AA$116)&gt;=$S97),$V97,$U97)))=Milestones!$AB$116),UPPER(TEXT(EDATE($D97,Milestones!$AA$116),"dd mmm yy"))&amp;" "&amp;Milestones!$AB$116&amp;" "&amp;Milestones!$AC$116&amp;";  ","")&amp;IF(AND(EDATE($D97,Milestones!$AA$117)&lt;=AsOfDate,IF($R97=0,$X97,IF(AND($T97&lt;&gt;"",EDATE($D97,Milestones!$AA$117)&gt;=$T97),$W97,IF(AND($S97&lt;&gt;"",EDATE($D97,Milestones!$AA$117)&gt;=$S97),$V97,$U97)))=Milestones!$AB$117),UPPER(TEXT(EDATE($D97,Milestones!$AA$117),"dd mmm yy"))&amp;" "&amp;Milestones!$AB$117&amp;" "&amp;Milestones!$AC$117&amp;";  ","")&amp;IF(AND(EDATE($D97,Milestones!$AA$118)&lt;=AsOfDate,IF($R97=0,$X97,IF(AND($T97&lt;&gt;"",EDATE($D97,Milestones!$AA$118)&gt;=$T97),$W97,IF(AND($S97&lt;&gt;"",EDATE($D97,Milestones!$AA$118)&gt;=$S97),$V97,$U97)))=Milestones!$AB$118),UPPER(TEXT(EDATE($D97,Milestones!$AA$118),"dd mmm yy"))&amp;" "&amp;Milestones!$AB$118&amp;" "&amp;Milestones!$AC$118&amp;";  ","")&amp;IF(AND(EDATE($D97,Milestones!$AA$119)&lt;=AsOfDate,IF($R97=0,$X97,IF(AND($T97&lt;&gt;"",EDATE($D97,Milestones!$AA$119)&gt;=$T97),$W97,IF(AND($S97&lt;&gt;"",EDATE($D97,Milestones!$AA$119)&gt;=$S97),$V97,$U97)))=Milestones!$AB$119),UPPER(TEXT(EDATE($D97,Milestones!$AA$119),"dd mmm yy"))&amp;" "&amp;Milestones!$AB$119&amp;" "&amp;Milestones!$AC$119&amp;";  ",""))</f>
        <v/>
      </c>
      <c r="N97" s="0" t="str">
        <f aca="false">IF(OR($A97="",$D97=""),"",IF(AND(EDATE($D97,Milestones!$AA$120)&lt;=AsOfDate,IF($R97=0,$X97,IF(AND($T97&lt;&gt;"",EDATE($D97,Milestones!$AA$120)&gt;=$T97),$W97,IF(AND($S97&lt;&gt;"",EDATE($D97,Milestones!$AA$120)&gt;=$S97),$V97,$U97)))=Milestones!$AB$120),UPPER(TEXT(EDATE($D97,Milestones!$AA$120),"dd mmm yy"))&amp;" "&amp;Milestones!$AB$120&amp;" "&amp;Milestones!$AC$120&amp;";  ","")&amp;IF(AND(EDATE($D97,Milestones!$AA$121)&lt;=AsOfDate,IF($R97=0,$X97,IF(AND($T97&lt;&gt;"",EDATE($D97,Milestones!$AA$121)&gt;=$T97),$W97,IF(AND($S97&lt;&gt;"",EDATE($D97,Milestones!$AA$121)&gt;=$S97),$V97,$U97)))=Milestones!$AB$121),UPPER(TEXT(EDATE($D97,Milestones!$AA$121),"dd mmm yy"))&amp;" "&amp;Milestones!$AB$121&amp;" "&amp;Milestones!$AC$121&amp;";  ","")&amp;IF(AND(EDATE($D97,Milestones!$AA$122)&lt;=AsOfDate,IF($R97=0,$X97,IF(AND($T97&lt;&gt;"",EDATE($D97,Milestones!$AA$122)&gt;=$T97),$W97,IF(AND($S97&lt;&gt;"",EDATE($D97,Milestones!$AA$122)&gt;=$S97),$V97,$U97)))=Milestones!$AB$122),UPPER(TEXT(EDATE($D97,Milestones!$AA$122),"dd mmm yy"))&amp;" "&amp;Milestones!$AB$122&amp;" "&amp;Milestones!$AC$122&amp;";  ","")&amp;IF(AND(EDATE($D97,Milestones!$AA$123)&lt;=AsOfDate,IF($R97=0,$X97,IF(AND($T97&lt;&gt;"",EDATE($D97,Milestones!$AA$123)&gt;=$T97),$W97,IF(AND($S97&lt;&gt;"",EDATE($D97,Milestones!$AA$123)&gt;=$S97),$V97,$U97)))=Milestones!$AB$123),UPPER(TEXT(EDATE($D97,Milestones!$AA$123),"dd mmm yy"))&amp;" "&amp;Milestones!$AB$123&amp;" "&amp;Milestones!$AC$123&amp;";  ","")&amp;IF(AND(EDATE($D97,Milestones!$AA$124)&lt;=AsOfDate,IF($R97=0,$X97,IF(AND($T97&lt;&gt;"",EDATE($D97,Milestones!$AA$124)&gt;=$T97),$W97,IF(AND($S97&lt;&gt;"",EDATE($D97,Milestones!$AA$124)&gt;=$S97),$V97,$U97)))=Milestones!$AB$124),UPPER(TEXT(EDATE($D97,Milestones!$AA$124),"dd mmm yy"))&amp;" "&amp;Milestones!$AB$124&amp;" "&amp;Milestones!$AC$124&amp;";  ","")&amp;IF(AND(EDATE($D97,Milestones!$AA$125)&lt;=AsOfDate,IF($R97=0,$X97,IF(AND($T97&lt;&gt;"",EDATE($D97,Milestones!$AA$125)&gt;=$T97),$W97,IF(AND($S97&lt;&gt;"",EDATE($D97,Milestones!$AA$125)&gt;=$S97),$V97,$U97)))=Milestones!$AB$125),UPPER(TEXT(EDATE($D97,Milestones!$AA$125),"dd mmm yy"))&amp;" "&amp;Milestones!$AB$125&amp;" "&amp;Milestones!$AC$125&amp;";  ","")&amp;IF(AND(EDATE($D97,Milestones!$AA$126)&lt;=AsOfDate,IF($R97=0,$X97,IF(AND($T97&lt;&gt;"",EDATE($D97,Milestones!$AA$126)&gt;=$T97),$W97,IF(AND($S97&lt;&gt;"",EDATE($D97,Milestones!$AA$126)&gt;=$S97),$V97,$U97)))=Milestones!$AB$126),UPPER(TEXT(EDATE($D97,Milestones!$AA$126),"dd mmm yy"))&amp;" "&amp;Milestones!$AB$126&amp;" "&amp;Milestones!$AC$126&amp;";  ","")&amp;IF(AND(EDATE($D97,Milestones!$AA$127)&lt;=AsOfDate,IF($R97=0,$X97,IF(AND($T97&lt;&gt;"",EDATE($D97,Milestones!$AA$127)&gt;=$T97),$W97,IF(AND($S97&lt;&gt;"",EDATE($D97,Milestones!$AA$127)&gt;=$S97),$V97,$U97)))=Milestones!$AB$127),UPPER(TEXT(EDATE($D97,Milestones!$AA$127),"dd mmm yy"))&amp;" "&amp;Milestones!$AB$127&amp;" "&amp;Milestones!$AC$127&amp;";  ","")&amp;IF(AND(EDATE($D97,Milestones!$AA$128)&lt;=AsOfDate,IF($R97=0,$X97,IF(AND($T97&lt;&gt;"",EDATE($D97,Milestones!$AA$128)&gt;=$T97),$W97,IF(AND($S97&lt;&gt;"",EDATE($D97,Milestones!$AA$128)&gt;=$S97),$V97,$U97)))=Milestones!$AB$128),UPPER(TEXT(EDATE($D97,Milestones!$AA$128),"dd mmm yy"))&amp;" "&amp;Milestones!$AB$128&amp;" "&amp;Milestones!$AC$128&amp;";  ","")&amp;IF(AND(EDATE($D97,Milestones!$AA$129)&lt;=AsOfDate,IF($R97=0,$X97,IF(AND($T97&lt;&gt;"",EDATE($D97,Milestones!$AA$129)&gt;=$T97),$W97,IF(AND($S97&lt;&gt;"",EDATE($D97,Milestones!$AA$129)&gt;=$S97),$V97,$U97)))=Milestones!$AB$129),UPPER(TEXT(EDATE($D97,Milestones!$AA$129),"dd mmm yy"))&amp;" "&amp;Milestones!$AB$129&amp;" "&amp;Milestones!$AC$129&amp;";  ","")&amp;IF(AND(EDATE($D97,Milestones!$AA$130)&lt;=AsOfDate,IF($R97=0,$X97,IF(AND($T97&lt;&gt;"",EDATE($D97,Milestones!$AA$130)&gt;=$T97),$W97,IF(AND($S97&lt;&gt;"",EDATE($D97,Milestones!$AA$130)&gt;=$S97),$V97,$U97)))=Milestones!$AB$130),UPPER(TEXT(EDATE($D97,Milestones!$AA$130),"dd mmm yy"))&amp;" "&amp;Milestones!$AB$130&amp;" "&amp;Milestones!$AC$130&amp;";  ","")&amp;IF(AND(EDATE($D97,Milestones!$AA$131)&lt;=AsOfDate,IF($R97=0,$X97,IF(AND($T97&lt;&gt;"",EDATE($D97,Milestones!$AA$131)&gt;=$T97),$W97,IF(AND($S97&lt;&gt;"",EDATE($D97,Milestones!$AA$131)&gt;=$S97),$V97,$U97)))=Milestones!$AB$131),UPPER(TEXT(EDATE($D97,Milestones!$AA$131),"dd mmm yy"))&amp;" "&amp;Milestones!$AB$131&amp;" "&amp;Milestones!$AC$131&amp;";  ","")&amp;IF(AND(EDATE($D97,Milestones!$AA$132)&lt;=AsOfDate,IF($R97=0,$X97,IF(AND($T97&lt;&gt;"",EDATE($D97,Milestones!$AA$132)&gt;=$T97),$W97,IF(AND($S97&lt;&gt;"",EDATE($D97,Milestones!$AA$132)&gt;=$S97),$V97,$U97)))=Milestones!$AB$132),UPPER(TEXT(EDATE($D97,Milestones!$AA$132),"dd mmm yy"))&amp;" "&amp;Milestones!$AB$132&amp;" "&amp;Milestones!$AC$132&amp;";  ","")&amp;IF(AND(EDATE($D97,Milestones!$AA$133)&lt;=AsOfDate,IF($R97=0,$X97,IF(AND($T97&lt;&gt;"",EDATE($D97,Milestones!$AA$133)&gt;=$T97),$W97,IF(AND($S97&lt;&gt;"",EDATE($D97,Milestones!$AA$133)&gt;=$S97),$V97,$U97)))=Milestones!$AB$133),UPPER(TEXT(EDATE($D97,Milestones!$AA$133),"dd mmm yy"))&amp;" "&amp;Milestones!$AB$133&amp;" "&amp;Milestones!$AC$133&amp;";  ","")&amp;IF(AND(EDATE($D97,Milestones!$AA$134)&lt;=AsOfDate,IF($R97=0,$X97,IF(AND($T97&lt;&gt;"",EDATE($D97,Milestones!$AA$134)&gt;=$T97),$W97,IF(AND($S97&lt;&gt;"",EDATE($D97,Milestones!$AA$134)&gt;=$S97),$V97,$U97)))=Milestones!$AB$134),UPPER(TEXT(EDATE($D97,Milestones!$AA$134),"dd mmm yy"))&amp;" "&amp;Milestones!$AB$134&amp;" "&amp;Milestones!$AC$134&amp;";  ","")&amp;IF(AND(EDATE($D97,Milestones!$AA$135)&lt;=AsOfDate,IF($R97=0,$X97,IF(AND($T97&lt;&gt;"",EDATE($D97,Milestones!$AA$135)&gt;=$T97),$W97,IF(AND($S97&lt;&gt;"",EDATE($D97,Milestones!$AA$135)&gt;=$S97),$V97,$U97)))=Milestones!$AB$135),UPPER(TEXT(EDATE($D97,Milestones!$AA$135),"dd mmm yy"))&amp;" "&amp;Milestones!$AB$135&amp;" "&amp;Milestones!$AC$135&amp;";  ","")&amp;IF(AND(EDATE($D97,Milestones!$AA$136)&lt;=AsOfDate,IF($R97=0,$X97,IF(AND($T97&lt;&gt;"",EDATE($D97,Milestones!$AA$136)&gt;=$T97),$W97,IF(AND($S97&lt;&gt;"",EDATE($D97,Milestones!$AA$136)&gt;=$S97),$V97,$U97)))=Milestones!$AB$136),UPPER(TEXT(EDATE($D97,Milestones!$AA$136),"dd mmm yy"))&amp;" "&amp;Milestones!$AB$136&amp;" "&amp;Milestones!$AC$136&amp;";  ","")&amp;IF(AND(EDATE($D97,Milestones!$AA$137)&lt;=AsOfDate,IF($R97=0,$X97,IF(AND($T97&lt;&gt;"",EDATE($D97,Milestones!$AA$137)&gt;=$T97),$W97,IF(AND($S97&lt;&gt;"",EDATE($D97,Milestones!$AA$137)&gt;=$S97),$V97,$U97)))=Milestones!$AB$137),UPPER(TEXT(EDATE($D97,Milestones!$AA$137),"dd mmm yy"))&amp;" "&amp;Milestones!$AB$137&amp;" "&amp;Milestones!$AC$137&amp;";  ","")&amp;IF(AND(EDATE($D97,Milestones!$AA$138)&lt;=AsOfDate,IF($R97=0,$X97,IF(AND($T97&lt;&gt;"",EDATE($D97,Milestones!$AA$138)&gt;=$T97),$W97,IF(AND($S97&lt;&gt;"",EDATE($D97,Milestones!$AA$138)&gt;=$S97),$V97,$U97)))=Milestones!$AB$138),UPPER(TEXT(EDATE($D97,Milestones!$AA$138),"dd mmm yy"))&amp;" "&amp;Milestones!$AB$138&amp;" "&amp;Milestones!$AC$138&amp;";  ","")&amp;IF(AND(EDATE($D97,Milestones!$AA$139)&lt;=AsOfDate,IF($R97=0,$X97,IF(AND($T97&lt;&gt;"",EDATE($D97,Milestones!$AA$139)&gt;=$T97),$W97,IF(AND($S97&lt;&gt;"",EDATE($D97,Milestones!$AA$139)&gt;=$S97),$V97,$U97)))=Milestones!$AB$139),UPPER(TEXT(EDATE($D97,Milestones!$AA$139),"dd mmm yy"))&amp;" "&amp;Milestones!$AB$139&amp;" "&amp;Milestones!$AC$139&amp;";  ",""))</f>
        <v/>
      </c>
      <c r="O97" s="0" t="str">
        <f aca="false">IF(OR($A97="",$D97=""),"",IF(AND(EDATE($D97,Milestones!$AA$140)&lt;=AsOfDate,IF($R97=0,$X97,IF(AND($T97&lt;&gt;"",EDATE($D97,Milestones!$AA$140)&gt;=$T97),$W97,IF(AND($S97&lt;&gt;"",EDATE($D97,Milestones!$AA$140)&gt;=$S97),$V97,$U97)))=Milestones!$AB$140),UPPER(TEXT(EDATE($D97,Milestones!$AA$140),"dd mmm yy"))&amp;" "&amp;Milestones!$AB$140&amp;" "&amp;Milestones!$AC$140&amp;";  ","")&amp;IF(AND(EDATE($D97,Milestones!$AA$141)&lt;=AsOfDate,IF($R97=0,$X97,IF(AND($T97&lt;&gt;"",EDATE($D97,Milestones!$AA$141)&gt;=$T97),$W97,IF(AND($S97&lt;&gt;"",EDATE($D97,Milestones!$AA$141)&gt;=$S97),$V97,$U97)))=Milestones!$AB$141),UPPER(TEXT(EDATE($D97,Milestones!$AA$141),"dd mmm yy"))&amp;" "&amp;Milestones!$AB$141&amp;" "&amp;Milestones!$AC$141&amp;";  ","")&amp;IF(AND(EDATE($D97,Milestones!$AA$142)&lt;=AsOfDate,IF($R97=0,$X97,IF(AND($T97&lt;&gt;"",EDATE($D97,Milestones!$AA$142)&gt;=$T97),$W97,IF(AND($S97&lt;&gt;"",EDATE($D97,Milestones!$AA$142)&gt;=$S97),$V97,$U97)))=Milestones!$AB$142),UPPER(TEXT(EDATE($D97,Milestones!$AA$142),"dd mmm yy"))&amp;" "&amp;Milestones!$AB$142&amp;" "&amp;Milestones!$AC$142&amp;";  ","")&amp;IF(AND(EDATE($D97,Milestones!$AA$143)&lt;=AsOfDate,IF($R97=0,$X97,IF(AND($T97&lt;&gt;"",EDATE($D97,Milestones!$AA$143)&gt;=$T97),$W97,IF(AND($S97&lt;&gt;"",EDATE($D97,Milestones!$AA$143)&gt;=$S97),$V97,$U97)))=Milestones!$AB$143),UPPER(TEXT(EDATE($D97,Milestones!$AA$143),"dd mmm yy"))&amp;" "&amp;Milestones!$AB$143&amp;" "&amp;Milestones!$AC$143&amp;";  ","")&amp;IF(AND(EDATE($D97,Milestones!$AA$144)&lt;=AsOfDate,IF($R97=0,$X97,IF(AND($T97&lt;&gt;"",EDATE($D97,Milestones!$AA$144)&gt;=$T97),$W97,IF(AND($S97&lt;&gt;"",EDATE($D97,Milestones!$AA$144)&gt;=$S97),$V97,$U97)))=Milestones!$AB$144),UPPER(TEXT(EDATE($D97,Milestones!$AA$144),"dd mmm yy"))&amp;" "&amp;Milestones!$AB$144&amp;" "&amp;Milestones!$AC$144&amp;";  ","")&amp;IF(AND(EDATE($D97,Milestones!$AA$145)&lt;=AsOfDate,IF($R97=0,$X97,IF(AND($T97&lt;&gt;"",EDATE($D97,Milestones!$AA$145)&gt;=$T97),$W97,IF(AND($S97&lt;&gt;"",EDATE($D97,Milestones!$AA$145)&gt;=$S97),$V97,$U97)))=Milestones!$AB$145),UPPER(TEXT(EDATE($D97,Milestones!$AA$145),"dd mmm yy"))&amp;" "&amp;Milestones!$AB$145&amp;" "&amp;Milestones!$AC$145&amp;";  ","")&amp;IF(AND(EDATE($D97,Milestones!$AA$146)&lt;=AsOfDate,IF($R97=0,$X97,IF(AND($T97&lt;&gt;"",EDATE($D97,Milestones!$AA$146)&gt;=$T97),$W97,IF(AND($S97&lt;&gt;"",EDATE($D97,Milestones!$AA$146)&gt;=$S97),$V97,$U97)))=Milestones!$AB$146),UPPER(TEXT(EDATE($D97,Milestones!$AA$146),"dd mmm yy"))&amp;" "&amp;Milestones!$AB$146&amp;" "&amp;Milestones!$AC$146&amp;";  ","")&amp;IF(AND(EDATE($D97,Milestones!$AA$147)&lt;=AsOfDate,IF($R97=0,$X97,IF(AND($T97&lt;&gt;"",EDATE($D97,Milestones!$AA$147)&gt;=$T97),$W97,IF(AND($S97&lt;&gt;"",EDATE($D97,Milestones!$AA$147)&gt;=$S97),$V97,$U97)))=Milestones!$AB$147),UPPER(TEXT(EDATE($D97,Milestones!$AA$147),"dd mmm yy"))&amp;" "&amp;Milestones!$AB$147&amp;" "&amp;Milestones!$AC$147&amp;";  ","")&amp;IF(AND(EDATE($D97,Milestones!$AA$148)&lt;=AsOfDate,IF($R97=0,$X97,IF(AND($T97&lt;&gt;"",EDATE($D97,Milestones!$AA$148)&gt;=$T97),$W97,IF(AND($S97&lt;&gt;"",EDATE($D97,Milestones!$AA$148)&gt;=$S97),$V97,$U97)))=Milestones!$AB$148),UPPER(TEXT(EDATE($D97,Milestones!$AA$148),"dd mmm yy"))&amp;" "&amp;Milestones!$AB$148&amp;" "&amp;Milestones!$AC$148&amp;";  ","")&amp;IF(AND(EDATE($D97,Milestones!$AA$149)&lt;=AsOfDate,IF($R97=0,$X97,IF(AND($T97&lt;&gt;"",EDATE($D97,Milestones!$AA$149)&gt;=$T97),$W97,IF(AND($S97&lt;&gt;"",EDATE($D97,Milestones!$AA$149)&gt;=$S97),$V97,$U97)))=Milestones!$AB$149),UPPER(TEXT(EDATE($D97,Milestones!$AA$149),"dd mmm yy"))&amp;" "&amp;Milestones!$AB$149&amp;" "&amp;Milestones!$AC$149&amp;";  ","")&amp;IF(AND(EDATE($D97,Milestones!$AA$150)&lt;=AsOfDate,IF($R97=0,$X97,IF(AND($T97&lt;&gt;"",EDATE($D97,Milestones!$AA$150)&gt;=$T97),$W97,IF(AND($S97&lt;&gt;"",EDATE($D97,Milestones!$AA$150)&gt;=$S97),$V97,$U97)))=Milestones!$AB$150),UPPER(TEXT(EDATE($D97,Milestones!$AA$150),"dd mmm yy"))&amp;" "&amp;Milestones!$AB$150&amp;" "&amp;Milestones!$AC$150&amp;";  ","")&amp;IF(AND(EDATE($D97,Milestones!$AA$151)&lt;=AsOfDate,IF($R97=0,$X97,IF(AND($T97&lt;&gt;"",EDATE($D97,Milestones!$AA$151)&gt;=$T97),$W97,IF(AND($S97&lt;&gt;"",EDATE($D97,Milestones!$AA$151)&gt;=$S97),$V97,$U97)))=Milestones!$AB$151),UPPER(TEXT(EDATE($D97,Milestones!$AA$151),"dd mmm yy"))&amp;" "&amp;Milestones!$AB$151&amp;" "&amp;Milestones!$AC$151&amp;";  ","")&amp;IF(AND(EDATE($D97,Milestones!$AA$152)&lt;=AsOfDate,IF($R97=0,$X97,IF(AND($T97&lt;&gt;"",EDATE($D97,Milestones!$AA$152)&gt;=$T97),$W97,IF(AND($S97&lt;&gt;"",EDATE($D97,Milestones!$AA$152)&gt;=$S97),$V97,$U97)))=Milestones!$AB$152),UPPER(TEXT(EDATE($D97,Milestones!$AA$152),"dd mmm yy"))&amp;" "&amp;Milestones!$AB$152&amp;" "&amp;Milestones!$AC$152&amp;";  ","")&amp;IF(AND(EDATE($D97,Milestones!$AA$153)&lt;=AsOfDate,IF($R97=0,$X97,IF(AND($T97&lt;&gt;"",EDATE($D97,Milestones!$AA$153)&gt;=$T97),$W97,IF(AND($S97&lt;&gt;"",EDATE($D97,Milestones!$AA$153)&gt;=$S97),$V97,$U97)))=Milestones!$AB$153),UPPER(TEXT(EDATE($D97,Milestones!$AA$153),"dd mmm yy"))&amp;" "&amp;Milestones!$AB$153&amp;" "&amp;Milestones!$AC$153&amp;";  ","")&amp;IF(AND(EDATE($D97,Milestones!$AA$154)&lt;=AsOfDate,IF($R97=0,$X97,IF(AND($T97&lt;&gt;"",EDATE($D97,Milestones!$AA$154)&gt;=$T97),$W97,IF(AND($S97&lt;&gt;"",EDATE($D97,Milestones!$AA$154)&gt;=$S97),$V97,$U97)))=Milestones!$AB$154),UPPER(TEXT(EDATE($D97,Milestones!$AA$154),"dd mmm yy"))&amp;" "&amp;Milestones!$AB$154&amp;" "&amp;Milestones!$AC$154&amp;";  ","")&amp;IF(AND(EDATE($D97,Milestones!$AA$155)&lt;=AsOfDate,IF($R97=0,$X97,IF(AND($T97&lt;&gt;"",EDATE($D97,Milestones!$AA$155)&gt;=$T97),$W97,IF(AND($S97&lt;&gt;"",EDATE($D97,Milestones!$AA$155)&gt;=$S97),$V97,$U97)))=Milestones!$AB$155),UPPER(TEXT(EDATE($D97,Milestones!$AA$155),"dd mmm yy"))&amp;" "&amp;Milestones!$AB$155&amp;" "&amp;Milestones!$AC$155&amp;";  ","")&amp;IF(AND(EDATE($D97,Milestones!$AA$156)&lt;=AsOfDate,IF($R97=0,$X97,IF(AND($T97&lt;&gt;"",EDATE($D97,Milestones!$AA$156)&gt;=$T97),$W97,IF(AND($S97&lt;&gt;"",EDATE($D97,Milestones!$AA$156)&gt;=$S97),$V97,$U97)))=Milestones!$AB$156),UPPER(TEXT(EDATE($D97,Milestones!$AA$156),"dd mmm yy"))&amp;" "&amp;Milestones!$AB$156&amp;" "&amp;Milestones!$AC$156&amp;";  ","")&amp;IF(AND(EDATE($D97,Milestones!$AA$157)&lt;=AsOfDate,IF($R97=0,$X97,IF(AND($T97&lt;&gt;"",EDATE($D97,Milestones!$AA$157)&gt;=$T97),$W97,IF(AND($S97&lt;&gt;"",EDATE($D97,Milestones!$AA$157)&gt;=$S97),$V97,$U97)))=Milestones!$AB$157),UPPER(TEXT(EDATE($D97,Milestones!$AA$157),"dd mmm yy"))&amp;" "&amp;Milestones!$AB$157&amp;" "&amp;Milestones!$AC$157&amp;";  ","")&amp;IF(AND(EDATE($D97,Milestones!$AA$158)&lt;=AsOfDate,IF($R97=0,$X97,IF(AND($T97&lt;&gt;"",EDATE($D97,Milestones!$AA$158)&gt;=$T97),$W97,IF(AND($S97&lt;&gt;"",EDATE($D97,Milestones!$AA$158)&gt;=$S97),$V97,$U97)))=Milestones!$AB$158),UPPER(TEXT(EDATE($D97,Milestones!$AA$158),"dd mmm yy"))&amp;" "&amp;Milestones!$AB$158&amp;" "&amp;Milestones!$AC$158&amp;";  ","")&amp;IF(AND(EDATE($D97,Milestones!$AA$159)&lt;=AsOfDate,IF($R97=0,$X97,IF(AND($T97&lt;&gt;"",EDATE($D97,Milestones!$AA$159)&gt;=$T97),$W97,IF(AND($S97&lt;&gt;"",EDATE($D97,Milestones!$AA$159)&gt;=$S97),$V97,$U97)))=Milestones!$AB$159),UPPER(TEXT(EDATE($D97,Milestones!$AA$159),"dd mmm yy"))&amp;" "&amp;Milestones!$AB$159&amp;" "&amp;Milestones!$AC$159&amp;";  ",""))</f>
        <v/>
      </c>
      <c r="P97" s="0" t="str">
        <f aca="false">IF(OR($A97="",$D97=""),"",IF(AND(EDATE($D97,Milestones!$AA$160)&lt;=AsOfDate,IF($R97=0,$X97,IF(AND($T97&lt;&gt;"",EDATE($D97,Milestones!$AA$160)&gt;=$T97),$W97,IF(AND($S97&lt;&gt;"",EDATE($D97,Milestones!$AA$160)&gt;=$S97),$V97,$U97)))=Milestones!$AB$160),UPPER(TEXT(EDATE($D97,Milestones!$AA$160),"dd mmm yy"))&amp;" "&amp;Milestones!$AB$160&amp;" "&amp;Milestones!$AC$160&amp;";  ","")&amp;IF(AND(EDATE($D97,Milestones!$AA$161)&lt;=AsOfDate,IF($R97=0,$X97,IF(AND($T97&lt;&gt;"",EDATE($D97,Milestones!$AA$161)&gt;=$T97),$W97,IF(AND($S97&lt;&gt;"",EDATE($D97,Milestones!$AA$161)&gt;=$S97),$V97,$U97)))=Milestones!$AB$161),UPPER(TEXT(EDATE($D97,Milestones!$AA$161),"dd mmm yy"))&amp;" "&amp;Milestones!$AB$161&amp;" "&amp;Milestones!$AC$161&amp;";  ","")&amp;IF(AND(EDATE($D97,Milestones!$AA$162)&lt;=AsOfDate,IF($R97=0,$X97,IF(AND($T97&lt;&gt;"",EDATE($D97,Milestones!$AA$162)&gt;=$T97),$W97,IF(AND($S97&lt;&gt;"",EDATE($D97,Milestones!$AA$162)&gt;=$S97),$V97,$U97)))=Milestones!$AB$162),UPPER(TEXT(EDATE($D97,Milestones!$AA$162),"dd mmm yy"))&amp;" "&amp;Milestones!$AB$162&amp;" "&amp;Milestones!$AC$162&amp;";  ","")&amp;IF(AND(EDATE($D97,Milestones!$AA$163)&lt;=AsOfDate,IF($R97=0,$X97,IF(AND($T97&lt;&gt;"",EDATE($D97,Milestones!$AA$163)&gt;=$T97),$W97,IF(AND($S97&lt;&gt;"",EDATE($D97,Milestones!$AA$163)&gt;=$S97),$V97,$U97)))=Milestones!$AB$163),UPPER(TEXT(EDATE($D97,Milestones!$AA$163),"dd mmm yy"))&amp;" "&amp;Milestones!$AB$163&amp;" "&amp;Milestones!$AC$163&amp;";  ","")&amp;IF(AND(EDATE($D97,Milestones!$AA$164)&lt;=AsOfDate,IF($R97=0,$X97,IF(AND($T97&lt;&gt;"",EDATE($D97,Milestones!$AA$164)&gt;=$T97),$W97,IF(AND($S97&lt;&gt;"",EDATE($D97,Milestones!$AA$164)&gt;=$S97),$V97,$U97)))=Milestones!$AB$164),UPPER(TEXT(EDATE($D97,Milestones!$AA$164),"dd mmm yy"))&amp;" "&amp;Milestones!$AB$164&amp;" "&amp;Milestones!$AC$164&amp;";  ","")&amp;IF(AND(EDATE($D97,Milestones!$AA$165)&lt;=AsOfDate,IF($R97=0,$X97,IF(AND($T97&lt;&gt;"",EDATE($D97,Milestones!$AA$165)&gt;=$T97),$W97,IF(AND($S97&lt;&gt;"",EDATE($D97,Milestones!$AA$165)&gt;=$S97),$V97,$U97)))=Milestones!$AB$165),UPPER(TEXT(EDATE($D97,Milestones!$AA$165),"dd mmm yy"))&amp;" "&amp;Milestones!$AB$165&amp;" "&amp;Milestones!$AC$165&amp;";  ","")&amp;IF(AND(EDATE($D97,Milestones!$AA$166)&lt;=AsOfDate,IF($R97=0,$X97,IF(AND($T97&lt;&gt;"",EDATE($D97,Milestones!$AA$166)&gt;=$T97),$W97,IF(AND($S97&lt;&gt;"",EDATE($D97,Milestones!$AA$166)&gt;=$S97),$V97,$U97)))=Milestones!$AB$166),UPPER(TEXT(EDATE($D97,Milestones!$AA$166),"dd mmm yy"))&amp;" "&amp;Milestones!$AB$166&amp;" "&amp;Milestones!$AC$166&amp;";  ","")&amp;IF(AND(EDATE($D97,Milestones!$AA$167)&lt;=AsOfDate,IF($R97=0,$X97,IF(AND($T97&lt;&gt;"",EDATE($D97,Milestones!$AA$167)&gt;=$T97),$W97,IF(AND($S97&lt;&gt;"",EDATE($D97,Milestones!$AA$167)&gt;=$S97),$V97,$U97)))=Milestones!$AB$167),UPPER(TEXT(EDATE($D97,Milestones!$AA$167),"dd mmm yy"))&amp;" "&amp;Milestones!$AB$167&amp;" "&amp;Milestones!$AC$167&amp;";  ","")&amp;IF(AND(EDATE($D97,Milestones!$AA$168)&lt;=AsOfDate,IF($R97=0,$X97,IF(AND($T97&lt;&gt;"",EDATE($D97,Milestones!$AA$168)&gt;=$T97),$W97,IF(AND($S97&lt;&gt;"",EDATE($D97,Milestones!$AA$168)&gt;=$S97),$V97,$U97)))=Milestones!$AB$168),UPPER(TEXT(EDATE($D97,Milestones!$AA$168),"dd mmm yy"))&amp;" "&amp;Milestones!$AB$168&amp;" "&amp;Milestones!$AC$168&amp;";  ","")&amp;IF(AND(EDATE($D97,Milestones!$AA$169)&lt;=AsOfDate,IF($R97=0,$X97,IF(AND($T97&lt;&gt;"",EDATE($D97,Milestones!$AA$169)&gt;=$T97),$W97,IF(AND($S97&lt;&gt;"",EDATE($D97,Milestones!$AA$169)&gt;=$S97),$V97,$U97)))=Milestones!$AB$169),UPPER(TEXT(EDATE($D97,Milestones!$AA$169),"dd mmm yy"))&amp;" "&amp;Milestones!$AB$169&amp;" "&amp;Milestones!$AC$169&amp;";  ","")&amp;IF(AND(EDATE($D97,Milestones!$AA$170)&lt;=AsOfDate,IF($R97=0,$X97,IF(AND($T97&lt;&gt;"",EDATE($D97,Milestones!$AA$170)&gt;=$T97),$W97,IF(AND($S97&lt;&gt;"",EDATE($D97,Milestones!$AA$170)&gt;=$S97),$V97,$U97)))=Milestones!$AB$170),UPPER(TEXT(EDATE($D97,Milestones!$AA$170),"dd mmm yy"))&amp;" "&amp;Milestones!$AB$170&amp;" "&amp;Milestones!$AC$170&amp;";  ","")&amp;IF(AND(EDATE($D97,Milestones!$AA$171)&lt;=AsOfDate,IF($R97=0,$X97,IF(AND($T97&lt;&gt;"",EDATE($D97,Milestones!$AA$171)&gt;=$T97),$W97,IF(AND($S97&lt;&gt;"",EDATE($D97,Milestones!$AA$171)&gt;=$S97),$V97,$U97)))=Milestones!$AB$171),UPPER(TEXT(EDATE($D97,Milestones!$AA$171),"dd mmm yy"))&amp;" "&amp;Milestones!$AB$171&amp;" "&amp;Milestones!$AC$171&amp;";  ","")&amp;IF(AND(EDATE($D97,Milestones!$AA$172)&lt;=AsOfDate,IF($R97=0,$X97,IF(AND($T97&lt;&gt;"",EDATE($D97,Milestones!$AA$172)&gt;=$T97),$W97,IF(AND($S97&lt;&gt;"",EDATE($D97,Milestones!$AA$172)&gt;=$S97),$V97,$U97)))=Milestones!$AB$172),UPPER(TEXT(EDATE($D97,Milestones!$AA$172),"dd mmm yy"))&amp;" "&amp;Milestones!$AB$172&amp;" "&amp;Milestones!$AC$172&amp;";  ","")&amp;IF(AND(EDATE($D97,Milestones!$AA$173)&lt;=AsOfDate,IF($R97=0,$X97,IF(AND($T97&lt;&gt;"",EDATE($D97,Milestones!$AA$173)&gt;=$T97),$W97,IF(AND($S97&lt;&gt;"",EDATE($D97,Milestones!$AA$173)&gt;=$S97),$V97,$U97)))=Milestones!$AB$173),UPPER(TEXT(EDATE($D97,Milestones!$AA$173),"dd mmm yy"))&amp;" "&amp;Milestones!$AB$173&amp;" "&amp;Milestones!$AC$173&amp;";  ","")&amp;IF(AND(EDATE($D97,Milestones!$AA$174)&lt;=AsOfDate,IF($R97=0,$X97,IF(AND($T97&lt;&gt;"",EDATE($D97,Milestones!$AA$174)&gt;=$T97),$W97,IF(AND($S97&lt;&gt;"",EDATE($D97,Milestones!$AA$174)&gt;=$S97),$V97,$U97)))=Milestones!$AB$174),UPPER(TEXT(EDATE($D97,Milestones!$AA$174),"dd mmm yy"))&amp;" "&amp;Milestones!$AB$174&amp;" "&amp;Milestones!$AC$174&amp;";  ","")&amp;IF(AND(EDATE($D97,Milestones!$AA$175)&lt;=AsOfDate,IF($R97=0,$X97,IF(AND($T97&lt;&gt;"",EDATE($D97,Milestones!$AA$175)&gt;=$T97),$W97,IF(AND($S97&lt;&gt;"",EDATE($D97,Milestones!$AA$175)&gt;=$S97),$V97,$U97)))=Milestones!$AB$175),UPPER(TEXT(EDATE($D97,Milestones!$AA$175),"dd mmm yy"))&amp;" "&amp;Milestones!$AB$175&amp;" "&amp;Milestones!$AC$175&amp;";  ","")&amp;IF(AND(EDATE($D97,Milestones!$AA$176)&lt;=AsOfDate,IF($R97=0,$X97,IF(AND($T97&lt;&gt;"",EDATE($D97,Milestones!$AA$176)&gt;=$T97),$W97,IF(AND($S97&lt;&gt;"",EDATE($D97,Milestones!$AA$176)&gt;=$S97),$V97,$U97)))=Milestones!$AB$176),UPPER(TEXT(EDATE($D97,Milestones!$AA$176),"dd mmm yy"))&amp;" "&amp;Milestones!$AB$176&amp;" "&amp;Milestones!$AC$176&amp;";  ","")&amp;IF(AND(EDATE($D97,Milestones!$AA$177)&lt;=AsOfDate,IF($R97=0,$X97,IF(AND($T97&lt;&gt;"",EDATE($D97,Milestones!$AA$177)&gt;=$T97),$W97,IF(AND($S97&lt;&gt;"",EDATE($D97,Milestones!$AA$177)&gt;=$S97),$V97,$U97)))=Milestones!$AB$177),UPPER(TEXT(EDATE($D97,Milestones!$AA$177),"dd mmm yy"))&amp;" "&amp;Milestones!$AB$177&amp;" "&amp;Milestones!$AC$177&amp;";  ","")&amp;IF(AND(EDATE($D97,Milestones!$AA$178)&lt;=AsOfDate,IF($R97=0,$X97,IF(AND($T97&lt;&gt;"",EDATE($D97,Milestones!$AA$178)&gt;=$T97),$W97,IF(AND($S97&lt;&gt;"",EDATE($D97,Milestones!$AA$178)&gt;=$S97),$V97,$U97)))=Milestones!$AB$178),UPPER(TEXT(EDATE($D97,Milestones!$AA$178),"dd mmm yy"))&amp;" "&amp;Milestones!$AB$178&amp;" "&amp;Milestones!$AC$178&amp;";  ","")&amp;IF(AND(EDATE($D97,Milestones!$AA$179)&lt;=AsOfDate,IF($R97=0,$X97,IF(AND($T97&lt;&gt;"",EDATE($D97,Milestones!$AA$179)&gt;=$T97),$W97,IF(AND($S97&lt;&gt;"",EDATE($D97,Milestones!$AA$179)&gt;=$S97),$V97,$U97)))=Milestones!$AB$179),UPPER(TEXT(EDATE($D97,Milestones!$AA$179),"dd mmm yy"))&amp;" "&amp;Milestones!$AB$179&amp;" "&amp;Milestones!$AC$179&amp;";  ",""))</f>
        <v/>
      </c>
      <c r="Q97" s="0" t="str">
        <f aca="false">IF(OR($A97="",$D97=""),"",IF(AND(EDATE($D97,Milestones!$AA$180)&lt;=AsOfDate,IF($R97=0,$X97,IF(AND($T97&lt;&gt;"",EDATE($D97,Milestones!$AA$180)&gt;=$T97),$W97,IF(AND($S97&lt;&gt;"",EDATE($D97,Milestones!$AA$180)&gt;=$S97),$V97,$U97)))=Milestones!$AB$180),UPPER(TEXT(EDATE($D97,Milestones!$AA$180),"dd mmm yy"))&amp;" "&amp;Milestones!$AB$180&amp;" "&amp;Milestones!$AC$180&amp;";  ","")&amp;IF(AND(EDATE($D97,Milestones!$AA$181)&lt;=AsOfDate,IF($R97=0,$X97,IF(AND($T97&lt;&gt;"",EDATE($D97,Milestones!$AA$181)&gt;=$T97),$W97,IF(AND($S97&lt;&gt;"",EDATE($D97,Milestones!$AA$181)&gt;=$S97),$V97,$U97)))=Milestones!$AB$181),UPPER(TEXT(EDATE($D97,Milestones!$AA$181),"dd mmm yy"))&amp;" "&amp;Milestones!$AB$181&amp;" "&amp;Milestones!$AC$181&amp;";  ","")&amp;IF(AND(EDATE($D97,Milestones!$AA$182)&lt;=AsOfDate,IF($R97=0,$X97,IF(AND($T97&lt;&gt;"",EDATE($D97,Milestones!$AA$182)&gt;=$T97),$W97,IF(AND($S97&lt;&gt;"",EDATE($D97,Milestones!$AA$182)&gt;=$S97),$V97,$U97)))=Milestones!$AB$182),UPPER(TEXT(EDATE($D97,Milestones!$AA$182),"dd mmm yy"))&amp;" "&amp;Milestones!$AB$182&amp;" "&amp;Milestones!$AC$182&amp;";  ","")&amp;IF(AND(EDATE($D97,Milestones!$AA$183)&lt;=AsOfDate,IF($R97=0,$X97,IF(AND($T97&lt;&gt;"",EDATE($D97,Milestones!$AA$183)&gt;=$T97),$W97,IF(AND($S97&lt;&gt;"",EDATE($D97,Milestones!$AA$183)&gt;=$S97),$V97,$U97)))=Milestones!$AB$183),UPPER(TEXT(EDATE($D97,Milestones!$AA$183),"dd mmm yy"))&amp;" "&amp;Milestones!$AB$183&amp;" "&amp;Milestones!$AC$183&amp;";  ","")&amp;IF(AND(EDATE($D97,Milestones!$AA$184)&lt;=AsOfDate,IF($R97=0,$X97,IF(AND($T97&lt;&gt;"",EDATE($D97,Milestones!$AA$184)&gt;=$T97),$W97,IF(AND($S97&lt;&gt;"",EDATE($D97,Milestones!$AA$184)&gt;=$S97),$V97,$U97)))=Milestones!$AB$184),UPPER(TEXT(EDATE($D97,Milestones!$AA$184),"dd mmm yy"))&amp;" "&amp;Milestones!$AB$184&amp;" "&amp;Milestones!$AC$184&amp;";  ","")&amp;IF(AND(EDATE($D97,Milestones!$AA$185)&lt;=AsOfDate,IF($R97=0,$X97,IF(AND($T97&lt;&gt;"",EDATE($D97,Milestones!$AA$185)&gt;=$T97),$W97,IF(AND($S97&lt;&gt;"",EDATE($D97,Milestones!$AA$185)&gt;=$S97),$V97,$U97)))=Milestones!$AB$185),UPPER(TEXT(EDATE($D97,Milestones!$AA$185),"dd mmm yy"))&amp;" "&amp;Milestones!$AB$185&amp;" "&amp;Milestones!$AC$185&amp;";  ","")&amp;IF(AND(EDATE($D97,Milestones!$AA$186)&lt;=AsOfDate,IF($R97=0,$X97,IF(AND($T97&lt;&gt;"",EDATE($D97,Milestones!$AA$186)&gt;=$T97),$W97,IF(AND($S97&lt;&gt;"",EDATE($D97,Milestones!$AA$186)&gt;=$S97),$V97,$U97)))=Milestones!$AB$186),UPPER(TEXT(EDATE($D97,Milestones!$AA$186),"dd mmm yy"))&amp;" "&amp;Milestones!$AB$186&amp;" "&amp;Milestones!$AC$186&amp;";  ","")&amp;IF(AND(EDATE($D97,Milestones!$AA$187)&lt;=AsOfDate,IF($R97=0,$X97,IF(AND($T97&lt;&gt;"",EDATE($D97,Milestones!$AA$187)&gt;=$T97),$W97,IF(AND($S97&lt;&gt;"",EDATE($D97,Milestones!$AA$187)&gt;=$S97),$V97,$U97)))=Milestones!$AB$187),UPPER(TEXT(EDATE($D97,Milestones!$AA$187),"dd mmm yy"))&amp;" "&amp;Milestones!$AB$187&amp;" "&amp;Milestones!$AC$187&amp;";  ","")&amp;IF(AND(EDATE($D97,Milestones!$AA$188)&lt;=AsOfDate,IF($R97=0,$X97,IF(AND($T97&lt;&gt;"",EDATE($D97,Milestones!$AA$188)&gt;=$T97),$W97,IF(AND($S97&lt;&gt;"",EDATE($D97,Milestones!$AA$188)&gt;=$S97),$V97,$U97)))=Milestones!$AB$188),UPPER(TEXT(EDATE($D97,Milestones!$AA$188),"dd mmm yy"))&amp;" "&amp;Milestones!$AB$188&amp;" "&amp;Milestones!$AC$188&amp;";  ","")&amp;IF(AND(EDATE($D97,Milestones!$AA$189)&lt;=AsOfDate,IF($R97=0,$X97,IF(AND($T97&lt;&gt;"",EDATE($D97,Milestones!$AA$189)&gt;=$T97),$W97,IF(AND($S97&lt;&gt;"",EDATE($D97,Milestones!$AA$189)&gt;=$S97),$V97,$U97)))=Milestones!$AB$189),UPPER(TEXT(EDATE($D97,Milestones!$AA$189),"dd mmm yy"))&amp;" "&amp;Milestones!$AB$189&amp;" "&amp;Milestones!$AC$189&amp;";  ","")&amp;IF(AND(EDATE($D97,Milestones!$AA$190)&lt;=AsOfDate,IF($R97=0,$X97,IF(AND($T97&lt;&gt;"",EDATE($D97,Milestones!$AA$190)&gt;=$T97),$W97,IF(AND($S97&lt;&gt;"",EDATE($D97,Milestones!$AA$190)&gt;=$S97),$V97,$U97)))=Milestones!$AB$190),UPPER(TEXT(EDATE($D97,Milestones!$AA$190),"dd mmm yy"))&amp;" "&amp;Milestones!$AB$190&amp;" "&amp;Milestones!$AC$190&amp;";  ","")&amp;IF(AND(EDATE($D97,Milestones!$AA$191)&lt;=AsOfDate,IF($R97=0,$X97,IF(AND($T97&lt;&gt;"",EDATE($D97,Milestones!$AA$191)&gt;=$T97),$W97,IF(AND($S97&lt;&gt;"",EDATE($D97,Milestones!$AA$191)&gt;=$S97),$V97,$U97)))=Milestones!$AB$191),UPPER(TEXT(EDATE($D97,Milestones!$AA$191),"dd mmm yy"))&amp;" "&amp;Milestones!$AB$191&amp;" "&amp;Milestones!$AC$191&amp;";  ","")&amp;IF(AND(EDATE($D97,Milestones!$AA$192)&lt;=AsOfDate,IF($R97=0,$X97,IF(AND($T97&lt;&gt;"",EDATE($D97,Milestones!$AA$192)&gt;=$T97),$W97,IF(AND($S97&lt;&gt;"",EDATE($D97,Milestones!$AA$192)&gt;=$S97),$V97,$U97)))=Milestones!$AB$192),UPPER(TEXT(EDATE($D97,Milestones!$AA$192),"dd mmm yy"))&amp;" "&amp;Milestones!$AB$192&amp;" "&amp;Milestones!$AC$192&amp;";  ","")&amp;IF(AND(EDATE($D97,Milestones!$AA$193)&lt;=AsOfDate,IF($R97=0,$X97,IF(AND($T97&lt;&gt;"",EDATE($D97,Milestones!$AA$193)&gt;=$T97),$W97,IF(AND($S97&lt;&gt;"",EDATE($D97,Milestones!$AA$193)&gt;=$S97),$V97,$U97)))=Milestones!$AB$193),UPPER(TEXT(EDATE($D97,Milestones!$AA$193),"dd mmm yy"))&amp;" "&amp;Milestones!$AB$193&amp;" "&amp;Milestones!$AC$193&amp;";  ","")&amp;IF(AND(EDATE($D97,Milestones!$AA$194)&lt;=AsOfDate,IF($R97=0,$X97,IF(AND($T97&lt;&gt;"",EDATE($D97,Milestones!$AA$194)&gt;=$T97),$W97,IF(AND($S97&lt;&gt;"",EDATE($D97,Milestones!$AA$194)&gt;=$S97),$V97,$U97)))=Milestones!$AB$194),UPPER(TEXT(EDATE($D97,Milestones!$AA$194),"dd mmm yy"))&amp;" "&amp;Milestones!$AB$194&amp;" "&amp;Milestones!$AC$194&amp;";  ","")&amp;IF(AND(EDATE($D97,Milestones!$AA$195)&lt;=AsOfDate,IF($R97=0,$X97,IF(AND($T97&lt;&gt;"",EDATE($D97,Milestones!$AA$195)&gt;=$T97),$W97,IF(AND($S97&lt;&gt;"",EDATE($D97,Milestones!$AA$195)&gt;=$S97),$V97,$U97)))=Milestones!$AB$195),UPPER(TEXT(EDATE($D97,Milestones!$AA$195),"dd mmm yy"))&amp;" "&amp;Milestones!$AB$195&amp;" "&amp;Milestones!$AC$195&amp;";  ","")&amp;IF(AND(EDATE($D97,Milestones!$AA$196)&lt;=AsOfDate,IF($R97=0,$X97,IF(AND($T97&lt;&gt;"",EDATE($D97,Milestones!$AA$196)&gt;=$T97),$W97,IF(AND($S97&lt;&gt;"",EDATE($D97,Milestones!$AA$196)&gt;=$S97),$V97,$U97)))=Milestones!$AB$196),UPPER(TEXT(EDATE($D97,Milestones!$AA$196),"dd mmm yy"))&amp;" "&amp;Milestones!$AB$196&amp;" "&amp;Milestones!$AC$196&amp;";  ","")&amp;IF(AND(EDATE($D97,Milestones!$AA$197)&lt;=AsOfDate,IF($R97=0,$X97,IF(AND($T97&lt;&gt;"",EDATE($D97,Milestones!$AA$197)&gt;=$T97),$W97,IF(AND($S97&lt;&gt;"",EDATE($D97,Milestones!$AA$197)&gt;=$S97),$V97,$U97)))=Milestones!$AB$197),UPPER(TEXT(EDATE($D97,Milestones!$AA$197),"dd mmm yy"))&amp;" "&amp;Milestones!$AB$197&amp;" "&amp;Milestones!$AC$197&amp;";  ","")&amp;IF(AND(EDATE($D97,Milestones!$AA$198)&lt;=AsOfDate,IF($R97=0,$X97,IF(AND($T97&lt;&gt;"",EDATE($D97,Milestones!$AA$198)&gt;=$T97),$W97,IF(AND($S97&lt;&gt;"",EDATE($D97,Milestones!$AA$198)&gt;=$S97),$V97,$U97)))=Milestones!$AB$198),UPPER(TEXT(EDATE($D97,Milestones!$AA$198),"dd mmm yy"))&amp;" "&amp;Milestones!$AB$198&amp;" "&amp;Milestones!$AC$198&amp;";  ","")&amp;IF(AND(EDATE($D97,Milestones!$AA$199)&lt;=AsOfDate,IF($R97=0,$X97,IF(AND($T97&lt;&gt;"",EDATE($D97,Milestones!$AA$199)&gt;=$T97),$W97,IF(AND($S97&lt;&gt;"",EDATE($D97,Milestones!$AA$199)&gt;=$S97),$V97,$U97)))=Milestones!$AB$199),UPPER(TEXT(EDATE($D97,Milestones!$AA$199),"dd mmm yy"))&amp;" "&amp;Milestones!$AB$199&amp;" "&amp;Milestones!$AC$199&amp;";  ",""))</f>
        <v/>
      </c>
      <c r="R97" s="0" t="str">
        <f aca="false">IF(Staff!$A97="","",Staff!$AI97)</f>
        <v/>
      </c>
      <c r="S97" s="0" t="str">
        <f aca="false">IF(Staff!$A97="","",Staff!$AK97)</f>
        <v/>
      </c>
      <c r="T97" s="0" t="str">
        <f aca="false">IF(Staff!$A97="","",Staff!$AL97)</f>
        <v/>
      </c>
      <c r="U97" s="0" t="str">
        <f aca="false">IF(Staff!$A97="","",Staff!$AP97)</f>
        <v/>
      </c>
      <c r="V97" s="0" t="str">
        <f aca="false">IF(Staff!$A97="","",Staff!$AQ97)</f>
        <v/>
      </c>
      <c r="W97" s="0" t="str">
        <f aca="false">IF(Staff!$A97="","",Staff!$AR97)</f>
        <v/>
      </c>
      <c r="X97" s="0" t="str">
        <f aca="false">IF(Staff!$A97="","",Staff!$AS97)</f>
        <v/>
      </c>
    </row>
    <row r="98" customFormat="false" ht="15" hidden="false" customHeight="false" outlineLevel="0" collapsed="false">
      <c r="A98" s="19" t="str">
        <f aca="false">IF(Staff!$A98="","",Staff!$A98)</f>
        <v/>
      </c>
      <c r="B98" s="19" t="str">
        <f aca="false">IF(Staff!$A98="","",Staff!$B98)</f>
        <v/>
      </c>
      <c r="C98" s="19" t="str">
        <f aca="false">IF(Staff!$A98="","",Staff!$C98)</f>
        <v/>
      </c>
      <c r="D98" s="17" t="str">
        <f aca="false">IF(Staff!$A98="","",Staff!$AH98)</f>
        <v/>
      </c>
      <c r="E98" s="19" t="str">
        <f aca="false">IF(Staff!$A98="","",Staff!$O98)</f>
        <v/>
      </c>
      <c r="F98" s="19" t="str">
        <f aca="false">IF(E98="","",E98*HoursPerDay)</f>
        <v/>
      </c>
      <c r="G98" s="19" t="str">
        <f aca="false">IF(Staff!$A98="","",Staff!$AE98)</f>
        <v/>
      </c>
      <c r="H98" s="32" t="str">
        <f aca="false">IF($A98="","",I98&amp;J98&amp;K98&amp;L98&amp;M98&amp;N98&amp;O98&amp;P98&amp;Q98)</f>
        <v/>
      </c>
      <c r="I98" s="0" t="str">
        <f aca="false">IF(OR($A98="",$D98=""),"",IF(AND(EDATE($D98,Milestones!$AA$20)&lt;=AsOfDate,IF($R98=0,$X98,IF(AND($T98&lt;&gt;"",EDATE($D98,Milestones!$AA$20)&gt;=$T98),$W98,IF(AND($S98&lt;&gt;"",EDATE($D98,Milestones!$AA$20)&gt;=$S98),$V98,$U98)))=Milestones!$AB$20),UPPER(TEXT(EDATE($D98,Milestones!$AA$20),"dd mmm yy"))&amp;" "&amp;Milestones!$AB$20&amp;" "&amp;Milestones!$AC$20&amp;";  ","")&amp;IF(AND(EDATE($D98,Milestones!$AA$21)&lt;=AsOfDate,IF($R98=0,$X98,IF(AND($T98&lt;&gt;"",EDATE($D98,Milestones!$AA$21)&gt;=$T98),$W98,IF(AND($S98&lt;&gt;"",EDATE($D98,Milestones!$AA$21)&gt;=$S98),$V98,$U98)))=Milestones!$AB$21),UPPER(TEXT(EDATE($D98,Milestones!$AA$21),"dd mmm yy"))&amp;" "&amp;Milestones!$AB$21&amp;" "&amp;Milestones!$AC$21&amp;";  ","")&amp;IF(AND(EDATE($D98,Milestones!$AA$22)&lt;=AsOfDate,IF($R98=0,$X98,IF(AND($T98&lt;&gt;"",EDATE($D98,Milestones!$AA$22)&gt;=$T98),$W98,IF(AND($S98&lt;&gt;"",EDATE($D98,Milestones!$AA$22)&gt;=$S98),$V98,$U98)))=Milestones!$AB$22),UPPER(TEXT(EDATE($D98,Milestones!$AA$22),"dd mmm yy"))&amp;" "&amp;Milestones!$AB$22&amp;" "&amp;Milestones!$AC$22&amp;";  ","")&amp;IF(AND(EDATE($D98,Milestones!$AA$23)&lt;=AsOfDate,IF($R98=0,$X98,IF(AND($T98&lt;&gt;"",EDATE($D98,Milestones!$AA$23)&gt;=$T98),$W98,IF(AND($S98&lt;&gt;"",EDATE($D98,Milestones!$AA$23)&gt;=$S98),$V98,$U98)))=Milestones!$AB$23),UPPER(TEXT(EDATE($D98,Milestones!$AA$23),"dd mmm yy"))&amp;" "&amp;Milestones!$AB$23&amp;" "&amp;Milestones!$AC$23&amp;";  ","")&amp;IF(AND(EDATE($D98,Milestones!$AA$24)&lt;=AsOfDate,IF($R98=0,$X98,IF(AND($T98&lt;&gt;"",EDATE($D98,Milestones!$AA$24)&gt;=$T98),$W98,IF(AND($S98&lt;&gt;"",EDATE($D98,Milestones!$AA$24)&gt;=$S98),$V98,$U98)))=Milestones!$AB$24),UPPER(TEXT(EDATE($D98,Milestones!$AA$24),"dd mmm yy"))&amp;" "&amp;Milestones!$AB$24&amp;" "&amp;Milestones!$AC$24&amp;";  ","")&amp;IF(AND(EDATE($D98,Milestones!$AA$25)&lt;=AsOfDate,IF($R98=0,$X98,IF(AND($T98&lt;&gt;"",EDATE($D98,Milestones!$AA$25)&gt;=$T98),$W98,IF(AND($S98&lt;&gt;"",EDATE($D98,Milestones!$AA$25)&gt;=$S98),$V98,$U98)))=Milestones!$AB$25),UPPER(TEXT(EDATE($D98,Milestones!$AA$25),"dd mmm yy"))&amp;" "&amp;Milestones!$AB$25&amp;" "&amp;Milestones!$AC$25&amp;";  ","")&amp;IF(AND(EDATE($D98,Milestones!$AA$26)&lt;=AsOfDate,IF($R98=0,$X98,IF(AND($T98&lt;&gt;"",EDATE($D98,Milestones!$AA$26)&gt;=$T98),$W98,IF(AND($S98&lt;&gt;"",EDATE($D98,Milestones!$AA$26)&gt;=$S98),$V98,$U98)))=Milestones!$AB$26),UPPER(TEXT(EDATE($D98,Milestones!$AA$26),"dd mmm yy"))&amp;" "&amp;Milestones!$AB$26&amp;" "&amp;Milestones!$AC$26&amp;";  ","")&amp;IF(AND(EDATE($D98,Milestones!$AA$27)&lt;=AsOfDate,IF($R98=0,$X98,IF(AND($T98&lt;&gt;"",EDATE($D98,Milestones!$AA$27)&gt;=$T98),$W98,IF(AND($S98&lt;&gt;"",EDATE($D98,Milestones!$AA$27)&gt;=$S98),$V98,$U98)))=Milestones!$AB$27),UPPER(TEXT(EDATE($D98,Milestones!$AA$27),"dd mmm yy"))&amp;" "&amp;Milestones!$AB$27&amp;" "&amp;Milestones!$AC$27&amp;";  ","")&amp;IF(AND(EDATE($D98,Milestones!$AA$28)&lt;=AsOfDate,IF($R98=0,$X98,IF(AND($T98&lt;&gt;"",EDATE($D98,Milestones!$AA$28)&gt;=$T98),$W98,IF(AND($S98&lt;&gt;"",EDATE($D98,Milestones!$AA$28)&gt;=$S98),$V98,$U98)))=Milestones!$AB$28),UPPER(TEXT(EDATE($D98,Milestones!$AA$28),"dd mmm yy"))&amp;" "&amp;Milestones!$AB$28&amp;" "&amp;Milestones!$AC$28&amp;";  ","")&amp;IF(AND(EDATE($D98,Milestones!$AA$29)&lt;=AsOfDate,IF($R98=0,$X98,IF(AND($T98&lt;&gt;"",EDATE($D98,Milestones!$AA$29)&gt;=$T98),$W98,IF(AND($S98&lt;&gt;"",EDATE($D98,Milestones!$AA$29)&gt;=$S98),$V98,$U98)))=Milestones!$AB$29),UPPER(TEXT(EDATE($D98,Milestones!$AA$29),"dd mmm yy"))&amp;" "&amp;Milestones!$AB$29&amp;" "&amp;Milestones!$AC$29&amp;";  ","")&amp;IF(AND(EDATE($D98,Milestones!$AA$30)&lt;=AsOfDate,IF($R98=0,$X98,IF(AND($T98&lt;&gt;"",EDATE($D98,Milestones!$AA$30)&gt;=$T98),$W98,IF(AND($S98&lt;&gt;"",EDATE($D98,Milestones!$AA$30)&gt;=$S98),$V98,$U98)))=Milestones!$AB$30),UPPER(TEXT(EDATE($D98,Milestones!$AA$30),"dd mmm yy"))&amp;" "&amp;Milestones!$AB$30&amp;" "&amp;Milestones!$AC$30&amp;";  ","")&amp;IF(AND(EDATE($D98,Milestones!$AA$31)&lt;=AsOfDate,IF($R98=0,$X98,IF(AND($T98&lt;&gt;"",EDATE($D98,Milestones!$AA$31)&gt;=$T98),$W98,IF(AND($S98&lt;&gt;"",EDATE($D98,Milestones!$AA$31)&gt;=$S98),$V98,$U98)))=Milestones!$AB$31),UPPER(TEXT(EDATE($D98,Milestones!$AA$31),"dd mmm yy"))&amp;" "&amp;Milestones!$AB$31&amp;" "&amp;Milestones!$AC$31&amp;";  ","")&amp;IF(AND(EDATE($D98,Milestones!$AA$32)&lt;=AsOfDate,IF($R98=0,$X98,IF(AND($T98&lt;&gt;"",EDATE($D98,Milestones!$AA$32)&gt;=$T98),$W98,IF(AND($S98&lt;&gt;"",EDATE($D98,Milestones!$AA$32)&gt;=$S98),$V98,$U98)))=Milestones!$AB$32),UPPER(TEXT(EDATE($D98,Milestones!$AA$32),"dd mmm yy"))&amp;" "&amp;Milestones!$AB$32&amp;" "&amp;Milestones!$AC$32&amp;";  ","")&amp;IF(AND(EDATE($D98,Milestones!$AA$33)&lt;=AsOfDate,IF($R98=0,$X98,IF(AND($T98&lt;&gt;"",EDATE($D98,Milestones!$AA$33)&gt;=$T98),$W98,IF(AND($S98&lt;&gt;"",EDATE($D98,Milestones!$AA$33)&gt;=$S98),$V98,$U98)))=Milestones!$AB$33),UPPER(TEXT(EDATE($D98,Milestones!$AA$33),"dd mmm yy"))&amp;" "&amp;Milestones!$AB$33&amp;" "&amp;Milestones!$AC$33&amp;";  ","")&amp;IF(AND(EDATE($D98,Milestones!$AA$34)&lt;=AsOfDate,IF($R98=0,$X98,IF(AND($T98&lt;&gt;"",EDATE($D98,Milestones!$AA$34)&gt;=$T98),$W98,IF(AND($S98&lt;&gt;"",EDATE($D98,Milestones!$AA$34)&gt;=$S98),$V98,$U98)))=Milestones!$AB$34),UPPER(TEXT(EDATE($D98,Milestones!$AA$34),"dd mmm yy"))&amp;" "&amp;Milestones!$AB$34&amp;" "&amp;Milestones!$AC$34&amp;";  ","")&amp;IF(AND(EDATE($D98,Milestones!$AA$35)&lt;=AsOfDate,IF($R98=0,$X98,IF(AND($T98&lt;&gt;"",EDATE($D98,Milestones!$AA$35)&gt;=$T98),$W98,IF(AND($S98&lt;&gt;"",EDATE($D98,Milestones!$AA$35)&gt;=$S98),$V98,$U98)))=Milestones!$AB$35),UPPER(TEXT(EDATE($D98,Milestones!$AA$35),"dd mmm yy"))&amp;" "&amp;Milestones!$AB$35&amp;" "&amp;Milestones!$AC$35&amp;";  ","")&amp;IF(AND(EDATE($D98,Milestones!$AA$36)&lt;=AsOfDate,IF($R98=0,$X98,IF(AND($T98&lt;&gt;"",EDATE($D98,Milestones!$AA$36)&gt;=$T98),$W98,IF(AND($S98&lt;&gt;"",EDATE($D98,Milestones!$AA$36)&gt;=$S98),$V98,$U98)))=Milestones!$AB$36),UPPER(TEXT(EDATE($D98,Milestones!$AA$36),"dd mmm yy"))&amp;" "&amp;Milestones!$AB$36&amp;" "&amp;Milestones!$AC$36&amp;";  ","")&amp;IF(AND(EDATE($D98,Milestones!$AA$37)&lt;=AsOfDate,IF($R98=0,$X98,IF(AND($T98&lt;&gt;"",EDATE($D98,Milestones!$AA$37)&gt;=$T98),$W98,IF(AND($S98&lt;&gt;"",EDATE($D98,Milestones!$AA$37)&gt;=$S98),$V98,$U98)))=Milestones!$AB$37),UPPER(TEXT(EDATE($D98,Milestones!$AA$37),"dd mmm yy"))&amp;" "&amp;Milestones!$AB$37&amp;" "&amp;Milestones!$AC$37&amp;";  ","")&amp;IF(AND(EDATE($D98,Milestones!$AA$38)&lt;=AsOfDate,IF($R98=0,$X98,IF(AND($T98&lt;&gt;"",EDATE($D98,Milestones!$AA$38)&gt;=$T98),$W98,IF(AND($S98&lt;&gt;"",EDATE($D98,Milestones!$AA$38)&gt;=$S98),$V98,$U98)))=Milestones!$AB$38),UPPER(TEXT(EDATE($D98,Milestones!$AA$38),"dd mmm yy"))&amp;" "&amp;Milestones!$AB$38&amp;" "&amp;Milestones!$AC$38&amp;";  ","")&amp;IF(AND(EDATE($D98,Milestones!$AA$39)&lt;=AsOfDate,IF($R98=0,$X98,IF(AND($T98&lt;&gt;"",EDATE($D98,Milestones!$AA$39)&gt;=$T98),$W98,IF(AND($S98&lt;&gt;"",EDATE($D98,Milestones!$AA$39)&gt;=$S98),$V98,$U98)))=Milestones!$AB$39),UPPER(TEXT(EDATE($D98,Milestones!$AA$39),"dd mmm yy"))&amp;" "&amp;Milestones!$AB$39&amp;" "&amp;Milestones!$AC$39&amp;";  ",""))</f>
        <v/>
      </c>
      <c r="J98" s="0" t="str">
        <f aca="false">IF(OR($A98="",$D98=""),"",IF(AND(EDATE($D98,Milestones!$AA$40)&lt;=AsOfDate,IF($R98=0,$X98,IF(AND($T98&lt;&gt;"",EDATE($D98,Milestones!$AA$40)&gt;=$T98),$W98,IF(AND($S98&lt;&gt;"",EDATE($D98,Milestones!$AA$40)&gt;=$S98),$V98,$U98)))=Milestones!$AB$40),UPPER(TEXT(EDATE($D98,Milestones!$AA$40),"dd mmm yy"))&amp;" "&amp;Milestones!$AB$40&amp;" "&amp;Milestones!$AC$40&amp;";  ","")&amp;IF(AND(EDATE($D98,Milestones!$AA$41)&lt;=AsOfDate,IF($R98=0,$X98,IF(AND($T98&lt;&gt;"",EDATE($D98,Milestones!$AA$41)&gt;=$T98),$W98,IF(AND($S98&lt;&gt;"",EDATE($D98,Milestones!$AA$41)&gt;=$S98),$V98,$U98)))=Milestones!$AB$41),UPPER(TEXT(EDATE($D98,Milestones!$AA$41),"dd mmm yy"))&amp;" "&amp;Milestones!$AB$41&amp;" "&amp;Milestones!$AC$41&amp;";  ","")&amp;IF(AND(EDATE($D98,Milestones!$AA$42)&lt;=AsOfDate,IF($R98=0,$X98,IF(AND($T98&lt;&gt;"",EDATE($D98,Milestones!$AA$42)&gt;=$T98),$W98,IF(AND($S98&lt;&gt;"",EDATE($D98,Milestones!$AA$42)&gt;=$S98),$V98,$U98)))=Milestones!$AB$42),UPPER(TEXT(EDATE($D98,Milestones!$AA$42),"dd mmm yy"))&amp;" "&amp;Milestones!$AB$42&amp;" "&amp;Milestones!$AC$42&amp;";  ","")&amp;IF(AND(EDATE($D98,Milestones!$AA$43)&lt;=AsOfDate,IF($R98=0,$X98,IF(AND($T98&lt;&gt;"",EDATE($D98,Milestones!$AA$43)&gt;=$T98),$W98,IF(AND($S98&lt;&gt;"",EDATE($D98,Milestones!$AA$43)&gt;=$S98),$V98,$U98)))=Milestones!$AB$43),UPPER(TEXT(EDATE($D98,Milestones!$AA$43),"dd mmm yy"))&amp;" "&amp;Milestones!$AB$43&amp;" "&amp;Milestones!$AC$43&amp;";  ","")&amp;IF(AND(EDATE($D98,Milestones!$AA$44)&lt;=AsOfDate,IF($R98=0,$X98,IF(AND($T98&lt;&gt;"",EDATE($D98,Milestones!$AA$44)&gt;=$T98),$W98,IF(AND($S98&lt;&gt;"",EDATE($D98,Milestones!$AA$44)&gt;=$S98),$V98,$U98)))=Milestones!$AB$44),UPPER(TEXT(EDATE($D98,Milestones!$AA$44),"dd mmm yy"))&amp;" "&amp;Milestones!$AB$44&amp;" "&amp;Milestones!$AC$44&amp;";  ","")&amp;IF(AND(EDATE($D98,Milestones!$AA$45)&lt;=AsOfDate,IF($R98=0,$X98,IF(AND($T98&lt;&gt;"",EDATE($D98,Milestones!$AA$45)&gt;=$T98),$W98,IF(AND($S98&lt;&gt;"",EDATE($D98,Milestones!$AA$45)&gt;=$S98),$V98,$U98)))=Milestones!$AB$45),UPPER(TEXT(EDATE($D98,Milestones!$AA$45),"dd mmm yy"))&amp;" "&amp;Milestones!$AB$45&amp;" "&amp;Milestones!$AC$45&amp;";  ","")&amp;IF(AND(EDATE($D98,Milestones!$AA$46)&lt;=AsOfDate,IF($R98=0,$X98,IF(AND($T98&lt;&gt;"",EDATE($D98,Milestones!$AA$46)&gt;=$T98),$W98,IF(AND($S98&lt;&gt;"",EDATE($D98,Milestones!$AA$46)&gt;=$S98),$V98,$U98)))=Milestones!$AB$46),UPPER(TEXT(EDATE($D98,Milestones!$AA$46),"dd mmm yy"))&amp;" "&amp;Milestones!$AB$46&amp;" "&amp;Milestones!$AC$46&amp;";  ","")&amp;IF(AND(EDATE($D98,Milestones!$AA$47)&lt;=AsOfDate,IF($R98=0,$X98,IF(AND($T98&lt;&gt;"",EDATE($D98,Milestones!$AA$47)&gt;=$T98),$W98,IF(AND($S98&lt;&gt;"",EDATE($D98,Milestones!$AA$47)&gt;=$S98),$V98,$U98)))=Milestones!$AB$47),UPPER(TEXT(EDATE($D98,Milestones!$AA$47),"dd mmm yy"))&amp;" "&amp;Milestones!$AB$47&amp;" "&amp;Milestones!$AC$47&amp;";  ","")&amp;IF(AND(EDATE($D98,Milestones!$AA$48)&lt;=AsOfDate,IF($R98=0,$X98,IF(AND($T98&lt;&gt;"",EDATE($D98,Milestones!$AA$48)&gt;=$T98),$W98,IF(AND($S98&lt;&gt;"",EDATE($D98,Milestones!$AA$48)&gt;=$S98),$V98,$U98)))=Milestones!$AB$48),UPPER(TEXT(EDATE($D98,Milestones!$AA$48),"dd mmm yy"))&amp;" "&amp;Milestones!$AB$48&amp;" "&amp;Milestones!$AC$48&amp;";  ","")&amp;IF(AND(EDATE($D98,Milestones!$AA$49)&lt;=AsOfDate,IF($R98=0,$X98,IF(AND($T98&lt;&gt;"",EDATE($D98,Milestones!$AA$49)&gt;=$T98),$W98,IF(AND($S98&lt;&gt;"",EDATE($D98,Milestones!$AA$49)&gt;=$S98),$V98,$U98)))=Milestones!$AB$49),UPPER(TEXT(EDATE($D98,Milestones!$AA$49),"dd mmm yy"))&amp;" "&amp;Milestones!$AB$49&amp;" "&amp;Milestones!$AC$49&amp;";  ","")&amp;IF(AND(EDATE($D98,Milestones!$AA$50)&lt;=AsOfDate,IF($R98=0,$X98,IF(AND($T98&lt;&gt;"",EDATE($D98,Milestones!$AA$50)&gt;=$T98),$W98,IF(AND($S98&lt;&gt;"",EDATE($D98,Milestones!$AA$50)&gt;=$S98),$V98,$U98)))=Milestones!$AB$50),UPPER(TEXT(EDATE($D98,Milestones!$AA$50),"dd mmm yy"))&amp;" "&amp;Milestones!$AB$50&amp;" "&amp;Milestones!$AC$50&amp;";  ","")&amp;IF(AND(EDATE($D98,Milestones!$AA$51)&lt;=AsOfDate,IF($R98=0,$X98,IF(AND($T98&lt;&gt;"",EDATE($D98,Milestones!$AA$51)&gt;=$T98),$W98,IF(AND($S98&lt;&gt;"",EDATE($D98,Milestones!$AA$51)&gt;=$S98),$V98,$U98)))=Milestones!$AB$51),UPPER(TEXT(EDATE($D98,Milestones!$AA$51),"dd mmm yy"))&amp;" "&amp;Milestones!$AB$51&amp;" "&amp;Milestones!$AC$51&amp;";  ","")&amp;IF(AND(EDATE($D98,Milestones!$AA$52)&lt;=AsOfDate,IF($R98=0,$X98,IF(AND($T98&lt;&gt;"",EDATE($D98,Milestones!$AA$52)&gt;=$T98),$W98,IF(AND($S98&lt;&gt;"",EDATE($D98,Milestones!$AA$52)&gt;=$S98),$V98,$U98)))=Milestones!$AB$52),UPPER(TEXT(EDATE($D98,Milestones!$AA$52),"dd mmm yy"))&amp;" "&amp;Milestones!$AB$52&amp;" "&amp;Milestones!$AC$52&amp;";  ","")&amp;IF(AND(EDATE($D98,Milestones!$AA$53)&lt;=AsOfDate,IF($R98=0,$X98,IF(AND($T98&lt;&gt;"",EDATE($D98,Milestones!$AA$53)&gt;=$T98),$W98,IF(AND($S98&lt;&gt;"",EDATE($D98,Milestones!$AA$53)&gt;=$S98),$V98,$U98)))=Milestones!$AB$53),UPPER(TEXT(EDATE($D98,Milestones!$AA$53),"dd mmm yy"))&amp;" "&amp;Milestones!$AB$53&amp;" "&amp;Milestones!$AC$53&amp;";  ","")&amp;IF(AND(EDATE($D98,Milestones!$AA$54)&lt;=AsOfDate,IF($R98=0,$X98,IF(AND($T98&lt;&gt;"",EDATE($D98,Milestones!$AA$54)&gt;=$T98),$W98,IF(AND($S98&lt;&gt;"",EDATE($D98,Milestones!$AA$54)&gt;=$S98),$V98,$U98)))=Milestones!$AB$54),UPPER(TEXT(EDATE($D98,Milestones!$AA$54),"dd mmm yy"))&amp;" "&amp;Milestones!$AB$54&amp;" "&amp;Milestones!$AC$54&amp;";  ","")&amp;IF(AND(EDATE($D98,Milestones!$AA$55)&lt;=AsOfDate,IF($R98=0,$X98,IF(AND($T98&lt;&gt;"",EDATE($D98,Milestones!$AA$55)&gt;=$T98),$W98,IF(AND($S98&lt;&gt;"",EDATE($D98,Milestones!$AA$55)&gt;=$S98),$V98,$U98)))=Milestones!$AB$55),UPPER(TEXT(EDATE($D98,Milestones!$AA$55),"dd mmm yy"))&amp;" "&amp;Milestones!$AB$55&amp;" "&amp;Milestones!$AC$55&amp;";  ","")&amp;IF(AND(EDATE($D98,Milestones!$AA$56)&lt;=AsOfDate,IF($R98=0,$X98,IF(AND($T98&lt;&gt;"",EDATE($D98,Milestones!$AA$56)&gt;=$T98),$W98,IF(AND($S98&lt;&gt;"",EDATE($D98,Milestones!$AA$56)&gt;=$S98),$V98,$U98)))=Milestones!$AB$56),UPPER(TEXT(EDATE($D98,Milestones!$AA$56),"dd mmm yy"))&amp;" "&amp;Milestones!$AB$56&amp;" "&amp;Milestones!$AC$56&amp;";  ","")&amp;IF(AND(EDATE($D98,Milestones!$AA$57)&lt;=AsOfDate,IF($R98=0,$X98,IF(AND($T98&lt;&gt;"",EDATE($D98,Milestones!$AA$57)&gt;=$T98),$W98,IF(AND($S98&lt;&gt;"",EDATE($D98,Milestones!$AA$57)&gt;=$S98),$V98,$U98)))=Milestones!$AB$57),UPPER(TEXT(EDATE($D98,Milestones!$AA$57),"dd mmm yy"))&amp;" "&amp;Milestones!$AB$57&amp;" "&amp;Milestones!$AC$57&amp;";  ","")&amp;IF(AND(EDATE($D98,Milestones!$AA$58)&lt;=AsOfDate,IF($R98=0,$X98,IF(AND($T98&lt;&gt;"",EDATE($D98,Milestones!$AA$58)&gt;=$T98),$W98,IF(AND($S98&lt;&gt;"",EDATE($D98,Milestones!$AA$58)&gt;=$S98),$V98,$U98)))=Milestones!$AB$58),UPPER(TEXT(EDATE($D98,Milestones!$AA$58),"dd mmm yy"))&amp;" "&amp;Milestones!$AB$58&amp;" "&amp;Milestones!$AC$58&amp;";  ","")&amp;IF(AND(EDATE($D98,Milestones!$AA$59)&lt;=AsOfDate,IF($R98=0,$X98,IF(AND($T98&lt;&gt;"",EDATE($D98,Milestones!$AA$59)&gt;=$T98),$W98,IF(AND($S98&lt;&gt;"",EDATE($D98,Milestones!$AA$59)&gt;=$S98),$V98,$U98)))=Milestones!$AB$59),UPPER(TEXT(EDATE($D98,Milestones!$AA$59),"dd mmm yy"))&amp;" "&amp;Milestones!$AB$59&amp;" "&amp;Milestones!$AC$59&amp;";  ",""))</f>
        <v/>
      </c>
      <c r="K98" s="0" t="str">
        <f aca="false">IF(OR($A98="",$D98=""),"",IF(AND(EDATE($D98,Milestones!$AA$60)&lt;=AsOfDate,IF($R98=0,$X98,IF(AND($T98&lt;&gt;"",EDATE($D98,Milestones!$AA$60)&gt;=$T98),$W98,IF(AND($S98&lt;&gt;"",EDATE($D98,Milestones!$AA$60)&gt;=$S98),$V98,$U98)))=Milestones!$AB$60),UPPER(TEXT(EDATE($D98,Milestones!$AA$60),"dd mmm yy"))&amp;" "&amp;Milestones!$AB$60&amp;" "&amp;Milestones!$AC$60&amp;";  ","")&amp;IF(AND(EDATE($D98,Milestones!$AA$61)&lt;=AsOfDate,IF($R98=0,$X98,IF(AND($T98&lt;&gt;"",EDATE($D98,Milestones!$AA$61)&gt;=$T98),$W98,IF(AND($S98&lt;&gt;"",EDATE($D98,Milestones!$AA$61)&gt;=$S98),$V98,$U98)))=Milestones!$AB$61),UPPER(TEXT(EDATE($D98,Milestones!$AA$61),"dd mmm yy"))&amp;" "&amp;Milestones!$AB$61&amp;" "&amp;Milestones!$AC$61&amp;";  ","")&amp;IF(AND(EDATE($D98,Milestones!$AA$62)&lt;=AsOfDate,IF($R98=0,$X98,IF(AND($T98&lt;&gt;"",EDATE($D98,Milestones!$AA$62)&gt;=$T98),$W98,IF(AND($S98&lt;&gt;"",EDATE($D98,Milestones!$AA$62)&gt;=$S98),$V98,$U98)))=Milestones!$AB$62),UPPER(TEXT(EDATE($D98,Milestones!$AA$62),"dd mmm yy"))&amp;" "&amp;Milestones!$AB$62&amp;" "&amp;Milestones!$AC$62&amp;";  ","")&amp;IF(AND(EDATE($D98,Milestones!$AA$63)&lt;=AsOfDate,IF($R98=0,$X98,IF(AND($T98&lt;&gt;"",EDATE($D98,Milestones!$AA$63)&gt;=$T98),$W98,IF(AND($S98&lt;&gt;"",EDATE($D98,Milestones!$AA$63)&gt;=$S98),$V98,$U98)))=Milestones!$AB$63),UPPER(TEXT(EDATE($D98,Milestones!$AA$63),"dd mmm yy"))&amp;" "&amp;Milestones!$AB$63&amp;" "&amp;Milestones!$AC$63&amp;";  ","")&amp;IF(AND(EDATE($D98,Milestones!$AA$64)&lt;=AsOfDate,IF($R98=0,$X98,IF(AND($T98&lt;&gt;"",EDATE($D98,Milestones!$AA$64)&gt;=$T98),$W98,IF(AND($S98&lt;&gt;"",EDATE($D98,Milestones!$AA$64)&gt;=$S98),$V98,$U98)))=Milestones!$AB$64),UPPER(TEXT(EDATE($D98,Milestones!$AA$64),"dd mmm yy"))&amp;" "&amp;Milestones!$AB$64&amp;" "&amp;Milestones!$AC$64&amp;";  ","")&amp;IF(AND(EDATE($D98,Milestones!$AA$65)&lt;=AsOfDate,IF($R98=0,$X98,IF(AND($T98&lt;&gt;"",EDATE($D98,Milestones!$AA$65)&gt;=$T98),$W98,IF(AND($S98&lt;&gt;"",EDATE($D98,Milestones!$AA$65)&gt;=$S98),$V98,$U98)))=Milestones!$AB$65),UPPER(TEXT(EDATE($D98,Milestones!$AA$65),"dd mmm yy"))&amp;" "&amp;Milestones!$AB$65&amp;" "&amp;Milestones!$AC$65&amp;";  ","")&amp;IF(AND(EDATE($D98,Milestones!$AA$66)&lt;=AsOfDate,IF($R98=0,$X98,IF(AND($T98&lt;&gt;"",EDATE($D98,Milestones!$AA$66)&gt;=$T98),$W98,IF(AND($S98&lt;&gt;"",EDATE($D98,Milestones!$AA$66)&gt;=$S98),$V98,$U98)))=Milestones!$AB$66),UPPER(TEXT(EDATE($D98,Milestones!$AA$66),"dd mmm yy"))&amp;" "&amp;Milestones!$AB$66&amp;" "&amp;Milestones!$AC$66&amp;";  ","")&amp;IF(AND(EDATE($D98,Milestones!$AA$67)&lt;=AsOfDate,IF($R98=0,$X98,IF(AND($T98&lt;&gt;"",EDATE($D98,Milestones!$AA$67)&gt;=$T98),$W98,IF(AND($S98&lt;&gt;"",EDATE($D98,Milestones!$AA$67)&gt;=$S98),$V98,$U98)))=Milestones!$AB$67),UPPER(TEXT(EDATE($D98,Milestones!$AA$67),"dd mmm yy"))&amp;" "&amp;Milestones!$AB$67&amp;" "&amp;Milestones!$AC$67&amp;";  ","")&amp;IF(AND(EDATE($D98,Milestones!$AA$68)&lt;=AsOfDate,IF($R98=0,$X98,IF(AND($T98&lt;&gt;"",EDATE($D98,Milestones!$AA$68)&gt;=$T98),$W98,IF(AND($S98&lt;&gt;"",EDATE($D98,Milestones!$AA$68)&gt;=$S98),$V98,$U98)))=Milestones!$AB$68),UPPER(TEXT(EDATE($D98,Milestones!$AA$68),"dd mmm yy"))&amp;" "&amp;Milestones!$AB$68&amp;" "&amp;Milestones!$AC$68&amp;";  ","")&amp;IF(AND(EDATE($D98,Milestones!$AA$69)&lt;=AsOfDate,IF($R98=0,$X98,IF(AND($T98&lt;&gt;"",EDATE($D98,Milestones!$AA$69)&gt;=$T98),$W98,IF(AND($S98&lt;&gt;"",EDATE($D98,Milestones!$AA$69)&gt;=$S98),$V98,$U98)))=Milestones!$AB$69),UPPER(TEXT(EDATE($D98,Milestones!$AA$69),"dd mmm yy"))&amp;" "&amp;Milestones!$AB$69&amp;" "&amp;Milestones!$AC$69&amp;";  ","")&amp;IF(AND(EDATE($D98,Milestones!$AA$70)&lt;=AsOfDate,IF($R98=0,$X98,IF(AND($T98&lt;&gt;"",EDATE($D98,Milestones!$AA$70)&gt;=$T98),$W98,IF(AND($S98&lt;&gt;"",EDATE($D98,Milestones!$AA$70)&gt;=$S98),$V98,$U98)))=Milestones!$AB$70),UPPER(TEXT(EDATE($D98,Milestones!$AA$70),"dd mmm yy"))&amp;" "&amp;Milestones!$AB$70&amp;" "&amp;Milestones!$AC$70&amp;";  ","")&amp;IF(AND(EDATE($D98,Milestones!$AA$71)&lt;=AsOfDate,IF($R98=0,$X98,IF(AND($T98&lt;&gt;"",EDATE($D98,Milestones!$AA$71)&gt;=$T98),$W98,IF(AND($S98&lt;&gt;"",EDATE($D98,Milestones!$AA$71)&gt;=$S98),$V98,$U98)))=Milestones!$AB$71),UPPER(TEXT(EDATE($D98,Milestones!$AA$71),"dd mmm yy"))&amp;" "&amp;Milestones!$AB$71&amp;" "&amp;Milestones!$AC$71&amp;";  ","")&amp;IF(AND(EDATE($D98,Milestones!$AA$72)&lt;=AsOfDate,IF($R98=0,$X98,IF(AND($T98&lt;&gt;"",EDATE($D98,Milestones!$AA$72)&gt;=$T98),$W98,IF(AND($S98&lt;&gt;"",EDATE($D98,Milestones!$AA$72)&gt;=$S98),$V98,$U98)))=Milestones!$AB$72),UPPER(TEXT(EDATE($D98,Milestones!$AA$72),"dd mmm yy"))&amp;" "&amp;Milestones!$AB$72&amp;" "&amp;Milestones!$AC$72&amp;";  ","")&amp;IF(AND(EDATE($D98,Milestones!$AA$73)&lt;=AsOfDate,IF($R98=0,$X98,IF(AND($T98&lt;&gt;"",EDATE($D98,Milestones!$AA$73)&gt;=$T98),$W98,IF(AND($S98&lt;&gt;"",EDATE($D98,Milestones!$AA$73)&gt;=$S98),$V98,$U98)))=Milestones!$AB$73),UPPER(TEXT(EDATE($D98,Milestones!$AA$73),"dd mmm yy"))&amp;" "&amp;Milestones!$AB$73&amp;" "&amp;Milestones!$AC$73&amp;";  ","")&amp;IF(AND(EDATE($D98,Milestones!$AA$74)&lt;=AsOfDate,IF($R98=0,$X98,IF(AND($T98&lt;&gt;"",EDATE($D98,Milestones!$AA$74)&gt;=$T98),$W98,IF(AND($S98&lt;&gt;"",EDATE($D98,Milestones!$AA$74)&gt;=$S98),$V98,$U98)))=Milestones!$AB$74),UPPER(TEXT(EDATE($D98,Milestones!$AA$74),"dd mmm yy"))&amp;" "&amp;Milestones!$AB$74&amp;" "&amp;Milestones!$AC$74&amp;";  ","")&amp;IF(AND(EDATE($D98,Milestones!$AA$75)&lt;=AsOfDate,IF($R98=0,$X98,IF(AND($T98&lt;&gt;"",EDATE($D98,Milestones!$AA$75)&gt;=$T98),$W98,IF(AND($S98&lt;&gt;"",EDATE($D98,Milestones!$AA$75)&gt;=$S98),$V98,$U98)))=Milestones!$AB$75),UPPER(TEXT(EDATE($D98,Milestones!$AA$75),"dd mmm yy"))&amp;" "&amp;Milestones!$AB$75&amp;" "&amp;Milestones!$AC$75&amp;";  ","")&amp;IF(AND(EDATE($D98,Milestones!$AA$76)&lt;=AsOfDate,IF($R98=0,$X98,IF(AND($T98&lt;&gt;"",EDATE($D98,Milestones!$AA$76)&gt;=$T98),$W98,IF(AND($S98&lt;&gt;"",EDATE($D98,Milestones!$AA$76)&gt;=$S98),$V98,$U98)))=Milestones!$AB$76),UPPER(TEXT(EDATE($D98,Milestones!$AA$76),"dd mmm yy"))&amp;" "&amp;Milestones!$AB$76&amp;" "&amp;Milestones!$AC$76&amp;";  ","")&amp;IF(AND(EDATE($D98,Milestones!$AA$77)&lt;=AsOfDate,IF($R98=0,$X98,IF(AND($T98&lt;&gt;"",EDATE($D98,Milestones!$AA$77)&gt;=$T98),$W98,IF(AND($S98&lt;&gt;"",EDATE($D98,Milestones!$AA$77)&gt;=$S98),$V98,$U98)))=Milestones!$AB$77),UPPER(TEXT(EDATE($D98,Milestones!$AA$77),"dd mmm yy"))&amp;" "&amp;Milestones!$AB$77&amp;" "&amp;Milestones!$AC$77&amp;";  ","")&amp;IF(AND(EDATE($D98,Milestones!$AA$78)&lt;=AsOfDate,IF($R98=0,$X98,IF(AND($T98&lt;&gt;"",EDATE($D98,Milestones!$AA$78)&gt;=$T98),$W98,IF(AND($S98&lt;&gt;"",EDATE($D98,Milestones!$AA$78)&gt;=$S98),$V98,$U98)))=Milestones!$AB$78),UPPER(TEXT(EDATE($D98,Milestones!$AA$78),"dd mmm yy"))&amp;" "&amp;Milestones!$AB$78&amp;" "&amp;Milestones!$AC$78&amp;";  ","")&amp;IF(AND(EDATE($D98,Milestones!$AA$79)&lt;=AsOfDate,IF($R98=0,$X98,IF(AND($T98&lt;&gt;"",EDATE($D98,Milestones!$AA$79)&gt;=$T98),$W98,IF(AND($S98&lt;&gt;"",EDATE($D98,Milestones!$AA$79)&gt;=$S98),$V98,$U98)))=Milestones!$AB$79),UPPER(TEXT(EDATE($D98,Milestones!$AA$79),"dd mmm yy"))&amp;" "&amp;Milestones!$AB$79&amp;" "&amp;Milestones!$AC$79&amp;";  ",""))</f>
        <v/>
      </c>
      <c r="L98" s="0" t="str">
        <f aca="false">IF(OR($A98="",$D98=""),"",IF(AND(EDATE($D98,Milestones!$AA$80)&lt;=AsOfDate,IF($R98=0,$X98,IF(AND($T98&lt;&gt;"",EDATE($D98,Milestones!$AA$80)&gt;=$T98),$W98,IF(AND($S98&lt;&gt;"",EDATE($D98,Milestones!$AA$80)&gt;=$S98),$V98,$U98)))=Milestones!$AB$80),UPPER(TEXT(EDATE($D98,Milestones!$AA$80),"dd mmm yy"))&amp;" "&amp;Milestones!$AB$80&amp;" "&amp;Milestones!$AC$80&amp;";  ","")&amp;IF(AND(EDATE($D98,Milestones!$AA$81)&lt;=AsOfDate,IF($R98=0,$X98,IF(AND($T98&lt;&gt;"",EDATE($D98,Milestones!$AA$81)&gt;=$T98),$W98,IF(AND($S98&lt;&gt;"",EDATE($D98,Milestones!$AA$81)&gt;=$S98),$V98,$U98)))=Milestones!$AB$81),UPPER(TEXT(EDATE($D98,Milestones!$AA$81),"dd mmm yy"))&amp;" "&amp;Milestones!$AB$81&amp;" "&amp;Milestones!$AC$81&amp;";  ","")&amp;IF(AND(EDATE($D98,Milestones!$AA$82)&lt;=AsOfDate,IF($R98=0,$X98,IF(AND($T98&lt;&gt;"",EDATE($D98,Milestones!$AA$82)&gt;=$T98),$W98,IF(AND($S98&lt;&gt;"",EDATE($D98,Milestones!$AA$82)&gt;=$S98),$V98,$U98)))=Milestones!$AB$82),UPPER(TEXT(EDATE($D98,Milestones!$AA$82),"dd mmm yy"))&amp;" "&amp;Milestones!$AB$82&amp;" "&amp;Milestones!$AC$82&amp;";  ","")&amp;IF(AND(EDATE($D98,Milestones!$AA$83)&lt;=AsOfDate,IF($R98=0,$X98,IF(AND($T98&lt;&gt;"",EDATE($D98,Milestones!$AA$83)&gt;=$T98),$W98,IF(AND($S98&lt;&gt;"",EDATE($D98,Milestones!$AA$83)&gt;=$S98),$V98,$U98)))=Milestones!$AB$83),UPPER(TEXT(EDATE($D98,Milestones!$AA$83),"dd mmm yy"))&amp;" "&amp;Milestones!$AB$83&amp;" "&amp;Milestones!$AC$83&amp;";  ","")&amp;IF(AND(EDATE($D98,Milestones!$AA$84)&lt;=AsOfDate,IF($R98=0,$X98,IF(AND($T98&lt;&gt;"",EDATE($D98,Milestones!$AA$84)&gt;=$T98),$W98,IF(AND($S98&lt;&gt;"",EDATE($D98,Milestones!$AA$84)&gt;=$S98),$V98,$U98)))=Milestones!$AB$84),UPPER(TEXT(EDATE($D98,Milestones!$AA$84),"dd mmm yy"))&amp;" "&amp;Milestones!$AB$84&amp;" "&amp;Milestones!$AC$84&amp;";  ","")&amp;IF(AND(EDATE($D98,Milestones!$AA$85)&lt;=AsOfDate,IF($R98=0,$X98,IF(AND($T98&lt;&gt;"",EDATE($D98,Milestones!$AA$85)&gt;=$T98),$W98,IF(AND($S98&lt;&gt;"",EDATE($D98,Milestones!$AA$85)&gt;=$S98),$V98,$U98)))=Milestones!$AB$85),UPPER(TEXT(EDATE($D98,Milestones!$AA$85),"dd mmm yy"))&amp;" "&amp;Milestones!$AB$85&amp;" "&amp;Milestones!$AC$85&amp;";  ","")&amp;IF(AND(EDATE($D98,Milestones!$AA$86)&lt;=AsOfDate,IF($R98=0,$X98,IF(AND($T98&lt;&gt;"",EDATE($D98,Milestones!$AA$86)&gt;=$T98),$W98,IF(AND($S98&lt;&gt;"",EDATE($D98,Milestones!$AA$86)&gt;=$S98),$V98,$U98)))=Milestones!$AB$86),UPPER(TEXT(EDATE($D98,Milestones!$AA$86),"dd mmm yy"))&amp;" "&amp;Milestones!$AB$86&amp;" "&amp;Milestones!$AC$86&amp;";  ","")&amp;IF(AND(EDATE($D98,Milestones!$AA$87)&lt;=AsOfDate,IF($R98=0,$X98,IF(AND($T98&lt;&gt;"",EDATE($D98,Milestones!$AA$87)&gt;=$T98),$W98,IF(AND($S98&lt;&gt;"",EDATE($D98,Milestones!$AA$87)&gt;=$S98),$V98,$U98)))=Milestones!$AB$87),UPPER(TEXT(EDATE($D98,Milestones!$AA$87),"dd mmm yy"))&amp;" "&amp;Milestones!$AB$87&amp;" "&amp;Milestones!$AC$87&amp;";  ","")&amp;IF(AND(EDATE($D98,Milestones!$AA$88)&lt;=AsOfDate,IF($R98=0,$X98,IF(AND($T98&lt;&gt;"",EDATE($D98,Milestones!$AA$88)&gt;=$T98),$W98,IF(AND($S98&lt;&gt;"",EDATE($D98,Milestones!$AA$88)&gt;=$S98),$V98,$U98)))=Milestones!$AB$88),UPPER(TEXT(EDATE($D98,Milestones!$AA$88),"dd mmm yy"))&amp;" "&amp;Milestones!$AB$88&amp;" "&amp;Milestones!$AC$88&amp;";  ","")&amp;IF(AND(EDATE($D98,Milestones!$AA$89)&lt;=AsOfDate,IF($R98=0,$X98,IF(AND($T98&lt;&gt;"",EDATE($D98,Milestones!$AA$89)&gt;=$T98),$W98,IF(AND($S98&lt;&gt;"",EDATE($D98,Milestones!$AA$89)&gt;=$S98),$V98,$U98)))=Milestones!$AB$89),UPPER(TEXT(EDATE($D98,Milestones!$AA$89),"dd mmm yy"))&amp;" "&amp;Milestones!$AB$89&amp;" "&amp;Milestones!$AC$89&amp;";  ","")&amp;IF(AND(EDATE($D98,Milestones!$AA$90)&lt;=AsOfDate,IF($R98=0,$X98,IF(AND($T98&lt;&gt;"",EDATE($D98,Milestones!$AA$90)&gt;=$T98),$W98,IF(AND($S98&lt;&gt;"",EDATE($D98,Milestones!$AA$90)&gt;=$S98),$V98,$U98)))=Milestones!$AB$90),UPPER(TEXT(EDATE($D98,Milestones!$AA$90),"dd mmm yy"))&amp;" "&amp;Milestones!$AB$90&amp;" "&amp;Milestones!$AC$90&amp;";  ","")&amp;IF(AND(EDATE($D98,Milestones!$AA$91)&lt;=AsOfDate,IF($R98=0,$X98,IF(AND($T98&lt;&gt;"",EDATE($D98,Milestones!$AA$91)&gt;=$T98),$W98,IF(AND($S98&lt;&gt;"",EDATE($D98,Milestones!$AA$91)&gt;=$S98),$V98,$U98)))=Milestones!$AB$91),UPPER(TEXT(EDATE($D98,Milestones!$AA$91),"dd mmm yy"))&amp;" "&amp;Milestones!$AB$91&amp;" "&amp;Milestones!$AC$91&amp;";  ","")&amp;IF(AND(EDATE($D98,Milestones!$AA$92)&lt;=AsOfDate,IF($R98=0,$X98,IF(AND($T98&lt;&gt;"",EDATE($D98,Milestones!$AA$92)&gt;=$T98),$W98,IF(AND($S98&lt;&gt;"",EDATE($D98,Milestones!$AA$92)&gt;=$S98),$V98,$U98)))=Milestones!$AB$92),UPPER(TEXT(EDATE($D98,Milestones!$AA$92),"dd mmm yy"))&amp;" "&amp;Milestones!$AB$92&amp;" "&amp;Milestones!$AC$92&amp;";  ","")&amp;IF(AND(EDATE($D98,Milestones!$AA$93)&lt;=AsOfDate,IF($R98=0,$X98,IF(AND($T98&lt;&gt;"",EDATE($D98,Milestones!$AA$93)&gt;=$T98),$W98,IF(AND($S98&lt;&gt;"",EDATE($D98,Milestones!$AA$93)&gt;=$S98),$V98,$U98)))=Milestones!$AB$93),UPPER(TEXT(EDATE($D98,Milestones!$AA$93),"dd mmm yy"))&amp;" "&amp;Milestones!$AB$93&amp;" "&amp;Milestones!$AC$93&amp;";  ","")&amp;IF(AND(EDATE($D98,Milestones!$AA$94)&lt;=AsOfDate,IF($R98=0,$X98,IF(AND($T98&lt;&gt;"",EDATE($D98,Milestones!$AA$94)&gt;=$T98),$W98,IF(AND($S98&lt;&gt;"",EDATE($D98,Milestones!$AA$94)&gt;=$S98),$V98,$U98)))=Milestones!$AB$94),UPPER(TEXT(EDATE($D98,Milestones!$AA$94),"dd mmm yy"))&amp;" "&amp;Milestones!$AB$94&amp;" "&amp;Milestones!$AC$94&amp;";  ","")&amp;IF(AND(EDATE($D98,Milestones!$AA$95)&lt;=AsOfDate,IF($R98=0,$X98,IF(AND($T98&lt;&gt;"",EDATE($D98,Milestones!$AA$95)&gt;=$T98),$W98,IF(AND($S98&lt;&gt;"",EDATE($D98,Milestones!$AA$95)&gt;=$S98),$V98,$U98)))=Milestones!$AB$95),UPPER(TEXT(EDATE($D98,Milestones!$AA$95),"dd mmm yy"))&amp;" "&amp;Milestones!$AB$95&amp;" "&amp;Milestones!$AC$95&amp;";  ","")&amp;IF(AND(EDATE($D98,Milestones!$AA$96)&lt;=AsOfDate,IF($R98=0,$X98,IF(AND($T98&lt;&gt;"",EDATE($D98,Milestones!$AA$96)&gt;=$T98),$W98,IF(AND($S98&lt;&gt;"",EDATE($D98,Milestones!$AA$96)&gt;=$S98),$V98,$U98)))=Milestones!$AB$96),UPPER(TEXT(EDATE($D98,Milestones!$AA$96),"dd mmm yy"))&amp;" "&amp;Milestones!$AB$96&amp;" "&amp;Milestones!$AC$96&amp;";  ","")&amp;IF(AND(EDATE($D98,Milestones!$AA$97)&lt;=AsOfDate,IF($R98=0,$X98,IF(AND($T98&lt;&gt;"",EDATE($D98,Milestones!$AA$97)&gt;=$T98),$W98,IF(AND($S98&lt;&gt;"",EDATE($D98,Milestones!$AA$97)&gt;=$S98),$V98,$U98)))=Milestones!$AB$97),UPPER(TEXT(EDATE($D98,Milestones!$AA$97),"dd mmm yy"))&amp;" "&amp;Milestones!$AB$97&amp;" "&amp;Milestones!$AC$97&amp;";  ","")&amp;IF(AND(EDATE($D98,Milestones!$AA$98)&lt;=AsOfDate,IF($R98=0,$X98,IF(AND($T98&lt;&gt;"",EDATE($D98,Milestones!$AA$98)&gt;=$T98),$W98,IF(AND($S98&lt;&gt;"",EDATE($D98,Milestones!$AA$98)&gt;=$S98),$V98,$U98)))=Milestones!$AB$98),UPPER(TEXT(EDATE($D98,Milestones!$AA$98),"dd mmm yy"))&amp;" "&amp;Milestones!$AB$98&amp;" "&amp;Milestones!$AC$98&amp;";  ","")&amp;IF(AND(EDATE($D98,Milestones!$AA$99)&lt;=AsOfDate,IF($R98=0,$X98,IF(AND($T98&lt;&gt;"",EDATE($D98,Milestones!$AA$99)&gt;=$T98),$W98,IF(AND($S98&lt;&gt;"",EDATE($D98,Milestones!$AA$99)&gt;=$S98),$V98,$U98)))=Milestones!$AB$99),UPPER(TEXT(EDATE($D98,Milestones!$AA$99),"dd mmm yy"))&amp;" "&amp;Milestones!$AB$99&amp;" "&amp;Milestones!$AC$99&amp;";  ",""))</f>
        <v/>
      </c>
      <c r="M98" s="0" t="str">
        <f aca="false">IF(OR($A98="",$D98=""),"",IF(AND(EDATE($D98,Milestones!$AA$100)&lt;=AsOfDate,IF($R98=0,$X98,IF(AND($T98&lt;&gt;"",EDATE($D98,Milestones!$AA$100)&gt;=$T98),$W98,IF(AND($S98&lt;&gt;"",EDATE($D98,Milestones!$AA$100)&gt;=$S98),$V98,$U98)))=Milestones!$AB$100),UPPER(TEXT(EDATE($D98,Milestones!$AA$100),"dd mmm yy"))&amp;" "&amp;Milestones!$AB$100&amp;" "&amp;Milestones!$AC$100&amp;";  ","")&amp;IF(AND(EDATE($D98,Milestones!$AA$101)&lt;=AsOfDate,IF($R98=0,$X98,IF(AND($T98&lt;&gt;"",EDATE($D98,Milestones!$AA$101)&gt;=$T98),$W98,IF(AND($S98&lt;&gt;"",EDATE($D98,Milestones!$AA$101)&gt;=$S98),$V98,$U98)))=Milestones!$AB$101),UPPER(TEXT(EDATE($D98,Milestones!$AA$101),"dd mmm yy"))&amp;" "&amp;Milestones!$AB$101&amp;" "&amp;Milestones!$AC$101&amp;";  ","")&amp;IF(AND(EDATE($D98,Milestones!$AA$102)&lt;=AsOfDate,IF($R98=0,$X98,IF(AND($T98&lt;&gt;"",EDATE($D98,Milestones!$AA$102)&gt;=$T98),$W98,IF(AND($S98&lt;&gt;"",EDATE($D98,Milestones!$AA$102)&gt;=$S98),$V98,$U98)))=Milestones!$AB$102),UPPER(TEXT(EDATE($D98,Milestones!$AA$102),"dd mmm yy"))&amp;" "&amp;Milestones!$AB$102&amp;" "&amp;Milestones!$AC$102&amp;";  ","")&amp;IF(AND(EDATE($D98,Milestones!$AA$103)&lt;=AsOfDate,IF($R98=0,$X98,IF(AND($T98&lt;&gt;"",EDATE($D98,Milestones!$AA$103)&gt;=$T98),$W98,IF(AND($S98&lt;&gt;"",EDATE($D98,Milestones!$AA$103)&gt;=$S98),$V98,$U98)))=Milestones!$AB$103),UPPER(TEXT(EDATE($D98,Milestones!$AA$103),"dd mmm yy"))&amp;" "&amp;Milestones!$AB$103&amp;" "&amp;Milestones!$AC$103&amp;";  ","")&amp;IF(AND(EDATE($D98,Milestones!$AA$104)&lt;=AsOfDate,IF($R98=0,$X98,IF(AND($T98&lt;&gt;"",EDATE($D98,Milestones!$AA$104)&gt;=$T98),$W98,IF(AND($S98&lt;&gt;"",EDATE($D98,Milestones!$AA$104)&gt;=$S98),$V98,$U98)))=Milestones!$AB$104),UPPER(TEXT(EDATE($D98,Milestones!$AA$104),"dd mmm yy"))&amp;" "&amp;Milestones!$AB$104&amp;" "&amp;Milestones!$AC$104&amp;";  ","")&amp;IF(AND(EDATE($D98,Milestones!$AA$105)&lt;=AsOfDate,IF($R98=0,$X98,IF(AND($T98&lt;&gt;"",EDATE($D98,Milestones!$AA$105)&gt;=$T98),$W98,IF(AND($S98&lt;&gt;"",EDATE($D98,Milestones!$AA$105)&gt;=$S98),$V98,$U98)))=Milestones!$AB$105),UPPER(TEXT(EDATE($D98,Milestones!$AA$105),"dd mmm yy"))&amp;" "&amp;Milestones!$AB$105&amp;" "&amp;Milestones!$AC$105&amp;";  ","")&amp;IF(AND(EDATE($D98,Milestones!$AA$106)&lt;=AsOfDate,IF($R98=0,$X98,IF(AND($T98&lt;&gt;"",EDATE($D98,Milestones!$AA$106)&gt;=$T98),$W98,IF(AND($S98&lt;&gt;"",EDATE($D98,Milestones!$AA$106)&gt;=$S98),$V98,$U98)))=Milestones!$AB$106),UPPER(TEXT(EDATE($D98,Milestones!$AA$106),"dd mmm yy"))&amp;" "&amp;Milestones!$AB$106&amp;" "&amp;Milestones!$AC$106&amp;";  ","")&amp;IF(AND(EDATE($D98,Milestones!$AA$107)&lt;=AsOfDate,IF($R98=0,$X98,IF(AND($T98&lt;&gt;"",EDATE($D98,Milestones!$AA$107)&gt;=$T98),$W98,IF(AND($S98&lt;&gt;"",EDATE($D98,Milestones!$AA$107)&gt;=$S98),$V98,$U98)))=Milestones!$AB$107),UPPER(TEXT(EDATE($D98,Milestones!$AA$107),"dd mmm yy"))&amp;" "&amp;Milestones!$AB$107&amp;" "&amp;Milestones!$AC$107&amp;";  ","")&amp;IF(AND(EDATE($D98,Milestones!$AA$108)&lt;=AsOfDate,IF($R98=0,$X98,IF(AND($T98&lt;&gt;"",EDATE($D98,Milestones!$AA$108)&gt;=$T98),$W98,IF(AND($S98&lt;&gt;"",EDATE($D98,Milestones!$AA$108)&gt;=$S98),$V98,$U98)))=Milestones!$AB$108),UPPER(TEXT(EDATE($D98,Milestones!$AA$108),"dd mmm yy"))&amp;" "&amp;Milestones!$AB$108&amp;" "&amp;Milestones!$AC$108&amp;";  ","")&amp;IF(AND(EDATE($D98,Milestones!$AA$109)&lt;=AsOfDate,IF($R98=0,$X98,IF(AND($T98&lt;&gt;"",EDATE($D98,Milestones!$AA$109)&gt;=$T98),$W98,IF(AND($S98&lt;&gt;"",EDATE($D98,Milestones!$AA$109)&gt;=$S98),$V98,$U98)))=Milestones!$AB$109),UPPER(TEXT(EDATE($D98,Milestones!$AA$109),"dd mmm yy"))&amp;" "&amp;Milestones!$AB$109&amp;" "&amp;Milestones!$AC$109&amp;";  ","")&amp;IF(AND(EDATE($D98,Milestones!$AA$110)&lt;=AsOfDate,IF($R98=0,$X98,IF(AND($T98&lt;&gt;"",EDATE($D98,Milestones!$AA$110)&gt;=$T98),$W98,IF(AND($S98&lt;&gt;"",EDATE($D98,Milestones!$AA$110)&gt;=$S98),$V98,$U98)))=Milestones!$AB$110),UPPER(TEXT(EDATE($D98,Milestones!$AA$110),"dd mmm yy"))&amp;" "&amp;Milestones!$AB$110&amp;" "&amp;Milestones!$AC$110&amp;";  ","")&amp;IF(AND(EDATE($D98,Milestones!$AA$111)&lt;=AsOfDate,IF($R98=0,$X98,IF(AND($T98&lt;&gt;"",EDATE($D98,Milestones!$AA$111)&gt;=$T98),$W98,IF(AND($S98&lt;&gt;"",EDATE($D98,Milestones!$AA$111)&gt;=$S98),$V98,$U98)))=Milestones!$AB$111),UPPER(TEXT(EDATE($D98,Milestones!$AA$111),"dd mmm yy"))&amp;" "&amp;Milestones!$AB$111&amp;" "&amp;Milestones!$AC$111&amp;";  ","")&amp;IF(AND(EDATE($D98,Milestones!$AA$112)&lt;=AsOfDate,IF($R98=0,$X98,IF(AND($T98&lt;&gt;"",EDATE($D98,Milestones!$AA$112)&gt;=$T98),$W98,IF(AND($S98&lt;&gt;"",EDATE($D98,Milestones!$AA$112)&gt;=$S98),$V98,$U98)))=Milestones!$AB$112),UPPER(TEXT(EDATE($D98,Milestones!$AA$112),"dd mmm yy"))&amp;" "&amp;Milestones!$AB$112&amp;" "&amp;Milestones!$AC$112&amp;";  ","")&amp;IF(AND(EDATE($D98,Milestones!$AA$113)&lt;=AsOfDate,IF($R98=0,$X98,IF(AND($T98&lt;&gt;"",EDATE($D98,Milestones!$AA$113)&gt;=$T98),$W98,IF(AND($S98&lt;&gt;"",EDATE($D98,Milestones!$AA$113)&gt;=$S98),$V98,$U98)))=Milestones!$AB$113),UPPER(TEXT(EDATE($D98,Milestones!$AA$113),"dd mmm yy"))&amp;" "&amp;Milestones!$AB$113&amp;" "&amp;Milestones!$AC$113&amp;";  ","")&amp;IF(AND(EDATE($D98,Milestones!$AA$114)&lt;=AsOfDate,IF($R98=0,$X98,IF(AND($T98&lt;&gt;"",EDATE($D98,Milestones!$AA$114)&gt;=$T98),$W98,IF(AND($S98&lt;&gt;"",EDATE($D98,Milestones!$AA$114)&gt;=$S98),$V98,$U98)))=Milestones!$AB$114),UPPER(TEXT(EDATE($D98,Milestones!$AA$114),"dd mmm yy"))&amp;" "&amp;Milestones!$AB$114&amp;" "&amp;Milestones!$AC$114&amp;";  ","")&amp;IF(AND(EDATE($D98,Milestones!$AA$115)&lt;=AsOfDate,IF($R98=0,$X98,IF(AND($T98&lt;&gt;"",EDATE($D98,Milestones!$AA$115)&gt;=$T98),$W98,IF(AND($S98&lt;&gt;"",EDATE($D98,Milestones!$AA$115)&gt;=$S98),$V98,$U98)))=Milestones!$AB$115),UPPER(TEXT(EDATE($D98,Milestones!$AA$115),"dd mmm yy"))&amp;" "&amp;Milestones!$AB$115&amp;" "&amp;Milestones!$AC$115&amp;";  ","")&amp;IF(AND(EDATE($D98,Milestones!$AA$116)&lt;=AsOfDate,IF($R98=0,$X98,IF(AND($T98&lt;&gt;"",EDATE($D98,Milestones!$AA$116)&gt;=$T98),$W98,IF(AND($S98&lt;&gt;"",EDATE($D98,Milestones!$AA$116)&gt;=$S98),$V98,$U98)))=Milestones!$AB$116),UPPER(TEXT(EDATE($D98,Milestones!$AA$116),"dd mmm yy"))&amp;" "&amp;Milestones!$AB$116&amp;" "&amp;Milestones!$AC$116&amp;";  ","")&amp;IF(AND(EDATE($D98,Milestones!$AA$117)&lt;=AsOfDate,IF($R98=0,$X98,IF(AND($T98&lt;&gt;"",EDATE($D98,Milestones!$AA$117)&gt;=$T98),$W98,IF(AND($S98&lt;&gt;"",EDATE($D98,Milestones!$AA$117)&gt;=$S98),$V98,$U98)))=Milestones!$AB$117),UPPER(TEXT(EDATE($D98,Milestones!$AA$117),"dd mmm yy"))&amp;" "&amp;Milestones!$AB$117&amp;" "&amp;Milestones!$AC$117&amp;";  ","")&amp;IF(AND(EDATE($D98,Milestones!$AA$118)&lt;=AsOfDate,IF($R98=0,$X98,IF(AND($T98&lt;&gt;"",EDATE($D98,Milestones!$AA$118)&gt;=$T98),$W98,IF(AND($S98&lt;&gt;"",EDATE($D98,Milestones!$AA$118)&gt;=$S98),$V98,$U98)))=Milestones!$AB$118),UPPER(TEXT(EDATE($D98,Milestones!$AA$118),"dd mmm yy"))&amp;" "&amp;Milestones!$AB$118&amp;" "&amp;Milestones!$AC$118&amp;";  ","")&amp;IF(AND(EDATE($D98,Milestones!$AA$119)&lt;=AsOfDate,IF($R98=0,$X98,IF(AND($T98&lt;&gt;"",EDATE($D98,Milestones!$AA$119)&gt;=$T98),$W98,IF(AND($S98&lt;&gt;"",EDATE($D98,Milestones!$AA$119)&gt;=$S98),$V98,$U98)))=Milestones!$AB$119),UPPER(TEXT(EDATE($D98,Milestones!$AA$119),"dd mmm yy"))&amp;" "&amp;Milestones!$AB$119&amp;" "&amp;Milestones!$AC$119&amp;";  ",""))</f>
        <v/>
      </c>
      <c r="N98" s="0" t="str">
        <f aca="false">IF(OR($A98="",$D98=""),"",IF(AND(EDATE($D98,Milestones!$AA$120)&lt;=AsOfDate,IF($R98=0,$X98,IF(AND($T98&lt;&gt;"",EDATE($D98,Milestones!$AA$120)&gt;=$T98),$W98,IF(AND($S98&lt;&gt;"",EDATE($D98,Milestones!$AA$120)&gt;=$S98),$V98,$U98)))=Milestones!$AB$120),UPPER(TEXT(EDATE($D98,Milestones!$AA$120),"dd mmm yy"))&amp;" "&amp;Milestones!$AB$120&amp;" "&amp;Milestones!$AC$120&amp;";  ","")&amp;IF(AND(EDATE($D98,Milestones!$AA$121)&lt;=AsOfDate,IF($R98=0,$X98,IF(AND($T98&lt;&gt;"",EDATE($D98,Milestones!$AA$121)&gt;=$T98),$W98,IF(AND($S98&lt;&gt;"",EDATE($D98,Milestones!$AA$121)&gt;=$S98),$V98,$U98)))=Milestones!$AB$121),UPPER(TEXT(EDATE($D98,Milestones!$AA$121),"dd mmm yy"))&amp;" "&amp;Milestones!$AB$121&amp;" "&amp;Milestones!$AC$121&amp;";  ","")&amp;IF(AND(EDATE($D98,Milestones!$AA$122)&lt;=AsOfDate,IF($R98=0,$X98,IF(AND($T98&lt;&gt;"",EDATE($D98,Milestones!$AA$122)&gt;=$T98),$W98,IF(AND($S98&lt;&gt;"",EDATE($D98,Milestones!$AA$122)&gt;=$S98),$V98,$U98)))=Milestones!$AB$122),UPPER(TEXT(EDATE($D98,Milestones!$AA$122),"dd mmm yy"))&amp;" "&amp;Milestones!$AB$122&amp;" "&amp;Milestones!$AC$122&amp;";  ","")&amp;IF(AND(EDATE($D98,Milestones!$AA$123)&lt;=AsOfDate,IF($R98=0,$X98,IF(AND($T98&lt;&gt;"",EDATE($D98,Milestones!$AA$123)&gt;=$T98),$W98,IF(AND($S98&lt;&gt;"",EDATE($D98,Milestones!$AA$123)&gt;=$S98),$V98,$U98)))=Milestones!$AB$123),UPPER(TEXT(EDATE($D98,Milestones!$AA$123),"dd mmm yy"))&amp;" "&amp;Milestones!$AB$123&amp;" "&amp;Milestones!$AC$123&amp;";  ","")&amp;IF(AND(EDATE($D98,Milestones!$AA$124)&lt;=AsOfDate,IF($R98=0,$X98,IF(AND($T98&lt;&gt;"",EDATE($D98,Milestones!$AA$124)&gt;=$T98),$W98,IF(AND($S98&lt;&gt;"",EDATE($D98,Milestones!$AA$124)&gt;=$S98),$V98,$U98)))=Milestones!$AB$124),UPPER(TEXT(EDATE($D98,Milestones!$AA$124),"dd mmm yy"))&amp;" "&amp;Milestones!$AB$124&amp;" "&amp;Milestones!$AC$124&amp;";  ","")&amp;IF(AND(EDATE($D98,Milestones!$AA$125)&lt;=AsOfDate,IF($R98=0,$X98,IF(AND($T98&lt;&gt;"",EDATE($D98,Milestones!$AA$125)&gt;=$T98),$W98,IF(AND($S98&lt;&gt;"",EDATE($D98,Milestones!$AA$125)&gt;=$S98),$V98,$U98)))=Milestones!$AB$125),UPPER(TEXT(EDATE($D98,Milestones!$AA$125),"dd mmm yy"))&amp;" "&amp;Milestones!$AB$125&amp;" "&amp;Milestones!$AC$125&amp;";  ","")&amp;IF(AND(EDATE($D98,Milestones!$AA$126)&lt;=AsOfDate,IF($R98=0,$X98,IF(AND($T98&lt;&gt;"",EDATE($D98,Milestones!$AA$126)&gt;=$T98),$W98,IF(AND($S98&lt;&gt;"",EDATE($D98,Milestones!$AA$126)&gt;=$S98),$V98,$U98)))=Milestones!$AB$126),UPPER(TEXT(EDATE($D98,Milestones!$AA$126),"dd mmm yy"))&amp;" "&amp;Milestones!$AB$126&amp;" "&amp;Milestones!$AC$126&amp;";  ","")&amp;IF(AND(EDATE($D98,Milestones!$AA$127)&lt;=AsOfDate,IF($R98=0,$X98,IF(AND($T98&lt;&gt;"",EDATE($D98,Milestones!$AA$127)&gt;=$T98),$W98,IF(AND($S98&lt;&gt;"",EDATE($D98,Milestones!$AA$127)&gt;=$S98),$V98,$U98)))=Milestones!$AB$127),UPPER(TEXT(EDATE($D98,Milestones!$AA$127),"dd mmm yy"))&amp;" "&amp;Milestones!$AB$127&amp;" "&amp;Milestones!$AC$127&amp;";  ","")&amp;IF(AND(EDATE($D98,Milestones!$AA$128)&lt;=AsOfDate,IF($R98=0,$X98,IF(AND($T98&lt;&gt;"",EDATE($D98,Milestones!$AA$128)&gt;=$T98),$W98,IF(AND($S98&lt;&gt;"",EDATE($D98,Milestones!$AA$128)&gt;=$S98),$V98,$U98)))=Milestones!$AB$128),UPPER(TEXT(EDATE($D98,Milestones!$AA$128),"dd mmm yy"))&amp;" "&amp;Milestones!$AB$128&amp;" "&amp;Milestones!$AC$128&amp;";  ","")&amp;IF(AND(EDATE($D98,Milestones!$AA$129)&lt;=AsOfDate,IF($R98=0,$X98,IF(AND($T98&lt;&gt;"",EDATE($D98,Milestones!$AA$129)&gt;=$T98),$W98,IF(AND($S98&lt;&gt;"",EDATE($D98,Milestones!$AA$129)&gt;=$S98),$V98,$U98)))=Milestones!$AB$129),UPPER(TEXT(EDATE($D98,Milestones!$AA$129),"dd mmm yy"))&amp;" "&amp;Milestones!$AB$129&amp;" "&amp;Milestones!$AC$129&amp;";  ","")&amp;IF(AND(EDATE($D98,Milestones!$AA$130)&lt;=AsOfDate,IF($R98=0,$X98,IF(AND($T98&lt;&gt;"",EDATE($D98,Milestones!$AA$130)&gt;=$T98),$W98,IF(AND($S98&lt;&gt;"",EDATE($D98,Milestones!$AA$130)&gt;=$S98),$V98,$U98)))=Milestones!$AB$130),UPPER(TEXT(EDATE($D98,Milestones!$AA$130),"dd mmm yy"))&amp;" "&amp;Milestones!$AB$130&amp;" "&amp;Milestones!$AC$130&amp;";  ","")&amp;IF(AND(EDATE($D98,Milestones!$AA$131)&lt;=AsOfDate,IF($R98=0,$X98,IF(AND($T98&lt;&gt;"",EDATE($D98,Milestones!$AA$131)&gt;=$T98),$W98,IF(AND($S98&lt;&gt;"",EDATE($D98,Milestones!$AA$131)&gt;=$S98),$V98,$U98)))=Milestones!$AB$131),UPPER(TEXT(EDATE($D98,Milestones!$AA$131),"dd mmm yy"))&amp;" "&amp;Milestones!$AB$131&amp;" "&amp;Milestones!$AC$131&amp;";  ","")&amp;IF(AND(EDATE($D98,Milestones!$AA$132)&lt;=AsOfDate,IF($R98=0,$X98,IF(AND($T98&lt;&gt;"",EDATE($D98,Milestones!$AA$132)&gt;=$T98),$W98,IF(AND($S98&lt;&gt;"",EDATE($D98,Milestones!$AA$132)&gt;=$S98),$V98,$U98)))=Milestones!$AB$132),UPPER(TEXT(EDATE($D98,Milestones!$AA$132),"dd mmm yy"))&amp;" "&amp;Milestones!$AB$132&amp;" "&amp;Milestones!$AC$132&amp;";  ","")&amp;IF(AND(EDATE($D98,Milestones!$AA$133)&lt;=AsOfDate,IF($R98=0,$X98,IF(AND($T98&lt;&gt;"",EDATE($D98,Milestones!$AA$133)&gt;=$T98),$W98,IF(AND($S98&lt;&gt;"",EDATE($D98,Milestones!$AA$133)&gt;=$S98),$V98,$U98)))=Milestones!$AB$133),UPPER(TEXT(EDATE($D98,Milestones!$AA$133),"dd mmm yy"))&amp;" "&amp;Milestones!$AB$133&amp;" "&amp;Milestones!$AC$133&amp;";  ","")&amp;IF(AND(EDATE($D98,Milestones!$AA$134)&lt;=AsOfDate,IF($R98=0,$X98,IF(AND($T98&lt;&gt;"",EDATE($D98,Milestones!$AA$134)&gt;=$T98),$W98,IF(AND($S98&lt;&gt;"",EDATE($D98,Milestones!$AA$134)&gt;=$S98),$V98,$U98)))=Milestones!$AB$134),UPPER(TEXT(EDATE($D98,Milestones!$AA$134),"dd mmm yy"))&amp;" "&amp;Milestones!$AB$134&amp;" "&amp;Milestones!$AC$134&amp;";  ","")&amp;IF(AND(EDATE($D98,Milestones!$AA$135)&lt;=AsOfDate,IF($R98=0,$X98,IF(AND($T98&lt;&gt;"",EDATE($D98,Milestones!$AA$135)&gt;=$T98),$W98,IF(AND($S98&lt;&gt;"",EDATE($D98,Milestones!$AA$135)&gt;=$S98),$V98,$U98)))=Milestones!$AB$135),UPPER(TEXT(EDATE($D98,Milestones!$AA$135),"dd mmm yy"))&amp;" "&amp;Milestones!$AB$135&amp;" "&amp;Milestones!$AC$135&amp;";  ","")&amp;IF(AND(EDATE($D98,Milestones!$AA$136)&lt;=AsOfDate,IF($R98=0,$X98,IF(AND($T98&lt;&gt;"",EDATE($D98,Milestones!$AA$136)&gt;=$T98),$W98,IF(AND($S98&lt;&gt;"",EDATE($D98,Milestones!$AA$136)&gt;=$S98),$V98,$U98)))=Milestones!$AB$136),UPPER(TEXT(EDATE($D98,Milestones!$AA$136),"dd mmm yy"))&amp;" "&amp;Milestones!$AB$136&amp;" "&amp;Milestones!$AC$136&amp;";  ","")&amp;IF(AND(EDATE($D98,Milestones!$AA$137)&lt;=AsOfDate,IF($R98=0,$X98,IF(AND($T98&lt;&gt;"",EDATE($D98,Milestones!$AA$137)&gt;=$T98),$W98,IF(AND($S98&lt;&gt;"",EDATE($D98,Milestones!$AA$137)&gt;=$S98),$V98,$U98)))=Milestones!$AB$137),UPPER(TEXT(EDATE($D98,Milestones!$AA$137),"dd mmm yy"))&amp;" "&amp;Milestones!$AB$137&amp;" "&amp;Milestones!$AC$137&amp;";  ","")&amp;IF(AND(EDATE($D98,Milestones!$AA$138)&lt;=AsOfDate,IF($R98=0,$X98,IF(AND($T98&lt;&gt;"",EDATE($D98,Milestones!$AA$138)&gt;=$T98),$W98,IF(AND($S98&lt;&gt;"",EDATE($D98,Milestones!$AA$138)&gt;=$S98),$V98,$U98)))=Milestones!$AB$138),UPPER(TEXT(EDATE($D98,Milestones!$AA$138),"dd mmm yy"))&amp;" "&amp;Milestones!$AB$138&amp;" "&amp;Milestones!$AC$138&amp;";  ","")&amp;IF(AND(EDATE($D98,Milestones!$AA$139)&lt;=AsOfDate,IF($R98=0,$X98,IF(AND($T98&lt;&gt;"",EDATE($D98,Milestones!$AA$139)&gt;=$T98),$W98,IF(AND($S98&lt;&gt;"",EDATE($D98,Milestones!$AA$139)&gt;=$S98),$V98,$U98)))=Milestones!$AB$139),UPPER(TEXT(EDATE($D98,Milestones!$AA$139),"dd mmm yy"))&amp;" "&amp;Milestones!$AB$139&amp;" "&amp;Milestones!$AC$139&amp;";  ",""))</f>
        <v/>
      </c>
      <c r="O98" s="0" t="str">
        <f aca="false">IF(OR($A98="",$D98=""),"",IF(AND(EDATE($D98,Milestones!$AA$140)&lt;=AsOfDate,IF($R98=0,$X98,IF(AND($T98&lt;&gt;"",EDATE($D98,Milestones!$AA$140)&gt;=$T98),$W98,IF(AND($S98&lt;&gt;"",EDATE($D98,Milestones!$AA$140)&gt;=$S98),$V98,$U98)))=Milestones!$AB$140),UPPER(TEXT(EDATE($D98,Milestones!$AA$140),"dd mmm yy"))&amp;" "&amp;Milestones!$AB$140&amp;" "&amp;Milestones!$AC$140&amp;";  ","")&amp;IF(AND(EDATE($D98,Milestones!$AA$141)&lt;=AsOfDate,IF($R98=0,$X98,IF(AND($T98&lt;&gt;"",EDATE($D98,Milestones!$AA$141)&gt;=$T98),$W98,IF(AND($S98&lt;&gt;"",EDATE($D98,Milestones!$AA$141)&gt;=$S98),$V98,$U98)))=Milestones!$AB$141),UPPER(TEXT(EDATE($D98,Milestones!$AA$141),"dd mmm yy"))&amp;" "&amp;Milestones!$AB$141&amp;" "&amp;Milestones!$AC$141&amp;";  ","")&amp;IF(AND(EDATE($D98,Milestones!$AA$142)&lt;=AsOfDate,IF($R98=0,$X98,IF(AND($T98&lt;&gt;"",EDATE($D98,Milestones!$AA$142)&gt;=$T98),$W98,IF(AND($S98&lt;&gt;"",EDATE($D98,Milestones!$AA$142)&gt;=$S98),$V98,$U98)))=Milestones!$AB$142),UPPER(TEXT(EDATE($D98,Milestones!$AA$142),"dd mmm yy"))&amp;" "&amp;Milestones!$AB$142&amp;" "&amp;Milestones!$AC$142&amp;";  ","")&amp;IF(AND(EDATE($D98,Milestones!$AA$143)&lt;=AsOfDate,IF($R98=0,$X98,IF(AND($T98&lt;&gt;"",EDATE($D98,Milestones!$AA$143)&gt;=$T98),$W98,IF(AND($S98&lt;&gt;"",EDATE($D98,Milestones!$AA$143)&gt;=$S98),$V98,$U98)))=Milestones!$AB$143),UPPER(TEXT(EDATE($D98,Milestones!$AA$143),"dd mmm yy"))&amp;" "&amp;Milestones!$AB$143&amp;" "&amp;Milestones!$AC$143&amp;";  ","")&amp;IF(AND(EDATE($D98,Milestones!$AA$144)&lt;=AsOfDate,IF($R98=0,$X98,IF(AND($T98&lt;&gt;"",EDATE($D98,Milestones!$AA$144)&gt;=$T98),$W98,IF(AND($S98&lt;&gt;"",EDATE($D98,Milestones!$AA$144)&gt;=$S98),$V98,$U98)))=Milestones!$AB$144),UPPER(TEXT(EDATE($D98,Milestones!$AA$144),"dd mmm yy"))&amp;" "&amp;Milestones!$AB$144&amp;" "&amp;Milestones!$AC$144&amp;";  ","")&amp;IF(AND(EDATE($D98,Milestones!$AA$145)&lt;=AsOfDate,IF($R98=0,$X98,IF(AND($T98&lt;&gt;"",EDATE($D98,Milestones!$AA$145)&gt;=$T98),$W98,IF(AND($S98&lt;&gt;"",EDATE($D98,Milestones!$AA$145)&gt;=$S98),$V98,$U98)))=Milestones!$AB$145),UPPER(TEXT(EDATE($D98,Milestones!$AA$145),"dd mmm yy"))&amp;" "&amp;Milestones!$AB$145&amp;" "&amp;Milestones!$AC$145&amp;";  ","")&amp;IF(AND(EDATE($D98,Milestones!$AA$146)&lt;=AsOfDate,IF($R98=0,$X98,IF(AND($T98&lt;&gt;"",EDATE($D98,Milestones!$AA$146)&gt;=$T98),$W98,IF(AND($S98&lt;&gt;"",EDATE($D98,Milestones!$AA$146)&gt;=$S98),$V98,$U98)))=Milestones!$AB$146),UPPER(TEXT(EDATE($D98,Milestones!$AA$146),"dd mmm yy"))&amp;" "&amp;Milestones!$AB$146&amp;" "&amp;Milestones!$AC$146&amp;";  ","")&amp;IF(AND(EDATE($D98,Milestones!$AA$147)&lt;=AsOfDate,IF($R98=0,$X98,IF(AND($T98&lt;&gt;"",EDATE($D98,Milestones!$AA$147)&gt;=$T98),$W98,IF(AND($S98&lt;&gt;"",EDATE($D98,Milestones!$AA$147)&gt;=$S98),$V98,$U98)))=Milestones!$AB$147),UPPER(TEXT(EDATE($D98,Milestones!$AA$147),"dd mmm yy"))&amp;" "&amp;Milestones!$AB$147&amp;" "&amp;Milestones!$AC$147&amp;";  ","")&amp;IF(AND(EDATE($D98,Milestones!$AA$148)&lt;=AsOfDate,IF($R98=0,$X98,IF(AND($T98&lt;&gt;"",EDATE($D98,Milestones!$AA$148)&gt;=$T98),$W98,IF(AND($S98&lt;&gt;"",EDATE($D98,Milestones!$AA$148)&gt;=$S98),$V98,$U98)))=Milestones!$AB$148),UPPER(TEXT(EDATE($D98,Milestones!$AA$148),"dd mmm yy"))&amp;" "&amp;Milestones!$AB$148&amp;" "&amp;Milestones!$AC$148&amp;";  ","")&amp;IF(AND(EDATE($D98,Milestones!$AA$149)&lt;=AsOfDate,IF($R98=0,$X98,IF(AND($T98&lt;&gt;"",EDATE($D98,Milestones!$AA$149)&gt;=$T98),$W98,IF(AND($S98&lt;&gt;"",EDATE($D98,Milestones!$AA$149)&gt;=$S98),$V98,$U98)))=Milestones!$AB$149),UPPER(TEXT(EDATE($D98,Milestones!$AA$149),"dd mmm yy"))&amp;" "&amp;Milestones!$AB$149&amp;" "&amp;Milestones!$AC$149&amp;";  ","")&amp;IF(AND(EDATE($D98,Milestones!$AA$150)&lt;=AsOfDate,IF($R98=0,$X98,IF(AND($T98&lt;&gt;"",EDATE($D98,Milestones!$AA$150)&gt;=$T98),$W98,IF(AND($S98&lt;&gt;"",EDATE($D98,Milestones!$AA$150)&gt;=$S98),$V98,$U98)))=Milestones!$AB$150),UPPER(TEXT(EDATE($D98,Milestones!$AA$150),"dd mmm yy"))&amp;" "&amp;Milestones!$AB$150&amp;" "&amp;Milestones!$AC$150&amp;";  ","")&amp;IF(AND(EDATE($D98,Milestones!$AA$151)&lt;=AsOfDate,IF($R98=0,$X98,IF(AND($T98&lt;&gt;"",EDATE($D98,Milestones!$AA$151)&gt;=$T98),$W98,IF(AND($S98&lt;&gt;"",EDATE($D98,Milestones!$AA$151)&gt;=$S98),$V98,$U98)))=Milestones!$AB$151),UPPER(TEXT(EDATE($D98,Milestones!$AA$151),"dd mmm yy"))&amp;" "&amp;Milestones!$AB$151&amp;" "&amp;Milestones!$AC$151&amp;";  ","")&amp;IF(AND(EDATE($D98,Milestones!$AA$152)&lt;=AsOfDate,IF($R98=0,$X98,IF(AND($T98&lt;&gt;"",EDATE($D98,Milestones!$AA$152)&gt;=$T98),$W98,IF(AND($S98&lt;&gt;"",EDATE($D98,Milestones!$AA$152)&gt;=$S98),$V98,$U98)))=Milestones!$AB$152),UPPER(TEXT(EDATE($D98,Milestones!$AA$152),"dd mmm yy"))&amp;" "&amp;Milestones!$AB$152&amp;" "&amp;Milestones!$AC$152&amp;";  ","")&amp;IF(AND(EDATE($D98,Milestones!$AA$153)&lt;=AsOfDate,IF($R98=0,$X98,IF(AND($T98&lt;&gt;"",EDATE($D98,Milestones!$AA$153)&gt;=$T98),$W98,IF(AND($S98&lt;&gt;"",EDATE($D98,Milestones!$AA$153)&gt;=$S98),$V98,$U98)))=Milestones!$AB$153),UPPER(TEXT(EDATE($D98,Milestones!$AA$153),"dd mmm yy"))&amp;" "&amp;Milestones!$AB$153&amp;" "&amp;Milestones!$AC$153&amp;";  ","")&amp;IF(AND(EDATE($D98,Milestones!$AA$154)&lt;=AsOfDate,IF($R98=0,$X98,IF(AND($T98&lt;&gt;"",EDATE($D98,Milestones!$AA$154)&gt;=$T98),$W98,IF(AND($S98&lt;&gt;"",EDATE($D98,Milestones!$AA$154)&gt;=$S98),$V98,$U98)))=Milestones!$AB$154),UPPER(TEXT(EDATE($D98,Milestones!$AA$154),"dd mmm yy"))&amp;" "&amp;Milestones!$AB$154&amp;" "&amp;Milestones!$AC$154&amp;";  ","")&amp;IF(AND(EDATE($D98,Milestones!$AA$155)&lt;=AsOfDate,IF($R98=0,$X98,IF(AND($T98&lt;&gt;"",EDATE($D98,Milestones!$AA$155)&gt;=$T98),$W98,IF(AND($S98&lt;&gt;"",EDATE($D98,Milestones!$AA$155)&gt;=$S98),$V98,$U98)))=Milestones!$AB$155),UPPER(TEXT(EDATE($D98,Milestones!$AA$155),"dd mmm yy"))&amp;" "&amp;Milestones!$AB$155&amp;" "&amp;Milestones!$AC$155&amp;";  ","")&amp;IF(AND(EDATE($D98,Milestones!$AA$156)&lt;=AsOfDate,IF($R98=0,$X98,IF(AND($T98&lt;&gt;"",EDATE($D98,Milestones!$AA$156)&gt;=$T98),$W98,IF(AND($S98&lt;&gt;"",EDATE($D98,Milestones!$AA$156)&gt;=$S98),$V98,$U98)))=Milestones!$AB$156),UPPER(TEXT(EDATE($D98,Milestones!$AA$156),"dd mmm yy"))&amp;" "&amp;Milestones!$AB$156&amp;" "&amp;Milestones!$AC$156&amp;";  ","")&amp;IF(AND(EDATE($D98,Milestones!$AA$157)&lt;=AsOfDate,IF($R98=0,$X98,IF(AND($T98&lt;&gt;"",EDATE($D98,Milestones!$AA$157)&gt;=$T98),$W98,IF(AND($S98&lt;&gt;"",EDATE($D98,Milestones!$AA$157)&gt;=$S98),$V98,$U98)))=Milestones!$AB$157),UPPER(TEXT(EDATE($D98,Milestones!$AA$157),"dd mmm yy"))&amp;" "&amp;Milestones!$AB$157&amp;" "&amp;Milestones!$AC$157&amp;";  ","")&amp;IF(AND(EDATE($D98,Milestones!$AA$158)&lt;=AsOfDate,IF($R98=0,$X98,IF(AND($T98&lt;&gt;"",EDATE($D98,Milestones!$AA$158)&gt;=$T98),$W98,IF(AND($S98&lt;&gt;"",EDATE($D98,Milestones!$AA$158)&gt;=$S98),$V98,$U98)))=Milestones!$AB$158),UPPER(TEXT(EDATE($D98,Milestones!$AA$158),"dd mmm yy"))&amp;" "&amp;Milestones!$AB$158&amp;" "&amp;Milestones!$AC$158&amp;";  ","")&amp;IF(AND(EDATE($D98,Milestones!$AA$159)&lt;=AsOfDate,IF($R98=0,$X98,IF(AND($T98&lt;&gt;"",EDATE($D98,Milestones!$AA$159)&gt;=$T98),$W98,IF(AND($S98&lt;&gt;"",EDATE($D98,Milestones!$AA$159)&gt;=$S98),$V98,$U98)))=Milestones!$AB$159),UPPER(TEXT(EDATE($D98,Milestones!$AA$159),"dd mmm yy"))&amp;" "&amp;Milestones!$AB$159&amp;" "&amp;Milestones!$AC$159&amp;";  ",""))</f>
        <v/>
      </c>
      <c r="P98" s="0" t="str">
        <f aca="false">IF(OR($A98="",$D98=""),"",IF(AND(EDATE($D98,Milestones!$AA$160)&lt;=AsOfDate,IF($R98=0,$X98,IF(AND($T98&lt;&gt;"",EDATE($D98,Milestones!$AA$160)&gt;=$T98),$W98,IF(AND($S98&lt;&gt;"",EDATE($D98,Milestones!$AA$160)&gt;=$S98),$V98,$U98)))=Milestones!$AB$160),UPPER(TEXT(EDATE($D98,Milestones!$AA$160),"dd mmm yy"))&amp;" "&amp;Milestones!$AB$160&amp;" "&amp;Milestones!$AC$160&amp;";  ","")&amp;IF(AND(EDATE($D98,Milestones!$AA$161)&lt;=AsOfDate,IF($R98=0,$X98,IF(AND($T98&lt;&gt;"",EDATE($D98,Milestones!$AA$161)&gt;=$T98),$W98,IF(AND($S98&lt;&gt;"",EDATE($D98,Milestones!$AA$161)&gt;=$S98),$V98,$U98)))=Milestones!$AB$161),UPPER(TEXT(EDATE($D98,Milestones!$AA$161),"dd mmm yy"))&amp;" "&amp;Milestones!$AB$161&amp;" "&amp;Milestones!$AC$161&amp;";  ","")&amp;IF(AND(EDATE($D98,Milestones!$AA$162)&lt;=AsOfDate,IF($R98=0,$X98,IF(AND($T98&lt;&gt;"",EDATE($D98,Milestones!$AA$162)&gt;=$T98),$W98,IF(AND($S98&lt;&gt;"",EDATE($D98,Milestones!$AA$162)&gt;=$S98),$V98,$U98)))=Milestones!$AB$162),UPPER(TEXT(EDATE($D98,Milestones!$AA$162),"dd mmm yy"))&amp;" "&amp;Milestones!$AB$162&amp;" "&amp;Milestones!$AC$162&amp;";  ","")&amp;IF(AND(EDATE($D98,Milestones!$AA$163)&lt;=AsOfDate,IF($R98=0,$X98,IF(AND($T98&lt;&gt;"",EDATE($D98,Milestones!$AA$163)&gt;=$T98),$W98,IF(AND($S98&lt;&gt;"",EDATE($D98,Milestones!$AA$163)&gt;=$S98),$V98,$U98)))=Milestones!$AB$163),UPPER(TEXT(EDATE($D98,Milestones!$AA$163),"dd mmm yy"))&amp;" "&amp;Milestones!$AB$163&amp;" "&amp;Milestones!$AC$163&amp;";  ","")&amp;IF(AND(EDATE($D98,Milestones!$AA$164)&lt;=AsOfDate,IF($R98=0,$X98,IF(AND($T98&lt;&gt;"",EDATE($D98,Milestones!$AA$164)&gt;=$T98),$W98,IF(AND($S98&lt;&gt;"",EDATE($D98,Milestones!$AA$164)&gt;=$S98),$V98,$U98)))=Milestones!$AB$164),UPPER(TEXT(EDATE($D98,Milestones!$AA$164),"dd mmm yy"))&amp;" "&amp;Milestones!$AB$164&amp;" "&amp;Milestones!$AC$164&amp;";  ","")&amp;IF(AND(EDATE($D98,Milestones!$AA$165)&lt;=AsOfDate,IF($R98=0,$X98,IF(AND($T98&lt;&gt;"",EDATE($D98,Milestones!$AA$165)&gt;=$T98),$W98,IF(AND($S98&lt;&gt;"",EDATE($D98,Milestones!$AA$165)&gt;=$S98),$V98,$U98)))=Milestones!$AB$165),UPPER(TEXT(EDATE($D98,Milestones!$AA$165),"dd mmm yy"))&amp;" "&amp;Milestones!$AB$165&amp;" "&amp;Milestones!$AC$165&amp;";  ","")&amp;IF(AND(EDATE($D98,Milestones!$AA$166)&lt;=AsOfDate,IF($R98=0,$X98,IF(AND($T98&lt;&gt;"",EDATE($D98,Milestones!$AA$166)&gt;=$T98),$W98,IF(AND($S98&lt;&gt;"",EDATE($D98,Milestones!$AA$166)&gt;=$S98),$V98,$U98)))=Milestones!$AB$166),UPPER(TEXT(EDATE($D98,Milestones!$AA$166),"dd mmm yy"))&amp;" "&amp;Milestones!$AB$166&amp;" "&amp;Milestones!$AC$166&amp;";  ","")&amp;IF(AND(EDATE($D98,Milestones!$AA$167)&lt;=AsOfDate,IF($R98=0,$X98,IF(AND($T98&lt;&gt;"",EDATE($D98,Milestones!$AA$167)&gt;=$T98),$W98,IF(AND($S98&lt;&gt;"",EDATE($D98,Milestones!$AA$167)&gt;=$S98),$V98,$U98)))=Milestones!$AB$167),UPPER(TEXT(EDATE($D98,Milestones!$AA$167),"dd mmm yy"))&amp;" "&amp;Milestones!$AB$167&amp;" "&amp;Milestones!$AC$167&amp;";  ","")&amp;IF(AND(EDATE($D98,Milestones!$AA$168)&lt;=AsOfDate,IF($R98=0,$X98,IF(AND($T98&lt;&gt;"",EDATE($D98,Milestones!$AA$168)&gt;=$T98),$W98,IF(AND($S98&lt;&gt;"",EDATE($D98,Milestones!$AA$168)&gt;=$S98),$V98,$U98)))=Milestones!$AB$168),UPPER(TEXT(EDATE($D98,Milestones!$AA$168),"dd mmm yy"))&amp;" "&amp;Milestones!$AB$168&amp;" "&amp;Milestones!$AC$168&amp;";  ","")&amp;IF(AND(EDATE($D98,Milestones!$AA$169)&lt;=AsOfDate,IF($R98=0,$X98,IF(AND($T98&lt;&gt;"",EDATE($D98,Milestones!$AA$169)&gt;=$T98),$W98,IF(AND($S98&lt;&gt;"",EDATE($D98,Milestones!$AA$169)&gt;=$S98),$V98,$U98)))=Milestones!$AB$169),UPPER(TEXT(EDATE($D98,Milestones!$AA$169),"dd mmm yy"))&amp;" "&amp;Milestones!$AB$169&amp;" "&amp;Milestones!$AC$169&amp;";  ","")&amp;IF(AND(EDATE($D98,Milestones!$AA$170)&lt;=AsOfDate,IF($R98=0,$X98,IF(AND($T98&lt;&gt;"",EDATE($D98,Milestones!$AA$170)&gt;=$T98),$W98,IF(AND($S98&lt;&gt;"",EDATE($D98,Milestones!$AA$170)&gt;=$S98),$V98,$U98)))=Milestones!$AB$170),UPPER(TEXT(EDATE($D98,Milestones!$AA$170),"dd mmm yy"))&amp;" "&amp;Milestones!$AB$170&amp;" "&amp;Milestones!$AC$170&amp;";  ","")&amp;IF(AND(EDATE($D98,Milestones!$AA$171)&lt;=AsOfDate,IF($R98=0,$X98,IF(AND($T98&lt;&gt;"",EDATE($D98,Milestones!$AA$171)&gt;=$T98),$W98,IF(AND($S98&lt;&gt;"",EDATE($D98,Milestones!$AA$171)&gt;=$S98),$V98,$U98)))=Milestones!$AB$171),UPPER(TEXT(EDATE($D98,Milestones!$AA$171),"dd mmm yy"))&amp;" "&amp;Milestones!$AB$171&amp;" "&amp;Milestones!$AC$171&amp;";  ","")&amp;IF(AND(EDATE($D98,Milestones!$AA$172)&lt;=AsOfDate,IF($R98=0,$X98,IF(AND($T98&lt;&gt;"",EDATE($D98,Milestones!$AA$172)&gt;=$T98),$W98,IF(AND($S98&lt;&gt;"",EDATE($D98,Milestones!$AA$172)&gt;=$S98),$V98,$U98)))=Milestones!$AB$172),UPPER(TEXT(EDATE($D98,Milestones!$AA$172),"dd mmm yy"))&amp;" "&amp;Milestones!$AB$172&amp;" "&amp;Milestones!$AC$172&amp;";  ","")&amp;IF(AND(EDATE($D98,Milestones!$AA$173)&lt;=AsOfDate,IF($R98=0,$X98,IF(AND($T98&lt;&gt;"",EDATE($D98,Milestones!$AA$173)&gt;=$T98),$W98,IF(AND($S98&lt;&gt;"",EDATE($D98,Milestones!$AA$173)&gt;=$S98),$V98,$U98)))=Milestones!$AB$173),UPPER(TEXT(EDATE($D98,Milestones!$AA$173),"dd mmm yy"))&amp;" "&amp;Milestones!$AB$173&amp;" "&amp;Milestones!$AC$173&amp;";  ","")&amp;IF(AND(EDATE($D98,Milestones!$AA$174)&lt;=AsOfDate,IF($R98=0,$X98,IF(AND($T98&lt;&gt;"",EDATE($D98,Milestones!$AA$174)&gt;=$T98),$W98,IF(AND($S98&lt;&gt;"",EDATE($D98,Milestones!$AA$174)&gt;=$S98),$V98,$U98)))=Milestones!$AB$174),UPPER(TEXT(EDATE($D98,Milestones!$AA$174),"dd mmm yy"))&amp;" "&amp;Milestones!$AB$174&amp;" "&amp;Milestones!$AC$174&amp;";  ","")&amp;IF(AND(EDATE($D98,Milestones!$AA$175)&lt;=AsOfDate,IF($R98=0,$X98,IF(AND($T98&lt;&gt;"",EDATE($D98,Milestones!$AA$175)&gt;=$T98),$W98,IF(AND($S98&lt;&gt;"",EDATE($D98,Milestones!$AA$175)&gt;=$S98),$V98,$U98)))=Milestones!$AB$175),UPPER(TEXT(EDATE($D98,Milestones!$AA$175),"dd mmm yy"))&amp;" "&amp;Milestones!$AB$175&amp;" "&amp;Milestones!$AC$175&amp;";  ","")&amp;IF(AND(EDATE($D98,Milestones!$AA$176)&lt;=AsOfDate,IF($R98=0,$X98,IF(AND($T98&lt;&gt;"",EDATE($D98,Milestones!$AA$176)&gt;=$T98),$W98,IF(AND($S98&lt;&gt;"",EDATE($D98,Milestones!$AA$176)&gt;=$S98),$V98,$U98)))=Milestones!$AB$176),UPPER(TEXT(EDATE($D98,Milestones!$AA$176),"dd mmm yy"))&amp;" "&amp;Milestones!$AB$176&amp;" "&amp;Milestones!$AC$176&amp;";  ","")&amp;IF(AND(EDATE($D98,Milestones!$AA$177)&lt;=AsOfDate,IF($R98=0,$X98,IF(AND($T98&lt;&gt;"",EDATE($D98,Milestones!$AA$177)&gt;=$T98),$W98,IF(AND($S98&lt;&gt;"",EDATE($D98,Milestones!$AA$177)&gt;=$S98),$V98,$U98)))=Milestones!$AB$177),UPPER(TEXT(EDATE($D98,Milestones!$AA$177),"dd mmm yy"))&amp;" "&amp;Milestones!$AB$177&amp;" "&amp;Milestones!$AC$177&amp;";  ","")&amp;IF(AND(EDATE($D98,Milestones!$AA$178)&lt;=AsOfDate,IF($R98=0,$X98,IF(AND($T98&lt;&gt;"",EDATE($D98,Milestones!$AA$178)&gt;=$T98),$W98,IF(AND($S98&lt;&gt;"",EDATE($D98,Milestones!$AA$178)&gt;=$S98),$V98,$U98)))=Milestones!$AB$178),UPPER(TEXT(EDATE($D98,Milestones!$AA$178),"dd mmm yy"))&amp;" "&amp;Milestones!$AB$178&amp;" "&amp;Milestones!$AC$178&amp;";  ","")&amp;IF(AND(EDATE($D98,Milestones!$AA$179)&lt;=AsOfDate,IF($R98=0,$X98,IF(AND($T98&lt;&gt;"",EDATE($D98,Milestones!$AA$179)&gt;=$T98),$W98,IF(AND($S98&lt;&gt;"",EDATE($D98,Milestones!$AA$179)&gt;=$S98),$V98,$U98)))=Milestones!$AB$179),UPPER(TEXT(EDATE($D98,Milestones!$AA$179),"dd mmm yy"))&amp;" "&amp;Milestones!$AB$179&amp;" "&amp;Milestones!$AC$179&amp;";  ",""))</f>
        <v/>
      </c>
      <c r="Q98" s="0" t="str">
        <f aca="false">IF(OR($A98="",$D98=""),"",IF(AND(EDATE($D98,Milestones!$AA$180)&lt;=AsOfDate,IF($R98=0,$X98,IF(AND($T98&lt;&gt;"",EDATE($D98,Milestones!$AA$180)&gt;=$T98),$W98,IF(AND($S98&lt;&gt;"",EDATE($D98,Milestones!$AA$180)&gt;=$S98),$V98,$U98)))=Milestones!$AB$180),UPPER(TEXT(EDATE($D98,Milestones!$AA$180),"dd mmm yy"))&amp;" "&amp;Milestones!$AB$180&amp;" "&amp;Milestones!$AC$180&amp;";  ","")&amp;IF(AND(EDATE($D98,Milestones!$AA$181)&lt;=AsOfDate,IF($R98=0,$X98,IF(AND($T98&lt;&gt;"",EDATE($D98,Milestones!$AA$181)&gt;=$T98),$W98,IF(AND($S98&lt;&gt;"",EDATE($D98,Milestones!$AA$181)&gt;=$S98),$V98,$U98)))=Milestones!$AB$181),UPPER(TEXT(EDATE($D98,Milestones!$AA$181),"dd mmm yy"))&amp;" "&amp;Milestones!$AB$181&amp;" "&amp;Milestones!$AC$181&amp;";  ","")&amp;IF(AND(EDATE($D98,Milestones!$AA$182)&lt;=AsOfDate,IF($R98=0,$X98,IF(AND($T98&lt;&gt;"",EDATE($D98,Milestones!$AA$182)&gt;=$T98),$W98,IF(AND($S98&lt;&gt;"",EDATE($D98,Milestones!$AA$182)&gt;=$S98),$V98,$U98)))=Milestones!$AB$182),UPPER(TEXT(EDATE($D98,Milestones!$AA$182),"dd mmm yy"))&amp;" "&amp;Milestones!$AB$182&amp;" "&amp;Milestones!$AC$182&amp;";  ","")&amp;IF(AND(EDATE($D98,Milestones!$AA$183)&lt;=AsOfDate,IF($R98=0,$X98,IF(AND($T98&lt;&gt;"",EDATE($D98,Milestones!$AA$183)&gt;=$T98),$W98,IF(AND($S98&lt;&gt;"",EDATE($D98,Milestones!$AA$183)&gt;=$S98),$V98,$U98)))=Milestones!$AB$183),UPPER(TEXT(EDATE($D98,Milestones!$AA$183),"dd mmm yy"))&amp;" "&amp;Milestones!$AB$183&amp;" "&amp;Milestones!$AC$183&amp;";  ","")&amp;IF(AND(EDATE($D98,Milestones!$AA$184)&lt;=AsOfDate,IF($R98=0,$X98,IF(AND($T98&lt;&gt;"",EDATE($D98,Milestones!$AA$184)&gt;=$T98),$W98,IF(AND($S98&lt;&gt;"",EDATE($D98,Milestones!$AA$184)&gt;=$S98),$V98,$U98)))=Milestones!$AB$184),UPPER(TEXT(EDATE($D98,Milestones!$AA$184),"dd mmm yy"))&amp;" "&amp;Milestones!$AB$184&amp;" "&amp;Milestones!$AC$184&amp;";  ","")&amp;IF(AND(EDATE($D98,Milestones!$AA$185)&lt;=AsOfDate,IF($R98=0,$X98,IF(AND($T98&lt;&gt;"",EDATE($D98,Milestones!$AA$185)&gt;=$T98),$W98,IF(AND($S98&lt;&gt;"",EDATE($D98,Milestones!$AA$185)&gt;=$S98),$V98,$U98)))=Milestones!$AB$185),UPPER(TEXT(EDATE($D98,Milestones!$AA$185),"dd mmm yy"))&amp;" "&amp;Milestones!$AB$185&amp;" "&amp;Milestones!$AC$185&amp;";  ","")&amp;IF(AND(EDATE($D98,Milestones!$AA$186)&lt;=AsOfDate,IF($R98=0,$X98,IF(AND($T98&lt;&gt;"",EDATE($D98,Milestones!$AA$186)&gt;=$T98),$W98,IF(AND($S98&lt;&gt;"",EDATE($D98,Milestones!$AA$186)&gt;=$S98),$V98,$U98)))=Milestones!$AB$186),UPPER(TEXT(EDATE($D98,Milestones!$AA$186),"dd mmm yy"))&amp;" "&amp;Milestones!$AB$186&amp;" "&amp;Milestones!$AC$186&amp;";  ","")&amp;IF(AND(EDATE($D98,Milestones!$AA$187)&lt;=AsOfDate,IF($R98=0,$X98,IF(AND($T98&lt;&gt;"",EDATE($D98,Milestones!$AA$187)&gt;=$T98),$W98,IF(AND($S98&lt;&gt;"",EDATE($D98,Milestones!$AA$187)&gt;=$S98),$V98,$U98)))=Milestones!$AB$187),UPPER(TEXT(EDATE($D98,Milestones!$AA$187),"dd mmm yy"))&amp;" "&amp;Milestones!$AB$187&amp;" "&amp;Milestones!$AC$187&amp;";  ","")&amp;IF(AND(EDATE($D98,Milestones!$AA$188)&lt;=AsOfDate,IF($R98=0,$X98,IF(AND($T98&lt;&gt;"",EDATE($D98,Milestones!$AA$188)&gt;=$T98),$W98,IF(AND($S98&lt;&gt;"",EDATE($D98,Milestones!$AA$188)&gt;=$S98),$V98,$U98)))=Milestones!$AB$188),UPPER(TEXT(EDATE($D98,Milestones!$AA$188),"dd mmm yy"))&amp;" "&amp;Milestones!$AB$188&amp;" "&amp;Milestones!$AC$188&amp;";  ","")&amp;IF(AND(EDATE($D98,Milestones!$AA$189)&lt;=AsOfDate,IF($R98=0,$X98,IF(AND($T98&lt;&gt;"",EDATE($D98,Milestones!$AA$189)&gt;=$T98),$W98,IF(AND($S98&lt;&gt;"",EDATE($D98,Milestones!$AA$189)&gt;=$S98),$V98,$U98)))=Milestones!$AB$189),UPPER(TEXT(EDATE($D98,Milestones!$AA$189),"dd mmm yy"))&amp;" "&amp;Milestones!$AB$189&amp;" "&amp;Milestones!$AC$189&amp;";  ","")&amp;IF(AND(EDATE($D98,Milestones!$AA$190)&lt;=AsOfDate,IF($R98=0,$X98,IF(AND($T98&lt;&gt;"",EDATE($D98,Milestones!$AA$190)&gt;=$T98),$W98,IF(AND($S98&lt;&gt;"",EDATE($D98,Milestones!$AA$190)&gt;=$S98),$V98,$U98)))=Milestones!$AB$190),UPPER(TEXT(EDATE($D98,Milestones!$AA$190),"dd mmm yy"))&amp;" "&amp;Milestones!$AB$190&amp;" "&amp;Milestones!$AC$190&amp;";  ","")&amp;IF(AND(EDATE($D98,Milestones!$AA$191)&lt;=AsOfDate,IF($R98=0,$X98,IF(AND($T98&lt;&gt;"",EDATE($D98,Milestones!$AA$191)&gt;=$T98),$W98,IF(AND($S98&lt;&gt;"",EDATE($D98,Milestones!$AA$191)&gt;=$S98),$V98,$U98)))=Milestones!$AB$191),UPPER(TEXT(EDATE($D98,Milestones!$AA$191),"dd mmm yy"))&amp;" "&amp;Milestones!$AB$191&amp;" "&amp;Milestones!$AC$191&amp;";  ","")&amp;IF(AND(EDATE($D98,Milestones!$AA$192)&lt;=AsOfDate,IF($R98=0,$X98,IF(AND($T98&lt;&gt;"",EDATE($D98,Milestones!$AA$192)&gt;=$T98),$W98,IF(AND($S98&lt;&gt;"",EDATE($D98,Milestones!$AA$192)&gt;=$S98),$V98,$U98)))=Milestones!$AB$192),UPPER(TEXT(EDATE($D98,Milestones!$AA$192),"dd mmm yy"))&amp;" "&amp;Milestones!$AB$192&amp;" "&amp;Milestones!$AC$192&amp;";  ","")&amp;IF(AND(EDATE($D98,Milestones!$AA$193)&lt;=AsOfDate,IF($R98=0,$X98,IF(AND($T98&lt;&gt;"",EDATE($D98,Milestones!$AA$193)&gt;=$T98),$W98,IF(AND($S98&lt;&gt;"",EDATE($D98,Milestones!$AA$193)&gt;=$S98),$V98,$U98)))=Milestones!$AB$193),UPPER(TEXT(EDATE($D98,Milestones!$AA$193),"dd mmm yy"))&amp;" "&amp;Milestones!$AB$193&amp;" "&amp;Milestones!$AC$193&amp;";  ","")&amp;IF(AND(EDATE($D98,Milestones!$AA$194)&lt;=AsOfDate,IF($R98=0,$X98,IF(AND($T98&lt;&gt;"",EDATE($D98,Milestones!$AA$194)&gt;=$T98),$W98,IF(AND($S98&lt;&gt;"",EDATE($D98,Milestones!$AA$194)&gt;=$S98),$V98,$U98)))=Milestones!$AB$194),UPPER(TEXT(EDATE($D98,Milestones!$AA$194),"dd mmm yy"))&amp;" "&amp;Milestones!$AB$194&amp;" "&amp;Milestones!$AC$194&amp;";  ","")&amp;IF(AND(EDATE($D98,Milestones!$AA$195)&lt;=AsOfDate,IF($R98=0,$X98,IF(AND($T98&lt;&gt;"",EDATE($D98,Milestones!$AA$195)&gt;=$T98),$W98,IF(AND($S98&lt;&gt;"",EDATE($D98,Milestones!$AA$195)&gt;=$S98),$V98,$U98)))=Milestones!$AB$195),UPPER(TEXT(EDATE($D98,Milestones!$AA$195),"dd mmm yy"))&amp;" "&amp;Milestones!$AB$195&amp;" "&amp;Milestones!$AC$195&amp;";  ","")&amp;IF(AND(EDATE($D98,Milestones!$AA$196)&lt;=AsOfDate,IF($R98=0,$X98,IF(AND($T98&lt;&gt;"",EDATE($D98,Milestones!$AA$196)&gt;=$T98),$W98,IF(AND($S98&lt;&gt;"",EDATE($D98,Milestones!$AA$196)&gt;=$S98),$V98,$U98)))=Milestones!$AB$196),UPPER(TEXT(EDATE($D98,Milestones!$AA$196),"dd mmm yy"))&amp;" "&amp;Milestones!$AB$196&amp;" "&amp;Milestones!$AC$196&amp;";  ","")&amp;IF(AND(EDATE($D98,Milestones!$AA$197)&lt;=AsOfDate,IF($R98=0,$X98,IF(AND($T98&lt;&gt;"",EDATE($D98,Milestones!$AA$197)&gt;=$T98),$W98,IF(AND($S98&lt;&gt;"",EDATE($D98,Milestones!$AA$197)&gt;=$S98),$V98,$U98)))=Milestones!$AB$197),UPPER(TEXT(EDATE($D98,Milestones!$AA$197),"dd mmm yy"))&amp;" "&amp;Milestones!$AB$197&amp;" "&amp;Milestones!$AC$197&amp;";  ","")&amp;IF(AND(EDATE($D98,Milestones!$AA$198)&lt;=AsOfDate,IF($R98=0,$X98,IF(AND($T98&lt;&gt;"",EDATE($D98,Milestones!$AA$198)&gt;=$T98),$W98,IF(AND($S98&lt;&gt;"",EDATE($D98,Milestones!$AA$198)&gt;=$S98),$V98,$U98)))=Milestones!$AB$198),UPPER(TEXT(EDATE($D98,Milestones!$AA$198),"dd mmm yy"))&amp;" "&amp;Milestones!$AB$198&amp;" "&amp;Milestones!$AC$198&amp;";  ","")&amp;IF(AND(EDATE($D98,Milestones!$AA$199)&lt;=AsOfDate,IF($R98=0,$X98,IF(AND($T98&lt;&gt;"",EDATE($D98,Milestones!$AA$199)&gt;=$T98),$W98,IF(AND($S98&lt;&gt;"",EDATE($D98,Milestones!$AA$199)&gt;=$S98),$V98,$U98)))=Milestones!$AB$199),UPPER(TEXT(EDATE($D98,Milestones!$AA$199),"dd mmm yy"))&amp;" "&amp;Milestones!$AB$199&amp;" "&amp;Milestones!$AC$199&amp;";  ",""))</f>
        <v/>
      </c>
      <c r="R98" s="0" t="str">
        <f aca="false">IF(Staff!$A98="","",Staff!$AI98)</f>
        <v/>
      </c>
      <c r="S98" s="0" t="str">
        <f aca="false">IF(Staff!$A98="","",Staff!$AK98)</f>
        <v/>
      </c>
      <c r="T98" s="0" t="str">
        <f aca="false">IF(Staff!$A98="","",Staff!$AL98)</f>
        <v/>
      </c>
      <c r="U98" s="0" t="str">
        <f aca="false">IF(Staff!$A98="","",Staff!$AP98)</f>
        <v/>
      </c>
      <c r="V98" s="0" t="str">
        <f aca="false">IF(Staff!$A98="","",Staff!$AQ98)</f>
        <v/>
      </c>
      <c r="W98" s="0" t="str">
        <f aca="false">IF(Staff!$A98="","",Staff!$AR98)</f>
        <v/>
      </c>
      <c r="X98" s="0" t="str">
        <f aca="false">IF(Staff!$A98="","",Staff!$AS98)</f>
        <v/>
      </c>
    </row>
    <row r="99" customFormat="false" ht="15" hidden="false" customHeight="false" outlineLevel="0" collapsed="false">
      <c r="A99" s="19" t="str">
        <f aca="false">IF(Staff!$A99="","",Staff!$A99)</f>
        <v/>
      </c>
      <c r="B99" s="19" t="str">
        <f aca="false">IF(Staff!$A99="","",Staff!$B99)</f>
        <v/>
      </c>
      <c r="C99" s="19" t="str">
        <f aca="false">IF(Staff!$A99="","",Staff!$C99)</f>
        <v/>
      </c>
      <c r="D99" s="17" t="str">
        <f aca="false">IF(Staff!$A99="","",Staff!$AH99)</f>
        <v/>
      </c>
      <c r="E99" s="19" t="str">
        <f aca="false">IF(Staff!$A99="","",Staff!$O99)</f>
        <v/>
      </c>
      <c r="F99" s="19" t="str">
        <f aca="false">IF(E99="","",E99*HoursPerDay)</f>
        <v/>
      </c>
      <c r="G99" s="19" t="str">
        <f aca="false">IF(Staff!$A99="","",Staff!$AE99)</f>
        <v/>
      </c>
      <c r="H99" s="32" t="str">
        <f aca="false">IF($A99="","",I99&amp;J99&amp;K99&amp;L99&amp;M99&amp;N99&amp;O99&amp;P99&amp;Q99)</f>
        <v/>
      </c>
      <c r="I99" s="0" t="str">
        <f aca="false">IF(OR($A99="",$D99=""),"",IF(AND(EDATE($D99,Milestones!$AA$20)&lt;=AsOfDate,IF($R99=0,$X99,IF(AND($T99&lt;&gt;"",EDATE($D99,Milestones!$AA$20)&gt;=$T99),$W99,IF(AND($S99&lt;&gt;"",EDATE($D99,Milestones!$AA$20)&gt;=$S99),$V99,$U99)))=Milestones!$AB$20),UPPER(TEXT(EDATE($D99,Milestones!$AA$20),"dd mmm yy"))&amp;" "&amp;Milestones!$AB$20&amp;" "&amp;Milestones!$AC$20&amp;";  ","")&amp;IF(AND(EDATE($D99,Milestones!$AA$21)&lt;=AsOfDate,IF($R99=0,$X99,IF(AND($T99&lt;&gt;"",EDATE($D99,Milestones!$AA$21)&gt;=$T99),$W99,IF(AND($S99&lt;&gt;"",EDATE($D99,Milestones!$AA$21)&gt;=$S99),$V99,$U99)))=Milestones!$AB$21),UPPER(TEXT(EDATE($D99,Milestones!$AA$21),"dd mmm yy"))&amp;" "&amp;Milestones!$AB$21&amp;" "&amp;Milestones!$AC$21&amp;";  ","")&amp;IF(AND(EDATE($D99,Milestones!$AA$22)&lt;=AsOfDate,IF($R99=0,$X99,IF(AND($T99&lt;&gt;"",EDATE($D99,Milestones!$AA$22)&gt;=$T99),$W99,IF(AND($S99&lt;&gt;"",EDATE($D99,Milestones!$AA$22)&gt;=$S99),$V99,$U99)))=Milestones!$AB$22),UPPER(TEXT(EDATE($D99,Milestones!$AA$22),"dd mmm yy"))&amp;" "&amp;Milestones!$AB$22&amp;" "&amp;Milestones!$AC$22&amp;";  ","")&amp;IF(AND(EDATE($D99,Milestones!$AA$23)&lt;=AsOfDate,IF($R99=0,$X99,IF(AND($T99&lt;&gt;"",EDATE($D99,Milestones!$AA$23)&gt;=$T99),$W99,IF(AND($S99&lt;&gt;"",EDATE($D99,Milestones!$AA$23)&gt;=$S99),$V99,$U99)))=Milestones!$AB$23),UPPER(TEXT(EDATE($D99,Milestones!$AA$23),"dd mmm yy"))&amp;" "&amp;Milestones!$AB$23&amp;" "&amp;Milestones!$AC$23&amp;";  ","")&amp;IF(AND(EDATE($D99,Milestones!$AA$24)&lt;=AsOfDate,IF($R99=0,$X99,IF(AND($T99&lt;&gt;"",EDATE($D99,Milestones!$AA$24)&gt;=$T99),$W99,IF(AND($S99&lt;&gt;"",EDATE($D99,Milestones!$AA$24)&gt;=$S99),$V99,$U99)))=Milestones!$AB$24),UPPER(TEXT(EDATE($D99,Milestones!$AA$24),"dd mmm yy"))&amp;" "&amp;Milestones!$AB$24&amp;" "&amp;Milestones!$AC$24&amp;";  ","")&amp;IF(AND(EDATE($D99,Milestones!$AA$25)&lt;=AsOfDate,IF($R99=0,$X99,IF(AND($T99&lt;&gt;"",EDATE($D99,Milestones!$AA$25)&gt;=$T99),$W99,IF(AND($S99&lt;&gt;"",EDATE($D99,Milestones!$AA$25)&gt;=$S99),$V99,$U99)))=Milestones!$AB$25),UPPER(TEXT(EDATE($D99,Milestones!$AA$25),"dd mmm yy"))&amp;" "&amp;Milestones!$AB$25&amp;" "&amp;Milestones!$AC$25&amp;";  ","")&amp;IF(AND(EDATE($D99,Milestones!$AA$26)&lt;=AsOfDate,IF($R99=0,$X99,IF(AND($T99&lt;&gt;"",EDATE($D99,Milestones!$AA$26)&gt;=$T99),$W99,IF(AND($S99&lt;&gt;"",EDATE($D99,Milestones!$AA$26)&gt;=$S99),$V99,$U99)))=Milestones!$AB$26),UPPER(TEXT(EDATE($D99,Milestones!$AA$26),"dd mmm yy"))&amp;" "&amp;Milestones!$AB$26&amp;" "&amp;Milestones!$AC$26&amp;";  ","")&amp;IF(AND(EDATE($D99,Milestones!$AA$27)&lt;=AsOfDate,IF($R99=0,$X99,IF(AND($T99&lt;&gt;"",EDATE($D99,Milestones!$AA$27)&gt;=$T99),$W99,IF(AND($S99&lt;&gt;"",EDATE($D99,Milestones!$AA$27)&gt;=$S99),$V99,$U99)))=Milestones!$AB$27),UPPER(TEXT(EDATE($D99,Milestones!$AA$27),"dd mmm yy"))&amp;" "&amp;Milestones!$AB$27&amp;" "&amp;Milestones!$AC$27&amp;";  ","")&amp;IF(AND(EDATE($D99,Milestones!$AA$28)&lt;=AsOfDate,IF($R99=0,$X99,IF(AND($T99&lt;&gt;"",EDATE($D99,Milestones!$AA$28)&gt;=$T99),$W99,IF(AND($S99&lt;&gt;"",EDATE($D99,Milestones!$AA$28)&gt;=$S99),$V99,$U99)))=Milestones!$AB$28),UPPER(TEXT(EDATE($D99,Milestones!$AA$28),"dd mmm yy"))&amp;" "&amp;Milestones!$AB$28&amp;" "&amp;Milestones!$AC$28&amp;";  ","")&amp;IF(AND(EDATE($D99,Milestones!$AA$29)&lt;=AsOfDate,IF($R99=0,$X99,IF(AND($T99&lt;&gt;"",EDATE($D99,Milestones!$AA$29)&gt;=$T99),$W99,IF(AND($S99&lt;&gt;"",EDATE($D99,Milestones!$AA$29)&gt;=$S99),$V99,$U99)))=Milestones!$AB$29),UPPER(TEXT(EDATE($D99,Milestones!$AA$29),"dd mmm yy"))&amp;" "&amp;Milestones!$AB$29&amp;" "&amp;Milestones!$AC$29&amp;";  ","")&amp;IF(AND(EDATE($D99,Milestones!$AA$30)&lt;=AsOfDate,IF($R99=0,$X99,IF(AND($T99&lt;&gt;"",EDATE($D99,Milestones!$AA$30)&gt;=$T99),$W99,IF(AND($S99&lt;&gt;"",EDATE($D99,Milestones!$AA$30)&gt;=$S99),$V99,$U99)))=Milestones!$AB$30),UPPER(TEXT(EDATE($D99,Milestones!$AA$30),"dd mmm yy"))&amp;" "&amp;Milestones!$AB$30&amp;" "&amp;Milestones!$AC$30&amp;";  ","")&amp;IF(AND(EDATE($D99,Milestones!$AA$31)&lt;=AsOfDate,IF($R99=0,$X99,IF(AND($T99&lt;&gt;"",EDATE($D99,Milestones!$AA$31)&gt;=$T99),$W99,IF(AND($S99&lt;&gt;"",EDATE($D99,Milestones!$AA$31)&gt;=$S99),$V99,$U99)))=Milestones!$AB$31),UPPER(TEXT(EDATE($D99,Milestones!$AA$31),"dd mmm yy"))&amp;" "&amp;Milestones!$AB$31&amp;" "&amp;Milestones!$AC$31&amp;";  ","")&amp;IF(AND(EDATE($D99,Milestones!$AA$32)&lt;=AsOfDate,IF($R99=0,$X99,IF(AND($T99&lt;&gt;"",EDATE($D99,Milestones!$AA$32)&gt;=$T99),$W99,IF(AND($S99&lt;&gt;"",EDATE($D99,Milestones!$AA$32)&gt;=$S99),$V99,$U99)))=Milestones!$AB$32),UPPER(TEXT(EDATE($D99,Milestones!$AA$32),"dd mmm yy"))&amp;" "&amp;Milestones!$AB$32&amp;" "&amp;Milestones!$AC$32&amp;";  ","")&amp;IF(AND(EDATE($D99,Milestones!$AA$33)&lt;=AsOfDate,IF($R99=0,$X99,IF(AND($T99&lt;&gt;"",EDATE($D99,Milestones!$AA$33)&gt;=$T99),$W99,IF(AND($S99&lt;&gt;"",EDATE($D99,Milestones!$AA$33)&gt;=$S99),$V99,$U99)))=Milestones!$AB$33),UPPER(TEXT(EDATE($D99,Milestones!$AA$33),"dd mmm yy"))&amp;" "&amp;Milestones!$AB$33&amp;" "&amp;Milestones!$AC$33&amp;";  ","")&amp;IF(AND(EDATE($D99,Milestones!$AA$34)&lt;=AsOfDate,IF($R99=0,$X99,IF(AND($T99&lt;&gt;"",EDATE($D99,Milestones!$AA$34)&gt;=$T99),$W99,IF(AND($S99&lt;&gt;"",EDATE($D99,Milestones!$AA$34)&gt;=$S99),$V99,$U99)))=Milestones!$AB$34),UPPER(TEXT(EDATE($D99,Milestones!$AA$34),"dd mmm yy"))&amp;" "&amp;Milestones!$AB$34&amp;" "&amp;Milestones!$AC$34&amp;";  ","")&amp;IF(AND(EDATE($D99,Milestones!$AA$35)&lt;=AsOfDate,IF($R99=0,$X99,IF(AND($T99&lt;&gt;"",EDATE($D99,Milestones!$AA$35)&gt;=$T99),$W99,IF(AND($S99&lt;&gt;"",EDATE($D99,Milestones!$AA$35)&gt;=$S99),$V99,$U99)))=Milestones!$AB$35),UPPER(TEXT(EDATE($D99,Milestones!$AA$35),"dd mmm yy"))&amp;" "&amp;Milestones!$AB$35&amp;" "&amp;Milestones!$AC$35&amp;";  ","")&amp;IF(AND(EDATE($D99,Milestones!$AA$36)&lt;=AsOfDate,IF($R99=0,$X99,IF(AND($T99&lt;&gt;"",EDATE($D99,Milestones!$AA$36)&gt;=$T99),$W99,IF(AND($S99&lt;&gt;"",EDATE($D99,Milestones!$AA$36)&gt;=$S99),$V99,$U99)))=Milestones!$AB$36),UPPER(TEXT(EDATE($D99,Milestones!$AA$36),"dd mmm yy"))&amp;" "&amp;Milestones!$AB$36&amp;" "&amp;Milestones!$AC$36&amp;";  ","")&amp;IF(AND(EDATE($D99,Milestones!$AA$37)&lt;=AsOfDate,IF($R99=0,$X99,IF(AND($T99&lt;&gt;"",EDATE($D99,Milestones!$AA$37)&gt;=$T99),$W99,IF(AND($S99&lt;&gt;"",EDATE($D99,Milestones!$AA$37)&gt;=$S99),$V99,$U99)))=Milestones!$AB$37),UPPER(TEXT(EDATE($D99,Milestones!$AA$37),"dd mmm yy"))&amp;" "&amp;Milestones!$AB$37&amp;" "&amp;Milestones!$AC$37&amp;";  ","")&amp;IF(AND(EDATE($D99,Milestones!$AA$38)&lt;=AsOfDate,IF($R99=0,$X99,IF(AND($T99&lt;&gt;"",EDATE($D99,Milestones!$AA$38)&gt;=$T99),$W99,IF(AND($S99&lt;&gt;"",EDATE($D99,Milestones!$AA$38)&gt;=$S99),$V99,$U99)))=Milestones!$AB$38),UPPER(TEXT(EDATE($D99,Milestones!$AA$38),"dd mmm yy"))&amp;" "&amp;Milestones!$AB$38&amp;" "&amp;Milestones!$AC$38&amp;";  ","")&amp;IF(AND(EDATE($D99,Milestones!$AA$39)&lt;=AsOfDate,IF($R99=0,$X99,IF(AND($T99&lt;&gt;"",EDATE($D99,Milestones!$AA$39)&gt;=$T99),$W99,IF(AND($S99&lt;&gt;"",EDATE($D99,Milestones!$AA$39)&gt;=$S99),$V99,$U99)))=Milestones!$AB$39),UPPER(TEXT(EDATE($D99,Milestones!$AA$39),"dd mmm yy"))&amp;" "&amp;Milestones!$AB$39&amp;" "&amp;Milestones!$AC$39&amp;";  ",""))</f>
        <v/>
      </c>
      <c r="J99" s="0" t="str">
        <f aca="false">IF(OR($A99="",$D99=""),"",IF(AND(EDATE($D99,Milestones!$AA$40)&lt;=AsOfDate,IF($R99=0,$X99,IF(AND($T99&lt;&gt;"",EDATE($D99,Milestones!$AA$40)&gt;=$T99),$W99,IF(AND($S99&lt;&gt;"",EDATE($D99,Milestones!$AA$40)&gt;=$S99),$V99,$U99)))=Milestones!$AB$40),UPPER(TEXT(EDATE($D99,Milestones!$AA$40),"dd mmm yy"))&amp;" "&amp;Milestones!$AB$40&amp;" "&amp;Milestones!$AC$40&amp;";  ","")&amp;IF(AND(EDATE($D99,Milestones!$AA$41)&lt;=AsOfDate,IF($R99=0,$X99,IF(AND($T99&lt;&gt;"",EDATE($D99,Milestones!$AA$41)&gt;=$T99),$W99,IF(AND($S99&lt;&gt;"",EDATE($D99,Milestones!$AA$41)&gt;=$S99),$V99,$U99)))=Milestones!$AB$41),UPPER(TEXT(EDATE($D99,Milestones!$AA$41),"dd mmm yy"))&amp;" "&amp;Milestones!$AB$41&amp;" "&amp;Milestones!$AC$41&amp;";  ","")&amp;IF(AND(EDATE($D99,Milestones!$AA$42)&lt;=AsOfDate,IF($R99=0,$X99,IF(AND($T99&lt;&gt;"",EDATE($D99,Milestones!$AA$42)&gt;=$T99),$W99,IF(AND($S99&lt;&gt;"",EDATE($D99,Milestones!$AA$42)&gt;=$S99),$V99,$U99)))=Milestones!$AB$42),UPPER(TEXT(EDATE($D99,Milestones!$AA$42),"dd mmm yy"))&amp;" "&amp;Milestones!$AB$42&amp;" "&amp;Milestones!$AC$42&amp;";  ","")&amp;IF(AND(EDATE($D99,Milestones!$AA$43)&lt;=AsOfDate,IF($R99=0,$X99,IF(AND($T99&lt;&gt;"",EDATE($D99,Milestones!$AA$43)&gt;=$T99),$W99,IF(AND($S99&lt;&gt;"",EDATE($D99,Milestones!$AA$43)&gt;=$S99),$V99,$U99)))=Milestones!$AB$43),UPPER(TEXT(EDATE($D99,Milestones!$AA$43),"dd mmm yy"))&amp;" "&amp;Milestones!$AB$43&amp;" "&amp;Milestones!$AC$43&amp;";  ","")&amp;IF(AND(EDATE($D99,Milestones!$AA$44)&lt;=AsOfDate,IF($R99=0,$X99,IF(AND($T99&lt;&gt;"",EDATE($D99,Milestones!$AA$44)&gt;=$T99),$W99,IF(AND($S99&lt;&gt;"",EDATE($D99,Milestones!$AA$44)&gt;=$S99),$V99,$U99)))=Milestones!$AB$44),UPPER(TEXT(EDATE($D99,Milestones!$AA$44),"dd mmm yy"))&amp;" "&amp;Milestones!$AB$44&amp;" "&amp;Milestones!$AC$44&amp;";  ","")&amp;IF(AND(EDATE($D99,Milestones!$AA$45)&lt;=AsOfDate,IF($R99=0,$X99,IF(AND($T99&lt;&gt;"",EDATE($D99,Milestones!$AA$45)&gt;=$T99),$W99,IF(AND($S99&lt;&gt;"",EDATE($D99,Milestones!$AA$45)&gt;=$S99),$V99,$U99)))=Milestones!$AB$45),UPPER(TEXT(EDATE($D99,Milestones!$AA$45),"dd mmm yy"))&amp;" "&amp;Milestones!$AB$45&amp;" "&amp;Milestones!$AC$45&amp;";  ","")&amp;IF(AND(EDATE($D99,Milestones!$AA$46)&lt;=AsOfDate,IF($R99=0,$X99,IF(AND($T99&lt;&gt;"",EDATE($D99,Milestones!$AA$46)&gt;=$T99),$W99,IF(AND($S99&lt;&gt;"",EDATE($D99,Milestones!$AA$46)&gt;=$S99),$V99,$U99)))=Milestones!$AB$46),UPPER(TEXT(EDATE($D99,Milestones!$AA$46),"dd mmm yy"))&amp;" "&amp;Milestones!$AB$46&amp;" "&amp;Milestones!$AC$46&amp;";  ","")&amp;IF(AND(EDATE($D99,Milestones!$AA$47)&lt;=AsOfDate,IF($R99=0,$X99,IF(AND($T99&lt;&gt;"",EDATE($D99,Milestones!$AA$47)&gt;=$T99),$W99,IF(AND($S99&lt;&gt;"",EDATE($D99,Milestones!$AA$47)&gt;=$S99),$V99,$U99)))=Milestones!$AB$47),UPPER(TEXT(EDATE($D99,Milestones!$AA$47),"dd mmm yy"))&amp;" "&amp;Milestones!$AB$47&amp;" "&amp;Milestones!$AC$47&amp;";  ","")&amp;IF(AND(EDATE($D99,Milestones!$AA$48)&lt;=AsOfDate,IF($R99=0,$X99,IF(AND($T99&lt;&gt;"",EDATE($D99,Milestones!$AA$48)&gt;=$T99),$W99,IF(AND($S99&lt;&gt;"",EDATE($D99,Milestones!$AA$48)&gt;=$S99),$V99,$U99)))=Milestones!$AB$48),UPPER(TEXT(EDATE($D99,Milestones!$AA$48),"dd mmm yy"))&amp;" "&amp;Milestones!$AB$48&amp;" "&amp;Milestones!$AC$48&amp;";  ","")&amp;IF(AND(EDATE($D99,Milestones!$AA$49)&lt;=AsOfDate,IF($R99=0,$X99,IF(AND($T99&lt;&gt;"",EDATE($D99,Milestones!$AA$49)&gt;=$T99),$W99,IF(AND($S99&lt;&gt;"",EDATE($D99,Milestones!$AA$49)&gt;=$S99),$V99,$U99)))=Milestones!$AB$49),UPPER(TEXT(EDATE($D99,Milestones!$AA$49),"dd mmm yy"))&amp;" "&amp;Milestones!$AB$49&amp;" "&amp;Milestones!$AC$49&amp;";  ","")&amp;IF(AND(EDATE($D99,Milestones!$AA$50)&lt;=AsOfDate,IF($R99=0,$X99,IF(AND($T99&lt;&gt;"",EDATE($D99,Milestones!$AA$50)&gt;=$T99),$W99,IF(AND($S99&lt;&gt;"",EDATE($D99,Milestones!$AA$50)&gt;=$S99),$V99,$U99)))=Milestones!$AB$50),UPPER(TEXT(EDATE($D99,Milestones!$AA$50),"dd mmm yy"))&amp;" "&amp;Milestones!$AB$50&amp;" "&amp;Milestones!$AC$50&amp;";  ","")&amp;IF(AND(EDATE($D99,Milestones!$AA$51)&lt;=AsOfDate,IF($R99=0,$X99,IF(AND($T99&lt;&gt;"",EDATE($D99,Milestones!$AA$51)&gt;=$T99),$W99,IF(AND($S99&lt;&gt;"",EDATE($D99,Milestones!$AA$51)&gt;=$S99),$V99,$U99)))=Milestones!$AB$51),UPPER(TEXT(EDATE($D99,Milestones!$AA$51),"dd mmm yy"))&amp;" "&amp;Milestones!$AB$51&amp;" "&amp;Milestones!$AC$51&amp;";  ","")&amp;IF(AND(EDATE($D99,Milestones!$AA$52)&lt;=AsOfDate,IF($R99=0,$X99,IF(AND($T99&lt;&gt;"",EDATE($D99,Milestones!$AA$52)&gt;=$T99),$W99,IF(AND($S99&lt;&gt;"",EDATE($D99,Milestones!$AA$52)&gt;=$S99),$V99,$U99)))=Milestones!$AB$52),UPPER(TEXT(EDATE($D99,Milestones!$AA$52),"dd mmm yy"))&amp;" "&amp;Milestones!$AB$52&amp;" "&amp;Milestones!$AC$52&amp;";  ","")&amp;IF(AND(EDATE($D99,Milestones!$AA$53)&lt;=AsOfDate,IF($R99=0,$X99,IF(AND($T99&lt;&gt;"",EDATE($D99,Milestones!$AA$53)&gt;=$T99),$W99,IF(AND($S99&lt;&gt;"",EDATE($D99,Milestones!$AA$53)&gt;=$S99),$V99,$U99)))=Milestones!$AB$53),UPPER(TEXT(EDATE($D99,Milestones!$AA$53),"dd mmm yy"))&amp;" "&amp;Milestones!$AB$53&amp;" "&amp;Milestones!$AC$53&amp;";  ","")&amp;IF(AND(EDATE($D99,Milestones!$AA$54)&lt;=AsOfDate,IF($R99=0,$X99,IF(AND($T99&lt;&gt;"",EDATE($D99,Milestones!$AA$54)&gt;=$T99),$W99,IF(AND($S99&lt;&gt;"",EDATE($D99,Milestones!$AA$54)&gt;=$S99),$V99,$U99)))=Milestones!$AB$54),UPPER(TEXT(EDATE($D99,Milestones!$AA$54),"dd mmm yy"))&amp;" "&amp;Milestones!$AB$54&amp;" "&amp;Milestones!$AC$54&amp;";  ","")&amp;IF(AND(EDATE($D99,Milestones!$AA$55)&lt;=AsOfDate,IF($R99=0,$X99,IF(AND($T99&lt;&gt;"",EDATE($D99,Milestones!$AA$55)&gt;=$T99),$W99,IF(AND($S99&lt;&gt;"",EDATE($D99,Milestones!$AA$55)&gt;=$S99),$V99,$U99)))=Milestones!$AB$55),UPPER(TEXT(EDATE($D99,Milestones!$AA$55),"dd mmm yy"))&amp;" "&amp;Milestones!$AB$55&amp;" "&amp;Milestones!$AC$55&amp;";  ","")&amp;IF(AND(EDATE($D99,Milestones!$AA$56)&lt;=AsOfDate,IF($R99=0,$X99,IF(AND($T99&lt;&gt;"",EDATE($D99,Milestones!$AA$56)&gt;=$T99),$W99,IF(AND($S99&lt;&gt;"",EDATE($D99,Milestones!$AA$56)&gt;=$S99),$V99,$U99)))=Milestones!$AB$56),UPPER(TEXT(EDATE($D99,Milestones!$AA$56),"dd mmm yy"))&amp;" "&amp;Milestones!$AB$56&amp;" "&amp;Milestones!$AC$56&amp;";  ","")&amp;IF(AND(EDATE($D99,Milestones!$AA$57)&lt;=AsOfDate,IF($R99=0,$X99,IF(AND($T99&lt;&gt;"",EDATE($D99,Milestones!$AA$57)&gt;=$T99),$W99,IF(AND($S99&lt;&gt;"",EDATE($D99,Milestones!$AA$57)&gt;=$S99),$V99,$U99)))=Milestones!$AB$57),UPPER(TEXT(EDATE($D99,Milestones!$AA$57),"dd mmm yy"))&amp;" "&amp;Milestones!$AB$57&amp;" "&amp;Milestones!$AC$57&amp;";  ","")&amp;IF(AND(EDATE($D99,Milestones!$AA$58)&lt;=AsOfDate,IF($R99=0,$X99,IF(AND($T99&lt;&gt;"",EDATE($D99,Milestones!$AA$58)&gt;=$T99),$W99,IF(AND($S99&lt;&gt;"",EDATE($D99,Milestones!$AA$58)&gt;=$S99),$V99,$U99)))=Milestones!$AB$58),UPPER(TEXT(EDATE($D99,Milestones!$AA$58),"dd mmm yy"))&amp;" "&amp;Milestones!$AB$58&amp;" "&amp;Milestones!$AC$58&amp;";  ","")&amp;IF(AND(EDATE($D99,Milestones!$AA$59)&lt;=AsOfDate,IF($R99=0,$X99,IF(AND($T99&lt;&gt;"",EDATE($D99,Milestones!$AA$59)&gt;=$T99),$W99,IF(AND($S99&lt;&gt;"",EDATE($D99,Milestones!$AA$59)&gt;=$S99),$V99,$U99)))=Milestones!$AB$59),UPPER(TEXT(EDATE($D99,Milestones!$AA$59),"dd mmm yy"))&amp;" "&amp;Milestones!$AB$59&amp;" "&amp;Milestones!$AC$59&amp;";  ",""))</f>
        <v/>
      </c>
      <c r="K99" s="0" t="str">
        <f aca="false">IF(OR($A99="",$D99=""),"",IF(AND(EDATE($D99,Milestones!$AA$60)&lt;=AsOfDate,IF($R99=0,$X99,IF(AND($T99&lt;&gt;"",EDATE($D99,Milestones!$AA$60)&gt;=$T99),$W99,IF(AND($S99&lt;&gt;"",EDATE($D99,Milestones!$AA$60)&gt;=$S99),$V99,$U99)))=Milestones!$AB$60),UPPER(TEXT(EDATE($D99,Milestones!$AA$60),"dd mmm yy"))&amp;" "&amp;Milestones!$AB$60&amp;" "&amp;Milestones!$AC$60&amp;";  ","")&amp;IF(AND(EDATE($D99,Milestones!$AA$61)&lt;=AsOfDate,IF($R99=0,$X99,IF(AND($T99&lt;&gt;"",EDATE($D99,Milestones!$AA$61)&gt;=$T99),$W99,IF(AND($S99&lt;&gt;"",EDATE($D99,Milestones!$AA$61)&gt;=$S99),$V99,$U99)))=Milestones!$AB$61),UPPER(TEXT(EDATE($D99,Milestones!$AA$61),"dd mmm yy"))&amp;" "&amp;Milestones!$AB$61&amp;" "&amp;Milestones!$AC$61&amp;";  ","")&amp;IF(AND(EDATE($D99,Milestones!$AA$62)&lt;=AsOfDate,IF($R99=0,$X99,IF(AND($T99&lt;&gt;"",EDATE($D99,Milestones!$AA$62)&gt;=$T99),$W99,IF(AND($S99&lt;&gt;"",EDATE($D99,Milestones!$AA$62)&gt;=$S99),$V99,$U99)))=Milestones!$AB$62),UPPER(TEXT(EDATE($D99,Milestones!$AA$62),"dd mmm yy"))&amp;" "&amp;Milestones!$AB$62&amp;" "&amp;Milestones!$AC$62&amp;";  ","")&amp;IF(AND(EDATE($D99,Milestones!$AA$63)&lt;=AsOfDate,IF($R99=0,$X99,IF(AND($T99&lt;&gt;"",EDATE($D99,Milestones!$AA$63)&gt;=$T99),$W99,IF(AND($S99&lt;&gt;"",EDATE($D99,Milestones!$AA$63)&gt;=$S99),$V99,$U99)))=Milestones!$AB$63),UPPER(TEXT(EDATE($D99,Milestones!$AA$63),"dd mmm yy"))&amp;" "&amp;Milestones!$AB$63&amp;" "&amp;Milestones!$AC$63&amp;";  ","")&amp;IF(AND(EDATE($D99,Milestones!$AA$64)&lt;=AsOfDate,IF($R99=0,$X99,IF(AND($T99&lt;&gt;"",EDATE($D99,Milestones!$AA$64)&gt;=$T99),$W99,IF(AND($S99&lt;&gt;"",EDATE($D99,Milestones!$AA$64)&gt;=$S99),$V99,$U99)))=Milestones!$AB$64),UPPER(TEXT(EDATE($D99,Milestones!$AA$64),"dd mmm yy"))&amp;" "&amp;Milestones!$AB$64&amp;" "&amp;Milestones!$AC$64&amp;";  ","")&amp;IF(AND(EDATE($D99,Milestones!$AA$65)&lt;=AsOfDate,IF($R99=0,$X99,IF(AND($T99&lt;&gt;"",EDATE($D99,Milestones!$AA$65)&gt;=$T99),$W99,IF(AND($S99&lt;&gt;"",EDATE($D99,Milestones!$AA$65)&gt;=$S99),$V99,$U99)))=Milestones!$AB$65),UPPER(TEXT(EDATE($D99,Milestones!$AA$65),"dd mmm yy"))&amp;" "&amp;Milestones!$AB$65&amp;" "&amp;Milestones!$AC$65&amp;";  ","")&amp;IF(AND(EDATE($D99,Milestones!$AA$66)&lt;=AsOfDate,IF($R99=0,$X99,IF(AND($T99&lt;&gt;"",EDATE($D99,Milestones!$AA$66)&gt;=$T99),$W99,IF(AND($S99&lt;&gt;"",EDATE($D99,Milestones!$AA$66)&gt;=$S99),$V99,$U99)))=Milestones!$AB$66),UPPER(TEXT(EDATE($D99,Milestones!$AA$66),"dd mmm yy"))&amp;" "&amp;Milestones!$AB$66&amp;" "&amp;Milestones!$AC$66&amp;";  ","")&amp;IF(AND(EDATE($D99,Milestones!$AA$67)&lt;=AsOfDate,IF($R99=0,$X99,IF(AND($T99&lt;&gt;"",EDATE($D99,Milestones!$AA$67)&gt;=$T99),$W99,IF(AND($S99&lt;&gt;"",EDATE($D99,Milestones!$AA$67)&gt;=$S99),$V99,$U99)))=Milestones!$AB$67),UPPER(TEXT(EDATE($D99,Milestones!$AA$67),"dd mmm yy"))&amp;" "&amp;Milestones!$AB$67&amp;" "&amp;Milestones!$AC$67&amp;";  ","")&amp;IF(AND(EDATE($D99,Milestones!$AA$68)&lt;=AsOfDate,IF($R99=0,$X99,IF(AND($T99&lt;&gt;"",EDATE($D99,Milestones!$AA$68)&gt;=$T99),$W99,IF(AND($S99&lt;&gt;"",EDATE($D99,Milestones!$AA$68)&gt;=$S99),$V99,$U99)))=Milestones!$AB$68),UPPER(TEXT(EDATE($D99,Milestones!$AA$68),"dd mmm yy"))&amp;" "&amp;Milestones!$AB$68&amp;" "&amp;Milestones!$AC$68&amp;";  ","")&amp;IF(AND(EDATE($D99,Milestones!$AA$69)&lt;=AsOfDate,IF($R99=0,$X99,IF(AND($T99&lt;&gt;"",EDATE($D99,Milestones!$AA$69)&gt;=$T99),$W99,IF(AND($S99&lt;&gt;"",EDATE($D99,Milestones!$AA$69)&gt;=$S99),$V99,$U99)))=Milestones!$AB$69),UPPER(TEXT(EDATE($D99,Milestones!$AA$69),"dd mmm yy"))&amp;" "&amp;Milestones!$AB$69&amp;" "&amp;Milestones!$AC$69&amp;";  ","")&amp;IF(AND(EDATE($D99,Milestones!$AA$70)&lt;=AsOfDate,IF($R99=0,$X99,IF(AND($T99&lt;&gt;"",EDATE($D99,Milestones!$AA$70)&gt;=$T99),$W99,IF(AND($S99&lt;&gt;"",EDATE($D99,Milestones!$AA$70)&gt;=$S99),$V99,$U99)))=Milestones!$AB$70),UPPER(TEXT(EDATE($D99,Milestones!$AA$70),"dd mmm yy"))&amp;" "&amp;Milestones!$AB$70&amp;" "&amp;Milestones!$AC$70&amp;";  ","")&amp;IF(AND(EDATE($D99,Milestones!$AA$71)&lt;=AsOfDate,IF($R99=0,$X99,IF(AND($T99&lt;&gt;"",EDATE($D99,Milestones!$AA$71)&gt;=$T99),$W99,IF(AND($S99&lt;&gt;"",EDATE($D99,Milestones!$AA$71)&gt;=$S99),$V99,$U99)))=Milestones!$AB$71),UPPER(TEXT(EDATE($D99,Milestones!$AA$71),"dd mmm yy"))&amp;" "&amp;Milestones!$AB$71&amp;" "&amp;Milestones!$AC$71&amp;";  ","")&amp;IF(AND(EDATE($D99,Milestones!$AA$72)&lt;=AsOfDate,IF($R99=0,$X99,IF(AND($T99&lt;&gt;"",EDATE($D99,Milestones!$AA$72)&gt;=$T99),$W99,IF(AND($S99&lt;&gt;"",EDATE($D99,Milestones!$AA$72)&gt;=$S99),$V99,$U99)))=Milestones!$AB$72),UPPER(TEXT(EDATE($D99,Milestones!$AA$72),"dd mmm yy"))&amp;" "&amp;Milestones!$AB$72&amp;" "&amp;Milestones!$AC$72&amp;";  ","")&amp;IF(AND(EDATE($D99,Milestones!$AA$73)&lt;=AsOfDate,IF($R99=0,$X99,IF(AND($T99&lt;&gt;"",EDATE($D99,Milestones!$AA$73)&gt;=$T99),$W99,IF(AND($S99&lt;&gt;"",EDATE($D99,Milestones!$AA$73)&gt;=$S99),$V99,$U99)))=Milestones!$AB$73),UPPER(TEXT(EDATE($D99,Milestones!$AA$73),"dd mmm yy"))&amp;" "&amp;Milestones!$AB$73&amp;" "&amp;Milestones!$AC$73&amp;";  ","")&amp;IF(AND(EDATE($D99,Milestones!$AA$74)&lt;=AsOfDate,IF($R99=0,$X99,IF(AND($T99&lt;&gt;"",EDATE($D99,Milestones!$AA$74)&gt;=$T99),$W99,IF(AND($S99&lt;&gt;"",EDATE($D99,Milestones!$AA$74)&gt;=$S99),$V99,$U99)))=Milestones!$AB$74),UPPER(TEXT(EDATE($D99,Milestones!$AA$74),"dd mmm yy"))&amp;" "&amp;Milestones!$AB$74&amp;" "&amp;Milestones!$AC$74&amp;";  ","")&amp;IF(AND(EDATE($D99,Milestones!$AA$75)&lt;=AsOfDate,IF($R99=0,$X99,IF(AND($T99&lt;&gt;"",EDATE($D99,Milestones!$AA$75)&gt;=$T99),$W99,IF(AND($S99&lt;&gt;"",EDATE($D99,Milestones!$AA$75)&gt;=$S99),$V99,$U99)))=Milestones!$AB$75),UPPER(TEXT(EDATE($D99,Milestones!$AA$75),"dd mmm yy"))&amp;" "&amp;Milestones!$AB$75&amp;" "&amp;Milestones!$AC$75&amp;";  ","")&amp;IF(AND(EDATE($D99,Milestones!$AA$76)&lt;=AsOfDate,IF($R99=0,$X99,IF(AND($T99&lt;&gt;"",EDATE($D99,Milestones!$AA$76)&gt;=$T99),$W99,IF(AND($S99&lt;&gt;"",EDATE($D99,Milestones!$AA$76)&gt;=$S99),$V99,$U99)))=Milestones!$AB$76),UPPER(TEXT(EDATE($D99,Milestones!$AA$76),"dd mmm yy"))&amp;" "&amp;Milestones!$AB$76&amp;" "&amp;Milestones!$AC$76&amp;";  ","")&amp;IF(AND(EDATE($D99,Milestones!$AA$77)&lt;=AsOfDate,IF($R99=0,$X99,IF(AND($T99&lt;&gt;"",EDATE($D99,Milestones!$AA$77)&gt;=$T99),$W99,IF(AND($S99&lt;&gt;"",EDATE($D99,Milestones!$AA$77)&gt;=$S99),$V99,$U99)))=Milestones!$AB$77),UPPER(TEXT(EDATE($D99,Milestones!$AA$77),"dd mmm yy"))&amp;" "&amp;Milestones!$AB$77&amp;" "&amp;Milestones!$AC$77&amp;";  ","")&amp;IF(AND(EDATE($D99,Milestones!$AA$78)&lt;=AsOfDate,IF($R99=0,$X99,IF(AND($T99&lt;&gt;"",EDATE($D99,Milestones!$AA$78)&gt;=$T99),$W99,IF(AND($S99&lt;&gt;"",EDATE($D99,Milestones!$AA$78)&gt;=$S99),$V99,$U99)))=Milestones!$AB$78),UPPER(TEXT(EDATE($D99,Milestones!$AA$78),"dd mmm yy"))&amp;" "&amp;Milestones!$AB$78&amp;" "&amp;Milestones!$AC$78&amp;";  ","")&amp;IF(AND(EDATE($D99,Milestones!$AA$79)&lt;=AsOfDate,IF($R99=0,$X99,IF(AND($T99&lt;&gt;"",EDATE($D99,Milestones!$AA$79)&gt;=$T99),$W99,IF(AND($S99&lt;&gt;"",EDATE($D99,Milestones!$AA$79)&gt;=$S99),$V99,$U99)))=Milestones!$AB$79),UPPER(TEXT(EDATE($D99,Milestones!$AA$79),"dd mmm yy"))&amp;" "&amp;Milestones!$AB$79&amp;" "&amp;Milestones!$AC$79&amp;";  ",""))</f>
        <v/>
      </c>
      <c r="L99" s="0" t="str">
        <f aca="false">IF(OR($A99="",$D99=""),"",IF(AND(EDATE($D99,Milestones!$AA$80)&lt;=AsOfDate,IF($R99=0,$X99,IF(AND($T99&lt;&gt;"",EDATE($D99,Milestones!$AA$80)&gt;=$T99),$W99,IF(AND($S99&lt;&gt;"",EDATE($D99,Milestones!$AA$80)&gt;=$S99),$V99,$U99)))=Milestones!$AB$80),UPPER(TEXT(EDATE($D99,Milestones!$AA$80),"dd mmm yy"))&amp;" "&amp;Milestones!$AB$80&amp;" "&amp;Milestones!$AC$80&amp;";  ","")&amp;IF(AND(EDATE($D99,Milestones!$AA$81)&lt;=AsOfDate,IF($R99=0,$X99,IF(AND($T99&lt;&gt;"",EDATE($D99,Milestones!$AA$81)&gt;=$T99),$W99,IF(AND($S99&lt;&gt;"",EDATE($D99,Milestones!$AA$81)&gt;=$S99),$V99,$U99)))=Milestones!$AB$81),UPPER(TEXT(EDATE($D99,Milestones!$AA$81),"dd mmm yy"))&amp;" "&amp;Milestones!$AB$81&amp;" "&amp;Milestones!$AC$81&amp;";  ","")&amp;IF(AND(EDATE($D99,Milestones!$AA$82)&lt;=AsOfDate,IF($R99=0,$X99,IF(AND($T99&lt;&gt;"",EDATE($D99,Milestones!$AA$82)&gt;=$T99),$W99,IF(AND($S99&lt;&gt;"",EDATE($D99,Milestones!$AA$82)&gt;=$S99),$V99,$U99)))=Milestones!$AB$82),UPPER(TEXT(EDATE($D99,Milestones!$AA$82),"dd mmm yy"))&amp;" "&amp;Milestones!$AB$82&amp;" "&amp;Milestones!$AC$82&amp;";  ","")&amp;IF(AND(EDATE($D99,Milestones!$AA$83)&lt;=AsOfDate,IF($R99=0,$X99,IF(AND($T99&lt;&gt;"",EDATE($D99,Milestones!$AA$83)&gt;=$T99),$W99,IF(AND($S99&lt;&gt;"",EDATE($D99,Milestones!$AA$83)&gt;=$S99),$V99,$U99)))=Milestones!$AB$83),UPPER(TEXT(EDATE($D99,Milestones!$AA$83),"dd mmm yy"))&amp;" "&amp;Milestones!$AB$83&amp;" "&amp;Milestones!$AC$83&amp;";  ","")&amp;IF(AND(EDATE($D99,Milestones!$AA$84)&lt;=AsOfDate,IF($R99=0,$X99,IF(AND($T99&lt;&gt;"",EDATE($D99,Milestones!$AA$84)&gt;=$T99),$W99,IF(AND($S99&lt;&gt;"",EDATE($D99,Milestones!$AA$84)&gt;=$S99),$V99,$U99)))=Milestones!$AB$84),UPPER(TEXT(EDATE($D99,Milestones!$AA$84),"dd mmm yy"))&amp;" "&amp;Milestones!$AB$84&amp;" "&amp;Milestones!$AC$84&amp;";  ","")&amp;IF(AND(EDATE($D99,Milestones!$AA$85)&lt;=AsOfDate,IF($R99=0,$X99,IF(AND($T99&lt;&gt;"",EDATE($D99,Milestones!$AA$85)&gt;=$T99),$W99,IF(AND($S99&lt;&gt;"",EDATE($D99,Milestones!$AA$85)&gt;=$S99),$V99,$U99)))=Milestones!$AB$85),UPPER(TEXT(EDATE($D99,Milestones!$AA$85),"dd mmm yy"))&amp;" "&amp;Milestones!$AB$85&amp;" "&amp;Milestones!$AC$85&amp;";  ","")&amp;IF(AND(EDATE($D99,Milestones!$AA$86)&lt;=AsOfDate,IF($R99=0,$X99,IF(AND($T99&lt;&gt;"",EDATE($D99,Milestones!$AA$86)&gt;=$T99),$W99,IF(AND($S99&lt;&gt;"",EDATE($D99,Milestones!$AA$86)&gt;=$S99),$V99,$U99)))=Milestones!$AB$86),UPPER(TEXT(EDATE($D99,Milestones!$AA$86),"dd mmm yy"))&amp;" "&amp;Milestones!$AB$86&amp;" "&amp;Milestones!$AC$86&amp;";  ","")&amp;IF(AND(EDATE($D99,Milestones!$AA$87)&lt;=AsOfDate,IF($R99=0,$X99,IF(AND($T99&lt;&gt;"",EDATE($D99,Milestones!$AA$87)&gt;=$T99),$W99,IF(AND($S99&lt;&gt;"",EDATE($D99,Milestones!$AA$87)&gt;=$S99),$V99,$U99)))=Milestones!$AB$87),UPPER(TEXT(EDATE($D99,Milestones!$AA$87),"dd mmm yy"))&amp;" "&amp;Milestones!$AB$87&amp;" "&amp;Milestones!$AC$87&amp;";  ","")&amp;IF(AND(EDATE($D99,Milestones!$AA$88)&lt;=AsOfDate,IF($R99=0,$X99,IF(AND($T99&lt;&gt;"",EDATE($D99,Milestones!$AA$88)&gt;=$T99),$W99,IF(AND($S99&lt;&gt;"",EDATE($D99,Milestones!$AA$88)&gt;=$S99),$V99,$U99)))=Milestones!$AB$88),UPPER(TEXT(EDATE($D99,Milestones!$AA$88),"dd mmm yy"))&amp;" "&amp;Milestones!$AB$88&amp;" "&amp;Milestones!$AC$88&amp;";  ","")&amp;IF(AND(EDATE($D99,Milestones!$AA$89)&lt;=AsOfDate,IF($R99=0,$X99,IF(AND($T99&lt;&gt;"",EDATE($D99,Milestones!$AA$89)&gt;=$T99),$W99,IF(AND($S99&lt;&gt;"",EDATE($D99,Milestones!$AA$89)&gt;=$S99),$V99,$U99)))=Milestones!$AB$89),UPPER(TEXT(EDATE($D99,Milestones!$AA$89),"dd mmm yy"))&amp;" "&amp;Milestones!$AB$89&amp;" "&amp;Milestones!$AC$89&amp;";  ","")&amp;IF(AND(EDATE($D99,Milestones!$AA$90)&lt;=AsOfDate,IF($R99=0,$X99,IF(AND($T99&lt;&gt;"",EDATE($D99,Milestones!$AA$90)&gt;=$T99),$W99,IF(AND($S99&lt;&gt;"",EDATE($D99,Milestones!$AA$90)&gt;=$S99),$V99,$U99)))=Milestones!$AB$90),UPPER(TEXT(EDATE($D99,Milestones!$AA$90),"dd mmm yy"))&amp;" "&amp;Milestones!$AB$90&amp;" "&amp;Milestones!$AC$90&amp;";  ","")&amp;IF(AND(EDATE($D99,Milestones!$AA$91)&lt;=AsOfDate,IF($R99=0,$X99,IF(AND($T99&lt;&gt;"",EDATE($D99,Milestones!$AA$91)&gt;=$T99),$W99,IF(AND($S99&lt;&gt;"",EDATE($D99,Milestones!$AA$91)&gt;=$S99),$V99,$U99)))=Milestones!$AB$91),UPPER(TEXT(EDATE($D99,Milestones!$AA$91),"dd mmm yy"))&amp;" "&amp;Milestones!$AB$91&amp;" "&amp;Milestones!$AC$91&amp;";  ","")&amp;IF(AND(EDATE($D99,Milestones!$AA$92)&lt;=AsOfDate,IF($R99=0,$X99,IF(AND($T99&lt;&gt;"",EDATE($D99,Milestones!$AA$92)&gt;=$T99),$W99,IF(AND($S99&lt;&gt;"",EDATE($D99,Milestones!$AA$92)&gt;=$S99),$V99,$U99)))=Milestones!$AB$92),UPPER(TEXT(EDATE($D99,Milestones!$AA$92),"dd mmm yy"))&amp;" "&amp;Milestones!$AB$92&amp;" "&amp;Milestones!$AC$92&amp;";  ","")&amp;IF(AND(EDATE($D99,Milestones!$AA$93)&lt;=AsOfDate,IF($R99=0,$X99,IF(AND($T99&lt;&gt;"",EDATE($D99,Milestones!$AA$93)&gt;=$T99),$W99,IF(AND($S99&lt;&gt;"",EDATE($D99,Milestones!$AA$93)&gt;=$S99),$V99,$U99)))=Milestones!$AB$93),UPPER(TEXT(EDATE($D99,Milestones!$AA$93),"dd mmm yy"))&amp;" "&amp;Milestones!$AB$93&amp;" "&amp;Milestones!$AC$93&amp;";  ","")&amp;IF(AND(EDATE($D99,Milestones!$AA$94)&lt;=AsOfDate,IF($R99=0,$X99,IF(AND($T99&lt;&gt;"",EDATE($D99,Milestones!$AA$94)&gt;=$T99),$W99,IF(AND($S99&lt;&gt;"",EDATE($D99,Milestones!$AA$94)&gt;=$S99),$V99,$U99)))=Milestones!$AB$94),UPPER(TEXT(EDATE($D99,Milestones!$AA$94),"dd mmm yy"))&amp;" "&amp;Milestones!$AB$94&amp;" "&amp;Milestones!$AC$94&amp;";  ","")&amp;IF(AND(EDATE($D99,Milestones!$AA$95)&lt;=AsOfDate,IF($R99=0,$X99,IF(AND($T99&lt;&gt;"",EDATE($D99,Milestones!$AA$95)&gt;=$T99),$W99,IF(AND($S99&lt;&gt;"",EDATE($D99,Milestones!$AA$95)&gt;=$S99),$V99,$U99)))=Milestones!$AB$95),UPPER(TEXT(EDATE($D99,Milestones!$AA$95),"dd mmm yy"))&amp;" "&amp;Milestones!$AB$95&amp;" "&amp;Milestones!$AC$95&amp;";  ","")&amp;IF(AND(EDATE($D99,Milestones!$AA$96)&lt;=AsOfDate,IF($R99=0,$X99,IF(AND($T99&lt;&gt;"",EDATE($D99,Milestones!$AA$96)&gt;=$T99),$W99,IF(AND($S99&lt;&gt;"",EDATE($D99,Milestones!$AA$96)&gt;=$S99),$V99,$U99)))=Milestones!$AB$96),UPPER(TEXT(EDATE($D99,Milestones!$AA$96),"dd mmm yy"))&amp;" "&amp;Milestones!$AB$96&amp;" "&amp;Milestones!$AC$96&amp;";  ","")&amp;IF(AND(EDATE($D99,Milestones!$AA$97)&lt;=AsOfDate,IF($R99=0,$X99,IF(AND($T99&lt;&gt;"",EDATE($D99,Milestones!$AA$97)&gt;=$T99),$W99,IF(AND($S99&lt;&gt;"",EDATE($D99,Milestones!$AA$97)&gt;=$S99),$V99,$U99)))=Milestones!$AB$97),UPPER(TEXT(EDATE($D99,Milestones!$AA$97),"dd mmm yy"))&amp;" "&amp;Milestones!$AB$97&amp;" "&amp;Milestones!$AC$97&amp;";  ","")&amp;IF(AND(EDATE($D99,Milestones!$AA$98)&lt;=AsOfDate,IF($R99=0,$X99,IF(AND($T99&lt;&gt;"",EDATE($D99,Milestones!$AA$98)&gt;=$T99),$W99,IF(AND($S99&lt;&gt;"",EDATE($D99,Milestones!$AA$98)&gt;=$S99),$V99,$U99)))=Milestones!$AB$98),UPPER(TEXT(EDATE($D99,Milestones!$AA$98),"dd mmm yy"))&amp;" "&amp;Milestones!$AB$98&amp;" "&amp;Milestones!$AC$98&amp;";  ","")&amp;IF(AND(EDATE($D99,Milestones!$AA$99)&lt;=AsOfDate,IF($R99=0,$X99,IF(AND($T99&lt;&gt;"",EDATE($D99,Milestones!$AA$99)&gt;=$T99),$W99,IF(AND($S99&lt;&gt;"",EDATE($D99,Milestones!$AA$99)&gt;=$S99),$V99,$U99)))=Milestones!$AB$99),UPPER(TEXT(EDATE($D99,Milestones!$AA$99),"dd mmm yy"))&amp;" "&amp;Milestones!$AB$99&amp;" "&amp;Milestones!$AC$99&amp;";  ",""))</f>
        <v/>
      </c>
      <c r="M99" s="0" t="str">
        <f aca="false">IF(OR($A99="",$D99=""),"",IF(AND(EDATE($D99,Milestones!$AA$100)&lt;=AsOfDate,IF($R99=0,$X99,IF(AND($T99&lt;&gt;"",EDATE($D99,Milestones!$AA$100)&gt;=$T99),$W99,IF(AND($S99&lt;&gt;"",EDATE($D99,Milestones!$AA$100)&gt;=$S99),$V99,$U99)))=Milestones!$AB$100),UPPER(TEXT(EDATE($D99,Milestones!$AA$100),"dd mmm yy"))&amp;" "&amp;Milestones!$AB$100&amp;" "&amp;Milestones!$AC$100&amp;";  ","")&amp;IF(AND(EDATE($D99,Milestones!$AA$101)&lt;=AsOfDate,IF($R99=0,$X99,IF(AND($T99&lt;&gt;"",EDATE($D99,Milestones!$AA$101)&gt;=$T99),$W99,IF(AND($S99&lt;&gt;"",EDATE($D99,Milestones!$AA$101)&gt;=$S99),$V99,$U99)))=Milestones!$AB$101),UPPER(TEXT(EDATE($D99,Milestones!$AA$101),"dd mmm yy"))&amp;" "&amp;Milestones!$AB$101&amp;" "&amp;Milestones!$AC$101&amp;";  ","")&amp;IF(AND(EDATE($D99,Milestones!$AA$102)&lt;=AsOfDate,IF($R99=0,$X99,IF(AND($T99&lt;&gt;"",EDATE($D99,Milestones!$AA$102)&gt;=$T99),$W99,IF(AND($S99&lt;&gt;"",EDATE($D99,Milestones!$AA$102)&gt;=$S99),$V99,$U99)))=Milestones!$AB$102),UPPER(TEXT(EDATE($D99,Milestones!$AA$102),"dd mmm yy"))&amp;" "&amp;Milestones!$AB$102&amp;" "&amp;Milestones!$AC$102&amp;";  ","")&amp;IF(AND(EDATE($D99,Milestones!$AA$103)&lt;=AsOfDate,IF($R99=0,$X99,IF(AND($T99&lt;&gt;"",EDATE($D99,Milestones!$AA$103)&gt;=$T99),$W99,IF(AND($S99&lt;&gt;"",EDATE($D99,Milestones!$AA$103)&gt;=$S99),$V99,$U99)))=Milestones!$AB$103),UPPER(TEXT(EDATE($D99,Milestones!$AA$103),"dd mmm yy"))&amp;" "&amp;Milestones!$AB$103&amp;" "&amp;Milestones!$AC$103&amp;";  ","")&amp;IF(AND(EDATE($D99,Milestones!$AA$104)&lt;=AsOfDate,IF($R99=0,$X99,IF(AND($T99&lt;&gt;"",EDATE($D99,Milestones!$AA$104)&gt;=$T99),$W99,IF(AND($S99&lt;&gt;"",EDATE($D99,Milestones!$AA$104)&gt;=$S99),$V99,$U99)))=Milestones!$AB$104),UPPER(TEXT(EDATE($D99,Milestones!$AA$104),"dd mmm yy"))&amp;" "&amp;Milestones!$AB$104&amp;" "&amp;Milestones!$AC$104&amp;";  ","")&amp;IF(AND(EDATE($D99,Milestones!$AA$105)&lt;=AsOfDate,IF($R99=0,$X99,IF(AND($T99&lt;&gt;"",EDATE($D99,Milestones!$AA$105)&gt;=$T99),$W99,IF(AND($S99&lt;&gt;"",EDATE($D99,Milestones!$AA$105)&gt;=$S99),$V99,$U99)))=Milestones!$AB$105),UPPER(TEXT(EDATE($D99,Milestones!$AA$105),"dd mmm yy"))&amp;" "&amp;Milestones!$AB$105&amp;" "&amp;Milestones!$AC$105&amp;";  ","")&amp;IF(AND(EDATE($D99,Milestones!$AA$106)&lt;=AsOfDate,IF($R99=0,$X99,IF(AND($T99&lt;&gt;"",EDATE($D99,Milestones!$AA$106)&gt;=$T99),$W99,IF(AND($S99&lt;&gt;"",EDATE($D99,Milestones!$AA$106)&gt;=$S99),$V99,$U99)))=Milestones!$AB$106),UPPER(TEXT(EDATE($D99,Milestones!$AA$106),"dd mmm yy"))&amp;" "&amp;Milestones!$AB$106&amp;" "&amp;Milestones!$AC$106&amp;";  ","")&amp;IF(AND(EDATE($D99,Milestones!$AA$107)&lt;=AsOfDate,IF($R99=0,$X99,IF(AND($T99&lt;&gt;"",EDATE($D99,Milestones!$AA$107)&gt;=$T99),$W99,IF(AND($S99&lt;&gt;"",EDATE($D99,Milestones!$AA$107)&gt;=$S99),$V99,$U99)))=Milestones!$AB$107),UPPER(TEXT(EDATE($D99,Milestones!$AA$107),"dd mmm yy"))&amp;" "&amp;Milestones!$AB$107&amp;" "&amp;Milestones!$AC$107&amp;";  ","")&amp;IF(AND(EDATE($D99,Milestones!$AA$108)&lt;=AsOfDate,IF($R99=0,$X99,IF(AND($T99&lt;&gt;"",EDATE($D99,Milestones!$AA$108)&gt;=$T99),$W99,IF(AND($S99&lt;&gt;"",EDATE($D99,Milestones!$AA$108)&gt;=$S99),$V99,$U99)))=Milestones!$AB$108),UPPER(TEXT(EDATE($D99,Milestones!$AA$108),"dd mmm yy"))&amp;" "&amp;Milestones!$AB$108&amp;" "&amp;Milestones!$AC$108&amp;";  ","")&amp;IF(AND(EDATE($D99,Milestones!$AA$109)&lt;=AsOfDate,IF($R99=0,$X99,IF(AND($T99&lt;&gt;"",EDATE($D99,Milestones!$AA$109)&gt;=$T99),$W99,IF(AND($S99&lt;&gt;"",EDATE($D99,Milestones!$AA$109)&gt;=$S99),$V99,$U99)))=Milestones!$AB$109),UPPER(TEXT(EDATE($D99,Milestones!$AA$109),"dd mmm yy"))&amp;" "&amp;Milestones!$AB$109&amp;" "&amp;Milestones!$AC$109&amp;";  ","")&amp;IF(AND(EDATE($D99,Milestones!$AA$110)&lt;=AsOfDate,IF($R99=0,$X99,IF(AND($T99&lt;&gt;"",EDATE($D99,Milestones!$AA$110)&gt;=$T99),$W99,IF(AND($S99&lt;&gt;"",EDATE($D99,Milestones!$AA$110)&gt;=$S99),$V99,$U99)))=Milestones!$AB$110),UPPER(TEXT(EDATE($D99,Milestones!$AA$110),"dd mmm yy"))&amp;" "&amp;Milestones!$AB$110&amp;" "&amp;Milestones!$AC$110&amp;";  ","")&amp;IF(AND(EDATE($D99,Milestones!$AA$111)&lt;=AsOfDate,IF($R99=0,$X99,IF(AND($T99&lt;&gt;"",EDATE($D99,Milestones!$AA$111)&gt;=$T99),$W99,IF(AND($S99&lt;&gt;"",EDATE($D99,Milestones!$AA$111)&gt;=$S99),$V99,$U99)))=Milestones!$AB$111),UPPER(TEXT(EDATE($D99,Milestones!$AA$111),"dd mmm yy"))&amp;" "&amp;Milestones!$AB$111&amp;" "&amp;Milestones!$AC$111&amp;";  ","")&amp;IF(AND(EDATE($D99,Milestones!$AA$112)&lt;=AsOfDate,IF($R99=0,$X99,IF(AND($T99&lt;&gt;"",EDATE($D99,Milestones!$AA$112)&gt;=$T99),$W99,IF(AND($S99&lt;&gt;"",EDATE($D99,Milestones!$AA$112)&gt;=$S99),$V99,$U99)))=Milestones!$AB$112),UPPER(TEXT(EDATE($D99,Milestones!$AA$112),"dd mmm yy"))&amp;" "&amp;Milestones!$AB$112&amp;" "&amp;Milestones!$AC$112&amp;";  ","")&amp;IF(AND(EDATE($D99,Milestones!$AA$113)&lt;=AsOfDate,IF($R99=0,$X99,IF(AND($T99&lt;&gt;"",EDATE($D99,Milestones!$AA$113)&gt;=$T99),$W99,IF(AND($S99&lt;&gt;"",EDATE($D99,Milestones!$AA$113)&gt;=$S99),$V99,$U99)))=Milestones!$AB$113),UPPER(TEXT(EDATE($D99,Milestones!$AA$113),"dd mmm yy"))&amp;" "&amp;Milestones!$AB$113&amp;" "&amp;Milestones!$AC$113&amp;";  ","")&amp;IF(AND(EDATE($D99,Milestones!$AA$114)&lt;=AsOfDate,IF($R99=0,$X99,IF(AND($T99&lt;&gt;"",EDATE($D99,Milestones!$AA$114)&gt;=$T99),$W99,IF(AND($S99&lt;&gt;"",EDATE($D99,Milestones!$AA$114)&gt;=$S99),$V99,$U99)))=Milestones!$AB$114),UPPER(TEXT(EDATE($D99,Milestones!$AA$114),"dd mmm yy"))&amp;" "&amp;Milestones!$AB$114&amp;" "&amp;Milestones!$AC$114&amp;";  ","")&amp;IF(AND(EDATE($D99,Milestones!$AA$115)&lt;=AsOfDate,IF($R99=0,$X99,IF(AND($T99&lt;&gt;"",EDATE($D99,Milestones!$AA$115)&gt;=$T99),$W99,IF(AND($S99&lt;&gt;"",EDATE($D99,Milestones!$AA$115)&gt;=$S99),$V99,$U99)))=Milestones!$AB$115),UPPER(TEXT(EDATE($D99,Milestones!$AA$115),"dd mmm yy"))&amp;" "&amp;Milestones!$AB$115&amp;" "&amp;Milestones!$AC$115&amp;";  ","")&amp;IF(AND(EDATE($D99,Milestones!$AA$116)&lt;=AsOfDate,IF($R99=0,$X99,IF(AND($T99&lt;&gt;"",EDATE($D99,Milestones!$AA$116)&gt;=$T99),$W99,IF(AND($S99&lt;&gt;"",EDATE($D99,Milestones!$AA$116)&gt;=$S99),$V99,$U99)))=Milestones!$AB$116),UPPER(TEXT(EDATE($D99,Milestones!$AA$116),"dd mmm yy"))&amp;" "&amp;Milestones!$AB$116&amp;" "&amp;Milestones!$AC$116&amp;";  ","")&amp;IF(AND(EDATE($D99,Milestones!$AA$117)&lt;=AsOfDate,IF($R99=0,$X99,IF(AND($T99&lt;&gt;"",EDATE($D99,Milestones!$AA$117)&gt;=$T99),$W99,IF(AND($S99&lt;&gt;"",EDATE($D99,Milestones!$AA$117)&gt;=$S99),$V99,$U99)))=Milestones!$AB$117),UPPER(TEXT(EDATE($D99,Milestones!$AA$117),"dd mmm yy"))&amp;" "&amp;Milestones!$AB$117&amp;" "&amp;Milestones!$AC$117&amp;";  ","")&amp;IF(AND(EDATE($D99,Milestones!$AA$118)&lt;=AsOfDate,IF($R99=0,$X99,IF(AND($T99&lt;&gt;"",EDATE($D99,Milestones!$AA$118)&gt;=$T99),$W99,IF(AND($S99&lt;&gt;"",EDATE($D99,Milestones!$AA$118)&gt;=$S99),$V99,$U99)))=Milestones!$AB$118),UPPER(TEXT(EDATE($D99,Milestones!$AA$118),"dd mmm yy"))&amp;" "&amp;Milestones!$AB$118&amp;" "&amp;Milestones!$AC$118&amp;";  ","")&amp;IF(AND(EDATE($D99,Milestones!$AA$119)&lt;=AsOfDate,IF($R99=0,$X99,IF(AND($T99&lt;&gt;"",EDATE($D99,Milestones!$AA$119)&gt;=$T99),$W99,IF(AND($S99&lt;&gt;"",EDATE($D99,Milestones!$AA$119)&gt;=$S99),$V99,$U99)))=Milestones!$AB$119),UPPER(TEXT(EDATE($D99,Milestones!$AA$119),"dd mmm yy"))&amp;" "&amp;Milestones!$AB$119&amp;" "&amp;Milestones!$AC$119&amp;";  ",""))</f>
        <v/>
      </c>
      <c r="N99" s="0" t="str">
        <f aca="false">IF(OR($A99="",$D99=""),"",IF(AND(EDATE($D99,Milestones!$AA$120)&lt;=AsOfDate,IF($R99=0,$X99,IF(AND($T99&lt;&gt;"",EDATE($D99,Milestones!$AA$120)&gt;=$T99),$W99,IF(AND($S99&lt;&gt;"",EDATE($D99,Milestones!$AA$120)&gt;=$S99),$V99,$U99)))=Milestones!$AB$120),UPPER(TEXT(EDATE($D99,Milestones!$AA$120),"dd mmm yy"))&amp;" "&amp;Milestones!$AB$120&amp;" "&amp;Milestones!$AC$120&amp;";  ","")&amp;IF(AND(EDATE($D99,Milestones!$AA$121)&lt;=AsOfDate,IF($R99=0,$X99,IF(AND($T99&lt;&gt;"",EDATE($D99,Milestones!$AA$121)&gt;=$T99),$W99,IF(AND($S99&lt;&gt;"",EDATE($D99,Milestones!$AA$121)&gt;=$S99),$V99,$U99)))=Milestones!$AB$121),UPPER(TEXT(EDATE($D99,Milestones!$AA$121),"dd mmm yy"))&amp;" "&amp;Milestones!$AB$121&amp;" "&amp;Milestones!$AC$121&amp;";  ","")&amp;IF(AND(EDATE($D99,Milestones!$AA$122)&lt;=AsOfDate,IF($R99=0,$X99,IF(AND($T99&lt;&gt;"",EDATE($D99,Milestones!$AA$122)&gt;=$T99),$W99,IF(AND($S99&lt;&gt;"",EDATE($D99,Milestones!$AA$122)&gt;=$S99),$V99,$U99)))=Milestones!$AB$122),UPPER(TEXT(EDATE($D99,Milestones!$AA$122),"dd mmm yy"))&amp;" "&amp;Milestones!$AB$122&amp;" "&amp;Milestones!$AC$122&amp;";  ","")&amp;IF(AND(EDATE($D99,Milestones!$AA$123)&lt;=AsOfDate,IF($R99=0,$X99,IF(AND($T99&lt;&gt;"",EDATE($D99,Milestones!$AA$123)&gt;=$T99),$W99,IF(AND($S99&lt;&gt;"",EDATE($D99,Milestones!$AA$123)&gt;=$S99),$V99,$U99)))=Milestones!$AB$123),UPPER(TEXT(EDATE($D99,Milestones!$AA$123),"dd mmm yy"))&amp;" "&amp;Milestones!$AB$123&amp;" "&amp;Milestones!$AC$123&amp;";  ","")&amp;IF(AND(EDATE($D99,Milestones!$AA$124)&lt;=AsOfDate,IF($R99=0,$X99,IF(AND($T99&lt;&gt;"",EDATE($D99,Milestones!$AA$124)&gt;=$T99),$W99,IF(AND($S99&lt;&gt;"",EDATE($D99,Milestones!$AA$124)&gt;=$S99),$V99,$U99)))=Milestones!$AB$124),UPPER(TEXT(EDATE($D99,Milestones!$AA$124),"dd mmm yy"))&amp;" "&amp;Milestones!$AB$124&amp;" "&amp;Milestones!$AC$124&amp;";  ","")&amp;IF(AND(EDATE($D99,Milestones!$AA$125)&lt;=AsOfDate,IF($R99=0,$X99,IF(AND($T99&lt;&gt;"",EDATE($D99,Milestones!$AA$125)&gt;=$T99),$W99,IF(AND($S99&lt;&gt;"",EDATE($D99,Milestones!$AA$125)&gt;=$S99),$V99,$U99)))=Milestones!$AB$125),UPPER(TEXT(EDATE($D99,Milestones!$AA$125),"dd mmm yy"))&amp;" "&amp;Milestones!$AB$125&amp;" "&amp;Milestones!$AC$125&amp;";  ","")&amp;IF(AND(EDATE($D99,Milestones!$AA$126)&lt;=AsOfDate,IF($R99=0,$X99,IF(AND($T99&lt;&gt;"",EDATE($D99,Milestones!$AA$126)&gt;=$T99),$W99,IF(AND($S99&lt;&gt;"",EDATE($D99,Milestones!$AA$126)&gt;=$S99),$V99,$U99)))=Milestones!$AB$126),UPPER(TEXT(EDATE($D99,Milestones!$AA$126),"dd mmm yy"))&amp;" "&amp;Milestones!$AB$126&amp;" "&amp;Milestones!$AC$126&amp;";  ","")&amp;IF(AND(EDATE($D99,Milestones!$AA$127)&lt;=AsOfDate,IF($R99=0,$X99,IF(AND($T99&lt;&gt;"",EDATE($D99,Milestones!$AA$127)&gt;=$T99),$W99,IF(AND($S99&lt;&gt;"",EDATE($D99,Milestones!$AA$127)&gt;=$S99),$V99,$U99)))=Milestones!$AB$127),UPPER(TEXT(EDATE($D99,Milestones!$AA$127),"dd mmm yy"))&amp;" "&amp;Milestones!$AB$127&amp;" "&amp;Milestones!$AC$127&amp;";  ","")&amp;IF(AND(EDATE($D99,Milestones!$AA$128)&lt;=AsOfDate,IF($R99=0,$X99,IF(AND($T99&lt;&gt;"",EDATE($D99,Milestones!$AA$128)&gt;=$T99),$W99,IF(AND($S99&lt;&gt;"",EDATE($D99,Milestones!$AA$128)&gt;=$S99),$V99,$U99)))=Milestones!$AB$128),UPPER(TEXT(EDATE($D99,Milestones!$AA$128),"dd mmm yy"))&amp;" "&amp;Milestones!$AB$128&amp;" "&amp;Milestones!$AC$128&amp;";  ","")&amp;IF(AND(EDATE($D99,Milestones!$AA$129)&lt;=AsOfDate,IF($R99=0,$X99,IF(AND($T99&lt;&gt;"",EDATE($D99,Milestones!$AA$129)&gt;=$T99),$W99,IF(AND($S99&lt;&gt;"",EDATE($D99,Milestones!$AA$129)&gt;=$S99),$V99,$U99)))=Milestones!$AB$129),UPPER(TEXT(EDATE($D99,Milestones!$AA$129),"dd mmm yy"))&amp;" "&amp;Milestones!$AB$129&amp;" "&amp;Milestones!$AC$129&amp;";  ","")&amp;IF(AND(EDATE($D99,Milestones!$AA$130)&lt;=AsOfDate,IF($R99=0,$X99,IF(AND($T99&lt;&gt;"",EDATE($D99,Milestones!$AA$130)&gt;=$T99),$W99,IF(AND($S99&lt;&gt;"",EDATE($D99,Milestones!$AA$130)&gt;=$S99),$V99,$U99)))=Milestones!$AB$130),UPPER(TEXT(EDATE($D99,Milestones!$AA$130),"dd mmm yy"))&amp;" "&amp;Milestones!$AB$130&amp;" "&amp;Milestones!$AC$130&amp;";  ","")&amp;IF(AND(EDATE($D99,Milestones!$AA$131)&lt;=AsOfDate,IF($R99=0,$X99,IF(AND($T99&lt;&gt;"",EDATE($D99,Milestones!$AA$131)&gt;=$T99),$W99,IF(AND($S99&lt;&gt;"",EDATE($D99,Milestones!$AA$131)&gt;=$S99),$V99,$U99)))=Milestones!$AB$131),UPPER(TEXT(EDATE($D99,Milestones!$AA$131),"dd mmm yy"))&amp;" "&amp;Milestones!$AB$131&amp;" "&amp;Milestones!$AC$131&amp;";  ","")&amp;IF(AND(EDATE($D99,Milestones!$AA$132)&lt;=AsOfDate,IF($R99=0,$X99,IF(AND($T99&lt;&gt;"",EDATE($D99,Milestones!$AA$132)&gt;=$T99),$W99,IF(AND($S99&lt;&gt;"",EDATE($D99,Milestones!$AA$132)&gt;=$S99),$V99,$U99)))=Milestones!$AB$132),UPPER(TEXT(EDATE($D99,Milestones!$AA$132),"dd mmm yy"))&amp;" "&amp;Milestones!$AB$132&amp;" "&amp;Milestones!$AC$132&amp;";  ","")&amp;IF(AND(EDATE($D99,Milestones!$AA$133)&lt;=AsOfDate,IF($R99=0,$X99,IF(AND($T99&lt;&gt;"",EDATE($D99,Milestones!$AA$133)&gt;=$T99),$W99,IF(AND($S99&lt;&gt;"",EDATE($D99,Milestones!$AA$133)&gt;=$S99),$V99,$U99)))=Milestones!$AB$133),UPPER(TEXT(EDATE($D99,Milestones!$AA$133),"dd mmm yy"))&amp;" "&amp;Milestones!$AB$133&amp;" "&amp;Milestones!$AC$133&amp;";  ","")&amp;IF(AND(EDATE($D99,Milestones!$AA$134)&lt;=AsOfDate,IF($R99=0,$X99,IF(AND($T99&lt;&gt;"",EDATE($D99,Milestones!$AA$134)&gt;=$T99),$W99,IF(AND($S99&lt;&gt;"",EDATE($D99,Milestones!$AA$134)&gt;=$S99),$V99,$U99)))=Milestones!$AB$134),UPPER(TEXT(EDATE($D99,Milestones!$AA$134),"dd mmm yy"))&amp;" "&amp;Milestones!$AB$134&amp;" "&amp;Milestones!$AC$134&amp;";  ","")&amp;IF(AND(EDATE($D99,Milestones!$AA$135)&lt;=AsOfDate,IF($R99=0,$X99,IF(AND($T99&lt;&gt;"",EDATE($D99,Milestones!$AA$135)&gt;=$T99),$W99,IF(AND($S99&lt;&gt;"",EDATE($D99,Milestones!$AA$135)&gt;=$S99),$V99,$U99)))=Milestones!$AB$135),UPPER(TEXT(EDATE($D99,Milestones!$AA$135),"dd mmm yy"))&amp;" "&amp;Milestones!$AB$135&amp;" "&amp;Milestones!$AC$135&amp;";  ","")&amp;IF(AND(EDATE($D99,Milestones!$AA$136)&lt;=AsOfDate,IF($R99=0,$X99,IF(AND($T99&lt;&gt;"",EDATE($D99,Milestones!$AA$136)&gt;=$T99),$W99,IF(AND($S99&lt;&gt;"",EDATE($D99,Milestones!$AA$136)&gt;=$S99),$V99,$U99)))=Milestones!$AB$136),UPPER(TEXT(EDATE($D99,Milestones!$AA$136),"dd mmm yy"))&amp;" "&amp;Milestones!$AB$136&amp;" "&amp;Milestones!$AC$136&amp;";  ","")&amp;IF(AND(EDATE($D99,Milestones!$AA$137)&lt;=AsOfDate,IF($R99=0,$X99,IF(AND($T99&lt;&gt;"",EDATE($D99,Milestones!$AA$137)&gt;=$T99),$W99,IF(AND($S99&lt;&gt;"",EDATE($D99,Milestones!$AA$137)&gt;=$S99),$V99,$U99)))=Milestones!$AB$137),UPPER(TEXT(EDATE($D99,Milestones!$AA$137),"dd mmm yy"))&amp;" "&amp;Milestones!$AB$137&amp;" "&amp;Milestones!$AC$137&amp;";  ","")&amp;IF(AND(EDATE($D99,Milestones!$AA$138)&lt;=AsOfDate,IF($R99=0,$X99,IF(AND($T99&lt;&gt;"",EDATE($D99,Milestones!$AA$138)&gt;=$T99),$W99,IF(AND($S99&lt;&gt;"",EDATE($D99,Milestones!$AA$138)&gt;=$S99),$V99,$U99)))=Milestones!$AB$138),UPPER(TEXT(EDATE($D99,Milestones!$AA$138),"dd mmm yy"))&amp;" "&amp;Milestones!$AB$138&amp;" "&amp;Milestones!$AC$138&amp;";  ","")&amp;IF(AND(EDATE($D99,Milestones!$AA$139)&lt;=AsOfDate,IF($R99=0,$X99,IF(AND($T99&lt;&gt;"",EDATE($D99,Milestones!$AA$139)&gt;=$T99),$W99,IF(AND($S99&lt;&gt;"",EDATE($D99,Milestones!$AA$139)&gt;=$S99),$V99,$U99)))=Milestones!$AB$139),UPPER(TEXT(EDATE($D99,Milestones!$AA$139),"dd mmm yy"))&amp;" "&amp;Milestones!$AB$139&amp;" "&amp;Milestones!$AC$139&amp;";  ",""))</f>
        <v/>
      </c>
      <c r="O99" s="0" t="str">
        <f aca="false">IF(OR($A99="",$D99=""),"",IF(AND(EDATE($D99,Milestones!$AA$140)&lt;=AsOfDate,IF($R99=0,$X99,IF(AND($T99&lt;&gt;"",EDATE($D99,Milestones!$AA$140)&gt;=$T99),$W99,IF(AND($S99&lt;&gt;"",EDATE($D99,Milestones!$AA$140)&gt;=$S99),$V99,$U99)))=Milestones!$AB$140),UPPER(TEXT(EDATE($D99,Milestones!$AA$140),"dd mmm yy"))&amp;" "&amp;Milestones!$AB$140&amp;" "&amp;Milestones!$AC$140&amp;";  ","")&amp;IF(AND(EDATE($D99,Milestones!$AA$141)&lt;=AsOfDate,IF($R99=0,$X99,IF(AND($T99&lt;&gt;"",EDATE($D99,Milestones!$AA$141)&gt;=$T99),$W99,IF(AND($S99&lt;&gt;"",EDATE($D99,Milestones!$AA$141)&gt;=$S99),$V99,$U99)))=Milestones!$AB$141),UPPER(TEXT(EDATE($D99,Milestones!$AA$141),"dd mmm yy"))&amp;" "&amp;Milestones!$AB$141&amp;" "&amp;Milestones!$AC$141&amp;";  ","")&amp;IF(AND(EDATE($D99,Milestones!$AA$142)&lt;=AsOfDate,IF($R99=0,$X99,IF(AND($T99&lt;&gt;"",EDATE($D99,Milestones!$AA$142)&gt;=$T99),$W99,IF(AND($S99&lt;&gt;"",EDATE($D99,Milestones!$AA$142)&gt;=$S99),$V99,$U99)))=Milestones!$AB$142),UPPER(TEXT(EDATE($D99,Milestones!$AA$142),"dd mmm yy"))&amp;" "&amp;Milestones!$AB$142&amp;" "&amp;Milestones!$AC$142&amp;";  ","")&amp;IF(AND(EDATE($D99,Milestones!$AA$143)&lt;=AsOfDate,IF($R99=0,$X99,IF(AND($T99&lt;&gt;"",EDATE($D99,Milestones!$AA$143)&gt;=$T99),$W99,IF(AND($S99&lt;&gt;"",EDATE($D99,Milestones!$AA$143)&gt;=$S99),$V99,$U99)))=Milestones!$AB$143),UPPER(TEXT(EDATE($D99,Milestones!$AA$143),"dd mmm yy"))&amp;" "&amp;Milestones!$AB$143&amp;" "&amp;Milestones!$AC$143&amp;";  ","")&amp;IF(AND(EDATE($D99,Milestones!$AA$144)&lt;=AsOfDate,IF($R99=0,$X99,IF(AND($T99&lt;&gt;"",EDATE($D99,Milestones!$AA$144)&gt;=$T99),$W99,IF(AND($S99&lt;&gt;"",EDATE($D99,Milestones!$AA$144)&gt;=$S99),$V99,$U99)))=Milestones!$AB$144),UPPER(TEXT(EDATE($D99,Milestones!$AA$144),"dd mmm yy"))&amp;" "&amp;Milestones!$AB$144&amp;" "&amp;Milestones!$AC$144&amp;";  ","")&amp;IF(AND(EDATE($D99,Milestones!$AA$145)&lt;=AsOfDate,IF($R99=0,$X99,IF(AND($T99&lt;&gt;"",EDATE($D99,Milestones!$AA$145)&gt;=$T99),$W99,IF(AND($S99&lt;&gt;"",EDATE($D99,Milestones!$AA$145)&gt;=$S99),$V99,$U99)))=Milestones!$AB$145),UPPER(TEXT(EDATE($D99,Milestones!$AA$145),"dd mmm yy"))&amp;" "&amp;Milestones!$AB$145&amp;" "&amp;Milestones!$AC$145&amp;";  ","")&amp;IF(AND(EDATE($D99,Milestones!$AA$146)&lt;=AsOfDate,IF($R99=0,$X99,IF(AND($T99&lt;&gt;"",EDATE($D99,Milestones!$AA$146)&gt;=$T99),$W99,IF(AND($S99&lt;&gt;"",EDATE($D99,Milestones!$AA$146)&gt;=$S99),$V99,$U99)))=Milestones!$AB$146),UPPER(TEXT(EDATE($D99,Milestones!$AA$146),"dd mmm yy"))&amp;" "&amp;Milestones!$AB$146&amp;" "&amp;Milestones!$AC$146&amp;";  ","")&amp;IF(AND(EDATE($D99,Milestones!$AA$147)&lt;=AsOfDate,IF($R99=0,$X99,IF(AND($T99&lt;&gt;"",EDATE($D99,Milestones!$AA$147)&gt;=$T99),$W99,IF(AND($S99&lt;&gt;"",EDATE($D99,Milestones!$AA$147)&gt;=$S99),$V99,$U99)))=Milestones!$AB$147),UPPER(TEXT(EDATE($D99,Milestones!$AA$147),"dd mmm yy"))&amp;" "&amp;Milestones!$AB$147&amp;" "&amp;Milestones!$AC$147&amp;";  ","")&amp;IF(AND(EDATE($D99,Milestones!$AA$148)&lt;=AsOfDate,IF($R99=0,$X99,IF(AND($T99&lt;&gt;"",EDATE($D99,Milestones!$AA$148)&gt;=$T99),$W99,IF(AND($S99&lt;&gt;"",EDATE($D99,Milestones!$AA$148)&gt;=$S99),$V99,$U99)))=Milestones!$AB$148),UPPER(TEXT(EDATE($D99,Milestones!$AA$148),"dd mmm yy"))&amp;" "&amp;Milestones!$AB$148&amp;" "&amp;Milestones!$AC$148&amp;";  ","")&amp;IF(AND(EDATE($D99,Milestones!$AA$149)&lt;=AsOfDate,IF($R99=0,$X99,IF(AND($T99&lt;&gt;"",EDATE($D99,Milestones!$AA$149)&gt;=$T99),$W99,IF(AND($S99&lt;&gt;"",EDATE($D99,Milestones!$AA$149)&gt;=$S99),$V99,$U99)))=Milestones!$AB$149),UPPER(TEXT(EDATE($D99,Milestones!$AA$149),"dd mmm yy"))&amp;" "&amp;Milestones!$AB$149&amp;" "&amp;Milestones!$AC$149&amp;";  ","")&amp;IF(AND(EDATE($D99,Milestones!$AA$150)&lt;=AsOfDate,IF($R99=0,$X99,IF(AND($T99&lt;&gt;"",EDATE($D99,Milestones!$AA$150)&gt;=$T99),$W99,IF(AND($S99&lt;&gt;"",EDATE($D99,Milestones!$AA$150)&gt;=$S99),$V99,$U99)))=Milestones!$AB$150),UPPER(TEXT(EDATE($D99,Milestones!$AA$150),"dd mmm yy"))&amp;" "&amp;Milestones!$AB$150&amp;" "&amp;Milestones!$AC$150&amp;";  ","")&amp;IF(AND(EDATE($D99,Milestones!$AA$151)&lt;=AsOfDate,IF($R99=0,$X99,IF(AND($T99&lt;&gt;"",EDATE($D99,Milestones!$AA$151)&gt;=$T99),$W99,IF(AND($S99&lt;&gt;"",EDATE($D99,Milestones!$AA$151)&gt;=$S99),$V99,$U99)))=Milestones!$AB$151),UPPER(TEXT(EDATE($D99,Milestones!$AA$151),"dd mmm yy"))&amp;" "&amp;Milestones!$AB$151&amp;" "&amp;Milestones!$AC$151&amp;";  ","")&amp;IF(AND(EDATE($D99,Milestones!$AA$152)&lt;=AsOfDate,IF($R99=0,$X99,IF(AND($T99&lt;&gt;"",EDATE($D99,Milestones!$AA$152)&gt;=$T99),$W99,IF(AND($S99&lt;&gt;"",EDATE($D99,Milestones!$AA$152)&gt;=$S99),$V99,$U99)))=Milestones!$AB$152),UPPER(TEXT(EDATE($D99,Milestones!$AA$152),"dd mmm yy"))&amp;" "&amp;Milestones!$AB$152&amp;" "&amp;Milestones!$AC$152&amp;";  ","")&amp;IF(AND(EDATE($D99,Milestones!$AA$153)&lt;=AsOfDate,IF($R99=0,$X99,IF(AND($T99&lt;&gt;"",EDATE($D99,Milestones!$AA$153)&gt;=$T99),$W99,IF(AND($S99&lt;&gt;"",EDATE($D99,Milestones!$AA$153)&gt;=$S99),$V99,$U99)))=Milestones!$AB$153),UPPER(TEXT(EDATE($D99,Milestones!$AA$153),"dd mmm yy"))&amp;" "&amp;Milestones!$AB$153&amp;" "&amp;Milestones!$AC$153&amp;";  ","")&amp;IF(AND(EDATE($D99,Milestones!$AA$154)&lt;=AsOfDate,IF($R99=0,$X99,IF(AND($T99&lt;&gt;"",EDATE($D99,Milestones!$AA$154)&gt;=$T99),$W99,IF(AND($S99&lt;&gt;"",EDATE($D99,Milestones!$AA$154)&gt;=$S99),$V99,$U99)))=Milestones!$AB$154),UPPER(TEXT(EDATE($D99,Milestones!$AA$154),"dd mmm yy"))&amp;" "&amp;Milestones!$AB$154&amp;" "&amp;Milestones!$AC$154&amp;";  ","")&amp;IF(AND(EDATE($D99,Milestones!$AA$155)&lt;=AsOfDate,IF($R99=0,$X99,IF(AND($T99&lt;&gt;"",EDATE($D99,Milestones!$AA$155)&gt;=$T99),$W99,IF(AND($S99&lt;&gt;"",EDATE($D99,Milestones!$AA$155)&gt;=$S99),$V99,$U99)))=Milestones!$AB$155),UPPER(TEXT(EDATE($D99,Milestones!$AA$155),"dd mmm yy"))&amp;" "&amp;Milestones!$AB$155&amp;" "&amp;Milestones!$AC$155&amp;";  ","")&amp;IF(AND(EDATE($D99,Milestones!$AA$156)&lt;=AsOfDate,IF($R99=0,$X99,IF(AND($T99&lt;&gt;"",EDATE($D99,Milestones!$AA$156)&gt;=$T99),$W99,IF(AND($S99&lt;&gt;"",EDATE($D99,Milestones!$AA$156)&gt;=$S99),$V99,$U99)))=Milestones!$AB$156),UPPER(TEXT(EDATE($D99,Milestones!$AA$156),"dd mmm yy"))&amp;" "&amp;Milestones!$AB$156&amp;" "&amp;Milestones!$AC$156&amp;";  ","")&amp;IF(AND(EDATE($D99,Milestones!$AA$157)&lt;=AsOfDate,IF($R99=0,$X99,IF(AND($T99&lt;&gt;"",EDATE($D99,Milestones!$AA$157)&gt;=$T99),$W99,IF(AND($S99&lt;&gt;"",EDATE($D99,Milestones!$AA$157)&gt;=$S99),$V99,$U99)))=Milestones!$AB$157),UPPER(TEXT(EDATE($D99,Milestones!$AA$157),"dd mmm yy"))&amp;" "&amp;Milestones!$AB$157&amp;" "&amp;Milestones!$AC$157&amp;";  ","")&amp;IF(AND(EDATE($D99,Milestones!$AA$158)&lt;=AsOfDate,IF($R99=0,$X99,IF(AND($T99&lt;&gt;"",EDATE($D99,Milestones!$AA$158)&gt;=$T99),$W99,IF(AND($S99&lt;&gt;"",EDATE($D99,Milestones!$AA$158)&gt;=$S99),$V99,$U99)))=Milestones!$AB$158),UPPER(TEXT(EDATE($D99,Milestones!$AA$158),"dd mmm yy"))&amp;" "&amp;Milestones!$AB$158&amp;" "&amp;Milestones!$AC$158&amp;";  ","")&amp;IF(AND(EDATE($D99,Milestones!$AA$159)&lt;=AsOfDate,IF($R99=0,$X99,IF(AND($T99&lt;&gt;"",EDATE($D99,Milestones!$AA$159)&gt;=$T99),$W99,IF(AND($S99&lt;&gt;"",EDATE($D99,Milestones!$AA$159)&gt;=$S99),$V99,$U99)))=Milestones!$AB$159),UPPER(TEXT(EDATE($D99,Milestones!$AA$159),"dd mmm yy"))&amp;" "&amp;Milestones!$AB$159&amp;" "&amp;Milestones!$AC$159&amp;";  ",""))</f>
        <v/>
      </c>
      <c r="P99" s="0" t="str">
        <f aca="false">IF(OR($A99="",$D99=""),"",IF(AND(EDATE($D99,Milestones!$AA$160)&lt;=AsOfDate,IF($R99=0,$X99,IF(AND($T99&lt;&gt;"",EDATE($D99,Milestones!$AA$160)&gt;=$T99),$W99,IF(AND($S99&lt;&gt;"",EDATE($D99,Milestones!$AA$160)&gt;=$S99),$V99,$U99)))=Milestones!$AB$160),UPPER(TEXT(EDATE($D99,Milestones!$AA$160),"dd mmm yy"))&amp;" "&amp;Milestones!$AB$160&amp;" "&amp;Milestones!$AC$160&amp;";  ","")&amp;IF(AND(EDATE($D99,Milestones!$AA$161)&lt;=AsOfDate,IF($R99=0,$X99,IF(AND($T99&lt;&gt;"",EDATE($D99,Milestones!$AA$161)&gt;=$T99),$W99,IF(AND($S99&lt;&gt;"",EDATE($D99,Milestones!$AA$161)&gt;=$S99),$V99,$U99)))=Milestones!$AB$161),UPPER(TEXT(EDATE($D99,Milestones!$AA$161),"dd mmm yy"))&amp;" "&amp;Milestones!$AB$161&amp;" "&amp;Milestones!$AC$161&amp;";  ","")&amp;IF(AND(EDATE($D99,Milestones!$AA$162)&lt;=AsOfDate,IF($R99=0,$X99,IF(AND($T99&lt;&gt;"",EDATE($D99,Milestones!$AA$162)&gt;=$T99),$W99,IF(AND($S99&lt;&gt;"",EDATE($D99,Milestones!$AA$162)&gt;=$S99),$V99,$U99)))=Milestones!$AB$162),UPPER(TEXT(EDATE($D99,Milestones!$AA$162),"dd mmm yy"))&amp;" "&amp;Milestones!$AB$162&amp;" "&amp;Milestones!$AC$162&amp;";  ","")&amp;IF(AND(EDATE($D99,Milestones!$AA$163)&lt;=AsOfDate,IF($R99=0,$X99,IF(AND($T99&lt;&gt;"",EDATE($D99,Milestones!$AA$163)&gt;=$T99),$W99,IF(AND($S99&lt;&gt;"",EDATE($D99,Milestones!$AA$163)&gt;=$S99),$V99,$U99)))=Milestones!$AB$163),UPPER(TEXT(EDATE($D99,Milestones!$AA$163),"dd mmm yy"))&amp;" "&amp;Milestones!$AB$163&amp;" "&amp;Milestones!$AC$163&amp;";  ","")&amp;IF(AND(EDATE($D99,Milestones!$AA$164)&lt;=AsOfDate,IF($R99=0,$X99,IF(AND($T99&lt;&gt;"",EDATE($D99,Milestones!$AA$164)&gt;=$T99),$W99,IF(AND($S99&lt;&gt;"",EDATE($D99,Milestones!$AA$164)&gt;=$S99),$V99,$U99)))=Milestones!$AB$164),UPPER(TEXT(EDATE($D99,Milestones!$AA$164),"dd mmm yy"))&amp;" "&amp;Milestones!$AB$164&amp;" "&amp;Milestones!$AC$164&amp;";  ","")&amp;IF(AND(EDATE($D99,Milestones!$AA$165)&lt;=AsOfDate,IF($R99=0,$X99,IF(AND($T99&lt;&gt;"",EDATE($D99,Milestones!$AA$165)&gt;=$T99),$W99,IF(AND($S99&lt;&gt;"",EDATE($D99,Milestones!$AA$165)&gt;=$S99),$V99,$U99)))=Milestones!$AB$165),UPPER(TEXT(EDATE($D99,Milestones!$AA$165),"dd mmm yy"))&amp;" "&amp;Milestones!$AB$165&amp;" "&amp;Milestones!$AC$165&amp;";  ","")&amp;IF(AND(EDATE($D99,Milestones!$AA$166)&lt;=AsOfDate,IF($R99=0,$X99,IF(AND($T99&lt;&gt;"",EDATE($D99,Milestones!$AA$166)&gt;=$T99),$W99,IF(AND($S99&lt;&gt;"",EDATE($D99,Milestones!$AA$166)&gt;=$S99),$V99,$U99)))=Milestones!$AB$166),UPPER(TEXT(EDATE($D99,Milestones!$AA$166),"dd mmm yy"))&amp;" "&amp;Milestones!$AB$166&amp;" "&amp;Milestones!$AC$166&amp;";  ","")&amp;IF(AND(EDATE($D99,Milestones!$AA$167)&lt;=AsOfDate,IF($R99=0,$X99,IF(AND($T99&lt;&gt;"",EDATE($D99,Milestones!$AA$167)&gt;=$T99),$W99,IF(AND($S99&lt;&gt;"",EDATE($D99,Milestones!$AA$167)&gt;=$S99),$V99,$U99)))=Milestones!$AB$167),UPPER(TEXT(EDATE($D99,Milestones!$AA$167),"dd mmm yy"))&amp;" "&amp;Milestones!$AB$167&amp;" "&amp;Milestones!$AC$167&amp;";  ","")&amp;IF(AND(EDATE($D99,Milestones!$AA$168)&lt;=AsOfDate,IF($R99=0,$X99,IF(AND($T99&lt;&gt;"",EDATE($D99,Milestones!$AA$168)&gt;=$T99),$W99,IF(AND($S99&lt;&gt;"",EDATE($D99,Milestones!$AA$168)&gt;=$S99),$V99,$U99)))=Milestones!$AB$168),UPPER(TEXT(EDATE($D99,Milestones!$AA$168),"dd mmm yy"))&amp;" "&amp;Milestones!$AB$168&amp;" "&amp;Milestones!$AC$168&amp;";  ","")&amp;IF(AND(EDATE($D99,Milestones!$AA$169)&lt;=AsOfDate,IF($R99=0,$X99,IF(AND($T99&lt;&gt;"",EDATE($D99,Milestones!$AA$169)&gt;=$T99),$W99,IF(AND($S99&lt;&gt;"",EDATE($D99,Milestones!$AA$169)&gt;=$S99),$V99,$U99)))=Milestones!$AB$169),UPPER(TEXT(EDATE($D99,Milestones!$AA$169),"dd mmm yy"))&amp;" "&amp;Milestones!$AB$169&amp;" "&amp;Milestones!$AC$169&amp;";  ","")&amp;IF(AND(EDATE($D99,Milestones!$AA$170)&lt;=AsOfDate,IF($R99=0,$X99,IF(AND($T99&lt;&gt;"",EDATE($D99,Milestones!$AA$170)&gt;=$T99),$W99,IF(AND($S99&lt;&gt;"",EDATE($D99,Milestones!$AA$170)&gt;=$S99),$V99,$U99)))=Milestones!$AB$170),UPPER(TEXT(EDATE($D99,Milestones!$AA$170),"dd mmm yy"))&amp;" "&amp;Milestones!$AB$170&amp;" "&amp;Milestones!$AC$170&amp;";  ","")&amp;IF(AND(EDATE($D99,Milestones!$AA$171)&lt;=AsOfDate,IF($R99=0,$X99,IF(AND($T99&lt;&gt;"",EDATE($D99,Milestones!$AA$171)&gt;=$T99),$W99,IF(AND($S99&lt;&gt;"",EDATE($D99,Milestones!$AA$171)&gt;=$S99),$V99,$U99)))=Milestones!$AB$171),UPPER(TEXT(EDATE($D99,Milestones!$AA$171),"dd mmm yy"))&amp;" "&amp;Milestones!$AB$171&amp;" "&amp;Milestones!$AC$171&amp;";  ","")&amp;IF(AND(EDATE($D99,Milestones!$AA$172)&lt;=AsOfDate,IF($R99=0,$X99,IF(AND($T99&lt;&gt;"",EDATE($D99,Milestones!$AA$172)&gt;=$T99),$W99,IF(AND($S99&lt;&gt;"",EDATE($D99,Milestones!$AA$172)&gt;=$S99),$V99,$U99)))=Milestones!$AB$172),UPPER(TEXT(EDATE($D99,Milestones!$AA$172),"dd mmm yy"))&amp;" "&amp;Milestones!$AB$172&amp;" "&amp;Milestones!$AC$172&amp;";  ","")&amp;IF(AND(EDATE($D99,Milestones!$AA$173)&lt;=AsOfDate,IF($R99=0,$X99,IF(AND($T99&lt;&gt;"",EDATE($D99,Milestones!$AA$173)&gt;=$T99),$W99,IF(AND($S99&lt;&gt;"",EDATE($D99,Milestones!$AA$173)&gt;=$S99),$V99,$U99)))=Milestones!$AB$173),UPPER(TEXT(EDATE($D99,Milestones!$AA$173),"dd mmm yy"))&amp;" "&amp;Milestones!$AB$173&amp;" "&amp;Milestones!$AC$173&amp;";  ","")&amp;IF(AND(EDATE($D99,Milestones!$AA$174)&lt;=AsOfDate,IF($R99=0,$X99,IF(AND($T99&lt;&gt;"",EDATE($D99,Milestones!$AA$174)&gt;=$T99),$W99,IF(AND($S99&lt;&gt;"",EDATE($D99,Milestones!$AA$174)&gt;=$S99),$V99,$U99)))=Milestones!$AB$174),UPPER(TEXT(EDATE($D99,Milestones!$AA$174),"dd mmm yy"))&amp;" "&amp;Milestones!$AB$174&amp;" "&amp;Milestones!$AC$174&amp;";  ","")&amp;IF(AND(EDATE($D99,Milestones!$AA$175)&lt;=AsOfDate,IF($R99=0,$X99,IF(AND($T99&lt;&gt;"",EDATE($D99,Milestones!$AA$175)&gt;=$T99),$W99,IF(AND($S99&lt;&gt;"",EDATE($D99,Milestones!$AA$175)&gt;=$S99),$V99,$U99)))=Milestones!$AB$175),UPPER(TEXT(EDATE($D99,Milestones!$AA$175),"dd mmm yy"))&amp;" "&amp;Milestones!$AB$175&amp;" "&amp;Milestones!$AC$175&amp;";  ","")&amp;IF(AND(EDATE($D99,Milestones!$AA$176)&lt;=AsOfDate,IF($R99=0,$X99,IF(AND($T99&lt;&gt;"",EDATE($D99,Milestones!$AA$176)&gt;=$T99),$W99,IF(AND($S99&lt;&gt;"",EDATE($D99,Milestones!$AA$176)&gt;=$S99),$V99,$U99)))=Milestones!$AB$176),UPPER(TEXT(EDATE($D99,Milestones!$AA$176),"dd mmm yy"))&amp;" "&amp;Milestones!$AB$176&amp;" "&amp;Milestones!$AC$176&amp;";  ","")&amp;IF(AND(EDATE($D99,Milestones!$AA$177)&lt;=AsOfDate,IF($R99=0,$X99,IF(AND($T99&lt;&gt;"",EDATE($D99,Milestones!$AA$177)&gt;=$T99),$W99,IF(AND($S99&lt;&gt;"",EDATE($D99,Milestones!$AA$177)&gt;=$S99),$V99,$U99)))=Milestones!$AB$177),UPPER(TEXT(EDATE($D99,Milestones!$AA$177),"dd mmm yy"))&amp;" "&amp;Milestones!$AB$177&amp;" "&amp;Milestones!$AC$177&amp;";  ","")&amp;IF(AND(EDATE($D99,Milestones!$AA$178)&lt;=AsOfDate,IF($R99=0,$X99,IF(AND($T99&lt;&gt;"",EDATE($D99,Milestones!$AA$178)&gt;=$T99),$W99,IF(AND($S99&lt;&gt;"",EDATE($D99,Milestones!$AA$178)&gt;=$S99),$V99,$U99)))=Milestones!$AB$178),UPPER(TEXT(EDATE($D99,Milestones!$AA$178),"dd mmm yy"))&amp;" "&amp;Milestones!$AB$178&amp;" "&amp;Milestones!$AC$178&amp;";  ","")&amp;IF(AND(EDATE($D99,Milestones!$AA$179)&lt;=AsOfDate,IF($R99=0,$X99,IF(AND($T99&lt;&gt;"",EDATE($D99,Milestones!$AA$179)&gt;=$T99),$W99,IF(AND($S99&lt;&gt;"",EDATE($D99,Milestones!$AA$179)&gt;=$S99),$V99,$U99)))=Milestones!$AB$179),UPPER(TEXT(EDATE($D99,Milestones!$AA$179),"dd mmm yy"))&amp;" "&amp;Milestones!$AB$179&amp;" "&amp;Milestones!$AC$179&amp;";  ",""))</f>
        <v/>
      </c>
      <c r="Q99" s="0" t="str">
        <f aca="false">IF(OR($A99="",$D99=""),"",IF(AND(EDATE($D99,Milestones!$AA$180)&lt;=AsOfDate,IF($R99=0,$X99,IF(AND($T99&lt;&gt;"",EDATE($D99,Milestones!$AA$180)&gt;=$T99),$W99,IF(AND($S99&lt;&gt;"",EDATE($D99,Milestones!$AA$180)&gt;=$S99),$V99,$U99)))=Milestones!$AB$180),UPPER(TEXT(EDATE($D99,Milestones!$AA$180),"dd mmm yy"))&amp;" "&amp;Milestones!$AB$180&amp;" "&amp;Milestones!$AC$180&amp;";  ","")&amp;IF(AND(EDATE($D99,Milestones!$AA$181)&lt;=AsOfDate,IF($R99=0,$X99,IF(AND($T99&lt;&gt;"",EDATE($D99,Milestones!$AA$181)&gt;=$T99),$W99,IF(AND($S99&lt;&gt;"",EDATE($D99,Milestones!$AA$181)&gt;=$S99),$V99,$U99)))=Milestones!$AB$181),UPPER(TEXT(EDATE($D99,Milestones!$AA$181),"dd mmm yy"))&amp;" "&amp;Milestones!$AB$181&amp;" "&amp;Milestones!$AC$181&amp;";  ","")&amp;IF(AND(EDATE($D99,Milestones!$AA$182)&lt;=AsOfDate,IF($R99=0,$X99,IF(AND($T99&lt;&gt;"",EDATE($D99,Milestones!$AA$182)&gt;=$T99),$W99,IF(AND($S99&lt;&gt;"",EDATE($D99,Milestones!$AA$182)&gt;=$S99),$V99,$U99)))=Milestones!$AB$182),UPPER(TEXT(EDATE($D99,Milestones!$AA$182),"dd mmm yy"))&amp;" "&amp;Milestones!$AB$182&amp;" "&amp;Milestones!$AC$182&amp;";  ","")&amp;IF(AND(EDATE($D99,Milestones!$AA$183)&lt;=AsOfDate,IF($R99=0,$X99,IF(AND($T99&lt;&gt;"",EDATE($D99,Milestones!$AA$183)&gt;=$T99),$W99,IF(AND($S99&lt;&gt;"",EDATE($D99,Milestones!$AA$183)&gt;=$S99),$V99,$U99)))=Milestones!$AB$183),UPPER(TEXT(EDATE($D99,Milestones!$AA$183),"dd mmm yy"))&amp;" "&amp;Milestones!$AB$183&amp;" "&amp;Milestones!$AC$183&amp;";  ","")&amp;IF(AND(EDATE($D99,Milestones!$AA$184)&lt;=AsOfDate,IF($R99=0,$X99,IF(AND($T99&lt;&gt;"",EDATE($D99,Milestones!$AA$184)&gt;=$T99),$W99,IF(AND($S99&lt;&gt;"",EDATE($D99,Milestones!$AA$184)&gt;=$S99),$V99,$U99)))=Milestones!$AB$184),UPPER(TEXT(EDATE($D99,Milestones!$AA$184),"dd mmm yy"))&amp;" "&amp;Milestones!$AB$184&amp;" "&amp;Milestones!$AC$184&amp;";  ","")&amp;IF(AND(EDATE($D99,Milestones!$AA$185)&lt;=AsOfDate,IF($R99=0,$X99,IF(AND($T99&lt;&gt;"",EDATE($D99,Milestones!$AA$185)&gt;=$T99),$W99,IF(AND($S99&lt;&gt;"",EDATE($D99,Milestones!$AA$185)&gt;=$S99),$V99,$U99)))=Milestones!$AB$185),UPPER(TEXT(EDATE($D99,Milestones!$AA$185),"dd mmm yy"))&amp;" "&amp;Milestones!$AB$185&amp;" "&amp;Milestones!$AC$185&amp;";  ","")&amp;IF(AND(EDATE($D99,Milestones!$AA$186)&lt;=AsOfDate,IF($R99=0,$X99,IF(AND($T99&lt;&gt;"",EDATE($D99,Milestones!$AA$186)&gt;=$T99),$W99,IF(AND($S99&lt;&gt;"",EDATE($D99,Milestones!$AA$186)&gt;=$S99),$V99,$U99)))=Milestones!$AB$186),UPPER(TEXT(EDATE($D99,Milestones!$AA$186),"dd mmm yy"))&amp;" "&amp;Milestones!$AB$186&amp;" "&amp;Milestones!$AC$186&amp;";  ","")&amp;IF(AND(EDATE($D99,Milestones!$AA$187)&lt;=AsOfDate,IF($R99=0,$X99,IF(AND($T99&lt;&gt;"",EDATE($D99,Milestones!$AA$187)&gt;=$T99),$W99,IF(AND($S99&lt;&gt;"",EDATE($D99,Milestones!$AA$187)&gt;=$S99),$V99,$U99)))=Milestones!$AB$187),UPPER(TEXT(EDATE($D99,Milestones!$AA$187),"dd mmm yy"))&amp;" "&amp;Milestones!$AB$187&amp;" "&amp;Milestones!$AC$187&amp;";  ","")&amp;IF(AND(EDATE($D99,Milestones!$AA$188)&lt;=AsOfDate,IF($R99=0,$X99,IF(AND($T99&lt;&gt;"",EDATE($D99,Milestones!$AA$188)&gt;=$T99),$W99,IF(AND($S99&lt;&gt;"",EDATE($D99,Milestones!$AA$188)&gt;=$S99),$V99,$U99)))=Milestones!$AB$188),UPPER(TEXT(EDATE($D99,Milestones!$AA$188),"dd mmm yy"))&amp;" "&amp;Milestones!$AB$188&amp;" "&amp;Milestones!$AC$188&amp;";  ","")&amp;IF(AND(EDATE($D99,Milestones!$AA$189)&lt;=AsOfDate,IF($R99=0,$X99,IF(AND($T99&lt;&gt;"",EDATE($D99,Milestones!$AA$189)&gt;=$T99),$W99,IF(AND($S99&lt;&gt;"",EDATE($D99,Milestones!$AA$189)&gt;=$S99),$V99,$U99)))=Milestones!$AB$189),UPPER(TEXT(EDATE($D99,Milestones!$AA$189),"dd mmm yy"))&amp;" "&amp;Milestones!$AB$189&amp;" "&amp;Milestones!$AC$189&amp;";  ","")&amp;IF(AND(EDATE($D99,Milestones!$AA$190)&lt;=AsOfDate,IF($R99=0,$X99,IF(AND($T99&lt;&gt;"",EDATE($D99,Milestones!$AA$190)&gt;=$T99),$W99,IF(AND($S99&lt;&gt;"",EDATE($D99,Milestones!$AA$190)&gt;=$S99),$V99,$U99)))=Milestones!$AB$190),UPPER(TEXT(EDATE($D99,Milestones!$AA$190),"dd mmm yy"))&amp;" "&amp;Milestones!$AB$190&amp;" "&amp;Milestones!$AC$190&amp;";  ","")&amp;IF(AND(EDATE($D99,Milestones!$AA$191)&lt;=AsOfDate,IF($R99=0,$X99,IF(AND($T99&lt;&gt;"",EDATE($D99,Milestones!$AA$191)&gt;=$T99),$W99,IF(AND($S99&lt;&gt;"",EDATE($D99,Milestones!$AA$191)&gt;=$S99),$V99,$U99)))=Milestones!$AB$191),UPPER(TEXT(EDATE($D99,Milestones!$AA$191),"dd mmm yy"))&amp;" "&amp;Milestones!$AB$191&amp;" "&amp;Milestones!$AC$191&amp;";  ","")&amp;IF(AND(EDATE($D99,Milestones!$AA$192)&lt;=AsOfDate,IF($R99=0,$X99,IF(AND($T99&lt;&gt;"",EDATE($D99,Milestones!$AA$192)&gt;=$T99),$W99,IF(AND($S99&lt;&gt;"",EDATE($D99,Milestones!$AA$192)&gt;=$S99),$V99,$U99)))=Milestones!$AB$192),UPPER(TEXT(EDATE($D99,Milestones!$AA$192),"dd mmm yy"))&amp;" "&amp;Milestones!$AB$192&amp;" "&amp;Milestones!$AC$192&amp;";  ","")&amp;IF(AND(EDATE($D99,Milestones!$AA$193)&lt;=AsOfDate,IF($R99=0,$X99,IF(AND($T99&lt;&gt;"",EDATE($D99,Milestones!$AA$193)&gt;=$T99),$W99,IF(AND($S99&lt;&gt;"",EDATE($D99,Milestones!$AA$193)&gt;=$S99),$V99,$U99)))=Milestones!$AB$193),UPPER(TEXT(EDATE($D99,Milestones!$AA$193),"dd mmm yy"))&amp;" "&amp;Milestones!$AB$193&amp;" "&amp;Milestones!$AC$193&amp;";  ","")&amp;IF(AND(EDATE($D99,Milestones!$AA$194)&lt;=AsOfDate,IF($R99=0,$X99,IF(AND($T99&lt;&gt;"",EDATE($D99,Milestones!$AA$194)&gt;=$T99),$W99,IF(AND($S99&lt;&gt;"",EDATE($D99,Milestones!$AA$194)&gt;=$S99),$V99,$U99)))=Milestones!$AB$194),UPPER(TEXT(EDATE($D99,Milestones!$AA$194),"dd mmm yy"))&amp;" "&amp;Milestones!$AB$194&amp;" "&amp;Milestones!$AC$194&amp;";  ","")&amp;IF(AND(EDATE($D99,Milestones!$AA$195)&lt;=AsOfDate,IF($R99=0,$X99,IF(AND($T99&lt;&gt;"",EDATE($D99,Milestones!$AA$195)&gt;=$T99),$W99,IF(AND($S99&lt;&gt;"",EDATE($D99,Milestones!$AA$195)&gt;=$S99),$V99,$U99)))=Milestones!$AB$195),UPPER(TEXT(EDATE($D99,Milestones!$AA$195),"dd mmm yy"))&amp;" "&amp;Milestones!$AB$195&amp;" "&amp;Milestones!$AC$195&amp;";  ","")&amp;IF(AND(EDATE($D99,Milestones!$AA$196)&lt;=AsOfDate,IF($R99=0,$X99,IF(AND($T99&lt;&gt;"",EDATE($D99,Milestones!$AA$196)&gt;=$T99),$W99,IF(AND($S99&lt;&gt;"",EDATE($D99,Milestones!$AA$196)&gt;=$S99),$V99,$U99)))=Milestones!$AB$196),UPPER(TEXT(EDATE($D99,Milestones!$AA$196),"dd mmm yy"))&amp;" "&amp;Milestones!$AB$196&amp;" "&amp;Milestones!$AC$196&amp;";  ","")&amp;IF(AND(EDATE($D99,Milestones!$AA$197)&lt;=AsOfDate,IF($R99=0,$X99,IF(AND($T99&lt;&gt;"",EDATE($D99,Milestones!$AA$197)&gt;=$T99),$W99,IF(AND($S99&lt;&gt;"",EDATE($D99,Milestones!$AA$197)&gt;=$S99),$V99,$U99)))=Milestones!$AB$197),UPPER(TEXT(EDATE($D99,Milestones!$AA$197),"dd mmm yy"))&amp;" "&amp;Milestones!$AB$197&amp;" "&amp;Milestones!$AC$197&amp;";  ","")&amp;IF(AND(EDATE($D99,Milestones!$AA$198)&lt;=AsOfDate,IF($R99=0,$X99,IF(AND($T99&lt;&gt;"",EDATE($D99,Milestones!$AA$198)&gt;=$T99),$W99,IF(AND($S99&lt;&gt;"",EDATE($D99,Milestones!$AA$198)&gt;=$S99),$V99,$U99)))=Milestones!$AB$198),UPPER(TEXT(EDATE($D99,Milestones!$AA$198),"dd mmm yy"))&amp;" "&amp;Milestones!$AB$198&amp;" "&amp;Milestones!$AC$198&amp;";  ","")&amp;IF(AND(EDATE($D99,Milestones!$AA$199)&lt;=AsOfDate,IF($R99=0,$X99,IF(AND($T99&lt;&gt;"",EDATE($D99,Milestones!$AA$199)&gt;=$T99),$W99,IF(AND($S99&lt;&gt;"",EDATE($D99,Milestones!$AA$199)&gt;=$S99),$V99,$U99)))=Milestones!$AB$199),UPPER(TEXT(EDATE($D99,Milestones!$AA$199),"dd mmm yy"))&amp;" "&amp;Milestones!$AB$199&amp;" "&amp;Milestones!$AC$199&amp;";  ",""))</f>
        <v/>
      </c>
      <c r="R99" s="0" t="str">
        <f aca="false">IF(Staff!$A99="","",Staff!$AI99)</f>
        <v/>
      </c>
      <c r="S99" s="0" t="str">
        <f aca="false">IF(Staff!$A99="","",Staff!$AK99)</f>
        <v/>
      </c>
      <c r="T99" s="0" t="str">
        <f aca="false">IF(Staff!$A99="","",Staff!$AL99)</f>
        <v/>
      </c>
      <c r="U99" s="0" t="str">
        <f aca="false">IF(Staff!$A99="","",Staff!$AP99)</f>
        <v/>
      </c>
      <c r="V99" s="0" t="str">
        <f aca="false">IF(Staff!$A99="","",Staff!$AQ99)</f>
        <v/>
      </c>
      <c r="W99" s="0" t="str">
        <f aca="false">IF(Staff!$A99="","",Staff!$AR99)</f>
        <v/>
      </c>
      <c r="X99" s="0" t="str">
        <f aca="false">IF(Staff!$A99="","",Staff!$AS99)</f>
        <v/>
      </c>
    </row>
    <row r="100" customFormat="false" ht="15" hidden="false" customHeight="false" outlineLevel="0" collapsed="false">
      <c r="A100" s="19" t="str">
        <f aca="false">IF(Staff!$A100="","",Staff!$A100)</f>
        <v/>
      </c>
      <c r="B100" s="19" t="str">
        <f aca="false">IF(Staff!$A100="","",Staff!$B100)</f>
        <v/>
      </c>
      <c r="C100" s="19" t="str">
        <f aca="false">IF(Staff!$A100="","",Staff!$C100)</f>
        <v/>
      </c>
      <c r="D100" s="17" t="str">
        <f aca="false">IF(Staff!$A100="","",Staff!$AH100)</f>
        <v/>
      </c>
      <c r="E100" s="19" t="str">
        <f aca="false">IF(Staff!$A100="","",Staff!$O100)</f>
        <v/>
      </c>
      <c r="F100" s="19" t="str">
        <f aca="false">IF(E100="","",E100*HoursPerDay)</f>
        <v/>
      </c>
      <c r="G100" s="19" t="str">
        <f aca="false">IF(Staff!$A100="","",Staff!$AE100)</f>
        <v/>
      </c>
      <c r="H100" s="32" t="str">
        <f aca="false">IF($A100="","",I100&amp;J100&amp;K100&amp;L100&amp;M100&amp;N100&amp;O100&amp;P100&amp;Q100)</f>
        <v/>
      </c>
      <c r="I100" s="0" t="str">
        <f aca="false">IF(OR($A100="",$D100=""),"",IF(AND(EDATE($D100,Milestones!$AA$20)&lt;=AsOfDate,IF($R100=0,$X100,IF(AND($T100&lt;&gt;"",EDATE($D100,Milestones!$AA$20)&gt;=$T100),$W100,IF(AND($S100&lt;&gt;"",EDATE($D100,Milestones!$AA$20)&gt;=$S100),$V100,$U100)))=Milestones!$AB$20),UPPER(TEXT(EDATE($D100,Milestones!$AA$20),"dd mmm yy"))&amp;" "&amp;Milestones!$AB$20&amp;" "&amp;Milestones!$AC$20&amp;";  ","")&amp;IF(AND(EDATE($D100,Milestones!$AA$21)&lt;=AsOfDate,IF($R100=0,$X100,IF(AND($T100&lt;&gt;"",EDATE($D100,Milestones!$AA$21)&gt;=$T100),$W100,IF(AND($S100&lt;&gt;"",EDATE($D100,Milestones!$AA$21)&gt;=$S100),$V100,$U100)))=Milestones!$AB$21),UPPER(TEXT(EDATE($D100,Milestones!$AA$21),"dd mmm yy"))&amp;" "&amp;Milestones!$AB$21&amp;" "&amp;Milestones!$AC$21&amp;";  ","")&amp;IF(AND(EDATE($D100,Milestones!$AA$22)&lt;=AsOfDate,IF($R100=0,$X100,IF(AND($T100&lt;&gt;"",EDATE($D100,Milestones!$AA$22)&gt;=$T100),$W100,IF(AND($S100&lt;&gt;"",EDATE($D100,Milestones!$AA$22)&gt;=$S100),$V100,$U100)))=Milestones!$AB$22),UPPER(TEXT(EDATE($D100,Milestones!$AA$22),"dd mmm yy"))&amp;" "&amp;Milestones!$AB$22&amp;" "&amp;Milestones!$AC$22&amp;";  ","")&amp;IF(AND(EDATE($D100,Milestones!$AA$23)&lt;=AsOfDate,IF($R100=0,$X100,IF(AND($T100&lt;&gt;"",EDATE($D100,Milestones!$AA$23)&gt;=$T100),$W100,IF(AND($S100&lt;&gt;"",EDATE($D100,Milestones!$AA$23)&gt;=$S100),$V100,$U100)))=Milestones!$AB$23),UPPER(TEXT(EDATE($D100,Milestones!$AA$23),"dd mmm yy"))&amp;" "&amp;Milestones!$AB$23&amp;" "&amp;Milestones!$AC$23&amp;";  ","")&amp;IF(AND(EDATE($D100,Milestones!$AA$24)&lt;=AsOfDate,IF($R100=0,$X100,IF(AND($T100&lt;&gt;"",EDATE($D100,Milestones!$AA$24)&gt;=$T100),$W100,IF(AND($S100&lt;&gt;"",EDATE($D100,Milestones!$AA$24)&gt;=$S100),$V100,$U100)))=Milestones!$AB$24),UPPER(TEXT(EDATE($D100,Milestones!$AA$24),"dd mmm yy"))&amp;" "&amp;Milestones!$AB$24&amp;" "&amp;Milestones!$AC$24&amp;";  ","")&amp;IF(AND(EDATE($D100,Milestones!$AA$25)&lt;=AsOfDate,IF($R100=0,$X100,IF(AND($T100&lt;&gt;"",EDATE($D100,Milestones!$AA$25)&gt;=$T100),$W100,IF(AND($S100&lt;&gt;"",EDATE($D100,Milestones!$AA$25)&gt;=$S100),$V100,$U100)))=Milestones!$AB$25),UPPER(TEXT(EDATE($D100,Milestones!$AA$25),"dd mmm yy"))&amp;" "&amp;Milestones!$AB$25&amp;" "&amp;Milestones!$AC$25&amp;";  ","")&amp;IF(AND(EDATE($D100,Milestones!$AA$26)&lt;=AsOfDate,IF($R100=0,$X100,IF(AND($T100&lt;&gt;"",EDATE($D100,Milestones!$AA$26)&gt;=$T100),$W100,IF(AND($S100&lt;&gt;"",EDATE($D100,Milestones!$AA$26)&gt;=$S100),$V100,$U100)))=Milestones!$AB$26),UPPER(TEXT(EDATE($D100,Milestones!$AA$26),"dd mmm yy"))&amp;" "&amp;Milestones!$AB$26&amp;" "&amp;Milestones!$AC$26&amp;";  ","")&amp;IF(AND(EDATE($D100,Milestones!$AA$27)&lt;=AsOfDate,IF($R100=0,$X100,IF(AND($T100&lt;&gt;"",EDATE($D100,Milestones!$AA$27)&gt;=$T100),$W100,IF(AND($S100&lt;&gt;"",EDATE($D100,Milestones!$AA$27)&gt;=$S100),$V100,$U100)))=Milestones!$AB$27),UPPER(TEXT(EDATE($D100,Milestones!$AA$27),"dd mmm yy"))&amp;" "&amp;Milestones!$AB$27&amp;" "&amp;Milestones!$AC$27&amp;";  ","")&amp;IF(AND(EDATE($D100,Milestones!$AA$28)&lt;=AsOfDate,IF($R100=0,$X100,IF(AND($T100&lt;&gt;"",EDATE($D100,Milestones!$AA$28)&gt;=$T100),$W100,IF(AND($S100&lt;&gt;"",EDATE($D100,Milestones!$AA$28)&gt;=$S100),$V100,$U100)))=Milestones!$AB$28),UPPER(TEXT(EDATE($D100,Milestones!$AA$28),"dd mmm yy"))&amp;" "&amp;Milestones!$AB$28&amp;" "&amp;Milestones!$AC$28&amp;";  ","")&amp;IF(AND(EDATE($D100,Milestones!$AA$29)&lt;=AsOfDate,IF($R100=0,$X100,IF(AND($T100&lt;&gt;"",EDATE($D100,Milestones!$AA$29)&gt;=$T100),$W100,IF(AND($S100&lt;&gt;"",EDATE($D100,Milestones!$AA$29)&gt;=$S100),$V100,$U100)))=Milestones!$AB$29),UPPER(TEXT(EDATE($D100,Milestones!$AA$29),"dd mmm yy"))&amp;" "&amp;Milestones!$AB$29&amp;" "&amp;Milestones!$AC$29&amp;";  ","")&amp;IF(AND(EDATE($D100,Milestones!$AA$30)&lt;=AsOfDate,IF($R100=0,$X100,IF(AND($T100&lt;&gt;"",EDATE($D100,Milestones!$AA$30)&gt;=$T100),$W100,IF(AND($S100&lt;&gt;"",EDATE($D100,Milestones!$AA$30)&gt;=$S100),$V100,$U100)))=Milestones!$AB$30),UPPER(TEXT(EDATE($D100,Milestones!$AA$30),"dd mmm yy"))&amp;" "&amp;Milestones!$AB$30&amp;" "&amp;Milestones!$AC$30&amp;";  ","")&amp;IF(AND(EDATE($D100,Milestones!$AA$31)&lt;=AsOfDate,IF($R100=0,$X100,IF(AND($T100&lt;&gt;"",EDATE($D100,Milestones!$AA$31)&gt;=$T100),$W100,IF(AND($S100&lt;&gt;"",EDATE($D100,Milestones!$AA$31)&gt;=$S100),$V100,$U100)))=Milestones!$AB$31),UPPER(TEXT(EDATE($D100,Milestones!$AA$31),"dd mmm yy"))&amp;" "&amp;Milestones!$AB$31&amp;" "&amp;Milestones!$AC$31&amp;";  ","")&amp;IF(AND(EDATE($D100,Milestones!$AA$32)&lt;=AsOfDate,IF($R100=0,$X100,IF(AND($T100&lt;&gt;"",EDATE($D100,Milestones!$AA$32)&gt;=$T100),$W100,IF(AND($S100&lt;&gt;"",EDATE($D100,Milestones!$AA$32)&gt;=$S100),$V100,$U100)))=Milestones!$AB$32),UPPER(TEXT(EDATE($D100,Milestones!$AA$32),"dd mmm yy"))&amp;" "&amp;Milestones!$AB$32&amp;" "&amp;Milestones!$AC$32&amp;";  ","")&amp;IF(AND(EDATE($D100,Milestones!$AA$33)&lt;=AsOfDate,IF($R100=0,$X100,IF(AND($T100&lt;&gt;"",EDATE($D100,Milestones!$AA$33)&gt;=$T100),$W100,IF(AND($S100&lt;&gt;"",EDATE($D100,Milestones!$AA$33)&gt;=$S100),$V100,$U100)))=Milestones!$AB$33),UPPER(TEXT(EDATE($D100,Milestones!$AA$33),"dd mmm yy"))&amp;" "&amp;Milestones!$AB$33&amp;" "&amp;Milestones!$AC$33&amp;";  ","")&amp;IF(AND(EDATE($D100,Milestones!$AA$34)&lt;=AsOfDate,IF($R100=0,$X100,IF(AND($T100&lt;&gt;"",EDATE($D100,Milestones!$AA$34)&gt;=$T100),$W100,IF(AND($S100&lt;&gt;"",EDATE($D100,Milestones!$AA$34)&gt;=$S100),$V100,$U100)))=Milestones!$AB$34),UPPER(TEXT(EDATE($D100,Milestones!$AA$34),"dd mmm yy"))&amp;" "&amp;Milestones!$AB$34&amp;" "&amp;Milestones!$AC$34&amp;";  ","")&amp;IF(AND(EDATE($D100,Milestones!$AA$35)&lt;=AsOfDate,IF($R100=0,$X100,IF(AND($T100&lt;&gt;"",EDATE($D100,Milestones!$AA$35)&gt;=$T100),$W100,IF(AND($S100&lt;&gt;"",EDATE($D100,Milestones!$AA$35)&gt;=$S100),$V100,$U100)))=Milestones!$AB$35),UPPER(TEXT(EDATE($D100,Milestones!$AA$35),"dd mmm yy"))&amp;" "&amp;Milestones!$AB$35&amp;" "&amp;Milestones!$AC$35&amp;";  ","")&amp;IF(AND(EDATE($D100,Milestones!$AA$36)&lt;=AsOfDate,IF($R100=0,$X100,IF(AND($T100&lt;&gt;"",EDATE($D100,Milestones!$AA$36)&gt;=$T100),$W100,IF(AND($S100&lt;&gt;"",EDATE($D100,Milestones!$AA$36)&gt;=$S100),$V100,$U100)))=Milestones!$AB$36),UPPER(TEXT(EDATE($D100,Milestones!$AA$36),"dd mmm yy"))&amp;" "&amp;Milestones!$AB$36&amp;" "&amp;Milestones!$AC$36&amp;";  ","")&amp;IF(AND(EDATE($D100,Milestones!$AA$37)&lt;=AsOfDate,IF($R100=0,$X100,IF(AND($T100&lt;&gt;"",EDATE($D100,Milestones!$AA$37)&gt;=$T100),$W100,IF(AND($S100&lt;&gt;"",EDATE($D100,Milestones!$AA$37)&gt;=$S100),$V100,$U100)))=Milestones!$AB$37),UPPER(TEXT(EDATE($D100,Milestones!$AA$37),"dd mmm yy"))&amp;" "&amp;Milestones!$AB$37&amp;" "&amp;Milestones!$AC$37&amp;";  ","")&amp;IF(AND(EDATE($D100,Milestones!$AA$38)&lt;=AsOfDate,IF($R100=0,$X100,IF(AND($T100&lt;&gt;"",EDATE($D100,Milestones!$AA$38)&gt;=$T100),$W100,IF(AND($S100&lt;&gt;"",EDATE($D100,Milestones!$AA$38)&gt;=$S100),$V100,$U100)))=Milestones!$AB$38),UPPER(TEXT(EDATE($D100,Milestones!$AA$38),"dd mmm yy"))&amp;" "&amp;Milestones!$AB$38&amp;" "&amp;Milestones!$AC$38&amp;";  ","")&amp;IF(AND(EDATE($D100,Milestones!$AA$39)&lt;=AsOfDate,IF($R100=0,$X100,IF(AND($T100&lt;&gt;"",EDATE($D100,Milestones!$AA$39)&gt;=$T100),$W100,IF(AND($S100&lt;&gt;"",EDATE($D100,Milestones!$AA$39)&gt;=$S100),$V100,$U100)))=Milestones!$AB$39),UPPER(TEXT(EDATE($D100,Milestones!$AA$39),"dd mmm yy"))&amp;" "&amp;Milestones!$AB$39&amp;" "&amp;Milestones!$AC$39&amp;";  ",""))</f>
        <v/>
      </c>
      <c r="J100" s="0" t="str">
        <f aca="false">IF(OR($A100="",$D100=""),"",IF(AND(EDATE($D100,Milestones!$AA$40)&lt;=AsOfDate,IF($R100=0,$X100,IF(AND($T100&lt;&gt;"",EDATE($D100,Milestones!$AA$40)&gt;=$T100),$W100,IF(AND($S100&lt;&gt;"",EDATE($D100,Milestones!$AA$40)&gt;=$S100),$V100,$U100)))=Milestones!$AB$40),UPPER(TEXT(EDATE($D100,Milestones!$AA$40),"dd mmm yy"))&amp;" "&amp;Milestones!$AB$40&amp;" "&amp;Milestones!$AC$40&amp;";  ","")&amp;IF(AND(EDATE($D100,Milestones!$AA$41)&lt;=AsOfDate,IF($R100=0,$X100,IF(AND($T100&lt;&gt;"",EDATE($D100,Milestones!$AA$41)&gt;=$T100),$W100,IF(AND($S100&lt;&gt;"",EDATE($D100,Milestones!$AA$41)&gt;=$S100),$V100,$U100)))=Milestones!$AB$41),UPPER(TEXT(EDATE($D100,Milestones!$AA$41),"dd mmm yy"))&amp;" "&amp;Milestones!$AB$41&amp;" "&amp;Milestones!$AC$41&amp;";  ","")&amp;IF(AND(EDATE($D100,Milestones!$AA$42)&lt;=AsOfDate,IF($R100=0,$X100,IF(AND($T100&lt;&gt;"",EDATE($D100,Milestones!$AA$42)&gt;=$T100),$W100,IF(AND($S100&lt;&gt;"",EDATE($D100,Milestones!$AA$42)&gt;=$S100),$V100,$U100)))=Milestones!$AB$42),UPPER(TEXT(EDATE($D100,Milestones!$AA$42),"dd mmm yy"))&amp;" "&amp;Milestones!$AB$42&amp;" "&amp;Milestones!$AC$42&amp;";  ","")&amp;IF(AND(EDATE($D100,Milestones!$AA$43)&lt;=AsOfDate,IF($R100=0,$X100,IF(AND($T100&lt;&gt;"",EDATE($D100,Milestones!$AA$43)&gt;=$T100),$W100,IF(AND($S100&lt;&gt;"",EDATE($D100,Milestones!$AA$43)&gt;=$S100),$V100,$U100)))=Milestones!$AB$43),UPPER(TEXT(EDATE($D100,Milestones!$AA$43),"dd mmm yy"))&amp;" "&amp;Milestones!$AB$43&amp;" "&amp;Milestones!$AC$43&amp;";  ","")&amp;IF(AND(EDATE($D100,Milestones!$AA$44)&lt;=AsOfDate,IF($R100=0,$X100,IF(AND($T100&lt;&gt;"",EDATE($D100,Milestones!$AA$44)&gt;=$T100),$W100,IF(AND($S100&lt;&gt;"",EDATE($D100,Milestones!$AA$44)&gt;=$S100),$V100,$U100)))=Milestones!$AB$44),UPPER(TEXT(EDATE($D100,Milestones!$AA$44),"dd mmm yy"))&amp;" "&amp;Milestones!$AB$44&amp;" "&amp;Milestones!$AC$44&amp;";  ","")&amp;IF(AND(EDATE($D100,Milestones!$AA$45)&lt;=AsOfDate,IF($R100=0,$X100,IF(AND($T100&lt;&gt;"",EDATE($D100,Milestones!$AA$45)&gt;=$T100),$W100,IF(AND($S100&lt;&gt;"",EDATE($D100,Milestones!$AA$45)&gt;=$S100),$V100,$U100)))=Milestones!$AB$45),UPPER(TEXT(EDATE($D100,Milestones!$AA$45),"dd mmm yy"))&amp;" "&amp;Milestones!$AB$45&amp;" "&amp;Milestones!$AC$45&amp;";  ","")&amp;IF(AND(EDATE($D100,Milestones!$AA$46)&lt;=AsOfDate,IF($R100=0,$X100,IF(AND($T100&lt;&gt;"",EDATE($D100,Milestones!$AA$46)&gt;=$T100),$W100,IF(AND($S100&lt;&gt;"",EDATE($D100,Milestones!$AA$46)&gt;=$S100),$V100,$U100)))=Milestones!$AB$46),UPPER(TEXT(EDATE($D100,Milestones!$AA$46),"dd mmm yy"))&amp;" "&amp;Milestones!$AB$46&amp;" "&amp;Milestones!$AC$46&amp;";  ","")&amp;IF(AND(EDATE($D100,Milestones!$AA$47)&lt;=AsOfDate,IF($R100=0,$X100,IF(AND($T100&lt;&gt;"",EDATE($D100,Milestones!$AA$47)&gt;=$T100),$W100,IF(AND($S100&lt;&gt;"",EDATE($D100,Milestones!$AA$47)&gt;=$S100),$V100,$U100)))=Milestones!$AB$47),UPPER(TEXT(EDATE($D100,Milestones!$AA$47),"dd mmm yy"))&amp;" "&amp;Milestones!$AB$47&amp;" "&amp;Milestones!$AC$47&amp;";  ","")&amp;IF(AND(EDATE($D100,Milestones!$AA$48)&lt;=AsOfDate,IF($R100=0,$X100,IF(AND($T100&lt;&gt;"",EDATE($D100,Milestones!$AA$48)&gt;=$T100),$W100,IF(AND($S100&lt;&gt;"",EDATE($D100,Milestones!$AA$48)&gt;=$S100),$V100,$U100)))=Milestones!$AB$48),UPPER(TEXT(EDATE($D100,Milestones!$AA$48),"dd mmm yy"))&amp;" "&amp;Milestones!$AB$48&amp;" "&amp;Milestones!$AC$48&amp;";  ","")&amp;IF(AND(EDATE($D100,Milestones!$AA$49)&lt;=AsOfDate,IF($R100=0,$X100,IF(AND($T100&lt;&gt;"",EDATE($D100,Milestones!$AA$49)&gt;=$T100),$W100,IF(AND($S100&lt;&gt;"",EDATE($D100,Milestones!$AA$49)&gt;=$S100),$V100,$U100)))=Milestones!$AB$49),UPPER(TEXT(EDATE($D100,Milestones!$AA$49),"dd mmm yy"))&amp;" "&amp;Milestones!$AB$49&amp;" "&amp;Milestones!$AC$49&amp;";  ","")&amp;IF(AND(EDATE($D100,Milestones!$AA$50)&lt;=AsOfDate,IF($R100=0,$X100,IF(AND($T100&lt;&gt;"",EDATE($D100,Milestones!$AA$50)&gt;=$T100),$W100,IF(AND($S100&lt;&gt;"",EDATE($D100,Milestones!$AA$50)&gt;=$S100),$V100,$U100)))=Milestones!$AB$50),UPPER(TEXT(EDATE($D100,Milestones!$AA$50),"dd mmm yy"))&amp;" "&amp;Milestones!$AB$50&amp;" "&amp;Milestones!$AC$50&amp;";  ","")&amp;IF(AND(EDATE($D100,Milestones!$AA$51)&lt;=AsOfDate,IF($R100=0,$X100,IF(AND($T100&lt;&gt;"",EDATE($D100,Milestones!$AA$51)&gt;=$T100),$W100,IF(AND($S100&lt;&gt;"",EDATE($D100,Milestones!$AA$51)&gt;=$S100),$V100,$U100)))=Milestones!$AB$51),UPPER(TEXT(EDATE($D100,Milestones!$AA$51),"dd mmm yy"))&amp;" "&amp;Milestones!$AB$51&amp;" "&amp;Milestones!$AC$51&amp;";  ","")&amp;IF(AND(EDATE($D100,Milestones!$AA$52)&lt;=AsOfDate,IF($R100=0,$X100,IF(AND($T100&lt;&gt;"",EDATE($D100,Milestones!$AA$52)&gt;=$T100),$W100,IF(AND($S100&lt;&gt;"",EDATE($D100,Milestones!$AA$52)&gt;=$S100),$V100,$U100)))=Milestones!$AB$52),UPPER(TEXT(EDATE($D100,Milestones!$AA$52),"dd mmm yy"))&amp;" "&amp;Milestones!$AB$52&amp;" "&amp;Milestones!$AC$52&amp;";  ","")&amp;IF(AND(EDATE($D100,Milestones!$AA$53)&lt;=AsOfDate,IF($R100=0,$X100,IF(AND($T100&lt;&gt;"",EDATE($D100,Milestones!$AA$53)&gt;=$T100),$W100,IF(AND($S100&lt;&gt;"",EDATE($D100,Milestones!$AA$53)&gt;=$S100),$V100,$U100)))=Milestones!$AB$53),UPPER(TEXT(EDATE($D100,Milestones!$AA$53),"dd mmm yy"))&amp;" "&amp;Milestones!$AB$53&amp;" "&amp;Milestones!$AC$53&amp;";  ","")&amp;IF(AND(EDATE($D100,Milestones!$AA$54)&lt;=AsOfDate,IF($R100=0,$X100,IF(AND($T100&lt;&gt;"",EDATE($D100,Milestones!$AA$54)&gt;=$T100),$W100,IF(AND($S100&lt;&gt;"",EDATE($D100,Milestones!$AA$54)&gt;=$S100),$V100,$U100)))=Milestones!$AB$54),UPPER(TEXT(EDATE($D100,Milestones!$AA$54),"dd mmm yy"))&amp;" "&amp;Milestones!$AB$54&amp;" "&amp;Milestones!$AC$54&amp;";  ","")&amp;IF(AND(EDATE($D100,Milestones!$AA$55)&lt;=AsOfDate,IF($R100=0,$X100,IF(AND($T100&lt;&gt;"",EDATE($D100,Milestones!$AA$55)&gt;=$T100),$W100,IF(AND($S100&lt;&gt;"",EDATE($D100,Milestones!$AA$55)&gt;=$S100),$V100,$U100)))=Milestones!$AB$55),UPPER(TEXT(EDATE($D100,Milestones!$AA$55),"dd mmm yy"))&amp;" "&amp;Milestones!$AB$55&amp;" "&amp;Milestones!$AC$55&amp;";  ","")&amp;IF(AND(EDATE($D100,Milestones!$AA$56)&lt;=AsOfDate,IF($R100=0,$X100,IF(AND($T100&lt;&gt;"",EDATE($D100,Milestones!$AA$56)&gt;=$T100),$W100,IF(AND($S100&lt;&gt;"",EDATE($D100,Milestones!$AA$56)&gt;=$S100),$V100,$U100)))=Milestones!$AB$56),UPPER(TEXT(EDATE($D100,Milestones!$AA$56),"dd mmm yy"))&amp;" "&amp;Milestones!$AB$56&amp;" "&amp;Milestones!$AC$56&amp;";  ","")&amp;IF(AND(EDATE($D100,Milestones!$AA$57)&lt;=AsOfDate,IF($R100=0,$X100,IF(AND($T100&lt;&gt;"",EDATE($D100,Milestones!$AA$57)&gt;=$T100),$W100,IF(AND($S100&lt;&gt;"",EDATE($D100,Milestones!$AA$57)&gt;=$S100),$V100,$U100)))=Milestones!$AB$57),UPPER(TEXT(EDATE($D100,Milestones!$AA$57),"dd mmm yy"))&amp;" "&amp;Milestones!$AB$57&amp;" "&amp;Milestones!$AC$57&amp;";  ","")&amp;IF(AND(EDATE($D100,Milestones!$AA$58)&lt;=AsOfDate,IF($R100=0,$X100,IF(AND($T100&lt;&gt;"",EDATE($D100,Milestones!$AA$58)&gt;=$T100),$W100,IF(AND($S100&lt;&gt;"",EDATE($D100,Milestones!$AA$58)&gt;=$S100),$V100,$U100)))=Milestones!$AB$58),UPPER(TEXT(EDATE($D100,Milestones!$AA$58),"dd mmm yy"))&amp;" "&amp;Milestones!$AB$58&amp;" "&amp;Milestones!$AC$58&amp;";  ","")&amp;IF(AND(EDATE($D100,Milestones!$AA$59)&lt;=AsOfDate,IF($R100=0,$X100,IF(AND($T100&lt;&gt;"",EDATE($D100,Milestones!$AA$59)&gt;=$T100),$W100,IF(AND($S100&lt;&gt;"",EDATE($D100,Milestones!$AA$59)&gt;=$S100),$V100,$U100)))=Milestones!$AB$59),UPPER(TEXT(EDATE($D100,Milestones!$AA$59),"dd mmm yy"))&amp;" "&amp;Milestones!$AB$59&amp;" "&amp;Milestones!$AC$59&amp;";  ",""))</f>
        <v/>
      </c>
      <c r="K100" s="0" t="str">
        <f aca="false">IF(OR($A100="",$D100=""),"",IF(AND(EDATE($D100,Milestones!$AA$60)&lt;=AsOfDate,IF($R100=0,$X100,IF(AND($T100&lt;&gt;"",EDATE($D100,Milestones!$AA$60)&gt;=$T100),$W100,IF(AND($S100&lt;&gt;"",EDATE($D100,Milestones!$AA$60)&gt;=$S100),$V100,$U100)))=Milestones!$AB$60),UPPER(TEXT(EDATE($D100,Milestones!$AA$60),"dd mmm yy"))&amp;" "&amp;Milestones!$AB$60&amp;" "&amp;Milestones!$AC$60&amp;";  ","")&amp;IF(AND(EDATE($D100,Milestones!$AA$61)&lt;=AsOfDate,IF($R100=0,$X100,IF(AND($T100&lt;&gt;"",EDATE($D100,Milestones!$AA$61)&gt;=$T100),$W100,IF(AND($S100&lt;&gt;"",EDATE($D100,Milestones!$AA$61)&gt;=$S100),$V100,$U100)))=Milestones!$AB$61),UPPER(TEXT(EDATE($D100,Milestones!$AA$61),"dd mmm yy"))&amp;" "&amp;Milestones!$AB$61&amp;" "&amp;Milestones!$AC$61&amp;";  ","")&amp;IF(AND(EDATE($D100,Milestones!$AA$62)&lt;=AsOfDate,IF($R100=0,$X100,IF(AND($T100&lt;&gt;"",EDATE($D100,Milestones!$AA$62)&gt;=$T100),$W100,IF(AND($S100&lt;&gt;"",EDATE($D100,Milestones!$AA$62)&gt;=$S100),$V100,$U100)))=Milestones!$AB$62),UPPER(TEXT(EDATE($D100,Milestones!$AA$62),"dd mmm yy"))&amp;" "&amp;Milestones!$AB$62&amp;" "&amp;Milestones!$AC$62&amp;";  ","")&amp;IF(AND(EDATE($D100,Milestones!$AA$63)&lt;=AsOfDate,IF($R100=0,$X100,IF(AND($T100&lt;&gt;"",EDATE($D100,Milestones!$AA$63)&gt;=$T100),$W100,IF(AND($S100&lt;&gt;"",EDATE($D100,Milestones!$AA$63)&gt;=$S100),$V100,$U100)))=Milestones!$AB$63),UPPER(TEXT(EDATE($D100,Milestones!$AA$63),"dd mmm yy"))&amp;" "&amp;Milestones!$AB$63&amp;" "&amp;Milestones!$AC$63&amp;";  ","")&amp;IF(AND(EDATE($D100,Milestones!$AA$64)&lt;=AsOfDate,IF($R100=0,$X100,IF(AND($T100&lt;&gt;"",EDATE($D100,Milestones!$AA$64)&gt;=$T100),$W100,IF(AND($S100&lt;&gt;"",EDATE($D100,Milestones!$AA$64)&gt;=$S100),$V100,$U100)))=Milestones!$AB$64),UPPER(TEXT(EDATE($D100,Milestones!$AA$64),"dd mmm yy"))&amp;" "&amp;Milestones!$AB$64&amp;" "&amp;Milestones!$AC$64&amp;";  ","")&amp;IF(AND(EDATE($D100,Milestones!$AA$65)&lt;=AsOfDate,IF($R100=0,$X100,IF(AND($T100&lt;&gt;"",EDATE($D100,Milestones!$AA$65)&gt;=$T100),$W100,IF(AND($S100&lt;&gt;"",EDATE($D100,Milestones!$AA$65)&gt;=$S100),$V100,$U100)))=Milestones!$AB$65),UPPER(TEXT(EDATE($D100,Milestones!$AA$65),"dd mmm yy"))&amp;" "&amp;Milestones!$AB$65&amp;" "&amp;Milestones!$AC$65&amp;";  ","")&amp;IF(AND(EDATE($D100,Milestones!$AA$66)&lt;=AsOfDate,IF($R100=0,$X100,IF(AND($T100&lt;&gt;"",EDATE($D100,Milestones!$AA$66)&gt;=$T100),$W100,IF(AND($S100&lt;&gt;"",EDATE($D100,Milestones!$AA$66)&gt;=$S100),$V100,$U100)))=Milestones!$AB$66),UPPER(TEXT(EDATE($D100,Milestones!$AA$66),"dd mmm yy"))&amp;" "&amp;Milestones!$AB$66&amp;" "&amp;Milestones!$AC$66&amp;";  ","")&amp;IF(AND(EDATE($D100,Milestones!$AA$67)&lt;=AsOfDate,IF($R100=0,$X100,IF(AND($T100&lt;&gt;"",EDATE($D100,Milestones!$AA$67)&gt;=$T100),$W100,IF(AND($S100&lt;&gt;"",EDATE($D100,Milestones!$AA$67)&gt;=$S100),$V100,$U100)))=Milestones!$AB$67),UPPER(TEXT(EDATE($D100,Milestones!$AA$67),"dd mmm yy"))&amp;" "&amp;Milestones!$AB$67&amp;" "&amp;Milestones!$AC$67&amp;";  ","")&amp;IF(AND(EDATE($D100,Milestones!$AA$68)&lt;=AsOfDate,IF($R100=0,$X100,IF(AND($T100&lt;&gt;"",EDATE($D100,Milestones!$AA$68)&gt;=$T100),$W100,IF(AND($S100&lt;&gt;"",EDATE($D100,Milestones!$AA$68)&gt;=$S100),$V100,$U100)))=Milestones!$AB$68),UPPER(TEXT(EDATE($D100,Milestones!$AA$68),"dd mmm yy"))&amp;" "&amp;Milestones!$AB$68&amp;" "&amp;Milestones!$AC$68&amp;";  ","")&amp;IF(AND(EDATE($D100,Milestones!$AA$69)&lt;=AsOfDate,IF($R100=0,$X100,IF(AND($T100&lt;&gt;"",EDATE($D100,Milestones!$AA$69)&gt;=$T100),$W100,IF(AND($S100&lt;&gt;"",EDATE($D100,Milestones!$AA$69)&gt;=$S100),$V100,$U100)))=Milestones!$AB$69),UPPER(TEXT(EDATE($D100,Milestones!$AA$69),"dd mmm yy"))&amp;" "&amp;Milestones!$AB$69&amp;" "&amp;Milestones!$AC$69&amp;";  ","")&amp;IF(AND(EDATE($D100,Milestones!$AA$70)&lt;=AsOfDate,IF($R100=0,$X100,IF(AND($T100&lt;&gt;"",EDATE($D100,Milestones!$AA$70)&gt;=$T100),$W100,IF(AND($S100&lt;&gt;"",EDATE($D100,Milestones!$AA$70)&gt;=$S100),$V100,$U100)))=Milestones!$AB$70),UPPER(TEXT(EDATE($D100,Milestones!$AA$70),"dd mmm yy"))&amp;" "&amp;Milestones!$AB$70&amp;" "&amp;Milestones!$AC$70&amp;";  ","")&amp;IF(AND(EDATE($D100,Milestones!$AA$71)&lt;=AsOfDate,IF($R100=0,$X100,IF(AND($T100&lt;&gt;"",EDATE($D100,Milestones!$AA$71)&gt;=$T100),$W100,IF(AND($S100&lt;&gt;"",EDATE($D100,Milestones!$AA$71)&gt;=$S100),$V100,$U100)))=Milestones!$AB$71),UPPER(TEXT(EDATE($D100,Milestones!$AA$71),"dd mmm yy"))&amp;" "&amp;Milestones!$AB$71&amp;" "&amp;Milestones!$AC$71&amp;";  ","")&amp;IF(AND(EDATE($D100,Milestones!$AA$72)&lt;=AsOfDate,IF($R100=0,$X100,IF(AND($T100&lt;&gt;"",EDATE($D100,Milestones!$AA$72)&gt;=$T100),$W100,IF(AND($S100&lt;&gt;"",EDATE($D100,Milestones!$AA$72)&gt;=$S100),$V100,$U100)))=Milestones!$AB$72),UPPER(TEXT(EDATE($D100,Milestones!$AA$72),"dd mmm yy"))&amp;" "&amp;Milestones!$AB$72&amp;" "&amp;Milestones!$AC$72&amp;";  ","")&amp;IF(AND(EDATE($D100,Milestones!$AA$73)&lt;=AsOfDate,IF($R100=0,$X100,IF(AND($T100&lt;&gt;"",EDATE($D100,Milestones!$AA$73)&gt;=$T100),$W100,IF(AND($S100&lt;&gt;"",EDATE($D100,Milestones!$AA$73)&gt;=$S100),$V100,$U100)))=Milestones!$AB$73),UPPER(TEXT(EDATE($D100,Milestones!$AA$73),"dd mmm yy"))&amp;" "&amp;Milestones!$AB$73&amp;" "&amp;Milestones!$AC$73&amp;";  ","")&amp;IF(AND(EDATE($D100,Milestones!$AA$74)&lt;=AsOfDate,IF($R100=0,$X100,IF(AND($T100&lt;&gt;"",EDATE($D100,Milestones!$AA$74)&gt;=$T100),$W100,IF(AND($S100&lt;&gt;"",EDATE($D100,Milestones!$AA$74)&gt;=$S100),$V100,$U100)))=Milestones!$AB$74),UPPER(TEXT(EDATE($D100,Milestones!$AA$74),"dd mmm yy"))&amp;" "&amp;Milestones!$AB$74&amp;" "&amp;Milestones!$AC$74&amp;";  ","")&amp;IF(AND(EDATE($D100,Milestones!$AA$75)&lt;=AsOfDate,IF($R100=0,$X100,IF(AND($T100&lt;&gt;"",EDATE($D100,Milestones!$AA$75)&gt;=$T100),$W100,IF(AND($S100&lt;&gt;"",EDATE($D100,Milestones!$AA$75)&gt;=$S100),$V100,$U100)))=Milestones!$AB$75),UPPER(TEXT(EDATE($D100,Milestones!$AA$75),"dd mmm yy"))&amp;" "&amp;Milestones!$AB$75&amp;" "&amp;Milestones!$AC$75&amp;";  ","")&amp;IF(AND(EDATE($D100,Milestones!$AA$76)&lt;=AsOfDate,IF($R100=0,$X100,IF(AND($T100&lt;&gt;"",EDATE($D100,Milestones!$AA$76)&gt;=$T100),$W100,IF(AND($S100&lt;&gt;"",EDATE($D100,Milestones!$AA$76)&gt;=$S100),$V100,$U100)))=Milestones!$AB$76),UPPER(TEXT(EDATE($D100,Milestones!$AA$76),"dd mmm yy"))&amp;" "&amp;Milestones!$AB$76&amp;" "&amp;Milestones!$AC$76&amp;";  ","")&amp;IF(AND(EDATE($D100,Milestones!$AA$77)&lt;=AsOfDate,IF($R100=0,$X100,IF(AND($T100&lt;&gt;"",EDATE($D100,Milestones!$AA$77)&gt;=$T100),$W100,IF(AND($S100&lt;&gt;"",EDATE($D100,Milestones!$AA$77)&gt;=$S100),$V100,$U100)))=Milestones!$AB$77),UPPER(TEXT(EDATE($D100,Milestones!$AA$77),"dd mmm yy"))&amp;" "&amp;Milestones!$AB$77&amp;" "&amp;Milestones!$AC$77&amp;";  ","")&amp;IF(AND(EDATE($D100,Milestones!$AA$78)&lt;=AsOfDate,IF($R100=0,$X100,IF(AND($T100&lt;&gt;"",EDATE($D100,Milestones!$AA$78)&gt;=$T100),$W100,IF(AND($S100&lt;&gt;"",EDATE($D100,Milestones!$AA$78)&gt;=$S100),$V100,$U100)))=Milestones!$AB$78),UPPER(TEXT(EDATE($D100,Milestones!$AA$78),"dd mmm yy"))&amp;" "&amp;Milestones!$AB$78&amp;" "&amp;Milestones!$AC$78&amp;";  ","")&amp;IF(AND(EDATE($D100,Milestones!$AA$79)&lt;=AsOfDate,IF($R100=0,$X100,IF(AND($T100&lt;&gt;"",EDATE($D100,Milestones!$AA$79)&gt;=$T100),$W100,IF(AND($S100&lt;&gt;"",EDATE($D100,Milestones!$AA$79)&gt;=$S100),$V100,$U100)))=Milestones!$AB$79),UPPER(TEXT(EDATE($D100,Milestones!$AA$79),"dd mmm yy"))&amp;" "&amp;Milestones!$AB$79&amp;" "&amp;Milestones!$AC$79&amp;";  ",""))</f>
        <v/>
      </c>
      <c r="L100" s="0" t="str">
        <f aca="false">IF(OR($A100="",$D100=""),"",IF(AND(EDATE($D100,Milestones!$AA$80)&lt;=AsOfDate,IF($R100=0,$X100,IF(AND($T100&lt;&gt;"",EDATE($D100,Milestones!$AA$80)&gt;=$T100),$W100,IF(AND($S100&lt;&gt;"",EDATE($D100,Milestones!$AA$80)&gt;=$S100),$V100,$U100)))=Milestones!$AB$80),UPPER(TEXT(EDATE($D100,Milestones!$AA$80),"dd mmm yy"))&amp;" "&amp;Milestones!$AB$80&amp;" "&amp;Milestones!$AC$80&amp;";  ","")&amp;IF(AND(EDATE($D100,Milestones!$AA$81)&lt;=AsOfDate,IF($R100=0,$X100,IF(AND($T100&lt;&gt;"",EDATE($D100,Milestones!$AA$81)&gt;=$T100),$W100,IF(AND($S100&lt;&gt;"",EDATE($D100,Milestones!$AA$81)&gt;=$S100),$V100,$U100)))=Milestones!$AB$81),UPPER(TEXT(EDATE($D100,Milestones!$AA$81),"dd mmm yy"))&amp;" "&amp;Milestones!$AB$81&amp;" "&amp;Milestones!$AC$81&amp;";  ","")&amp;IF(AND(EDATE($D100,Milestones!$AA$82)&lt;=AsOfDate,IF($R100=0,$X100,IF(AND($T100&lt;&gt;"",EDATE($D100,Milestones!$AA$82)&gt;=$T100),$W100,IF(AND($S100&lt;&gt;"",EDATE($D100,Milestones!$AA$82)&gt;=$S100),$V100,$U100)))=Milestones!$AB$82),UPPER(TEXT(EDATE($D100,Milestones!$AA$82),"dd mmm yy"))&amp;" "&amp;Milestones!$AB$82&amp;" "&amp;Milestones!$AC$82&amp;";  ","")&amp;IF(AND(EDATE($D100,Milestones!$AA$83)&lt;=AsOfDate,IF($R100=0,$X100,IF(AND($T100&lt;&gt;"",EDATE($D100,Milestones!$AA$83)&gt;=$T100),$W100,IF(AND($S100&lt;&gt;"",EDATE($D100,Milestones!$AA$83)&gt;=$S100),$V100,$U100)))=Milestones!$AB$83),UPPER(TEXT(EDATE($D100,Milestones!$AA$83),"dd mmm yy"))&amp;" "&amp;Milestones!$AB$83&amp;" "&amp;Milestones!$AC$83&amp;";  ","")&amp;IF(AND(EDATE($D100,Milestones!$AA$84)&lt;=AsOfDate,IF($R100=0,$X100,IF(AND($T100&lt;&gt;"",EDATE($D100,Milestones!$AA$84)&gt;=$T100),$W100,IF(AND($S100&lt;&gt;"",EDATE($D100,Milestones!$AA$84)&gt;=$S100),$V100,$U100)))=Milestones!$AB$84),UPPER(TEXT(EDATE($D100,Milestones!$AA$84),"dd mmm yy"))&amp;" "&amp;Milestones!$AB$84&amp;" "&amp;Milestones!$AC$84&amp;";  ","")&amp;IF(AND(EDATE($D100,Milestones!$AA$85)&lt;=AsOfDate,IF($R100=0,$X100,IF(AND($T100&lt;&gt;"",EDATE($D100,Milestones!$AA$85)&gt;=$T100),$W100,IF(AND($S100&lt;&gt;"",EDATE($D100,Milestones!$AA$85)&gt;=$S100),$V100,$U100)))=Milestones!$AB$85),UPPER(TEXT(EDATE($D100,Milestones!$AA$85),"dd mmm yy"))&amp;" "&amp;Milestones!$AB$85&amp;" "&amp;Milestones!$AC$85&amp;";  ","")&amp;IF(AND(EDATE($D100,Milestones!$AA$86)&lt;=AsOfDate,IF($R100=0,$X100,IF(AND($T100&lt;&gt;"",EDATE($D100,Milestones!$AA$86)&gt;=$T100),$W100,IF(AND($S100&lt;&gt;"",EDATE($D100,Milestones!$AA$86)&gt;=$S100),$V100,$U100)))=Milestones!$AB$86),UPPER(TEXT(EDATE($D100,Milestones!$AA$86),"dd mmm yy"))&amp;" "&amp;Milestones!$AB$86&amp;" "&amp;Milestones!$AC$86&amp;";  ","")&amp;IF(AND(EDATE($D100,Milestones!$AA$87)&lt;=AsOfDate,IF($R100=0,$X100,IF(AND($T100&lt;&gt;"",EDATE($D100,Milestones!$AA$87)&gt;=$T100),$W100,IF(AND($S100&lt;&gt;"",EDATE($D100,Milestones!$AA$87)&gt;=$S100),$V100,$U100)))=Milestones!$AB$87),UPPER(TEXT(EDATE($D100,Milestones!$AA$87),"dd mmm yy"))&amp;" "&amp;Milestones!$AB$87&amp;" "&amp;Milestones!$AC$87&amp;";  ","")&amp;IF(AND(EDATE($D100,Milestones!$AA$88)&lt;=AsOfDate,IF($R100=0,$X100,IF(AND($T100&lt;&gt;"",EDATE($D100,Milestones!$AA$88)&gt;=$T100),$W100,IF(AND($S100&lt;&gt;"",EDATE($D100,Milestones!$AA$88)&gt;=$S100),$V100,$U100)))=Milestones!$AB$88),UPPER(TEXT(EDATE($D100,Milestones!$AA$88),"dd mmm yy"))&amp;" "&amp;Milestones!$AB$88&amp;" "&amp;Milestones!$AC$88&amp;";  ","")&amp;IF(AND(EDATE($D100,Milestones!$AA$89)&lt;=AsOfDate,IF($R100=0,$X100,IF(AND($T100&lt;&gt;"",EDATE($D100,Milestones!$AA$89)&gt;=$T100),$W100,IF(AND($S100&lt;&gt;"",EDATE($D100,Milestones!$AA$89)&gt;=$S100),$V100,$U100)))=Milestones!$AB$89),UPPER(TEXT(EDATE($D100,Milestones!$AA$89),"dd mmm yy"))&amp;" "&amp;Milestones!$AB$89&amp;" "&amp;Milestones!$AC$89&amp;";  ","")&amp;IF(AND(EDATE($D100,Milestones!$AA$90)&lt;=AsOfDate,IF($R100=0,$X100,IF(AND($T100&lt;&gt;"",EDATE($D100,Milestones!$AA$90)&gt;=$T100),$W100,IF(AND($S100&lt;&gt;"",EDATE($D100,Milestones!$AA$90)&gt;=$S100),$V100,$U100)))=Milestones!$AB$90),UPPER(TEXT(EDATE($D100,Milestones!$AA$90),"dd mmm yy"))&amp;" "&amp;Milestones!$AB$90&amp;" "&amp;Milestones!$AC$90&amp;";  ","")&amp;IF(AND(EDATE($D100,Milestones!$AA$91)&lt;=AsOfDate,IF($R100=0,$X100,IF(AND($T100&lt;&gt;"",EDATE($D100,Milestones!$AA$91)&gt;=$T100),$W100,IF(AND($S100&lt;&gt;"",EDATE($D100,Milestones!$AA$91)&gt;=$S100),$V100,$U100)))=Milestones!$AB$91),UPPER(TEXT(EDATE($D100,Milestones!$AA$91),"dd mmm yy"))&amp;" "&amp;Milestones!$AB$91&amp;" "&amp;Milestones!$AC$91&amp;";  ","")&amp;IF(AND(EDATE($D100,Milestones!$AA$92)&lt;=AsOfDate,IF($R100=0,$X100,IF(AND($T100&lt;&gt;"",EDATE($D100,Milestones!$AA$92)&gt;=$T100),$W100,IF(AND($S100&lt;&gt;"",EDATE($D100,Milestones!$AA$92)&gt;=$S100),$V100,$U100)))=Milestones!$AB$92),UPPER(TEXT(EDATE($D100,Milestones!$AA$92),"dd mmm yy"))&amp;" "&amp;Milestones!$AB$92&amp;" "&amp;Milestones!$AC$92&amp;";  ","")&amp;IF(AND(EDATE($D100,Milestones!$AA$93)&lt;=AsOfDate,IF($R100=0,$X100,IF(AND($T100&lt;&gt;"",EDATE($D100,Milestones!$AA$93)&gt;=$T100),$W100,IF(AND($S100&lt;&gt;"",EDATE($D100,Milestones!$AA$93)&gt;=$S100),$V100,$U100)))=Milestones!$AB$93),UPPER(TEXT(EDATE($D100,Milestones!$AA$93),"dd mmm yy"))&amp;" "&amp;Milestones!$AB$93&amp;" "&amp;Milestones!$AC$93&amp;";  ","")&amp;IF(AND(EDATE($D100,Milestones!$AA$94)&lt;=AsOfDate,IF($R100=0,$X100,IF(AND($T100&lt;&gt;"",EDATE($D100,Milestones!$AA$94)&gt;=$T100),$W100,IF(AND($S100&lt;&gt;"",EDATE($D100,Milestones!$AA$94)&gt;=$S100),$V100,$U100)))=Milestones!$AB$94),UPPER(TEXT(EDATE($D100,Milestones!$AA$94),"dd mmm yy"))&amp;" "&amp;Milestones!$AB$94&amp;" "&amp;Milestones!$AC$94&amp;";  ","")&amp;IF(AND(EDATE($D100,Milestones!$AA$95)&lt;=AsOfDate,IF($R100=0,$X100,IF(AND($T100&lt;&gt;"",EDATE($D100,Milestones!$AA$95)&gt;=$T100),$W100,IF(AND($S100&lt;&gt;"",EDATE($D100,Milestones!$AA$95)&gt;=$S100),$V100,$U100)))=Milestones!$AB$95),UPPER(TEXT(EDATE($D100,Milestones!$AA$95),"dd mmm yy"))&amp;" "&amp;Milestones!$AB$95&amp;" "&amp;Milestones!$AC$95&amp;";  ","")&amp;IF(AND(EDATE($D100,Milestones!$AA$96)&lt;=AsOfDate,IF($R100=0,$X100,IF(AND($T100&lt;&gt;"",EDATE($D100,Milestones!$AA$96)&gt;=$T100),$W100,IF(AND($S100&lt;&gt;"",EDATE($D100,Milestones!$AA$96)&gt;=$S100),$V100,$U100)))=Milestones!$AB$96),UPPER(TEXT(EDATE($D100,Milestones!$AA$96),"dd mmm yy"))&amp;" "&amp;Milestones!$AB$96&amp;" "&amp;Milestones!$AC$96&amp;";  ","")&amp;IF(AND(EDATE($D100,Milestones!$AA$97)&lt;=AsOfDate,IF($R100=0,$X100,IF(AND($T100&lt;&gt;"",EDATE($D100,Milestones!$AA$97)&gt;=$T100),$W100,IF(AND($S100&lt;&gt;"",EDATE($D100,Milestones!$AA$97)&gt;=$S100),$V100,$U100)))=Milestones!$AB$97),UPPER(TEXT(EDATE($D100,Milestones!$AA$97),"dd mmm yy"))&amp;" "&amp;Milestones!$AB$97&amp;" "&amp;Milestones!$AC$97&amp;";  ","")&amp;IF(AND(EDATE($D100,Milestones!$AA$98)&lt;=AsOfDate,IF($R100=0,$X100,IF(AND($T100&lt;&gt;"",EDATE($D100,Milestones!$AA$98)&gt;=$T100),$W100,IF(AND($S100&lt;&gt;"",EDATE($D100,Milestones!$AA$98)&gt;=$S100),$V100,$U100)))=Milestones!$AB$98),UPPER(TEXT(EDATE($D100,Milestones!$AA$98),"dd mmm yy"))&amp;" "&amp;Milestones!$AB$98&amp;" "&amp;Milestones!$AC$98&amp;";  ","")&amp;IF(AND(EDATE($D100,Milestones!$AA$99)&lt;=AsOfDate,IF($R100=0,$X100,IF(AND($T100&lt;&gt;"",EDATE($D100,Milestones!$AA$99)&gt;=$T100),$W100,IF(AND($S100&lt;&gt;"",EDATE($D100,Milestones!$AA$99)&gt;=$S100),$V100,$U100)))=Milestones!$AB$99),UPPER(TEXT(EDATE($D100,Milestones!$AA$99),"dd mmm yy"))&amp;" "&amp;Milestones!$AB$99&amp;" "&amp;Milestones!$AC$99&amp;";  ",""))</f>
        <v/>
      </c>
      <c r="M100" s="0" t="str">
        <f aca="false">IF(OR($A100="",$D100=""),"",IF(AND(EDATE($D100,Milestones!$AA$100)&lt;=AsOfDate,IF($R100=0,$X100,IF(AND($T100&lt;&gt;"",EDATE($D100,Milestones!$AA$100)&gt;=$T100),$W100,IF(AND($S100&lt;&gt;"",EDATE($D100,Milestones!$AA$100)&gt;=$S100),$V100,$U100)))=Milestones!$AB$100),UPPER(TEXT(EDATE($D100,Milestones!$AA$100),"dd mmm yy"))&amp;" "&amp;Milestones!$AB$100&amp;" "&amp;Milestones!$AC$100&amp;";  ","")&amp;IF(AND(EDATE($D100,Milestones!$AA$101)&lt;=AsOfDate,IF($R100=0,$X100,IF(AND($T100&lt;&gt;"",EDATE($D100,Milestones!$AA$101)&gt;=$T100),$W100,IF(AND($S100&lt;&gt;"",EDATE($D100,Milestones!$AA$101)&gt;=$S100),$V100,$U100)))=Milestones!$AB$101),UPPER(TEXT(EDATE($D100,Milestones!$AA$101),"dd mmm yy"))&amp;" "&amp;Milestones!$AB$101&amp;" "&amp;Milestones!$AC$101&amp;";  ","")&amp;IF(AND(EDATE($D100,Milestones!$AA$102)&lt;=AsOfDate,IF($R100=0,$X100,IF(AND($T100&lt;&gt;"",EDATE($D100,Milestones!$AA$102)&gt;=$T100),$W100,IF(AND($S100&lt;&gt;"",EDATE($D100,Milestones!$AA$102)&gt;=$S100),$V100,$U100)))=Milestones!$AB$102),UPPER(TEXT(EDATE($D100,Milestones!$AA$102),"dd mmm yy"))&amp;" "&amp;Milestones!$AB$102&amp;" "&amp;Milestones!$AC$102&amp;";  ","")&amp;IF(AND(EDATE($D100,Milestones!$AA$103)&lt;=AsOfDate,IF($R100=0,$X100,IF(AND($T100&lt;&gt;"",EDATE($D100,Milestones!$AA$103)&gt;=$T100),$W100,IF(AND($S100&lt;&gt;"",EDATE($D100,Milestones!$AA$103)&gt;=$S100),$V100,$U100)))=Milestones!$AB$103),UPPER(TEXT(EDATE($D100,Milestones!$AA$103),"dd mmm yy"))&amp;" "&amp;Milestones!$AB$103&amp;" "&amp;Milestones!$AC$103&amp;";  ","")&amp;IF(AND(EDATE($D100,Milestones!$AA$104)&lt;=AsOfDate,IF($R100=0,$X100,IF(AND($T100&lt;&gt;"",EDATE($D100,Milestones!$AA$104)&gt;=$T100),$W100,IF(AND($S100&lt;&gt;"",EDATE($D100,Milestones!$AA$104)&gt;=$S100),$V100,$U100)))=Milestones!$AB$104),UPPER(TEXT(EDATE($D100,Milestones!$AA$104),"dd mmm yy"))&amp;" "&amp;Milestones!$AB$104&amp;" "&amp;Milestones!$AC$104&amp;";  ","")&amp;IF(AND(EDATE($D100,Milestones!$AA$105)&lt;=AsOfDate,IF($R100=0,$X100,IF(AND($T100&lt;&gt;"",EDATE($D100,Milestones!$AA$105)&gt;=$T100),$W100,IF(AND($S100&lt;&gt;"",EDATE($D100,Milestones!$AA$105)&gt;=$S100),$V100,$U100)))=Milestones!$AB$105),UPPER(TEXT(EDATE($D100,Milestones!$AA$105),"dd mmm yy"))&amp;" "&amp;Milestones!$AB$105&amp;" "&amp;Milestones!$AC$105&amp;";  ","")&amp;IF(AND(EDATE($D100,Milestones!$AA$106)&lt;=AsOfDate,IF($R100=0,$X100,IF(AND($T100&lt;&gt;"",EDATE($D100,Milestones!$AA$106)&gt;=$T100),$W100,IF(AND($S100&lt;&gt;"",EDATE($D100,Milestones!$AA$106)&gt;=$S100),$V100,$U100)))=Milestones!$AB$106),UPPER(TEXT(EDATE($D100,Milestones!$AA$106),"dd mmm yy"))&amp;" "&amp;Milestones!$AB$106&amp;" "&amp;Milestones!$AC$106&amp;";  ","")&amp;IF(AND(EDATE($D100,Milestones!$AA$107)&lt;=AsOfDate,IF($R100=0,$X100,IF(AND($T100&lt;&gt;"",EDATE($D100,Milestones!$AA$107)&gt;=$T100),$W100,IF(AND($S100&lt;&gt;"",EDATE($D100,Milestones!$AA$107)&gt;=$S100),$V100,$U100)))=Milestones!$AB$107),UPPER(TEXT(EDATE($D100,Milestones!$AA$107),"dd mmm yy"))&amp;" "&amp;Milestones!$AB$107&amp;" "&amp;Milestones!$AC$107&amp;";  ","")&amp;IF(AND(EDATE($D100,Milestones!$AA$108)&lt;=AsOfDate,IF($R100=0,$X100,IF(AND($T100&lt;&gt;"",EDATE($D100,Milestones!$AA$108)&gt;=$T100),$W100,IF(AND($S100&lt;&gt;"",EDATE($D100,Milestones!$AA$108)&gt;=$S100),$V100,$U100)))=Milestones!$AB$108),UPPER(TEXT(EDATE($D100,Milestones!$AA$108),"dd mmm yy"))&amp;" "&amp;Milestones!$AB$108&amp;" "&amp;Milestones!$AC$108&amp;";  ","")&amp;IF(AND(EDATE($D100,Milestones!$AA$109)&lt;=AsOfDate,IF($R100=0,$X100,IF(AND($T100&lt;&gt;"",EDATE($D100,Milestones!$AA$109)&gt;=$T100),$W100,IF(AND($S100&lt;&gt;"",EDATE($D100,Milestones!$AA$109)&gt;=$S100),$V100,$U100)))=Milestones!$AB$109),UPPER(TEXT(EDATE($D100,Milestones!$AA$109),"dd mmm yy"))&amp;" "&amp;Milestones!$AB$109&amp;" "&amp;Milestones!$AC$109&amp;";  ","")&amp;IF(AND(EDATE($D100,Milestones!$AA$110)&lt;=AsOfDate,IF($R100=0,$X100,IF(AND($T100&lt;&gt;"",EDATE($D100,Milestones!$AA$110)&gt;=$T100),$W100,IF(AND($S100&lt;&gt;"",EDATE($D100,Milestones!$AA$110)&gt;=$S100),$V100,$U100)))=Milestones!$AB$110),UPPER(TEXT(EDATE($D100,Milestones!$AA$110),"dd mmm yy"))&amp;" "&amp;Milestones!$AB$110&amp;" "&amp;Milestones!$AC$110&amp;";  ","")&amp;IF(AND(EDATE($D100,Milestones!$AA$111)&lt;=AsOfDate,IF($R100=0,$X100,IF(AND($T100&lt;&gt;"",EDATE($D100,Milestones!$AA$111)&gt;=$T100),$W100,IF(AND($S100&lt;&gt;"",EDATE($D100,Milestones!$AA$111)&gt;=$S100),$V100,$U100)))=Milestones!$AB$111),UPPER(TEXT(EDATE($D100,Milestones!$AA$111),"dd mmm yy"))&amp;" "&amp;Milestones!$AB$111&amp;" "&amp;Milestones!$AC$111&amp;";  ","")&amp;IF(AND(EDATE($D100,Milestones!$AA$112)&lt;=AsOfDate,IF($R100=0,$X100,IF(AND($T100&lt;&gt;"",EDATE($D100,Milestones!$AA$112)&gt;=$T100),$W100,IF(AND($S100&lt;&gt;"",EDATE($D100,Milestones!$AA$112)&gt;=$S100),$V100,$U100)))=Milestones!$AB$112),UPPER(TEXT(EDATE($D100,Milestones!$AA$112),"dd mmm yy"))&amp;" "&amp;Milestones!$AB$112&amp;" "&amp;Milestones!$AC$112&amp;";  ","")&amp;IF(AND(EDATE($D100,Milestones!$AA$113)&lt;=AsOfDate,IF($R100=0,$X100,IF(AND($T100&lt;&gt;"",EDATE($D100,Milestones!$AA$113)&gt;=$T100),$W100,IF(AND($S100&lt;&gt;"",EDATE($D100,Milestones!$AA$113)&gt;=$S100),$V100,$U100)))=Milestones!$AB$113),UPPER(TEXT(EDATE($D100,Milestones!$AA$113),"dd mmm yy"))&amp;" "&amp;Milestones!$AB$113&amp;" "&amp;Milestones!$AC$113&amp;";  ","")&amp;IF(AND(EDATE($D100,Milestones!$AA$114)&lt;=AsOfDate,IF($R100=0,$X100,IF(AND($T100&lt;&gt;"",EDATE($D100,Milestones!$AA$114)&gt;=$T100),$W100,IF(AND($S100&lt;&gt;"",EDATE($D100,Milestones!$AA$114)&gt;=$S100),$V100,$U100)))=Milestones!$AB$114),UPPER(TEXT(EDATE($D100,Milestones!$AA$114),"dd mmm yy"))&amp;" "&amp;Milestones!$AB$114&amp;" "&amp;Milestones!$AC$114&amp;";  ","")&amp;IF(AND(EDATE($D100,Milestones!$AA$115)&lt;=AsOfDate,IF($R100=0,$X100,IF(AND($T100&lt;&gt;"",EDATE($D100,Milestones!$AA$115)&gt;=$T100),$W100,IF(AND($S100&lt;&gt;"",EDATE($D100,Milestones!$AA$115)&gt;=$S100),$V100,$U100)))=Milestones!$AB$115),UPPER(TEXT(EDATE($D100,Milestones!$AA$115),"dd mmm yy"))&amp;" "&amp;Milestones!$AB$115&amp;" "&amp;Milestones!$AC$115&amp;";  ","")&amp;IF(AND(EDATE($D100,Milestones!$AA$116)&lt;=AsOfDate,IF($R100=0,$X100,IF(AND($T100&lt;&gt;"",EDATE($D100,Milestones!$AA$116)&gt;=$T100),$W100,IF(AND($S100&lt;&gt;"",EDATE($D100,Milestones!$AA$116)&gt;=$S100),$V100,$U100)))=Milestones!$AB$116),UPPER(TEXT(EDATE($D100,Milestones!$AA$116),"dd mmm yy"))&amp;" "&amp;Milestones!$AB$116&amp;" "&amp;Milestones!$AC$116&amp;";  ","")&amp;IF(AND(EDATE($D100,Milestones!$AA$117)&lt;=AsOfDate,IF($R100=0,$X100,IF(AND($T100&lt;&gt;"",EDATE($D100,Milestones!$AA$117)&gt;=$T100),$W100,IF(AND($S100&lt;&gt;"",EDATE($D100,Milestones!$AA$117)&gt;=$S100),$V100,$U100)))=Milestones!$AB$117),UPPER(TEXT(EDATE($D100,Milestones!$AA$117),"dd mmm yy"))&amp;" "&amp;Milestones!$AB$117&amp;" "&amp;Milestones!$AC$117&amp;";  ","")&amp;IF(AND(EDATE($D100,Milestones!$AA$118)&lt;=AsOfDate,IF($R100=0,$X100,IF(AND($T100&lt;&gt;"",EDATE($D100,Milestones!$AA$118)&gt;=$T100),$W100,IF(AND($S100&lt;&gt;"",EDATE($D100,Milestones!$AA$118)&gt;=$S100),$V100,$U100)))=Milestones!$AB$118),UPPER(TEXT(EDATE($D100,Milestones!$AA$118),"dd mmm yy"))&amp;" "&amp;Milestones!$AB$118&amp;" "&amp;Milestones!$AC$118&amp;";  ","")&amp;IF(AND(EDATE($D100,Milestones!$AA$119)&lt;=AsOfDate,IF($R100=0,$X100,IF(AND($T100&lt;&gt;"",EDATE($D100,Milestones!$AA$119)&gt;=$T100),$W100,IF(AND($S100&lt;&gt;"",EDATE($D100,Milestones!$AA$119)&gt;=$S100),$V100,$U100)))=Milestones!$AB$119),UPPER(TEXT(EDATE($D100,Milestones!$AA$119),"dd mmm yy"))&amp;" "&amp;Milestones!$AB$119&amp;" "&amp;Milestones!$AC$119&amp;";  ",""))</f>
        <v/>
      </c>
      <c r="N100" s="0" t="str">
        <f aca="false">IF(OR($A100="",$D100=""),"",IF(AND(EDATE($D100,Milestones!$AA$120)&lt;=AsOfDate,IF($R100=0,$X100,IF(AND($T100&lt;&gt;"",EDATE($D100,Milestones!$AA$120)&gt;=$T100),$W100,IF(AND($S100&lt;&gt;"",EDATE($D100,Milestones!$AA$120)&gt;=$S100),$V100,$U100)))=Milestones!$AB$120),UPPER(TEXT(EDATE($D100,Milestones!$AA$120),"dd mmm yy"))&amp;" "&amp;Milestones!$AB$120&amp;" "&amp;Milestones!$AC$120&amp;";  ","")&amp;IF(AND(EDATE($D100,Milestones!$AA$121)&lt;=AsOfDate,IF($R100=0,$X100,IF(AND($T100&lt;&gt;"",EDATE($D100,Milestones!$AA$121)&gt;=$T100),$W100,IF(AND($S100&lt;&gt;"",EDATE($D100,Milestones!$AA$121)&gt;=$S100),$V100,$U100)))=Milestones!$AB$121),UPPER(TEXT(EDATE($D100,Milestones!$AA$121),"dd mmm yy"))&amp;" "&amp;Milestones!$AB$121&amp;" "&amp;Milestones!$AC$121&amp;";  ","")&amp;IF(AND(EDATE($D100,Milestones!$AA$122)&lt;=AsOfDate,IF($R100=0,$X100,IF(AND($T100&lt;&gt;"",EDATE($D100,Milestones!$AA$122)&gt;=$T100),$W100,IF(AND($S100&lt;&gt;"",EDATE($D100,Milestones!$AA$122)&gt;=$S100),$V100,$U100)))=Milestones!$AB$122),UPPER(TEXT(EDATE($D100,Milestones!$AA$122),"dd mmm yy"))&amp;" "&amp;Milestones!$AB$122&amp;" "&amp;Milestones!$AC$122&amp;";  ","")&amp;IF(AND(EDATE($D100,Milestones!$AA$123)&lt;=AsOfDate,IF($R100=0,$X100,IF(AND($T100&lt;&gt;"",EDATE($D100,Milestones!$AA$123)&gt;=$T100),$W100,IF(AND($S100&lt;&gt;"",EDATE($D100,Milestones!$AA$123)&gt;=$S100),$V100,$U100)))=Milestones!$AB$123),UPPER(TEXT(EDATE($D100,Milestones!$AA$123),"dd mmm yy"))&amp;" "&amp;Milestones!$AB$123&amp;" "&amp;Milestones!$AC$123&amp;";  ","")&amp;IF(AND(EDATE($D100,Milestones!$AA$124)&lt;=AsOfDate,IF($R100=0,$X100,IF(AND($T100&lt;&gt;"",EDATE($D100,Milestones!$AA$124)&gt;=$T100),$W100,IF(AND($S100&lt;&gt;"",EDATE($D100,Milestones!$AA$124)&gt;=$S100),$V100,$U100)))=Milestones!$AB$124),UPPER(TEXT(EDATE($D100,Milestones!$AA$124),"dd mmm yy"))&amp;" "&amp;Milestones!$AB$124&amp;" "&amp;Milestones!$AC$124&amp;";  ","")&amp;IF(AND(EDATE($D100,Milestones!$AA$125)&lt;=AsOfDate,IF($R100=0,$X100,IF(AND($T100&lt;&gt;"",EDATE($D100,Milestones!$AA$125)&gt;=$T100),$W100,IF(AND($S100&lt;&gt;"",EDATE($D100,Milestones!$AA$125)&gt;=$S100),$V100,$U100)))=Milestones!$AB$125),UPPER(TEXT(EDATE($D100,Milestones!$AA$125),"dd mmm yy"))&amp;" "&amp;Milestones!$AB$125&amp;" "&amp;Milestones!$AC$125&amp;";  ","")&amp;IF(AND(EDATE($D100,Milestones!$AA$126)&lt;=AsOfDate,IF($R100=0,$X100,IF(AND($T100&lt;&gt;"",EDATE($D100,Milestones!$AA$126)&gt;=$T100),$W100,IF(AND($S100&lt;&gt;"",EDATE($D100,Milestones!$AA$126)&gt;=$S100),$V100,$U100)))=Milestones!$AB$126),UPPER(TEXT(EDATE($D100,Milestones!$AA$126),"dd mmm yy"))&amp;" "&amp;Milestones!$AB$126&amp;" "&amp;Milestones!$AC$126&amp;";  ","")&amp;IF(AND(EDATE($D100,Milestones!$AA$127)&lt;=AsOfDate,IF($R100=0,$X100,IF(AND($T100&lt;&gt;"",EDATE($D100,Milestones!$AA$127)&gt;=$T100),$W100,IF(AND($S100&lt;&gt;"",EDATE($D100,Milestones!$AA$127)&gt;=$S100),$V100,$U100)))=Milestones!$AB$127),UPPER(TEXT(EDATE($D100,Milestones!$AA$127),"dd mmm yy"))&amp;" "&amp;Milestones!$AB$127&amp;" "&amp;Milestones!$AC$127&amp;";  ","")&amp;IF(AND(EDATE($D100,Milestones!$AA$128)&lt;=AsOfDate,IF($R100=0,$X100,IF(AND($T100&lt;&gt;"",EDATE($D100,Milestones!$AA$128)&gt;=$T100),$W100,IF(AND($S100&lt;&gt;"",EDATE($D100,Milestones!$AA$128)&gt;=$S100),$V100,$U100)))=Milestones!$AB$128),UPPER(TEXT(EDATE($D100,Milestones!$AA$128),"dd mmm yy"))&amp;" "&amp;Milestones!$AB$128&amp;" "&amp;Milestones!$AC$128&amp;";  ","")&amp;IF(AND(EDATE($D100,Milestones!$AA$129)&lt;=AsOfDate,IF($R100=0,$X100,IF(AND($T100&lt;&gt;"",EDATE($D100,Milestones!$AA$129)&gt;=$T100),$W100,IF(AND($S100&lt;&gt;"",EDATE($D100,Milestones!$AA$129)&gt;=$S100),$V100,$U100)))=Milestones!$AB$129),UPPER(TEXT(EDATE($D100,Milestones!$AA$129),"dd mmm yy"))&amp;" "&amp;Milestones!$AB$129&amp;" "&amp;Milestones!$AC$129&amp;";  ","")&amp;IF(AND(EDATE($D100,Milestones!$AA$130)&lt;=AsOfDate,IF($R100=0,$X100,IF(AND($T100&lt;&gt;"",EDATE($D100,Milestones!$AA$130)&gt;=$T100),$W100,IF(AND($S100&lt;&gt;"",EDATE($D100,Milestones!$AA$130)&gt;=$S100),$V100,$U100)))=Milestones!$AB$130),UPPER(TEXT(EDATE($D100,Milestones!$AA$130),"dd mmm yy"))&amp;" "&amp;Milestones!$AB$130&amp;" "&amp;Milestones!$AC$130&amp;";  ","")&amp;IF(AND(EDATE($D100,Milestones!$AA$131)&lt;=AsOfDate,IF($R100=0,$X100,IF(AND($T100&lt;&gt;"",EDATE($D100,Milestones!$AA$131)&gt;=$T100),$W100,IF(AND($S100&lt;&gt;"",EDATE($D100,Milestones!$AA$131)&gt;=$S100),$V100,$U100)))=Milestones!$AB$131),UPPER(TEXT(EDATE($D100,Milestones!$AA$131),"dd mmm yy"))&amp;" "&amp;Milestones!$AB$131&amp;" "&amp;Milestones!$AC$131&amp;";  ","")&amp;IF(AND(EDATE($D100,Milestones!$AA$132)&lt;=AsOfDate,IF($R100=0,$X100,IF(AND($T100&lt;&gt;"",EDATE($D100,Milestones!$AA$132)&gt;=$T100),$W100,IF(AND($S100&lt;&gt;"",EDATE($D100,Milestones!$AA$132)&gt;=$S100),$V100,$U100)))=Milestones!$AB$132),UPPER(TEXT(EDATE($D100,Milestones!$AA$132),"dd mmm yy"))&amp;" "&amp;Milestones!$AB$132&amp;" "&amp;Milestones!$AC$132&amp;";  ","")&amp;IF(AND(EDATE($D100,Milestones!$AA$133)&lt;=AsOfDate,IF($R100=0,$X100,IF(AND($T100&lt;&gt;"",EDATE($D100,Milestones!$AA$133)&gt;=$T100),$W100,IF(AND($S100&lt;&gt;"",EDATE($D100,Milestones!$AA$133)&gt;=$S100),$V100,$U100)))=Milestones!$AB$133),UPPER(TEXT(EDATE($D100,Milestones!$AA$133),"dd mmm yy"))&amp;" "&amp;Milestones!$AB$133&amp;" "&amp;Milestones!$AC$133&amp;";  ","")&amp;IF(AND(EDATE($D100,Milestones!$AA$134)&lt;=AsOfDate,IF($R100=0,$X100,IF(AND($T100&lt;&gt;"",EDATE($D100,Milestones!$AA$134)&gt;=$T100),$W100,IF(AND($S100&lt;&gt;"",EDATE($D100,Milestones!$AA$134)&gt;=$S100),$V100,$U100)))=Milestones!$AB$134),UPPER(TEXT(EDATE($D100,Milestones!$AA$134),"dd mmm yy"))&amp;" "&amp;Milestones!$AB$134&amp;" "&amp;Milestones!$AC$134&amp;";  ","")&amp;IF(AND(EDATE($D100,Milestones!$AA$135)&lt;=AsOfDate,IF($R100=0,$X100,IF(AND($T100&lt;&gt;"",EDATE($D100,Milestones!$AA$135)&gt;=$T100),$W100,IF(AND($S100&lt;&gt;"",EDATE($D100,Milestones!$AA$135)&gt;=$S100),$V100,$U100)))=Milestones!$AB$135),UPPER(TEXT(EDATE($D100,Milestones!$AA$135),"dd mmm yy"))&amp;" "&amp;Milestones!$AB$135&amp;" "&amp;Milestones!$AC$135&amp;";  ","")&amp;IF(AND(EDATE($D100,Milestones!$AA$136)&lt;=AsOfDate,IF($R100=0,$X100,IF(AND($T100&lt;&gt;"",EDATE($D100,Milestones!$AA$136)&gt;=$T100),$W100,IF(AND($S100&lt;&gt;"",EDATE($D100,Milestones!$AA$136)&gt;=$S100),$V100,$U100)))=Milestones!$AB$136),UPPER(TEXT(EDATE($D100,Milestones!$AA$136),"dd mmm yy"))&amp;" "&amp;Milestones!$AB$136&amp;" "&amp;Milestones!$AC$136&amp;";  ","")&amp;IF(AND(EDATE($D100,Milestones!$AA$137)&lt;=AsOfDate,IF($R100=0,$X100,IF(AND($T100&lt;&gt;"",EDATE($D100,Milestones!$AA$137)&gt;=$T100),$W100,IF(AND($S100&lt;&gt;"",EDATE($D100,Milestones!$AA$137)&gt;=$S100),$V100,$U100)))=Milestones!$AB$137),UPPER(TEXT(EDATE($D100,Milestones!$AA$137),"dd mmm yy"))&amp;" "&amp;Milestones!$AB$137&amp;" "&amp;Milestones!$AC$137&amp;";  ","")&amp;IF(AND(EDATE($D100,Milestones!$AA$138)&lt;=AsOfDate,IF($R100=0,$X100,IF(AND($T100&lt;&gt;"",EDATE($D100,Milestones!$AA$138)&gt;=$T100),$W100,IF(AND($S100&lt;&gt;"",EDATE($D100,Milestones!$AA$138)&gt;=$S100),$V100,$U100)))=Milestones!$AB$138),UPPER(TEXT(EDATE($D100,Milestones!$AA$138),"dd mmm yy"))&amp;" "&amp;Milestones!$AB$138&amp;" "&amp;Milestones!$AC$138&amp;";  ","")&amp;IF(AND(EDATE($D100,Milestones!$AA$139)&lt;=AsOfDate,IF($R100=0,$X100,IF(AND($T100&lt;&gt;"",EDATE($D100,Milestones!$AA$139)&gt;=$T100),$W100,IF(AND($S100&lt;&gt;"",EDATE($D100,Milestones!$AA$139)&gt;=$S100),$V100,$U100)))=Milestones!$AB$139),UPPER(TEXT(EDATE($D100,Milestones!$AA$139),"dd mmm yy"))&amp;" "&amp;Milestones!$AB$139&amp;" "&amp;Milestones!$AC$139&amp;";  ",""))</f>
        <v/>
      </c>
      <c r="O100" s="0" t="str">
        <f aca="false">IF(OR($A100="",$D100=""),"",IF(AND(EDATE($D100,Milestones!$AA$140)&lt;=AsOfDate,IF($R100=0,$X100,IF(AND($T100&lt;&gt;"",EDATE($D100,Milestones!$AA$140)&gt;=$T100),$W100,IF(AND($S100&lt;&gt;"",EDATE($D100,Milestones!$AA$140)&gt;=$S100),$V100,$U100)))=Milestones!$AB$140),UPPER(TEXT(EDATE($D100,Milestones!$AA$140),"dd mmm yy"))&amp;" "&amp;Milestones!$AB$140&amp;" "&amp;Milestones!$AC$140&amp;";  ","")&amp;IF(AND(EDATE($D100,Milestones!$AA$141)&lt;=AsOfDate,IF($R100=0,$X100,IF(AND($T100&lt;&gt;"",EDATE($D100,Milestones!$AA$141)&gt;=$T100),$W100,IF(AND($S100&lt;&gt;"",EDATE($D100,Milestones!$AA$141)&gt;=$S100),$V100,$U100)))=Milestones!$AB$141),UPPER(TEXT(EDATE($D100,Milestones!$AA$141),"dd mmm yy"))&amp;" "&amp;Milestones!$AB$141&amp;" "&amp;Milestones!$AC$141&amp;";  ","")&amp;IF(AND(EDATE($D100,Milestones!$AA$142)&lt;=AsOfDate,IF($R100=0,$X100,IF(AND($T100&lt;&gt;"",EDATE($D100,Milestones!$AA$142)&gt;=$T100),$W100,IF(AND($S100&lt;&gt;"",EDATE($D100,Milestones!$AA$142)&gt;=$S100),$V100,$U100)))=Milestones!$AB$142),UPPER(TEXT(EDATE($D100,Milestones!$AA$142),"dd mmm yy"))&amp;" "&amp;Milestones!$AB$142&amp;" "&amp;Milestones!$AC$142&amp;";  ","")&amp;IF(AND(EDATE($D100,Milestones!$AA$143)&lt;=AsOfDate,IF($R100=0,$X100,IF(AND($T100&lt;&gt;"",EDATE($D100,Milestones!$AA$143)&gt;=$T100),$W100,IF(AND($S100&lt;&gt;"",EDATE($D100,Milestones!$AA$143)&gt;=$S100),$V100,$U100)))=Milestones!$AB$143),UPPER(TEXT(EDATE($D100,Milestones!$AA$143),"dd mmm yy"))&amp;" "&amp;Milestones!$AB$143&amp;" "&amp;Milestones!$AC$143&amp;";  ","")&amp;IF(AND(EDATE($D100,Milestones!$AA$144)&lt;=AsOfDate,IF($R100=0,$X100,IF(AND($T100&lt;&gt;"",EDATE($D100,Milestones!$AA$144)&gt;=$T100),$W100,IF(AND($S100&lt;&gt;"",EDATE($D100,Milestones!$AA$144)&gt;=$S100),$V100,$U100)))=Milestones!$AB$144),UPPER(TEXT(EDATE($D100,Milestones!$AA$144),"dd mmm yy"))&amp;" "&amp;Milestones!$AB$144&amp;" "&amp;Milestones!$AC$144&amp;";  ","")&amp;IF(AND(EDATE($D100,Milestones!$AA$145)&lt;=AsOfDate,IF($R100=0,$X100,IF(AND($T100&lt;&gt;"",EDATE($D100,Milestones!$AA$145)&gt;=$T100),$W100,IF(AND($S100&lt;&gt;"",EDATE($D100,Milestones!$AA$145)&gt;=$S100),$V100,$U100)))=Milestones!$AB$145),UPPER(TEXT(EDATE($D100,Milestones!$AA$145),"dd mmm yy"))&amp;" "&amp;Milestones!$AB$145&amp;" "&amp;Milestones!$AC$145&amp;";  ","")&amp;IF(AND(EDATE($D100,Milestones!$AA$146)&lt;=AsOfDate,IF($R100=0,$X100,IF(AND($T100&lt;&gt;"",EDATE($D100,Milestones!$AA$146)&gt;=$T100),$W100,IF(AND($S100&lt;&gt;"",EDATE($D100,Milestones!$AA$146)&gt;=$S100),$V100,$U100)))=Milestones!$AB$146),UPPER(TEXT(EDATE($D100,Milestones!$AA$146),"dd mmm yy"))&amp;" "&amp;Milestones!$AB$146&amp;" "&amp;Milestones!$AC$146&amp;";  ","")&amp;IF(AND(EDATE($D100,Milestones!$AA$147)&lt;=AsOfDate,IF($R100=0,$X100,IF(AND($T100&lt;&gt;"",EDATE($D100,Milestones!$AA$147)&gt;=$T100),$W100,IF(AND($S100&lt;&gt;"",EDATE($D100,Milestones!$AA$147)&gt;=$S100),$V100,$U100)))=Milestones!$AB$147),UPPER(TEXT(EDATE($D100,Milestones!$AA$147),"dd mmm yy"))&amp;" "&amp;Milestones!$AB$147&amp;" "&amp;Milestones!$AC$147&amp;";  ","")&amp;IF(AND(EDATE($D100,Milestones!$AA$148)&lt;=AsOfDate,IF($R100=0,$X100,IF(AND($T100&lt;&gt;"",EDATE($D100,Milestones!$AA$148)&gt;=$T100),$W100,IF(AND($S100&lt;&gt;"",EDATE($D100,Milestones!$AA$148)&gt;=$S100),$V100,$U100)))=Milestones!$AB$148),UPPER(TEXT(EDATE($D100,Milestones!$AA$148),"dd mmm yy"))&amp;" "&amp;Milestones!$AB$148&amp;" "&amp;Milestones!$AC$148&amp;";  ","")&amp;IF(AND(EDATE($D100,Milestones!$AA$149)&lt;=AsOfDate,IF($R100=0,$X100,IF(AND($T100&lt;&gt;"",EDATE($D100,Milestones!$AA$149)&gt;=$T100),$W100,IF(AND($S100&lt;&gt;"",EDATE($D100,Milestones!$AA$149)&gt;=$S100),$V100,$U100)))=Milestones!$AB$149),UPPER(TEXT(EDATE($D100,Milestones!$AA$149),"dd mmm yy"))&amp;" "&amp;Milestones!$AB$149&amp;" "&amp;Milestones!$AC$149&amp;";  ","")&amp;IF(AND(EDATE($D100,Milestones!$AA$150)&lt;=AsOfDate,IF($R100=0,$X100,IF(AND($T100&lt;&gt;"",EDATE($D100,Milestones!$AA$150)&gt;=$T100),$W100,IF(AND($S100&lt;&gt;"",EDATE($D100,Milestones!$AA$150)&gt;=$S100),$V100,$U100)))=Milestones!$AB$150),UPPER(TEXT(EDATE($D100,Milestones!$AA$150),"dd mmm yy"))&amp;" "&amp;Milestones!$AB$150&amp;" "&amp;Milestones!$AC$150&amp;";  ","")&amp;IF(AND(EDATE($D100,Milestones!$AA$151)&lt;=AsOfDate,IF($R100=0,$X100,IF(AND($T100&lt;&gt;"",EDATE($D100,Milestones!$AA$151)&gt;=$T100),$W100,IF(AND($S100&lt;&gt;"",EDATE($D100,Milestones!$AA$151)&gt;=$S100),$V100,$U100)))=Milestones!$AB$151),UPPER(TEXT(EDATE($D100,Milestones!$AA$151),"dd mmm yy"))&amp;" "&amp;Milestones!$AB$151&amp;" "&amp;Milestones!$AC$151&amp;";  ","")&amp;IF(AND(EDATE($D100,Milestones!$AA$152)&lt;=AsOfDate,IF($R100=0,$X100,IF(AND($T100&lt;&gt;"",EDATE($D100,Milestones!$AA$152)&gt;=$T100),$W100,IF(AND($S100&lt;&gt;"",EDATE($D100,Milestones!$AA$152)&gt;=$S100),$V100,$U100)))=Milestones!$AB$152),UPPER(TEXT(EDATE($D100,Milestones!$AA$152),"dd mmm yy"))&amp;" "&amp;Milestones!$AB$152&amp;" "&amp;Milestones!$AC$152&amp;";  ","")&amp;IF(AND(EDATE($D100,Milestones!$AA$153)&lt;=AsOfDate,IF($R100=0,$X100,IF(AND($T100&lt;&gt;"",EDATE($D100,Milestones!$AA$153)&gt;=$T100),$W100,IF(AND($S100&lt;&gt;"",EDATE($D100,Milestones!$AA$153)&gt;=$S100),$V100,$U100)))=Milestones!$AB$153),UPPER(TEXT(EDATE($D100,Milestones!$AA$153),"dd mmm yy"))&amp;" "&amp;Milestones!$AB$153&amp;" "&amp;Milestones!$AC$153&amp;";  ","")&amp;IF(AND(EDATE($D100,Milestones!$AA$154)&lt;=AsOfDate,IF($R100=0,$X100,IF(AND($T100&lt;&gt;"",EDATE($D100,Milestones!$AA$154)&gt;=$T100),$W100,IF(AND($S100&lt;&gt;"",EDATE($D100,Milestones!$AA$154)&gt;=$S100),$V100,$U100)))=Milestones!$AB$154),UPPER(TEXT(EDATE($D100,Milestones!$AA$154),"dd mmm yy"))&amp;" "&amp;Milestones!$AB$154&amp;" "&amp;Milestones!$AC$154&amp;";  ","")&amp;IF(AND(EDATE($D100,Milestones!$AA$155)&lt;=AsOfDate,IF($R100=0,$X100,IF(AND($T100&lt;&gt;"",EDATE($D100,Milestones!$AA$155)&gt;=$T100),$W100,IF(AND($S100&lt;&gt;"",EDATE($D100,Milestones!$AA$155)&gt;=$S100),$V100,$U100)))=Milestones!$AB$155),UPPER(TEXT(EDATE($D100,Milestones!$AA$155),"dd mmm yy"))&amp;" "&amp;Milestones!$AB$155&amp;" "&amp;Milestones!$AC$155&amp;";  ","")&amp;IF(AND(EDATE($D100,Milestones!$AA$156)&lt;=AsOfDate,IF($R100=0,$X100,IF(AND($T100&lt;&gt;"",EDATE($D100,Milestones!$AA$156)&gt;=$T100),$W100,IF(AND($S100&lt;&gt;"",EDATE($D100,Milestones!$AA$156)&gt;=$S100),$V100,$U100)))=Milestones!$AB$156),UPPER(TEXT(EDATE($D100,Milestones!$AA$156),"dd mmm yy"))&amp;" "&amp;Milestones!$AB$156&amp;" "&amp;Milestones!$AC$156&amp;";  ","")&amp;IF(AND(EDATE($D100,Milestones!$AA$157)&lt;=AsOfDate,IF($R100=0,$X100,IF(AND($T100&lt;&gt;"",EDATE($D100,Milestones!$AA$157)&gt;=$T100),$W100,IF(AND($S100&lt;&gt;"",EDATE($D100,Milestones!$AA$157)&gt;=$S100),$V100,$U100)))=Milestones!$AB$157),UPPER(TEXT(EDATE($D100,Milestones!$AA$157),"dd mmm yy"))&amp;" "&amp;Milestones!$AB$157&amp;" "&amp;Milestones!$AC$157&amp;";  ","")&amp;IF(AND(EDATE($D100,Milestones!$AA$158)&lt;=AsOfDate,IF($R100=0,$X100,IF(AND($T100&lt;&gt;"",EDATE($D100,Milestones!$AA$158)&gt;=$T100),$W100,IF(AND($S100&lt;&gt;"",EDATE($D100,Milestones!$AA$158)&gt;=$S100),$V100,$U100)))=Milestones!$AB$158),UPPER(TEXT(EDATE($D100,Milestones!$AA$158),"dd mmm yy"))&amp;" "&amp;Milestones!$AB$158&amp;" "&amp;Milestones!$AC$158&amp;";  ","")&amp;IF(AND(EDATE($D100,Milestones!$AA$159)&lt;=AsOfDate,IF($R100=0,$X100,IF(AND($T100&lt;&gt;"",EDATE($D100,Milestones!$AA$159)&gt;=$T100),$W100,IF(AND($S100&lt;&gt;"",EDATE($D100,Milestones!$AA$159)&gt;=$S100),$V100,$U100)))=Milestones!$AB$159),UPPER(TEXT(EDATE($D100,Milestones!$AA$159),"dd mmm yy"))&amp;" "&amp;Milestones!$AB$159&amp;" "&amp;Milestones!$AC$159&amp;";  ",""))</f>
        <v/>
      </c>
      <c r="P100" s="0" t="str">
        <f aca="false">IF(OR($A100="",$D100=""),"",IF(AND(EDATE($D100,Milestones!$AA$160)&lt;=AsOfDate,IF($R100=0,$X100,IF(AND($T100&lt;&gt;"",EDATE($D100,Milestones!$AA$160)&gt;=$T100),$W100,IF(AND($S100&lt;&gt;"",EDATE($D100,Milestones!$AA$160)&gt;=$S100),$V100,$U100)))=Milestones!$AB$160),UPPER(TEXT(EDATE($D100,Milestones!$AA$160),"dd mmm yy"))&amp;" "&amp;Milestones!$AB$160&amp;" "&amp;Milestones!$AC$160&amp;";  ","")&amp;IF(AND(EDATE($D100,Milestones!$AA$161)&lt;=AsOfDate,IF($R100=0,$X100,IF(AND($T100&lt;&gt;"",EDATE($D100,Milestones!$AA$161)&gt;=$T100),$W100,IF(AND($S100&lt;&gt;"",EDATE($D100,Milestones!$AA$161)&gt;=$S100),$V100,$U100)))=Milestones!$AB$161),UPPER(TEXT(EDATE($D100,Milestones!$AA$161),"dd mmm yy"))&amp;" "&amp;Milestones!$AB$161&amp;" "&amp;Milestones!$AC$161&amp;";  ","")&amp;IF(AND(EDATE($D100,Milestones!$AA$162)&lt;=AsOfDate,IF($R100=0,$X100,IF(AND($T100&lt;&gt;"",EDATE($D100,Milestones!$AA$162)&gt;=$T100),$W100,IF(AND($S100&lt;&gt;"",EDATE($D100,Milestones!$AA$162)&gt;=$S100),$V100,$U100)))=Milestones!$AB$162),UPPER(TEXT(EDATE($D100,Milestones!$AA$162),"dd mmm yy"))&amp;" "&amp;Milestones!$AB$162&amp;" "&amp;Milestones!$AC$162&amp;";  ","")&amp;IF(AND(EDATE($D100,Milestones!$AA$163)&lt;=AsOfDate,IF($R100=0,$X100,IF(AND($T100&lt;&gt;"",EDATE($D100,Milestones!$AA$163)&gt;=$T100),$W100,IF(AND($S100&lt;&gt;"",EDATE($D100,Milestones!$AA$163)&gt;=$S100),$V100,$U100)))=Milestones!$AB$163),UPPER(TEXT(EDATE($D100,Milestones!$AA$163),"dd mmm yy"))&amp;" "&amp;Milestones!$AB$163&amp;" "&amp;Milestones!$AC$163&amp;";  ","")&amp;IF(AND(EDATE($D100,Milestones!$AA$164)&lt;=AsOfDate,IF($R100=0,$X100,IF(AND($T100&lt;&gt;"",EDATE($D100,Milestones!$AA$164)&gt;=$T100),$W100,IF(AND($S100&lt;&gt;"",EDATE($D100,Milestones!$AA$164)&gt;=$S100),$V100,$U100)))=Milestones!$AB$164),UPPER(TEXT(EDATE($D100,Milestones!$AA$164),"dd mmm yy"))&amp;" "&amp;Milestones!$AB$164&amp;" "&amp;Milestones!$AC$164&amp;";  ","")&amp;IF(AND(EDATE($D100,Milestones!$AA$165)&lt;=AsOfDate,IF($R100=0,$X100,IF(AND($T100&lt;&gt;"",EDATE($D100,Milestones!$AA$165)&gt;=$T100),$W100,IF(AND($S100&lt;&gt;"",EDATE($D100,Milestones!$AA$165)&gt;=$S100),$V100,$U100)))=Milestones!$AB$165),UPPER(TEXT(EDATE($D100,Milestones!$AA$165),"dd mmm yy"))&amp;" "&amp;Milestones!$AB$165&amp;" "&amp;Milestones!$AC$165&amp;";  ","")&amp;IF(AND(EDATE($D100,Milestones!$AA$166)&lt;=AsOfDate,IF($R100=0,$X100,IF(AND($T100&lt;&gt;"",EDATE($D100,Milestones!$AA$166)&gt;=$T100),$W100,IF(AND($S100&lt;&gt;"",EDATE($D100,Milestones!$AA$166)&gt;=$S100),$V100,$U100)))=Milestones!$AB$166),UPPER(TEXT(EDATE($D100,Milestones!$AA$166),"dd mmm yy"))&amp;" "&amp;Milestones!$AB$166&amp;" "&amp;Milestones!$AC$166&amp;";  ","")&amp;IF(AND(EDATE($D100,Milestones!$AA$167)&lt;=AsOfDate,IF($R100=0,$X100,IF(AND($T100&lt;&gt;"",EDATE($D100,Milestones!$AA$167)&gt;=$T100),$W100,IF(AND($S100&lt;&gt;"",EDATE($D100,Milestones!$AA$167)&gt;=$S100),$V100,$U100)))=Milestones!$AB$167),UPPER(TEXT(EDATE($D100,Milestones!$AA$167),"dd mmm yy"))&amp;" "&amp;Milestones!$AB$167&amp;" "&amp;Milestones!$AC$167&amp;";  ","")&amp;IF(AND(EDATE($D100,Milestones!$AA$168)&lt;=AsOfDate,IF($R100=0,$X100,IF(AND($T100&lt;&gt;"",EDATE($D100,Milestones!$AA$168)&gt;=$T100),$W100,IF(AND($S100&lt;&gt;"",EDATE($D100,Milestones!$AA$168)&gt;=$S100),$V100,$U100)))=Milestones!$AB$168),UPPER(TEXT(EDATE($D100,Milestones!$AA$168),"dd mmm yy"))&amp;" "&amp;Milestones!$AB$168&amp;" "&amp;Milestones!$AC$168&amp;";  ","")&amp;IF(AND(EDATE($D100,Milestones!$AA$169)&lt;=AsOfDate,IF($R100=0,$X100,IF(AND($T100&lt;&gt;"",EDATE($D100,Milestones!$AA$169)&gt;=$T100),$W100,IF(AND($S100&lt;&gt;"",EDATE($D100,Milestones!$AA$169)&gt;=$S100),$V100,$U100)))=Milestones!$AB$169),UPPER(TEXT(EDATE($D100,Milestones!$AA$169),"dd mmm yy"))&amp;" "&amp;Milestones!$AB$169&amp;" "&amp;Milestones!$AC$169&amp;";  ","")&amp;IF(AND(EDATE($D100,Milestones!$AA$170)&lt;=AsOfDate,IF($R100=0,$X100,IF(AND($T100&lt;&gt;"",EDATE($D100,Milestones!$AA$170)&gt;=$T100),$W100,IF(AND($S100&lt;&gt;"",EDATE($D100,Milestones!$AA$170)&gt;=$S100),$V100,$U100)))=Milestones!$AB$170),UPPER(TEXT(EDATE($D100,Milestones!$AA$170),"dd mmm yy"))&amp;" "&amp;Milestones!$AB$170&amp;" "&amp;Milestones!$AC$170&amp;";  ","")&amp;IF(AND(EDATE($D100,Milestones!$AA$171)&lt;=AsOfDate,IF($R100=0,$X100,IF(AND($T100&lt;&gt;"",EDATE($D100,Milestones!$AA$171)&gt;=$T100),$W100,IF(AND($S100&lt;&gt;"",EDATE($D100,Milestones!$AA$171)&gt;=$S100),$V100,$U100)))=Milestones!$AB$171),UPPER(TEXT(EDATE($D100,Milestones!$AA$171),"dd mmm yy"))&amp;" "&amp;Milestones!$AB$171&amp;" "&amp;Milestones!$AC$171&amp;";  ","")&amp;IF(AND(EDATE($D100,Milestones!$AA$172)&lt;=AsOfDate,IF($R100=0,$X100,IF(AND($T100&lt;&gt;"",EDATE($D100,Milestones!$AA$172)&gt;=$T100),$W100,IF(AND($S100&lt;&gt;"",EDATE($D100,Milestones!$AA$172)&gt;=$S100),$V100,$U100)))=Milestones!$AB$172),UPPER(TEXT(EDATE($D100,Milestones!$AA$172),"dd mmm yy"))&amp;" "&amp;Milestones!$AB$172&amp;" "&amp;Milestones!$AC$172&amp;";  ","")&amp;IF(AND(EDATE($D100,Milestones!$AA$173)&lt;=AsOfDate,IF($R100=0,$X100,IF(AND($T100&lt;&gt;"",EDATE($D100,Milestones!$AA$173)&gt;=$T100),$W100,IF(AND($S100&lt;&gt;"",EDATE($D100,Milestones!$AA$173)&gt;=$S100),$V100,$U100)))=Milestones!$AB$173),UPPER(TEXT(EDATE($D100,Milestones!$AA$173),"dd mmm yy"))&amp;" "&amp;Milestones!$AB$173&amp;" "&amp;Milestones!$AC$173&amp;";  ","")&amp;IF(AND(EDATE($D100,Milestones!$AA$174)&lt;=AsOfDate,IF($R100=0,$X100,IF(AND($T100&lt;&gt;"",EDATE($D100,Milestones!$AA$174)&gt;=$T100),$W100,IF(AND($S100&lt;&gt;"",EDATE($D100,Milestones!$AA$174)&gt;=$S100),$V100,$U100)))=Milestones!$AB$174),UPPER(TEXT(EDATE($D100,Milestones!$AA$174),"dd mmm yy"))&amp;" "&amp;Milestones!$AB$174&amp;" "&amp;Milestones!$AC$174&amp;";  ","")&amp;IF(AND(EDATE($D100,Milestones!$AA$175)&lt;=AsOfDate,IF($R100=0,$X100,IF(AND($T100&lt;&gt;"",EDATE($D100,Milestones!$AA$175)&gt;=$T100),$W100,IF(AND($S100&lt;&gt;"",EDATE($D100,Milestones!$AA$175)&gt;=$S100),$V100,$U100)))=Milestones!$AB$175),UPPER(TEXT(EDATE($D100,Milestones!$AA$175),"dd mmm yy"))&amp;" "&amp;Milestones!$AB$175&amp;" "&amp;Milestones!$AC$175&amp;";  ","")&amp;IF(AND(EDATE($D100,Milestones!$AA$176)&lt;=AsOfDate,IF($R100=0,$X100,IF(AND($T100&lt;&gt;"",EDATE($D100,Milestones!$AA$176)&gt;=$T100),$W100,IF(AND($S100&lt;&gt;"",EDATE($D100,Milestones!$AA$176)&gt;=$S100),$V100,$U100)))=Milestones!$AB$176),UPPER(TEXT(EDATE($D100,Milestones!$AA$176),"dd mmm yy"))&amp;" "&amp;Milestones!$AB$176&amp;" "&amp;Milestones!$AC$176&amp;";  ","")&amp;IF(AND(EDATE($D100,Milestones!$AA$177)&lt;=AsOfDate,IF($R100=0,$X100,IF(AND($T100&lt;&gt;"",EDATE($D100,Milestones!$AA$177)&gt;=$T100),$W100,IF(AND($S100&lt;&gt;"",EDATE($D100,Milestones!$AA$177)&gt;=$S100),$V100,$U100)))=Milestones!$AB$177),UPPER(TEXT(EDATE($D100,Milestones!$AA$177),"dd mmm yy"))&amp;" "&amp;Milestones!$AB$177&amp;" "&amp;Milestones!$AC$177&amp;";  ","")&amp;IF(AND(EDATE($D100,Milestones!$AA$178)&lt;=AsOfDate,IF($R100=0,$X100,IF(AND($T100&lt;&gt;"",EDATE($D100,Milestones!$AA$178)&gt;=$T100),$W100,IF(AND($S100&lt;&gt;"",EDATE($D100,Milestones!$AA$178)&gt;=$S100),$V100,$U100)))=Milestones!$AB$178),UPPER(TEXT(EDATE($D100,Milestones!$AA$178),"dd mmm yy"))&amp;" "&amp;Milestones!$AB$178&amp;" "&amp;Milestones!$AC$178&amp;";  ","")&amp;IF(AND(EDATE($D100,Milestones!$AA$179)&lt;=AsOfDate,IF($R100=0,$X100,IF(AND($T100&lt;&gt;"",EDATE($D100,Milestones!$AA$179)&gt;=$T100),$W100,IF(AND($S100&lt;&gt;"",EDATE($D100,Milestones!$AA$179)&gt;=$S100),$V100,$U100)))=Milestones!$AB$179),UPPER(TEXT(EDATE($D100,Milestones!$AA$179),"dd mmm yy"))&amp;" "&amp;Milestones!$AB$179&amp;" "&amp;Milestones!$AC$179&amp;";  ",""))</f>
        <v/>
      </c>
      <c r="Q100" s="0" t="str">
        <f aca="false">IF(OR($A100="",$D100=""),"",IF(AND(EDATE($D100,Milestones!$AA$180)&lt;=AsOfDate,IF($R100=0,$X100,IF(AND($T100&lt;&gt;"",EDATE($D100,Milestones!$AA$180)&gt;=$T100),$W100,IF(AND($S100&lt;&gt;"",EDATE($D100,Milestones!$AA$180)&gt;=$S100),$V100,$U100)))=Milestones!$AB$180),UPPER(TEXT(EDATE($D100,Milestones!$AA$180),"dd mmm yy"))&amp;" "&amp;Milestones!$AB$180&amp;" "&amp;Milestones!$AC$180&amp;";  ","")&amp;IF(AND(EDATE($D100,Milestones!$AA$181)&lt;=AsOfDate,IF($R100=0,$X100,IF(AND($T100&lt;&gt;"",EDATE($D100,Milestones!$AA$181)&gt;=$T100),$W100,IF(AND($S100&lt;&gt;"",EDATE($D100,Milestones!$AA$181)&gt;=$S100),$V100,$U100)))=Milestones!$AB$181),UPPER(TEXT(EDATE($D100,Milestones!$AA$181),"dd mmm yy"))&amp;" "&amp;Milestones!$AB$181&amp;" "&amp;Milestones!$AC$181&amp;";  ","")&amp;IF(AND(EDATE($D100,Milestones!$AA$182)&lt;=AsOfDate,IF($R100=0,$X100,IF(AND($T100&lt;&gt;"",EDATE($D100,Milestones!$AA$182)&gt;=$T100),$W100,IF(AND($S100&lt;&gt;"",EDATE($D100,Milestones!$AA$182)&gt;=$S100),$V100,$U100)))=Milestones!$AB$182),UPPER(TEXT(EDATE($D100,Milestones!$AA$182),"dd mmm yy"))&amp;" "&amp;Milestones!$AB$182&amp;" "&amp;Milestones!$AC$182&amp;";  ","")&amp;IF(AND(EDATE($D100,Milestones!$AA$183)&lt;=AsOfDate,IF($R100=0,$X100,IF(AND($T100&lt;&gt;"",EDATE($D100,Milestones!$AA$183)&gt;=$T100),$W100,IF(AND($S100&lt;&gt;"",EDATE($D100,Milestones!$AA$183)&gt;=$S100),$V100,$U100)))=Milestones!$AB$183),UPPER(TEXT(EDATE($D100,Milestones!$AA$183),"dd mmm yy"))&amp;" "&amp;Milestones!$AB$183&amp;" "&amp;Milestones!$AC$183&amp;";  ","")&amp;IF(AND(EDATE($D100,Milestones!$AA$184)&lt;=AsOfDate,IF($R100=0,$X100,IF(AND($T100&lt;&gt;"",EDATE($D100,Milestones!$AA$184)&gt;=$T100),$W100,IF(AND($S100&lt;&gt;"",EDATE($D100,Milestones!$AA$184)&gt;=$S100),$V100,$U100)))=Milestones!$AB$184),UPPER(TEXT(EDATE($D100,Milestones!$AA$184),"dd mmm yy"))&amp;" "&amp;Milestones!$AB$184&amp;" "&amp;Milestones!$AC$184&amp;";  ","")&amp;IF(AND(EDATE($D100,Milestones!$AA$185)&lt;=AsOfDate,IF($R100=0,$X100,IF(AND($T100&lt;&gt;"",EDATE($D100,Milestones!$AA$185)&gt;=$T100),$W100,IF(AND($S100&lt;&gt;"",EDATE($D100,Milestones!$AA$185)&gt;=$S100),$V100,$U100)))=Milestones!$AB$185),UPPER(TEXT(EDATE($D100,Milestones!$AA$185),"dd mmm yy"))&amp;" "&amp;Milestones!$AB$185&amp;" "&amp;Milestones!$AC$185&amp;";  ","")&amp;IF(AND(EDATE($D100,Milestones!$AA$186)&lt;=AsOfDate,IF($R100=0,$X100,IF(AND($T100&lt;&gt;"",EDATE($D100,Milestones!$AA$186)&gt;=$T100),$W100,IF(AND($S100&lt;&gt;"",EDATE($D100,Milestones!$AA$186)&gt;=$S100),$V100,$U100)))=Milestones!$AB$186),UPPER(TEXT(EDATE($D100,Milestones!$AA$186),"dd mmm yy"))&amp;" "&amp;Milestones!$AB$186&amp;" "&amp;Milestones!$AC$186&amp;";  ","")&amp;IF(AND(EDATE($D100,Milestones!$AA$187)&lt;=AsOfDate,IF($R100=0,$X100,IF(AND($T100&lt;&gt;"",EDATE($D100,Milestones!$AA$187)&gt;=$T100),$W100,IF(AND($S100&lt;&gt;"",EDATE($D100,Milestones!$AA$187)&gt;=$S100),$V100,$U100)))=Milestones!$AB$187),UPPER(TEXT(EDATE($D100,Milestones!$AA$187),"dd mmm yy"))&amp;" "&amp;Milestones!$AB$187&amp;" "&amp;Milestones!$AC$187&amp;";  ","")&amp;IF(AND(EDATE($D100,Milestones!$AA$188)&lt;=AsOfDate,IF($R100=0,$X100,IF(AND($T100&lt;&gt;"",EDATE($D100,Milestones!$AA$188)&gt;=$T100),$W100,IF(AND($S100&lt;&gt;"",EDATE($D100,Milestones!$AA$188)&gt;=$S100),$V100,$U100)))=Milestones!$AB$188),UPPER(TEXT(EDATE($D100,Milestones!$AA$188),"dd mmm yy"))&amp;" "&amp;Milestones!$AB$188&amp;" "&amp;Milestones!$AC$188&amp;";  ","")&amp;IF(AND(EDATE($D100,Milestones!$AA$189)&lt;=AsOfDate,IF($R100=0,$X100,IF(AND($T100&lt;&gt;"",EDATE($D100,Milestones!$AA$189)&gt;=$T100),$W100,IF(AND($S100&lt;&gt;"",EDATE($D100,Milestones!$AA$189)&gt;=$S100),$V100,$U100)))=Milestones!$AB$189),UPPER(TEXT(EDATE($D100,Milestones!$AA$189),"dd mmm yy"))&amp;" "&amp;Milestones!$AB$189&amp;" "&amp;Milestones!$AC$189&amp;";  ","")&amp;IF(AND(EDATE($D100,Milestones!$AA$190)&lt;=AsOfDate,IF($R100=0,$X100,IF(AND($T100&lt;&gt;"",EDATE($D100,Milestones!$AA$190)&gt;=$T100),$W100,IF(AND($S100&lt;&gt;"",EDATE($D100,Milestones!$AA$190)&gt;=$S100),$V100,$U100)))=Milestones!$AB$190),UPPER(TEXT(EDATE($D100,Milestones!$AA$190),"dd mmm yy"))&amp;" "&amp;Milestones!$AB$190&amp;" "&amp;Milestones!$AC$190&amp;";  ","")&amp;IF(AND(EDATE($D100,Milestones!$AA$191)&lt;=AsOfDate,IF($R100=0,$X100,IF(AND($T100&lt;&gt;"",EDATE($D100,Milestones!$AA$191)&gt;=$T100),$W100,IF(AND($S100&lt;&gt;"",EDATE($D100,Milestones!$AA$191)&gt;=$S100),$V100,$U100)))=Milestones!$AB$191),UPPER(TEXT(EDATE($D100,Milestones!$AA$191),"dd mmm yy"))&amp;" "&amp;Milestones!$AB$191&amp;" "&amp;Milestones!$AC$191&amp;";  ","")&amp;IF(AND(EDATE($D100,Milestones!$AA$192)&lt;=AsOfDate,IF($R100=0,$X100,IF(AND($T100&lt;&gt;"",EDATE($D100,Milestones!$AA$192)&gt;=$T100),$W100,IF(AND($S100&lt;&gt;"",EDATE($D100,Milestones!$AA$192)&gt;=$S100),$V100,$U100)))=Milestones!$AB$192),UPPER(TEXT(EDATE($D100,Milestones!$AA$192),"dd mmm yy"))&amp;" "&amp;Milestones!$AB$192&amp;" "&amp;Milestones!$AC$192&amp;";  ","")&amp;IF(AND(EDATE($D100,Milestones!$AA$193)&lt;=AsOfDate,IF($R100=0,$X100,IF(AND($T100&lt;&gt;"",EDATE($D100,Milestones!$AA$193)&gt;=$T100),$W100,IF(AND($S100&lt;&gt;"",EDATE($D100,Milestones!$AA$193)&gt;=$S100),$V100,$U100)))=Milestones!$AB$193),UPPER(TEXT(EDATE($D100,Milestones!$AA$193),"dd mmm yy"))&amp;" "&amp;Milestones!$AB$193&amp;" "&amp;Milestones!$AC$193&amp;";  ","")&amp;IF(AND(EDATE($D100,Milestones!$AA$194)&lt;=AsOfDate,IF($R100=0,$X100,IF(AND($T100&lt;&gt;"",EDATE($D100,Milestones!$AA$194)&gt;=$T100),$W100,IF(AND($S100&lt;&gt;"",EDATE($D100,Milestones!$AA$194)&gt;=$S100),$V100,$U100)))=Milestones!$AB$194),UPPER(TEXT(EDATE($D100,Milestones!$AA$194),"dd mmm yy"))&amp;" "&amp;Milestones!$AB$194&amp;" "&amp;Milestones!$AC$194&amp;";  ","")&amp;IF(AND(EDATE($D100,Milestones!$AA$195)&lt;=AsOfDate,IF($R100=0,$X100,IF(AND($T100&lt;&gt;"",EDATE($D100,Milestones!$AA$195)&gt;=$T100),$W100,IF(AND($S100&lt;&gt;"",EDATE($D100,Milestones!$AA$195)&gt;=$S100),$V100,$U100)))=Milestones!$AB$195),UPPER(TEXT(EDATE($D100,Milestones!$AA$195),"dd mmm yy"))&amp;" "&amp;Milestones!$AB$195&amp;" "&amp;Milestones!$AC$195&amp;";  ","")&amp;IF(AND(EDATE($D100,Milestones!$AA$196)&lt;=AsOfDate,IF($R100=0,$X100,IF(AND($T100&lt;&gt;"",EDATE($D100,Milestones!$AA$196)&gt;=$T100),$W100,IF(AND($S100&lt;&gt;"",EDATE($D100,Milestones!$AA$196)&gt;=$S100),$V100,$U100)))=Milestones!$AB$196),UPPER(TEXT(EDATE($D100,Milestones!$AA$196),"dd mmm yy"))&amp;" "&amp;Milestones!$AB$196&amp;" "&amp;Milestones!$AC$196&amp;";  ","")&amp;IF(AND(EDATE($D100,Milestones!$AA$197)&lt;=AsOfDate,IF($R100=0,$X100,IF(AND($T100&lt;&gt;"",EDATE($D100,Milestones!$AA$197)&gt;=$T100),$W100,IF(AND($S100&lt;&gt;"",EDATE($D100,Milestones!$AA$197)&gt;=$S100),$V100,$U100)))=Milestones!$AB$197),UPPER(TEXT(EDATE($D100,Milestones!$AA$197),"dd mmm yy"))&amp;" "&amp;Milestones!$AB$197&amp;" "&amp;Milestones!$AC$197&amp;";  ","")&amp;IF(AND(EDATE($D100,Milestones!$AA$198)&lt;=AsOfDate,IF($R100=0,$X100,IF(AND($T100&lt;&gt;"",EDATE($D100,Milestones!$AA$198)&gt;=$T100),$W100,IF(AND($S100&lt;&gt;"",EDATE($D100,Milestones!$AA$198)&gt;=$S100),$V100,$U100)))=Milestones!$AB$198),UPPER(TEXT(EDATE($D100,Milestones!$AA$198),"dd mmm yy"))&amp;" "&amp;Milestones!$AB$198&amp;" "&amp;Milestones!$AC$198&amp;";  ","")&amp;IF(AND(EDATE($D100,Milestones!$AA$199)&lt;=AsOfDate,IF($R100=0,$X100,IF(AND($T100&lt;&gt;"",EDATE($D100,Milestones!$AA$199)&gt;=$T100),$W100,IF(AND($S100&lt;&gt;"",EDATE($D100,Milestones!$AA$199)&gt;=$S100),$V100,$U100)))=Milestones!$AB$199),UPPER(TEXT(EDATE($D100,Milestones!$AA$199),"dd mmm yy"))&amp;" "&amp;Milestones!$AB$199&amp;" "&amp;Milestones!$AC$199&amp;";  ",""))</f>
        <v/>
      </c>
      <c r="R100" s="0" t="str">
        <f aca="false">IF(Staff!$A100="","",Staff!$AI100)</f>
        <v/>
      </c>
      <c r="S100" s="0" t="str">
        <f aca="false">IF(Staff!$A100="","",Staff!$AK100)</f>
        <v/>
      </c>
      <c r="T100" s="0" t="str">
        <f aca="false">IF(Staff!$A100="","",Staff!$AL100)</f>
        <v/>
      </c>
      <c r="U100" s="0" t="str">
        <f aca="false">IF(Staff!$A100="","",Staff!$AP100)</f>
        <v/>
      </c>
      <c r="V100" s="0" t="str">
        <f aca="false">IF(Staff!$A100="","",Staff!$AQ100)</f>
        <v/>
      </c>
      <c r="W100" s="0" t="str">
        <f aca="false">IF(Staff!$A100="","",Staff!$AR100)</f>
        <v/>
      </c>
      <c r="X100" s="0" t="str">
        <f aca="false">IF(Staff!$A100="","",Staff!$AS100)</f>
        <v/>
      </c>
    </row>
    <row r="101" customFormat="false" ht="15" hidden="false" customHeight="false" outlineLevel="0" collapsed="false">
      <c r="A101" s="19" t="str">
        <f aca="false">IF(Staff!$A101="","",Staff!$A101)</f>
        <v/>
      </c>
      <c r="B101" s="19" t="str">
        <f aca="false">IF(Staff!$A101="","",Staff!$B101)</f>
        <v/>
      </c>
      <c r="C101" s="19" t="str">
        <f aca="false">IF(Staff!$A101="","",Staff!$C101)</f>
        <v/>
      </c>
      <c r="D101" s="17" t="str">
        <f aca="false">IF(Staff!$A101="","",Staff!$AH101)</f>
        <v/>
      </c>
      <c r="E101" s="19" t="str">
        <f aca="false">IF(Staff!$A101="","",Staff!$O101)</f>
        <v/>
      </c>
      <c r="F101" s="19" t="str">
        <f aca="false">IF(E101="","",E101*HoursPerDay)</f>
        <v/>
      </c>
      <c r="G101" s="19" t="str">
        <f aca="false">IF(Staff!$A101="","",Staff!$AE101)</f>
        <v/>
      </c>
      <c r="H101" s="32" t="str">
        <f aca="false">IF($A101="","",I101&amp;J101&amp;K101&amp;L101&amp;M101&amp;N101&amp;O101&amp;P101&amp;Q101)</f>
        <v/>
      </c>
      <c r="I101" s="0" t="str">
        <f aca="false">IF(OR($A101="",$D101=""),"",IF(AND(EDATE($D101,Milestones!$AA$20)&lt;=AsOfDate,IF($R101=0,$X101,IF(AND($T101&lt;&gt;"",EDATE($D101,Milestones!$AA$20)&gt;=$T101),$W101,IF(AND($S101&lt;&gt;"",EDATE($D101,Milestones!$AA$20)&gt;=$S101),$V101,$U101)))=Milestones!$AB$20),UPPER(TEXT(EDATE($D101,Milestones!$AA$20),"dd mmm yy"))&amp;" "&amp;Milestones!$AB$20&amp;" "&amp;Milestones!$AC$20&amp;";  ","")&amp;IF(AND(EDATE($D101,Milestones!$AA$21)&lt;=AsOfDate,IF($R101=0,$X101,IF(AND($T101&lt;&gt;"",EDATE($D101,Milestones!$AA$21)&gt;=$T101),$W101,IF(AND($S101&lt;&gt;"",EDATE($D101,Milestones!$AA$21)&gt;=$S101),$V101,$U101)))=Milestones!$AB$21),UPPER(TEXT(EDATE($D101,Milestones!$AA$21),"dd mmm yy"))&amp;" "&amp;Milestones!$AB$21&amp;" "&amp;Milestones!$AC$21&amp;";  ","")&amp;IF(AND(EDATE($D101,Milestones!$AA$22)&lt;=AsOfDate,IF($R101=0,$X101,IF(AND($T101&lt;&gt;"",EDATE($D101,Milestones!$AA$22)&gt;=$T101),$W101,IF(AND($S101&lt;&gt;"",EDATE($D101,Milestones!$AA$22)&gt;=$S101),$V101,$U101)))=Milestones!$AB$22),UPPER(TEXT(EDATE($D101,Milestones!$AA$22),"dd mmm yy"))&amp;" "&amp;Milestones!$AB$22&amp;" "&amp;Milestones!$AC$22&amp;";  ","")&amp;IF(AND(EDATE($D101,Milestones!$AA$23)&lt;=AsOfDate,IF($R101=0,$X101,IF(AND($T101&lt;&gt;"",EDATE($D101,Milestones!$AA$23)&gt;=$T101),$W101,IF(AND($S101&lt;&gt;"",EDATE($D101,Milestones!$AA$23)&gt;=$S101),$V101,$U101)))=Milestones!$AB$23),UPPER(TEXT(EDATE($D101,Milestones!$AA$23),"dd mmm yy"))&amp;" "&amp;Milestones!$AB$23&amp;" "&amp;Milestones!$AC$23&amp;";  ","")&amp;IF(AND(EDATE($D101,Milestones!$AA$24)&lt;=AsOfDate,IF($R101=0,$X101,IF(AND($T101&lt;&gt;"",EDATE($D101,Milestones!$AA$24)&gt;=$T101),$W101,IF(AND($S101&lt;&gt;"",EDATE($D101,Milestones!$AA$24)&gt;=$S101),$V101,$U101)))=Milestones!$AB$24),UPPER(TEXT(EDATE($D101,Milestones!$AA$24),"dd mmm yy"))&amp;" "&amp;Milestones!$AB$24&amp;" "&amp;Milestones!$AC$24&amp;";  ","")&amp;IF(AND(EDATE($D101,Milestones!$AA$25)&lt;=AsOfDate,IF($R101=0,$X101,IF(AND($T101&lt;&gt;"",EDATE($D101,Milestones!$AA$25)&gt;=$T101),$W101,IF(AND($S101&lt;&gt;"",EDATE($D101,Milestones!$AA$25)&gt;=$S101),$V101,$U101)))=Milestones!$AB$25),UPPER(TEXT(EDATE($D101,Milestones!$AA$25),"dd mmm yy"))&amp;" "&amp;Milestones!$AB$25&amp;" "&amp;Milestones!$AC$25&amp;";  ","")&amp;IF(AND(EDATE($D101,Milestones!$AA$26)&lt;=AsOfDate,IF($R101=0,$X101,IF(AND($T101&lt;&gt;"",EDATE($D101,Milestones!$AA$26)&gt;=$T101),$W101,IF(AND($S101&lt;&gt;"",EDATE($D101,Milestones!$AA$26)&gt;=$S101),$V101,$U101)))=Milestones!$AB$26),UPPER(TEXT(EDATE($D101,Milestones!$AA$26),"dd mmm yy"))&amp;" "&amp;Milestones!$AB$26&amp;" "&amp;Milestones!$AC$26&amp;";  ","")&amp;IF(AND(EDATE($D101,Milestones!$AA$27)&lt;=AsOfDate,IF($R101=0,$X101,IF(AND($T101&lt;&gt;"",EDATE($D101,Milestones!$AA$27)&gt;=$T101),$W101,IF(AND($S101&lt;&gt;"",EDATE($D101,Milestones!$AA$27)&gt;=$S101),$V101,$U101)))=Milestones!$AB$27),UPPER(TEXT(EDATE($D101,Milestones!$AA$27),"dd mmm yy"))&amp;" "&amp;Milestones!$AB$27&amp;" "&amp;Milestones!$AC$27&amp;";  ","")&amp;IF(AND(EDATE($D101,Milestones!$AA$28)&lt;=AsOfDate,IF($R101=0,$X101,IF(AND($T101&lt;&gt;"",EDATE($D101,Milestones!$AA$28)&gt;=$T101),$W101,IF(AND($S101&lt;&gt;"",EDATE($D101,Milestones!$AA$28)&gt;=$S101),$V101,$U101)))=Milestones!$AB$28),UPPER(TEXT(EDATE($D101,Milestones!$AA$28),"dd mmm yy"))&amp;" "&amp;Milestones!$AB$28&amp;" "&amp;Milestones!$AC$28&amp;";  ","")&amp;IF(AND(EDATE($D101,Milestones!$AA$29)&lt;=AsOfDate,IF($R101=0,$X101,IF(AND($T101&lt;&gt;"",EDATE($D101,Milestones!$AA$29)&gt;=$T101),$W101,IF(AND($S101&lt;&gt;"",EDATE($D101,Milestones!$AA$29)&gt;=$S101),$V101,$U101)))=Milestones!$AB$29),UPPER(TEXT(EDATE($D101,Milestones!$AA$29),"dd mmm yy"))&amp;" "&amp;Milestones!$AB$29&amp;" "&amp;Milestones!$AC$29&amp;";  ","")&amp;IF(AND(EDATE($D101,Milestones!$AA$30)&lt;=AsOfDate,IF($R101=0,$X101,IF(AND($T101&lt;&gt;"",EDATE($D101,Milestones!$AA$30)&gt;=$T101),$W101,IF(AND($S101&lt;&gt;"",EDATE($D101,Milestones!$AA$30)&gt;=$S101),$V101,$U101)))=Milestones!$AB$30),UPPER(TEXT(EDATE($D101,Milestones!$AA$30),"dd mmm yy"))&amp;" "&amp;Milestones!$AB$30&amp;" "&amp;Milestones!$AC$30&amp;";  ","")&amp;IF(AND(EDATE($D101,Milestones!$AA$31)&lt;=AsOfDate,IF($R101=0,$X101,IF(AND($T101&lt;&gt;"",EDATE($D101,Milestones!$AA$31)&gt;=$T101),$W101,IF(AND($S101&lt;&gt;"",EDATE($D101,Milestones!$AA$31)&gt;=$S101),$V101,$U101)))=Milestones!$AB$31),UPPER(TEXT(EDATE($D101,Milestones!$AA$31),"dd mmm yy"))&amp;" "&amp;Milestones!$AB$31&amp;" "&amp;Milestones!$AC$31&amp;";  ","")&amp;IF(AND(EDATE($D101,Milestones!$AA$32)&lt;=AsOfDate,IF($R101=0,$X101,IF(AND($T101&lt;&gt;"",EDATE($D101,Milestones!$AA$32)&gt;=$T101),$W101,IF(AND($S101&lt;&gt;"",EDATE($D101,Milestones!$AA$32)&gt;=$S101),$V101,$U101)))=Milestones!$AB$32),UPPER(TEXT(EDATE($D101,Milestones!$AA$32),"dd mmm yy"))&amp;" "&amp;Milestones!$AB$32&amp;" "&amp;Milestones!$AC$32&amp;";  ","")&amp;IF(AND(EDATE($D101,Milestones!$AA$33)&lt;=AsOfDate,IF($R101=0,$X101,IF(AND($T101&lt;&gt;"",EDATE($D101,Milestones!$AA$33)&gt;=$T101),$W101,IF(AND($S101&lt;&gt;"",EDATE($D101,Milestones!$AA$33)&gt;=$S101),$V101,$U101)))=Milestones!$AB$33),UPPER(TEXT(EDATE($D101,Milestones!$AA$33),"dd mmm yy"))&amp;" "&amp;Milestones!$AB$33&amp;" "&amp;Milestones!$AC$33&amp;";  ","")&amp;IF(AND(EDATE($D101,Milestones!$AA$34)&lt;=AsOfDate,IF($R101=0,$X101,IF(AND($T101&lt;&gt;"",EDATE($D101,Milestones!$AA$34)&gt;=$T101),$W101,IF(AND($S101&lt;&gt;"",EDATE($D101,Milestones!$AA$34)&gt;=$S101),$V101,$U101)))=Milestones!$AB$34),UPPER(TEXT(EDATE($D101,Milestones!$AA$34),"dd mmm yy"))&amp;" "&amp;Milestones!$AB$34&amp;" "&amp;Milestones!$AC$34&amp;";  ","")&amp;IF(AND(EDATE($D101,Milestones!$AA$35)&lt;=AsOfDate,IF($R101=0,$X101,IF(AND($T101&lt;&gt;"",EDATE($D101,Milestones!$AA$35)&gt;=$T101),$W101,IF(AND($S101&lt;&gt;"",EDATE($D101,Milestones!$AA$35)&gt;=$S101),$V101,$U101)))=Milestones!$AB$35),UPPER(TEXT(EDATE($D101,Milestones!$AA$35),"dd mmm yy"))&amp;" "&amp;Milestones!$AB$35&amp;" "&amp;Milestones!$AC$35&amp;";  ","")&amp;IF(AND(EDATE($D101,Milestones!$AA$36)&lt;=AsOfDate,IF($R101=0,$X101,IF(AND($T101&lt;&gt;"",EDATE($D101,Milestones!$AA$36)&gt;=$T101),$W101,IF(AND($S101&lt;&gt;"",EDATE($D101,Milestones!$AA$36)&gt;=$S101),$V101,$U101)))=Milestones!$AB$36),UPPER(TEXT(EDATE($D101,Milestones!$AA$36),"dd mmm yy"))&amp;" "&amp;Milestones!$AB$36&amp;" "&amp;Milestones!$AC$36&amp;";  ","")&amp;IF(AND(EDATE($D101,Milestones!$AA$37)&lt;=AsOfDate,IF($R101=0,$X101,IF(AND($T101&lt;&gt;"",EDATE($D101,Milestones!$AA$37)&gt;=$T101),$W101,IF(AND($S101&lt;&gt;"",EDATE($D101,Milestones!$AA$37)&gt;=$S101),$V101,$U101)))=Milestones!$AB$37),UPPER(TEXT(EDATE($D101,Milestones!$AA$37),"dd mmm yy"))&amp;" "&amp;Milestones!$AB$37&amp;" "&amp;Milestones!$AC$37&amp;";  ","")&amp;IF(AND(EDATE($D101,Milestones!$AA$38)&lt;=AsOfDate,IF($R101=0,$X101,IF(AND($T101&lt;&gt;"",EDATE($D101,Milestones!$AA$38)&gt;=$T101),$W101,IF(AND($S101&lt;&gt;"",EDATE($D101,Milestones!$AA$38)&gt;=$S101),$V101,$U101)))=Milestones!$AB$38),UPPER(TEXT(EDATE($D101,Milestones!$AA$38),"dd mmm yy"))&amp;" "&amp;Milestones!$AB$38&amp;" "&amp;Milestones!$AC$38&amp;";  ","")&amp;IF(AND(EDATE($D101,Milestones!$AA$39)&lt;=AsOfDate,IF($R101=0,$X101,IF(AND($T101&lt;&gt;"",EDATE($D101,Milestones!$AA$39)&gt;=$T101),$W101,IF(AND($S101&lt;&gt;"",EDATE($D101,Milestones!$AA$39)&gt;=$S101),$V101,$U101)))=Milestones!$AB$39),UPPER(TEXT(EDATE($D101,Milestones!$AA$39),"dd mmm yy"))&amp;" "&amp;Milestones!$AB$39&amp;" "&amp;Milestones!$AC$39&amp;";  ",""))</f>
        <v/>
      </c>
      <c r="J101" s="0" t="str">
        <f aca="false">IF(OR($A101="",$D101=""),"",IF(AND(EDATE($D101,Milestones!$AA$40)&lt;=AsOfDate,IF($R101=0,$X101,IF(AND($T101&lt;&gt;"",EDATE($D101,Milestones!$AA$40)&gt;=$T101),$W101,IF(AND($S101&lt;&gt;"",EDATE($D101,Milestones!$AA$40)&gt;=$S101),$V101,$U101)))=Milestones!$AB$40),UPPER(TEXT(EDATE($D101,Milestones!$AA$40),"dd mmm yy"))&amp;" "&amp;Milestones!$AB$40&amp;" "&amp;Milestones!$AC$40&amp;";  ","")&amp;IF(AND(EDATE($D101,Milestones!$AA$41)&lt;=AsOfDate,IF($R101=0,$X101,IF(AND($T101&lt;&gt;"",EDATE($D101,Milestones!$AA$41)&gt;=$T101),$W101,IF(AND($S101&lt;&gt;"",EDATE($D101,Milestones!$AA$41)&gt;=$S101),$V101,$U101)))=Milestones!$AB$41),UPPER(TEXT(EDATE($D101,Milestones!$AA$41),"dd mmm yy"))&amp;" "&amp;Milestones!$AB$41&amp;" "&amp;Milestones!$AC$41&amp;";  ","")&amp;IF(AND(EDATE($D101,Milestones!$AA$42)&lt;=AsOfDate,IF($R101=0,$X101,IF(AND($T101&lt;&gt;"",EDATE($D101,Milestones!$AA$42)&gt;=$T101),$W101,IF(AND($S101&lt;&gt;"",EDATE($D101,Milestones!$AA$42)&gt;=$S101),$V101,$U101)))=Milestones!$AB$42),UPPER(TEXT(EDATE($D101,Milestones!$AA$42),"dd mmm yy"))&amp;" "&amp;Milestones!$AB$42&amp;" "&amp;Milestones!$AC$42&amp;";  ","")&amp;IF(AND(EDATE($D101,Milestones!$AA$43)&lt;=AsOfDate,IF($R101=0,$X101,IF(AND($T101&lt;&gt;"",EDATE($D101,Milestones!$AA$43)&gt;=$T101),$W101,IF(AND($S101&lt;&gt;"",EDATE($D101,Milestones!$AA$43)&gt;=$S101),$V101,$U101)))=Milestones!$AB$43),UPPER(TEXT(EDATE($D101,Milestones!$AA$43),"dd mmm yy"))&amp;" "&amp;Milestones!$AB$43&amp;" "&amp;Milestones!$AC$43&amp;";  ","")&amp;IF(AND(EDATE($D101,Milestones!$AA$44)&lt;=AsOfDate,IF($R101=0,$X101,IF(AND($T101&lt;&gt;"",EDATE($D101,Milestones!$AA$44)&gt;=$T101),$W101,IF(AND($S101&lt;&gt;"",EDATE($D101,Milestones!$AA$44)&gt;=$S101),$V101,$U101)))=Milestones!$AB$44),UPPER(TEXT(EDATE($D101,Milestones!$AA$44),"dd mmm yy"))&amp;" "&amp;Milestones!$AB$44&amp;" "&amp;Milestones!$AC$44&amp;";  ","")&amp;IF(AND(EDATE($D101,Milestones!$AA$45)&lt;=AsOfDate,IF($R101=0,$X101,IF(AND($T101&lt;&gt;"",EDATE($D101,Milestones!$AA$45)&gt;=$T101),$W101,IF(AND($S101&lt;&gt;"",EDATE($D101,Milestones!$AA$45)&gt;=$S101),$V101,$U101)))=Milestones!$AB$45),UPPER(TEXT(EDATE($D101,Milestones!$AA$45),"dd mmm yy"))&amp;" "&amp;Milestones!$AB$45&amp;" "&amp;Milestones!$AC$45&amp;";  ","")&amp;IF(AND(EDATE($D101,Milestones!$AA$46)&lt;=AsOfDate,IF($R101=0,$X101,IF(AND($T101&lt;&gt;"",EDATE($D101,Milestones!$AA$46)&gt;=$T101),$W101,IF(AND($S101&lt;&gt;"",EDATE($D101,Milestones!$AA$46)&gt;=$S101),$V101,$U101)))=Milestones!$AB$46),UPPER(TEXT(EDATE($D101,Milestones!$AA$46),"dd mmm yy"))&amp;" "&amp;Milestones!$AB$46&amp;" "&amp;Milestones!$AC$46&amp;";  ","")&amp;IF(AND(EDATE($D101,Milestones!$AA$47)&lt;=AsOfDate,IF($R101=0,$X101,IF(AND($T101&lt;&gt;"",EDATE($D101,Milestones!$AA$47)&gt;=$T101),$W101,IF(AND($S101&lt;&gt;"",EDATE($D101,Milestones!$AA$47)&gt;=$S101),$V101,$U101)))=Milestones!$AB$47),UPPER(TEXT(EDATE($D101,Milestones!$AA$47),"dd mmm yy"))&amp;" "&amp;Milestones!$AB$47&amp;" "&amp;Milestones!$AC$47&amp;";  ","")&amp;IF(AND(EDATE($D101,Milestones!$AA$48)&lt;=AsOfDate,IF($R101=0,$X101,IF(AND($T101&lt;&gt;"",EDATE($D101,Milestones!$AA$48)&gt;=$T101),$W101,IF(AND($S101&lt;&gt;"",EDATE($D101,Milestones!$AA$48)&gt;=$S101),$V101,$U101)))=Milestones!$AB$48),UPPER(TEXT(EDATE($D101,Milestones!$AA$48),"dd mmm yy"))&amp;" "&amp;Milestones!$AB$48&amp;" "&amp;Milestones!$AC$48&amp;";  ","")&amp;IF(AND(EDATE($D101,Milestones!$AA$49)&lt;=AsOfDate,IF($R101=0,$X101,IF(AND($T101&lt;&gt;"",EDATE($D101,Milestones!$AA$49)&gt;=$T101),$W101,IF(AND($S101&lt;&gt;"",EDATE($D101,Milestones!$AA$49)&gt;=$S101),$V101,$U101)))=Milestones!$AB$49),UPPER(TEXT(EDATE($D101,Milestones!$AA$49),"dd mmm yy"))&amp;" "&amp;Milestones!$AB$49&amp;" "&amp;Milestones!$AC$49&amp;";  ","")&amp;IF(AND(EDATE($D101,Milestones!$AA$50)&lt;=AsOfDate,IF($R101=0,$X101,IF(AND($T101&lt;&gt;"",EDATE($D101,Milestones!$AA$50)&gt;=$T101),$W101,IF(AND($S101&lt;&gt;"",EDATE($D101,Milestones!$AA$50)&gt;=$S101),$V101,$U101)))=Milestones!$AB$50),UPPER(TEXT(EDATE($D101,Milestones!$AA$50),"dd mmm yy"))&amp;" "&amp;Milestones!$AB$50&amp;" "&amp;Milestones!$AC$50&amp;";  ","")&amp;IF(AND(EDATE($D101,Milestones!$AA$51)&lt;=AsOfDate,IF($R101=0,$X101,IF(AND($T101&lt;&gt;"",EDATE($D101,Milestones!$AA$51)&gt;=$T101),$W101,IF(AND($S101&lt;&gt;"",EDATE($D101,Milestones!$AA$51)&gt;=$S101),$V101,$U101)))=Milestones!$AB$51),UPPER(TEXT(EDATE($D101,Milestones!$AA$51),"dd mmm yy"))&amp;" "&amp;Milestones!$AB$51&amp;" "&amp;Milestones!$AC$51&amp;";  ","")&amp;IF(AND(EDATE($D101,Milestones!$AA$52)&lt;=AsOfDate,IF($R101=0,$X101,IF(AND($T101&lt;&gt;"",EDATE($D101,Milestones!$AA$52)&gt;=$T101),$W101,IF(AND($S101&lt;&gt;"",EDATE($D101,Milestones!$AA$52)&gt;=$S101),$V101,$U101)))=Milestones!$AB$52),UPPER(TEXT(EDATE($D101,Milestones!$AA$52),"dd mmm yy"))&amp;" "&amp;Milestones!$AB$52&amp;" "&amp;Milestones!$AC$52&amp;";  ","")&amp;IF(AND(EDATE($D101,Milestones!$AA$53)&lt;=AsOfDate,IF($R101=0,$X101,IF(AND($T101&lt;&gt;"",EDATE($D101,Milestones!$AA$53)&gt;=$T101),$W101,IF(AND($S101&lt;&gt;"",EDATE($D101,Milestones!$AA$53)&gt;=$S101),$V101,$U101)))=Milestones!$AB$53),UPPER(TEXT(EDATE($D101,Milestones!$AA$53),"dd mmm yy"))&amp;" "&amp;Milestones!$AB$53&amp;" "&amp;Milestones!$AC$53&amp;";  ","")&amp;IF(AND(EDATE($D101,Milestones!$AA$54)&lt;=AsOfDate,IF($R101=0,$X101,IF(AND($T101&lt;&gt;"",EDATE($D101,Milestones!$AA$54)&gt;=$T101),$W101,IF(AND($S101&lt;&gt;"",EDATE($D101,Milestones!$AA$54)&gt;=$S101),$V101,$U101)))=Milestones!$AB$54),UPPER(TEXT(EDATE($D101,Milestones!$AA$54),"dd mmm yy"))&amp;" "&amp;Milestones!$AB$54&amp;" "&amp;Milestones!$AC$54&amp;";  ","")&amp;IF(AND(EDATE($D101,Milestones!$AA$55)&lt;=AsOfDate,IF($R101=0,$X101,IF(AND($T101&lt;&gt;"",EDATE($D101,Milestones!$AA$55)&gt;=$T101),$W101,IF(AND($S101&lt;&gt;"",EDATE($D101,Milestones!$AA$55)&gt;=$S101),$V101,$U101)))=Milestones!$AB$55),UPPER(TEXT(EDATE($D101,Milestones!$AA$55),"dd mmm yy"))&amp;" "&amp;Milestones!$AB$55&amp;" "&amp;Milestones!$AC$55&amp;";  ","")&amp;IF(AND(EDATE($D101,Milestones!$AA$56)&lt;=AsOfDate,IF($R101=0,$X101,IF(AND($T101&lt;&gt;"",EDATE($D101,Milestones!$AA$56)&gt;=$T101),$W101,IF(AND($S101&lt;&gt;"",EDATE($D101,Milestones!$AA$56)&gt;=$S101),$V101,$U101)))=Milestones!$AB$56),UPPER(TEXT(EDATE($D101,Milestones!$AA$56),"dd mmm yy"))&amp;" "&amp;Milestones!$AB$56&amp;" "&amp;Milestones!$AC$56&amp;";  ","")&amp;IF(AND(EDATE($D101,Milestones!$AA$57)&lt;=AsOfDate,IF($R101=0,$X101,IF(AND($T101&lt;&gt;"",EDATE($D101,Milestones!$AA$57)&gt;=$T101),$W101,IF(AND($S101&lt;&gt;"",EDATE($D101,Milestones!$AA$57)&gt;=$S101),$V101,$U101)))=Milestones!$AB$57),UPPER(TEXT(EDATE($D101,Milestones!$AA$57),"dd mmm yy"))&amp;" "&amp;Milestones!$AB$57&amp;" "&amp;Milestones!$AC$57&amp;";  ","")&amp;IF(AND(EDATE($D101,Milestones!$AA$58)&lt;=AsOfDate,IF($R101=0,$X101,IF(AND($T101&lt;&gt;"",EDATE($D101,Milestones!$AA$58)&gt;=$T101),$W101,IF(AND($S101&lt;&gt;"",EDATE($D101,Milestones!$AA$58)&gt;=$S101),$V101,$U101)))=Milestones!$AB$58),UPPER(TEXT(EDATE($D101,Milestones!$AA$58),"dd mmm yy"))&amp;" "&amp;Milestones!$AB$58&amp;" "&amp;Milestones!$AC$58&amp;";  ","")&amp;IF(AND(EDATE($D101,Milestones!$AA$59)&lt;=AsOfDate,IF($R101=0,$X101,IF(AND($T101&lt;&gt;"",EDATE($D101,Milestones!$AA$59)&gt;=$T101),$W101,IF(AND($S101&lt;&gt;"",EDATE($D101,Milestones!$AA$59)&gt;=$S101),$V101,$U101)))=Milestones!$AB$59),UPPER(TEXT(EDATE($D101,Milestones!$AA$59),"dd mmm yy"))&amp;" "&amp;Milestones!$AB$59&amp;" "&amp;Milestones!$AC$59&amp;";  ",""))</f>
        <v/>
      </c>
      <c r="K101" s="0" t="str">
        <f aca="false">IF(OR($A101="",$D101=""),"",IF(AND(EDATE($D101,Milestones!$AA$60)&lt;=AsOfDate,IF($R101=0,$X101,IF(AND($T101&lt;&gt;"",EDATE($D101,Milestones!$AA$60)&gt;=$T101),$W101,IF(AND($S101&lt;&gt;"",EDATE($D101,Milestones!$AA$60)&gt;=$S101),$V101,$U101)))=Milestones!$AB$60),UPPER(TEXT(EDATE($D101,Milestones!$AA$60),"dd mmm yy"))&amp;" "&amp;Milestones!$AB$60&amp;" "&amp;Milestones!$AC$60&amp;";  ","")&amp;IF(AND(EDATE($D101,Milestones!$AA$61)&lt;=AsOfDate,IF($R101=0,$X101,IF(AND($T101&lt;&gt;"",EDATE($D101,Milestones!$AA$61)&gt;=$T101),$W101,IF(AND($S101&lt;&gt;"",EDATE($D101,Milestones!$AA$61)&gt;=$S101),$V101,$U101)))=Milestones!$AB$61),UPPER(TEXT(EDATE($D101,Milestones!$AA$61),"dd mmm yy"))&amp;" "&amp;Milestones!$AB$61&amp;" "&amp;Milestones!$AC$61&amp;";  ","")&amp;IF(AND(EDATE($D101,Milestones!$AA$62)&lt;=AsOfDate,IF($R101=0,$X101,IF(AND($T101&lt;&gt;"",EDATE($D101,Milestones!$AA$62)&gt;=$T101),$W101,IF(AND($S101&lt;&gt;"",EDATE($D101,Milestones!$AA$62)&gt;=$S101),$V101,$U101)))=Milestones!$AB$62),UPPER(TEXT(EDATE($D101,Milestones!$AA$62),"dd mmm yy"))&amp;" "&amp;Milestones!$AB$62&amp;" "&amp;Milestones!$AC$62&amp;";  ","")&amp;IF(AND(EDATE($D101,Milestones!$AA$63)&lt;=AsOfDate,IF($R101=0,$X101,IF(AND($T101&lt;&gt;"",EDATE($D101,Milestones!$AA$63)&gt;=$T101),$W101,IF(AND($S101&lt;&gt;"",EDATE($D101,Milestones!$AA$63)&gt;=$S101),$V101,$U101)))=Milestones!$AB$63),UPPER(TEXT(EDATE($D101,Milestones!$AA$63),"dd mmm yy"))&amp;" "&amp;Milestones!$AB$63&amp;" "&amp;Milestones!$AC$63&amp;";  ","")&amp;IF(AND(EDATE($D101,Milestones!$AA$64)&lt;=AsOfDate,IF($R101=0,$X101,IF(AND($T101&lt;&gt;"",EDATE($D101,Milestones!$AA$64)&gt;=$T101),$W101,IF(AND($S101&lt;&gt;"",EDATE($D101,Milestones!$AA$64)&gt;=$S101),$V101,$U101)))=Milestones!$AB$64),UPPER(TEXT(EDATE($D101,Milestones!$AA$64),"dd mmm yy"))&amp;" "&amp;Milestones!$AB$64&amp;" "&amp;Milestones!$AC$64&amp;";  ","")&amp;IF(AND(EDATE($D101,Milestones!$AA$65)&lt;=AsOfDate,IF($R101=0,$X101,IF(AND($T101&lt;&gt;"",EDATE($D101,Milestones!$AA$65)&gt;=$T101),$W101,IF(AND($S101&lt;&gt;"",EDATE($D101,Milestones!$AA$65)&gt;=$S101),$V101,$U101)))=Milestones!$AB$65),UPPER(TEXT(EDATE($D101,Milestones!$AA$65),"dd mmm yy"))&amp;" "&amp;Milestones!$AB$65&amp;" "&amp;Milestones!$AC$65&amp;";  ","")&amp;IF(AND(EDATE($D101,Milestones!$AA$66)&lt;=AsOfDate,IF($R101=0,$X101,IF(AND($T101&lt;&gt;"",EDATE($D101,Milestones!$AA$66)&gt;=$T101),$W101,IF(AND($S101&lt;&gt;"",EDATE($D101,Milestones!$AA$66)&gt;=$S101),$V101,$U101)))=Milestones!$AB$66),UPPER(TEXT(EDATE($D101,Milestones!$AA$66),"dd mmm yy"))&amp;" "&amp;Milestones!$AB$66&amp;" "&amp;Milestones!$AC$66&amp;";  ","")&amp;IF(AND(EDATE($D101,Milestones!$AA$67)&lt;=AsOfDate,IF($R101=0,$X101,IF(AND($T101&lt;&gt;"",EDATE($D101,Milestones!$AA$67)&gt;=$T101),$W101,IF(AND($S101&lt;&gt;"",EDATE($D101,Milestones!$AA$67)&gt;=$S101),$V101,$U101)))=Milestones!$AB$67),UPPER(TEXT(EDATE($D101,Milestones!$AA$67),"dd mmm yy"))&amp;" "&amp;Milestones!$AB$67&amp;" "&amp;Milestones!$AC$67&amp;";  ","")&amp;IF(AND(EDATE($D101,Milestones!$AA$68)&lt;=AsOfDate,IF($R101=0,$X101,IF(AND($T101&lt;&gt;"",EDATE($D101,Milestones!$AA$68)&gt;=$T101),$W101,IF(AND($S101&lt;&gt;"",EDATE($D101,Milestones!$AA$68)&gt;=$S101),$V101,$U101)))=Milestones!$AB$68),UPPER(TEXT(EDATE($D101,Milestones!$AA$68),"dd mmm yy"))&amp;" "&amp;Milestones!$AB$68&amp;" "&amp;Milestones!$AC$68&amp;";  ","")&amp;IF(AND(EDATE($D101,Milestones!$AA$69)&lt;=AsOfDate,IF($R101=0,$X101,IF(AND($T101&lt;&gt;"",EDATE($D101,Milestones!$AA$69)&gt;=$T101),$W101,IF(AND($S101&lt;&gt;"",EDATE($D101,Milestones!$AA$69)&gt;=$S101),$V101,$U101)))=Milestones!$AB$69),UPPER(TEXT(EDATE($D101,Milestones!$AA$69),"dd mmm yy"))&amp;" "&amp;Milestones!$AB$69&amp;" "&amp;Milestones!$AC$69&amp;";  ","")&amp;IF(AND(EDATE($D101,Milestones!$AA$70)&lt;=AsOfDate,IF($R101=0,$X101,IF(AND($T101&lt;&gt;"",EDATE($D101,Milestones!$AA$70)&gt;=$T101),$W101,IF(AND($S101&lt;&gt;"",EDATE($D101,Milestones!$AA$70)&gt;=$S101),$V101,$U101)))=Milestones!$AB$70),UPPER(TEXT(EDATE($D101,Milestones!$AA$70),"dd mmm yy"))&amp;" "&amp;Milestones!$AB$70&amp;" "&amp;Milestones!$AC$70&amp;";  ","")&amp;IF(AND(EDATE($D101,Milestones!$AA$71)&lt;=AsOfDate,IF($R101=0,$X101,IF(AND($T101&lt;&gt;"",EDATE($D101,Milestones!$AA$71)&gt;=$T101),$W101,IF(AND($S101&lt;&gt;"",EDATE($D101,Milestones!$AA$71)&gt;=$S101),$V101,$U101)))=Milestones!$AB$71),UPPER(TEXT(EDATE($D101,Milestones!$AA$71),"dd mmm yy"))&amp;" "&amp;Milestones!$AB$71&amp;" "&amp;Milestones!$AC$71&amp;";  ","")&amp;IF(AND(EDATE($D101,Milestones!$AA$72)&lt;=AsOfDate,IF($R101=0,$X101,IF(AND($T101&lt;&gt;"",EDATE($D101,Milestones!$AA$72)&gt;=$T101),$W101,IF(AND($S101&lt;&gt;"",EDATE($D101,Milestones!$AA$72)&gt;=$S101),$V101,$U101)))=Milestones!$AB$72),UPPER(TEXT(EDATE($D101,Milestones!$AA$72),"dd mmm yy"))&amp;" "&amp;Milestones!$AB$72&amp;" "&amp;Milestones!$AC$72&amp;";  ","")&amp;IF(AND(EDATE($D101,Milestones!$AA$73)&lt;=AsOfDate,IF($R101=0,$X101,IF(AND($T101&lt;&gt;"",EDATE($D101,Milestones!$AA$73)&gt;=$T101),$W101,IF(AND($S101&lt;&gt;"",EDATE($D101,Milestones!$AA$73)&gt;=$S101),$V101,$U101)))=Milestones!$AB$73),UPPER(TEXT(EDATE($D101,Milestones!$AA$73),"dd mmm yy"))&amp;" "&amp;Milestones!$AB$73&amp;" "&amp;Milestones!$AC$73&amp;";  ","")&amp;IF(AND(EDATE($D101,Milestones!$AA$74)&lt;=AsOfDate,IF($R101=0,$X101,IF(AND($T101&lt;&gt;"",EDATE($D101,Milestones!$AA$74)&gt;=$T101),$W101,IF(AND($S101&lt;&gt;"",EDATE($D101,Milestones!$AA$74)&gt;=$S101),$V101,$U101)))=Milestones!$AB$74),UPPER(TEXT(EDATE($D101,Milestones!$AA$74),"dd mmm yy"))&amp;" "&amp;Milestones!$AB$74&amp;" "&amp;Milestones!$AC$74&amp;";  ","")&amp;IF(AND(EDATE($D101,Milestones!$AA$75)&lt;=AsOfDate,IF($R101=0,$X101,IF(AND($T101&lt;&gt;"",EDATE($D101,Milestones!$AA$75)&gt;=$T101),$W101,IF(AND($S101&lt;&gt;"",EDATE($D101,Milestones!$AA$75)&gt;=$S101),$V101,$U101)))=Milestones!$AB$75),UPPER(TEXT(EDATE($D101,Milestones!$AA$75),"dd mmm yy"))&amp;" "&amp;Milestones!$AB$75&amp;" "&amp;Milestones!$AC$75&amp;";  ","")&amp;IF(AND(EDATE($D101,Milestones!$AA$76)&lt;=AsOfDate,IF($R101=0,$X101,IF(AND($T101&lt;&gt;"",EDATE($D101,Milestones!$AA$76)&gt;=$T101),$W101,IF(AND($S101&lt;&gt;"",EDATE($D101,Milestones!$AA$76)&gt;=$S101),$V101,$U101)))=Milestones!$AB$76),UPPER(TEXT(EDATE($D101,Milestones!$AA$76),"dd mmm yy"))&amp;" "&amp;Milestones!$AB$76&amp;" "&amp;Milestones!$AC$76&amp;";  ","")&amp;IF(AND(EDATE($D101,Milestones!$AA$77)&lt;=AsOfDate,IF($R101=0,$X101,IF(AND($T101&lt;&gt;"",EDATE($D101,Milestones!$AA$77)&gt;=$T101),$W101,IF(AND($S101&lt;&gt;"",EDATE($D101,Milestones!$AA$77)&gt;=$S101),$V101,$U101)))=Milestones!$AB$77),UPPER(TEXT(EDATE($D101,Milestones!$AA$77),"dd mmm yy"))&amp;" "&amp;Milestones!$AB$77&amp;" "&amp;Milestones!$AC$77&amp;";  ","")&amp;IF(AND(EDATE($D101,Milestones!$AA$78)&lt;=AsOfDate,IF($R101=0,$X101,IF(AND($T101&lt;&gt;"",EDATE($D101,Milestones!$AA$78)&gt;=$T101),$W101,IF(AND($S101&lt;&gt;"",EDATE($D101,Milestones!$AA$78)&gt;=$S101),$V101,$U101)))=Milestones!$AB$78),UPPER(TEXT(EDATE($D101,Milestones!$AA$78),"dd mmm yy"))&amp;" "&amp;Milestones!$AB$78&amp;" "&amp;Milestones!$AC$78&amp;";  ","")&amp;IF(AND(EDATE($D101,Milestones!$AA$79)&lt;=AsOfDate,IF($R101=0,$X101,IF(AND($T101&lt;&gt;"",EDATE($D101,Milestones!$AA$79)&gt;=$T101),$W101,IF(AND($S101&lt;&gt;"",EDATE($D101,Milestones!$AA$79)&gt;=$S101),$V101,$U101)))=Milestones!$AB$79),UPPER(TEXT(EDATE($D101,Milestones!$AA$79),"dd mmm yy"))&amp;" "&amp;Milestones!$AB$79&amp;" "&amp;Milestones!$AC$79&amp;";  ",""))</f>
        <v/>
      </c>
      <c r="L101" s="0" t="str">
        <f aca="false">IF(OR($A101="",$D101=""),"",IF(AND(EDATE($D101,Milestones!$AA$80)&lt;=AsOfDate,IF($R101=0,$X101,IF(AND($T101&lt;&gt;"",EDATE($D101,Milestones!$AA$80)&gt;=$T101),$W101,IF(AND($S101&lt;&gt;"",EDATE($D101,Milestones!$AA$80)&gt;=$S101),$V101,$U101)))=Milestones!$AB$80),UPPER(TEXT(EDATE($D101,Milestones!$AA$80),"dd mmm yy"))&amp;" "&amp;Milestones!$AB$80&amp;" "&amp;Milestones!$AC$80&amp;";  ","")&amp;IF(AND(EDATE($D101,Milestones!$AA$81)&lt;=AsOfDate,IF($R101=0,$X101,IF(AND($T101&lt;&gt;"",EDATE($D101,Milestones!$AA$81)&gt;=$T101),$W101,IF(AND($S101&lt;&gt;"",EDATE($D101,Milestones!$AA$81)&gt;=$S101),$V101,$U101)))=Milestones!$AB$81),UPPER(TEXT(EDATE($D101,Milestones!$AA$81),"dd mmm yy"))&amp;" "&amp;Milestones!$AB$81&amp;" "&amp;Milestones!$AC$81&amp;";  ","")&amp;IF(AND(EDATE($D101,Milestones!$AA$82)&lt;=AsOfDate,IF($R101=0,$X101,IF(AND($T101&lt;&gt;"",EDATE($D101,Milestones!$AA$82)&gt;=$T101),$W101,IF(AND($S101&lt;&gt;"",EDATE($D101,Milestones!$AA$82)&gt;=$S101),$V101,$U101)))=Milestones!$AB$82),UPPER(TEXT(EDATE($D101,Milestones!$AA$82),"dd mmm yy"))&amp;" "&amp;Milestones!$AB$82&amp;" "&amp;Milestones!$AC$82&amp;";  ","")&amp;IF(AND(EDATE($D101,Milestones!$AA$83)&lt;=AsOfDate,IF($R101=0,$X101,IF(AND($T101&lt;&gt;"",EDATE($D101,Milestones!$AA$83)&gt;=$T101),$W101,IF(AND($S101&lt;&gt;"",EDATE($D101,Milestones!$AA$83)&gt;=$S101),$V101,$U101)))=Milestones!$AB$83),UPPER(TEXT(EDATE($D101,Milestones!$AA$83),"dd mmm yy"))&amp;" "&amp;Milestones!$AB$83&amp;" "&amp;Milestones!$AC$83&amp;";  ","")&amp;IF(AND(EDATE($D101,Milestones!$AA$84)&lt;=AsOfDate,IF($R101=0,$X101,IF(AND($T101&lt;&gt;"",EDATE($D101,Milestones!$AA$84)&gt;=$T101),$W101,IF(AND($S101&lt;&gt;"",EDATE($D101,Milestones!$AA$84)&gt;=$S101),$V101,$U101)))=Milestones!$AB$84),UPPER(TEXT(EDATE($D101,Milestones!$AA$84),"dd mmm yy"))&amp;" "&amp;Milestones!$AB$84&amp;" "&amp;Milestones!$AC$84&amp;";  ","")&amp;IF(AND(EDATE($D101,Milestones!$AA$85)&lt;=AsOfDate,IF($R101=0,$X101,IF(AND($T101&lt;&gt;"",EDATE($D101,Milestones!$AA$85)&gt;=$T101),$W101,IF(AND($S101&lt;&gt;"",EDATE($D101,Milestones!$AA$85)&gt;=$S101),$V101,$U101)))=Milestones!$AB$85),UPPER(TEXT(EDATE($D101,Milestones!$AA$85),"dd mmm yy"))&amp;" "&amp;Milestones!$AB$85&amp;" "&amp;Milestones!$AC$85&amp;";  ","")&amp;IF(AND(EDATE($D101,Milestones!$AA$86)&lt;=AsOfDate,IF($R101=0,$X101,IF(AND($T101&lt;&gt;"",EDATE($D101,Milestones!$AA$86)&gt;=$T101),$W101,IF(AND($S101&lt;&gt;"",EDATE($D101,Milestones!$AA$86)&gt;=$S101),$V101,$U101)))=Milestones!$AB$86),UPPER(TEXT(EDATE($D101,Milestones!$AA$86),"dd mmm yy"))&amp;" "&amp;Milestones!$AB$86&amp;" "&amp;Milestones!$AC$86&amp;";  ","")&amp;IF(AND(EDATE($D101,Milestones!$AA$87)&lt;=AsOfDate,IF($R101=0,$X101,IF(AND($T101&lt;&gt;"",EDATE($D101,Milestones!$AA$87)&gt;=$T101),$W101,IF(AND($S101&lt;&gt;"",EDATE($D101,Milestones!$AA$87)&gt;=$S101),$V101,$U101)))=Milestones!$AB$87),UPPER(TEXT(EDATE($D101,Milestones!$AA$87),"dd mmm yy"))&amp;" "&amp;Milestones!$AB$87&amp;" "&amp;Milestones!$AC$87&amp;";  ","")&amp;IF(AND(EDATE($D101,Milestones!$AA$88)&lt;=AsOfDate,IF($R101=0,$X101,IF(AND($T101&lt;&gt;"",EDATE($D101,Milestones!$AA$88)&gt;=$T101),$W101,IF(AND($S101&lt;&gt;"",EDATE($D101,Milestones!$AA$88)&gt;=$S101),$V101,$U101)))=Milestones!$AB$88),UPPER(TEXT(EDATE($D101,Milestones!$AA$88),"dd mmm yy"))&amp;" "&amp;Milestones!$AB$88&amp;" "&amp;Milestones!$AC$88&amp;";  ","")&amp;IF(AND(EDATE($D101,Milestones!$AA$89)&lt;=AsOfDate,IF($R101=0,$X101,IF(AND($T101&lt;&gt;"",EDATE($D101,Milestones!$AA$89)&gt;=$T101),$W101,IF(AND($S101&lt;&gt;"",EDATE($D101,Milestones!$AA$89)&gt;=$S101),$V101,$U101)))=Milestones!$AB$89),UPPER(TEXT(EDATE($D101,Milestones!$AA$89),"dd mmm yy"))&amp;" "&amp;Milestones!$AB$89&amp;" "&amp;Milestones!$AC$89&amp;";  ","")&amp;IF(AND(EDATE($D101,Milestones!$AA$90)&lt;=AsOfDate,IF($R101=0,$X101,IF(AND($T101&lt;&gt;"",EDATE($D101,Milestones!$AA$90)&gt;=$T101),$W101,IF(AND($S101&lt;&gt;"",EDATE($D101,Milestones!$AA$90)&gt;=$S101),$V101,$U101)))=Milestones!$AB$90),UPPER(TEXT(EDATE($D101,Milestones!$AA$90),"dd mmm yy"))&amp;" "&amp;Milestones!$AB$90&amp;" "&amp;Milestones!$AC$90&amp;";  ","")&amp;IF(AND(EDATE($D101,Milestones!$AA$91)&lt;=AsOfDate,IF($R101=0,$X101,IF(AND($T101&lt;&gt;"",EDATE($D101,Milestones!$AA$91)&gt;=$T101),$W101,IF(AND($S101&lt;&gt;"",EDATE($D101,Milestones!$AA$91)&gt;=$S101),$V101,$U101)))=Milestones!$AB$91),UPPER(TEXT(EDATE($D101,Milestones!$AA$91),"dd mmm yy"))&amp;" "&amp;Milestones!$AB$91&amp;" "&amp;Milestones!$AC$91&amp;";  ","")&amp;IF(AND(EDATE($D101,Milestones!$AA$92)&lt;=AsOfDate,IF($R101=0,$X101,IF(AND($T101&lt;&gt;"",EDATE($D101,Milestones!$AA$92)&gt;=$T101),$W101,IF(AND($S101&lt;&gt;"",EDATE($D101,Milestones!$AA$92)&gt;=$S101),$V101,$U101)))=Milestones!$AB$92),UPPER(TEXT(EDATE($D101,Milestones!$AA$92),"dd mmm yy"))&amp;" "&amp;Milestones!$AB$92&amp;" "&amp;Milestones!$AC$92&amp;";  ","")&amp;IF(AND(EDATE($D101,Milestones!$AA$93)&lt;=AsOfDate,IF($R101=0,$X101,IF(AND($T101&lt;&gt;"",EDATE($D101,Milestones!$AA$93)&gt;=$T101),$W101,IF(AND($S101&lt;&gt;"",EDATE($D101,Milestones!$AA$93)&gt;=$S101),$V101,$U101)))=Milestones!$AB$93),UPPER(TEXT(EDATE($D101,Milestones!$AA$93),"dd mmm yy"))&amp;" "&amp;Milestones!$AB$93&amp;" "&amp;Milestones!$AC$93&amp;";  ","")&amp;IF(AND(EDATE($D101,Milestones!$AA$94)&lt;=AsOfDate,IF($R101=0,$X101,IF(AND($T101&lt;&gt;"",EDATE($D101,Milestones!$AA$94)&gt;=$T101),$W101,IF(AND($S101&lt;&gt;"",EDATE($D101,Milestones!$AA$94)&gt;=$S101),$V101,$U101)))=Milestones!$AB$94),UPPER(TEXT(EDATE($D101,Milestones!$AA$94),"dd mmm yy"))&amp;" "&amp;Milestones!$AB$94&amp;" "&amp;Milestones!$AC$94&amp;";  ","")&amp;IF(AND(EDATE($D101,Milestones!$AA$95)&lt;=AsOfDate,IF($R101=0,$X101,IF(AND($T101&lt;&gt;"",EDATE($D101,Milestones!$AA$95)&gt;=$T101),$W101,IF(AND($S101&lt;&gt;"",EDATE($D101,Milestones!$AA$95)&gt;=$S101),$V101,$U101)))=Milestones!$AB$95),UPPER(TEXT(EDATE($D101,Milestones!$AA$95),"dd mmm yy"))&amp;" "&amp;Milestones!$AB$95&amp;" "&amp;Milestones!$AC$95&amp;";  ","")&amp;IF(AND(EDATE($D101,Milestones!$AA$96)&lt;=AsOfDate,IF($R101=0,$X101,IF(AND($T101&lt;&gt;"",EDATE($D101,Milestones!$AA$96)&gt;=$T101),$W101,IF(AND($S101&lt;&gt;"",EDATE($D101,Milestones!$AA$96)&gt;=$S101),$V101,$U101)))=Milestones!$AB$96),UPPER(TEXT(EDATE($D101,Milestones!$AA$96),"dd mmm yy"))&amp;" "&amp;Milestones!$AB$96&amp;" "&amp;Milestones!$AC$96&amp;";  ","")&amp;IF(AND(EDATE($D101,Milestones!$AA$97)&lt;=AsOfDate,IF($R101=0,$X101,IF(AND($T101&lt;&gt;"",EDATE($D101,Milestones!$AA$97)&gt;=$T101),$W101,IF(AND($S101&lt;&gt;"",EDATE($D101,Milestones!$AA$97)&gt;=$S101),$V101,$U101)))=Milestones!$AB$97),UPPER(TEXT(EDATE($D101,Milestones!$AA$97),"dd mmm yy"))&amp;" "&amp;Milestones!$AB$97&amp;" "&amp;Milestones!$AC$97&amp;";  ","")&amp;IF(AND(EDATE($D101,Milestones!$AA$98)&lt;=AsOfDate,IF($R101=0,$X101,IF(AND($T101&lt;&gt;"",EDATE($D101,Milestones!$AA$98)&gt;=$T101),$W101,IF(AND($S101&lt;&gt;"",EDATE($D101,Milestones!$AA$98)&gt;=$S101),$V101,$U101)))=Milestones!$AB$98),UPPER(TEXT(EDATE($D101,Milestones!$AA$98),"dd mmm yy"))&amp;" "&amp;Milestones!$AB$98&amp;" "&amp;Milestones!$AC$98&amp;";  ","")&amp;IF(AND(EDATE($D101,Milestones!$AA$99)&lt;=AsOfDate,IF($R101=0,$X101,IF(AND($T101&lt;&gt;"",EDATE($D101,Milestones!$AA$99)&gt;=$T101),$W101,IF(AND($S101&lt;&gt;"",EDATE($D101,Milestones!$AA$99)&gt;=$S101),$V101,$U101)))=Milestones!$AB$99),UPPER(TEXT(EDATE($D101,Milestones!$AA$99),"dd mmm yy"))&amp;" "&amp;Milestones!$AB$99&amp;" "&amp;Milestones!$AC$99&amp;";  ",""))</f>
        <v/>
      </c>
      <c r="M101" s="0" t="str">
        <f aca="false">IF(OR($A101="",$D101=""),"",IF(AND(EDATE($D101,Milestones!$AA$100)&lt;=AsOfDate,IF($R101=0,$X101,IF(AND($T101&lt;&gt;"",EDATE($D101,Milestones!$AA$100)&gt;=$T101),$W101,IF(AND($S101&lt;&gt;"",EDATE($D101,Milestones!$AA$100)&gt;=$S101),$V101,$U101)))=Milestones!$AB$100),UPPER(TEXT(EDATE($D101,Milestones!$AA$100),"dd mmm yy"))&amp;" "&amp;Milestones!$AB$100&amp;" "&amp;Milestones!$AC$100&amp;";  ","")&amp;IF(AND(EDATE($D101,Milestones!$AA$101)&lt;=AsOfDate,IF($R101=0,$X101,IF(AND($T101&lt;&gt;"",EDATE($D101,Milestones!$AA$101)&gt;=$T101),$W101,IF(AND($S101&lt;&gt;"",EDATE($D101,Milestones!$AA$101)&gt;=$S101),$V101,$U101)))=Milestones!$AB$101),UPPER(TEXT(EDATE($D101,Milestones!$AA$101),"dd mmm yy"))&amp;" "&amp;Milestones!$AB$101&amp;" "&amp;Milestones!$AC$101&amp;";  ","")&amp;IF(AND(EDATE($D101,Milestones!$AA$102)&lt;=AsOfDate,IF($R101=0,$X101,IF(AND($T101&lt;&gt;"",EDATE($D101,Milestones!$AA$102)&gt;=$T101),$W101,IF(AND($S101&lt;&gt;"",EDATE($D101,Milestones!$AA$102)&gt;=$S101),$V101,$U101)))=Milestones!$AB$102),UPPER(TEXT(EDATE($D101,Milestones!$AA$102),"dd mmm yy"))&amp;" "&amp;Milestones!$AB$102&amp;" "&amp;Milestones!$AC$102&amp;";  ","")&amp;IF(AND(EDATE($D101,Milestones!$AA$103)&lt;=AsOfDate,IF($R101=0,$X101,IF(AND($T101&lt;&gt;"",EDATE($D101,Milestones!$AA$103)&gt;=$T101),$W101,IF(AND($S101&lt;&gt;"",EDATE($D101,Milestones!$AA$103)&gt;=$S101),$V101,$U101)))=Milestones!$AB$103),UPPER(TEXT(EDATE($D101,Milestones!$AA$103),"dd mmm yy"))&amp;" "&amp;Milestones!$AB$103&amp;" "&amp;Milestones!$AC$103&amp;";  ","")&amp;IF(AND(EDATE($D101,Milestones!$AA$104)&lt;=AsOfDate,IF($R101=0,$X101,IF(AND($T101&lt;&gt;"",EDATE($D101,Milestones!$AA$104)&gt;=$T101),$W101,IF(AND($S101&lt;&gt;"",EDATE($D101,Milestones!$AA$104)&gt;=$S101),$V101,$U101)))=Milestones!$AB$104),UPPER(TEXT(EDATE($D101,Milestones!$AA$104),"dd mmm yy"))&amp;" "&amp;Milestones!$AB$104&amp;" "&amp;Milestones!$AC$104&amp;";  ","")&amp;IF(AND(EDATE($D101,Milestones!$AA$105)&lt;=AsOfDate,IF($R101=0,$X101,IF(AND($T101&lt;&gt;"",EDATE($D101,Milestones!$AA$105)&gt;=$T101),$W101,IF(AND($S101&lt;&gt;"",EDATE($D101,Milestones!$AA$105)&gt;=$S101),$V101,$U101)))=Milestones!$AB$105),UPPER(TEXT(EDATE($D101,Milestones!$AA$105),"dd mmm yy"))&amp;" "&amp;Milestones!$AB$105&amp;" "&amp;Milestones!$AC$105&amp;";  ","")&amp;IF(AND(EDATE($D101,Milestones!$AA$106)&lt;=AsOfDate,IF($R101=0,$X101,IF(AND($T101&lt;&gt;"",EDATE($D101,Milestones!$AA$106)&gt;=$T101),$W101,IF(AND($S101&lt;&gt;"",EDATE($D101,Milestones!$AA$106)&gt;=$S101),$V101,$U101)))=Milestones!$AB$106),UPPER(TEXT(EDATE($D101,Milestones!$AA$106),"dd mmm yy"))&amp;" "&amp;Milestones!$AB$106&amp;" "&amp;Milestones!$AC$106&amp;";  ","")&amp;IF(AND(EDATE($D101,Milestones!$AA$107)&lt;=AsOfDate,IF($R101=0,$X101,IF(AND($T101&lt;&gt;"",EDATE($D101,Milestones!$AA$107)&gt;=$T101),$W101,IF(AND($S101&lt;&gt;"",EDATE($D101,Milestones!$AA$107)&gt;=$S101),$V101,$U101)))=Milestones!$AB$107),UPPER(TEXT(EDATE($D101,Milestones!$AA$107),"dd mmm yy"))&amp;" "&amp;Milestones!$AB$107&amp;" "&amp;Milestones!$AC$107&amp;";  ","")&amp;IF(AND(EDATE($D101,Milestones!$AA$108)&lt;=AsOfDate,IF($R101=0,$X101,IF(AND($T101&lt;&gt;"",EDATE($D101,Milestones!$AA$108)&gt;=$T101),$W101,IF(AND($S101&lt;&gt;"",EDATE($D101,Milestones!$AA$108)&gt;=$S101),$V101,$U101)))=Milestones!$AB$108),UPPER(TEXT(EDATE($D101,Milestones!$AA$108),"dd mmm yy"))&amp;" "&amp;Milestones!$AB$108&amp;" "&amp;Milestones!$AC$108&amp;";  ","")&amp;IF(AND(EDATE($D101,Milestones!$AA$109)&lt;=AsOfDate,IF($R101=0,$X101,IF(AND($T101&lt;&gt;"",EDATE($D101,Milestones!$AA$109)&gt;=$T101),$W101,IF(AND($S101&lt;&gt;"",EDATE($D101,Milestones!$AA$109)&gt;=$S101),$V101,$U101)))=Milestones!$AB$109),UPPER(TEXT(EDATE($D101,Milestones!$AA$109),"dd mmm yy"))&amp;" "&amp;Milestones!$AB$109&amp;" "&amp;Milestones!$AC$109&amp;";  ","")&amp;IF(AND(EDATE($D101,Milestones!$AA$110)&lt;=AsOfDate,IF($R101=0,$X101,IF(AND($T101&lt;&gt;"",EDATE($D101,Milestones!$AA$110)&gt;=$T101),$W101,IF(AND($S101&lt;&gt;"",EDATE($D101,Milestones!$AA$110)&gt;=$S101),$V101,$U101)))=Milestones!$AB$110),UPPER(TEXT(EDATE($D101,Milestones!$AA$110),"dd mmm yy"))&amp;" "&amp;Milestones!$AB$110&amp;" "&amp;Milestones!$AC$110&amp;";  ","")&amp;IF(AND(EDATE($D101,Milestones!$AA$111)&lt;=AsOfDate,IF($R101=0,$X101,IF(AND($T101&lt;&gt;"",EDATE($D101,Milestones!$AA$111)&gt;=$T101),$W101,IF(AND($S101&lt;&gt;"",EDATE($D101,Milestones!$AA$111)&gt;=$S101),$V101,$U101)))=Milestones!$AB$111),UPPER(TEXT(EDATE($D101,Milestones!$AA$111),"dd mmm yy"))&amp;" "&amp;Milestones!$AB$111&amp;" "&amp;Milestones!$AC$111&amp;";  ","")&amp;IF(AND(EDATE($D101,Milestones!$AA$112)&lt;=AsOfDate,IF($R101=0,$X101,IF(AND($T101&lt;&gt;"",EDATE($D101,Milestones!$AA$112)&gt;=$T101),$W101,IF(AND($S101&lt;&gt;"",EDATE($D101,Milestones!$AA$112)&gt;=$S101),$V101,$U101)))=Milestones!$AB$112),UPPER(TEXT(EDATE($D101,Milestones!$AA$112),"dd mmm yy"))&amp;" "&amp;Milestones!$AB$112&amp;" "&amp;Milestones!$AC$112&amp;";  ","")&amp;IF(AND(EDATE($D101,Milestones!$AA$113)&lt;=AsOfDate,IF($R101=0,$X101,IF(AND($T101&lt;&gt;"",EDATE($D101,Milestones!$AA$113)&gt;=$T101),$W101,IF(AND($S101&lt;&gt;"",EDATE($D101,Milestones!$AA$113)&gt;=$S101),$V101,$U101)))=Milestones!$AB$113),UPPER(TEXT(EDATE($D101,Milestones!$AA$113),"dd mmm yy"))&amp;" "&amp;Milestones!$AB$113&amp;" "&amp;Milestones!$AC$113&amp;";  ","")&amp;IF(AND(EDATE($D101,Milestones!$AA$114)&lt;=AsOfDate,IF($R101=0,$X101,IF(AND($T101&lt;&gt;"",EDATE($D101,Milestones!$AA$114)&gt;=$T101),$W101,IF(AND($S101&lt;&gt;"",EDATE($D101,Milestones!$AA$114)&gt;=$S101),$V101,$U101)))=Milestones!$AB$114),UPPER(TEXT(EDATE($D101,Milestones!$AA$114),"dd mmm yy"))&amp;" "&amp;Milestones!$AB$114&amp;" "&amp;Milestones!$AC$114&amp;";  ","")&amp;IF(AND(EDATE($D101,Milestones!$AA$115)&lt;=AsOfDate,IF($R101=0,$X101,IF(AND($T101&lt;&gt;"",EDATE($D101,Milestones!$AA$115)&gt;=$T101),$W101,IF(AND($S101&lt;&gt;"",EDATE($D101,Milestones!$AA$115)&gt;=$S101),$V101,$U101)))=Milestones!$AB$115),UPPER(TEXT(EDATE($D101,Milestones!$AA$115),"dd mmm yy"))&amp;" "&amp;Milestones!$AB$115&amp;" "&amp;Milestones!$AC$115&amp;";  ","")&amp;IF(AND(EDATE($D101,Milestones!$AA$116)&lt;=AsOfDate,IF($R101=0,$X101,IF(AND($T101&lt;&gt;"",EDATE($D101,Milestones!$AA$116)&gt;=$T101),$W101,IF(AND($S101&lt;&gt;"",EDATE($D101,Milestones!$AA$116)&gt;=$S101),$V101,$U101)))=Milestones!$AB$116),UPPER(TEXT(EDATE($D101,Milestones!$AA$116),"dd mmm yy"))&amp;" "&amp;Milestones!$AB$116&amp;" "&amp;Milestones!$AC$116&amp;";  ","")&amp;IF(AND(EDATE($D101,Milestones!$AA$117)&lt;=AsOfDate,IF($R101=0,$X101,IF(AND($T101&lt;&gt;"",EDATE($D101,Milestones!$AA$117)&gt;=$T101),$W101,IF(AND($S101&lt;&gt;"",EDATE($D101,Milestones!$AA$117)&gt;=$S101),$V101,$U101)))=Milestones!$AB$117),UPPER(TEXT(EDATE($D101,Milestones!$AA$117),"dd mmm yy"))&amp;" "&amp;Milestones!$AB$117&amp;" "&amp;Milestones!$AC$117&amp;";  ","")&amp;IF(AND(EDATE($D101,Milestones!$AA$118)&lt;=AsOfDate,IF($R101=0,$X101,IF(AND($T101&lt;&gt;"",EDATE($D101,Milestones!$AA$118)&gt;=$T101),$W101,IF(AND($S101&lt;&gt;"",EDATE($D101,Milestones!$AA$118)&gt;=$S101),$V101,$U101)))=Milestones!$AB$118),UPPER(TEXT(EDATE($D101,Milestones!$AA$118),"dd mmm yy"))&amp;" "&amp;Milestones!$AB$118&amp;" "&amp;Milestones!$AC$118&amp;";  ","")&amp;IF(AND(EDATE($D101,Milestones!$AA$119)&lt;=AsOfDate,IF($R101=0,$X101,IF(AND($T101&lt;&gt;"",EDATE($D101,Milestones!$AA$119)&gt;=$T101),$W101,IF(AND($S101&lt;&gt;"",EDATE($D101,Milestones!$AA$119)&gt;=$S101),$V101,$U101)))=Milestones!$AB$119),UPPER(TEXT(EDATE($D101,Milestones!$AA$119),"dd mmm yy"))&amp;" "&amp;Milestones!$AB$119&amp;" "&amp;Milestones!$AC$119&amp;";  ",""))</f>
        <v/>
      </c>
      <c r="N101" s="0" t="str">
        <f aca="false">IF(OR($A101="",$D101=""),"",IF(AND(EDATE($D101,Milestones!$AA$120)&lt;=AsOfDate,IF($R101=0,$X101,IF(AND($T101&lt;&gt;"",EDATE($D101,Milestones!$AA$120)&gt;=$T101),$W101,IF(AND($S101&lt;&gt;"",EDATE($D101,Milestones!$AA$120)&gt;=$S101),$V101,$U101)))=Milestones!$AB$120),UPPER(TEXT(EDATE($D101,Milestones!$AA$120),"dd mmm yy"))&amp;" "&amp;Milestones!$AB$120&amp;" "&amp;Milestones!$AC$120&amp;";  ","")&amp;IF(AND(EDATE($D101,Milestones!$AA$121)&lt;=AsOfDate,IF($R101=0,$X101,IF(AND($T101&lt;&gt;"",EDATE($D101,Milestones!$AA$121)&gt;=$T101),$W101,IF(AND($S101&lt;&gt;"",EDATE($D101,Milestones!$AA$121)&gt;=$S101),$V101,$U101)))=Milestones!$AB$121),UPPER(TEXT(EDATE($D101,Milestones!$AA$121),"dd mmm yy"))&amp;" "&amp;Milestones!$AB$121&amp;" "&amp;Milestones!$AC$121&amp;";  ","")&amp;IF(AND(EDATE($D101,Milestones!$AA$122)&lt;=AsOfDate,IF($R101=0,$X101,IF(AND($T101&lt;&gt;"",EDATE($D101,Milestones!$AA$122)&gt;=$T101),$W101,IF(AND($S101&lt;&gt;"",EDATE($D101,Milestones!$AA$122)&gt;=$S101),$V101,$U101)))=Milestones!$AB$122),UPPER(TEXT(EDATE($D101,Milestones!$AA$122),"dd mmm yy"))&amp;" "&amp;Milestones!$AB$122&amp;" "&amp;Milestones!$AC$122&amp;";  ","")&amp;IF(AND(EDATE($D101,Milestones!$AA$123)&lt;=AsOfDate,IF($R101=0,$X101,IF(AND($T101&lt;&gt;"",EDATE($D101,Milestones!$AA$123)&gt;=$T101),$W101,IF(AND($S101&lt;&gt;"",EDATE($D101,Milestones!$AA$123)&gt;=$S101),$V101,$U101)))=Milestones!$AB$123),UPPER(TEXT(EDATE($D101,Milestones!$AA$123),"dd mmm yy"))&amp;" "&amp;Milestones!$AB$123&amp;" "&amp;Milestones!$AC$123&amp;";  ","")&amp;IF(AND(EDATE($D101,Milestones!$AA$124)&lt;=AsOfDate,IF($R101=0,$X101,IF(AND($T101&lt;&gt;"",EDATE($D101,Milestones!$AA$124)&gt;=$T101),$W101,IF(AND($S101&lt;&gt;"",EDATE($D101,Milestones!$AA$124)&gt;=$S101),$V101,$U101)))=Milestones!$AB$124),UPPER(TEXT(EDATE($D101,Milestones!$AA$124),"dd mmm yy"))&amp;" "&amp;Milestones!$AB$124&amp;" "&amp;Milestones!$AC$124&amp;";  ","")&amp;IF(AND(EDATE($D101,Milestones!$AA$125)&lt;=AsOfDate,IF($R101=0,$X101,IF(AND($T101&lt;&gt;"",EDATE($D101,Milestones!$AA$125)&gt;=$T101),$W101,IF(AND($S101&lt;&gt;"",EDATE($D101,Milestones!$AA$125)&gt;=$S101),$V101,$U101)))=Milestones!$AB$125),UPPER(TEXT(EDATE($D101,Milestones!$AA$125),"dd mmm yy"))&amp;" "&amp;Milestones!$AB$125&amp;" "&amp;Milestones!$AC$125&amp;";  ","")&amp;IF(AND(EDATE($D101,Milestones!$AA$126)&lt;=AsOfDate,IF($R101=0,$X101,IF(AND($T101&lt;&gt;"",EDATE($D101,Milestones!$AA$126)&gt;=$T101),$W101,IF(AND($S101&lt;&gt;"",EDATE($D101,Milestones!$AA$126)&gt;=$S101),$V101,$U101)))=Milestones!$AB$126),UPPER(TEXT(EDATE($D101,Milestones!$AA$126),"dd mmm yy"))&amp;" "&amp;Milestones!$AB$126&amp;" "&amp;Milestones!$AC$126&amp;";  ","")&amp;IF(AND(EDATE($D101,Milestones!$AA$127)&lt;=AsOfDate,IF($R101=0,$X101,IF(AND($T101&lt;&gt;"",EDATE($D101,Milestones!$AA$127)&gt;=$T101),$W101,IF(AND($S101&lt;&gt;"",EDATE($D101,Milestones!$AA$127)&gt;=$S101),$V101,$U101)))=Milestones!$AB$127),UPPER(TEXT(EDATE($D101,Milestones!$AA$127),"dd mmm yy"))&amp;" "&amp;Milestones!$AB$127&amp;" "&amp;Milestones!$AC$127&amp;";  ","")&amp;IF(AND(EDATE($D101,Milestones!$AA$128)&lt;=AsOfDate,IF($R101=0,$X101,IF(AND($T101&lt;&gt;"",EDATE($D101,Milestones!$AA$128)&gt;=$T101),$W101,IF(AND($S101&lt;&gt;"",EDATE($D101,Milestones!$AA$128)&gt;=$S101),$V101,$U101)))=Milestones!$AB$128),UPPER(TEXT(EDATE($D101,Milestones!$AA$128),"dd mmm yy"))&amp;" "&amp;Milestones!$AB$128&amp;" "&amp;Milestones!$AC$128&amp;";  ","")&amp;IF(AND(EDATE($D101,Milestones!$AA$129)&lt;=AsOfDate,IF($R101=0,$X101,IF(AND($T101&lt;&gt;"",EDATE($D101,Milestones!$AA$129)&gt;=$T101),$W101,IF(AND($S101&lt;&gt;"",EDATE($D101,Milestones!$AA$129)&gt;=$S101),$V101,$U101)))=Milestones!$AB$129),UPPER(TEXT(EDATE($D101,Milestones!$AA$129),"dd mmm yy"))&amp;" "&amp;Milestones!$AB$129&amp;" "&amp;Milestones!$AC$129&amp;";  ","")&amp;IF(AND(EDATE($D101,Milestones!$AA$130)&lt;=AsOfDate,IF($R101=0,$X101,IF(AND($T101&lt;&gt;"",EDATE($D101,Milestones!$AA$130)&gt;=$T101),$W101,IF(AND($S101&lt;&gt;"",EDATE($D101,Milestones!$AA$130)&gt;=$S101),$V101,$U101)))=Milestones!$AB$130),UPPER(TEXT(EDATE($D101,Milestones!$AA$130),"dd mmm yy"))&amp;" "&amp;Milestones!$AB$130&amp;" "&amp;Milestones!$AC$130&amp;";  ","")&amp;IF(AND(EDATE($D101,Milestones!$AA$131)&lt;=AsOfDate,IF($R101=0,$X101,IF(AND($T101&lt;&gt;"",EDATE($D101,Milestones!$AA$131)&gt;=$T101),$W101,IF(AND($S101&lt;&gt;"",EDATE($D101,Milestones!$AA$131)&gt;=$S101),$V101,$U101)))=Milestones!$AB$131),UPPER(TEXT(EDATE($D101,Milestones!$AA$131),"dd mmm yy"))&amp;" "&amp;Milestones!$AB$131&amp;" "&amp;Milestones!$AC$131&amp;";  ","")&amp;IF(AND(EDATE($D101,Milestones!$AA$132)&lt;=AsOfDate,IF($R101=0,$X101,IF(AND($T101&lt;&gt;"",EDATE($D101,Milestones!$AA$132)&gt;=$T101),$W101,IF(AND($S101&lt;&gt;"",EDATE($D101,Milestones!$AA$132)&gt;=$S101),$V101,$U101)))=Milestones!$AB$132),UPPER(TEXT(EDATE($D101,Milestones!$AA$132),"dd mmm yy"))&amp;" "&amp;Milestones!$AB$132&amp;" "&amp;Milestones!$AC$132&amp;";  ","")&amp;IF(AND(EDATE($D101,Milestones!$AA$133)&lt;=AsOfDate,IF($R101=0,$X101,IF(AND($T101&lt;&gt;"",EDATE($D101,Milestones!$AA$133)&gt;=$T101),$W101,IF(AND($S101&lt;&gt;"",EDATE($D101,Milestones!$AA$133)&gt;=$S101),$V101,$U101)))=Milestones!$AB$133),UPPER(TEXT(EDATE($D101,Milestones!$AA$133),"dd mmm yy"))&amp;" "&amp;Milestones!$AB$133&amp;" "&amp;Milestones!$AC$133&amp;";  ","")&amp;IF(AND(EDATE($D101,Milestones!$AA$134)&lt;=AsOfDate,IF($R101=0,$X101,IF(AND($T101&lt;&gt;"",EDATE($D101,Milestones!$AA$134)&gt;=$T101),$W101,IF(AND($S101&lt;&gt;"",EDATE($D101,Milestones!$AA$134)&gt;=$S101),$V101,$U101)))=Milestones!$AB$134),UPPER(TEXT(EDATE($D101,Milestones!$AA$134),"dd mmm yy"))&amp;" "&amp;Milestones!$AB$134&amp;" "&amp;Milestones!$AC$134&amp;";  ","")&amp;IF(AND(EDATE($D101,Milestones!$AA$135)&lt;=AsOfDate,IF($R101=0,$X101,IF(AND($T101&lt;&gt;"",EDATE($D101,Milestones!$AA$135)&gt;=$T101),$W101,IF(AND($S101&lt;&gt;"",EDATE($D101,Milestones!$AA$135)&gt;=$S101),$V101,$U101)))=Milestones!$AB$135),UPPER(TEXT(EDATE($D101,Milestones!$AA$135),"dd mmm yy"))&amp;" "&amp;Milestones!$AB$135&amp;" "&amp;Milestones!$AC$135&amp;";  ","")&amp;IF(AND(EDATE($D101,Milestones!$AA$136)&lt;=AsOfDate,IF($R101=0,$X101,IF(AND($T101&lt;&gt;"",EDATE($D101,Milestones!$AA$136)&gt;=$T101),$W101,IF(AND($S101&lt;&gt;"",EDATE($D101,Milestones!$AA$136)&gt;=$S101),$V101,$U101)))=Milestones!$AB$136),UPPER(TEXT(EDATE($D101,Milestones!$AA$136),"dd mmm yy"))&amp;" "&amp;Milestones!$AB$136&amp;" "&amp;Milestones!$AC$136&amp;";  ","")&amp;IF(AND(EDATE($D101,Milestones!$AA$137)&lt;=AsOfDate,IF($R101=0,$X101,IF(AND($T101&lt;&gt;"",EDATE($D101,Milestones!$AA$137)&gt;=$T101),$W101,IF(AND($S101&lt;&gt;"",EDATE($D101,Milestones!$AA$137)&gt;=$S101),$V101,$U101)))=Milestones!$AB$137),UPPER(TEXT(EDATE($D101,Milestones!$AA$137),"dd mmm yy"))&amp;" "&amp;Milestones!$AB$137&amp;" "&amp;Milestones!$AC$137&amp;";  ","")&amp;IF(AND(EDATE($D101,Milestones!$AA$138)&lt;=AsOfDate,IF($R101=0,$X101,IF(AND($T101&lt;&gt;"",EDATE($D101,Milestones!$AA$138)&gt;=$T101),$W101,IF(AND($S101&lt;&gt;"",EDATE($D101,Milestones!$AA$138)&gt;=$S101),$V101,$U101)))=Milestones!$AB$138),UPPER(TEXT(EDATE($D101,Milestones!$AA$138),"dd mmm yy"))&amp;" "&amp;Milestones!$AB$138&amp;" "&amp;Milestones!$AC$138&amp;";  ","")&amp;IF(AND(EDATE($D101,Milestones!$AA$139)&lt;=AsOfDate,IF($R101=0,$X101,IF(AND($T101&lt;&gt;"",EDATE($D101,Milestones!$AA$139)&gt;=$T101),$W101,IF(AND($S101&lt;&gt;"",EDATE($D101,Milestones!$AA$139)&gt;=$S101),$V101,$U101)))=Milestones!$AB$139),UPPER(TEXT(EDATE($D101,Milestones!$AA$139),"dd mmm yy"))&amp;" "&amp;Milestones!$AB$139&amp;" "&amp;Milestones!$AC$139&amp;";  ",""))</f>
        <v/>
      </c>
      <c r="O101" s="0" t="str">
        <f aca="false">IF(OR($A101="",$D101=""),"",IF(AND(EDATE($D101,Milestones!$AA$140)&lt;=AsOfDate,IF($R101=0,$X101,IF(AND($T101&lt;&gt;"",EDATE($D101,Milestones!$AA$140)&gt;=$T101),$W101,IF(AND($S101&lt;&gt;"",EDATE($D101,Milestones!$AA$140)&gt;=$S101),$V101,$U101)))=Milestones!$AB$140),UPPER(TEXT(EDATE($D101,Milestones!$AA$140),"dd mmm yy"))&amp;" "&amp;Milestones!$AB$140&amp;" "&amp;Milestones!$AC$140&amp;";  ","")&amp;IF(AND(EDATE($D101,Milestones!$AA$141)&lt;=AsOfDate,IF($R101=0,$X101,IF(AND($T101&lt;&gt;"",EDATE($D101,Milestones!$AA$141)&gt;=$T101),$W101,IF(AND($S101&lt;&gt;"",EDATE($D101,Milestones!$AA$141)&gt;=$S101),$V101,$U101)))=Milestones!$AB$141),UPPER(TEXT(EDATE($D101,Milestones!$AA$141),"dd mmm yy"))&amp;" "&amp;Milestones!$AB$141&amp;" "&amp;Milestones!$AC$141&amp;";  ","")&amp;IF(AND(EDATE($D101,Milestones!$AA$142)&lt;=AsOfDate,IF($R101=0,$X101,IF(AND($T101&lt;&gt;"",EDATE($D101,Milestones!$AA$142)&gt;=$T101),$W101,IF(AND($S101&lt;&gt;"",EDATE($D101,Milestones!$AA$142)&gt;=$S101),$V101,$U101)))=Milestones!$AB$142),UPPER(TEXT(EDATE($D101,Milestones!$AA$142),"dd mmm yy"))&amp;" "&amp;Milestones!$AB$142&amp;" "&amp;Milestones!$AC$142&amp;";  ","")&amp;IF(AND(EDATE($D101,Milestones!$AA$143)&lt;=AsOfDate,IF($R101=0,$X101,IF(AND($T101&lt;&gt;"",EDATE($D101,Milestones!$AA$143)&gt;=$T101),$W101,IF(AND($S101&lt;&gt;"",EDATE($D101,Milestones!$AA$143)&gt;=$S101),$V101,$U101)))=Milestones!$AB$143),UPPER(TEXT(EDATE($D101,Milestones!$AA$143),"dd mmm yy"))&amp;" "&amp;Milestones!$AB$143&amp;" "&amp;Milestones!$AC$143&amp;";  ","")&amp;IF(AND(EDATE($D101,Milestones!$AA$144)&lt;=AsOfDate,IF($R101=0,$X101,IF(AND($T101&lt;&gt;"",EDATE($D101,Milestones!$AA$144)&gt;=$T101),$W101,IF(AND($S101&lt;&gt;"",EDATE($D101,Milestones!$AA$144)&gt;=$S101),$V101,$U101)))=Milestones!$AB$144),UPPER(TEXT(EDATE($D101,Milestones!$AA$144),"dd mmm yy"))&amp;" "&amp;Milestones!$AB$144&amp;" "&amp;Milestones!$AC$144&amp;";  ","")&amp;IF(AND(EDATE($D101,Milestones!$AA$145)&lt;=AsOfDate,IF($R101=0,$X101,IF(AND($T101&lt;&gt;"",EDATE($D101,Milestones!$AA$145)&gt;=$T101),$W101,IF(AND($S101&lt;&gt;"",EDATE($D101,Milestones!$AA$145)&gt;=$S101),$V101,$U101)))=Milestones!$AB$145),UPPER(TEXT(EDATE($D101,Milestones!$AA$145),"dd mmm yy"))&amp;" "&amp;Milestones!$AB$145&amp;" "&amp;Milestones!$AC$145&amp;";  ","")&amp;IF(AND(EDATE($D101,Milestones!$AA$146)&lt;=AsOfDate,IF($R101=0,$X101,IF(AND($T101&lt;&gt;"",EDATE($D101,Milestones!$AA$146)&gt;=$T101),$W101,IF(AND($S101&lt;&gt;"",EDATE($D101,Milestones!$AA$146)&gt;=$S101),$V101,$U101)))=Milestones!$AB$146),UPPER(TEXT(EDATE($D101,Milestones!$AA$146),"dd mmm yy"))&amp;" "&amp;Milestones!$AB$146&amp;" "&amp;Milestones!$AC$146&amp;";  ","")&amp;IF(AND(EDATE($D101,Milestones!$AA$147)&lt;=AsOfDate,IF($R101=0,$X101,IF(AND($T101&lt;&gt;"",EDATE($D101,Milestones!$AA$147)&gt;=$T101),$W101,IF(AND($S101&lt;&gt;"",EDATE($D101,Milestones!$AA$147)&gt;=$S101),$V101,$U101)))=Milestones!$AB$147),UPPER(TEXT(EDATE($D101,Milestones!$AA$147),"dd mmm yy"))&amp;" "&amp;Milestones!$AB$147&amp;" "&amp;Milestones!$AC$147&amp;";  ","")&amp;IF(AND(EDATE($D101,Milestones!$AA$148)&lt;=AsOfDate,IF($R101=0,$X101,IF(AND($T101&lt;&gt;"",EDATE($D101,Milestones!$AA$148)&gt;=$T101),$W101,IF(AND($S101&lt;&gt;"",EDATE($D101,Milestones!$AA$148)&gt;=$S101),$V101,$U101)))=Milestones!$AB$148),UPPER(TEXT(EDATE($D101,Milestones!$AA$148),"dd mmm yy"))&amp;" "&amp;Milestones!$AB$148&amp;" "&amp;Milestones!$AC$148&amp;";  ","")&amp;IF(AND(EDATE($D101,Milestones!$AA$149)&lt;=AsOfDate,IF($R101=0,$X101,IF(AND($T101&lt;&gt;"",EDATE($D101,Milestones!$AA$149)&gt;=$T101),$W101,IF(AND($S101&lt;&gt;"",EDATE($D101,Milestones!$AA$149)&gt;=$S101),$V101,$U101)))=Milestones!$AB$149),UPPER(TEXT(EDATE($D101,Milestones!$AA$149),"dd mmm yy"))&amp;" "&amp;Milestones!$AB$149&amp;" "&amp;Milestones!$AC$149&amp;";  ","")&amp;IF(AND(EDATE($D101,Milestones!$AA$150)&lt;=AsOfDate,IF($R101=0,$X101,IF(AND($T101&lt;&gt;"",EDATE($D101,Milestones!$AA$150)&gt;=$T101),$W101,IF(AND($S101&lt;&gt;"",EDATE($D101,Milestones!$AA$150)&gt;=$S101),$V101,$U101)))=Milestones!$AB$150),UPPER(TEXT(EDATE($D101,Milestones!$AA$150),"dd mmm yy"))&amp;" "&amp;Milestones!$AB$150&amp;" "&amp;Milestones!$AC$150&amp;";  ","")&amp;IF(AND(EDATE($D101,Milestones!$AA$151)&lt;=AsOfDate,IF($R101=0,$X101,IF(AND($T101&lt;&gt;"",EDATE($D101,Milestones!$AA$151)&gt;=$T101),$W101,IF(AND($S101&lt;&gt;"",EDATE($D101,Milestones!$AA$151)&gt;=$S101),$V101,$U101)))=Milestones!$AB$151),UPPER(TEXT(EDATE($D101,Milestones!$AA$151),"dd mmm yy"))&amp;" "&amp;Milestones!$AB$151&amp;" "&amp;Milestones!$AC$151&amp;";  ","")&amp;IF(AND(EDATE($D101,Milestones!$AA$152)&lt;=AsOfDate,IF($R101=0,$X101,IF(AND($T101&lt;&gt;"",EDATE($D101,Milestones!$AA$152)&gt;=$T101),$W101,IF(AND($S101&lt;&gt;"",EDATE($D101,Milestones!$AA$152)&gt;=$S101),$V101,$U101)))=Milestones!$AB$152),UPPER(TEXT(EDATE($D101,Milestones!$AA$152),"dd mmm yy"))&amp;" "&amp;Milestones!$AB$152&amp;" "&amp;Milestones!$AC$152&amp;";  ","")&amp;IF(AND(EDATE($D101,Milestones!$AA$153)&lt;=AsOfDate,IF($R101=0,$X101,IF(AND($T101&lt;&gt;"",EDATE($D101,Milestones!$AA$153)&gt;=$T101),$W101,IF(AND($S101&lt;&gt;"",EDATE($D101,Milestones!$AA$153)&gt;=$S101),$V101,$U101)))=Milestones!$AB$153),UPPER(TEXT(EDATE($D101,Milestones!$AA$153),"dd mmm yy"))&amp;" "&amp;Milestones!$AB$153&amp;" "&amp;Milestones!$AC$153&amp;";  ","")&amp;IF(AND(EDATE($D101,Milestones!$AA$154)&lt;=AsOfDate,IF($R101=0,$X101,IF(AND($T101&lt;&gt;"",EDATE($D101,Milestones!$AA$154)&gt;=$T101),$W101,IF(AND($S101&lt;&gt;"",EDATE($D101,Milestones!$AA$154)&gt;=$S101),$V101,$U101)))=Milestones!$AB$154),UPPER(TEXT(EDATE($D101,Milestones!$AA$154),"dd mmm yy"))&amp;" "&amp;Milestones!$AB$154&amp;" "&amp;Milestones!$AC$154&amp;";  ","")&amp;IF(AND(EDATE($D101,Milestones!$AA$155)&lt;=AsOfDate,IF($R101=0,$X101,IF(AND($T101&lt;&gt;"",EDATE($D101,Milestones!$AA$155)&gt;=$T101),$W101,IF(AND($S101&lt;&gt;"",EDATE($D101,Milestones!$AA$155)&gt;=$S101),$V101,$U101)))=Milestones!$AB$155),UPPER(TEXT(EDATE($D101,Milestones!$AA$155),"dd mmm yy"))&amp;" "&amp;Milestones!$AB$155&amp;" "&amp;Milestones!$AC$155&amp;";  ","")&amp;IF(AND(EDATE($D101,Milestones!$AA$156)&lt;=AsOfDate,IF($R101=0,$X101,IF(AND($T101&lt;&gt;"",EDATE($D101,Milestones!$AA$156)&gt;=$T101),$W101,IF(AND($S101&lt;&gt;"",EDATE($D101,Milestones!$AA$156)&gt;=$S101),$V101,$U101)))=Milestones!$AB$156),UPPER(TEXT(EDATE($D101,Milestones!$AA$156),"dd mmm yy"))&amp;" "&amp;Milestones!$AB$156&amp;" "&amp;Milestones!$AC$156&amp;";  ","")&amp;IF(AND(EDATE($D101,Milestones!$AA$157)&lt;=AsOfDate,IF($R101=0,$X101,IF(AND($T101&lt;&gt;"",EDATE($D101,Milestones!$AA$157)&gt;=$T101),$W101,IF(AND($S101&lt;&gt;"",EDATE($D101,Milestones!$AA$157)&gt;=$S101),$V101,$U101)))=Milestones!$AB$157),UPPER(TEXT(EDATE($D101,Milestones!$AA$157),"dd mmm yy"))&amp;" "&amp;Milestones!$AB$157&amp;" "&amp;Milestones!$AC$157&amp;";  ","")&amp;IF(AND(EDATE($D101,Milestones!$AA$158)&lt;=AsOfDate,IF($R101=0,$X101,IF(AND($T101&lt;&gt;"",EDATE($D101,Milestones!$AA$158)&gt;=$T101),$W101,IF(AND($S101&lt;&gt;"",EDATE($D101,Milestones!$AA$158)&gt;=$S101),$V101,$U101)))=Milestones!$AB$158),UPPER(TEXT(EDATE($D101,Milestones!$AA$158),"dd mmm yy"))&amp;" "&amp;Milestones!$AB$158&amp;" "&amp;Milestones!$AC$158&amp;";  ","")&amp;IF(AND(EDATE($D101,Milestones!$AA$159)&lt;=AsOfDate,IF($R101=0,$X101,IF(AND($T101&lt;&gt;"",EDATE($D101,Milestones!$AA$159)&gt;=$T101),$W101,IF(AND($S101&lt;&gt;"",EDATE($D101,Milestones!$AA$159)&gt;=$S101),$V101,$U101)))=Milestones!$AB$159),UPPER(TEXT(EDATE($D101,Milestones!$AA$159),"dd mmm yy"))&amp;" "&amp;Milestones!$AB$159&amp;" "&amp;Milestones!$AC$159&amp;";  ",""))</f>
        <v/>
      </c>
      <c r="P101" s="0" t="str">
        <f aca="false">IF(OR($A101="",$D101=""),"",IF(AND(EDATE($D101,Milestones!$AA$160)&lt;=AsOfDate,IF($R101=0,$X101,IF(AND($T101&lt;&gt;"",EDATE($D101,Milestones!$AA$160)&gt;=$T101),$W101,IF(AND($S101&lt;&gt;"",EDATE($D101,Milestones!$AA$160)&gt;=$S101),$V101,$U101)))=Milestones!$AB$160),UPPER(TEXT(EDATE($D101,Milestones!$AA$160),"dd mmm yy"))&amp;" "&amp;Milestones!$AB$160&amp;" "&amp;Milestones!$AC$160&amp;";  ","")&amp;IF(AND(EDATE($D101,Milestones!$AA$161)&lt;=AsOfDate,IF($R101=0,$X101,IF(AND($T101&lt;&gt;"",EDATE($D101,Milestones!$AA$161)&gt;=$T101),$W101,IF(AND($S101&lt;&gt;"",EDATE($D101,Milestones!$AA$161)&gt;=$S101),$V101,$U101)))=Milestones!$AB$161),UPPER(TEXT(EDATE($D101,Milestones!$AA$161),"dd mmm yy"))&amp;" "&amp;Milestones!$AB$161&amp;" "&amp;Milestones!$AC$161&amp;";  ","")&amp;IF(AND(EDATE($D101,Milestones!$AA$162)&lt;=AsOfDate,IF($R101=0,$X101,IF(AND($T101&lt;&gt;"",EDATE($D101,Milestones!$AA$162)&gt;=$T101),$W101,IF(AND($S101&lt;&gt;"",EDATE($D101,Milestones!$AA$162)&gt;=$S101),$V101,$U101)))=Milestones!$AB$162),UPPER(TEXT(EDATE($D101,Milestones!$AA$162),"dd mmm yy"))&amp;" "&amp;Milestones!$AB$162&amp;" "&amp;Milestones!$AC$162&amp;";  ","")&amp;IF(AND(EDATE($D101,Milestones!$AA$163)&lt;=AsOfDate,IF($R101=0,$X101,IF(AND($T101&lt;&gt;"",EDATE($D101,Milestones!$AA$163)&gt;=$T101),$W101,IF(AND($S101&lt;&gt;"",EDATE($D101,Milestones!$AA$163)&gt;=$S101),$V101,$U101)))=Milestones!$AB$163),UPPER(TEXT(EDATE($D101,Milestones!$AA$163),"dd mmm yy"))&amp;" "&amp;Milestones!$AB$163&amp;" "&amp;Milestones!$AC$163&amp;";  ","")&amp;IF(AND(EDATE($D101,Milestones!$AA$164)&lt;=AsOfDate,IF($R101=0,$X101,IF(AND($T101&lt;&gt;"",EDATE($D101,Milestones!$AA$164)&gt;=$T101),$W101,IF(AND($S101&lt;&gt;"",EDATE($D101,Milestones!$AA$164)&gt;=$S101),$V101,$U101)))=Milestones!$AB$164),UPPER(TEXT(EDATE($D101,Milestones!$AA$164),"dd mmm yy"))&amp;" "&amp;Milestones!$AB$164&amp;" "&amp;Milestones!$AC$164&amp;";  ","")&amp;IF(AND(EDATE($D101,Milestones!$AA$165)&lt;=AsOfDate,IF($R101=0,$X101,IF(AND($T101&lt;&gt;"",EDATE($D101,Milestones!$AA$165)&gt;=$T101),$W101,IF(AND($S101&lt;&gt;"",EDATE($D101,Milestones!$AA$165)&gt;=$S101),$V101,$U101)))=Milestones!$AB$165),UPPER(TEXT(EDATE($D101,Milestones!$AA$165),"dd mmm yy"))&amp;" "&amp;Milestones!$AB$165&amp;" "&amp;Milestones!$AC$165&amp;";  ","")&amp;IF(AND(EDATE($D101,Milestones!$AA$166)&lt;=AsOfDate,IF($R101=0,$X101,IF(AND($T101&lt;&gt;"",EDATE($D101,Milestones!$AA$166)&gt;=$T101),$W101,IF(AND($S101&lt;&gt;"",EDATE($D101,Milestones!$AA$166)&gt;=$S101),$V101,$U101)))=Milestones!$AB$166),UPPER(TEXT(EDATE($D101,Milestones!$AA$166),"dd mmm yy"))&amp;" "&amp;Milestones!$AB$166&amp;" "&amp;Milestones!$AC$166&amp;";  ","")&amp;IF(AND(EDATE($D101,Milestones!$AA$167)&lt;=AsOfDate,IF($R101=0,$X101,IF(AND($T101&lt;&gt;"",EDATE($D101,Milestones!$AA$167)&gt;=$T101),$W101,IF(AND($S101&lt;&gt;"",EDATE($D101,Milestones!$AA$167)&gt;=$S101),$V101,$U101)))=Milestones!$AB$167),UPPER(TEXT(EDATE($D101,Milestones!$AA$167),"dd mmm yy"))&amp;" "&amp;Milestones!$AB$167&amp;" "&amp;Milestones!$AC$167&amp;";  ","")&amp;IF(AND(EDATE($D101,Milestones!$AA$168)&lt;=AsOfDate,IF($R101=0,$X101,IF(AND($T101&lt;&gt;"",EDATE($D101,Milestones!$AA$168)&gt;=$T101),$W101,IF(AND($S101&lt;&gt;"",EDATE($D101,Milestones!$AA$168)&gt;=$S101),$V101,$U101)))=Milestones!$AB$168),UPPER(TEXT(EDATE($D101,Milestones!$AA$168),"dd mmm yy"))&amp;" "&amp;Milestones!$AB$168&amp;" "&amp;Milestones!$AC$168&amp;";  ","")&amp;IF(AND(EDATE($D101,Milestones!$AA$169)&lt;=AsOfDate,IF($R101=0,$X101,IF(AND($T101&lt;&gt;"",EDATE($D101,Milestones!$AA$169)&gt;=$T101),$W101,IF(AND($S101&lt;&gt;"",EDATE($D101,Milestones!$AA$169)&gt;=$S101),$V101,$U101)))=Milestones!$AB$169),UPPER(TEXT(EDATE($D101,Milestones!$AA$169),"dd mmm yy"))&amp;" "&amp;Milestones!$AB$169&amp;" "&amp;Milestones!$AC$169&amp;";  ","")&amp;IF(AND(EDATE($D101,Milestones!$AA$170)&lt;=AsOfDate,IF($R101=0,$X101,IF(AND($T101&lt;&gt;"",EDATE($D101,Milestones!$AA$170)&gt;=$T101),$W101,IF(AND($S101&lt;&gt;"",EDATE($D101,Milestones!$AA$170)&gt;=$S101),$V101,$U101)))=Milestones!$AB$170),UPPER(TEXT(EDATE($D101,Milestones!$AA$170),"dd mmm yy"))&amp;" "&amp;Milestones!$AB$170&amp;" "&amp;Milestones!$AC$170&amp;";  ","")&amp;IF(AND(EDATE($D101,Milestones!$AA$171)&lt;=AsOfDate,IF($R101=0,$X101,IF(AND($T101&lt;&gt;"",EDATE($D101,Milestones!$AA$171)&gt;=$T101),$W101,IF(AND($S101&lt;&gt;"",EDATE($D101,Milestones!$AA$171)&gt;=$S101),$V101,$U101)))=Milestones!$AB$171),UPPER(TEXT(EDATE($D101,Milestones!$AA$171),"dd mmm yy"))&amp;" "&amp;Milestones!$AB$171&amp;" "&amp;Milestones!$AC$171&amp;";  ","")&amp;IF(AND(EDATE($D101,Milestones!$AA$172)&lt;=AsOfDate,IF($R101=0,$X101,IF(AND($T101&lt;&gt;"",EDATE($D101,Milestones!$AA$172)&gt;=$T101),$W101,IF(AND($S101&lt;&gt;"",EDATE($D101,Milestones!$AA$172)&gt;=$S101),$V101,$U101)))=Milestones!$AB$172),UPPER(TEXT(EDATE($D101,Milestones!$AA$172),"dd mmm yy"))&amp;" "&amp;Milestones!$AB$172&amp;" "&amp;Milestones!$AC$172&amp;";  ","")&amp;IF(AND(EDATE($D101,Milestones!$AA$173)&lt;=AsOfDate,IF($R101=0,$X101,IF(AND($T101&lt;&gt;"",EDATE($D101,Milestones!$AA$173)&gt;=$T101),$W101,IF(AND($S101&lt;&gt;"",EDATE($D101,Milestones!$AA$173)&gt;=$S101),$V101,$U101)))=Milestones!$AB$173),UPPER(TEXT(EDATE($D101,Milestones!$AA$173),"dd mmm yy"))&amp;" "&amp;Milestones!$AB$173&amp;" "&amp;Milestones!$AC$173&amp;";  ","")&amp;IF(AND(EDATE($D101,Milestones!$AA$174)&lt;=AsOfDate,IF($R101=0,$X101,IF(AND($T101&lt;&gt;"",EDATE($D101,Milestones!$AA$174)&gt;=$T101),$W101,IF(AND($S101&lt;&gt;"",EDATE($D101,Milestones!$AA$174)&gt;=$S101),$V101,$U101)))=Milestones!$AB$174),UPPER(TEXT(EDATE($D101,Milestones!$AA$174),"dd mmm yy"))&amp;" "&amp;Milestones!$AB$174&amp;" "&amp;Milestones!$AC$174&amp;";  ","")&amp;IF(AND(EDATE($D101,Milestones!$AA$175)&lt;=AsOfDate,IF($R101=0,$X101,IF(AND($T101&lt;&gt;"",EDATE($D101,Milestones!$AA$175)&gt;=$T101),$W101,IF(AND($S101&lt;&gt;"",EDATE($D101,Milestones!$AA$175)&gt;=$S101),$V101,$U101)))=Milestones!$AB$175),UPPER(TEXT(EDATE($D101,Milestones!$AA$175),"dd mmm yy"))&amp;" "&amp;Milestones!$AB$175&amp;" "&amp;Milestones!$AC$175&amp;";  ","")&amp;IF(AND(EDATE($D101,Milestones!$AA$176)&lt;=AsOfDate,IF($R101=0,$X101,IF(AND($T101&lt;&gt;"",EDATE($D101,Milestones!$AA$176)&gt;=$T101),$W101,IF(AND($S101&lt;&gt;"",EDATE($D101,Milestones!$AA$176)&gt;=$S101),$V101,$U101)))=Milestones!$AB$176),UPPER(TEXT(EDATE($D101,Milestones!$AA$176),"dd mmm yy"))&amp;" "&amp;Milestones!$AB$176&amp;" "&amp;Milestones!$AC$176&amp;";  ","")&amp;IF(AND(EDATE($D101,Milestones!$AA$177)&lt;=AsOfDate,IF($R101=0,$X101,IF(AND($T101&lt;&gt;"",EDATE($D101,Milestones!$AA$177)&gt;=$T101),$W101,IF(AND($S101&lt;&gt;"",EDATE($D101,Milestones!$AA$177)&gt;=$S101),$V101,$U101)))=Milestones!$AB$177),UPPER(TEXT(EDATE($D101,Milestones!$AA$177),"dd mmm yy"))&amp;" "&amp;Milestones!$AB$177&amp;" "&amp;Milestones!$AC$177&amp;";  ","")&amp;IF(AND(EDATE($D101,Milestones!$AA$178)&lt;=AsOfDate,IF($R101=0,$X101,IF(AND($T101&lt;&gt;"",EDATE($D101,Milestones!$AA$178)&gt;=$T101),$W101,IF(AND($S101&lt;&gt;"",EDATE($D101,Milestones!$AA$178)&gt;=$S101),$V101,$U101)))=Milestones!$AB$178),UPPER(TEXT(EDATE($D101,Milestones!$AA$178),"dd mmm yy"))&amp;" "&amp;Milestones!$AB$178&amp;" "&amp;Milestones!$AC$178&amp;";  ","")&amp;IF(AND(EDATE($D101,Milestones!$AA$179)&lt;=AsOfDate,IF($R101=0,$X101,IF(AND($T101&lt;&gt;"",EDATE($D101,Milestones!$AA$179)&gt;=$T101),$W101,IF(AND($S101&lt;&gt;"",EDATE($D101,Milestones!$AA$179)&gt;=$S101),$V101,$U101)))=Milestones!$AB$179),UPPER(TEXT(EDATE($D101,Milestones!$AA$179),"dd mmm yy"))&amp;" "&amp;Milestones!$AB$179&amp;" "&amp;Milestones!$AC$179&amp;";  ",""))</f>
        <v/>
      </c>
      <c r="Q101" s="0" t="str">
        <f aca="false">IF(OR($A101="",$D101=""),"",IF(AND(EDATE($D101,Milestones!$AA$180)&lt;=AsOfDate,IF($R101=0,$X101,IF(AND($T101&lt;&gt;"",EDATE($D101,Milestones!$AA$180)&gt;=$T101),$W101,IF(AND($S101&lt;&gt;"",EDATE($D101,Milestones!$AA$180)&gt;=$S101),$V101,$U101)))=Milestones!$AB$180),UPPER(TEXT(EDATE($D101,Milestones!$AA$180),"dd mmm yy"))&amp;" "&amp;Milestones!$AB$180&amp;" "&amp;Milestones!$AC$180&amp;";  ","")&amp;IF(AND(EDATE($D101,Milestones!$AA$181)&lt;=AsOfDate,IF($R101=0,$X101,IF(AND($T101&lt;&gt;"",EDATE($D101,Milestones!$AA$181)&gt;=$T101),$W101,IF(AND($S101&lt;&gt;"",EDATE($D101,Milestones!$AA$181)&gt;=$S101),$V101,$U101)))=Milestones!$AB$181),UPPER(TEXT(EDATE($D101,Milestones!$AA$181),"dd mmm yy"))&amp;" "&amp;Milestones!$AB$181&amp;" "&amp;Milestones!$AC$181&amp;";  ","")&amp;IF(AND(EDATE($D101,Milestones!$AA$182)&lt;=AsOfDate,IF($R101=0,$X101,IF(AND($T101&lt;&gt;"",EDATE($D101,Milestones!$AA$182)&gt;=$T101),$W101,IF(AND($S101&lt;&gt;"",EDATE($D101,Milestones!$AA$182)&gt;=$S101),$V101,$U101)))=Milestones!$AB$182),UPPER(TEXT(EDATE($D101,Milestones!$AA$182),"dd mmm yy"))&amp;" "&amp;Milestones!$AB$182&amp;" "&amp;Milestones!$AC$182&amp;";  ","")&amp;IF(AND(EDATE($D101,Milestones!$AA$183)&lt;=AsOfDate,IF($R101=0,$X101,IF(AND($T101&lt;&gt;"",EDATE($D101,Milestones!$AA$183)&gt;=$T101),$W101,IF(AND($S101&lt;&gt;"",EDATE($D101,Milestones!$AA$183)&gt;=$S101),$V101,$U101)))=Milestones!$AB$183),UPPER(TEXT(EDATE($D101,Milestones!$AA$183),"dd mmm yy"))&amp;" "&amp;Milestones!$AB$183&amp;" "&amp;Milestones!$AC$183&amp;";  ","")&amp;IF(AND(EDATE($D101,Milestones!$AA$184)&lt;=AsOfDate,IF($R101=0,$X101,IF(AND($T101&lt;&gt;"",EDATE($D101,Milestones!$AA$184)&gt;=$T101),$W101,IF(AND($S101&lt;&gt;"",EDATE($D101,Milestones!$AA$184)&gt;=$S101),$V101,$U101)))=Milestones!$AB$184),UPPER(TEXT(EDATE($D101,Milestones!$AA$184),"dd mmm yy"))&amp;" "&amp;Milestones!$AB$184&amp;" "&amp;Milestones!$AC$184&amp;";  ","")&amp;IF(AND(EDATE($D101,Milestones!$AA$185)&lt;=AsOfDate,IF($R101=0,$X101,IF(AND($T101&lt;&gt;"",EDATE($D101,Milestones!$AA$185)&gt;=$T101),$W101,IF(AND($S101&lt;&gt;"",EDATE($D101,Milestones!$AA$185)&gt;=$S101),$V101,$U101)))=Milestones!$AB$185),UPPER(TEXT(EDATE($D101,Milestones!$AA$185),"dd mmm yy"))&amp;" "&amp;Milestones!$AB$185&amp;" "&amp;Milestones!$AC$185&amp;";  ","")&amp;IF(AND(EDATE($D101,Milestones!$AA$186)&lt;=AsOfDate,IF($R101=0,$X101,IF(AND($T101&lt;&gt;"",EDATE($D101,Milestones!$AA$186)&gt;=$T101),$W101,IF(AND($S101&lt;&gt;"",EDATE($D101,Milestones!$AA$186)&gt;=$S101),$V101,$U101)))=Milestones!$AB$186),UPPER(TEXT(EDATE($D101,Milestones!$AA$186),"dd mmm yy"))&amp;" "&amp;Milestones!$AB$186&amp;" "&amp;Milestones!$AC$186&amp;";  ","")&amp;IF(AND(EDATE($D101,Milestones!$AA$187)&lt;=AsOfDate,IF($R101=0,$X101,IF(AND($T101&lt;&gt;"",EDATE($D101,Milestones!$AA$187)&gt;=$T101),$W101,IF(AND($S101&lt;&gt;"",EDATE($D101,Milestones!$AA$187)&gt;=$S101),$V101,$U101)))=Milestones!$AB$187),UPPER(TEXT(EDATE($D101,Milestones!$AA$187),"dd mmm yy"))&amp;" "&amp;Milestones!$AB$187&amp;" "&amp;Milestones!$AC$187&amp;";  ","")&amp;IF(AND(EDATE($D101,Milestones!$AA$188)&lt;=AsOfDate,IF($R101=0,$X101,IF(AND($T101&lt;&gt;"",EDATE($D101,Milestones!$AA$188)&gt;=$T101),$W101,IF(AND($S101&lt;&gt;"",EDATE($D101,Milestones!$AA$188)&gt;=$S101),$V101,$U101)))=Milestones!$AB$188),UPPER(TEXT(EDATE($D101,Milestones!$AA$188),"dd mmm yy"))&amp;" "&amp;Milestones!$AB$188&amp;" "&amp;Milestones!$AC$188&amp;";  ","")&amp;IF(AND(EDATE($D101,Milestones!$AA$189)&lt;=AsOfDate,IF($R101=0,$X101,IF(AND($T101&lt;&gt;"",EDATE($D101,Milestones!$AA$189)&gt;=$T101),$W101,IF(AND($S101&lt;&gt;"",EDATE($D101,Milestones!$AA$189)&gt;=$S101),$V101,$U101)))=Milestones!$AB$189),UPPER(TEXT(EDATE($D101,Milestones!$AA$189),"dd mmm yy"))&amp;" "&amp;Milestones!$AB$189&amp;" "&amp;Milestones!$AC$189&amp;";  ","")&amp;IF(AND(EDATE($D101,Milestones!$AA$190)&lt;=AsOfDate,IF($R101=0,$X101,IF(AND($T101&lt;&gt;"",EDATE($D101,Milestones!$AA$190)&gt;=$T101),$W101,IF(AND($S101&lt;&gt;"",EDATE($D101,Milestones!$AA$190)&gt;=$S101),$V101,$U101)))=Milestones!$AB$190),UPPER(TEXT(EDATE($D101,Milestones!$AA$190),"dd mmm yy"))&amp;" "&amp;Milestones!$AB$190&amp;" "&amp;Milestones!$AC$190&amp;";  ","")&amp;IF(AND(EDATE($D101,Milestones!$AA$191)&lt;=AsOfDate,IF($R101=0,$X101,IF(AND($T101&lt;&gt;"",EDATE($D101,Milestones!$AA$191)&gt;=$T101),$W101,IF(AND($S101&lt;&gt;"",EDATE($D101,Milestones!$AA$191)&gt;=$S101),$V101,$U101)))=Milestones!$AB$191),UPPER(TEXT(EDATE($D101,Milestones!$AA$191),"dd mmm yy"))&amp;" "&amp;Milestones!$AB$191&amp;" "&amp;Milestones!$AC$191&amp;";  ","")&amp;IF(AND(EDATE($D101,Milestones!$AA$192)&lt;=AsOfDate,IF($R101=0,$X101,IF(AND($T101&lt;&gt;"",EDATE($D101,Milestones!$AA$192)&gt;=$T101),$W101,IF(AND($S101&lt;&gt;"",EDATE($D101,Milestones!$AA$192)&gt;=$S101),$V101,$U101)))=Milestones!$AB$192),UPPER(TEXT(EDATE($D101,Milestones!$AA$192),"dd mmm yy"))&amp;" "&amp;Milestones!$AB$192&amp;" "&amp;Milestones!$AC$192&amp;";  ","")&amp;IF(AND(EDATE($D101,Milestones!$AA$193)&lt;=AsOfDate,IF($R101=0,$X101,IF(AND($T101&lt;&gt;"",EDATE($D101,Milestones!$AA$193)&gt;=$T101),$W101,IF(AND($S101&lt;&gt;"",EDATE($D101,Milestones!$AA$193)&gt;=$S101),$V101,$U101)))=Milestones!$AB$193),UPPER(TEXT(EDATE($D101,Milestones!$AA$193),"dd mmm yy"))&amp;" "&amp;Milestones!$AB$193&amp;" "&amp;Milestones!$AC$193&amp;";  ","")&amp;IF(AND(EDATE($D101,Milestones!$AA$194)&lt;=AsOfDate,IF($R101=0,$X101,IF(AND($T101&lt;&gt;"",EDATE($D101,Milestones!$AA$194)&gt;=$T101),$W101,IF(AND($S101&lt;&gt;"",EDATE($D101,Milestones!$AA$194)&gt;=$S101),$V101,$U101)))=Milestones!$AB$194),UPPER(TEXT(EDATE($D101,Milestones!$AA$194),"dd mmm yy"))&amp;" "&amp;Milestones!$AB$194&amp;" "&amp;Milestones!$AC$194&amp;";  ","")&amp;IF(AND(EDATE($D101,Milestones!$AA$195)&lt;=AsOfDate,IF($R101=0,$X101,IF(AND($T101&lt;&gt;"",EDATE($D101,Milestones!$AA$195)&gt;=$T101),$W101,IF(AND($S101&lt;&gt;"",EDATE($D101,Milestones!$AA$195)&gt;=$S101),$V101,$U101)))=Milestones!$AB$195),UPPER(TEXT(EDATE($D101,Milestones!$AA$195),"dd mmm yy"))&amp;" "&amp;Milestones!$AB$195&amp;" "&amp;Milestones!$AC$195&amp;";  ","")&amp;IF(AND(EDATE($D101,Milestones!$AA$196)&lt;=AsOfDate,IF($R101=0,$X101,IF(AND($T101&lt;&gt;"",EDATE($D101,Milestones!$AA$196)&gt;=$T101),$W101,IF(AND($S101&lt;&gt;"",EDATE($D101,Milestones!$AA$196)&gt;=$S101),$V101,$U101)))=Milestones!$AB$196),UPPER(TEXT(EDATE($D101,Milestones!$AA$196),"dd mmm yy"))&amp;" "&amp;Milestones!$AB$196&amp;" "&amp;Milestones!$AC$196&amp;";  ","")&amp;IF(AND(EDATE($D101,Milestones!$AA$197)&lt;=AsOfDate,IF($R101=0,$X101,IF(AND($T101&lt;&gt;"",EDATE($D101,Milestones!$AA$197)&gt;=$T101),$W101,IF(AND($S101&lt;&gt;"",EDATE($D101,Milestones!$AA$197)&gt;=$S101),$V101,$U101)))=Milestones!$AB$197),UPPER(TEXT(EDATE($D101,Milestones!$AA$197),"dd mmm yy"))&amp;" "&amp;Milestones!$AB$197&amp;" "&amp;Milestones!$AC$197&amp;";  ","")&amp;IF(AND(EDATE($D101,Milestones!$AA$198)&lt;=AsOfDate,IF($R101=0,$X101,IF(AND($T101&lt;&gt;"",EDATE($D101,Milestones!$AA$198)&gt;=$T101),$W101,IF(AND($S101&lt;&gt;"",EDATE($D101,Milestones!$AA$198)&gt;=$S101),$V101,$U101)))=Milestones!$AB$198),UPPER(TEXT(EDATE($D101,Milestones!$AA$198),"dd mmm yy"))&amp;" "&amp;Milestones!$AB$198&amp;" "&amp;Milestones!$AC$198&amp;";  ","")&amp;IF(AND(EDATE($D101,Milestones!$AA$199)&lt;=AsOfDate,IF($R101=0,$X101,IF(AND($T101&lt;&gt;"",EDATE($D101,Milestones!$AA$199)&gt;=$T101),$W101,IF(AND($S101&lt;&gt;"",EDATE($D101,Milestones!$AA$199)&gt;=$S101),$V101,$U101)))=Milestones!$AB$199),UPPER(TEXT(EDATE($D101,Milestones!$AA$199),"dd mmm yy"))&amp;" "&amp;Milestones!$AB$199&amp;" "&amp;Milestones!$AC$199&amp;";  ",""))</f>
        <v/>
      </c>
      <c r="R101" s="0" t="str">
        <f aca="false">IF(Staff!$A101="","",Staff!$AI101)</f>
        <v/>
      </c>
      <c r="S101" s="0" t="str">
        <f aca="false">IF(Staff!$A101="","",Staff!$AK101)</f>
        <v/>
      </c>
      <c r="T101" s="0" t="str">
        <f aca="false">IF(Staff!$A101="","",Staff!$AL101)</f>
        <v/>
      </c>
      <c r="U101" s="0" t="str">
        <f aca="false">IF(Staff!$A101="","",Staff!$AP101)</f>
        <v/>
      </c>
      <c r="V101" s="0" t="str">
        <f aca="false">IF(Staff!$A101="","",Staff!$AQ101)</f>
        <v/>
      </c>
      <c r="W101" s="0" t="str">
        <f aca="false">IF(Staff!$A101="","",Staff!$AR101)</f>
        <v/>
      </c>
      <c r="X101" s="0" t="str">
        <f aca="false">IF(Staff!$A101="","",Staff!$AS101)</f>
        <v/>
      </c>
    </row>
    <row r="102" customFormat="false" ht="15" hidden="false" customHeight="false" outlineLevel="0" collapsed="false">
      <c r="A102" s="19" t="str">
        <f aca="false">IF(Staff!$A102="","",Staff!$A102)</f>
        <v/>
      </c>
      <c r="B102" s="19" t="str">
        <f aca="false">IF(Staff!$A102="","",Staff!$B102)</f>
        <v/>
      </c>
      <c r="C102" s="19" t="str">
        <f aca="false">IF(Staff!$A102="","",Staff!$C102)</f>
        <v/>
      </c>
      <c r="D102" s="17" t="str">
        <f aca="false">IF(Staff!$A102="","",Staff!$AH102)</f>
        <v/>
      </c>
      <c r="E102" s="19" t="str">
        <f aca="false">IF(Staff!$A102="","",Staff!$O102)</f>
        <v/>
      </c>
      <c r="F102" s="19" t="str">
        <f aca="false">IF(E102="","",E102*HoursPerDay)</f>
        <v/>
      </c>
      <c r="G102" s="19" t="str">
        <f aca="false">IF(Staff!$A102="","",Staff!$AE102)</f>
        <v/>
      </c>
      <c r="H102" s="32" t="str">
        <f aca="false">IF($A102="","",I102&amp;J102&amp;K102&amp;L102&amp;M102&amp;N102&amp;O102&amp;P102&amp;Q102)</f>
        <v/>
      </c>
      <c r="I102" s="0" t="str">
        <f aca="false">IF(OR($A102="",$D102=""),"",IF(AND(EDATE($D102,Milestones!$AA$20)&lt;=AsOfDate,IF($R102=0,$X102,IF(AND($T102&lt;&gt;"",EDATE($D102,Milestones!$AA$20)&gt;=$T102),$W102,IF(AND($S102&lt;&gt;"",EDATE($D102,Milestones!$AA$20)&gt;=$S102),$V102,$U102)))=Milestones!$AB$20),UPPER(TEXT(EDATE($D102,Milestones!$AA$20),"dd mmm yy"))&amp;" "&amp;Milestones!$AB$20&amp;" "&amp;Milestones!$AC$20&amp;";  ","")&amp;IF(AND(EDATE($D102,Milestones!$AA$21)&lt;=AsOfDate,IF($R102=0,$X102,IF(AND($T102&lt;&gt;"",EDATE($D102,Milestones!$AA$21)&gt;=$T102),$W102,IF(AND($S102&lt;&gt;"",EDATE($D102,Milestones!$AA$21)&gt;=$S102),$V102,$U102)))=Milestones!$AB$21),UPPER(TEXT(EDATE($D102,Milestones!$AA$21),"dd mmm yy"))&amp;" "&amp;Milestones!$AB$21&amp;" "&amp;Milestones!$AC$21&amp;";  ","")&amp;IF(AND(EDATE($D102,Milestones!$AA$22)&lt;=AsOfDate,IF($R102=0,$X102,IF(AND($T102&lt;&gt;"",EDATE($D102,Milestones!$AA$22)&gt;=$T102),$W102,IF(AND($S102&lt;&gt;"",EDATE($D102,Milestones!$AA$22)&gt;=$S102),$V102,$U102)))=Milestones!$AB$22),UPPER(TEXT(EDATE($D102,Milestones!$AA$22),"dd mmm yy"))&amp;" "&amp;Milestones!$AB$22&amp;" "&amp;Milestones!$AC$22&amp;";  ","")&amp;IF(AND(EDATE($D102,Milestones!$AA$23)&lt;=AsOfDate,IF($R102=0,$X102,IF(AND($T102&lt;&gt;"",EDATE($D102,Milestones!$AA$23)&gt;=$T102),$W102,IF(AND($S102&lt;&gt;"",EDATE($D102,Milestones!$AA$23)&gt;=$S102),$V102,$U102)))=Milestones!$AB$23),UPPER(TEXT(EDATE($D102,Milestones!$AA$23),"dd mmm yy"))&amp;" "&amp;Milestones!$AB$23&amp;" "&amp;Milestones!$AC$23&amp;";  ","")&amp;IF(AND(EDATE($D102,Milestones!$AA$24)&lt;=AsOfDate,IF($R102=0,$X102,IF(AND($T102&lt;&gt;"",EDATE($D102,Milestones!$AA$24)&gt;=$T102),$W102,IF(AND($S102&lt;&gt;"",EDATE($D102,Milestones!$AA$24)&gt;=$S102),$V102,$U102)))=Milestones!$AB$24),UPPER(TEXT(EDATE($D102,Milestones!$AA$24),"dd mmm yy"))&amp;" "&amp;Milestones!$AB$24&amp;" "&amp;Milestones!$AC$24&amp;";  ","")&amp;IF(AND(EDATE($D102,Milestones!$AA$25)&lt;=AsOfDate,IF($R102=0,$X102,IF(AND($T102&lt;&gt;"",EDATE($D102,Milestones!$AA$25)&gt;=$T102),$W102,IF(AND($S102&lt;&gt;"",EDATE($D102,Milestones!$AA$25)&gt;=$S102),$V102,$U102)))=Milestones!$AB$25),UPPER(TEXT(EDATE($D102,Milestones!$AA$25),"dd mmm yy"))&amp;" "&amp;Milestones!$AB$25&amp;" "&amp;Milestones!$AC$25&amp;";  ","")&amp;IF(AND(EDATE($D102,Milestones!$AA$26)&lt;=AsOfDate,IF($R102=0,$X102,IF(AND($T102&lt;&gt;"",EDATE($D102,Milestones!$AA$26)&gt;=$T102),$W102,IF(AND($S102&lt;&gt;"",EDATE($D102,Milestones!$AA$26)&gt;=$S102),$V102,$U102)))=Milestones!$AB$26),UPPER(TEXT(EDATE($D102,Milestones!$AA$26),"dd mmm yy"))&amp;" "&amp;Milestones!$AB$26&amp;" "&amp;Milestones!$AC$26&amp;";  ","")&amp;IF(AND(EDATE($D102,Milestones!$AA$27)&lt;=AsOfDate,IF($R102=0,$X102,IF(AND($T102&lt;&gt;"",EDATE($D102,Milestones!$AA$27)&gt;=$T102),$W102,IF(AND($S102&lt;&gt;"",EDATE($D102,Milestones!$AA$27)&gt;=$S102),$V102,$U102)))=Milestones!$AB$27),UPPER(TEXT(EDATE($D102,Milestones!$AA$27),"dd mmm yy"))&amp;" "&amp;Milestones!$AB$27&amp;" "&amp;Milestones!$AC$27&amp;";  ","")&amp;IF(AND(EDATE($D102,Milestones!$AA$28)&lt;=AsOfDate,IF($R102=0,$X102,IF(AND($T102&lt;&gt;"",EDATE($D102,Milestones!$AA$28)&gt;=$T102),$W102,IF(AND($S102&lt;&gt;"",EDATE($D102,Milestones!$AA$28)&gt;=$S102),$V102,$U102)))=Milestones!$AB$28),UPPER(TEXT(EDATE($D102,Milestones!$AA$28),"dd mmm yy"))&amp;" "&amp;Milestones!$AB$28&amp;" "&amp;Milestones!$AC$28&amp;";  ","")&amp;IF(AND(EDATE($D102,Milestones!$AA$29)&lt;=AsOfDate,IF($R102=0,$X102,IF(AND($T102&lt;&gt;"",EDATE($D102,Milestones!$AA$29)&gt;=$T102),$W102,IF(AND($S102&lt;&gt;"",EDATE($D102,Milestones!$AA$29)&gt;=$S102),$V102,$U102)))=Milestones!$AB$29),UPPER(TEXT(EDATE($D102,Milestones!$AA$29),"dd mmm yy"))&amp;" "&amp;Milestones!$AB$29&amp;" "&amp;Milestones!$AC$29&amp;";  ","")&amp;IF(AND(EDATE($D102,Milestones!$AA$30)&lt;=AsOfDate,IF($R102=0,$X102,IF(AND($T102&lt;&gt;"",EDATE($D102,Milestones!$AA$30)&gt;=$T102),$W102,IF(AND($S102&lt;&gt;"",EDATE($D102,Milestones!$AA$30)&gt;=$S102),$V102,$U102)))=Milestones!$AB$30),UPPER(TEXT(EDATE($D102,Milestones!$AA$30),"dd mmm yy"))&amp;" "&amp;Milestones!$AB$30&amp;" "&amp;Milestones!$AC$30&amp;";  ","")&amp;IF(AND(EDATE($D102,Milestones!$AA$31)&lt;=AsOfDate,IF($R102=0,$X102,IF(AND($T102&lt;&gt;"",EDATE($D102,Milestones!$AA$31)&gt;=$T102),$W102,IF(AND($S102&lt;&gt;"",EDATE($D102,Milestones!$AA$31)&gt;=$S102),$V102,$U102)))=Milestones!$AB$31),UPPER(TEXT(EDATE($D102,Milestones!$AA$31),"dd mmm yy"))&amp;" "&amp;Milestones!$AB$31&amp;" "&amp;Milestones!$AC$31&amp;";  ","")&amp;IF(AND(EDATE($D102,Milestones!$AA$32)&lt;=AsOfDate,IF($R102=0,$X102,IF(AND($T102&lt;&gt;"",EDATE($D102,Milestones!$AA$32)&gt;=$T102),$W102,IF(AND($S102&lt;&gt;"",EDATE($D102,Milestones!$AA$32)&gt;=$S102),$V102,$U102)))=Milestones!$AB$32),UPPER(TEXT(EDATE($D102,Milestones!$AA$32),"dd mmm yy"))&amp;" "&amp;Milestones!$AB$32&amp;" "&amp;Milestones!$AC$32&amp;";  ","")&amp;IF(AND(EDATE($D102,Milestones!$AA$33)&lt;=AsOfDate,IF($R102=0,$X102,IF(AND($T102&lt;&gt;"",EDATE($D102,Milestones!$AA$33)&gt;=$T102),$W102,IF(AND($S102&lt;&gt;"",EDATE($D102,Milestones!$AA$33)&gt;=$S102),$V102,$U102)))=Milestones!$AB$33),UPPER(TEXT(EDATE($D102,Milestones!$AA$33),"dd mmm yy"))&amp;" "&amp;Milestones!$AB$33&amp;" "&amp;Milestones!$AC$33&amp;";  ","")&amp;IF(AND(EDATE($D102,Milestones!$AA$34)&lt;=AsOfDate,IF($R102=0,$X102,IF(AND($T102&lt;&gt;"",EDATE($D102,Milestones!$AA$34)&gt;=$T102),$W102,IF(AND($S102&lt;&gt;"",EDATE($D102,Milestones!$AA$34)&gt;=$S102),$V102,$U102)))=Milestones!$AB$34),UPPER(TEXT(EDATE($D102,Milestones!$AA$34),"dd mmm yy"))&amp;" "&amp;Milestones!$AB$34&amp;" "&amp;Milestones!$AC$34&amp;";  ","")&amp;IF(AND(EDATE($D102,Milestones!$AA$35)&lt;=AsOfDate,IF($R102=0,$X102,IF(AND($T102&lt;&gt;"",EDATE($D102,Milestones!$AA$35)&gt;=$T102),$W102,IF(AND($S102&lt;&gt;"",EDATE($D102,Milestones!$AA$35)&gt;=$S102),$V102,$U102)))=Milestones!$AB$35),UPPER(TEXT(EDATE($D102,Milestones!$AA$35),"dd mmm yy"))&amp;" "&amp;Milestones!$AB$35&amp;" "&amp;Milestones!$AC$35&amp;";  ","")&amp;IF(AND(EDATE($D102,Milestones!$AA$36)&lt;=AsOfDate,IF($R102=0,$X102,IF(AND($T102&lt;&gt;"",EDATE($D102,Milestones!$AA$36)&gt;=$T102),$W102,IF(AND($S102&lt;&gt;"",EDATE($D102,Milestones!$AA$36)&gt;=$S102),$V102,$U102)))=Milestones!$AB$36),UPPER(TEXT(EDATE($D102,Milestones!$AA$36),"dd mmm yy"))&amp;" "&amp;Milestones!$AB$36&amp;" "&amp;Milestones!$AC$36&amp;";  ","")&amp;IF(AND(EDATE($D102,Milestones!$AA$37)&lt;=AsOfDate,IF($R102=0,$X102,IF(AND($T102&lt;&gt;"",EDATE($D102,Milestones!$AA$37)&gt;=$T102),$W102,IF(AND($S102&lt;&gt;"",EDATE($D102,Milestones!$AA$37)&gt;=$S102),$V102,$U102)))=Milestones!$AB$37),UPPER(TEXT(EDATE($D102,Milestones!$AA$37),"dd mmm yy"))&amp;" "&amp;Milestones!$AB$37&amp;" "&amp;Milestones!$AC$37&amp;";  ","")&amp;IF(AND(EDATE($D102,Milestones!$AA$38)&lt;=AsOfDate,IF($R102=0,$X102,IF(AND($T102&lt;&gt;"",EDATE($D102,Milestones!$AA$38)&gt;=$T102),$W102,IF(AND($S102&lt;&gt;"",EDATE($D102,Milestones!$AA$38)&gt;=$S102),$V102,$U102)))=Milestones!$AB$38),UPPER(TEXT(EDATE($D102,Milestones!$AA$38),"dd mmm yy"))&amp;" "&amp;Milestones!$AB$38&amp;" "&amp;Milestones!$AC$38&amp;";  ","")&amp;IF(AND(EDATE($D102,Milestones!$AA$39)&lt;=AsOfDate,IF($R102=0,$X102,IF(AND($T102&lt;&gt;"",EDATE($D102,Milestones!$AA$39)&gt;=$T102),$W102,IF(AND($S102&lt;&gt;"",EDATE($D102,Milestones!$AA$39)&gt;=$S102),$V102,$U102)))=Milestones!$AB$39),UPPER(TEXT(EDATE($D102,Milestones!$AA$39),"dd mmm yy"))&amp;" "&amp;Milestones!$AB$39&amp;" "&amp;Milestones!$AC$39&amp;";  ",""))</f>
        <v/>
      </c>
      <c r="J102" s="0" t="str">
        <f aca="false">IF(OR($A102="",$D102=""),"",IF(AND(EDATE($D102,Milestones!$AA$40)&lt;=AsOfDate,IF($R102=0,$X102,IF(AND($T102&lt;&gt;"",EDATE($D102,Milestones!$AA$40)&gt;=$T102),$W102,IF(AND($S102&lt;&gt;"",EDATE($D102,Milestones!$AA$40)&gt;=$S102),$V102,$U102)))=Milestones!$AB$40),UPPER(TEXT(EDATE($D102,Milestones!$AA$40),"dd mmm yy"))&amp;" "&amp;Milestones!$AB$40&amp;" "&amp;Milestones!$AC$40&amp;";  ","")&amp;IF(AND(EDATE($D102,Milestones!$AA$41)&lt;=AsOfDate,IF($R102=0,$X102,IF(AND($T102&lt;&gt;"",EDATE($D102,Milestones!$AA$41)&gt;=$T102),$W102,IF(AND($S102&lt;&gt;"",EDATE($D102,Milestones!$AA$41)&gt;=$S102),$V102,$U102)))=Milestones!$AB$41),UPPER(TEXT(EDATE($D102,Milestones!$AA$41),"dd mmm yy"))&amp;" "&amp;Milestones!$AB$41&amp;" "&amp;Milestones!$AC$41&amp;";  ","")&amp;IF(AND(EDATE($D102,Milestones!$AA$42)&lt;=AsOfDate,IF($R102=0,$X102,IF(AND($T102&lt;&gt;"",EDATE($D102,Milestones!$AA$42)&gt;=$T102),$W102,IF(AND($S102&lt;&gt;"",EDATE($D102,Milestones!$AA$42)&gt;=$S102),$V102,$U102)))=Milestones!$AB$42),UPPER(TEXT(EDATE($D102,Milestones!$AA$42),"dd mmm yy"))&amp;" "&amp;Milestones!$AB$42&amp;" "&amp;Milestones!$AC$42&amp;";  ","")&amp;IF(AND(EDATE($D102,Milestones!$AA$43)&lt;=AsOfDate,IF($R102=0,$X102,IF(AND($T102&lt;&gt;"",EDATE($D102,Milestones!$AA$43)&gt;=$T102),$W102,IF(AND($S102&lt;&gt;"",EDATE($D102,Milestones!$AA$43)&gt;=$S102),$V102,$U102)))=Milestones!$AB$43),UPPER(TEXT(EDATE($D102,Milestones!$AA$43),"dd mmm yy"))&amp;" "&amp;Milestones!$AB$43&amp;" "&amp;Milestones!$AC$43&amp;";  ","")&amp;IF(AND(EDATE($D102,Milestones!$AA$44)&lt;=AsOfDate,IF($R102=0,$X102,IF(AND($T102&lt;&gt;"",EDATE($D102,Milestones!$AA$44)&gt;=$T102),$W102,IF(AND($S102&lt;&gt;"",EDATE($D102,Milestones!$AA$44)&gt;=$S102),$V102,$U102)))=Milestones!$AB$44),UPPER(TEXT(EDATE($D102,Milestones!$AA$44),"dd mmm yy"))&amp;" "&amp;Milestones!$AB$44&amp;" "&amp;Milestones!$AC$44&amp;";  ","")&amp;IF(AND(EDATE($D102,Milestones!$AA$45)&lt;=AsOfDate,IF($R102=0,$X102,IF(AND($T102&lt;&gt;"",EDATE($D102,Milestones!$AA$45)&gt;=$T102),$W102,IF(AND($S102&lt;&gt;"",EDATE($D102,Milestones!$AA$45)&gt;=$S102),$V102,$U102)))=Milestones!$AB$45),UPPER(TEXT(EDATE($D102,Milestones!$AA$45),"dd mmm yy"))&amp;" "&amp;Milestones!$AB$45&amp;" "&amp;Milestones!$AC$45&amp;";  ","")&amp;IF(AND(EDATE($D102,Milestones!$AA$46)&lt;=AsOfDate,IF($R102=0,$X102,IF(AND($T102&lt;&gt;"",EDATE($D102,Milestones!$AA$46)&gt;=$T102),$W102,IF(AND($S102&lt;&gt;"",EDATE($D102,Milestones!$AA$46)&gt;=$S102),$V102,$U102)))=Milestones!$AB$46),UPPER(TEXT(EDATE($D102,Milestones!$AA$46),"dd mmm yy"))&amp;" "&amp;Milestones!$AB$46&amp;" "&amp;Milestones!$AC$46&amp;";  ","")&amp;IF(AND(EDATE($D102,Milestones!$AA$47)&lt;=AsOfDate,IF($R102=0,$X102,IF(AND($T102&lt;&gt;"",EDATE($D102,Milestones!$AA$47)&gt;=$T102),$W102,IF(AND($S102&lt;&gt;"",EDATE($D102,Milestones!$AA$47)&gt;=$S102),$V102,$U102)))=Milestones!$AB$47),UPPER(TEXT(EDATE($D102,Milestones!$AA$47),"dd mmm yy"))&amp;" "&amp;Milestones!$AB$47&amp;" "&amp;Milestones!$AC$47&amp;";  ","")&amp;IF(AND(EDATE($D102,Milestones!$AA$48)&lt;=AsOfDate,IF($R102=0,$X102,IF(AND($T102&lt;&gt;"",EDATE($D102,Milestones!$AA$48)&gt;=$T102),$W102,IF(AND($S102&lt;&gt;"",EDATE($D102,Milestones!$AA$48)&gt;=$S102),$V102,$U102)))=Milestones!$AB$48),UPPER(TEXT(EDATE($D102,Milestones!$AA$48),"dd mmm yy"))&amp;" "&amp;Milestones!$AB$48&amp;" "&amp;Milestones!$AC$48&amp;";  ","")&amp;IF(AND(EDATE($D102,Milestones!$AA$49)&lt;=AsOfDate,IF($R102=0,$X102,IF(AND($T102&lt;&gt;"",EDATE($D102,Milestones!$AA$49)&gt;=$T102),$W102,IF(AND($S102&lt;&gt;"",EDATE($D102,Milestones!$AA$49)&gt;=$S102),$V102,$U102)))=Milestones!$AB$49),UPPER(TEXT(EDATE($D102,Milestones!$AA$49),"dd mmm yy"))&amp;" "&amp;Milestones!$AB$49&amp;" "&amp;Milestones!$AC$49&amp;";  ","")&amp;IF(AND(EDATE($D102,Milestones!$AA$50)&lt;=AsOfDate,IF($R102=0,$X102,IF(AND($T102&lt;&gt;"",EDATE($D102,Milestones!$AA$50)&gt;=$T102),$W102,IF(AND($S102&lt;&gt;"",EDATE($D102,Milestones!$AA$50)&gt;=$S102),$V102,$U102)))=Milestones!$AB$50),UPPER(TEXT(EDATE($D102,Milestones!$AA$50),"dd mmm yy"))&amp;" "&amp;Milestones!$AB$50&amp;" "&amp;Milestones!$AC$50&amp;";  ","")&amp;IF(AND(EDATE($D102,Milestones!$AA$51)&lt;=AsOfDate,IF($R102=0,$X102,IF(AND($T102&lt;&gt;"",EDATE($D102,Milestones!$AA$51)&gt;=$T102),$W102,IF(AND($S102&lt;&gt;"",EDATE($D102,Milestones!$AA$51)&gt;=$S102),$V102,$U102)))=Milestones!$AB$51),UPPER(TEXT(EDATE($D102,Milestones!$AA$51),"dd mmm yy"))&amp;" "&amp;Milestones!$AB$51&amp;" "&amp;Milestones!$AC$51&amp;";  ","")&amp;IF(AND(EDATE($D102,Milestones!$AA$52)&lt;=AsOfDate,IF($R102=0,$X102,IF(AND($T102&lt;&gt;"",EDATE($D102,Milestones!$AA$52)&gt;=$T102),$W102,IF(AND($S102&lt;&gt;"",EDATE($D102,Milestones!$AA$52)&gt;=$S102),$V102,$U102)))=Milestones!$AB$52),UPPER(TEXT(EDATE($D102,Milestones!$AA$52),"dd mmm yy"))&amp;" "&amp;Milestones!$AB$52&amp;" "&amp;Milestones!$AC$52&amp;";  ","")&amp;IF(AND(EDATE($D102,Milestones!$AA$53)&lt;=AsOfDate,IF($R102=0,$X102,IF(AND($T102&lt;&gt;"",EDATE($D102,Milestones!$AA$53)&gt;=$T102),$W102,IF(AND($S102&lt;&gt;"",EDATE($D102,Milestones!$AA$53)&gt;=$S102),$V102,$U102)))=Milestones!$AB$53),UPPER(TEXT(EDATE($D102,Milestones!$AA$53),"dd mmm yy"))&amp;" "&amp;Milestones!$AB$53&amp;" "&amp;Milestones!$AC$53&amp;";  ","")&amp;IF(AND(EDATE($D102,Milestones!$AA$54)&lt;=AsOfDate,IF($R102=0,$X102,IF(AND($T102&lt;&gt;"",EDATE($D102,Milestones!$AA$54)&gt;=$T102),$W102,IF(AND($S102&lt;&gt;"",EDATE($D102,Milestones!$AA$54)&gt;=$S102),$V102,$U102)))=Milestones!$AB$54),UPPER(TEXT(EDATE($D102,Milestones!$AA$54),"dd mmm yy"))&amp;" "&amp;Milestones!$AB$54&amp;" "&amp;Milestones!$AC$54&amp;";  ","")&amp;IF(AND(EDATE($D102,Milestones!$AA$55)&lt;=AsOfDate,IF($R102=0,$X102,IF(AND($T102&lt;&gt;"",EDATE($D102,Milestones!$AA$55)&gt;=$T102),$W102,IF(AND($S102&lt;&gt;"",EDATE($D102,Milestones!$AA$55)&gt;=$S102),$V102,$U102)))=Milestones!$AB$55),UPPER(TEXT(EDATE($D102,Milestones!$AA$55),"dd mmm yy"))&amp;" "&amp;Milestones!$AB$55&amp;" "&amp;Milestones!$AC$55&amp;";  ","")&amp;IF(AND(EDATE($D102,Milestones!$AA$56)&lt;=AsOfDate,IF($R102=0,$X102,IF(AND($T102&lt;&gt;"",EDATE($D102,Milestones!$AA$56)&gt;=$T102),$W102,IF(AND($S102&lt;&gt;"",EDATE($D102,Milestones!$AA$56)&gt;=$S102),$V102,$U102)))=Milestones!$AB$56),UPPER(TEXT(EDATE($D102,Milestones!$AA$56),"dd mmm yy"))&amp;" "&amp;Milestones!$AB$56&amp;" "&amp;Milestones!$AC$56&amp;";  ","")&amp;IF(AND(EDATE($D102,Milestones!$AA$57)&lt;=AsOfDate,IF($R102=0,$X102,IF(AND($T102&lt;&gt;"",EDATE($D102,Milestones!$AA$57)&gt;=$T102),$W102,IF(AND($S102&lt;&gt;"",EDATE($D102,Milestones!$AA$57)&gt;=$S102),$V102,$U102)))=Milestones!$AB$57),UPPER(TEXT(EDATE($D102,Milestones!$AA$57),"dd mmm yy"))&amp;" "&amp;Milestones!$AB$57&amp;" "&amp;Milestones!$AC$57&amp;";  ","")&amp;IF(AND(EDATE($D102,Milestones!$AA$58)&lt;=AsOfDate,IF($R102=0,$X102,IF(AND($T102&lt;&gt;"",EDATE($D102,Milestones!$AA$58)&gt;=$T102),$W102,IF(AND($S102&lt;&gt;"",EDATE($D102,Milestones!$AA$58)&gt;=$S102),$V102,$U102)))=Milestones!$AB$58),UPPER(TEXT(EDATE($D102,Milestones!$AA$58),"dd mmm yy"))&amp;" "&amp;Milestones!$AB$58&amp;" "&amp;Milestones!$AC$58&amp;";  ","")&amp;IF(AND(EDATE($D102,Milestones!$AA$59)&lt;=AsOfDate,IF($R102=0,$X102,IF(AND($T102&lt;&gt;"",EDATE($D102,Milestones!$AA$59)&gt;=$T102),$W102,IF(AND($S102&lt;&gt;"",EDATE($D102,Milestones!$AA$59)&gt;=$S102),$V102,$U102)))=Milestones!$AB$59),UPPER(TEXT(EDATE($D102,Milestones!$AA$59),"dd mmm yy"))&amp;" "&amp;Milestones!$AB$59&amp;" "&amp;Milestones!$AC$59&amp;";  ",""))</f>
        <v/>
      </c>
      <c r="K102" s="0" t="str">
        <f aca="false">IF(OR($A102="",$D102=""),"",IF(AND(EDATE($D102,Milestones!$AA$60)&lt;=AsOfDate,IF($R102=0,$X102,IF(AND($T102&lt;&gt;"",EDATE($D102,Milestones!$AA$60)&gt;=$T102),$W102,IF(AND($S102&lt;&gt;"",EDATE($D102,Milestones!$AA$60)&gt;=$S102),$V102,$U102)))=Milestones!$AB$60),UPPER(TEXT(EDATE($D102,Milestones!$AA$60),"dd mmm yy"))&amp;" "&amp;Milestones!$AB$60&amp;" "&amp;Milestones!$AC$60&amp;";  ","")&amp;IF(AND(EDATE($D102,Milestones!$AA$61)&lt;=AsOfDate,IF($R102=0,$X102,IF(AND($T102&lt;&gt;"",EDATE($D102,Milestones!$AA$61)&gt;=$T102),$W102,IF(AND($S102&lt;&gt;"",EDATE($D102,Milestones!$AA$61)&gt;=$S102),$V102,$U102)))=Milestones!$AB$61),UPPER(TEXT(EDATE($D102,Milestones!$AA$61),"dd mmm yy"))&amp;" "&amp;Milestones!$AB$61&amp;" "&amp;Milestones!$AC$61&amp;";  ","")&amp;IF(AND(EDATE($D102,Milestones!$AA$62)&lt;=AsOfDate,IF($R102=0,$X102,IF(AND($T102&lt;&gt;"",EDATE($D102,Milestones!$AA$62)&gt;=$T102),$W102,IF(AND($S102&lt;&gt;"",EDATE($D102,Milestones!$AA$62)&gt;=$S102),$V102,$U102)))=Milestones!$AB$62),UPPER(TEXT(EDATE($D102,Milestones!$AA$62),"dd mmm yy"))&amp;" "&amp;Milestones!$AB$62&amp;" "&amp;Milestones!$AC$62&amp;";  ","")&amp;IF(AND(EDATE($D102,Milestones!$AA$63)&lt;=AsOfDate,IF($R102=0,$X102,IF(AND($T102&lt;&gt;"",EDATE($D102,Milestones!$AA$63)&gt;=$T102),$W102,IF(AND($S102&lt;&gt;"",EDATE($D102,Milestones!$AA$63)&gt;=$S102),$V102,$U102)))=Milestones!$AB$63),UPPER(TEXT(EDATE($D102,Milestones!$AA$63),"dd mmm yy"))&amp;" "&amp;Milestones!$AB$63&amp;" "&amp;Milestones!$AC$63&amp;";  ","")&amp;IF(AND(EDATE($D102,Milestones!$AA$64)&lt;=AsOfDate,IF($R102=0,$X102,IF(AND($T102&lt;&gt;"",EDATE($D102,Milestones!$AA$64)&gt;=$T102),$W102,IF(AND($S102&lt;&gt;"",EDATE($D102,Milestones!$AA$64)&gt;=$S102),$V102,$U102)))=Milestones!$AB$64),UPPER(TEXT(EDATE($D102,Milestones!$AA$64),"dd mmm yy"))&amp;" "&amp;Milestones!$AB$64&amp;" "&amp;Milestones!$AC$64&amp;";  ","")&amp;IF(AND(EDATE($D102,Milestones!$AA$65)&lt;=AsOfDate,IF($R102=0,$X102,IF(AND($T102&lt;&gt;"",EDATE($D102,Milestones!$AA$65)&gt;=$T102),$W102,IF(AND($S102&lt;&gt;"",EDATE($D102,Milestones!$AA$65)&gt;=$S102),$V102,$U102)))=Milestones!$AB$65),UPPER(TEXT(EDATE($D102,Milestones!$AA$65),"dd mmm yy"))&amp;" "&amp;Milestones!$AB$65&amp;" "&amp;Milestones!$AC$65&amp;";  ","")&amp;IF(AND(EDATE($D102,Milestones!$AA$66)&lt;=AsOfDate,IF($R102=0,$X102,IF(AND($T102&lt;&gt;"",EDATE($D102,Milestones!$AA$66)&gt;=$T102),$W102,IF(AND($S102&lt;&gt;"",EDATE($D102,Milestones!$AA$66)&gt;=$S102),$V102,$U102)))=Milestones!$AB$66),UPPER(TEXT(EDATE($D102,Milestones!$AA$66),"dd mmm yy"))&amp;" "&amp;Milestones!$AB$66&amp;" "&amp;Milestones!$AC$66&amp;";  ","")&amp;IF(AND(EDATE($D102,Milestones!$AA$67)&lt;=AsOfDate,IF($R102=0,$X102,IF(AND($T102&lt;&gt;"",EDATE($D102,Milestones!$AA$67)&gt;=$T102),$W102,IF(AND($S102&lt;&gt;"",EDATE($D102,Milestones!$AA$67)&gt;=$S102),$V102,$U102)))=Milestones!$AB$67),UPPER(TEXT(EDATE($D102,Milestones!$AA$67),"dd mmm yy"))&amp;" "&amp;Milestones!$AB$67&amp;" "&amp;Milestones!$AC$67&amp;";  ","")&amp;IF(AND(EDATE($D102,Milestones!$AA$68)&lt;=AsOfDate,IF($R102=0,$X102,IF(AND($T102&lt;&gt;"",EDATE($D102,Milestones!$AA$68)&gt;=$T102),$W102,IF(AND($S102&lt;&gt;"",EDATE($D102,Milestones!$AA$68)&gt;=$S102),$V102,$U102)))=Milestones!$AB$68),UPPER(TEXT(EDATE($D102,Milestones!$AA$68),"dd mmm yy"))&amp;" "&amp;Milestones!$AB$68&amp;" "&amp;Milestones!$AC$68&amp;";  ","")&amp;IF(AND(EDATE($D102,Milestones!$AA$69)&lt;=AsOfDate,IF($R102=0,$X102,IF(AND($T102&lt;&gt;"",EDATE($D102,Milestones!$AA$69)&gt;=$T102),$W102,IF(AND($S102&lt;&gt;"",EDATE($D102,Milestones!$AA$69)&gt;=$S102),$V102,$U102)))=Milestones!$AB$69),UPPER(TEXT(EDATE($D102,Milestones!$AA$69),"dd mmm yy"))&amp;" "&amp;Milestones!$AB$69&amp;" "&amp;Milestones!$AC$69&amp;";  ","")&amp;IF(AND(EDATE($D102,Milestones!$AA$70)&lt;=AsOfDate,IF($R102=0,$X102,IF(AND($T102&lt;&gt;"",EDATE($D102,Milestones!$AA$70)&gt;=$T102),$W102,IF(AND($S102&lt;&gt;"",EDATE($D102,Milestones!$AA$70)&gt;=$S102),$V102,$U102)))=Milestones!$AB$70),UPPER(TEXT(EDATE($D102,Milestones!$AA$70),"dd mmm yy"))&amp;" "&amp;Milestones!$AB$70&amp;" "&amp;Milestones!$AC$70&amp;";  ","")&amp;IF(AND(EDATE($D102,Milestones!$AA$71)&lt;=AsOfDate,IF($R102=0,$X102,IF(AND($T102&lt;&gt;"",EDATE($D102,Milestones!$AA$71)&gt;=$T102),$W102,IF(AND($S102&lt;&gt;"",EDATE($D102,Milestones!$AA$71)&gt;=$S102),$V102,$U102)))=Milestones!$AB$71),UPPER(TEXT(EDATE($D102,Milestones!$AA$71),"dd mmm yy"))&amp;" "&amp;Milestones!$AB$71&amp;" "&amp;Milestones!$AC$71&amp;";  ","")&amp;IF(AND(EDATE($D102,Milestones!$AA$72)&lt;=AsOfDate,IF($R102=0,$X102,IF(AND($T102&lt;&gt;"",EDATE($D102,Milestones!$AA$72)&gt;=$T102),$W102,IF(AND($S102&lt;&gt;"",EDATE($D102,Milestones!$AA$72)&gt;=$S102),$V102,$U102)))=Milestones!$AB$72),UPPER(TEXT(EDATE($D102,Milestones!$AA$72),"dd mmm yy"))&amp;" "&amp;Milestones!$AB$72&amp;" "&amp;Milestones!$AC$72&amp;";  ","")&amp;IF(AND(EDATE($D102,Milestones!$AA$73)&lt;=AsOfDate,IF($R102=0,$X102,IF(AND($T102&lt;&gt;"",EDATE($D102,Milestones!$AA$73)&gt;=$T102),$W102,IF(AND($S102&lt;&gt;"",EDATE($D102,Milestones!$AA$73)&gt;=$S102),$V102,$U102)))=Milestones!$AB$73),UPPER(TEXT(EDATE($D102,Milestones!$AA$73),"dd mmm yy"))&amp;" "&amp;Milestones!$AB$73&amp;" "&amp;Milestones!$AC$73&amp;";  ","")&amp;IF(AND(EDATE($D102,Milestones!$AA$74)&lt;=AsOfDate,IF($R102=0,$X102,IF(AND($T102&lt;&gt;"",EDATE($D102,Milestones!$AA$74)&gt;=$T102),$W102,IF(AND($S102&lt;&gt;"",EDATE($D102,Milestones!$AA$74)&gt;=$S102),$V102,$U102)))=Milestones!$AB$74),UPPER(TEXT(EDATE($D102,Milestones!$AA$74),"dd mmm yy"))&amp;" "&amp;Milestones!$AB$74&amp;" "&amp;Milestones!$AC$74&amp;";  ","")&amp;IF(AND(EDATE($D102,Milestones!$AA$75)&lt;=AsOfDate,IF($R102=0,$X102,IF(AND($T102&lt;&gt;"",EDATE($D102,Milestones!$AA$75)&gt;=$T102),$W102,IF(AND($S102&lt;&gt;"",EDATE($D102,Milestones!$AA$75)&gt;=$S102),$V102,$U102)))=Milestones!$AB$75),UPPER(TEXT(EDATE($D102,Milestones!$AA$75),"dd mmm yy"))&amp;" "&amp;Milestones!$AB$75&amp;" "&amp;Milestones!$AC$75&amp;";  ","")&amp;IF(AND(EDATE($D102,Milestones!$AA$76)&lt;=AsOfDate,IF($R102=0,$X102,IF(AND($T102&lt;&gt;"",EDATE($D102,Milestones!$AA$76)&gt;=$T102),$W102,IF(AND($S102&lt;&gt;"",EDATE($D102,Milestones!$AA$76)&gt;=$S102),$V102,$U102)))=Milestones!$AB$76),UPPER(TEXT(EDATE($D102,Milestones!$AA$76),"dd mmm yy"))&amp;" "&amp;Milestones!$AB$76&amp;" "&amp;Milestones!$AC$76&amp;";  ","")&amp;IF(AND(EDATE($D102,Milestones!$AA$77)&lt;=AsOfDate,IF($R102=0,$X102,IF(AND($T102&lt;&gt;"",EDATE($D102,Milestones!$AA$77)&gt;=$T102),$W102,IF(AND($S102&lt;&gt;"",EDATE($D102,Milestones!$AA$77)&gt;=$S102),$V102,$U102)))=Milestones!$AB$77),UPPER(TEXT(EDATE($D102,Milestones!$AA$77),"dd mmm yy"))&amp;" "&amp;Milestones!$AB$77&amp;" "&amp;Milestones!$AC$77&amp;";  ","")&amp;IF(AND(EDATE($D102,Milestones!$AA$78)&lt;=AsOfDate,IF($R102=0,$X102,IF(AND($T102&lt;&gt;"",EDATE($D102,Milestones!$AA$78)&gt;=$T102),$W102,IF(AND($S102&lt;&gt;"",EDATE($D102,Milestones!$AA$78)&gt;=$S102),$V102,$U102)))=Milestones!$AB$78),UPPER(TEXT(EDATE($D102,Milestones!$AA$78),"dd mmm yy"))&amp;" "&amp;Milestones!$AB$78&amp;" "&amp;Milestones!$AC$78&amp;";  ","")&amp;IF(AND(EDATE($D102,Milestones!$AA$79)&lt;=AsOfDate,IF($R102=0,$X102,IF(AND($T102&lt;&gt;"",EDATE($D102,Milestones!$AA$79)&gt;=$T102),$W102,IF(AND($S102&lt;&gt;"",EDATE($D102,Milestones!$AA$79)&gt;=$S102),$V102,$U102)))=Milestones!$AB$79),UPPER(TEXT(EDATE($D102,Milestones!$AA$79),"dd mmm yy"))&amp;" "&amp;Milestones!$AB$79&amp;" "&amp;Milestones!$AC$79&amp;";  ",""))</f>
        <v/>
      </c>
      <c r="L102" s="0" t="str">
        <f aca="false">IF(OR($A102="",$D102=""),"",IF(AND(EDATE($D102,Milestones!$AA$80)&lt;=AsOfDate,IF($R102=0,$X102,IF(AND($T102&lt;&gt;"",EDATE($D102,Milestones!$AA$80)&gt;=$T102),$W102,IF(AND($S102&lt;&gt;"",EDATE($D102,Milestones!$AA$80)&gt;=$S102),$V102,$U102)))=Milestones!$AB$80),UPPER(TEXT(EDATE($D102,Milestones!$AA$80),"dd mmm yy"))&amp;" "&amp;Milestones!$AB$80&amp;" "&amp;Milestones!$AC$80&amp;";  ","")&amp;IF(AND(EDATE($D102,Milestones!$AA$81)&lt;=AsOfDate,IF($R102=0,$X102,IF(AND($T102&lt;&gt;"",EDATE($D102,Milestones!$AA$81)&gt;=$T102),$W102,IF(AND($S102&lt;&gt;"",EDATE($D102,Milestones!$AA$81)&gt;=$S102),$V102,$U102)))=Milestones!$AB$81),UPPER(TEXT(EDATE($D102,Milestones!$AA$81),"dd mmm yy"))&amp;" "&amp;Milestones!$AB$81&amp;" "&amp;Milestones!$AC$81&amp;";  ","")&amp;IF(AND(EDATE($D102,Milestones!$AA$82)&lt;=AsOfDate,IF($R102=0,$X102,IF(AND($T102&lt;&gt;"",EDATE($D102,Milestones!$AA$82)&gt;=$T102),$W102,IF(AND($S102&lt;&gt;"",EDATE($D102,Milestones!$AA$82)&gt;=$S102),$V102,$U102)))=Milestones!$AB$82),UPPER(TEXT(EDATE($D102,Milestones!$AA$82),"dd mmm yy"))&amp;" "&amp;Milestones!$AB$82&amp;" "&amp;Milestones!$AC$82&amp;";  ","")&amp;IF(AND(EDATE($D102,Milestones!$AA$83)&lt;=AsOfDate,IF($R102=0,$X102,IF(AND($T102&lt;&gt;"",EDATE($D102,Milestones!$AA$83)&gt;=$T102),$W102,IF(AND($S102&lt;&gt;"",EDATE($D102,Milestones!$AA$83)&gt;=$S102),$V102,$U102)))=Milestones!$AB$83),UPPER(TEXT(EDATE($D102,Milestones!$AA$83),"dd mmm yy"))&amp;" "&amp;Milestones!$AB$83&amp;" "&amp;Milestones!$AC$83&amp;";  ","")&amp;IF(AND(EDATE($D102,Milestones!$AA$84)&lt;=AsOfDate,IF($R102=0,$X102,IF(AND($T102&lt;&gt;"",EDATE($D102,Milestones!$AA$84)&gt;=$T102),$W102,IF(AND($S102&lt;&gt;"",EDATE($D102,Milestones!$AA$84)&gt;=$S102),$V102,$U102)))=Milestones!$AB$84),UPPER(TEXT(EDATE($D102,Milestones!$AA$84),"dd mmm yy"))&amp;" "&amp;Milestones!$AB$84&amp;" "&amp;Milestones!$AC$84&amp;";  ","")&amp;IF(AND(EDATE($D102,Milestones!$AA$85)&lt;=AsOfDate,IF($R102=0,$X102,IF(AND($T102&lt;&gt;"",EDATE($D102,Milestones!$AA$85)&gt;=$T102),$W102,IF(AND($S102&lt;&gt;"",EDATE($D102,Milestones!$AA$85)&gt;=$S102),$V102,$U102)))=Milestones!$AB$85),UPPER(TEXT(EDATE($D102,Milestones!$AA$85),"dd mmm yy"))&amp;" "&amp;Milestones!$AB$85&amp;" "&amp;Milestones!$AC$85&amp;";  ","")&amp;IF(AND(EDATE($D102,Milestones!$AA$86)&lt;=AsOfDate,IF($R102=0,$X102,IF(AND($T102&lt;&gt;"",EDATE($D102,Milestones!$AA$86)&gt;=$T102),$W102,IF(AND($S102&lt;&gt;"",EDATE($D102,Milestones!$AA$86)&gt;=$S102),$V102,$U102)))=Milestones!$AB$86),UPPER(TEXT(EDATE($D102,Milestones!$AA$86),"dd mmm yy"))&amp;" "&amp;Milestones!$AB$86&amp;" "&amp;Milestones!$AC$86&amp;";  ","")&amp;IF(AND(EDATE($D102,Milestones!$AA$87)&lt;=AsOfDate,IF($R102=0,$X102,IF(AND($T102&lt;&gt;"",EDATE($D102,Milestones!$AA$87)&gt;=$T102),$W102,IF(AND($S102&lt;&gt;"",EDATE($D102,Milestones!$AA$87)&gt;=$S102),$V102,$U102)))=Milestones!$AB$87),UPPER(TEXT(EDATE($D102,Milestones!$AA$87),"dd mmm yy"))&amp;" "&amp;Milestones!$AB$87&amp;" "&amp;Milestones!$AC$87&amp;";  ","")&amp;IF(AND(EDATE($D102,Milestones!$AA$88)&lt;=AsOfDate,IF($R102=0,$X102,IF(AND($T102&lt;&gt;"",EDATE($D102,Milestones!$AA$88)&gt;=$T102),$W102,IF(AND($S102&lt;&gt;"",EDATE($D102,Milestones!$AA$88)&gt;=$S102),$V102,$U102)))=Milestones!$AB$88),UPPER(TEXT(EDATE($D102,Milestones!$AA$88),"dd mmm yy"))&amp;" "&amp;Milestones!$AB$88&amp;" "&amp;Milestones!$AC$88&amp;";  ","")&amp;IF(AND(EDATE($D102,Milestones!$AA$89)&lt;=AsOfDate,IF($R102=0,$X102,IF(AND($T102&lt;&gt;"",EDATE($D102,Milestones!$AA$89)&gt;=$T102),$W102,IF(AND($S102&lt;&gt;"",EDATE($D102,Milestones!$AA$89)&gt;=$S102),$V102,$U102)))=Milestones!$AB$89),UPPER(TEXT(EDATE($D102,Milestones!$AA$89),"dd mmm yy"))&amp;" "&amp;Milestones!$AB$89&amp;" "&amp;Milestones!$AC$89&amp;";  ","")&amp;IF(AND(EDATE($D102,Milestones!$AA$90)&lt;=AsOfDate,IF($R102=0,$X102,IF(AND($T102&lt;&gt;"",EDATE($D102,Milestones!$AA$90)&gt;=$T102),$W102,IF(AND($S102&lt;&gt;"",EDATE($D102,Milestones!$AA$90)&gt;=$S102),$V102,$U102)))=Milestones!$AB$90),UPPER(TEXT(EDATE($D102,Milestones!$AA$90),"dd mmm yy"))&amp;" "&amp;Milestones!$AB$90&amp;" "&amp;Milestones!$AC$90&amp;";  ","")&amp;IF(AND(EDATE($D102,Milestones!$AA$91)&lt;=AsOfDate,IF($R102=0,$X102,IF(AND($T102&lt;&gt;"",EDATE($D102,Milestones!$AA$91)&gt;=$T102),$W102,IF(AND($S102&lt;&gt;"",EDATE($D102,Milestones!$AA$91)&gt;=$S102),$V102,$U102)))=Milestones!$AB$91),UPPER(TEXT(EDATE($D102,Milestones!$AA$91),"dd mmm yy"))&amp;" "&amp;Milestones!$AB$91&amp;" "&amp;Milestones!$AC$91&amp;";  ","")&amp;IF(AND(EDATE($D102,Milestones!$AA$92)&lt;=AsOfDate,IF($R102=0,$X102,IF(AND($T102&lt;&gt;"",EDATE($D102,Milestones!$AA$92)&gt;=$T102),$W102,IF(AND($S102&lt;&gt;"",EDATE($D102,Milestones!$AA$92)&gt;=$S102),$V102,$U102)))=Milestones!$AB$92),UPPER(TEXT(EDATE($D102,Milestones!$AA$92),"dd mmm yy"))&amp;" "&amp;Milestones!$AB$92&amp;" "&amp;Milestones!$AC$92&amp;";  ","")&amp;IF(AND(EDATE($D102,Milestones!$AA$93)&lt;=AsOfDate,IF($R102=0,$X102,IF(AND($T102&lt;&gt;"",EDATE($D102,Milestones!$AA$93)&gt;=$T102),$W102,IF(AND($S102&lt;&gt;"",EDATE($D102,Milestones!$AA$93)&gt;=$S102),$V102,$U102)))=Milestones!$AB$93),UPPER(TEXT(EDATE($D102,Milestones!$AA$93),"dd mmm yy"))&amp;" "&amp;Milestones!$AB$93&amp;" "&amp;Milestones!$AC$93&amp;";  ","")&amp;IF(AND(EDATE($D102,Milestones!$AA$94)&lt;=AsOfDate,IF($R102=0,$X102,IF(AND($T102&lt;&gt;"",EDATE($D102,Milestones!$AA$94)&gt;=$T102),$W102,IF(AND($S102&lt;&gt;"",EDATE($D102,Milestones!$AA$94)&gt;=$S102),$V102,$U102)))=Milestones!$AB$94),UPPER(TEXT(EDATE($D102,Milestones!$AA$94),"dd mmm yy"))&amp;" "&amp;Milestones!$AB$94&amp;" "&amp;Milestones!$AC$94&amp;";  ","")&amp;IF(AND(EDATE($D102,Milestones!$AA$95)&lt;=AsOfDate,IF($R102=0,$X102,IF(AND($T102&lt;&gt;"",EDATE($D102,Milestones!$AA$95)&gt;=$T102),$W102,IF(AND($S102&lt;&gt;"",EDATE($D102,Milestones!$AA$95)&gt;=$S102),$V102,$U102)))=Milestones!$AB$95),UPPER(TEXT(EDATE($D102,Milestones!$AA$95),"dd mmm yy"))&amp;" "&amp;Milestones!$AB$95&amp;" "&amp;Milestones!$AC$95&amp;";  ","")&amp;IF(AND(EDATE($D102,Milestones!$AA$96)&lt;=AsOfDate,IF($R102=0,$X102,IF(AND($T102&lt;&gt;"",EDATE($D102,Milestones!$AA$96)&gt;=$T102),$W102,IF(AND($S102&lt;&gt;"",EDATE($D102,Milestones!$AA$96)&gt;=$S102),$V102,$U102)))=Milestones!$AB$96),UPPER(TEXT(EDATE($D102,Milestones!$AA$96),"dd mmm yy"))&amp;" "&amp;Milestones!$AB$96&amp;" "&amp;Milestones!$AC$96&amp;";  ","")&amp;IF(AND(EDATE($D102,Milestones!$AA$97)&lt;=AsOfDate,IF($R102=0,$X102,IF(AND($T102&lt;&gt;"",EDATE($D102,Milestones!$AA$97)&gt;=$T102),$W102,IF(AND($S102&lt;&gt;"",EDATE($D102,Milestones!$AA$97)&gt;=$S102),$V102,$U102)))=Milestones!$AB$97),UPPER(TEXT(EDATE($D102,Milestones!$AA$97),"dd mmm yy"))&amp;" "&amp;Milestones!$AB$97&amp;" "&amp;Milestones!$AC$97&amp;";  ","")&amp;IF(AND(EDATE($D102,Milestones!$AA$98)&lt;=AsOfDate,IF($R102=0,$X102,IF(AND($T102&lt;&gt;"",EDATE($D102,Milestones!$AA$98)&gt;=$T102),$W102,IF(AND($S102&lt;&gt;"",EDATE($D102,Milestones!$AA$98)&gt;=$S102),$V102,$U102)))=Milestones!$AB$98),UPPER(TEXT(EDATE($D102,Milestones!$AA$98),"dd mmm yy"))&amp;" "&amp;Milestones!$AB$98&amp;" "&amp;Milestones!$AC$98&amp;";  ","")&amp;IF(AND(EDATE($D102,Milestones!$AA$99)&lt;=AsOfDate,IF($R102=0,$X102,IF(AND($T102&lt;&gt;"",EDATE($D102,Milestones!$AA$99)&gt;=$T102),$W102,IF(AND($S102&lt;&gt;"",EDATE($D102,Milestones!$AA$99)&gt;=$S102),$V102,$U102)))=Milestones!$AB$99),UPPER(TEXT(EDATE($D102,Milestones!$AA$99),"dd mmm yy"))&amp;" "&amp;Milestones!$AB$99&amp;" "&amp;Milestones!$AC$99&amp;";  ",""))</f>
        <v/>
      </c>
      <c r="M102" s="0" t="str">
        <f aca="false">IF(OR($A102="",$D102=""),"",IF(AND(EDATE($D102,Milestones!$AA$100)&lt;=AsOfDate,IF($R102=0,$X102,IF(AND($T102&lt;&gt;"",EDATE($D102,Milestones!$AA$100)&gt;=$T102),$W102,IF(AND($S102&lt;&gt;"",EDATE($D102,Milestones!$AA$100)&gt;=$S102),$V102,$U102)))=Milestones!$AB$100),UPPER(TEXT(EDATE($D102,Milestones!$AA$100),"dd mmm yy"))&amp;" "&amp;Milestones!$AB$100&amp;" "&amp;Milestones!$AC$100&amp;";  ","")&amp;IF(AND(EDATE($D102,Milestones!$AA$101)&lt;=AsOfDate,IF($R102=0,$X102,IF(AND($T102&lt;&gt;"",EDATE($D102,Milestones!$AA$101)&gt;=$T102),$W102,IF(AND($S102&lt;&gt;"",EDATE($D102,Milestones!$AA$101)&gt;=$S102),$V102,$U102)))=Milestones!$AB$101),UPPER(TEXT(EDATE($D102,Milestones!$AA$101),"dd mmm yy"))&amp;" "&amp;Milestones!$AB$101&amp;" "&amp;Milestones!$AC$101&amp;";  ","")&amp;IF(AND(EDATE($D102,Milestones!$AA$102)&lt;=AsOfDate,IF($R102=0,$X102,IF(AND($T102&lt;&gt;"",EDATE($D102,Milestones!$AA$102)&gt;=$T102),$W102,IF(AND($S102&lt;&gt;"",EDATE($D102,Milestones!$AA$102)&gt;=$S102),$V102,$U102)))=Milestones!$AB$102),UPPER(TEXT(EDATE($D102,Milestones!$AA$102),"dd mmm yy"))&amp;" "&amp;Milestones!$AB$102&amp;" "&amp;Milestones!$AC$102&amp;";  ","")&amp;IF(AND(EDATE($D102,Milestones!$AA$103)&lt;=AsOfDate,IF($R102=0,$X102,IF(AND($T102&lt;&gt;"",EDATE($D102,Milestones!$AA$103)&gt;=$T102),$W102,IF(AND($S102&lt;&gt;"",EDATE($D102,Milestones!$AA$103)&gt;=$S102),$V102,$U102)))=Milestones!$AB$103),UPPER(TEXT(EDATE($D102,Milestones!$AA$103),"dd mmm yy"))&amp;" "&amp;Milestones!$AB$103&amp;" "&amp;Milestones!$AC$103&amp;";  ","")&amp;IF(AND(EDATE($D102,Milestones!$AA$104)&lt;=AsOfDate,IF($R102=0,$X102,IF(AND($T102&lt;&gt;"",EDATE($D102,Milestones!$AA$104)&gt;=$T102),$W102,IF(AND($S102&lt;&gt;"",EDATE($D102,Milestones!$AA$104)&gt;=$S102),$V102,$U102)))=Milestones!$AB$104),UPPER(TEXT(EDATE($D102,Milestones!$AA$104),"dd mmm yy"))&amp;" "&amp;Milestones!$AB$104&amp;" "&amp;Milestones!$AC$104&amp;";  ","")&amp;IF(AND(EDATE($D102,Milestones!$AA$105)&lt;=AsOfDate,IF($R102=0,$X102,IF(AND($T102&lt;&gt;"",EDATE($D102,Milestones!$AA$105)&gt;=$T102),$W102,IF(AND($S102&lt;&gt;"",EDATE($D102,Milestones!$AA$105)&gt;=$S102),$V102,$U102)))=Milestones!$AB$105),UPPER(TEXT(EDATE($D102,Milestones!$AA$105),"dd mmm yy"))&amp;" "&amp;Milestones!$AB$105&amp;" "&amp;Milestones!$AC$105&amp;";  ","")&amp;IF(AND(EDATE($D102,Milestones!$AA$106)&lt;=AsOfDate,IF($R102=0,$X102,IF(AND($T102&lt;&gt;"",EDATE($D102,Milestones!$AA$106)&gt;=$T102),$W102,IF(AND($S102&lt;&gt;"",EDATE($D102,Milestones!$AA$106)&gt;=$S102),$V102,$U102)))=Milestones!$AB$106),UPPER(TEXT(EDATE($D102,Milestones!$AA$106),"dd mmm yy"))&amp;" "&amp;Milestones!$AB$106&amp;" "&amp;Milestones!$AC$106&amp;";  ","")&amp;IF(AND(EDATE($D102,Milestones!$AA$107)&lt;=AsOfDate,IF($R102=0,$X102,IF(AND($T102&lt;&gt;"",EDATE($D102,Milestones!$AA$107)&gt;=$T102),$W102,IF(AND($S102&lt;&gt;"",EDATE($D102,Milestones!$AA$107)&gt;=$S102),$V102,$U102)))=Milestones!$AB$107),UPPER(TEXT(EDATE($D102,Milestones!$AA$107),"dd mmm yy"))&amp;" "&amp;Milestones!$AB$107&amp;" "&amp;Milestones!$AC$107&amp;";  ","")&amp;IF(AND(EDATE($D102,Milestones!$AA$108)&lt;=AsOfDate,IF($R102=0,$X102,IF(AND($T102&lt;&gt;"",EDATE($D102,Milestones!$AA$108)&gt;=$T102),$W102,IF(AND($S102&lt;&gt;"",EDATE($D102,Milestones!$AA$108)&gt;=$S102),$V102,$U102)))=Milestones!$AB$108),UPPER(TEXT(EDATE($D102,Milestones!$AA$108),"dd mmm yy"))&amp;" "&amp;Milestones!$AB$108&amp;" "&amp;Milestones!$AC$108&amp;";  ","")&amp;IF(AND(EDATE($D102,Milestones!$AA$109)&lt;=AsOfDate,IF($R102=0,$X102,IF(AND($T102&lt;&gt;"",EDATE($D102,Milestones!$AA$109)&gt;=$T102),$W102,IF(AND($S102&lt;&gt;"",EDATE($D102,Milestones!$AA$109)&gt;=$S102),$V102,$U102)))=Milestones!$AB$109),UPPER(TEXT(EDATE($D102,Milestones!$AA$109),"dd mmm yy"))&amp;" "&amp;Milestones!$AB$109&amp;" "&amp;Milestones!$AC$109&amp;";  ","")&amp;IF(AND(EDATE($D102,Milestones!$AA$110)&lt;=AsOfDate,IF($R102=0,$X102,IF(AND($T102&lt;&gt;"",EDATE($D102,Milestones!$AA$110)&gt;=$T102),$W102,IF(AND($S102&lt;&gt;"",EDATE($D102,Milestones!$AA$110)&gt;=$S102),$V102,$U102)))=Milestones!$AB$110),UPPER(TEXT(EDATE($D102,Milestones!$AA$110),"dd mmm yy"))&amp;" "&amp;Milestones!$AB$110&amp;" "&amp;Milestones!$AC$110&amp;";  ","")&amp;IF(AND(EDATE($D102,Milestones!$AA$111)&lt;=AsOfDate,IF($R102=0,$X102,IF(AND($T102&lt;&gt;"",EDATE($D102,Milestones!$AA$111)&gt;=$T102),$W102,IF(AND($S102&lt;&gt;"",EDATE($D102,Milestones!$AA$111)&gt;=$S102),$V102,$U102)))=Milestones!$AB$111),UPPER(TEXT(EDATE($D102,Milestones!$AA$111),"dd mmm yy"))&amp;" "&amp;Milestones!$AB$111&amp;" "&amp;Milestones!$AC$111&amp;";  ","")&amp;IF(AND(EDATE($D102,Milestones!$AA$112)&lt;=AsOfDate,IF($R102=0,$X102,IF(AND($T102&lt;&gt;"",EDATE($D102,Milestones!$AA$112)&gt;=$T102),$W102,IF(AND($S102&lt;&gt;"",EDATE($D102,Milestones!$AA$112)&gt;=$S102),$V102,$U102)))=Milestones!$AB$112),UPPER(TEXT(EDATE($D102,Milestones!$AA$112),"dd mmm yy"))&amp;" "&amp;Milestones!$AB$112&amp;" "&amp;Milestones!$AC$112&amp;";  ","")&amp;IF(AND(EDATE($D102,Milestones!$AA$113)&lt;=AsOfDate,IF($R102=0,$X102,IF(AND($T102&lt;&gt;"",EDATE($D102,Milestones!$AA$113)&gt;=$T102),$W102,IF(AND($S102&lt;&gt;"",EDATE($D102,Milestones!$AA$113)&gt;=$S102),$V102,$U102)))=Milestones!$AB$113),UPPER(TEXT(EDATE($D102,Milestones!$AA$113),"dd mmm yy"))&amp;" "&amp;Milestones!$AB$113&amp;" "&amp;Milestones!$AC$113&amp;";  ","")&amp;IF(AND(EDATE($D102,Milestones!$AA$114)&lt;=AsOfDate,IF($R102=0,$X102,IF(AND($T102&lt;&gt;"",EDATE($D102,Milestones!$AA$114)&gt;=$T102),$W102,IF(AND($S102&lt;&gt;"",EDATE($D102,Milestones!$AA$114)&gt;=$S102),$V102,$U102)))=Milestones!$AB$114),UPPER(TEXT(EDATE($D102,Milestones!$AA$114),"dd mmm yy"))&amp;" "&amp;Milestones!$AB$114&amp;" "&amp;Milestones!$AC$114&amp;";  ","")&amp;IF(AND(EDATE($D102,Milestones!$AA$115)&lt;=AsOfDate,IF($R102=0,$X102,IF(AND($T102&lt;&gt;"",EDATE($D102,Milestones!$AA$115)&gt;=$T102),$W102,IF(AND($S102&lt;&gt;"",EDATE($D102,Milestones!$AA$115)&gt;=$S102),$V102,$U102)))=Milestones!$AB$115),UPPER(TEXT(EDATE($D102,Milestones!$AA$115),"dd mmm yy"))&amp;" "&amp;Milestones!$AB$115&amp;" "&amp;Milestones!$AC$115&amp;";  ","")&amp;IF(AND(EDATE($D102,Milestones!$AA$116)&lt;=AsOfDate,IF($R102=0,$X102,IF(AND($T102&lt;&gt;"",EDATE($D102,Milestones!$AA$116)&gt;=$T102),$W102,IF(AND($S102&lt;&gt;"",EDATE($D102,Milestones!$AA$116)&gt;=$S102),$V102,$U102)))=Milestones!$AB$116),UPPER(TEXT(EDATE($D102,Milestones!$AA$116),"dd mmm yy"))&amp;" "&amp;Milestones!$AB$116&amp;" "&amp;Milestones!$AC$116&amp;";  ","")&amp;IF(AND(EDATE($D102,Milestones!$AA$117)&lt;=AsOfDate,IF($R102=0,$X102,IF(AND($T102&lt;&gt;"",EDATE($D102,Milestones!$AA$117)&gt;=$T102),$W102,IF(AND($S102&lt;&gt;"",EDATE($D102,Milestones!$AA$117)&gt;=$S102),$V102,$U102)))=Milestones!$AB$117),UPPER(TEXT(EDATE($D102,Milestones!$AA$117),"dd mmm yy"))&amp;" "&amp;Milestones!$AB$117&amp;" "&amp;Milestones!$AC$117&amp;";  ","")&amp;IF(AND(EDATE($D102,Milestones!$AA$118)&lt;=AsOfDate,IF($R102=0,$X102,IF(AND($T102&lt;&gt;"",EDATE($D102,Milestones!$AA$118)&gt;=$T102),$W102,IF(AND($S102&lt;&gt;"",EDATE($D102,Milestones!$AA$118)&gt;=$S102),$V102,$U102)))=Milestones!$AB$118),UPPER(TEXT(EDATE($D102,Milestones!$AA$118),"dd mmm yy"))&amp;" "&amp;Milestones!$AB$118&amp;" "&amp;Milestones!$AC$118&amp;";  ","")&amp;IF(AND(EDATE($D102,Milestones!$AA$119)&lt;=AsOfDate,IF($R102=0,$X102,IF(AND($T102&lt;&gt;"",EDATE($D102,Milestones!$AA$119)&gt;=$T102),$W102,IF(AND($S102&lt;&gt;"",EDATE($D102,Milestones!$AA$119)&gt;=$S102),$V102,$U102)))=Milestones!$AB$119),UPPER(TEXT(EDATE($D102,Milestones!$AA$119),"dd mmm yy"))&amp;" "&amp;Milestones!$AB$119&amp;" "&amp;Milestones!$AC$119&amp;";  ",""))</f>
        <v/>
      </c>
      <c r="N102" s="0" t="str">
        <f aca="false">IF(OR($A102="",$D102=""),"",IF(AND(EDATE($D102,Milestones!$AA$120)&lt;=AsOfDate,IF($R102=0,$X102,IF(AND($T102&lt;&gt;"",EDATE($D102,Milestones!$AA$120)&gt;=$T102),$W102,IF(AND($S102&lt;&gt;"",EDATE($D102,Milestones!$AA$120)&gt;=$S102),$V102,$U102)))=Milestones!$AB$120),UPPER(TEXT(EDATE($D102,Milestones!$AA$120),"dd mmm yy"))&amp;" "&amp;Milestones!$AB$120&amp;" "&amp;Milestones!$AC$120&amp;";  ","")&amp;IF(AND(EDATE($D102,Milestones!$AA$121)&lt;=AsOfDate,IF($R102=0,$X102,IF(AND($T102&lt;&gt;"",EDATE($D102,Milestones!$AA$121)&gt;=$T102),$W102,IF(AND($S102&lt;&gt;"",EDATE($D102,Milestones!$AA$121)&gt;=$S102),$V102,$U102)))=Milestones!$AB$121),UPPER(TEXT(EDATE($D102,Milestones!$AA$121),"dd mmm yy"))&amp;" "&amp;Milestones!$AB$121&amp;" "&amp;Milestones!$AC$121&amp;";  ","")&amp;IF(AND(EDATE($D102,Milestones!$AA$122)&lt;=AsOfDate,IF($R102=0,$X102,IF(AND($T102&lt;&gt;"",EDATE($D102,Milestones!$AA$122)&gt;=$T102),$W102,IF(AND($S102&lt;&gt;"",EDATE($D102,Milestones!$AA$122)&gt;=$S102),$V102,$U102)))=Milestones!$AB$122),UPPER(TEXT(EDATE($D102,Milestones!$AA$122),"dd mmm yy"))&amp;" "&amp;Milestones!$AB$122&amp;" "&amp;Milestones!$AC$122&amp;";  ","")&amp;IF(AND(EDATE($D102,Milestones!$AA$123)&lt;=AsOfDate,IF($R102=0,$X102,IF(AND($T102&lt;&gt;"",EDATE($D102,Milestones!$AA$123)&gt;=$T102),$W102,IF(AND($S102&lt;&gt;"",EDATE($D102,Milestones!$AA$123)&gt;=$S102),$V102,$U102)))=Milestones!$AB$123),UPPER(TEXT(EDATE($D102,Milestones!$AA$123),"dd mmm yy"))&amp;" "&amp;Milestones!$AB$123&amp;" "&amp;Milestones!$AC$123&amp;";  ","")&amp;IF(AND(EDATE($D102,Milestones!$AA$124)&lt;=AsOfDate,IF($R102=0,$X102,IF(AND($T102&lt;&gt;"",EDATE($D102,Milestones!$AA$124)&gt;=$T102),$W102,IF(AND($S102&lt;&gt;"",EDATE($D102,Milestones!$AA$124)&gt;=$S102),$V102,$U102)))=Milestones!$AB$124),UPPER(TEXT(EDATE($D102,Milestones!$AA$124),"dd mmm yy"))&amp;" "&amp;Milestones!$AB$124&amp;" "&amp;Milestones!$AC$124&amp;";  ","")&amp;IF(AND(EDATE($D102,Milestones!$AA$125)&lt;=AsOfDate,IF($R102=0,$X102,IF(AND($T102&lt;&gt;"",EDATE($D102,Milestones!$AA$125)&gt;=$T102),$W102,IF(AND($S102&lt;&gt;"",EDATE($D102,Milestones!$AA$125)&gt;=$S102),$V102,$U102)))=Milestones!$AB$125),UPPER(TEXT(EDATE($D102,Milestones!$AA$125),"dd mmm yy"))&amp;" "&amp;Milestones!$AB$125&amp;" "&amp;Milestones!$AC$125&amp;";  ","")&amp;IF(AND(EDATE($D102,Milestones!$AA$126)&lt;=AsOfDate,IF($R102=0,$X102,IF(AND($T102&lt;&gt;"",EDATE($D102,Milestones!$AA$126)&gt;=$T102),$W102,IF(AND($S102&lt;&gt;"",EDATE($D102,Milestones!$AA$126)&gt;=$S102),$V102,$U102)))=Milestones!$AB$126),UPPER(TEXT(EDATE($D102,Milestones!$AA$126),"dd mmm yy"))&amp;" "&amp;Milestones!$AB$126&amp;" "&amp;Milestones!$AC$126&amp;";  ","")&amp;IF(AND(EDATE($D102,Milestones!$AA$127)&lt;=AsOfDate,IF($R102=0,$X102,IF(AND($T102&lt;&gt;"",EDATE($D102,Milestones!$AA$127)&gt;=$T102),$W102,IF(AND($S102&lt;&gt;"",EDATE($D102,Milestones!$AA$127)&gt;=$S102),$V102,$U102)))=Milestones!$AB$127),UPPER(TEXT(EDATE($D102,Milestones!$AA$127),"dd mmm yy"))&amp;" "&amp;Milestones!$AB$127&amp;" "&amp;Milestones!$AC$127&amp;";  ","")&amp;IF(AND(EDATE($D102,Milestones!$AA$128)&lt;=AsOfDate,IF($R102=0,$X102,IF(AND($T102&lt;&gt;"",EDATE($D102,Milestones!$AA$128)&gt;=$T102),$W102,IF(AND($S102&lt;&gt;"",EDATE($D102,Milestones!$AA$128)&gt;=$S102),$V102,$U102)))=Milestones!$AB$128),UPPER(TEXT(EDATE($D102,Milestones!$AA$128),"dd mmm yy"))&amp;" "&amp;Milestones!$AB$128&amp;" "&amp;Milestones!$AC$128&amp;";  ","")&amp;IF(AND(EDATE($D102,Milestones!$AA$129)&lt;=AsOfDate,IF($R102=0,$X102,IF(AND($T102&lt;&gt;"",EDATE($D102,Milestones!$AA$129)&gt;=$T102),$W102,IF(AND($S102&lt;&gt;"",EDATE($D102,Milestones!$AA$129)&gt;=$S102),$V102,$U102)))=Milestones!$AB$129),UPPER(TEXT(EDATE($D102,Milestones!$AA$129),"dd mmm yy"))&amp;" "&amp;Milestones!$AB$129&amp;" "&amp;Milestones!$AC$129&amp;";  ","")&amp;IF(AND(EDATE($D102,Milestones!$AA$130)&lt;=AsOfDate,IF($R102=0,$X102,IF(AND($T102&lt;&gt;"",EDATE($D102,Milestones!$AA$130)&gt;=$T102),$W102,IF(AND($S102&lt;&gt;"",EDATE($D102,Milestones!$AA$130)&gt;=$S102),$V102,$U102)))=Milestones!$AB$130),UPPER(TEXT(EDATE($D102,Milestones!$AA$130),"dd mmm yy"))&amp;" "&amp;Milestones!$AB$130&amp;" "&amp;Milestones!$AC$130&amp;";  ","")&amp;IF(AND(EDATE($D102,Milestones!$AA$131)&lt;=AsOfDate,IF($R102=0,$X102,IF(AND($T102&lt;&gt;"",EDATE($D102,Milestones!$AA$131)&gt;=$T102),$W102,IF(AND($S102&lt;&gt;"",EDATE($D102,Milestones!$AA$131)&gt;=$S102),$V102,$U102)))=Milestones!$AB$131),UPPER(TEXT(EDATE($D102,Milestones!$AA$131),"dd mmm yy"))&amp;" "&amp;Milestones!$AB$131&amp;" "&amp;Milestones!$AC$131&amp;";  ","")&amp;IF(AND(EDATE($D102,Milestones!$AA$132)&lt;=AsOfDate,IF($R102=0,$X102,IF(AND($T102&lt;&gt;"",EDATE($D102,Milestones!$AA$132)&gt;=$T102),$W102,IF(AND($S102&lt;&gt;"",EDATE($D102,Milestones!$AA$132)&gt;=$S102),$V102,$U102)))=Milestones!$AB$132),UPPER(TEXT(EDATE($D102,Milestones!$AA$132),"dd mmm yy"))&amp;" "&amp;Milestones!$AB$132&amp;" "&amp;Milestones!$AC$132&amp;";  ","")&amp;IF(AND(EDATE($D102,Milestones!$AA$133)&lt;=AsOfDate,IF($R102=0,$X102,IF(AND($T102&lt;&gt;"",EDATE($D102,Milestones!$AA$133)&gt;=$T102),$W102,IF(AND($S102&lt;&gt;"",EDATE($D102,Milestones!$AA$133)&gt;=$S102),$V102,$U102)))=Milestones!$AB$133),UPPER(TEXT(EDATE($D102,Milestones!$AA$133),"dd mmm yy"))&amp;" "&amp;Milestones!$AB$133&amp;" "&amp;Milestones!$AC$133&amp;";  ","")&amp;IF(AND(EDATE($D102,Milestones!$AA$134)&lt;=AsOfDate,IF($R102=0,$X102,IF(AND($T102&lt;&gt;"",EDATE($D102,Milestones!$AA$134)&gt;=$T102),$W102,IF(AND($S102&lt;&gt;"",EDATE($D102,Milestones!$AA$134)&gt;=$S102),$V102,$U102)))=Milestones!$AB$134),UPPER(TEXT(EDATE($D102,Milestones!$AA$134),"dd mmm yy"))&amp;" "&amp;Milestones!$AB$134&amp;" "&amp;Milestones!$AC$134&amp;";  ","")&amp;IF(AND(EDATE($D102,Milestones!$AA$135)&lt;=AsOfDate,IF($R102=0,$X102,IF(AND($T102&lt;&gt;"",EDATE($D102,Milestones!$AA$135)&gt;=$T102),$W102,IF(AND($S102&lt;&gt;"",EDATE($D102,Milestones!$AA$135)&gt;=$S102),$V102,$U102)))=Milestones!$AB$135),UPPER(TEXT(EDATE($D102,Milestones!$AA$135),"dd mmm yy"))&amp;" "&amp;Milestones!$AB$135&amp;" "&amp;Milestones!$AC$135&amp;";  ","")&amp;IF(AND(EDATE($D102,Milestones!$AA$136)&lt;=AsOfDate,IF($R102=0,$X102,IF(AND($T102&lt;&gt;"",EDATE($D102,Milestones!$AA$136)&gt;=$T102),$W102,IF(AND($S102&lt;&gt;"",EDATE($D102,Milestones!$AA$136)&gt;=$S102),$V102,$U102)))=Milestones!$AB$136),UPPER(TEXT(EDATE($D102,Milestones!$AA$136),"dd mmm yy"))&amp;" "&amp;Milestones!$AB$136&amp;" "&amp;Milestones!$AC$136&amp;";  ","")&amp;IF(AND(EDATE($D102,Milestones!$AA$137)&lt;=AsOfDate,IF($R102=0,$X102,IF(AND($T102&lt;&gt;"",EDATE($D102,Milestones!$AA$137)&gt;=$T102),$W102,IF(AND($S102&lt;&gt;"",EDATE($D102,Milestones!$AA$137)&gt;=$S102),$V102,$U102)))=Milestones!$AB$137),UPPER(TEXT(EDATE($D102,Milestones!$AA$137),"dd mmm yy"))&amp;" "&amp;Milestones!$AB$137&amp;" "&amp;Milestones!$AC$137&amp;";  ","")&amp;IF(AND(EDATE($D102,Milestones!$AA$138)&lt;=AsOfDate,IF($R102=0,$X102,IF(AND($T102&lt;&gt;"",EDATE($D102,Milestones!$AA$138)&gt;=$T102),$W102,IF(AND($S102&lt;&gt;"",EDATE($D102,Milestones!$AA$138)&gt;=$S102),$V102,$U102)))=Milestones!$AB$138),UPPER(TEXT(EDATE($D102,Milestones!$AA$138),"dd mmm yy"))&amp;" "&amp;Milestones!$AB$138&amp;" "&amp;Milestones!$AC$138&amp;";  ","")&amp;IF(AND(EDATE($D102,Milestones!$AA$139)&lt;=AsOfDate,IF($R102=0,$X102,IF(AND($T102&lt;&gt;"",EDATE($D102,Milestones!$AA$139)&gt;=$T102),$W102,IF(AND($S102&lt;&gt;"",EDATE($D102,Milestones!$AA$139)&gt;=$S102),$V102,$U102)))=Milestones!$AB$139),UPPER(TEXT(EDATE($D102,Milestones!$AA$139),"dd mmm yy"))&amp;" "&amp;Milestones!$AB$139&amp;" "&amp;Milestones!$AC$139&amp;";  ",""))</f>
        <v/>
      </c>
      <c r="O102" s="0" t="str">
        <f aca="false">IF(OR($A102="",$D102=""),"",IF(AND(EDATE($D102,Milestones!$AA$140)&lt;=AsOfDate,IF($R102=0,$X102,IF(AND($T102&lt;&gt;"",EDATE($D102,Milestones!$AA$140)&gt;=$T102),$W102,IF(AND($S102&lt;&gt;"",EDATE($D102,Milestones!$AA$140)&gt;=$S102),$V102,$U102)))=Milestones!$AB$140),UPPER(TEXT(EDATE($D102,Milestones!$AA$140),"dd mmm yy"))&amp;" "&amp;Milestones!$AB$140&amp;" "&amp;Milestones!$AC$140&amp;";  ","")&amp;IF(AND(EDATE($D102,Milestones!$AA$141)&lt;=AsOfDate,IF($R102=0,$X102,IF(AND($T102&lt;&gt;"",EDATE($D102,Milestones!$AA$141)&gt;=$T102),$W102,IF(AND($S102&lt;&gt;"",EDATE($D102,Milestones!$AA$141)&gt;=$S102),$V102,$U102)))=Milestones!$AB$141),UPPER(TEXT(EDATE($D102,Milestones!$AA$141),"dd mmm yy"))&amp;" "&amp;Milestones!$AB$141&amp;" "&amp;Milestones!$AC$141&amp;";  ","")&amp;IF(AND(EDATE($D102,Milestones!$AA$142)&lt;=AsOfDate,IF($R102=0,$X102,IF(AND($T102&lt;&gt;"",EDATE($D102,Milestones!$AA$142)&gt;=$T102),$W102,IF(AND($S102&lt;&gt;"",EDATE($D102,Milestones!$AA$142)&gt;=$S102),$V102,$U102)))=Milestones!$AB$142),UPPER(TEXT(EDATE($D102,Milestones!$AA$142),"dd mmm yy"))&amp;" "&amp;Milestones!$AB$142&amp;" "&amp;Milestones!$AC$142&amp;";  ","")&amp;IF(AND(EDATE($D102,Milestones!$AA$143)&lt;=AsOfDate,IF($R102=0,$X102,IF(AND($T102&lt;&gt;"",EDATE($D102,Milestones!$AA$143)&gt;=$T102),$W102,IF(AND($S102&lt;&gt;"",EDATE($D102,Milestones!$AA$143)&gt;=$S102),$V102,$U102)))=Milestones!$AB$143),UPPER(TEXT(EDATE($D102,Milestones!$AA$143),"dd mmm yy"))&amp;" "&amp;Milestones!$AB$143&amp;" "&amp;Milestones!$AC$143&amp;";  ","")&amp;IF(AND(EDATE($D102,Milestones!$AA$144)&lt;=AsOfDate,IF($R102=0,$X102,IF(AND($T102&lt;&gt;"",EDATE($D102,Milestones!$AA$144)&gt;=$T102),$W102,IF(AND($S102&lt;&gt;"",EDATE($D102,Milestones!$AA$144)&gt;=$S102),$V102,$U102)))=Milestones!$AB$144),UPPER(TEXT(EDATE($D102,Milestones!$AA$144),"dd mmm yy"))&amp;" "&amp;Milestones!$AB$144&amp;" "&amp;Milestones!$AC$144&amp;";  ","")&amp;IF(AND(EDATE($D102,Milestones!$AA$145)&lt;=AsOfDate,IF($R102=0,$X102,IF(AND($T102&lt;&gt;"",EDATE($D102,Milestones!$AA$145)&gt;=$T102),$W102,IF(AND($S102&lt;&gt;"",EDATE($D102,Milestones!$AA$145)&gt;=$S102),$V102,$U102)))=Milestones!$AB$145),UPPER(TEXT(EDATE($D102,Milestones!$AA$145),"dd mmm yy"))&amp;" "&amp;Milestones!$AB$145&amp;" "&amp;Milestones!$AC$145&amp;";  ","")&amp;IF(AND(EDATE($D102,Milestones!$AA$146)&lt;=AsOfDate,IF($R102=0,$X102,IF(AND($T102&lt;&gt;"",EDATE($D102,Milestones!$AA$146)&gt;=$T102),$W102,IF(AND($S102&lt;&gt;"",EDATE($D102,Milestones!$AA$146)&gt;=$S102),$V102,$U102)))=Milestones!$AB$146),UPPER(TEXT(EDATE($D102,Milestones!$AA$146),"dd mmm yy"))&amp;" "&amp;Milestones!$AB$146&amp;" "&amp;Milestones!$AC$146&amp;";  ","")&amp;IF(AND(EDATE($D102,Milestones!$AA$147)&lt;=AsOfDate,IF($R102=0,$X102,IF(AND($T102&lt;&gt;"",EDATE($D102,Milestones!$AA$147)&gt;=$T102),$W102,IF(AND($S102&lt;&gt;"",EDATE($D102,Milestones!$AA$147)&gt;=$S102),$V102,$U102)))=Milestones!$AB$147),UPPER(TEXT(EDATE($D102,Milestones!$AA$147),"dd mmm yy"))&amp;" "&amp;Milestones!$AB$147&amp;" "&amp;Milestones!$AC$147&amp;";  ","")&amp;IF(AND(EDATE($D102,Milestones!$AA$148)&lt;=AsOfDate,IF($R102=0,$X102,IF(AND($T102&lt;&gt;"",EDATE($D102,Milestones!$AA$148)&gt;=$T102),$W102,IF(AND($S102&lt;&gt;"",EDATE($D102,Milestones!$AA$148)&gt;=$S102),$V102,$U102)))=Milestones!$AB$148),UPPER(TEXT(EDATE($D102,Milestones!$AA$148),"dd mmm yy"))&amp;" "&amp;Milestones!$AB$148&amp;" "&amp;Milestones!$AC$148&amp;";  ","")&amp;IF(AND(EDATE($D102,Milestones!$AA$149)&lt;=AsOfDate,IF($R102=0,$X102,IF(AND($T102&lt;&gt;"",EDATE($D102,Milestones!$AA$149)&gt;=$T102),$W102,IF(AND($S102&lt;&gt;"",EDATE($D102,Milestones!$AA$149)&gt;=$S102),$V102,$U102)))=Milestones!$AB$149),UPPER(TEXT(EDATE($D102,Milestones!$AA$149),"dd mmm yy"))&amp;" "&amp;Milestones!$AB$149&amp;" "&amp;Milestones!$AC$149&amp;";  ","")&amp;IF(AND(EDATE($D102,Milestones!$AA$150)&lt;=AsOfDate,IF($R102=0,$X102,IF(AND($T102&lt;&gt;"",EDATE($D102,Milestones!$AA$150)&gt;=$T102),$W102,IF(AND($S102&lt;&gt;"",EDATE($D102,Milestones!$AA$150)&gt;=$S102),$V102,$U102)))=Milestones!$AB$150),UPPER(TEXT(EDATE($D102,Milestones!$AA$150),"dd mmm yy"))&amp;" "&amp;Milestones!$AB$150&amp;" "&amp;Milestones!$AC$150&amp;";  ","")&amp;IF(AND(EDATE($D102,Milestones!$AA$151)&lt;=AsOfDate,IF($R102=0,$X102,IF(AND($T102&lt;&gt;"",EDATE($D102,Milestones!$AA$151)&gt;=$T102),$W102,IF(AND($S102&lt;&gt;"",EDATE($D102,Milestones!$AA$151)&gt;=$S102),$V102,$U102)))=Milestones!$AB$151),UPPER(TEXT(EDATE($D102,Milestones!$AA$151),"dd mmm yy"))&amp;" "&amp;Milestones!$AB$151&amp;" "&amp;Milestones!$AC$151&amp;";  ","")&amp;IF(AND(EDATE($D102,Milestones!$AA$152)&lt;=AsOfDate,IF($R102=0,$X102,IF(AND($T102&lt;&gt;"",EDATE($D102,Milestones!$AA$152)&gt;=$T102),$W102,IF(AND($S102&lt;&gt;"",EDATE($D102,Milestones!$AA$152)&gt;=$S102),$V102,$U102)))=Milestones!$AB$152),UPPER(TEXT(EDATE($D102,Milestones!$AA$152),"dd mmm yy"))&amp;" "&amp;Milestones!$AB$152&amp;" "&amp;Milestones!$AC$152&amp;";  ","")&amp;IF(AND(EDATE($D102,Milestones!$AA$153)&lt;=AsOfDate,IF($R102=0,$X102,IF(AND($T102&lt;&gt;"",EDATE($D102,Milestones!$AA$153)&gt;=$T102),$W102,IF(AND($S102&lt;&gt;"",EDATE($D102,Milestones!$AA$153)&gt;=$S102),$V102,$U102)))=Milestones!$AB$153),UPPER(TEXT(EDATE($D102,Milestones!$AA$153),"dd mmm yy"))&amp;" "&amp;Milestones!$AB$153&amp;" "&amp;Milestones!$AC$153&amp;";  ","")&amp;IF(AND(EDATE($D102,Milestones!$AA$154)&lt;=AsOfDate,IF($R102=0,$X102,IF(AND($T102&lt;&gt;"",EDATE($D102,Milestones!$AA$154)&gt;=$T102),$W102,IF(AND($S102&lt;&gt;"",EDATE($D102,Milestones!$AA$154)&gt;=$S102),$V102,$U102)))=Milestones!$AB$154),UPPER(TEXT(EDATE($D102,Milestones!$AA$154),"dd mmm yy"))&amp;" "&amp;Milestones!$AB$154&amp;" "&amp;Milestones!$AC$154&amp;";  ","")&amp;IF(AND(EDATE($D102,Milestones!$AA$155)&lt;=AsOfDate,IF($R102=0,$X102,IF(AND($T102&lt;&gt;"",EDATE($D102,Milestones!$AA$155)&gt;=$T102),$W102,IF(AND($S102&lt;&gt;"",EDATE($D102,Milestones!$AA$155)&gt;=$S102),$V102,$U102)))=Milestones!$AB$155),UPPER(TEXT(EDATE($D102,Milestones!$AA$155),"dd mmm yy"))&amp;" "&amp;Milestones!$AB$155&amp;" "&amp;Milestones!$AC$155&amp;";  ","")&amp;IF(AND(EDATE($D102,Milestones!$AA$156)&lt;=AsOfDate,IF($R102=0,$X102,IF(AND($T102&lt;&gt;"",EDATE($D102,Milestones!$AA$156)&gt;=$T102),$W102,IF(AND($S102&lt;&gt;"",EDATE($D102,Milestones!$AA$156)&gt;=$S102),$V102,$U102)))=Milestones!$AB$156),UPPER(TEXT(EDATE($D102,Milestones!$AA$156),"dd mmm yy"))&amp;" "&amp;Milestones!$AB$156&amp;" "&amp;Milestones!$AC$156&amp;";  ","")&amp;IF(AND(EDATE($D102,Milestones!$AA$157)&lt;=AsOfDate,IF($R102=0,$X102,IF(AND($T102&lt;&gt;"",EDATE($D102,Milestones!$AA$157)&gt;=$T102),$W102,IF(AND($S102&lt;&gt;"",EDATE($D102,Milestones!$AA$157)&gt;=$S102),$V102,$U102)))=Milestones!$AB$157),UPPER(TEXT(EDATE($D102,Milestones!$AA$157),"dd mmm yy"))&amp;" "&amp;Milestones!$AB$157&amp;" "&amp;Milestones!$AC$157&amp;";  ","")&amp;IF(AND(EDATE($D102,Milestones!$AA$158)&lt;=AsOfDate,IF($R102=0,$X102,IF(AND($T102&lt;&gt;"",EDATE($D102,Milestones!$AA$158)&gt;=$T102),$W102,IF(AND($S102&lt;&gt;"",EDATE($D102,Milestones!$AA$158)&gt;=$S102),$V102,$U102)))=Milestones!$AB$158),UPPER(TEXT(EDATE($D102,Milestones!$AA$158),"dd mmm yy"))&amp;" "&amp;Milestones!$AB$158&amp;" "&amp;Milestones!$AC$158&amp;";  ","")&amp;IF(AND(EDATE($D102,Milestones!$AA$159)&lt;=AsOfDate,IF($R102=0,$X102,IF(AND($T102&lt;&gt;"",EDATE($D102,Milestones!$AA$159)&gt;=$T102),$W102,IF(AND($S102&lt;&gt;"",EDATE($D102,Milestones!$AA$159)&gt;=$S102),$V102,$U102)))=Milestones!$AB$159),UPPER(TEXT(EDATE($D102,Milestones!$AA$159),"dd mmm yy"))&amp;" "&amp;Milestones!$AB$159&amp;" "&amp;Milestones!$AC$159&amp;";  ",""))</f>
        <v/>
      </c>
      <c r="P102" s="0" t="str">
        <f aca="false">IF(OR($A102="",$D102=""),"",IF(AND(EDATE($D102,Milestones!$AA$160)&lt;=AsOfDate,IF($R102=0,$X102,IF(AND($T102&lt;&gt;"",EDATE($D102,Milestones!$AA$160)&gt;=$T102),$W102,IF(AND($S102&lt;&gt;"",EDATE($D102,Milestones!$AA$160)&gt;=$S102),$V102,$U102)))=Milestones!$AB$160),UPPER(TEXT(EDATE($D102,Milestones!$AA$160),"dd mmm yy"))&amp;" "&amp;Milestones!$AB$160&amp;" "&amp;Milestones!$AC$160&amp;";  ","")&amp;IF(AND(EDATE($D102,Milestones!$AA$161)&lt;=AsOfDate,IF($R102=0,$X102,IF(AND($T102&lt;&gt;"",EDATE($D102,Milestones!$AA$161)&gt;=$T102),$W102,IF(AND($S102&lt;&gt;"",EDATE($D102,Milestones!$AA$161)&gt;=$S102),$V102,$U102)))=Milestones!$AB$161),UPPER(TEXT(EDATE($D102,Milestones!$AA$161),"dd mmm yy"))&amp;" "&amp;Milestones!$AB$161&amp;" "&amp;Milestones!$AC$161&amp;";  ","")&amp;IF(AND(EDATE($D102,Milestones!$AA$162)&lt;=AsOfDate,IF($R102=0,$X102,IF(AND($T102&lt;&gt;"",EDATE($D102,Milestones!$AA$162)&gt;=$T102),$W102,IF(AND($S102&lt;&gt;"",EDATE($D102,Milestones!$AA$162)&gt;=$S102),$V102,$U102)))=Milestones!$AB$162),UPPER(TEXT(EDATE($D102,Milestones!$AA$162),"dd mmm yy"))&amp;" "&amp;Milestones!$AB$162&amp;" "&amp;Milestones!$AC$162&amp;";  ","")&amp;IF(AND(EDATE($D102,Milestones!$AA$163)&lt;=AsOfDate,IF($R102=0,$X102,IF(AND($T102&lt;&gt;"",EDATE($D102,Milestones!$AA$163)&gt;=$T102),$W102,IF(AND($S102&lt;&gt;"",EDATE($D102,Milestones!$AA$163)&gt;=$S102),$V102,$U102)))=Milestones!$AB$163),UPPER(TEXT(EDATE($D102,Milestones!$AA$163),"dd mmm yy"))&amp;" "&amp;Milestones!$AB$163&amp;" "&amp;Milestones!$AC$163&amp;";  ","")&amp;IF(AND(EDATE($D102,Milestones!$AA$164)&lt;=AsOfDate,IF($R102=0,$X102,IF(AND($T102&lt;&gt;"",EDATE($D102,Milestones!$AA$164)&gt;=$T102),$W102,IF(AND($S102&lt;&gt;"",EDATE($D102,Milestones!$AA$164)&gt;=$S102),$V102,$U102)))=Milestones!$AB$164),UPPER(TEXT(EDATE($D102,Milestones!$AA$164),"dd mmm yy"))&amp;" "&amp;Milestones!$AB$164&amp;" "&amp;Milestones!$AC$164&amp;";  ","")&amp;IF(AND(EDATE($D102,Milestones!$AA$165)&lt;=AsOfDate,IF($R102=0,$X102,IF(AND($T102&lt;&gt;"",EDATE($D102,Milestones!$AA$165)&gt;=$T102),$W102,IF(AND($S102&lt;&gt;"",EDATE($D102,Milestones!$AA$165)&gt;=$S102),$V102,$U102)))=Milestones!$AB$165),UPPER(TEXT(EDATE($D102,Milestones!$AA$165),"dd mmm yy"))&amp;" "&amp;Milestones!$AB$165&amp;" "&amp;Milestones!$AC$165&amp;";  ","")&amp;IF(AND(EDATE($D102,Milestones!$AA$166)&lt;=AsOfDate,IF($R102=0,$X102,IF(AND($T102&lt;&gt;"",EDATE($D102,Milestones!$AA$166)&gt;=$T102),$W102,IF(AND($S102&lt;&gt;"",EDATE($D102,Milestones!$AA$166)&gt;=$S102),$V102,$U102)))=Milestones!$AB$166),UPPER(TEXT(EDATE($D102,Milestones!$AA$166),"dd mmm yy"))&amp;" "&amp;Milestones!$AB$166&amp;" "&amp;Milestones!$AC$166&amp;";  ","")&amp;IF(AND(EDATE($D102,Milestones!$AA$167)&lt;=AsOfDate,IF($R102=0,$X102,IF(AND($T102&lt;&gt;"",EDATE($D102,Milestones!$AA$167)&gt;=$T102),$W102,IF(AND($S102&lt;&gt;"",EDATE($D102,Milestones!$AA$167)&gt;=$S102),$V102,$U102)))=Milestones!$AB$167),UPPER(TEXT(EDATE($D102,Milestones!$AA$167),"dd mmm yy"))&amp;" "&amp;Milestones!$AB$167&amp;" "&amp;Milestones!$AC$167&amp;";  ","")&amp;IF(AND(EDATE($D102,Milestones!$AA$168)&lt;=AsOfDate,IF($R102=0,$X102,IF(AND($T102&lt;&gt;"",EDATE($D102,Milestones!$AA$168)&gt;=$T102),$W102,IF(AND($S102&lt;&gt;"",EDATE($D102,Milestones!$AA$168)&gt;=$S102),$V102,$U102)))=Milestones!$AB$168),UPPER(TEXT(EDATE($D102,Milestones!$AA$168),"dd mmm yy"))&amp;" "&amp;Milestones!$AB$168&amp;" "&amp;Milestones!$AC$168&amp;";  ","")&amp;IF(AND(EDATE($D102,Milestones!$AA$169)&lt;=AsOfDate,IF($R102=0,$X102,IF(AND($T102&lt;&gt;"",EDATE($D102,Milestones!$AA$169)&gt;=$T102),$W102,IF(AND($S102&lt;&gt;"",EDATE($D102,Milestones!$AA$169)&gt;=$S102),$V102,$U102)))=Milestones!$AB$169),UPPER(TEXT(EDATE($D102,Milestones!$AA$169),"dd mmm yy"))&amp;" "&amp;Milestones!$AB$169&amp;" "&amp;Milestones!$AC$169&amp;";  ","")&amp;IF(AND(EDATE($D102,Milestones!$AA$170)&lt;=AsOfDate,IF($R102=0,$X102,IF(AND($T102&lt;&gt;"",EDATE($D102,Milestones!$AA$170)&gt;=$T102),$W102,IF(AND($S102&lt;&gt;"",EDATE($D102,Milestones!$AA$170)&gt;=$S102),$V102,$U102)))=Milestones!$AB$170),UPPER(TEXT(EDATE($D102,Milestones!$AA$170),"dd mmm yy"))&amp;" "&amp;Milestones!$AB$170&amp;" "&amp;Milestones!$AC$170&amp;";  ","")&amp;IF(AND(EDATE($D102,Milestones!$AA$171)&lt;=AsOfDate,IF($R102=0,$X102,IF(AND($T102&lt;&gt;"",EDATE($D102,Milestones!$AA$171)&gt;=$T102),$W102,IF(AND($S102&lt;&gt;"",EDATE($D102,Milestones!$AA$171)&gt;=$S102),$V102,$U102)))=Milestones!$AB$171),UPPER(TEXT(EDATE($D102,Milestones!$AA$171),"dd mmm yy"))&amp;" "&amp;Milestones!$AB$171&amp;" "&amp;Milestones!$AC$171&amp;";  ","")&amp;IF(AND(EDATE($D102,Milestones!$AA$172)&lt;=AsOfDate,IF($R102=0,$X102,IF(AND($T102&lt;&gt;"",EDATE($D102,Milestones!$AA$172)&gt;=$T102),$W102,IF(AND($S102&lt;&gt;"",EDATE($D102,Milestones!$AA$172)&gt;=$S102),$V102,$U102)))=Milestones!$AB$172),UPPER(TEXT(EDATE($D102,Milestones!$AA$172),"dd mmm yy"))&amp;" "&amp;Milestones!$AB$172&amp;" "&amp;Milestones!$AC$172&amp;";  ","")&amp;IF(AND(EDATE($D102,Milestones!$AA$173)&lt;=AsOfDate,IF($R102=0,$X102,IF(AND($T102&lt;&gt;"",EDATE($D102,Milestones!$AA$173)&gt;=$T102),$W102,IF(AND($S102&lt;&gt;"",EDATE($D102,Milestones!$AA$173)&gt;=$S102),$V102,$U102)))=Milestones!$AB$173),UPPER(TEXT(EDATE($D102,Milestones!$AA$173),"dd mmm yy"))&amp;" "&amp;Milestones!$AB$173&amp;" "&amp;Milestones!$AC$173&amp;";  ","")&amp;IF(AND(EDATE($D102,Milestones!$AA$174)&lt;=AsOfDate,IF($R102=0,$X102,IF(AND($T102&lt;&gt;"",EDATE($D102,Milestones!$AA$174)&gt;=$T102),$W102,IF(AND($S102&lt;&gt;"",EDATE($D102,Milestones!$AA$174)&gt;=$S102),$V102,$U102)))=Milestones!$AB$174),UPPER(TEXT(EDATE($D102,Milestones!$AA$174),"dd mmm yy"))&amp;" "&amp;Milestones!$AB$174&amp;" "&amp;Milestones!$AC$174&amp;";  ","")&amp;IF(AND(EDATE($D102,Milestones!$AA$175)&lt;=AsOfDate,IF($R102=0,$X102,IF(AND($T102&lt;&gt;"",EDATE($D102,Milestones!$AA$175)&gt;=$T102),$W102,IF(AND($S102&lt;&gt;"",EDATE($D102,Milestones!$AA$175)&gt;=$S102),$V102,$U102)))=Milestones!$AB$175),UPPER(TEXT(EDATE($D102,Milestones!$AA$175),"dd mmm yy"))&amp;" "&amp;Milestones!$AB$175&amp;" "&amp;Milestones!$AC$175&amp;";  ","")&amp;IF(AND(EDATE($D102,Milestones!$AA$176)&lt;=AsOfDate,IF($R102=0,$X102,IF(AND($T102&lt;&gt;"",EDATE($D102,Milestones!$AA$176)&gt;=$T102),$W102,IF(AND($S102&lt;&gt;"",EDATE($D102,Milestones!$AA$176)&gt;=$S102),$V102,$U102)))=Milestones!$AB$176),UPPER(TEXT(EDATE($D102,Milestones!$AA$176),"dd mmm yy"))&amp;" "&amp;Milestones!$AB$176&amp;" "&amp;Milestones!$AC$176&amp;";  ","")&amp;IF(AND(EDATE($D102,Milestones!$AA$177)&lt;=AsOfDate,IF($R102=0,$X102,IF(AND($T102&lt;&gt;"",EDATE($D102,Milestones!$AA$177)&gt;=$T102),$W102,IF(AND($S102&lt;&gt;"",EDATE($D102,Milestones!$AA$177)&gt;=$S102),$V102,$U102)))=Milestones!$AB$177),UPPER(TEXT(EDATE($D102,Milestones!$AA$177),"dd mmm yy"))&amp;" "&amp;Milestones!$AB$177&amp;" "&amp;Milestones!$AC$177&amp;";  ","")&amp;IF(AND(EDATE($D102,Milestones!$AA$178)&lt;=AsOfDate,IF($R102=0,$X102,IF(AND($T102&lt;&gt;"",EDATE($D102,Milestones!$AA$178)&gt;=$T102),$W102,IF(AND($S102&lt;&gt;"",EDATE($D102,Milestones!$AA$178)&gt;=$S102),$V102,$U102)))=Milestones!$AB$178),UPPER(TEXT(EDATE($D102,Milestones!$AA$178),"dd mmm yy"))&amp;" "&amp;Milestones!$AB$178&amp;" "&amp;Milestones!$AC$178&amp;";  ","")&amp;IF(AND(EDATE($D102,Milestones!$AA$179)&lt;=AsOfDate,IF($R102=0,$X102,IF(AND($T102&lt;&gt;"",EDATE($D102,Milestones!$AA$179)&gt;=$T102),$W102,IF(AND($S102&lt;&gt;"",EDATE($D102,Milestones!$AA$179)&gt;=$S102),$V102,$U102)))=Milestones!$AB$179),UPPER(TEXT(EDATE($D102,Milestones!$AA$179),"dd mmm yy"))&amp;" "&amp;Milestones!$AB$179&amp;" "&amp;Milestones!$AC$179&amp;";  ",""))</f>
        <v/>
      </c>
      <c r="Q102" s="0" t="str">
        <f aca="false">IF(OR($A102="",$D102=""),"",IF(AND(EDATE($D102,Milestones!$AA$180)&lt;=AsOfDate,IF($R102=0,$X102,IF(AND($T102&lt;&gt;"",EDATE($D102,Milestones!$AA$180)&gt;=$T102),$W102,IF(AND($S102&lt;&gt;"",EDATE($D102,Milestones!$AA$180)&gt;=$S102),$V102,$U102)))=Milestones!$AB$180),UPPER(TEXT(EDATE($D102,Milestones!$AA$180),"dd mmm yy"))&amp;" "&amp;Milestones!$AB$180&amp;" "&amp;Milestones!$AC$180&amp;";  ","")&amp;IF(AND(EDATE($D102,Milestones!$AA$181)&lt;=AsOfDate,IF($R102=0,$X102,IF(AND($T102&lt;&gt;"",EDATE($D102,Milestones!$AA$181)&gt;=$T102),$W102,IF(AND($S102&lt;&gt;"",EDATE($D102,Milestones!$AA$181)&gt;=$S102),$V102,$U102)))=Milestones!$AB$181),UPPER(TEXT(EDATE($D102,Milestones!$AA$181),"dd mmm yy"))&amp;" "&amp;Milestones!$AB$181&amp;" "&amp;Milestones!$AC$181&amp;";  ","")&amp;IF(AND(EDATE($D102,Milestones!$AA$182)&lt;=AsOfDate,IF($R102=0,$X102,IF(AND($T102&lt;&gt;"",EDATE($D102,Milestones!$AA$182)&gt;=$T102),$W102,IF(AND($S102&lt;&gt;"",EDATE($D102,Milestones!$AA$182)&gt;=$S102),$V102,$U102)))=Milestones!$AB$182),UPPER(TEXT(EDATE($D102,Milestones!$AA$182),"dd mmm yy"))&amp;" "&amp;Milestones!$AB$182&amp;" "&amp;Milestones!$AC$182&amp;";  ","")&amp;IF(AND(EDATE($D102,Milestones!$AA$183)&lt;=AsOfDate,IF($R102=0,$X102,IF(AND($T102&lt;&gt;"",EDATE($D102,Milestones!$AA$183)&gt;=$T102),$W102,IF(AND($S102&lt;&gt;"",EDATE($D102,Milestones!$AA$183)&gt;=$S102),$V102,$U102)))=Milestones!$AB$183),UPPER(TEXT(EDATE($D102,Milestones!$AA$183),"dd mmm yy"))&amp;" "&amp;Milestones!$AB$183&amp;" "&amp;Milestones!$AC$183&amp;";  ","")&amp;IF(AND(EDATE($D102,Milestones!$AA$184)&lt;=AsOfDate,IF($R102=0,$X102,IF(AND($T102&lt;&gt;"",EDATE($D102,Milestones!$AA$184)&gt;=$T102),$W102,IF(AND($S102&lt;&gt;"",EDATE($D102,Milestones!$AA$184)&gt;=$S102),$V102,$U102)))=Milestones!$AB$184),UPPER(TEXT(EDATE($D102,Milestones!$AA$184),"dd mmm yy"))&amp;" "&amp;Milestones!$AB$184&amp;" "&amp;Milestones!$AC$184&amp;";  ","")&amp;IF(AND(EDATE($D102,Milestones!$AA$185)&lt;=AsOfDate,IF($R102=0,$X102,IF(AND($T102&lt;&gt;"",EDATE($D102,Milestones!$AA$185)&gt;=$T102),$W102,IF(AND($S102&lt;&gt;"",EDATE($D102,Milestones!$AA$185)&gt;=$S102),$V102,$U102)))=Milestones!$AB$185),UPPER(TEXT(EDATE($D102,Milestones!$AA$185),"dd mmm yy"))&amp;" "&amp;Milestones!$AB$185&amp;" "&amp;Milestones!$AC$185&amp;";  ","")&amp;IF(AND(EDATE($D102,Milestones!$AA$186)&lt;=AsOfDate,IF($R102=0,$X102,IF(AND($T102&lt;&gt;"",EDATE($D102,Milestones!$AA$186)&gt;=$T102),$W102,IF(AND($S102&lt;&gt;"",EDATE($D102,Milestones!$AA$186)&gt;=$S102),$V102,$U102)))=Milestones!$AB$186),UPPER(TEXT(EDATE($D102,Milestones!$AA$186),"dd mmm yy"))&amp;" "&amp;Milestones!$AB$186&amp;" "&amp;Milestones!$AC$186&amp;";  ","")&amp;IF(AND(EDATE($D102,Milestones!$AA$187)&lt;=AsOfDate,IF($R102=0,$X102,IF(AND($T102&lt;&gt;"",EDATE($D102,Milestones!$AA$187)&gt;=$T102),$W102,IF(AND($S102&lt;&gt;"",EDATE($D102,Milestones!$AA$187)&gt;=$S102),$V102,$U102)))=Milestones!$AB$187),UPPER(TEXT(EDATE($D102,Milestones!$AA$187),"dd mmm yy"))&amp;" "&amp;Milestones!$AB$187&amp;" "&amp;Milestones!$AC$187&amp;";  ","")&amp;IF(AND(EDATE($D102,Milestones!$AA$188)&lt;=AsOfDate,IF($R102=0,$X102,IF(AND($T102&lt;&gt;"",EDATE($D102,Milestones!$AA$188)&gt;=$T102),$W102,IF(AND($S102&lt;&gt;"",EDATE($D102,Milestones!$AA$188)&gt;=$S102),$V102,$U102)))=Milestones!$AB$188),UPPER(TEXT(EDATE($D102,Milestones!$AA$188),"dd mmm yy"))&amp;" "&amp;Milestones!$AB$188&amp;" "&amp;Milestones!$AC$188&amp;";  ","")&amp;IF(AND(EDATE($D102,Milestones!$AA$189)&lt;=AsOfDate,IF($R102=0,$X102,IF(AND($T102&lt;&gt;"",EDATE($D102,Milestones!$AA$189)&gt;=$T102),$W102,IF(AND($S102&lt;&gt;"",EDATE($D102,Milestones!$AA$189)&gt;=$S102),$V102,$U102)))=Milestones!$AB$189),UPPER(TEXT(EDATE($D102,Milestones!$AA$189),"dd mmm yy"))&amp;" "&amp;Milestones!$AB$189&amp;" "&amp;Milestones!$AC$189&amp;";  ","")&amp;IF(AND(EDATE($D102,Milestones!$AA$190)&lt;=AsOfDate,IF($R102=0,$X102,IF(AND($T102&lt;&gt;"",EDATE($D102,Milestones!$AA$190)&gt;=$T102),$W102,IF(AND($S102&lt;&gt;"",EDATE($D102,Milestones!$AA$190)&gt;=$S102),$V102,$U102)))=Milestones!$AB$190),UPPER(TEXT(EDATE($D102,Milestones!$AA$190),"dd mmm yy"))&amp;" "&amp;Milestones!$AB$190&amp;" "&amp;Milestones!$AC$190&amp;";  ","")&amp;IF(AND(EDATE($D102,Milestones!$AA$191)&lt;=AsOfDate,IF($R102=0,$X102,IF(AND($T102&lt;&gt;"",EDATE($D102,Milestones!$AA$191)&gt;=$T102),$W102,IF(AND($S102&lt;&gt;"",EDATE($D102,Milestones!$AA$191)&gt;=$S102),$V102,$U102)))=Milestones!$AB$191),UPPER(TEXT(EDATE($D102,Milestones!$AA$191),"dd mmm yy"))&amp;" "&amp;Milestones!$AB$191&amp;" "&amp;Milestones!$AC$191&amp;";  ","")&amp;IF(AND(EDATE($D102,Milestones!$AA$192)&lt;=AsOfDate,IF($R102=0,$X102,IF(AND($T102&lt;&gt;"",EDATE($D102,Milestones!$AA$192)&gt;=$T102),$W102,IF(AND($S102&lt;&gt;"",EDATE($D102,Milestones!$AA$192)&gt;=$S102),$V102,$U102)))=Milestones!$AB$192),UPPER(TEXT(EDATE($D102,Milestones!$AA$192),"dd mmm yy"))&amp;" "&amp;Milestones!$AB$192&amp;" "&amp;Milestones!$AC$192&amp;";  ","")&amp;IF(AND(EDATE($D102,Milestones!$AA$193)&lt;=AsOfDate,IF($R102=0,$X102,IF(AND($T102&lt;&gt;"",EDATE($D102,Milestones!$AA$193)&gt;=$T102),$W102,IF(AND($S102&lt;&gt;"",EDATE($D102,Milestones!$AA$193)&gt;=$S102),$V102,$U102)))=Milestones!$AB$193),UPPER(TEXT(EDATE($D102,Milestones!$AA$193),"dd mmm yy"))&amp;" "&amp;Milestones!$AB$193&amp;" "&amp;Milestones!$AC$193&amp;";  ","")&amp;IF(AND(EDATE($D102,Milestones!$AA$194)&lt;=AsOfDate,IF($R102=0,$X102,IF(AND($T102&lt;&gt;"",EDATE($D102,Milestones!$AA$194)&gt;=$T102),$W102,IF(AND($S102&lt;&gt;"",EDATE($D102,Milestones!$AA$194)&gt;=$S102),$V102,$U102)))=Milestones!$AB$194),UPPER(TEXT(EDATE($D102,Milestones!$AA$194),"dd mmm yy"))&amp;" "&amp;Milestones!$AB$194&amp;" "&amp;Milestones!$AC$194&amp;";  ","")&amp;IF(AND(EDATE($D102,Milestones!$AA$195)&lt;=AsOfDate,IF($R102=0,$X102,IF(AND($T102&lt;&gt;"",EDATE($D102,Milestones!$AA$195)&gt;=$T102),$W102,IF(AND($S102&lt;&gt;"",EDATE($D102,Milestones!$AA$195)&gt;=$S102),$V102,$U102)))=Milestones!$AB$195),UPPER(TEXT(EDATE($D102,Milestones!$AA$195),"dd mmm yy"))&amp;" "&amp;Milestones!$AB$195&amp;" "&amp;Milestones!$AC$195&amp;";  ","")&amp;IF(AND(EDATE($D102,Milestones!$AA$196)&lt;=AsOfDate,IF($R102=0,$X102,IF(AND($T102&lt;&gt;"",EDATE($D102,Milestones!$AA$196)&gt;=$T102),$W102,IF(AND($S102&lt;&gt;"",EDATE($D102,Milestones!$AA$196)&gt;=$S102),$V102,$U102)))=Milestones!$AB$196),UPPER(TEXT(EDATE($D102,Milestones!$AA$196),"dd mmm yy"))&amp;" "&amp;Milestones!$AB$196&amp;" "&amp;Milestones!$AC$196&amp;";  ","")&amp;IF(AND(EDATE($D102,Milestones!$AA$197)&lt;=AsOfDate,IF($R102=0,$X102,IF(AND($T102&lt;&gt;"",EDATE($D102,Milestones!$AA$197)&gt;=$T102),$W102,IF(AND($S102&lt;&gt;"",EDATE($D102,Milestones!$AA$197)&gt;=$S102),$V102,$U102)))=Milestones!$AB$197),UPPER(TEXT(EDATE($D102,Milestones!$AA$197),"dd mmm yy"))&amp;" "&amp;Milestones!$AB$197&amp;" "&amp;Milestones!$AC$197&amp;";  ","")&amp;IF(AND(EDATE($D102,Milestones!$AA$198)&lt;=AsOfDate,IF($R102=0,$X102,IF(AND($T102&lt;&gt;"",EDATE($D102,Milestones!$AA$198)&gt;=$T102),$W102,IF(AND($S102&lt;&gt;"",EDATE($D102,Milestones!$AA$198)&gt;=$S102),$V102,$U102)))=Milestones!$AB$198),UPPER(TEXT(EDATE($D102,Milestones!$AA$198),"dd mmm yy"))&amp;" "&amp;Milestones!$AB$198&amp;" "&amp;Milestones!$AC$198&amp;";  ","")&amp;IF(AND(EDATE($D102,Milestones!$AA$199)&lt;=AsOfDate,IF($R102=0,$X102,IF(AND($T102&lt;&gt;"",EDATE($D102,Milestones!$AA$199)&gt;=$T102),$W102,IF(AND($S102&lt;&gt;"",EDATE($D102,Milestones!$AA$199)&gt;=$S102),$V102,$U102)))=Milestones!$AB$199),UPPER(TEXT(EDATE($D102,Milestones!$AA$199),"dd mmm yy"))&amp;" "&amp;Milestones!$AB$199&amp;" "&amp;Milestones!$AC$199&amp;";  ",""))</f>
        <v/>
      </c>
      <c r="R102" s="0" t="str">
        <f aca="false">IF(Staff!$A102="","",Staff!$AI102)</f>
        <v/>
      </c>
      <c r="S102" s="0" t="str">
        <f aca="false">IF(Staff!$A102="","",Staff!$AK102)</f>
        <v/>
      </c>
      <c r="T102" s="0" t="str">
        <f aca="false">IF(Staff!$A102="","",Staff!$AL102)</f>
        <v/>
      </c>
      <c r="U102" s="0" t="str">
        <f aca="false">IF(Staff!$A102="","",Staff!$AP102)</f>
        <v/>
      </c>
      <c r="V102" s="0" t="str">
        <f aca="false">IF(Staff!$A102="","",Staff!$AQ102)</f>
        <v/>
      </c>
      <c r="W102" s="0" t="str">
        <f aca="false">IF(Staff!$A102="","",Staff!$AR102)</f>
        <v/>
      </c>
      <c r="X102" s="0" t="str">
        <f aca="false">IF(Staff!$A102="","",Staff!$AS102)</f>
        <v/>
      </c>
    </row>
    <row r="103" customFormat="false" ht="15" hidden="false" customHeight="false" outlineLevel="0" collapsed="false">
      <c r="A103" s="19" t="str">
        <f aca="false">IF(Staff!$A103="","",Staff!$A103)</f>
        <v/>
      </c>
      <c r="B103" s="19" t="str">
        <f aca="false">IF(Staff!$A103="","",Staff!$B103)</f>
        <v/>
      </c>
      <c r="C103" s="19" t="str">
        <f aca="false">IF(Staff!$A103="","",Staff!$C103)</f>
        <v/>
      </c>
      <c r="D103" s="17" t="str">
        <f aca="false">IF(Staff!$A103="","",Staff!$AH103)</f>
        <v/>
      </c>
      <c r="E103" s="19" t="str">
        <f aca="false">IF(Staff!$A103="","",Staff!$O103)</f>
        <v/>
      </c>
      <c r="F103" s="19" t="str">
        <f aca="false">IF(E103="","",E103*HoursPerDay)</f>
        <v/>
      </c>
      <c r="G103" s="19" t="str">
        <f aca="false">IF(Staff!$A103="","",Staff!$AE103)</f>
        <v/>
      </c>
      <c r="H103" s="32" t="str">
        <f aca="false">IF($A103="","",I103&amp;J103&amp;K103&amp;L103&amp;M103&amp;N103&amp;O103&amp;P103&amp;Q103)</f>
        <v/>
      </c>
      <c r="I103" s="0" t="str">
        <f aca="false">IF(OR($A103="",$D103=""),"",IF(AND(EDATE($D103,Milestones!$AA$20)&lt;=AsOfDate,IF($R103=0,$X103,IF(AND($T103&lt;&gt;"",EDATE($D103,Milestones!$AA$20)&gt;=$T103),$W103,IF(AND($S103&lt;&gt;"",EDATE($D103,Milestones!$AA$20)&gt;=$S103),$V103,$U103)))=Milestones!$AB$20),UPPER(TEXT(EDATE($D103,Milestones!$AA$20),"dd mmm yy"))&amp;" "&amp;Milestones!$AB$20&amp;" "&amp;Milestones!$AC$20&amp;";  ","")&amp;IF(AND(EDATE($D103,Milestones!$AA$21)&lt;=AsOfDate,IF($R103=0,$X103,IF(AND($T103&lt;&gt;"",EDATE($D103,Milestones!$AA$21)&gt;=$T103),$W103,IF(AND($S103&lt;&gt;"",EDATE($D103,Milestones!$AA$21)&gt;=$S103),$V103,$U103)))=Milestones!$AB$21),UPPER(TEXT(EDATE($D103,Milestones!$AA$21),"dd mmm yy"))&amp;" "&amp;Milestones!$AB$21&amp;" "&amp;Milestones!$AC$21&amp;";  ","")&amp;IF(AND(EDATE($D103,Milestones!$AA$22)&lt;=AsOfDate,IF($R103=0,$X103,IF(AND($T103&lt;&gt;"",EDATE($D103,Milestones!$AA$22)&gt;=$T103),$W103,IF(AND($S103&lt;&gt;"",EDATE($D103,Milestones!$AA$22)&gt;=$S103),$V103,$U103)))=Milestones!$AB$22),UPPER(TEXT(EDATE($D103,Milestones!$AA$22),"dd mmm yy"))&amp;" "&amp;Milestones!$AB$22&amp;" "&amp;Milestones!$AC$22&amp;";  ","")&amp;IF(AND(EDATE($D103,Milestones!$AA$23)&lt;=AsOfDate,IF($R103=0,$X103,IF(AND($T103&lt;&gt;"",EDATE($D103,Milestones!$AA$23)&gt;=$T103),$W103,IF(AND($S103&lt;&gt;"",EDATE($D103,Milestones!$AA$23)&gt;=$S103),$V103,$U103)))=Milestones!$AB$23),UPPER(TEXT(EDATE($D103,Milestones!$AA$23),"dd mmm yy"))&amp;" "&amp;Milestones!$AB$23&amp;" "&amp;Milestones!$AC$23&amp;";  ","")&amp;IF(AND(EDATE($D103,Milestones!$AA$24)&lt;=AsOfDate,IF($R103=0,$X103,IF(AND($T103&lt;&gt;"",EDATE($D103,Milestones!$AA$24)&gt;=$T103),$W103,IF(AND($S103&lt;&gt;"",EDATE($D103,Milestones!$AA$24)&gt;=$S103),$V103,$U103)))=Milestones!$AB$24),UPPER(TEXT(EDATE($D103,Milestones!$AA$24),"dd mmm yy"))&amp;" "&amp;Milestones!$AB$24&amp;" "&amp;Milestones!$AC$24&amp;";  ","")&amp;IF(AND(EDATE($D103,Milestones!$AA$25)&lt;=AsOfDate,IF($R103=0,$X103,IF(AND($T103&lt;&gt;"",EDATE($D103,Milestones!$AA$25)&gt;=$T103),$W103,IF(AND($S103&lt;&gt;"",EDATE($D103,Milestones!$AA$25)&gt;=$S103),$V103,$U103)))=Milestones!$AB$25),UPPER(TEXT(EDATE($D103,Milestones!$AA$25),"dd mmm yy"))&amp;" "&amp;Milestones!$AB$25&amp;" "&amp;Milestones!$AC$25&amp;";  ","")&amp;IF(AND(EDATE($D103,Milestones!$AA$26)&lt;=AsOfDate,IF($R103=0,$X103,IF(AND($T103&lt;&gt;"",EDATE($D103,Milestones!$AA$26)&gt;=$T103),$W103,IF(AND($S103&lt;&gt;"",EDATE($D103,Milestones!$AA$26)&gt;=$S103),$V103,$U103)))=Milestones!$AB$26),UPPER(TEXT(EDATE($D103,Milestones!$AA$26),"dd mmm yy"))&amp;" "&amp;Milestones!$AB$26&amp;" "&amp;Milestones!$AC$26&amp;";  ","")&amp;IF(AND(EDATE($D103,Milestones!$AA$27)&lt;=AsOfDate,IF($R103=0,$X103,IF(AND($T103&lt;&gt;"",EDATE($D103,Milestones!$AA$27)&gt;=$T103),$W103,IF(AND($S103&lt;&gt;"",EDATE($D103,Milestones!$AA$27)&gt;=$S103),$V103,$U103)))=Milestones!$AB$27),UPPER(TEXT(EDATE($D103,Milestones!$AA$27),"dd mmm yy"))&amp;" "&amp;Milestones!$AB$27&amp;" "&amp;Milestones!$AC$27&amp;";  ","")&amp;IF(AND(EDATE($D103,Milestones!$AA$28)&lt;=AsOfDate,IF($R103=0,$X103,IF(AND($T103&lt;&gt;"",EDATE($D103,Milestones!$AA$28)&gt;=$T103),$W103,IF(AND($S103&lt;&gt;"",EDATE($D103,Milestones!$AA$28)&gt;=$S103),$V103,$U103)))=Milestones!$AB$28),UPPER(TEXT(EDATE($D103,Milestones!$AA$28),"dd mmm yy"))&amp;" "&amp;Milestones!$AB$28&amp;" "&amp;Milestones!$AC$28&amp;";  ","")&amp;IF(AND(EDATE($D103,Milestones!$AA$29)&lt;=AsOfDate,IF($R103=0,$X103,IF(AND($T103&lt;&gt;"",EDATE($D103,Milestones!$AA$29)&gt;=$T103),$W103,IF(AND($S103&lt;&gt;"",EDATE($D103,Milestones!$AA$29)&gt;=$S103),$V103,$U103)))=Milestones!$AB$29),UPPER(TEXT(EDATE($D103,Milestones!$AA$29),"dd mmm yy"))&amp;" "&amp;Milestones!$AB$29&amp;" "&amp;Milestones!$AC$29&amp;";  ","")&amp;IF(AND(EDATE($D103,Milestones!$AA$30)&lt;=AsOfDate,IF($R103=0,$X103,IF(AND($T103&lt;&gt;"",EDATE($D103,Milestones!$AA$30)&gt;=$T103),$W103,IF(AND($S103&lt;&gt;"",EDATE($D103,Milestones!$AA$30)&gt;=$S103),$V103,$U103)))=Milestones!$AB$30),UPPER(TEXT(EDATE($D103,Milestones!$AA$30),"dd mmm yy"))&amp;" "&amp;Milestones!$AB$30&amp;" "&amp;Milestones!$AC$30&amp;";  ","")&amp;IF(AND(EDATE($D103,Milestones!$AA$31)&lt;=AsOfDate,IF($R103=0,$X103,IF(AND($T103&lt;&gt;"",EDATE($D103,Milestones!$AA$31)&gt;=$T103),$W103,IF(AND($S103&lt;&gt;"",EDATE($D103,Milestones!$AA$31)&gt;=$S103),$V103,$U103)))=Milestones!$AB$31),UPPER(TEXT(EDATE($D103,Milestones!$AA$31),"dd mmm yy"))&amp;" "&amp;Milestones!$AB$31&amp;" "&amp;Milestones!$AC$31&amp;";  ","")&amp;IF(AND(EDATE($D103,Milestones!$AA$32)&lt;=AsOfDate,IF($R103=0,$X103,IF(AND($T103&lt;&gt;"",EDATE($D103,Milestones!$AA$32)&gt;=$T103),$W103,IF(AND($S103&lt;&gt;"",EDATE($D103,Milestones!$AA$32)&gt;=$S103),$V103,$U103)))=Milestones!$AB$32),UPPER(TEXT(EDATE($D103,Milestones!$AA$32),"dd mmm yy"))&amp;" "&amp;Milestones!$AB$32&amp;" "&amp;Milestones!$AC$32&amp;";  ","")&amp;IF(AND(EDATE($D103,Milestones!$AA$33)&lt;=AsOfDate,IF($R103=0,$X103,IF(AND($T103&lt;&gt;"",EDATE($D103,Milestones!$AA$33)&gt;=$T103),$W103,IF(AND($S103&lt;&gt;"",EDATE($D103,Milestones!$AA$33)&gt;=$S103),$V103,$U103)))=Milestones!$AB$33),UPPER(TEXT(EDATE($D103,Milestones!$AA$33),"dd mmm yy"))&amp;" "&amp;Milestones!$AB$33&amp;" "&amp;Milestones!$AC$33&amp;";  ","")&amp;IF(AND(EDATE($D103,Milestones!$AA$34)&lt;=AsOfDate,IF($R103=0,$X103,IF(AND($T103&lt;&gt;"",EDATE($D103,Milestones!$AA$34)&gt;=$T103),$W103,IF(AND($S103&lt;&gt;"",EDATE($D103,Milestones!$AA$34)&gt;=$S103),$V103,$U103)))=Milestones!$AB$34),UPPER(TEXT(EDATE($D103,Milestones!$AA$34),"dd mmm yy"))&amp;" "&amp;Milestones!$AB$34&amp;" "&amp;Milestones!$AC$34&amp;";  ","")&amp;IF(AND(EDATE($D103,Milestones!$AA$35)&lt;=AsOfDate,IF($R103=0,$X103,IF(AND($T103&lt;&gt;"",EDATE($D103,Milestones!$AA$35)&gt;=$T103),$W103,IF(AND($S103&lt;&gt;"",EDATE($D103,Milestones!$AA$35)&gt;=$S103),$V103,$U103)))=Milestones!$AB$35),UPPER(TEXT(EDATE($D103,Milestones!$AA$35),"dd mmm yy"))&amp;" "&amp;Milestones!$AB$35&amp;" "&amp;Milestones!$AC$35&amp;";  ","")&amp;IF(AND(EDATE($D103,Milestones!$AA$36)&lt;=AsOfDate,IF($R103=0,$X103,IF(AND($T103&lt;&gt;"",EDATE($D103,Milestones!$AA$36)&gt;=$T103),$W103,IF(AND($S103&lt;&gt;"",EDATE($D103,Milestones!$AA$36)&gt;=$S103),$V103,$U103)))=Milestones!$AB$36),UPPER(TEXT(EDATE($D103,Milestones!$AA$36),"dd mmm yy"))&amp;" "&amp;Milestones!$AB$36&amp;" "&amp;Milestones!$AC$36&amp;";  ","")&amp;IF(AND(EDATE($D103,Milestones!$AA$37)&lt;=AsOfDate,IF($R103=0,$X103,IF(AND($T103&lt;&gt;"",EDATE($D103,Milestones!$AA$37)&gt;=$T103),$W103,IF(AND($S103&lt;&gt;"",EDATE($D103,Milestones!$AA$37)&gt;=$S103),$V103,$U103)))=Milestones!$AB$37),UPPER(TEXT(EDATE($D103,Milestones!$AA$37),"dd mmm yy"))&amp;" "&amp;Milestones!$AB$37&amp;" "&amp;Milestones!$AC$37&amp;";  ","")&amp;IF(AND(EDATE($D103,Milestones!$AA$38)&lt;=AsOfDate,IF($R103=0,$X103,IF(AND($T103&lt;&gt;"",EDATE($D103,Milestones!$AA$38)&gt;=$T103),$W103,IF(AND($S103&lt;&gt;"",EDATE($D103,Milestones!$AA$38)&gt;=$S103),$V103,$U103)))=Milestones!$AB$38),UPPER(TEXT(EDATE($D103,Milestones!$AA$38),"dd mmm yy"))&amp;" "&amp;Milestones!$AB$38&amp;" "&amp;Milestones!$AC$38&amp;";  ","")&amp;IF(AND(EDATE($D103,Milestones!$AA$39)&lt;=AsOfDate,IF($R103=0,$X103,IF(AND($T103&lt;&gt;"",EDATE($D103,Milestones!$AA$39)&gt;=$T103),$W103,IF(AND($S103&lt;&gt;"",EDATE($D103,Milestones!$AA$39)&gt;=$S103),$V103,$U103)))=Milestones!$AB$39),UPPER(TEXT(EDATE($D103,Milestones!$AA$39),"dd mmm yy"))&amp;" "&amp;Milestones!$AB$39&amp;" "&amp;Milestones!$AC$39&amp;";  ",""))</f>
        <v/>
      </c>
      <c r="J103" s="0" t="str">
        <f aca="false">IF(OR($A103="",$D103=""),"",IF(AND(EDATE($D103,Milestones!$AA$40)&lt;=AsOfDate,IF($R103=0,$X103,IF(AND($T103&lt;&gt;"",EDATE($D103,Milestones!$AA$40)&gt;=$T103),$W103,IF(AND($S103&lt;&gt;"",EDATE($D103,Milestones!$AA$40)&gt;=$S103),$V103,$U103)))=Milestones!$AB$40),UPPER(TEXT(EDATE($D103,Milestones!$AA$40),"dd mmm yy"))&amp;" "&amp;Milestones!$AB$40&amp;" "&amp;Milestones!$AC$40&amp;";  ","")&amp;IF(AND(EDATE($D103,Milestones!$AA$41)&lt;=AsOfDate,IF($R103=0,$X103,IF(AND($T103&lt;&gt;"",EDATE($D103,Milestones!$AA$41)&gt;=$T103),$W103,IF(AND($S103&lt;&gt;"",EDATE($D103,Milestones!$AA$41)&gt;=$S103),$V103,$U103)))=Milestones!$AB$41),UPPER(TEXT(EDATE($D103,Milestones!$AA$41),"dd mmm yy"))&amp;" "&amp;Milestones!$AB$41&amp;" "&amp;Milestones!$AC$41&amp;";  ","")&amp;IF(AND(EDATE($D103,Milestones!$AA$42)&lt;=AsOfDate,IF($R103=0,$X103,IF(AND($T103&lt;&gt;"",EDATE($D103,Milestones!$AA$42)&gt;=$T103),$W103,IF(AND($S103&lt;&gt;"",EDATE($D103,Milestones!$AA$42)&gt;=$S103),$V103,$U103)))=Milestones!$AB$42),UPPER(TEXT(EDATE($D103,Milestones!$AA$42),"dd mmm yy"))&amp;" "&amp;Milestones!$AB$42&amp;" "&amp;Milestones!$AC$42&amp;";  ","")&amp;IF(AND(EDATE($D103,Milestones!$AA$43)&lt;=AsOfDate,IF($R103=0,$X103,IF(AND($T103&lt;&gt;"",EDATE($D103,Milestones!$AA$43)&gt;=$T103),$W103,IF(AND($S103&lt;&gt;"",EDATE($D103,Milestones!$AA$43)&gt;=$S103),$V103,$U103)))=Milestones!$AB$43),UPPER(TEXT(EDATE($D103,Milestones!$AA$43),"dd mmm yy"))&amp;" "&amp;Milestones!$AB$43&amp;" "&amp;Milestones!$AC$43&amp;";  ","")&amp;IF(AND(EDATE($D103,Milestones!$AA$44)&lt;=AsOfDate,IF($R103=0,$X103,IF(AND($T103&lt;&gt;"",EDATE($D103,Milestones!$AA$44)&gt;=$T103),$W103,IF(AND($S103&lt;&gt;"",EDATE($D103,Milestones!$AA$44)&gt;=$S103),$V103,$U103)))=Milestones!$AB$44),UPPER(TEXT(EDATE($D103,Milestones!$AA$44),"dd mmm yy"))&amp;" "&amp;Milestones!$AB$44&amp;" "&amp;Milestones!$AC$44&amp;";  ","")&amp;IF(AND(EDATE($D103,Milestones!$AA$45)&lt;=AsOfDate,IF($R103=0,$X103,IF(AND($T103&lt;&gt;"",EDATE($D103,Milestones!$AA$45)&gt;=$T103),$W103,IF(AND($S103&lt;&gt;"",EDATE($D103,Milestones!$AA$45)&gt;=$S103),$V103,$U103)))=Milestones!$AB$45),UPPER(TEXT(EDATE($D103,Milestones!$AA$45),"dd mmm yy"))&amp;" "&amp;Milestones!$AB$45&amp;" "&amp;Milestones!$AC$45&amp;";  ","")&amp;IF(AND(EDATE($D103,Milestones!$AA$46)&lt;=AsOfDate,IF($R103=0,$X103,IF(AND($T103&lt;&gt;"",EDATE($D103,Milestones!$AA$46)&gt;=$T103),$W103,IF(AND($S103&lt;&gt;"",EDATE($D103,Milestones!$AA$46)&gt;=$S103),$V103,$U103)))=Milestones!$AB$46),UPPER(TEXT(EDATE($D103,Milestones!$AA$46),"dd mmm yy"))&amp;" "&amp;Milestones!$AB$46&amp;" "&amp;Milestones!$AC$46&amp;";  ","")&amp;IF(AND(EDATE($D103,Milestones!$AA$47)&lt;=AsOfDate,IF($R103=0,$X103,IF(AND($T103&lt;&gt;"",EDATE($D103,Milestones!$AA$47)&gt;=$T103),$W103,IF(AND($S103&lt;&gt;"",EDATE($D103,Milestones!$AA$47)&gt;=$S103),$V103,$U103)))=Milestones!$AB$47),UPPER(TEXT(EDATE($D103,Milestones!$AA$47),"dd mmm yy"))&amp;" "&amp;Milestones!$AB$47&amp;" "&amp;Milestones!$AC$47&amp;";  ","")&amp;IF(AND(EDATE($D103,Milestones!$AA$48)&lt;=AsOfDate,IF($R103=0,$X103,IF(AND($T103&lt;&gt;"",EDATE($D103,Milestones!$AA$48)&gt;=$T103),$W103,IF(AND($S103&lt;&gt;"",EDATE($D103,Milestones!$AA$48)&gt;=$S103),$V103,$U103)))=Milestones!$AB$48),UPPER(TEXT(EDATE($D103,Milestones!$AA$48),"dd mmm yy"))&amp;" "&amp;Milestones!$AB$48&amp;" "&amp;Milestones!$AC$48&amp;";  ","")&amp;IF(AND(EDATE($D103,Milestones!$AA$49)&lt;=AsOfDate,IF($R103=0,$X103,IF(AND($T103&lt;&gt;"",EDATE($D103,Milestones!$AA$49)&gt;=$T103),$W103,IF(AND($S103&lt;&gt;"",EDATE($D103,Milestones!$AA$49)&gt;=$S103),$V103,$U103)))=Milestones!$AB$49),UPPER(TEXT(EDATE($D103,Milestones!$AA$49),"dd mmm yy"))&amp;" "&amp;Milestones!$AB$49&amp;" "&amp;Milestones!$AC$49&amp;";  ","")&amp;IF(AND(EDATE($D103,Milestones!$AA$50)&lt;=AsOfDate,IF($R103=0,$X103,IF(AND($T103&lt;&gt;"",EDATE($D103,Milestones!$AA$50)&gt;=$T103),$W103,IF(AND($S103&lt;&gt;"",EDATE($D103,Milestones!$AA$50)&gt;=$S103),$V103,$U103)))=Milestones!$AB$50),UPPER(TEXT(EDATE($D103,Milestones!$AA$50),"dd mmm yy"))&amp;" "&amp;Milestones!$AB$50&amp;" "&amp;Milestones!$AC$50&amp;";  ","")&amp;IF(AND(EDATE($D103,Milestones!$AA$51)&lt;=AsOfDate,IF($R103=0,$X103,IF(AND($T103&lt;&gt;"",EDATE($D103,Milestones!$AA$51)&gt;=$T103),$W103,IF(AND($S103&lt;&gt;"",EDATE($D103,Milestones!$AA$51)&gt;=$S103),$V103,$U103)))=Milestones!$AB$51),UPPER(TEXT(EDATE($D103,Milestones!$AA$51),"dd mmm yy"))&amp;" "&amp;Milestones!$AB$51&amp;" "&amp;Milestones!$AC$51&amp;";  ","")&amp;IF(AND(EDATE($D103,Milestones!$AA$52)&lt;=AsOfDate,IF($R103=0,$X103,IF(AND($T103&lt;&gt;"",EDATE($D103,Milestones!$AA$52)&gt;=$T103),$W103,IF(AND($S103&lt;&gt;"",EDATE($D103,Milestones!$AA$52)&gt;=$S103),$V103,$U103)))=Milestones!$AB$52),UPPER(TEXT(EDATE($D103,Milestones!$AA$52),"dd mmm yy"))&amp;" "&amp;Milestones!$AB$52&amp;" "&amp;Milestones!$AC$52&amp;";  ","")&amp;IF(AND(EDATE($D103,Milestones!$AA$53)&lt;=AsOfDate,IF($R103=0,$X103,IF(AND($T103&lt;&gt;"",EDATE($D103,Milestones!$AA$53)&gt;=$T103),$W103,IF(AND($S103&lt;&gt;"",EDATE($D103,Milestones!$AA$53)&gt;=$S103),$V103,$U103)))=Milestones!$AB$53),UPPER(TEXT(EDATE($D103,Milestones!$AA$53),"dd mmm yy"))&amp;" "&amp;Milestones!$AB$53&amp;" "&amp;Milestones!$AC$53&amp;";  ","")&amp;IF(AND(EDATE($D103,Milestones!$AA$54)&lt;=AsOfDate,IF($R103=0,$X103,IF(AND($T103&lt;&gt;"",EDATE($D103,Milestones!$AA$54)&gt;=$T103),$W103,IF(AND($S103&lt;&gt;"",EDATE($D103,Milestones!$AA$54)&gt;=$S103),$V103,$U103)))=Milestones!$AB$54),UPPER(TEXT(EDATE($D103,Milestones!$AA$54),"dd mmm yy"))&amp;" "&amp;Milestones!$AB$54&amp;" "&amp;Milestones!$AC$54&amp;";  ","")&amp;IF(AND(EDATE($D103,Milestones!$AA$55)&lt;=AsOfDate,IF($R103=0,$X103,IF(AND($T103&lt;&gt;"",EDATE($D103,Milestones!$AA$55)&gt;=$T103),$W103,IF(AND($S103&lt;&gt;"",EDATE($D103,Milestones!$AA$55)&gt;=$S103),$V103,$U103)))=Milestones!$AB$55),UPPER(TEXT(EDATE($D103,Milestones!$AA$55),"dd mmm yy"))&amp;" "&amp;Milestones!$AB$55&amp;" "&amp;Milestones!$AC$55&amp;";  ","")&amp;IF(AND(EDATE($D103,Milestones!$AA$56)&lt;=AsOfDate,IF($R103=0,$X103,IF(AND($T103&lt;&gt;"",EDATE($D103,Milestones!$AA$56)&gt;=$T103),$W103,IF(AND($S103&lt;&gt;"",EDATE($D103,Milestones!$AA$56)&gt;=$S103),$V103,$U103)))=Milestones!$AB$56),UPPER(TEXT(EDATE($D103,Milestones!$AA$56),"dd mmm yy"))&amp;" "&amp;Milestones!$AB$56&amp;" "&amp;Milestones!$AC$56&amp;";  ","")&amp;IF(AND(EDATE($D103,Milestones!$AA$57)&lt;=AsOfDate,IF($R103=0,$X103,IF(AND($T103&lt;&gt;"",EDATE($D103,Milestones!$AA$57)&gt;=$T103),$W103,IF(AND($S103&lt;&gt;"",EDATE($D103,Milestones!$AA$57)&gt;=$S103),$V103,$U103)))=Milestones!$AB$57),UPPER(TEXT(EDATE($D103,Milestones!$AA$57),"dd mmm yy"))&amp;" "&amp;Milestones!$AB$57&amp;" "&amp;Milestones!$AC$57&amp;";  ","")&amp;IF(AND(EDATE($D103,Milestones!$AA$58)&lt;=AsOfDate,IF($R103=0,$X103,IF(AND($T103&lt;&gt;"",EDATE($D103,Milestones!$AA$58)&gt;=$T103),$W103,IF(AND($S103&lt;&gt;"",EDATE($D103,Milestones!$AA$58)&gt;=$S103),$V103,$U103)))=Milestones!$AB$58),UPPER(TEXT(EDATE($D103,Milestones!$AA$58),"dd mmm yy"))&amp;" "&amp;Milestones!$AB$58&amp;" "&amp;Milestones!$AC$58&amp;";  ","")&amp;IF(AND(EDATE($D103,Milestones!$AA$59)&lt;=AsOfDate,IF($R103=0,$X103,IF(AND($T103&lt;&gt;"",EDATE($D103,Milestones!$AA$59)&gt;=$T103),$W103,IF(AND($S103&lt;&gt;"",EDATE($D103,Milestones!$AA$59)&gt;=$S103),$V103,$U103)))=Milestones!$AB$59),UPPER(TEXT(EDATE($D103,Milestones!$AA$59),"dd mmm yy"))&amp;" "&amp;Milestones!$AB$59&amp;" "&amp;Milestones!$AC$59&amp;";  ",""))</f>
        <v/>
      </c>
      <c r="K103" s="0" t="str">
        <f aca="false">IF(OR($A103="",$D103=""),"",IF(AND(EDATE($D103,Milestones!$AA$60)&lt;=AsOfDate,IF($R103=0,$X103,IF(AND($T103&lt;&gt;"",EDATE($D103,Milestones!$AA$60)&gt;=$T103),$W103,IF(AND($S103&lt;&gt;"",EDATE($D103,Milestones!$AA$60)&gt;=$S103),$V103,$U103)))=Milestones!$AB$60),UPPER(TEXT(EDATE($D103,Milestones!$AA$60),"dd mmm yy"))&amp;" "&amp;Milestones!$AB$60&amp;" "&amp;Milestones!$AC$60&amp;";  ","")&amp;IF(AND(EDATE($D103,Milestones!$AA$61)&lt;=AsOfDate,IF($R103=0,$X103,IF(AND($T103&lt;&gt;"",EDATE($D103,Milestones!$AA$61)&gt;=$T103),$W103,IF(AND($S103&lt;&gt;"",EDATE($D103,Milestones!$AA$61)&gt;=$S103),$V103,$U103)))=Milestones!$AB$61),UPPER(TEXT(EDATE($D103,Milestones!$AA$61),"dd mmm yy"))&amp;" "&amp;Milestones!$AB$61&amp;" "&amp;Milestones!$AC$61&amp;";  ","")&amp;IF(AND(EDATE($D103,Milestones!$AA$62)&lt;=AsOfDate,IF($R103=0,$X103,IF(AND($T103&lt;&gt;"",EDATE($D103,Milestones!$AA$62)&gt;=$T103),$W103,IF(AND($S103&lt;&gt;"",EDATE($D103,Milestones!$AA$62)&gt;=$S103),$V103,$U103)))=Milestones!$AB$62),UPPER(TEXT(EDATE($D103,Milestones!$AA$62),"dd mmm yy"))&amp;" "&amp;Milestones!$AB$62&amp;" "&amp;Milestones!$AC$62&amp;";  ","")&amp;IF(AND(EDATE($D103,Milestones!$AA$63)&lt;=AsOfDate,IF($R103=0,$X103,IF(AND($T103&lt;&gt;"",EDATE($D103,Milestones!$AA$63)&gt;=$T103),$W103,IF(AND($S103&lt;&gt;"",EDATE($D103,Milestones!$AA$63)&gt;=$S103),$V103,$U103)))=Milestones!$AB$63),UPPER(TEXT(EDATE($D103,Milestones!$AA$63),"dd mmm yy"))&amp;" "&amp;Milestones!$AB$63&amp;" "&amp;Milestones!$AC$63&amp;";  ","")&amp;IF(AND(EDATE($D103,Milestones!$AA$64)&lt;=AsOfDate,IF($R103=0,$X103,IF(AND($T103&lt;&gt;"",EDATE($D103,Milestones!$AA$64)&gt;=$T103),$W103,IF(AND($S103&lt;&gt;"",EDATE($D103,Milestones!$AA$64)&gt;=$S103),$V103,$U103)))=Milestones!$AB$64),UPPER(TEXT(EDATE($D103,Milestones!$AA$64),"dd mmm yy"))&amp;" "&amp;Milestones!$AB$64&amp;" "&amp;Milestones!$AC$64&amp;";  ","")&amp;IF(AND(EDATE($D103,Milestones!$AA$65)&lt;=AsOfDate,IF($R103=0,$X103,IF(AND($T103&lt;&gt;"",EDATE($D103,Milestones!$AA$65)&gt;=$T103),$W103,IF(AND($S103&lt;&gt;"",EDATE($D103,Milestones!$AA$65)&gt;=$S103),$V103,$U103)))=Milestones!$AB$65),UPPER(TEXT(EDATE($D103,Milestones!$AA$65),"dd mmm yy"))&amp;" "&amp;Milestones!$AB$65&amp;" "&amp;Milestones!$AC$65&amp;";  ","")&amp;IF(AND(EDATE($D103,Milestones!$AA$66)&lt;=AsOfDate,IF($R103=0,$X103,IF(AND($T103&lt;&gt;"",EDATE($D103,Milestones!$AA$66)&gt;=$T103),$W103,IF(AND($S103&lt;&gt;"",EDATE($D103,Milestones!$AA$66)&gt;=$S103),$V103,$U103)))=Milestones!$AB$66),UPPER(TEXT(EDATE($D103,Milestones!$AA$66),"dd mmm yy"))&amp;" "&amp;Milestones!$AB$66&amp;" "&amp;Milestones!$AC$66&amp;";  ","")&amp;IF(AND(EDATE($D103,Milestones!$AA$67)&lt;=AsOfDate,IF($R103=0,$X103,IF(AND($T103&lt;&gt;"",EDATE($D103,Milestones!$AA$67)&gt;=$T103),$W103,IF(AND($S103&lt;&gt;"",EDATE($D103,Milestones!$AA$67)&gt;=$S103),$V103,$U103)))=Milestones!$AB$67),UPPER(TEXT(EDATE($D103,Milestones!$AA$67),"dd mmm yy"))&amp;" "&amp;Milestones!$AB$67&amp;" "&amp;Milestones!$AC$67&amp;";  ","")&amp;IF(AND(EDATE($D103,Milestones!$AA$68)&lt;=AsOfDate,IF($R103=0,$X103,IF(AND($T103&lt;&gt;"",EDATE($D103,Milestones!$AA$68)&gt;=$T103),$W103,IF(AND($S103&lt;&gt;"",EDATE($D103,Milestones!$AA$68)&gt;=$S103),$V103,$U103)))=Milestones!$AB$68),UPPER(TEXT(EDATE($D103,Milestones!$AA$68),"dd mmm yy"))&amp;" "&amp;Milestones!$AB$68&amp;" "&amp;Milestones!$AC$68&amp;";  ","")&amp;IF(AND(EDATE($D103,Milestones!$AA$69)&lt;=AsOfDate,IF($R103=0,$X103,IF(AND($T103&lt;&gt;"",EDATE($D103,Milestones!$AA$69)&gt;=$T103),$W103,IF(AND($S103&lt;&gt;"",EDATE($D103,Milestones!$AA$69)&gt;=$S103),$V103,$U103)))=Milestones!$AB$69),UPPER(TEXT(EDATE($D103,Milestones!$AA$69),"dd mmm yy"))&amp;" "&amp;Milestones!$AB$69&amp;" "&amp;Milestones!$AC$69&amp;";  ","")&amp;IF(AND(EDATE($D103,Milestones!$AA$70)&lt;=AsOfDate,IF($R103=0,$X103,IF(AND($T103&lt;&gt;"",EDATE($D103,Milestones!$AA$70)&gt;=$T103),$W103,IF(AND($S103&lt;&gt;"",EDATE($D103,Milestones!$AA$70)&gt;=$S103),$V103,$U103)))=Milestones!$AB$70),UPPER(TEXT(EDATE($D103,Milestones!$AA$70),"dd mmm yy"))&amp;" "&amp;Milestones!$AB$70&amp;" "&amp;Milestones!$AC$70&amp;";  ","")&amp;IF(AND(EDATE($D103,Milestones!$AA$71)&lt;=AsOfDate,IF($R103=0,$X103,IF(AND($T103&lt;&gt;"",EDATE($D103,Milestones!$AA$71)&gt;=$T103),$W103,IF(AND($S103&lt;&gt;"",EDATE($D103,Milestones!$AA$71)&gt;=$S103),$V103,$U103)))=Milestones!$AB$71),UPPER(TEXT(EDATE($D103,Milestones!$AA$71),"dd mmm yy"))&amp;" "&amp;Milestones!$AB$71&amp;" "&amp;Milestones!$AC$71&amp;";  ","")&amp;IF(AND(EDATE($D103,Milestones!$AA$72)&lt;=AsOfDate,IF($R103=0,$X103,IF(AND($T103&lt;&gt;"",EDATE($D103,Milestones!$AA$72)&gt;=$T103),$W103,IF(AND($S103&lt;&gt;"",EDATE($D103,Milestones!$AA$72)&gt;=$S103),$V103,$U103)))=Milestones!$AB$72),UPPER(TEXT(EDATE($D103,Milestones!$AA$72),"dd mmm yy"))&amp;" "&amp;Milestones!$AB$72&amp;" "&amp;Milestones!$AC$72&amp;";  ","")&amp;IF(AND(EDATE($D103,Milestones!$AA$73)&lt;=AsOfDate,IF($R103=0,$X103,IF(AND($T103&lt;&gt;"",EDATE($D103,Milestones!$AA$73)&gt;=$T103),$W103,IF(AND($S103&lt;&gt;"",EDATE($D103,Milestones!$AA$73)&gt;=$S103),$V103,$U103)))=Milestones!$AB$73),UPPER(TEXT(EDATE($D103,Milestones!$AA$73),"dd mmm yy"))&amp;" "&amp;Milestones!$AB$73&amp;" "&amp;Milestones!$AC$73&amp;";  ","")&amp;IF(AND(EDATE($D103,Milestones!$AA$74)&lt;=AsOfDate,IF($R103=0,$X103,IF(AND($T103&lt;&gt;"",EDATE($D103,Milestones!$AA$74)&gt;=$T103),$W103,IF(AND($S103&lt;&gt;"",EDATE($D103,Milestones!$AA$74)&gt;=$S103),$V103,$U103)))=Milestones!$AB$74),UPPER(TEXT(EDATE($D103,Milestones!$AA$74),"dd mmm yy"))&amp;" "&amp;Milestones!$AB$74&amp;" "&amp;Milestones!$AC$74&amp;";  ","")&amp;IF(AND(EDATE($D103,Milestones!$AA$75)&lt;=AsOfDate,IF($R103=0,$X103,IF(AND($T103&lt;&gt;"",EDATE($D103,Milestones!$AA$75)&gt;=$T103),$W103,IF(AND($S103&lt;&gt;"",EDATE($D103,Milestones!$AA$75)&gt;=$S103),$V103,$U103)))=Milestones!$AB$75),UPPER(TEXT(EDATE($D103,Milestones!$AA$75),"dd mmm yy"))&amp;" "&amp;Milestones!$AB$75&amp;" "&amp;Milestones!$AC$75&amp;";  ","")&amp;IF(AND(EDATE($D103,Milestones!$AA$76)&lt;=AsOfDate,IF($R103=0,$X103,IF(AND($T103&lt;&gt;"",EDATE($D103,Milestones!$AA$76)&gt;=$T103),$W103,IF(AND($S103&lt;&gt;"",EDATE($D103,Milestones!$AA$76)&gt;=$S103),$V103,$U103)))=Milestones!$AB$76),UPPER(TEXT(EDATE($D103,Milestones!$AA$76),"dd mmm yy"))&amp;" "&amp;Milestones!$AB$76&amp;" "&amp;Milestones!$AC$76&amp;";  ","")&amp;IF(AND(EDATE($D103,Milestones!$AA$77)&lt;=AsOfDate,IF($R103=0,$X103,IF(AND($T103&lt;&gt;"",EDATE($D103,Milestones!$AA$77)&gt;=$T103),$W103,IF(AND($S103&lt;&gt;"",EDATE($D103,Milestones!$AA$77)&gt;=$S103),$V103,$U103)))=Milestones!$AB$77),UPPER(TEXT(EDATE($D103,Milestones!$AA$77),"dd mmm yy"))&amp;" "&amp;Milestones!$AB$77&amp;" "&amp;Milestones!$AC$77&amp;";  ","")&amp;IF(AND(EDATE($D103,Milestones!$AA$78)&lt;=AsOfDate,IF($R103=0,$X103,IF(AND($T103&lt;&gt;"",EDATE($D103,Milestones!$AA$78)&gt;=$T103),$W103,IF(AND($S103&lt;&gt;"",EDATE($D103,Milestones!$AA$78)&gt;=$S103),$V103,$U103)))=Milestones!$AB$78),UPPER(TEXT(EDATE($D103,Milestones!$AA$78),"dd mmm yy"))&amp;" "&amp;Milestones!$AB$78&amp;" "&amp;Milestones!$AC$78&amp;";  ","")&amp;IF(AND(EDATE($D103,Milestones!$AA$79)&lt;=AsOfDate,IF($R103=0,$X103,IF(AND($T103&lt;&gt;"",EDATE($D103,Milestones!$AA$79)&gt;=$T103),$W103,IF(AND($S103&lt;&gt;"",EDATE($D103,Milestones!$AA$79)&gt;=$S103),$V103,$U103)))=Milestones!$AB$79),UPPER(TEXT(EDATE($D103,Milestones!$AA$79),"dd mmm yy"))&amp;" "&amp;Milestones!$AB$79&amp;" "&amp;Milestones!$AC$79&amp;";  ",""))</f>
        <v/>
      </c>
      <c r="L103" s="0" t="str">
        <f aca="false">IF(OR($A103="",$D103=""),"",IF(AND(EDATE($D103,Milestones!$AA$80)&lt;=AsOfDate,IF($R103=0,$X103,IF(AND($T103&lt;&gt;"",EDATE($D103,Milestones!$AA$80)&gt;=$T103),$W103,IF(AND($S103&lt;&gt;"",EDATE($D103,Milestones!$AA$80)&gt;=$S103),$V103,$U103)))=Milestones!$AB$80),UPPER(TEXT(EDATE($D103,Milestones!$AA$80),"dd mmm yy"))&amp;" "&amp;Milestones!$AB$80&amp;" "&amp;Milestones!$AC$80&amp;";  ","")&amp;IF(AND(EDATE($D103,Milestones!$AA$81)&lt;=AsOfDate,IF($R103=0,$X103,IF(AND($T103&lt;&gt;"",EDATE($D103,Milestones!$AA$81)&gt;=$T103),$W103,IF(AND($S103&lt;&gt;"",EDATE($D103,Milestones!$AA$81)&gt;=$S103),$V103,$U103)))=Milestones!$AB$81),UPPER(TEXT(EDATE($D103,Milestones!$AA$81),"dd mmm yy"))&amp;" "&amp;Milestones!$AB$81&amp;" "&amp;Milestones!$AC$81&amp;";  ","")&amp;IF(AND(EDATE($D103,Milestones!$AA$82)&lt;=AsOfDate,IF($R103=0,$X103,IF(AND($T103&lt;&gt;"",EDATE($D103,Milestones!$AA$82)&gt;=$T103),$W103,IF(AND($S103&lt;&gt;"",EDATE($D103,Milestones!$AA$82)&gt;=$S103),$V103,$U103)))=Milestones!$AB$82),UPPER(TEXT(EDATE($D103,Milestones!$AA$82),"dd mmm yy"))&amp;" "&amp;Milestones!$AB$82&amp;" "&amp;Milestones!$AC$82&amp;";  ","")&amp;IF(AND(EDATE($D103,Milestones!$AA$83)&lt;=AsOfDate,IF($R103=0,$X103,IF(AND($T103&lt;&gt;"",EDATE($D103,Milestones!$AA$83)&gt;=$T103),$W103,IF(AND($S103&lt;&gt;"",EDATE($D103,Milestones!$AA$83)&gt;=$S103),$V103,$U103)))=Milestones!$AB$83),UPPER(TEXT(EDATE($D103,Milestones!$AA$83),"dd mmm yy"))&amp;" "&amp;Milestones!$AB$83&amp;" "&amp;Milestones!$AC$83&amp;";  ","")&amp;IF(AND(EDATE($D103,Milestones!$AA$84)&lt;=AsOfDate,IF($R103=0,$X103,IF(AND($T103&lt;&gt;"",EDATE($D103,Milestones!$AA$84)&gt;=$T103),$W103,IF(AND($S103&lt;&gt;"",EDATE($D103,Milestones!$AA$84)&gt;=$S103),$V103,$U103)))=Milestones!$AB$84),UPPER(TEXT(EDATE($D103,Milestones!$AA$84),"dd mmm yy"))&amp;" "&amp;Milestones!$AB$84&amp;" "&amp;Milestones!$AC$84&amp;";  ","")&amp;IF(AND(EDATE($D103,Milestones!$AA$85)&lt;=AsOfDate,IF($R103=0,$X103,IF(AND($T103&lt;&gt;"",EDATE($D103,Milestones!$AA$85)&gt;=$T103),$W103,IF(AND($S103&lt;&gt;"",EDATE($D103,Milestones!$AA$85)&gt;=$S103),$V103,$U103)))=Milestones!$AB$85),UPPER(TEXT(EDATE($D103,Milestones!$AA$85),"dd mmm yy"))&amp;" "&amp;Milestones!$AB$85&amp;" "&amp;Milestones!$AC$85&amp;";  ","")&amp;IF(AND(EDATE($D103,Milestones!$AA$86)&lt;=AsOfDate,IF($R103=0,$X103,IF(AND($T103&lt;&gt;"",EDATE($D103,Milestones!$AA$86)&gt;=$T103),$W103,IF(AND($S103&lt;&gt;"",EDATE($D103,Milestones!$AA$86)&gt;=$S103),$V103,$U103)))=Milestones!$AB$86),UPPER(TEXT(EDATE($D103,Milestones!$AA$86),"dd mmm yy"))&amp;" "&amp;Milestones!$AB$86&amp;" "&amp;Milestones!$AC$86&amp;";  ","")&amp;IF(AND(EDATE($D103,Milestones!$AA$87)&lt;=AsOfDate,IF($R103=0,$X103,IF(AND($T103&lt;&gt;"",EDATE($D103,Milestones!$AA$87)&gt;=$T103),$W103,IF(AND($S103&lt;&gt;"",EDATE($D103,Milestones!$AA$87)&gt;=$S103),$V103,$U103)))=Milestones!$AB$87),UPPER(TEXT(EDATE($D103,Milestones!$AA$87),"dd mmm yy"))&amp;" "&amp;Milestones!$AB$87&amp;" "&amp;Milestones!$AC$87&amp;";  ","")&amp;IF(AND(EDATE($D103,Milestones!$AA$88)&lt;=AsOfDate,IF($R103=0,$X103,IF(AND($T103&lt;&gt;"",EDATE($D103,Milestones!$AA$88)&gt;=$T103),$W103,IF(AND($S103&lt;&gt;"",EDATE($D103,Milestones!$AA$88)&gt;=$S103),$V103,$U103)))=Milestones!$AB$88),UPPER(TEXT(EDATE($D103,Milestones!$AA$88),"dd mmm yy"))&amp;" "&amp;Milestones!$AB$88&amp;" "&amp;Milestones!$AC$88&amp;";  ","")&amp;IF(AND(EDATE($D103,Milestones!$AA$89)&lt;=AsOfDate,IF($R103=0,$X103,IF(AND($T103&lt;&gt;"",EDATE($D103,Milestones!$AA$89)&gt;=$T103),$W103,IF(AND($S103&lt;&gt;"",EDATE($D103,Milestones!$AA$89)&gt;=$S103),$V103,$U103)))=Milestones!$AB$89),UPPER(TEXT(EDATE($D103,Milestones!$AA$89),"dd mmm yy"))&amp;" "&amp;Milestones!$AB$89&amp;" "&amp;Milestones!$AC$89&amp;";  ","")&amp;IF(AND(EDATE($D103,Milestones!$AA$90)&lt;=AsOfDate,IF($R103=0,$X103,IF(AND($T103&lt;&gt;"",EDATE($D103,Milestones!$AA$90)&gt;=$T103),$W103,IF(AND($S103&lt;&gt;"",EDATE($D103,Milestones!$AA$90)&gt;=$S103),$V103,$U103)))=Milestones!$AB$90),UPPER(TEXT(EDATE($D103,Milestones!$AA$90),"dd mmm yy"))&amp;" "&amp;Milestones!$AB$90&amp;" "&amp;Milestones!$AC$90&amp;";  ","")&amp;IF(AND(EDATE($D103,Milestones!$AA$91)&lt;=AsOfDate,IF($R103=0,$X103,IF(AND($T103&lt;&gt;"",EDATE($D103,Milestones!$AA$91)&gt;=$T103),$W103,IF(AND($S103&lt;&gt;"",EDATE($D103,Milestones!$AA$91)&gt;=$S103),$V103,$U103)))=Milestones!$AB$91),UPPER(TEXT(EDATE($D103,Milestones!$AA$91),"dd mmm yy"))&amp;" "&amp;Milestones!$AB$91&amp;" "&amp;Milestones!$AC$91&amp;";  ","")&amp;IF(AND(EDATE($D103,Milestones!$AA$92)&lt;=AsOfDate,IF($R103=0,$X103,IF(AND($T103&lt;&gt;"",EDATE($D103,Milestones!$AA$92)&gt;=$T103),$W103,IF(AND($S103&lt;&gt;"",EDATE($D103,Milestones!$AA$92)&gt;=$S103),$V103,$U103)))=Milestones!$AB$92),UPPER(TEXT(EDATE($D103,Milestones!$AA$92),"dd mmm yy"))&amp;" "&amp;Milestones!$AB$92&amp;" "&amp;Milestones!$AC$92&amp;";  ","")&amp;IF(AND(EDATE($D103,Milestones!$AA$93)&lt;=AsOfDate,IF($R103=0,$X103,IF(AND($T103&lt;&gt;"",EDATE($D103,Milestones!$AA$93)&gt;=$T103),$W103,IF(AND($S103&lt;&gt;"",EDATE($D103,Milestones!$AA$93)&gt;=$S103),$V103,$U103)))=Milestones!$AB$93),UPPER(TEXT(EDATE($D103,Milestones!$AA$93),"dd mmm yy"))&amp;" "&amp;Milestones!$AB$93&amp;" "&amp;Milestones!$AC$93&amp;";  ","")&amp;IF(AND(EDATE($D103,Milestones!$AA$94)&lt;=AsOfDate,IF($R103=0,$X103,IF(AND($T103&lt;&gt;"",EDATE($D103,Milestones!$AA$94)&gt;=$T103),$W103,IF(AND($S103&lt;&gt;"",EDATE($D103,Milestones!$AA$94)&gt;=$S103),$V103,$U103)))=Milestones!$AB$94),UPPER(TEXT(EDATE($D103,Milestones!$AA$94),"dd mmm yy"))&amp;" "&amp;Milestones!$AB$94&amp;" "&amp;Milestones!$AC$94&amp;";  ","")&amp;IF(AND(EDATE($D103,Milestones!$AA$95)&lt;=AsOfDate,IF($R103=0,$X103,IF(AND($T103&lt;&gt;"",EDATE($D103,Milestones!$AA$95)&gt;=$T103),$W103,IF(AND($S103&lt;&gt;"",EDATE($D103,Milestones!$AA$95)&gt;=$S103),$V103,$U103)))=Milestones!$AB$95),UPPER(TEXT(EDATE($D103,Milestones!$AA$95),"dd mmm yy"))&amp;" "&amp;Milestones!$AB$95&amp;" "&amp;Milestones!$AC$95&amp;";  ","")&amp;IF(AND(EDATE($D103,Milestones!$AA$96)&lt;=AsOfDate,IF($R103=0,$X103,IF(AND($T103&lt;&gt;"",EDATE($D103,Milestones!$AA$96)&gt;=$T103),$W103,IF(AND($S103&lt;&gt;"",EDATE($D103,Milestones!$AA$96)&gt;=$S103),$V103,$U103)))=Milestones!$AB$96),UPPER(TEXT(EDATE($D103,Milestones!$AA$96),"dd mmm yy"))&amp;" "&amp;Milestones!$AB$96&amp;" "&amp;Milestones!$AC$96&amp;";  ","")&amp;IF(AND(EDATE($D103,Milestones!$AA$97)&lt;=AsOfDate,IF($R103=0,$X103,IF(AND($T103&lt;&gt;"",EDATE($D103,Milestones!$AA$97)&gt;=$T103),$W103,IF(AND($S103&lt;&gt;"",EDATE($D103,Milestones!$AA$97)&gt;=$S103),$V103,$U103)))=Milestones!$AB$97),UPPER(TEXT(EDATE($D103,Milestones!$AA$97),"dd mmm yy"))&amp;" "&amp;Milestones!$AB$97&amp;" "&amp;Milestones!$AC$97&amp;";  ","")&amp;IF(AND(EDATE($D103,Milestones!$AA$98)&lt;=AsOfDate,IF($R103=0,$X103,IF(AND($T103&lt;&gt;"",EDATE($D103,Milestones!$AA$98)&gt;=$T103),$W103,IF(AND($S103&lt;&gt;"",EDATE($D103,Milestones!$AA$98)&gt;=$S103),$V103,$U103)))=Milestones!$AB$98),UPPER(TEXT(EDATE($D103,Milestones!$AA$98),"dd mmm yy"))&amp;" "&amp;Milestones!$AB$98&amp;" "&amp;Milestones!$AC$98&amp;";  ","")&amp;IF(AND(EDATE($D103,Milestones!$AA$99)&lt;=AsOfDate,IF($R103=0,$X103,IF(AND($T103&lt;&gt;"",EDATE($D103,Milestones!$AA$99)&gt;=$T103),$W103,IF(AND($S103&lt;&gt;"",EDATE($D103,Milestones!$AA$99)&gt;=$S103),$V103,$U103)))=Milestones!$AB$99),UPPER(TEXT(EDATE($D103,Milestones!$AA$99),"dd mmm yy"))&amp;" "&amp;Milestones!$AB$99&amp;" "&amp;Milestones!$AC$99&amp;";  ",""))</f>
        <v/>
      </c>
      <c r="M103" s="0" t="str">
        <f aca="false">IF(OR($A103="",$D103=""),"",IF(AND(EDATE($D103,Milestones!$AA$100)&lt;=AsOfDate,IF($R103=0,$X103,IF(AND($T103&lt;&gt;"",EDATE($D103,Milestones!$AA$100)&gt;=$T103),$W103,IF(AND($S103&lt;&gt;"",EDATE($D103,Milestones!$AA$100)&gt;=$S103),$V103,$U103)))=Milestones!$AB$100),UPPER(TEXT(EDATE($D103,Milestones!$AA$100),"dd mmm yy"))&amp;" "&amp;Milestones!$AB$100&amp;" "&amp;Milestones!$AC$100&amp;";  ","")&amp;IF(AND(EDATE($D103,Milestones!$AA$101)&lt;=AsOfDate,IF($R103=0,$X103,IF(AND($T103&lt;&gt;"",EDATE($D103,Milestones!$AA$101)&gt;=$T103),$W103,IF(AND($S103&lt;&gt;"",EDATE($D103,Milestones!$AA$101)&gt;=$S103),$V103,$U103)))=Milestones!$AB$101),UPPER(TEXT(EDATE($D103,Milestones!$AA$101),"dd mmm yy"))&amp;" "&amp;Milestones!$AB$101&amp;" "&amp;Milestones!$AC$101&amp;";  ","")&amp;IF(AND(EDATE($D103,Milestones!$AA$102)&lt;=AsOfDate,IF($R103=0,$X103,IF(AND($T103&lt;&gt;"",EDATE($D103,Milestones!$AA$102)&gt;=$T103),$W103,IF(AND($S103&lt;&gt;"",EDATE($D103,Milestones!$AA$102)&gt;=$S103),$V103,$U103)))=Milestones!$AB$102),UPPER(TEXT(EDATE($D103,Milestones!$AA$102),"dd mmm yy"))&amp;" "&amp;Milestones!$AB$102&amp;" "&amp;Milestones!$AC$102&amp;";  ","")&amp;IF(AND(EDATE($D103,Milestones!$AA$103)&lt;=AsOfDate,IF($R103=0,$X103,IF(AND($T103&lt;&gt;"",EDATE($D103,Milestones!$AA$103)&gt;=$T103),$W103,IF(AND($S103&lt;&gt;"",EDATE($D103,Milestones!$AA$103)&gt;=$S103),$V103,$U103)))=Milestones!$AB$103),UPPER(TEXT(EDATE($D103,Milestones!$AA$103),"dd mmm yy"))&amp;" "&amp;Milestones!$AB$103&amp;" "&amp;Milestones!$AC$103&amp;";  ","")&amp;IF(AND(EDATE($D103,Milestones!$AA$104)&lt;=AsOfDate,IF($R103=0,$X103,IF(AND($T103&lt;&gt;"",EDATE($D103,Milestones!$AA$104)&gt;=$T103),$W103,IF(AND($S103&lt;&gt;"",EDATE($D103,Milestones!$AA$104)&gt;=$S103),$V103,$U103)))=Milestones!$AB$104),UPPER(TEXT(EDATE($D103,Milestones!$AA$104),"dd mmm yy"))&amp;" "&amp;Milestones!$AB$104&amp;" "&amp;Milestones!$AC$104&amp;";  ","")&amp;IF(AND(EDATE($D103,Milestones!$AA$105)&lt;=AsOfDate,IF($R103=0,$X103,IF(AND($T103&lt;&gt;"",EDATE($D103,Milestones!$AA$105)&gt;=$T103),$W103,IF(AND($S103&lt;&gt;"",EDATE($D103,Milestones!$AA$105)&gt;=$S103),$V103,$U103)))=Milestones!$AB$105),UPPER(TEXT(EDATE($D103,Milestones!$AA$105),"dd mmm yy"))&amp;" "&amp;Milestones!$AB$105&amp;" "&amp;Milestones!$AC$105&amp;";  ","")&amp;IF(AND(EDATE($D103,Milestones!$AA$106)&lt;=AsOfDate,IF($R103=0,$X103,IF(AND($T103&lt;&gt;"",EDATE($D103,Milestones!$AA$106)&gt;=$T103),$W103,IF(AND($S103&lt;&gt;"",EDATE($D103,Milestones!$AA$106)&gt;=$S103),$V103,$U103)))=Milestones!$AB$106),UPPER(TEXT(EDATE($D103,Milestones!$AA$106),"dd mmm yy"))&amp;" "&amp;Milestones!$AB$106&amp;" "&amp;Milestones!$AC$106&amp;";  ","")&amp;IF(AND(EDATE($D103,Milestones!$AA$107)&lt;=AsOfDate,IF($R103=0,$X103,IF(AND($T103&lt;&gt;"",EDATE($D103,Milestones!$AA$107)&gt;=$T103),$W103,IF(AND($S103&lt;&gt;"",EDATE($D103,Milestones!$AA$107)&gt;=$S103),$V103,$U103)))=Milestones!$AB$107),UPPER(TEXT(EDATE($D103,Milestones!$AA$107),"dd mmm yy"))&amp;" "&amp;Milestones!$AB$107&amp;" "&amp;Milestones!$AC$107&amp;";  ","")&amp;IF(AND(EDATE($D103,Milestones!$AA$108)&lt;=AsOfDate,IF($R103=0,$X103,IF(AND($T103&lt;&gt;"",EDATE($D103,Milestones!$AA$108)&gt;=$T103),$W103,IF(AND($S103&lt;&gt;"",EDATE($D103,Milestones!$AA$108)&gt;=$S103),$V103,$U103)))=Milestones!$AB$108),UPPER(TEXT(EDATE($D103,Milestones!$AA$108),"dd mmm yy"))&amp;" "&amp;Milestones!$AB$108&amp;" "&amp;Milestones!$AC$108&amp;";  ","")&amp;IF(AND(EDATE($D103,Milestones!$AA$109)&lt;=AsOfDate,IF($R103=0,$X103,IF(AND($T103&lt;&gt;"",EDATE($D103,Milestones!$AA$109)&gt;=$T103),$W103,IF(AND($S103&lt;&gt;"",EDATE($D103,Milestones!$AA$109)&gt;=$S103),$V103,$U103)))=Milestones!$AB$109),UPPER(TEXT(EDATE($D103,Milestones!$AA$109),"dd mmm yy"))&amp;" "&amp;Milestones!$AB$109&amp;" "&amp;Milestones!$AC$109&amp;";  ","")&amp;IF(AND(EDATE($D103,Milestones!$AA$110)&lt;=AsOfDate,IF($R103=0,$X103,IF(AND($T103&lt;&gt;"",EDATE($D103,Milestones!$AA$110)&gt;=$T103),$W103,IF(AND($S103&lt;&gt;"",EDATE($D103,Milestones!$AA$110)&gt;=$S103),$V103,$U103)))=Milestones!$AB$110),UPPER(TEXT(EDATE($D103,Milestones!$AA$110),"dd mmm yy"))&amp;" "&amp;Milestones!$AB$110&amp;" "&amp;Milestones!$AC$110&amp;";  ","")&amp;IF(AND(EDATE($D103,Milestones!$AA$111)&lt;=AsOfDate,IF($R103=0,$X103,IF(AND($T103&lt;&gt;"",EDATE($D103,Milestones!$AA$111)&gt;=$T103),$W103,IF(AND($S103&lt;&gt;"",EDATE($D103,Milestones!$AA$111)&gt;=$S103),$V103,$U103)))=Milestones!$AB$111),UPPER(TEXT(EDATE($D103,Milestones!$AA$111),"dd mmm yy"))&amp;" "&amp;Milestones!$AB$111&amp;" "&amp;Milestones!$AC$111&amp;";  ","")&amp;IF(AND(EDATE($D103,Milestones!$AA$112)&lt;=AsOfDate,IF($R103=0,$X103,IF(AND($T103&lt;&gt;"",EDATE($D103,Milestones!$AA$112)&gt;=$T103),$W103,IF(AND($S103&lt;&gt;"",EDATE($D103,Milestones!$AA$112)&gt;=$S103),$V103,$U103)))=Milestones!$AB$112),UPPER(TEXT(EDATE($D103,Milestones!$AA$112),"dd mmm yy"))&amp;" "&amp;Milestones!$AB$112&amp;" "&amp;Milestones!$AC$112&amp;";  ","")&amp;IF(AND(EDATE($D103,Milestones!$AA$113)&lt;=AsOfDate,IF($R103=0,$X103,IF(AND($T103&lt;&gt;"",EDATE($D103,Milestones!$AA$113)&gt;=$T103),$W103,IF(AND($S103&lt;&gt;"",EDATE($D103,Milestones!$AA$113)&gt;=$S103),$V103,$U103)))=Milestones!$AB$113),UPPER(TEXT(EDATE($D103,Milestones!$AA$113),"dd mmm yy"))&amp;" "&amp;Milestones!$AB$113&amp;" "&amp;Milestones!$AC$113&amp;";  ","")&amp;IF(AND(EDATE($D103,Milestones!$AA$114)&lt;=AsOfDate,IF($R103=0,$X103,IF(AND($T103&lt;&gt;"",EDATE($D103,Milestones!$AA$114)&gt;=$T103),$W103,IF(AND($S103&lt;&gt;"",EDATE($D103,Milestones!$AA$114)&gt;=$S103),$V103,$U103)))=Milestones!$AB$114),UPPER(TEXT(EDATE($D103,Milestones!$AA$114),"dd mmm yy"))&amp;" "&amp;Milestones!$AB$114&amp;" "&amp;Milestones!$AC$114&amp;";  ","")&amp;IF(AND(EDATE($D103,Milestones!$AA$115)&lt;=AsOfDate,IF($R103=0,$X103,IF(AND($T103&lt;&gt;"",EDATE($D103,Milestones!$AA$115)&gt;=$T103),$W103,IF(AND($S103&lt;&gt;"",EDATE($D103,Milestones!$AA$115)&gt;=$S103),$V103,$U103)))=Milestones!$AB$115),UPPER(TEXT(EDATE($D103,Milestones!$AA$115),"dd mmm yy"))&amp;" "&amp;Milestones!$AB$115&amp;" "&amp;Milestones!$AC$115&amp;";  ","")&amp;IF(AND(EDATE($D103,Milestones!$AA$116)&lt;=AsOfDate,IF($R103=0,$X103,IF(AND($T103&lt;&gt;"",EDATE($D103,Milestones!$AA$116)&gt;=$T103),$W103,IF(AND($S103&lt;&gt;"",EDATE($D103,Milestones!$AA$116)&gt;=$S103),$V103,$U103)))=Milestones!$AB$116),UPPER(TEXT(EDATE($D103,Milestones!$AA$116),"dd mmm yy"))&amp;" "&amp;Milestones!$AB$116&amp;" "&amp;Milestones!$AC$116&amp;";  ","")&amp;IF(AND(EDATE($D103,Milestones!$AA$117)&lt;=AsOfDate,IF($R103=0,$X103,IF(AND($T103&lt;&gt;"",EDATE($D103,Milestones!$AA$117)&gt;=$T103),$W103,IF(AND($S103&lt;&gt;"",EDATE($D103,Milestones!$AA$117)&gt;=$S103),$V103,$U103)))=Milestones!$AB$117),UPPER(TEXT(EDATE($D103,Milestones!$AA$117),"dd mmm yy"))&amp;" "&amp;Milestones!$AB$117&amp;" "&amp;Milestones!$AC$117&amp;";  ","")&amp;IF(AND(EDATE($D103,Milestones!$AA$118)&lt;=AsOfDate,IF($R103=0,$X103,IF(AND($T103&lt;&gt;"",EDATE($D103,Milestones!$AA$118)&gt;=$T103),$W103,IF(AND($S103&lt;&gt;"",EDATE($D103,Milestones!$AA$118)&gt;=$S103),$V103,$U103)))=Milestones!$AB$118),UPPER(TEXT(EDATE($D103,Milestones!$AA$118),"dd mmm yy"))&amp;" "&amp;Milestones!$AB$118&amp;" "&amp;Milestones!$AC$118&amp;";  ","")&amp;IF(AND(EDATE($D103,Milestones!$AA$119)&lt;=AsOfDate,IF($R103=0,$X103,IF(AND($T103&lt;&gt;"",EDATE($D103,Milestones!$AA$119)&gt;=$T103),$W103,IF(AND($S103&lt;&gt;"",EDATE($D103,Milestones!$AA$119)&gt;=$S103),$V103,$U103)))=Milestones!$AB$119),UPPER(TEXT(EDATE($D103,Milestones!$AA$119),"dd mmm yy"))&amp;" "&amp;Milestones!$AB$119&amp;" "&amp;Milestones!$AC$119&amp;";  ",""))</f>
        <v/>
      </c>
      <c r="N103" s="0" t="str">
        <f aca="false">IF(OR($A103="",$D103=""),"",IF(AND(EDATE($D103,Milestones!$AA$120)&lt;=AsOfDate,IF($R103=0,$X103,IF(AND($T103&lt;&gt;"",EDATE($D103,Milestones!$AA$120)&gt;=$T103),$W103,IF(AND($S103&lt;&gt;"",EDATE($D103,Milestones!$AA$120)&gt;=$S103),$V103,$U103)))=Milestones!$AB$120),UPPER(TEXT(EDATE($D103,Milestones!$AA$120),"dd mmm yy"))&amp;" "&amp;Milestones!$AB$120&amp;" "&amp;Milestones!$AC$120&amp;";  ","")&amp;IF(AND(EDATE($D103,Milestones!$AA$121)&lt;=AsOfDate,IF($R103=0,$X103,IF(AND($T103&lt;&gt;"",EDATE($D103,Milestones!$AA$121)&gt;=$T103),$W103,IF(AND($S103&lt;&gt;"",EDATE($D103,Milestones!$AA$121)&gt;=$S103),$V103,$U103)))=Milestones!$AB$121),UPPER(TEXT(EDATE($D103,Milestones!$AA$121),"dd mmm yy"))&amp;" "&amp;Milestones!$AB$121&amp;" "&amp;Milestones!$AC$121&amp;";  ","")&amp;IF(AND(EDATE($D103,Milestones!$AA$122)&lt;=AsOfDate,IF($R103=0,$X103,IF(AND($T103&lt;&gt;"",EDATE($D103,Milestones!$AA$122)&gt;=$T103),$W103,IF(AND($S103&lt;&gt;"",EDATE($D103,Milestones!$AA$122)&gt;=$S103),$V103,$U103)))=Milestones!$AB$122),UPPER(TEXT(EDATE($D103,Milestones!$AA$122),"dd mmm yy"))&amp;" "&amp;Milestones!$AB$122&amp;" "&amp;Milestones!$AC$122&amp;";  ","")&amp;IF(AND(EDATE($D103,Milestones!$AA$123)&lt;=AsOfDate,IF($R103=0,$X103,IF(AND($T103&lt;&gt;"",EDATE($D103,Milestones!$AA$123)&gt;=$T103),$W103,IF(AND($S103&lt;&gt;"",EDATE($D103,Milestones!$AA$123)&gt;=$S103),$V103,$U103)))=Milestones!$AB$123),UPPER(TEXT(EDATE($D103,Milestones!$AA$123),"dd mmm yy"))&amp;" "&amp;Milestones!$AB$123&amp;" "&amp;Milestones!$AC$123&amp;";  ","")&amp;IF(AND(EDATE($D103,Milestones!$AA$124)&lt;=AsOfDate,IF($R103=0,$X103,IF(AND($T103&lt;&gt;"",EDATE($D103,Milestones!$AA$124)&gt;=$T103),$W103,IF(AND($S103&lt;&gt;"",EDATE($D103,Milestones!$AA$124)&gt;=$S103),$V103,$U103)))=Milestones!$AB$124),UPPER(TEXT(EDATE($D103,Milestones!$AA$124),"dd mmm yy"))&amp;" "&amp;Milestones!$AB$124&amp;" "&amp;Milestones!$AC$124&amp;";  ","")&amp;IF(AND(EDATE($D103,Milestones!$AA$125)&lt;=AsOfDate,IF($R103=0,$X103,IF(AND($T103&lt;&gt;"",EDATE($D103,Milestones!$AA$125)&gt;=$T103),$W103,IF(AND($S103&lt;&gt;"",EDATE($D103,Milestones!$AA$125)&gt;=$S103),$V103,$U103)))=Milestones!$AB$125),UPPER(TEXT(EDATE($D103,Milestones!$AA$125),"dd mmm yy"))&amp;" "&amp;Milestones!$AB$125&amp;" "&amp;Milestones!$AC$125&amp;";  ","")&amp;IF(AND(EDATE($D103,Milestones!$AA$126)&lt;=AsOfDate,IF($R103=0,$X103,IF(AND($T103&lt;&gt;"",EDATE($D103,Milestones!$AA$126)&gt;=$T103),$W103,IF(AND($S103&lt;&gt;"",EDATE($D103,Milestones!$AA$126)&gt;=$S103),$V103,$U103)))=Milestones!$AB$126),UPPER(TEXT(EDATE($D103,Milestones!$AA$126),"dd mmm yy"))&amp;" "&amp;Milestones!$AB$126&amp;" "&amp;Milestones!$AC$126&amp;";  ","")&amp;IF(AND(EDATE($D103,Milestones!$AA$127)&lt;=AsOfDate,IF($R103=0,$X103,IF(AND($T103&lt;&gt;"",EDATE($D103,Milestones!$AA$127)&gt;=$T103),$W103,IF(AND($S103&lt;&gt;"",EDATE($D103,Milestones!$AA$127)&gt;=$S103),$V103,$U103)))=Milestones!$AB$127),UPPER(TEXT(EDATE($D103,Milestones!$AA$127),"dd mmm yy"))&amp;" "&amp;Milestones!$AB$127&amp;" "&amp;Milestones!$AC$127&amp;";  ","")&amp;IF(AND(EDATE($D103,Milestones!$AA$128)&lt;=AsOfDate,IF($R103=0,$X103,IF(AND($T103&lt;&gt;"",EDATE($D103,Milestones!$AA$128)&gt;=$T103),$W103,IF(AND($S103&lt;&gt;"",EDATE($D103,Milestones!$AA$128)&gt;=$S103),$V103,$U103)))=Milestones!$AB$128),UPPER(TEXT(EDATE($D103,Milestones!$AA$128),"dd mmm yy"))&amp;" "&amp;Milestones!$AB$128&amp;" "&amp;Milestones!$AC$128&amp;";  ","")&amp;IF(AND(EDATE($D103,Milestones!$AA$129)&lt;=AsOfDate,IF($R103=0,$X103,IF(AND($T103&lt;&gt;"",EDATE($D103,Milestones!$AA$129)&gt;=$T103),$W103,IF(AND($S103&lt;&gt;"",EDATE($D103,Milestones!$AA$129)&gt;=$S103),$V103,$U103)))=Milestones!$AB$129),UPPER(TEXT(EDATE($D103,Milestones!$AA$129),"dd mmm yy"))&amp;" "&amp;Milestones!$AB$129&amp;" "&amp;Milestones!$AC$129&amp;";  ","")&amp;IF(AND(EDATE($D103,Milestones!$AA$130)&lt;=AsOfDate,IF($R103=0,$X103,IF(AND($T103&lt;&gt;"",EDATE($D103,Milestones!$AA$130)&gt;=$T103),$W103,IF(AND($S103&lt;&gt;"",EDATE($D103,Milestones!$AA$130)&gt;=$S103),$V103,$U103)))=Milestones!$AB$130),UPPER(TEXT(EDATE($D103,Milestones!$AA$130),"dd mmm yy"))&amp;" "&amp;Milestones!$AB$130&amp;" "&amp;Milestones!$AC$130&amp;";  ","")&amp;IF(AND(EDATE($D103,Milestones!$AA$131)&lt;=AsOfDate,IF($R103=0,$X103,IF(AND($T103&lt;&gt;"",EDATE($D103,Milestones!$AA$131)&gt;=$T103),$W103,IF(AND($S103&lt;&gt;"",EDATE($D103,Milestones!$AA$131)&gt;=$S103),$V103,$U103)))=Milestones!$AB$131),UPPER(TEXT(EDATE($D103,Milestones!$AA$131),"dd mmm yy"))&amp;" "&amp;Milestones!$AB$131&amp;" "&amp;Milestones!$AC$131&amp;";  ","")&amp;IF(AND(EDATE($D103,Milestones!$AA$132)&lt;=AsOfDate,IF($R103=0,$X103,IF(AND($T103&lt;&gt;"",EDATE($D103,Milestones!$AA$132)&gt;=$T103),$W103,IF(AND($S103&lt;&gt;"",EDATE($D103,Milestones!$AA$132)&gt;=$S103),$V103,$U103)))=Milestones!$AB$132),UPPER(TEXT(EDATE($D103,Milestones!$AA$132),"dd mmm yy"))&amp;" "&amp;Milestones!$AB$132&amp;" "&amp;Milestones!$AC$132&amp;";  ","")&amp;IF(AND(EDATE($D103,Milestones!$AA$133)&lt;=AsOfDate,IF($R103=0,$X103,IF(AND($T103&lt;&gt;"",EDATE($D103,Milestones!$AA$133)&gt;=$T103),$W103,IF(AND($S103&lt;&gt;"",EDATE($D103,Milestones!$AA$133)&gt;=$S103),$V103,$U103)))=Milestones!$AB$133),UPPER(TEXT(EDATE($D103,Milestones!$AA$133),"dd mmm yy"))&amp;" "&amp;Milestones!$AB$133&amp;" "&amp;Milestones!$AC$133&amp;";  ","")&amp;IF(AND(EDATE($D103,Milestones!$AA$134)&lt;=AsOfDate,IF($R103=0,$X103,IF(AND($T103&lt;&gt;"",EDATE($D103,Milestones!$AA$134)&gt;=$T103),$W103,IF(AND($S103&lt;&gt;"",EDATE($D103,Milestones!$AA$134)&gt;=$S103),$V103,$U103)))=Milestones!$AB$134),UPPER(TEXT(EDATE($D103,Milestones!$AA$134),"dd mmm yy"))&amp;" "&amp;Milestones!$AB$134&amp;" "&amp;Milestones!$AC$134&amp;";  ","")&amp;IF(AND(EDATE($D103,Milestones!$AA$135)&lt;=AsOfDate,IF($R103=0,$X103,IF(AND($T103&lt;&gt;"",EDATE($D103,Milestones!$AA$135)&gt;=$T103),$W103,IF(AND($S103&lt;&gt;"",EDATE($D103,Milestones!$AA$135)&gt;=$S103),$V103,$U103)))=Milestones!$AB$135),UPPER(TEXT(EDATE($D103,Milestones!$AA$135),"dd mmm yy"))&amp;" "&amp;Milestones!$AB$135&amp;" "&amp;Milestones!$AC$135&amp;";  ","")&amp;IF(AND(EDATE($D103,Milestones!$AA$136)&lt;=AsOfDate,IF($R103=0,$X103,IF(AND($T103&lt;&gt;"",EDATE($D103,Milestones!$AA$136)&gt;=$T103),$W103,IF(AND($S103&lt;&gt;"",EDATE($D103,Milestones!$AA$136)&gt;=$S103),$V103,$U103)))=Milestones!$AB$136),UPPER(TEXT(EDATE($D103,Milestones!$AA$136),"dd mmm yy"))&amp;" "&amp;Milestones!$AB$136&amp;" "&amp;Milestones!$AC$136&amp;";  ","")&amp;IF(AND(EDATE($D103,Milestones!$AA$137)&lt;=AsOfDate,IF($R103=0,$X103,IF(AND($T103&lt;&gt;"",EDATE($D103,Milestones!$AA$137)&gt;=$T103),$W103,IF(AND($S103&lt;&gt;"",EDATE($D103,Milestones!$AA$137)&gt;=$S103),$V103,$U103)))=Milestones!$AB$137),UPPER(TEXT(EDATE($D103,Milestones!$AA$137),"dd mmm yy"))&amp;" "&amp;Milestones!$AB$137&amp;" "&amp;Milestones!$AC$137&amp;";  ","")&amp;IF(AND(EDATE($D103,Milestones!$AA$138)&lt;=AsOfDate,IF($R103=0,$X103,IF(AND($T103&lt;&gt;"",EDATE($D103,Milestones!$AA$138)&gt;=$T103),$W103,IF(AND($S103&lt;&gt;"",EDATE($D103,Milestones!$AA$138)&gt;=$S103),$V103,$U103)))=Milestones!$AB$138),UPPER(TEXT(EDATE($D103,Milestones!$AA$138),"dd mmm yy"))&amp;" "&amp;Milestones!$AB$138&amp;" "&amp;Milestones!$AC$138&amp;";  ","")&amp;IF(AND(EDATE($D103,Milestones!$AA$139)&lt;=AsOfDate,IF($R103=0,$X103,IF(AND($T103&lt;&gt;"",EDATE($D103,Milestones!$AA$139)&gt;=$T103),$W103,IF(AND($S103&lt;&gt;"",EDATE($D103,Milestones!$AA$139)&gt;=$S103),$V103,$U103)))=Milestones!$AB$139),UPPER(TEXT(EDATE($D103,Milestones!$AA$139),"dd mmm yy"))&amp;" "&amp;Milestones!$AB$139&amp;" "&amp;Milestones!$AC$139&amp;";  ",""))</f>
        <v/>
      </c>
      <c r="O103" s="0" t="str">
        <f aca="false">IF(OR($A103="",$D103=""),"",IF(AND(EDATE($D103,Milestones!$AA$140)&lt;=AsOfDate,IF($R103=0,$X103,IF(AND($T103&lt;&gt;"",EDATE($D103,Milestones!$AA$140)&gt;=$T103),$W103,IF(AND($S103&lt;&gt;"",EDATE($D103,Milestones!$AA$140)&gt;=$S103),$V103,$U103)))=Milestones!$AB$140),UPPER(TEXT(EDATE($D103,Milestones!$AA$140),"dd mmm yy"))&amp;" "&amp;Milestones!$AB$140&amp;" "&amp;Milestones!$AC$140&amp;";  ","")&amp;IF(AND(EDATE($D103,Milestones!$AA$141)&lt;=AsOfDate,IF($R103=0,$X103,IF(AND($T103&lt;&gt;"",EDATE($D103,Milestones!$AA$141)&gt;=$T103),$W103,IF(AND($S103&lt;&gt;"",EDATE($D103,Milestones!$AA$141)&gt;=$S103),$V103,$U103)))=Milestones!$AB$141),UPPER(TEXT(EDATE($D103,Milestones!$AA$141),"dd mmm yy"))&amp;" "&amp;Milestones!$AB$141&amp;" "&amp;Milestones!$AC$141&amp;";  ","")&amp;IF(AND(EDATE($D103,Milestones!$AA$142)&lt;=AsOfDate,IF($R103=0,$X103,IF(AND($T103&lt;&gt;"",EDATE($D103,Milestones!$AA$142)&gt;=$T103),$W103,IF(AND($S103&lt;&gt;"",EDATE($D103,Milestones!$AA$142)&gt;=$S103),$V103,$U103)))=Milestones!$AB$142),UPPER(TEXT(EDATE($D103,Milestones!$AA$142),"dd mmm yy"))&amp;" "&amp;Milestones!$AB$142&amp;" "&amp;Milestones!$AC$142&amp;";  ","")&amp;IF(AND(EDATE($D103,Milestones!$AA$143)&lt;=AsOfDate,IF($R103=0,$X103,IF(AND($T103&lt;&gt;"",EDATE($D103,Milestones!$AA$143)&gt;=$T103),$W103,IF(AND($S103&lt;&gt;"",EDATE($D103,Milestones!$AA$143)&gt;=$S103),$V103,$U103)))=Milestones!$AB$143),UPPER(TEXT(EDATE($D103,Milestones!$AA$143),"dd mmm yy"))&amp;" "&amp;Milestones!$AB$143&amp;" "&amp;Milestones!$AC$143&amp;";  ","")&amp;IF(AND(EDATE($D103,Milestones!$AA$144)&lt;=AsOfDate,IF($R103=0,$X103,IF(AND($T103&lt;&gt;"",EDATE($D103,Milestones!$AA$144)&gt;=$T103),$W103,IF(AND($S103&lt;&gt;"",EDATE($D103,Milestones!$AA$144)&gt;=$S103),$V103,$U103)))=Milestones!$AB$144),UPPER(TEXT(EDATE($D103,Milestones!$AA$144),"dd mmm yy"))&amp;" "&amp;Milestones!$AB$144&amp;" "&amp;Milestones!$AC$144&amp;";  ","")&amp;IF(AND(EDATE($D103,Milestones!$AA$145)&lt;=AsOfDate,IF($R103=0,$X103,IF(AND($T103&lt;&gt;"",EDATE($D103,Milestones!$AA$145)&gt;=$T103),$W103,IF(AND($S103&lt;&gt;"",EDATE($D103,Milestones!$AA$145)&gt;=$S103),$V103,$U103)))=Milestones!$AB$145),UPPER(TEXT(EDATE($D103,Milestones!$AA$145),"dd mmm yy"))&amp;" "&amp;Milestones!$AB$145&amp;" "&amp;Milestones!$AC$145&amp;";  ","")&amp;IF(AND(EDATE($D103,Milestones!$AA$146)&lt;=AsOfDate,IF($R103=0,$X103,IF(AND($T103&lt;&gt;"",EDATE($D103,Milestones!$AA$146)&gt;=$T103),$W103,IF(AND($S103&lt;&gt;"",EDATE($D103,Milestones!$AA$146)&gt;=$S103),$V103,$U103)))=Milestones!$AB$146),UPPER(TEXT(EDATE($D103,Milestones!$AA$146),"dd mmm yy"))&amp;" "&amp;Milestones!$AB$146&amp;" "&amp;Milestones!$AC$146&amp;";  ","")&amp;IF(AND(EDATE($D103,Milestones!$AA$147)&lt;=AsOfDate,IF($R103=0,$X103,IF(AND($T103&lt;&gt;"",EDATE($D103,Milestones!$AA$147)&gt;=$T103),$W103,IF(AND($S103&lt;&gt;"",EDATE($D103,Milestones!$AA$147)&gt;=$S103),$V103,$U103)))=Milestones!$AB$147),UPPER(TEXT(EDATE($D103,Milestones!$AA$147),"dd mmm yy"))&amp;" "&amp;Milestones!$AB$147&amp;" "&amp;Milestones!$AC$147&amp;";  ","")&amp;IF(AND(EDATE($D103,Milestones!$AA$148)&lt;=AsOfDate,IF($R103=0,$X103,IF(AND($T103&lt;&gt;"",EDATE($D103,Milestones!$AA$148)&gt;=$T103),$W103,IF(AND($S103&lt;&gt;"",EDATE($D103,Milestones!$AA$148)&gt;=$S103),$V103,$U103)))=Milestones!$AB$148),UPPER(TEXT(EDATE($D103,Milestones!$AA$148),"dd mmm yy"))&amp;" "&amp;Milestones!$AB$148&amp;" "&amp;Milestones!$AC$148&amp;";  ","")&amp;IF(AND(EDATE($D103,Milestones!$AA$149)&lt;=AsOfDate,IF($R103=0,$X103,IF(AND($T103&lt;&gt;"",EDATE($D103,Milestones!$AA$149)&gt;=$T103),$W103,IF(AND($S103&lt;&gt;"",EDATE($D103,Milestones!$AA$149)&gt;=$S103),$V103,$U103)))=Milestones!$AB$149),UPPER(TEXT(EDATE($D103,Milestones!$AA$149),"dd mmm yy"))&amp;" "&amp;Milestones!$AB$149&amp;" "&amp;Milestones!$AC$149&amp;";  ","")&amp;IF(AND(EDATE($D103,Milestones!$AA$150)&lt;=AsOfDate,IF($R103=0,$X103,IF(AND($T103&lt;&gt;"",EDATE($D103,Milestones!$AA$150)&gt;=$T103),$W103,IF(AND($S103&lt;&gt;"",EDATE($D103,Milestones!$AA$150)&gt;=$S103),$V103,$U103)))=Milestones!$AB$150),UPPER(TEXT(EDATE($D103,Milestones!$AA$150),"dd mmm yy"))&amp;" "&amp;Milestones!$AB$150&amp;" "&amp;Milestones!$AC$150&amp;";  ","")&amp;IF(AND(EDATE($D103,Milestones!$AA$151)&lt;=AsOfDate,IF($R103=0,$X103,IF(AND($T103&lt;&gt;"",EDATE($D103,Milestones!$AA$151)&gt;=$T103),$W103,IF(AND($S103&lt;&gt;"",EDATE($D103,Milestones!$AA$151)&gt;=$S103),$V103,$U103)))=Milestones!$AB$151),UPPER(TEXT(EDATE($D103,Milestones!$AA$151),"dd mmm yy"))&amp;" "&amp;Milestones!$AB$151&amp;" "&amp;Milestones!$AC$151&amp;";  ","")&amp;IF(AND(EDATE($D103,Milestones!$AA$152)&lt;=AsOfDate,IF($R103=0,$X103,IF(AND($T103&lt;&gt;"",EDATE($D103,Milestones!$AA$152)&gt;=$T103),$W103,IF(AND($S103&lt;&gt;"",EDATE($D103,Milestones!$AA$152)&gt;=$S103),$V103,$U103)))=Milestones!$AB$152),UPPER(TEXT(EDATE($D103,Milestones!$AA$152),"dd mmm yy"))&amp;" "&amp;Milestones!$AB$152&amp;" "&amp;Milestones!$AC$152&amp;";  ","")&amp;IF(AND(EDATE($D103,Milestones!$AA$153)&lt;=AsOfDate,IF($R103=0,$X103,IF(AND($T103&lt;&gt;"",EDATE($D103,Milestones!$AA$153)&gt;=$T103),$W103,IF(AND($S103&lt;&gt;"",EDATE($D103,Milestones!$AA$153)&gt;=$S103),$V103,$U103)))=Milestones!$AB$153),UPPER(TEXT(EDATE($D103,Milestones!$AA$153),"dd mmm yy"))&amp;" "&amp;Milestones!$AB$153&amp;" "&amp;Milestones!$AC$153&amp;";  ","")&amp;IF(AND(EDATE($D103,Milestones!$AA$154)&lt;=AsOfDate,IF($R103=0,$X103,IF(AND($T103&lt;&gt;"",EDATE($D103,Milestones!$AA$154)&gt;=$T103),$W103,IF(AND($S103&lt;&gt;"",EDATE($D103,Milestones!$AA$154)&gt;=$S103),$V103,$U103)))=Milestones!$AB$154),UPPER(TEXT(EDATE($D103,Milestones!$AA$154),"dd mmm yy"))&amp;" "&amp;Milestones!$AB$154&amp;" "&amp;Milestones!$AC$154&amp;";  ","")&amp;IF(AND(EDATE($D103,Milestones!$AA$155)&lt;=AsOfDate,IF($R103=0,$X103,IF(AND($T103&lt;&gt;"",EDATE($D103,Milestones!$AA$155)&gt;=$T103),$W103,IF(AND($S103&lt;&gt;"",EDATE($D103,Milestones!$AA$155)&gt;=$S103),$V103,$U103)))=Milestones!$AB$155),UPPER(TEXT(EDATE($D103,Milestones!$AA$155),"dd mmm yy"))&amp;" "&amp;Milestones!$AB$155&amp;" "&amp;Milestones!$AC$155&amp;";  ","")&amp;IF(AND(EDATE($D103,Milestones!$AA$156)&lt;=AsOfDate,IF($R103=0,$X103,IF(AND($T103&lt;&gt;"",EDATE($D103,Milestones!$AA$156)&gt;=$T103),$W103,IF(AND($S103&lt;&gt;"",EDATE($D103,Milestones!$AA$156)&gt;=$S103),$V103,$U103)))=Milestones!$AB$156),UPPER(TEXT(EDATE($D103,Milestones!$AA$156),"dd mmm yy"))&amp;" "&amp;Milestones!$AB$156&amp;" "&amp;Milestones!$AC$156&amp;";  ","")&amp;IF(AND(EDATE($D103,Milestones!$AA$157)&lt;=AsOfDate,IF($R103=0,$X103,IF(AND($T103&lt;&gt;"",EDATE($D103,Milestones!$AA$157)&gt;=$T103),$W103,IF(AND($S103&lt;&gt;"",EDATE($D103,Milestones!$AA$157)&gt;=$S103),$V103,$U103)))=Milestones!$AB$157),UPPER(TEXT(EDATE($D103,Milestones!$AA$157),"dd mmm yy"))&amp;" "&amp;Milestones!$AB$157&amp;" "&amp;Milestones!$AC$157&amp;";  ","")&amp;IF(AND(EDATE($D103,Milestones!$AA$158)&lt;=AsOfDate,IF($R103=0,$X103,IF(AND($T103&lt;&gt;"",EDATE($D103,Milestones!$AA$158)&gt;=$T103),$W103,IF(AND($S103&lt;&gt;"",EDATE($D103,Milestones!$AA$158)&gt;=$S103),$V103,$U103)))=Milestones!$AB$158),UPPER(TEXT(EDATE($D103,Milestones!$AA$158),"dd mmm yy"))&amp;" "&amp;Milestones!$AB$158&amp;" "&amp;Milestones!$AC$158&amp;";  ","")&amp;IF(AND(EDATE($D103,Milestones!$AA$159)&lt;=AsOfDate,IF($R103=0,$X103,IF(AND($T103&lt;&gt;"",EDATE($D103,Milestones!$AA$159)&gt;=$T103),$W103,IF(AND($S103&lt;&gt;"",EDATE($D103,Milestones!$AA$159)&gt;=$S103),$V103,$U103)))=Milestones!$AB$159),UPPER(TEXT(EDATE($D103,Milestones!$AA$159),"dd mmm yy"))&amp;" "&amp;Milestones!$AB$159&amp;" "&amp;Milestones!$AC$159&amp;";  ",""))</f>
        <v/>
      </c>
      <c r="P103" s="0" t="str">
        <f aca="false">IF(OR($A103="",$D103=""),"",IF(AND(EDATE($D103,Milestones!$AA$160)&lt;=AsOfDate,IF($R103=0,$X103,IF(AND($T103&lt;&gt;"",EDATE($D103,Milestones!$AA$160)&gt;=$T103),$W103,IF(AND($S103&lt;&gt;"",EDATE($D103,Milestones!$AA$160)&gt;=$S103),$V103,$U103)))=Milestones!$AB$160),UPPER(TEXT(EDATE($D103,Milestones!$AA$160),"dd mmm yy"))&amp;" "&amp;Milestones!$AB$160&amp;" "&amp;Milestones!$AC$160&amp;";  ","")&amp;IF(AND(EDATE($D103,Milestones!$AA$161)&lt;=AsOfDate,IF($R103=0,$X103,IF(AND($T103&lt;&gt;"",EDATE($D103,Milestones!$AA$161)&gt;=$T103),$W103,IF(AND($S103&lt;&gt;"",EDATE($D103,Milestones!$AA$161)&gt;=$S103),$V103,$U103)))=Milestones!$AB$161),UPPER(TEXT(EDATE($D103,Milestones!$AA$161),"dd mmm yy"))&amp;" "&amp;Milestones!$AB$161&amp;" "&amp;Milestones!$AC$161&amp;";  ","")&amp;IF(AND(EDATE($D103,Milestones!$AA$162)&lt;=AsOfDate,IF($R103=0,$X103,IF(AND($T103&lt;&gt;"",EDATE($D103,Milestones!$AA$162)&gt;=$T103),$W103,IF(AND($S103&lt;&gt;"",EDATE($D103,Milestones!$AA$162)&gt;=$S103),$V103,$U103)))=Milestones!$AB$162),UPPER(TEXT(EDATE($D103,Milestones!$AA$162),"dd mmm yy"))&amp;" "&amp;Milestones!$AB$162&amp;" "&amp;Milestones!$AC$162&amp;";  ","")&amp;IF(AND(EDATE($D103,Milestones!$AA$163)&lt;=AsOfDate,IF($R103=0,$X103,IF(AND($T103&lt;&gt;"",EDATE($D103,Milestones!$AA$163)&gt;=$T103),$W103,IF(AND($S103&lt;&gt;"",EDATE($D103,Milestones!$AA$163)&gt;=$S103),$V103,$U103)))=Milestones!$AB$163),UPPER(TEXT(EDATE($D103,Milestones!$AA$163),"dd mmm yy"))&amp;" "&amp;Milestones!$AB$163&amp;" "&amp;Milestones!$AC$163&amp;";  ","")&amp;IF(AND(EDATE($D103,Milestones!$AA$164)&lt;=AsOfDate,IF($R103=0,$X103,IF(AND($T103&lt;&gt;"",EDATE($D103,Milestones!$AA$164)&gt;=$T103),$W103,IF(AND($S103&lt;&gt;"",EDATE($D103,Milestones!$AA$164)&gt;=$S103),$V103,$U103)))=Milestones!$AB$164),UPPER(TEXT(EDATE($D103,Milestones!$AA$164),"dd mmm yy"))&amp;" "&amp;Milestones!$AB$164&amp;" "&amp;Milestones!$AC$164&amp;";  ","")&amp;IF(AND(EDATE($D103,Milestones!$AA$165)&lt;=AsOfDate,IF($R103=0,$X103,IF(AND($T103&lt;&gt;"",EDATE($D103,Milestones!$AA$165)&gt;=$T103),$W103,IF(AND($S103&lt;&gt;"",EDATE($D103,Milestones!$AA$165)&gt;=$S103),$V103,$U103)))=Milestones!$AB$165),UPPER(TEXT(EDATE($D103,Milestones!$AA$165),"dd mmm yy"))&amp;" "&amp;Milestones!$AB$165&amp;" "&amp;Milestones!$AC$165&amp;";  ","")&amp;IF(AND(EDATE($D103,Milestones!$AA$166)&lt;=AsOfDate,IF($R103=0,$X103,IF(AND($T103&lt;&gt;"",EDATE($D103,Milestones!$AA$166)&gt;=$T103),$W103,IF(AND($S103&lt;&gt;"",EDATE($D103,Milestones!$AA$166)&gt;=$S103),$V103,$U103)))=Milestones!$AB$166),UPPER(TEXT(EDATE($D103,Milestones!$AA$166),"dd mmm yy"))&amp;" "&amp;Milestones!$AB$166&amp;" "&amp;Milestones!$AC$166&amp;";  ","")&amp;IF(AND(EDATE($D103,Milestones!$AA$167)&lt;=AsOfDate,IF($R103=0,$X103,IF(AND($T103&lt;&gt;"",EDATE($D103,Milestones!$AA$167)&gt;=$T103),$W103,IF(AND($S103&lt;&gt;"",EDATE($D103,Milestones!$AA$167)&gt;=$S103),$V103,$U103)))=Milestones!$AB$167),UPPER(TEXT(EDATE($D103,Milestones!$AA$167),"dd mmm yy"))&amp;" "&amp;Milestones!$AB$167&amp;" "&amp;Milestones!$AC$167&amp;";  ","")&amp;IF(AND(EDATE($D103,Milestones!$AA$168)&lt;=AsOfDate,IF($R103=0,$X103,IF(AND($T103&lt;&gt;"",EDATE($D103,Milestones!$AA$168)&gt;=$T103),$W103,IF(AND($S103&lt;&gt;"",EDATE($D103,Milestones!$AA$168)&gt;=$S103),$V103,$U103)))=Milestones!$AB$168),UPPER(TEXT(EDATE($D103,Milestones!$AA$168),"dd mmm yy"))&amp;" "&amp;Milestones!$AB$168&amp;" "&amp;Milestones!$AC$168&amp;";  ","")&amp;IF(AND(EDATE($D103,Milestones!$AA$169)&lt;=AsOfDate,IF($R103=0,$X103,IF(AND($T103&lt;&gt;"",EDATE($D103,Milestones!$AA$169)&gt;=$T103),$W103,IF(AND($S103&lt;&gt;"",EDATE($D103,Milestones!$AA$169)&gt;=$S103),$V103,$U103)))=Milestones!$AB$169),UPPER(TEXT(EDATE($D103,Milestones!$AA$169),"dd mmm yy"))&amp;" "&amp;Milestones!$AB$169&amp;" "&amp;Milestones!$AC$169&amp;";  ","")&amp;IF(AND(EDATE($D103,Milestones!$AA$170)&lt;=AsOfDate,IF($R103=0,$X103,IF(AND($T103&lt;&gt;"",EDATE($D103,Milestones!$AA$170)&gt;=$T103),$W103,IF(AND($S103&lt;&gt;"",EDATE($D103,Milestones!$AA$170)&gt;=$S103),$V103,$U103)))=Milestones!$AB$170),UPPER(TEXT(EDATE($D103,Milestones!$AA$170),"dd mmm yy"))&amp;" "&amp;Milestones!$AB$170&amp;" "&amp;Milestones!$AC$170&amp;";  ","")&amp;IF(AND(EDATE($D103,Milestones!$AA$171)&lt;=AsOfDate,IF($R103=0,$X103,IF(AND($T103&lt;&gt;"",EDATE($D103,Milestones!$AA$171)&gt;=$T103),$W103,IF(AND($S103&lt;&gt;"",EDATE($D103,Milestones!$AA$171)&gt;=$S103),$V103,$U103)))=Milestones!$AB$171),UPPER(TEXT(EDATE($D103,Milestones!$AA$171),"dd mmm yy"))&amp;" "&amp;Milestones!$AB$171&amp;" "&amp;Milestones!$AC$171&amp;";  ","")&amp;IF(AND(EDATE($D103,Milestones!$AA$172)&lt;=AsOfDate,IF($R103=0,$X103,IF(AND($T103&lt;&gt;"",EDATE($D103,Milestones!$AA$172)&gt;=$T103),$W103,IF(AND($S103&lt;&gt;"",EDATE($D103,Milestones!$AA$172)&gt;=$S103),$V103,$U103)))=Milestones!$AB$172),UPPER(TEXT(EDATE($D103,Milestones!$AA$172),"dd mmm yy"))&amp;" "&amp;Milestones!$AB$172&amp;" "&amp;Milestones!$AC$172&amp;";  ","")&amp;IF(AND(EDATE($D103,Milestones!$AA$173)&lt;=AsOfDate,IF($R103=0,$X103,IF(AND($T103&lt;&gt;"",EDATE($D103,Milestones!$AA$173)&gt;=$T103),$W103,IF(AND($S103&lt;&gt;"",EDATE($D103,Milestones!$AA$173)&gt;=$S103),$V103,$U103)))=Milestones!$AB$173),UPPER(TEXT(EDATE($D103,Milestones!$AA$173),"dd mmm yy"))&amp;" "&amp;Milestones!$AB$173&amp;" "&amp;Milestones!$AC$173&amp;";  ","")&amp;IF(AND(EDATE($D103,Milestones!$AA$174)&lt;=AsOfDate,IF($R103=0,$X103,IF(AND($T103&lt;&gt;"",EDATE($D103,Milestones!$AA$174)&gt;=$T103),$W103,IF(AND($S103&lt;&gt;"",EDATE($D103,Milestones!$AA$174)&gt;=$S103),$V103,$U103)))=Milestones!$AB$174),UPPER(TEXT(EDATE($D103,Milestones!$AA$174),"dd mmm yy"))&amp;" "&amp;Milestones!$AB$174&amp;" "&amp;Milestones!$AC$174&amp;";  ","")&amp;IF(AND(EDATE($D103,Milestones!$AA$175)&lt;=AsOfDate,IF($R103=0,$X103,IF(AND($T103&lt;&gt;"",EDATE($D103,Milestones!$AA$175)&gt;=$T103),$W103,IF(AND($S103&lt;&gt;"",EDATE($D103,Milestones!$AA$175)&gt;=$S103),$V103,$U103)))=Milestones!$AB$175),UPPER(TEXT(EDATE($D103,Milestones!$AA$175),"dd mmm yy"))&amp;" "&amp;Milestones!$AB$175&amp;" "&amp;Milestones!$AC$175&amp;";  ","")&amp;IF(AND(EDATE($D103,Milestones!$AA$176)&lt;=AsOfDate,IF($R103=0,$X103,IF(AND($T103&lt;&gt;"",EDATE($D103,Milestones!$AA$176)&gt;=$T103),$W103,IF(AND($S103&lt;&gt;"",EDATE($D103,Milestones!$AA$176)&gt;=$S103),$V103,$U103)))=Milestones!$AB$176),UPPER(TEXT(EDATE($D103,Milestones!$AA$176),"dd mmm yy"))&amp;" "&amp;Milestones!$AB$176&amp;" "&amp;Milestones!$AC$176&amp;";  ","")&amp;IF(AND(EDATE($D103,Milestones!$AA$177)&lt;=AsOfDate,IF($R103=0,$X103,IF(AND($T103&lt;&gt;"",EDATE($D103,Milestones!$AA$177)&gt;=$T103),$W103,IF(AND($S103&lt;&gt;"",EDATE($D103,Milestones!$AA$177)&gt;=$S103),$V103,$U103)))=Milestones!$AB$177),UPPER(TEXT(EDATE($D103,Milestones!$AA$177),"dd mmm yy"))&amp;" "&amp;Milestones!$AB$177&amp;" "&amp;Milestones!$AC$177&amp;";  ","")&amp;IF(AND(EDATE($D103,Milestones!$AA$178)&lt;=AsOfDate,IF($R103=0,$X103,IF(AND($T103&lt;&gt;"",EDATE($D103,Milestones!$AA$178)&gt;=$T103),$W103,IF(AND($S103&lt;&gt;"",EDATE($D103,Milestones!$AA$178)&gt;=$S103),$V103,$U103)))=Milestones!$AB$178),UPPER(TEXT(EDATE($D103,Milestones!$AA$178),"dd mmm yy"))&amp;" "&amp;Milestones!$AB$178&amp;" "&amp;Milestones!$AC$178&amp;";  ","")&amp;IF(AND(EDATE($D103,Milestones!$AA$179)&lt;=AsOfDate,IF($R103=0,$X103,IF(AND($T103&lt;&gt;"",EDATE($D103,Milestones!$AA$179)&gt;=$T103),$W103,IF(AND($S103&lt;&gt;"",EDATE($D103,Milestones!$AA$179)&gt;=$S103),$V103,$U103)))=Milestones!$AB$179),UPPER(TEXT(EDATE($D103,Milestones!$AA$179),"dd mmm yy"))&amp;" "&amp;Milestones!$AB$179&amp;" "&amp;Milestones!$AC$179&amp;";  ",""))</f>
        <v/>
      </c>
      <c r="Q103" s="0" t="str">
        <f aca="false">IF(OR($A103="",$D103=""),"",IF(AND(EDATE($D103,Milestones!$AA$180)&lt;=AsOfDate,IF($R103=0,$X103,IF(AND($T103&lt;&gt;"",EDATE($D103,Milestones!$AA$180)&gt;=$T103),$W103,IF(AND($S103&lt;&gt;"",EDATE($D103,Milestones!$AA$180)&gt;=$S103),$V103,$U103)))=Milestones!$AB$180),UPPER(TEXT(EDATE($D103,Milestones!$AA$180),"dd mmm yy"))&amp;" "&amp;Milestones!$AB$180&amp;" "&amp;Milestones!$AC$180&amp;";  ","")&amp;IF(AND(EDATE($D103,Milestones!$AA$181)&lt;=AsOfDate,IF($R103=0,$X103,IF(AND($T103&lt;&gt;"",EDATE($D103,Milestones!$AA$181)&gt;=$T103),$W103,IF(AND($S103&lt;&gt;"",EDATE($D103,Milestones!$AA$181)&gt;=$S103),$V103,$U103)))=Milestones!$AB$181),UPPER(TEXT(EDATE($D103,Milestones!$AA$181),"dd mmm yy"))&amp;" "&amp;Milestones!$AB$181&amp;" "&amp;Milestones!$AC$181&amp;";  ","")&amp;IF(AND(EDATE($D103,Milestones!$AA$182)&lt;=AsOfDate,IF($R103=0,$X103,IF(AND($T103&lt;&gt;"",EDATE($D103,Milestones!$AA$182)&gt;=$T103),$W103,IF(AND($S103&lt;&gt;"",EDATE($D103,Milestones!$AA$182)&gt;=$S103),$V103,$U103)))=Milestones!$AB$182),UPPER(TEXT(EDATE($D103,Milestones!$AA$182),"dd mmm yy"))&amp;" "&amp;Milestones!$AB$182&amp;" "&amp;Milestones!$AC$182&amp;";  ","")&amp;IF(AND(EDATE($D103,Milestones!$AA$183)&lt;=AsOfDate,IF($R103=0,$X103,IF(AND($T103&lt;&gt;"",EDATE($D103,Milestones!$AA$183)&gt;=$T103),$W103,IF(AND($S103&lt;&gt;"",EDATE($D103,Milestones!$AA$183)&gt;=$S103),$V103,$U103)))=Milestones!$AB$183),UPPER(TEXT(EDATE($D103,Milestones!$AA$183),"dd mmm yy"))&amp;" "&amp;Milestones!$AB$183&amp;" "&amp;Milestones!$AC$183&amp;";  ","")&amp;IF(AND(EDATE($D103,Milestones!$AA$184)&lt;=AsOfDate,IF($R103=0,$X103,IF(AND($T103&lt;&gt;"",EDATE($D103,Milestones!$AA$184)&gt;=$T103),$W103,IF(AND($S103&lt;&gt;"",EDATE($D103,Milestones!$AA$184)&gt;=$S103),$V103,$U103)))=Milestones!$AB$184),UPPER(TEXT(EDATE($D103,Milestones!$AA$184),"dd mmm yy"))&amp;" "&amp;Milestones!$AB$184&amp;" "&amp;Milestones!$AC$184&amp;";  ","")&amp;IF(AND(EDATE($D103,Milestones!$AA$185)&lt;=AsOfDate,IF($R103=0,$X103,IF(AND($T103&lt;&gt;"",EDATE($D103,Milestones!$AA$185)&gt;=$T103),$W103,IF(AND($S103&lt;&gt;"",EDATE($D103,Milestones!$AA$185)&gt;=$S103),$V103,$U103)))=Milestones!$AB$185),UPPER(TEXT(EDATE($D103,Milestones!$AA$185),"dd mmm yy"))&amp;" "&amp;Milestones!$AB$185&amp;" "&amp;Milestones!$AC$185&amp;";  ","")&amp;IF(AND(EDATE($D103,Milestones!$AA$186)&lt;=AsOfDate,IF($R103=0,$X103,IF(AND($T103&lt;&gt;"",EDATE($D103,Milestones!$AA$186)&gt;=$T103),$W103,IF(AND($S103&lt;&gt;"",EDATE($D103,Milestones!$AA$186)&gt;=$S103),$V103,$U103)))=Milestones!$AB$186),UPPER(TEXT(EDATE($D103,Milestones!$AA$186),"dd mmm yy"))&amp;" "&amp;Milestones!$AB$186&amp;" "&amp;Milestones!$AC$186&amp;";  ","")&amp;IF(AND(EDATE($D103,Milestones!$AA$187)&lt;=AsOfDate,IF($R103=0,$X103,IF(AND($T103&lt;&gt;"",EDATE($D103,Milestones!$AA$187)&gt;=$T103),$W103,IF(AND($S103&lt;&gt;"",EDATE($D103,Milestones!$AA$187)&gt;=$S103),$V103,$U103)))=Milestones!$AB$187),UPPER(TEXT(EDATE($D103,Milestones!$AA$187),"dd mmm yy"))&amp;" "&amp;Milestones!$AB$187&amp;" "&amp;Milestones!$AC$187&amp;";  ","")&amp;IF(AND(EDATE($D103,Milestones!$AA$188)&lt;=AsOfDate,IF($R103=0,$X103,IF(AND($T103&lt;&gt;"",EDATE($D103,Milestones!$AA$188)&gt;=$T103),$W103,IF(AND($S103&lt;&gt;"",EDATE($D103,Milestones!$AA$188)&gt;=$S103),$V103,$U103)))=Milestones!$AB$188),UPPER(TEXT(EDATE($D103,Milestones!$AA$188),"dd mmm yy"))&amp;" "&amp;Milestones!$AB$188&amp;" "&amp;Milestones!$AC$188&amp;";  ","")&amp;IF(AND(EDATE($D103,Milestones!$AA$189)&lt;=AsOfDate,IF($R103=0,$X103,IF(AND($T103&lt;&gt;"",EDATE($D103,Milestones!$AA$189)&gt;=$T103),$W103,IF(AND($S103&lt;&gt;"",EDATE($D103,Milestones!$AA$189)&gt;=$S103),$V103,$U103)))=Milestones!$AB$189),UPPER(TEXT(EDATE($D103,Milestones!$AA$189),"dd mmm yy"))&amp;" "&amp;Milestones!$AB$189&amp;" "&amp;Milestones!$AC$189&amp;";  ","")&amp;IF(AND(EDATE($D103,Milestones!$AA$190)&lt;=AsOfDate,IF($R103=0,$X103,IF(AND($T103&lt;&gt;"",EDATE($D103,Milestones!$AA$190)&gt;=$T103),$W103,IF(AND($S103&lt;&gt;"",EDATE($D103,Milestones!$AA$190)&gt;=$S103),$V103,$U103)))=Milestones!$AB$190),UPPER(TEXT(EDATE($D103,Milestones!$AA$190),"dd mmm yy"))&amp;" "&amp;Milestones!$AB$190&amp;" "&amp;Milestones!$AC$190&amp;";  ","")&amp;IF(AND(EDATE($D103,Milestones!$AA$191)&lt;=AsOfDate,IF($R103=0,$X103,IF(AND($T103&lt;&gt;"",EDATE($D103,Milestones!$AA$191)&gt;=$T103),$W103,IF(AND($S103&lt;&gt;"",EDATE($D103,Milestones!$AA$191)&gt;=$S103),$V103,$U103)))=Milestones!$AB$191),UPPER(TEXT(EDATE($D103,Milestones!$AA$191),"dd mmm yy"))&amp;" "&amp;Milestones!$AB$191&amp;" "&amp;Milestones!$AC$191&amp;";  ","")&amp;IF(AND(EDATE($D103,Milestones!$AA$192)&lt;=AsOfDate,IF($R103=0,$X103,IF(AND($T103&lt;&gt;"",EDATE($D103,Milestones!$AA$192)&gt;=$T103),$W103,IF(AND($S103&lt;&gt;"",EDATE($D103,Milestones!$AA$192)&gt;=$S103),$V103,$U103)))=Milestones!$AB$192),UPPER(TEXT(EDATE($D103,Milestones!$AA$192),"dd mmm yy"))&amp;" "&amp;Milestones!$AB$192&amp;" "&amp;Milestones!$AC$192&amp;";  ","")&amp;IF(AND(EDATE($D103,Milestones!$AA$193)&lt;=AsOfDate,IF($R103=0,$X103,IF(AND($T103&lt;&gt;"",EDATE($D103,Milestones!$AA$193)&gt;=$T103),$W103,IF(AND($S103&lt;&gt;"",EDATE($D103,Milestones!$AA$193)&gt;=$S103),$V103,$U103)))=Milestones!$AB$193),UPPER(TEXT(EDATE($D103,Milestones!$AA$193),"dd mmm yy"))&amp;" "&amp;Milestones!$AB$193&amp;" "&amp;Milestones!$AC$193&amp;";  ","")&amp;IF(AND(EDATE($D103,Milestones!$AA$194)&lt;=AsOfDate,IF($R103=0,$X103,IF(AND($T103&lt;&gt;"",EDATE($D103,Milestones!$AA$194)&gt;=$T103),$W103,IF(AND($S103&lt;&gt;"",EDATE($D103,Milestones!$AA$194)&gt;=$S103),$V103,$U103)))=Milestones!$AB$194),UPPER(TEXT(EDATE($D103,Milestones!$AA$194),"dd mmm yy"))&amp;" "&amp;Milestones!$AB$194&amp;" "&amp;Milestones!$AC$194&amp;";  ","")&amp;IF(AND(EDATE($D103,Milestones!$AA$195)&lt;=AsOfDate,IF($R103=0,$X103,IF(AND($T103&lt;&gt;"",EDATE($D103,Milestones!$AA$195)&gt;=$T103),$W103,IF(AND($S103&lt;&gt;"",EDATE($D103,Milestones!$AA$195)&gt;=$S103),$V103,$U103)))=Milestones!$AB$195),UPPER(TEXT(EDATE($D103,Milestones!$AA$195),"dd mmm yy"))&amp;" "&amp;Milestones!$AB$195&amp;" "&amp;Milestones!$AC$195&amp;";  ","")&amp;IF(AND(EDATE($D103,Milestones!$AA$196)&lt;=AsOfDate,IF($R103=0,$X103,IF(AND($T103&lt;&gt;"",EDATE($D103,Milestones!$AA$196)&gt;=$T103),$W103,IF(AND($S103&lt;&gt;"",EDATE($D103,Milestones!$AA$196)&gt;=$S103),$V103,$U103)))=Milestones!$AB$196),UPPER(TEXT(EDATE($D103,Milestones!$AA$196),"dd mmm yy"))&amp;" "&amp;Milestones!$AB$196&amp;" "&amp;Milestones!$AC$196&amp;";  ","")&amp;IF(AND(EDATE($D103,Milestones!$AA$197)&lt;=AsOfDate,IF($R103=0,$X103,IF(AND($T103&lt;&gt;"",EDATE($D103,Milestones!$AA$197)&gt;=$T103),$W103,IF(AND($S103&lt;&gt;"",EDATE($D103,Milestones!$AA$197)&gt;=$S103),$V103,$U103)))=Milestones!$AB$197),UPPER(TEXT(EDATE($D103,Milestones!$AA$197),"dd mmm yy"))&amp;" "&amp;Milestones!$AB$197&amp;" "&amp;Milestones!$AC$197&amp;";  ","")&amp;IF(AND(EDATE($D103,Milestones!$AA$198)&lt;=AsOfDate,IF($R103=0,$X103,IF(AND($T103&lt;&gt;"",EDATE($D103,Milestones!$AA$198)&gt;=$T103),$W103,IF(AND($S103&lt;&gt;"",EDATE($D103,Milestones!$AA$198)&gt;=$S103),$V103,$U103)))=Milestones!$AB$198),UPPER(TEXT(EDATE($D103,Milestones!$AA$198),"dd mmm yy"))&amp;" "&amp;Milestones!$AB$198&amp;" "&amp;Milestones!$AC$198&amp;";  ","")&amp;IF(AND(EDATE($D103,Milestones!$AA$199)&lt;=AsOfDate,IF($R103=0,$X103,IF(AND($T103&lt;&gt;"",EDATE($D103,Milestones!$AA$199)&gt;=$T103),$W103,IF(AND($S103&lt;&gt;"",EDATE($D103,Milestones!$AA$199)&gt;=$S103),$V103,$U103)))=Milestones!$AB$199),UPPER(TEXT(EDATE($D103,Milestones!$AA$199),"dd mmm yy"))&amp;" "&amp;Milestones!$AB$199&amp;" "&amp;Milestones!$AC$199&amp;";  ",""))</f>
        <v/>
      </c>
      <c r="R103" s="0" t="str">
        <f aca="false">IF(Staff!$A103="","",Staff!$AI103)</f>
        <v/>
      </c>
      <c r="S103" s="0" t="str">
        <f aca="false">IF(Staff!$A103="","",Staff!$AK103)</f>
        <v/>
      </c>
      <c r="T103" s="0" t="str">
        <f aca="false">IF(Staff!$A103="","",Staff!$AL103)</f>
        <v/>
      </c>
      <c r="U103" s="0" t="str">
        <f aca="false">IF(Staff!$A103="","",Staff!$AP103)</f>
        <v/>
      </c>
      <c r="V103" s="0" t="str">
        <f aca="false">IF(Staff!$A103="","",Staff!$AQ103)</f>
        <v/>
      </c>
      <c r="W103" s="0" t="str">
        <f aca="false">IF(Staff!$A103="","",Staff!$AR103)</f>
        <v/>
      </c>
      <c r="X103" s="0" t="str">
        <f aca="false">IF(Staff!$A103="","",Staff!$AS103)</f>
        <v/>
      </c>
    </row>
    <row r="104" customFormat="false" ht="15" hidden="false" customHeight="false" outlineLevel="0" collapsed="false">
      <c r="A104" s="19" t="str">
        <f aca="false">IF(Staff!$A104="","",Staff!$A104)</f>
        <v/>
      </c>
      <c r="B104" s="19" t="str">
        <f aca="false">IF(Staff!$A104="","",Staff!$B104)</f>
        <v/>
      </c>
      <c r="C104" s="19" t="str">
        <f aca="false">IF(Staff!$A104="","",Staff!$C104)</f>
        <v/>
      </c>
      <c r="D104" s="17" t="str">
        <f aca="false">IF(Staff!$A104="","",Staff!$AH104)</f>
        <v/>
      </c>
      <c r="E104" s="19" t="str">
        <f aca="false">IF(Staff!$A104="","",Staff!$O104)</f>
        <v/>
      </c>
      <c r="F104" s="19" t="str">
        <f aca="false">IF(E104="","",E104*HoursPerDay)</f>
        <v/>
      </c>
      <c r="G104" s="19" t="str">
        <f aca="false">IF(Staff!$A104="","",Staff!$AE104)</f>
        <v/>
      </c>
      <c r="H104" s="32" t="str">
        <f aca="false">IF($A104="","",I104&amp;J104&amp;K104&amp;L104&amp;M104&amp;N104&amp;O104&amp;P104&amp;Q104)</f>
        <v/>
      </c>
      <c r="I104" s="0" t="str">
        <f aca="false">IF(OR($A104="",$D104=""),"",IF(AND(EDATE($D104,Milestones!$AA$20)&lt;=AsOfDate,IF($R104=0,$X104,IF(AND($T104&lt;&gt;"",EDATE($D104,Milestones!$AA$20)&gt;=$T104),$W104,IF(AND($S104&lt;&gt;"",EDATE($D104,Milestones!$AA$20)&gt;=$S104),$V104,$U104)))=Milestones!$AB$20),UPPER(TEXT(EDATE($D104,Milestones!$AA$20),"dd mmm yy"))&amp;" "&amp;Milestones!$AB$20&amp;" "&amp;Milestones!$AC$20&amp;";  ","")&amp;IF(AND(EDATE($D104,Milestones!$AA$21)&lt;=AsOfDate,IF($R104=0,$X104,IF(AND($T104&lt;&gt;"",EDATE($D104,Milestones!$AA$21)&gt;=$T104),$W104,IF(AND($S104&lt;&gt;"",EDATE($D104,Milestones!$AA$21)&gt;=$S104),$V104,$U104)))=Milestones!$AB$21),UPPER(TEXT(EDATE($D104,Milestones!$AA$21),"dd mmm yy"))&amp;" "&amp;Milestones!$AB$21&amp;" "&amp;Milestones!$AC$21&amp;";  ","")&amp;IF(AND(EDATE($D104,Milestones!$AA$22)&lt;=AsOfDate,IF($R104=0,$X104,IF(AND($T104&lt;&gt;"",EDATE($D104,Milestones!$AA$22)&gt;=$T104),$W104,IF(AND($S104&lt;&gt;"",EDATE($D104,Milestones!$AA$22)&gt;=$S104),$V104,$U104)))=Milestones!$AB$22),UPPER(TEXT(EDATE($D104,Milestones!$AA$22),"dd mmm yy"))&amp;" "&amp;Milestones!$AB$22&amp;" "&amp;Milestones!$AC$22&amp;";  ","")&amp;IF(AND(EDATE($D104,Milestones!$AA$23)&lt;=AsOfDate,IF($R104=0,$X104,IF(AND($T104&lt;&gt;"",EDATE($D104,Milestones!$AA$23)&gt;=$T104),$W104,IF(AND($S104&lt;&gt;"",EDATE($D104,Milestones!$AA$23)&gt;=$S104),$V104,$U104)))=Milestones!$AB$23),UPPER(TEXT(EDATE($D104,Milestones!$AA$23),"dd mmm yy"))&amp;" "&amp;Milestones!$AB$23&amp;" "&amp;Milestones!$AC$23&amp;";  ","")&amp;IF(AND(EDATE($D104,Milestones!$AA$24)&lt;=AsOfDate,IF($R104=0,$X104,IF(AND($T104&lt;&gt;"",EDATE($D104,Milestones!$AA$24)&gt;=$T104),$W104,IF(AND($S104&lt;&gt;"",EDATE($D104,Milestones!$AA$24)&gt;=$S104),$V104,$U104)))=Milestones!$AB$24),UPPER(TEXT(EDATE($D104,Milestones!$AA$24),"dd mmm yy"))&amp;" "&amp;Milestones!$AB$24&amp;" "&amp;Milestones!$AC$24&amp;";  ","")&amp;IF(AND(EDATE($D104,Milestones!$AA$25)&lt;=AsOfDate,IF($R104=0,$X104,IF(AND($T104&lt;&gt;"",EDATE($D104,Milestones!$AA$25)&gt;=$T104),$W104,IF(AND($S104&lt;&gt;"",EDATE($D104,Milestones!$AA$25)&gt;=$S104),$V104,$U104)))=Milestones!$AB$25),UPPER(TEXT(EDATE($D104,Milestones!$AA$25),"dd mmm yy"))&amp;" "&amp;Milestones!$AB$25&amp;" "&amp;Milestones!$AC$25&amp;";  ","")&amp;IF(AND(EDATE($D104,Milestones!$AA$26)&lt;=AsOfDate,IF($R104=0,$X104,IF(AND($T104&lt;&gt;"",EDATE($D104,Milestones!$AA$26)&gt;=$T104),$W104,IF(AND($S104&lt;&gt;"",EDATE($D104,Milestones!$AA$26)&gt;=$S104),$V104,$U104)))=Milestones!$AB$26),UPPER(TEXT(EDATE($D104,Milestones!$AA$26),"dd mmm yy"))&amp;" "&amp;Milestones!$AB$26&amp;" "&amp;Milestones!$AC$26&amp;";  ","")&amp;IF(AND(EDATE($D104,Milestones!$AA$27)&lt;=AsOfDate,IF($R104=0,$X104,IF(AND($T104&lt;&gt;"",EDATE($D104,Milestones!$AA$27)&gt;=$T104),$W104,IF(AND($S104&lt;&gt;"",EDATE($D104,Milestones!$AA$27)&gt;=$S104),$V104,$U104)))=Milestones!$AB$27),UPPER(TEXT(EDATE($D104,Milestones!$AA$27),"dd mmm yy"))&amp;" "&amp;Milestones!$AB$27&amp;" "&amp;Milestones!$AC$27&amp;";  ","")&amp;IF(AND(EDATE($D104,Milestones!$AA$28)&lt;=AsOfDate,IF($R104=0,$X104,IF(AND($T104&lt;&gt;"",EDATE($D104,Milestones!$AA$28)&gt;=$T104),$W104,IF(AND($S104&lt;&gt;"",EDATE($D104,Milestones!$AA$28)&gt;=$S104),$V104,$U104)))=Milestones!$AB$28),UPPER(TEXT(EDATE($D104,Milestones!$AA$28),"dd mmm yy"))&amp;" "&amp;Milestones!$AB$28&amp;" "&amp;Milestones!$AC$28&amp;";  ","")&amp;IF(AND(EDATE($D104,Milestones!$AA$29)&lt;=AsOfDate,IF($R104=0,$X104,IF(AND($T104&lt;&gt;"",EDATE($D104,Milestones!$AA$29)&gt;=$T104),$W104,IF(AND($S104&lt;&gt;"",EDATE($D104,Milestones!$AA$29)&gt;=$S104),$V104,$U104)))=Milestones!$AB$29),UPPER(TEXT(EDATE($D104,Milestones!$AA$29),"dd mmm yy"))&amp;" "&amp;Milestones!$AB$29&amp;" "&amp;Milestones!$AC$29&amp;";  ","")&amp;IF(AND(EDATE($D104,Milestones!$AA$30)&lt;=AsOfDate,IF($R104=0,$X104,IF(AND($T104&lt;&gt;"",EDATE($D104,Milestones!$AA$30)&gt;=$T104),$W104,IF(AND($S104&lt;&gt;"",EDATE($D104,Milestones!$AA$30)&gt;=$S104),$V104,$U104)))=Milestones!$AB$30),UPPER(TEXT(EDATE($D104,Milestones!$AA$30),"dd mmm yy"))&amp;" "&amp;Milestones!$AB$30&amp;" "&amp;Milestones!$AC$30&amp;";  ","")&amp;IF(AND(EDATE($D104,Milestones!$AA$31)&lt;=AsOfDate,IF($R104=0,$X104,IF(AND($T104&lt;&gt;"",EDATE($D104,Milestones!$AA$31)&gt;=$T104),$W104,IF(AND($S104&lt;&gt;"",EDATE($D104,Milestones!$AA$31)&gt;=$S104),$V104,$U104)))=Milestones!$AB$31),UPPER(TEXT(EDATE($D104,Milestones!$AA$31),"dd mmm yy"))&amp;" "&amp;Milestones!$AB$31&amp;" "&amp;Milestones!$AC$31&amp;";  ","")&amp;IF(AND(EDATE($D104,Milestones!$AA$32)&lt;=AsOfDate,IF($R104=0,$X104,IF(AND($T104&lt;&gt;"",EDATE($D104,Milestones!$AA$32)&gt;=$T104),$W104,IF(AND($S104&lt;&gt;"",EDATE($D104,Milestones!$AA$32)&gt;=$S104),$V104,$U104)))=Milestones!$AB$32),UPPER(TEXT(EDATE($D104,Milestones!$AA$32),"dd mmm yy"))&amp;" "&amp;Milestones!$AB$32&amp;" "&amp;Milestones!$AC$32&amp;";  ","")&amp;IF(AND(EDATE($D104,Milestones!$AA$33)&lt;=AsOfDate,IF($R104=0,$X104,IF(AND($T104&lt;&gt;"",EDATE($D104,Milestones!$AA$33)&gt;=$T104),$W104,IF(AND($S104&lt;&gt;"",EDATE($D104,Milestones!$AA$33)&gt;=$S104),$V104,$U104)))=Milestones!$AB$33),UPPER(TEXT(EDATE($D104,Milestones!$AA$33),"dd mmm yy"))&amp;" "&amp;Milestones!$AB$33&amp;" "&amp;Milestones!$AC$33&amp;";  ","")&amp;IF(AND(EDATE($D104,Milestones!$AA$34)&lt;=AsOfDate,IF($R104=0,$X104,IF(AND($T104&lt;&gt;"",EDATE($D104,Milestones!$AA$34)&gt;=$T104),$W104,IF(AND($S104&lt;&gt;"",EDATE($D104,Milestones!$AA$34)&gt;=$S104),$V104,$U104)))=Milestones!$AB$34),UPPER(TEXT(EDATE($D104,Milestones!$AA$34),"dd mmm yy"))&amp;" "&amp;Milestones!$AB$34&amp;" "&amp;Milestones!$AC$34&amp;";  ","")&amp;IF(AND(EDATE($D104,Milestones!$AA$35)&lt;=AsOfDate,IF($R104=0,$X104,IF(AND($T104&lt;&gt;"",EDATE($D104,Milestones!$AA$35)&gt;=$T104),$W104,IF(AND($S104&lt;&gt;"",EDATE($D104,Milestones!$AA$35)&gt;=$S104),$V104,$U104)))=Milestones!$AB$35),UPPER(TEXT(EDATE($D104,Milestones!$AA$35),"dd mmm yy"))&amp;" "&amp;Milestones!$AB$35&amp;" "&amp;Milestones!$AC$35&amp;";  ","")&amp;IF(AND(EDATE($D104,Milestones!$AA$36)&lt;=AsOfDate,IF($R104=0,$X104,IF(AND($T104&lt;&gt;"",EDATE($D104,Milestones!$AA$36)&gt;=$T104),$W104,IF(AND($S104&lt;&gt;"",EDATE($D104,Milestones!$AA$36)&gt;=$S104),$V104,$U104)))=Milestones!$AB$36),UPPER(TEXT(EDATE($D104,Milestones!$AA$36),"dd mmm yy"))&amp;" "&amp;Milestones!$AB$36&amp;" "&amp;Milestones!$AC$36&amp;";  ","")&amp;IF(AND(EDATE($D104,Milestones!$AA$37)&lt;=AsOfDate,IF($R104=0,$X104,IF(AND($T104&lt;&gt;"",EDATE($D104,Milestones!$AA$37)&gt;=$T104),$W104,IF(AND($S104&lt;&gt;"",EDATE($D104,Milestones!$AA$37)&gt;=$S104),$V104,$U104)))=Milestones!$AB$37),UPPER(TEXT(EDATE($D104,Milestones!$AA$37),"dd mmm yy"))&amp;" "&amp;Milestones!$AB$37&amp;" "&amp;Milestones!$AC$37&amp;";  ","")&amp;IF(AND(EDATE($D104,Milestones!$AA$38)&lt;=AsOfDate,IF($R104=0,$X104,IF(AND($T104&lt;&gt;"",EDATE($D104,Milestones!$AA$38)&gt;=$T104),$W104,IF(AND($S104&lt;&gt;"",EDATE($D104,Milestones!$AA$38)&gt;=$S104),$V104,$U104)))=Milestones!$AB$38),UPPER(TEXT(EDATE($D104,Milestones!$AA$38),"dd mmm yy"))&amp;" "&amp;Milestones!$AB$38&amp;" "&amp;Milestones!$AC$38&amp;";  ","")&amp;IF(AND(EDATE($D104,Milestones!$AA$39)&lt;=AsOfDate,IF($R104=0,$X104,IF(AND($T104&lt;&gt;"",EDATE($D104,Milestones!$AA$39)&gt;=$T104),$W104,IF(AND($S104&lt;&gt;"",EDATE($D104,Milestones!$AA$39)&gt;=$S104),$V104,$U104)))=Milestones!$AB$39),UPPER(TEXT(EDATE($D104,Milestones!$AA$39),"dd mmm yy"))&amp;" "&amp;Milestones!$AB$39&amp;" "&amp;Milestones!$AC$39&amp;";  ",""))</f>
        <v/>
      </c>
      <c r="J104" s="0" t="str">
        <f aca="false">IF(OR($A104="",$D104=""),"",IF(AND(EDATE($D104,Milestones!$AA$40)&lt;=AsOfDate,IF($R104=0,$X104,IF(AND($T104&lt;&gt;"",EDATE($D104,Milestones!$AA$40)&gt;=$T104),$W104,IF(AND($S104&lt;&gt;"",EDATE($D104,Milestones!$AA$40)&gt;=$S104),$V104,$U104)))=Milestones!$AB$40),UPPER(TEXT(EDATE($D104,Milestones!$AA$40),"dd mmm yy"))&amp;" "&amp;Milestones!$AB$40&amp;" "&amp;Milestones!$AC$40&amp;";  ","")&amp;IF(AND(EDATE($D104,Milestones!$AA$41)&lt;=AsOfDate,IF($R104=0,$X104,IF(AND($T104&lt;&gt;"",EDATE($D104,Milestones!$AA$41)&gt;=$T104),$W104,IF(AND($S104&lt;&gt;"",EDATE($D104,Milestones!$AA$41)&gt;=$S104),$V104,$U104)))=Milestones!$AB$41),UPPER(TEXT(EDATE($D104,Milestones!$AA$41),"dd mmm yy"))&amp;" "&amp;Milestones!$AB$41&amp;" "&amp;Milestones!$AC$41&amp;";  ","")&amp;IF(AND(EDATE($D104,Milestones!$AA$42)&lt;=AsOfDate,IF($R104=0,$X104,IF(AND($T104&lt;&gt;"",EDATE($D104,Milestones!$AA$42)&gt;=$T104),$W104,IF(AND($S104&lt;&gt;"",EDATE($D104,Milestones!$AA$42)&gt;=$S104),$V104,$U104)))=Milestones!$AB$42),UPPER(TEXT(EDATE($D104,Milestones!$AA$42),"dd mmm yy"))&amp;" "&amp;Milestones!$AB$42&amp;" "&amp;Milestones!$AC$42&amp;";  ","")&amp;IF(AND(EDATE($D104,Milestones!$AA$43)&lt;=AsOfDate,IF($R104=0,$X104,IF(AND($T104&lt;&gt;"",EDATE($D104,Milestones!$AA$43)&gt;=$T104),$W104,IF(AND($S104&lt;&gt;"",EDATE($D104,Milestones!$AA$43)&gt;=$S104),$V104,$U104)))=Milestones!$AB$43),UPPER(TEXT(EDATE($D104,Milestones!$AA$43),"dd mmm yy"))&amp;" "&amp;Milestones!$AB$43&amp;" "&amp;Milestones!$AC$43&amp;";  ","")&amp;IF(AND(EDATE($D104,Milestones!$AA$44)&lt;=AsOfDate,IF($R104=0,$X104,IF(AND($T104&lt;&gt;"",EDATE($D104,Milestones!$AA$44)&gt;=$T104),$W104,IF(AND($S104&lt;&gt;"",EDATE($D104,Milestones!$AA$44)&gt;=$S104),$V104,$U104)))=Milestones!$AB$44),UPPER(TEXT(EDATE($D104,Milestones!$AA$44),"dd mmm yy"))&amp;" "&amp;Milestones!$AB$44&amp;" "&amp;Milestones!$AC$44&amp;";  ","")&amp;IF(AND(EDATE($D104,Milestones!$AA$45)&lt;=AsOfDate,IF($R104=0,$X104,IF(AND($T104&lt;&gt;"",EDATE($D104,Milestones!$AA$45)&gt;=$T104),$W104,IF(AND($S104&lt;&gt;"",EDATE($D104,Milestones!$AA$45)&gt;=$S104),$V104,$U104)))=Milestones!$AB$45),UPPER(TEXT(EDATE($D104,Milestones!$AA$45),"dd mmm yy"))&amp;" "&amp;Milestones!$AB$45&amp;" "&amp;Milestones!$AC$45&amp;";  ","")&amp;IF(AND(EDATE($D104,Milestones!$AA$46)&lt;=AsOfDate,IF($R104=0,$X104,IF(AND($T104&lt;&gt;"",EDATE($D104,Milestones!$AA$46)&gt;=$T104),$W104,IF(AND($S104&lt;&gt;"",EDATE($D104,Milestones!$AA$46)&gt;=$S104),$V104,$U104)))=Milestones!$AB$46),UPPER(TEXT(EDATE($D104,Milestones!$AA$46),"dd mmm yy"))&amp;" "&amp;Milestones!$AB$46&amp;" "&amp;Milestones!$AC$46&amp;";  ","")&amp;IF(AND(EDATE($D104,Milestones!$AA$47)&lt;=AsOfDate,IF($R104=0,$X104,IF(AND($T104&lt;&gt;"",EDATE($D104,Milestones!$AA$47)&gt;=$T104),$W104,IF(AND($S104&lt;&gt;"",EDATE($D104,Milestones!$AA$47)&gt;=$S104),$V104,$U104)))=Milestones!$AB$47),UPPER(TEXT(EDATE($D104,Milestones!$AA$47),"dd mmm yy"))&amp;" "&amp;Milestones!$AB$47&amp;" "&amp;Milestones!$AC$47&amp;";  ","")&amp;IF(AND(EDATE($D104,Milestones!$AA$48)&lt;=AsOfDate,IF($R104=0,$X104,IF(AND($T104&lt;&gt;"",EDATE($D104,Milestones!$AA$48)&gt;=$T104),$W104,IF(AND($S104&lt;&gt;"",EDATE($D104,Milestones!$AA$48)&gt;=$S104),$V104,$U104)))=Milestones!$AB$48),UPPER(TEXT(EDATE($D104,Milestones!$AA$48),"dd mmm yy"))&amp;" "&amp;Milestones!$AB$48&amp;" "&amp;Milestones!$AC$48&amp;";  ","")&amp;IF(AND(EDATE($D104,Milestones!$AA$49)&lt;=AsOfDate,IF($R104=0,$X104,IF(AND($T104&lt;&gt;"",EDATE($D104,Milestones!$AA$49)&gt;=$T104),$W104,IF(AND($S104&lt;&gt;"",EDATE($D104,Milestones!$AA$49)&gt;=$S104),$V104,$U104)))=Milestones!$AB$49),UPPER(TEXT(EDATE($D104,Milestones!$AA$49),"dd mmm yy"))&amp;" "&amp;Milestones!$AB$49&amp;" "&amp;Milestones!$AC$49&amp;";  ","")&amp;IF(AND(EDATE($D104,Milestones!$AA$50)&lt;=AsOfDate,IF($R104=0,$X104,IF(AND($T104&lt;&gt;"",EDATE($D104,Milestones!$AA$50)&gt;=$T104),$W104,IF(AND($S104&lt;&gt;"",EDATE($D104,Milestones!$AA$50)&gt;=$S104),$V104,$U104)))=Milestones!$AB$50),UPPER(TEXT(EDATE($D104,Milestones!$AA$50),"dd mmm yy"))&amp;" "&amp;Milestones!$AB$50&amp;" "&amp;Milestones!$AC$50&amp;";  ","")&amp;IF(AND(EDATE($D104,Milestones!$AA$51)&lt;=AsOfDate,IF($R104=0,$X104,IF(AND($T104&lt;&gt;"",EDATE($D104,Milestones!$AA$51)&gt;=$T104),$W104,IF(AND($S104&lt;&gt;"",EDATE($D104,Milestones!$AA$51)&gt;=$S104),$V104,$U104)))=Milestones!$AB$51),UPPER(TEXT(EDATE($D104,Milestones!$AA$51),"dd mmm yy"))&amp;" "&amp;Milestones!$AB$51&amp;" "&amp;Milestones!$AC$51&amp;";  ","")&amp;IF(AND(EDATE($D104,Milestones!$AA$52)&lt;=AsOfDate,IF($R104=0,$X104,IF(AND($T104&lt;&gt;"",EDATE($D104,Milestones!$AA$52)&gt;=$T104),$W104,IF(AND($S104&lt;&gt;"",EDATE($D104,Milestones!$AA$52)&gt;=$S104),$V104,$U104)))=Milestones!$AB$52),UPPER(TEXT(EDATE($D104,Milestones!$AA$52),"dd mmm yy"))&amp;" "&amp;Milestones!$AB$52&amp;" "&amp;Milestones!$AC$52&amp;";  ","")&amp;IF(AND(EDATE($D104,Milestones!$AA$53)&lt;=AsOfDate,IF($R104=0,$X104,IF(AND($T104&lt;&gt;"",EDATE($D104,Milestones!$AA$53)&gt;=$T104),$W104,IF(AND($S104&lt;&gt;"",EDATE($D104,Milestones!$AA$53)&gt;=$S104),$V104,$U104)))=Milestones!$AB$53),UPPER(TEXT(EDATE($D104,Milestones!$AA$53),"dd mmm yy"))&amp;" "&amp;Milestones!$AB$53&amp;" "&amp;Milestones!$AC$53&amp;";  ","")&amp;IF(AND(EDATE($D104,Milestones!$AA$54)&lt;=AsOfDate,IF($R104=0,$X104,IF(AND($T104&lt;&gt;"",EDATE($D104,Milestones!$AA$54)&gt;=$T104),$W104,IF(AND($S104&lt;&gt;"",EDATE($D104,Milestones!$AA$54)&gt;=$S104),$V104,$U104)))=Milestones!$AB$54),UPPER(TEXT(EDATE($D104,Milestones!$AA$54),"dd mmm yy"))&amp;" "&amp;Milestones!$AB$54&amp;" "&amp;Milestones!$AC$54&amp;";  ","")&amp;IF(AND(EDATE($D104,Milestones!$AA$55)&lt;=AsOfDate,IF($R104=0,$X104,IF(AND($T104&lt;&gt;"",EDATE($D104,Milestones!$AA$55)&gt;=$T104),$W104,IF(AND($S104&lt;&gt;"",EDATE($D104,Milestones!$AA$55)&gt;=$S104),$V104,$U104)))=Milestones!$AB$55),UPPER(TEXT(EDATE($D104,Milestones!$AA$55),"dd mmm yy"))&amp;" "&amp;Milestones!$AB$55&amp;" "&amp;Milestones!$AC$55&amp;";  ","")&amp;IF(AND(EDATE($D104,Milestones!$AA$56)&lt;=AsOfDate,IF($R104=0,$X104,IF(AND($T104&lt;&gt;"",EDATE($D104,Milestones!$AA$56)&gt;=$T104),$W104,IF(AND($S104&lt;&gt;"",EDATE($D104,Milestones!$AA$56)&gt;=$S104),$V104,$U104)))=Milestones!$AB$56),UPPER(TEXT(EDATE($D104,Milestones!$AA$56),"dd mmm yy"))&amp;" "&amp;Milestones!$AB$56&amp;" "&amp;Milestones!$AC$56&amp;";  ","")&amp;IF(AND(EDATE($D104,Milestones!$AA$57)&lt;=AsOfDate,IF($R104=0,$X104,IF(AND($T104&lt;&gt;"",EDATE($D104,Milestones!$AA$57)&gt;=$T104),$W104,IF(AND($S104&lt;&gt;"",EDATE($D104,Milestones!$AA$57)&gt;=$S104),$V104,$U104)))=Milestones!$AB$57),UPPER(TEXT(EDATE($D104,Milestones!$AA$57),"dd mmm yy"))&amp;" "&amp;Milestones!$AB$57&amp;" "&amp;Milestones!$AC$57&amp;";  ","")&amp;IF(AND(EDATE($D104,Milestones!$AA$58)&lt;=AsOfDate,IF($R104=0,$X104,IF(AND($T104&lt;&gt;"",EDATE($D104,Milestones!$AA$58)&gt;=$T104),$W104,IF(AND($S104&lt;&gt;"",EDATE($D104,Milestones!$AA$58)&gt;=$S104),$V104,$U104)))=Milestones!$AB$58),UPPER(TEXT(EDATE($D104,Milestones!$AA$58),"dd mmm yy"))&amp;" "&amp;Milestones!$AB$58&amp;" "&amp;Milestones!$AC$58&amp;";  ","")&amp;IF(AND(EDATE($D104,Milestones!$AA$59)&lt;=AsOfDate,IF($R104=0,$X104,IF(AND($T104&lt;&gt;"",EDATE($D104,Milestones!$AA$59)&gt;=$T104),$W104,IF(AND($S104&lt;&gt;"",EDATE($D104,Milestones!$AA$59)&gt;=$S104),$V104,$U104)))=Milestones!$AB$59),UPPER(TEXT(EDATE($D104,Milestones!$AA$59),"dd mmm yy"))&amp;" "&amp;Milestones!$AB$59&amp;" "&amp;Milestones!$AC$59&amp;";  ",""))</f>
        <v/>
      </c>
      <c r="K104" s="0" t="str">
        <f aca="false">IF(OR($A104="",$D104=""),"",IF(AND(EDATE($D104,Milestones!$AA$60)&lt;=AsOfDate,IF($R104=0,$X104,IF(AND($T104&lt;&gt;"",EDATE($D104,Milestones!$AA$60)&gt;=$T104),$W104,IF(AND($S104&lt;&gt;"",EDATE($D104,Milestones!$AA$60)&gt;=$S104),$V104,$U104)))=Milestones!$AB$60),UPPER(TEXT(EDATE($D104,Milestones!$AA$60),"dd mmm yy"))&amp;" "&amp;Milestones!$AB$60&amp;" "&amp;Milestones!$AC$60&amp;";  ","")&amp;IF(AND(EDATE($D104,Milestones!$AA$61)&lt;=AsOfDate,IF($R104=0,$X104,IF(AND($T104&lt;&gt;"",EDATE($D104,Milestones!$AA$61)&gt;=$T104),$W104,IF(AND($S104&lt;&gt;"",EDATE($D104,Milestones!$AA$61)&gt;=$S104),$V104,$U104)))=Milestones!$AB$61),UPPER(TEXT(EDATE($D104,Milestones!$AA$61),"dd mmm yy"))&amp;" "&amp;Milestones!$AB$61&amp;" "&amp;Milestones!$AC$61&amp;";  ","")&amp;IF(AND(EDATE($D104,Milestones!$AA$62)&lt;=AsOfDate,IF($R104=0,$X104,IF(AND($T104&lt;&gt;"",EDATE($D104,Milestones!$AA$62)&gt;=$T104),$W104,IF(AND($S104&lt;&gt;"",EDATE($D104,Milestones!$AA$62)&gt;=$S104),$V104,$U104)))=Milestones!$AB$62),UPPER(TEXT(EDATE($D104,Milestones!$AA$62),"dd mmm yy"))&amp;" "&amp;Milestones!$AB$62&amp;" "&amp;Milestones!$AC$62&amp;";  ","")&amp;IF(AND(EDATE($D104,Milestones!$AA$63)&lt;=AsOfDate,IF($R104=0,$X104,IF(AND($T104&lt;&gt;"",EDATE($D104,Milestones!$AA$63)&gt;=$T104),$W104,IF(AND($S104&lt;&gt;"",EDATE($D104,Milestones!$AA$63)&gt;=$S104),$V104,$U104)))=Milestones!$AB$63),UPPER(TEXT(EDATE($D104,Milestones!$AA$63),"dd mmm yy"))&amp;" "&amp;Milestones!$AB$63&amp;" "&amp;Milestones!$AC$63&amp;";  ","")&amp;IF(AND(EDATE($D104,Milestones!$AA$64)&lt;=AsOfDate,IF($R104=0,$X104,IF(AND($T104&lt;&gt;"",EDATE($D104,Milestones!$AA$64)&gt;=$T104),$W104,IF(AND($S104&lt;&gt;"",EDATE($D104,Milestones!$AA$64)&gt;=$S104),$V104,$U104)))=Milestones!$AB$64),UPPER(TEXT(EDATE($D104,Milestones!$AA$64),"dd mmm yy"))&amp;" "&amp;Milestones!$AB$64&amp;" "&amp;Milestones!$AC$64&amp;";  ","")&amp;IF(AND(EDATE($D104,Milestones!$AA$65)&lt;=AsOfDate,IF($R104=0,$X104,IF(AND($T104&lt;&gt;"",EDATE($D104,Milestones!$AA$65)&gt;=$T104),$W104,IF(AND($S104&lt;&gt;"",EDATE($D104,Milestones!$AA$65)&gt;=$S104),$V104,$U104)))=Milestones!$AB$65),UPPER(TEXT(EDATE($D104,Milestones!$AA$65),"dd mmm yy"))&amp;" "&amp;Milestones!$AB$65&amp;" "&amp;Milestones!$AC$65&amp;";  ","")&amp;IF(AND(EDATE($D104,Milestones!$AA$66)&lt;=AsOfDate,IF($R104=0,$X104,IF(AND($T104&lt;&gt;"",EDATE($D104,Milestones!$AA$66)&gt;=$T104),$W104,IF(AND($S104&lt;&gt;"",EDATE($D104,Milestones!$AA$66)&gt;=$S104),$V104,$U104)))=Milestones!$AB$66),UPPER(TEXT(EDATE($D104,Milestones!$AA$66),"dd mmm yy"))&amp;" "&amp;Milestones!$AB$66&amp;" "&amp;Milestones!$AC$66&amp;";  ","")&amp;IF(AND(EDATE($D104,Milestones!$AA$67)&lt;=AsOfDate,IF($R104=0,$X104,IF(AND($T104&lt;&gt;"",EDATE($D104,Milestones!$AA$67)&gt;=$T104),$W104,IF(AND($S104&lt;&gt;"",EDATE($D104,Milestones!$AA$67)&gt;=$S104),$V104,$U104)))=Milestones!$AB$67),UPPER(TEXT(EDATE($D104,Milestones!$AA$67),"dd mmm yy"))&amp;" "&amp;Milestones!$AB$67&amp;" "&amp;Milestones!$AC$67&amp;";  ","")&amp;IF(AND(EDATE($D104,Milestones!$AA$68)&lt;=AsOfDate,IF($R104=0,$X104,IF(AND($T104&lt;&gt;"",EDATE($D104,Milestones!$AA$68)&gt;=$T104),$W104,IF(AND($S104&lt;&gt;"",EDATE($D104,Milestones!$AA$68)&gt;=$S104),$V104,$U104)))=Milestones!$AB$68),UPPER(TEXT(EDATE($D104,Milestones!$AA$68),"dd mmm yy"))&amp;" "&amp;Milestones!$AB$68&amp;" "&amp;Milestones!$AC$68&amp;";  ","")&amp;IF(AND(EDATE($D104,Milestones!$AA$69)&lt;=AsOfDate,IF($R104=0,$X104,IF(AND($T104&lt;&gt;"",EDATE($D104,Milestones!$AA$69)&gt;=$T104),$W104,IF(AND($S104&lt;&gt;"",EDATE($D104,Milestones!$AA$69)&gt;=$S104),$V104,$U104)))=Milestones!$AB$69),UPPER(TEXT(EDATE($D104,Milestones!$AA$69),"dd mmm yy"))&amp;" "&amp;Milestones!$AB$69&amp;" "&amp;Milestones!$AC$69&amp;";  ","")&amp;IF(AND(EDATE($D104,Milestones!$AA$70)&lt;=AsOfDate,IF($R104=0,$X104,IF(AND($T104&lt;&gt;"",EDATE($D104,Milestones!$AA$70)&gt;=$T104),$W104,IF(AND($S104&lt;&gt;"",EDATE($D104,Milestones!$AA$70)&gt;=$S104),$V104,$U104)))=Milestones!$AB$70),UPPER(TEXT(EDATE($D104,Milestones!$AA$70),"dd mmm yy"))&amp;" "&amp;Milestones!$AB$70&amp;" "&amp;Milestones!$AC$70&amp;";  ","")&amp;IF(AND(EDATE($D104,Milestones!$AA$71)&lt;=AsOfDate,IF($R104=0,$X104,IF(AND($T104&lt;&gt;"",EDATE($D104,Milestones!$AA$71)&gt;=$T104),$W104,IF(AND($S104&lt;&gt;"",EDATE($D104,Milestones!$AA$71)&gt;=$S104),$V104,$U104)))=Milestones!$AB$71),UPPER(TEXT(EDATE($D104,Milestones!$AA$71),"dd mmm yy"))&amp;" "&amp;Milestones!$AB$71&amp;" "&amp;Milestones!$AC$71&amp;";  ","")&amp;IF(AND(EDATE($D104,Milestones!$AA$72)&lt;=AsOfDate,IF($R104=0,$X104,IF(AND($T104&lt;&gt;"",EDATE($D104,Milestones!$AA$72)&gt;=$T104),$W104,IF(AND($S104&lt;&gt;"",EDATE($D104,Milestones!$AA$72)&gt;=$S104),$V104,$U104)))=Milestones!$AB$72),UPPER(TEXT(EDATE($D104,Milestones!$AA$72),"dd mmm yy"))&amp;" "&amp;Milestones!$AB$72&amp;" "&amp;Milestones!$AC$72&amp;";  ","")&amp;IF(AND(EDATE($D104,Milestones!$AA$73)&lt;=AsOfDate,IF($R104=0,$X104,IF(AND($T104&lt;&gt;"",EDATE($D104,Milestones!$AA$73)&gt;=$T104),$W104,IF(AND($S104&lt;&gt;"",EDATE($D104,Milestones!$AA$73)&gt;=$S104),$V104,$U104)))=Milestones!$AB$73),UPPER(TEXT(EDATE($D104,Milestones!$AA$73),"dd mmm yy"))&amp;" "&amp;Milestones!$AB$73&amp;" "&amp;Milestones!$AC$73&amp;";  ","")&amp;IF(AND(EDATE($D104,Milestones!$AA$74)&lt;=AsOfDate,IF($R104=0,$X104,IF(AND($T104&lt;&gt;"",EDATE($D104,Milestones!$AA$74)&gt;=$T104),$W104,IF(AND($S104&lt;&gt;"",EDATE($D104,Milestones!$AA$74)&gt;=$S104),$V104,$U104)))=Milestones!$AB$74),UPPER(TEXT(EDATE($D104,Milestones!$AA$74),"dd mmm yy"))&amp;" "&amp;Milestones!$AB$74&amp;" "&amp;Milestones!$AC$74&amp;";  ","")&amp;IF(AND(EDATE($D104,Milestones!$AA$75)&lt;=AsOfDate,IF($R104=0,$X104,IF(AND($T104&lt;&gt;"",EDATE($D104,Milestones!$AA$75)&gt;=$T104),$W104,IF(AND($S104&lt;&gt;"",EDATE($D104,Milestones!$AA$75)&gt;=$S104),$V104,$U104)))=Milestones!$AB$75),UPPER(TEXT(EDATE($D104,Milestones!$AA$75),"dd mmm yy"))&amp;" "&amp;Milestones!$AB$75&amp;" "&amp;Milestones!$AC$75&amp;";  ","")&amp;IF(AND(EDATE($D104,Milestones!$AA$76)&lt;=AsOfDate,IF($R104=0,$X104,IF(AND($T104&lt;&gt;"",EDATE($D104,Milestones!$AA$76)&gt;=$T104),$W104,IF(AND($S104&lt;&gt;"",EDATE($D104,Milestones!$AA$76)&gt;=$S104),$V104,$U104)))=Milestones!$AB$76),UPPER(TEXT(EDATE($D104,Milestones!$AA$76),"dd mmm yy"))&amp;" "&amp;Milestones!$AB$76&amp;" "&amp;Milestones!$AC$76&amp;";  ","")&amp;IF(AND(EDATE($D104,Milestones!$AA$77)&lt;=AsOfDate,IF($R104=0,$X104,IF(AND($T104&lt;&gt;"",EDATE($D104,Milestones!$AA$77)&gt;=$T104),$W104,IF(AND($S104&lt;&gt;"",EDATE($D104,Milestones!$AA$77)&gt;=$S104),$V104,$U104)))=Milestones!$AB$77),UPPER(TEXT(EDATE($D104,Milestones!$AA$77),"dd mmm yy"))&amp;" "&amp;Milestones!$AB$77&amp;" "&amp;Milestones!$AC$77&amp;";  ","")&amp;IF(AND(EDATE($D104,Milestones!$AA$78)&lt;=AsOfDate,IF($R104=0,$X104,IF(AND($T104&lt;&gt;"",EDATE($D104,Milestones!$AA$78)&gt;=$T104),$W104,IF(AND($S104&lt;&gt;"",EDATE($D104,Milestones!$AA$78)&gt;=$S104),$V104,$U104)))=Milestones!$AB$78),UPPER(TEXT(EDATE($D104,Milestones!$AA$78),"dd mmm yy"))&amp;" "&amp;Milestones!$AB$78&amp;" "&amp;Milestones!$AC$78&amp;";  ","")&amp;IF(AND(EDATE($D104,Milestones!$AA$79)&lt;=AsOfDate,IF($R104=0,$X104,IF(AND($T104&lt;&gt;"",EDATE($D104,Milestones!$AA$79)&gt;=$T104),$W104,IF(AND($S104&lt;&gt;"",EDATE($D104,Milestones!$AA$79)&gt;=$S104),$V104,$U104)))=Milestones!$AB$79),UPPER(TEXT(EDATE($D104,Milestones!$AA$79),"dd mmm yy"))&amp;" "&amp;Milestones!$AB$79&amp;" "&amp;Milestones!$AC$79&amp;";  ",""))</f>
        <v/>
      </c>
      <c r="L104" s="0" t="str">
        <f aca="false">IF(OR($A104="",$D104=""),"",IF(AND(EDATE($D104,Milestones!$AA$80)&lt;=AsOfDate,IF($R104=0,$X104,IF(AND($T104&lt;&gt;"",EDATE($D104,Milestones!$AA$80)&gt;=$T104),$W104,IF(AND($S104&lt;&gt;"",EDATE($D104,Milestones!$AA$80)&gt;=$S104),$V104,$U104)))=Milestones!$AB$80),UPPER(TEXT(EDATE($D104,Milestones!$AA$80),"dd mmm yy"))&amp;" "&amp;Milestones!$AB$80&amp;" "&amp;Milestones!$AC$80&amp;";  ","")&amp;IF(AND(EDATE($D104,Milestones!$AA$81)&lt;=AsOfDate,IF($R104=0,$X104,IF(AND($T104&lt;&gt;"",EDATE($D104,Milestones!$AA$81)&gt;=$T104),$W104,IF(AND($S104&lt;&gt;"",EDATE($D104,Milestones!$AA$81)&gt;=$S104),$V104,$U104)))=Milestones!$AB$81),UPPER(TEXT(EDATE($D104,Milestones!$AA$81),"dd mmm yy"))&amp;" "&amp;Milestones!$AB$81&amp;" "&amp;Milestones!$AC$81&amp;";  ","")&amp;IF(AND(EDATE($D104,Milestones!$AA$82)&lt;=AsOfDate,IF($R104=0,$X104,IF(AND($T104&lt;&gt;"",EDATE($D104,Milestones!$AA$82)&gt;=$T104),$W104,IF(AND($S104&lt;&gt;"",EDATE($D104,Milestones!$AA$82)&gt;=$S104),$V104,$U104)))=Milestones!$AB$82),UPPER(TEXT(EDATE($D104,Milestones!$AA$82),"dd mmm yy"))&amp;" "&amp;Milestones!$AB$82&amp;" "&amp;Milestones!$AC$82&amp;";  ","")&amp;IF(AND(EDATE($D104,Milestones!$AA$83)&lt;=AsOfDate,IF($R104=0,$X104,IF(AND($T104&lt;&gt;"",EDATE($D104,Milestones!$AA$83)&gt;=$T104),$W104,IF(AND($S104&lt;&gt;"",EDATE($D104,Milestones!$AA$83)&gt;=$S104),$V104,$U104)))=Milestones!$AB$83),UPPER(TEXT(EDATE($D104,Milestones!$AA$83),"dd mmm yy"))&amp;" "&amp;Milestones!$AB$83&amp;" "&amp;Milestones!$AC$83&amp;";  ","")&amp;IF(AND(EDATE($D104,Milestones!$AA$84)&lt;=AsOfDate,IF($R104=0,$X104,IF(AND($T104&lt;&gt;"",EDATE($D104,Milestones!$AA$84)&gt;=$T104),$W104,IF(AND($S104&lt;&gt;"",EDATE($D104,Milestones!$AA$84)&gt;=$S104),$V104,$U104)))=Milestones!$AB$84),UPPER(TEXT(EDATE($D104,Milestones!$AA$84),"dd mmm yy"))&amp;" "&amp;Milestones!$AB$84&amp;" "&amp;Milestones!$AC$84&amp;";  ","")&amp;IF(AND(EDATE($D104,Milestones!$AA$85)&lt;=AsOfDate,IF($R104=0,$X104,IF(AND($T104&lt;&gt;"",EDATE($D104,Milestones!$AA$85)&gt;=$T104),$W104,IF(AND($S104&lt;&gt;"",EDATE($D104,Milestones!$AA$85)&gt;=$S104),$V104,$U104)))=Milestones!$AB$85),UPPER(TEXT(EDATE($D104,Milestones!$AA$85),"dd mmm yy"))&amp;" "&amp;Milestones!$AB$85&amp;" "&amp;Milestones!$AC$85&amp;";  ","")&amp;IF(AND(EDATE($D104,Milestones!$AA$86)&lt;=AsOfDate,IF($R104=0,$X104,IF(AND($T104&lt;&gt;"",EDATE($D104,Milestones!$AA$86)&gt;=$T104),$W104,IF(AND($S104&lt;&gt;"",EDATE($D104,Milestones!$AA$86)&gt;=$S104),$V104,$U104)))=Milestones!$AB$86),UPPER(TEXT(EDATE($D104,Milestones!$AA$86),"dd mmm yy"))&amp;" "&amp;Milestones!$AB$86&amp;" "&amp;Milestones!$AC$86&amp;";  ","")&amp;IF(AND(EDATE($D104,Milestones!$AA$87)&lt;=AsOfDate,IF($R104=0,$X104,IF(AND($T104&lt;&gt;"",EDATE($D104,Milestones!$AA$87)&gt;=$T104),$W104,IF(AND($S104&lt;&gt;"",EDATE($D104,Milestones!$AA$87)&gt;=$S104),$V104,$U104)))=Milestones!$AB$87),UPPER(TEXT(EDATE($D104,Milestones!$AA$87),"dd mmm yy"))&amp;" "&amp;Milestones!$AB$87&amp;" "&amp;Milestones!$AC$87&amp;";  ","")&amp;IF(AND(EDATE($D104,Milestones!$AA$88)&lt;=AsOfDate,IF($R104=0,$X104,IF(AND($T104&lt;&gt;"",EDATE($D104,Milestones!$AA$88)&gt;=$T104),$W104,IF(AND($S104&lt;&gt;"",EDATE($D104,Milestones!$AA$88)&gt;=$S104),$V104,$U104)))=Milestones!$AB$88),UPPER(TEXT(EDATE($D104,Milestones!$AA$88),"dd mmm yy"))&amp;" "&amp;Milestones!$AB$88&amp;" "&amp;Milestones!$AC$88&amp;";  ","")&amp;IF(AND(EDATE($D104,Milestones!$AA$89)&lt;=AsOfDate,IF($R104=0,$X104,IF(AND($T104&lt;&gt;"",EDATE($D104,Milestones!$AA$89)&gt;=$T104),$W104,IF(AND($S104&lt;&gt;"",EDATE($D104,Milestones!$AA$89)&gt;=$S104),$V104,$U104)))=Milestones!$AB$89),UPPER(TEXT(EDATE($D104,Milestones!$AA$89),"dd mmm yy"))&amp;" "&amp;Milestones!$AB$89&amp;" "&amp;Milestones!$AC$89&amp;";  ","")&amp;IF(AND(EDATE($D104,Milestones!$AA$90)&lt;=AsOfDate,IF($R104=0,$X104,IF(AND($T104&lt;&gt;"",EDATE($D104,Milestones!$AA$90)&gt;=$T104),$W104,IF(AND($S104&lt;&gt;"",EDATE($D104,Milestones!$AA$90)&gt;=$S104),$V104,$U104)))=Milestones!$AB$90),UPPER(TEXT(EDATE($D104,Milestones!$AA$90),"dd mmm yy"))&amp;" "&amp;Milestones!$AB$90&amp;" "&amp;Milestones!$AC$90&amp;";  ","")&amp;IF(AND(EDATE($D104,Milestones!$AA$91)&lt;=AsOfDate,IF($R104=0,$X104,IF(AND($T104&lt;&gt;"",EDATE($D104,Milestones!$AA$91)&gt;=$T104),$W104,IF(AND($S104&lt;&gt;"",EDATE($D104,Milestones!$AA$91)&gt;=$S104),$V104,$U104)))=Milestones!$AB$91),UPPER(TEXT(EDATE($D104,Milestones!$AA$91),"dd mmm yy"))&amp;" "&amp;Milestones!$AB$91&amp;" "&amp;Milestones!$AC$91&amp;";  ","")&amp;IF(AND(EDATE($D104,Milestones!$AA$92)&lt;=AsOfDate,IF($R104=0,$X104,IF(AND($T104&lt;&gt;"",EDATE($D104,Milestones!$AA$92)&gt;=$T104),$W104,IF(AND($S104&lt;&gt;"",EDATE($D104,Milestones!$AA$92)&gt;=$S104),$V104,$U104)))=Milestones!$AB$92),UPPER(TEXT(EDATE($D104,Milestones!$AA$92),"dd mmm yy"))&amp;" "&amp;Milestones!$AB$92&amp;" "&amp;Milestones!$AC$92&amp;";  ","")&amp;IF(AND(EDATE($D104,Milestones!$AA$93)&lt;=AsOfDate,IF($R104=0,$X104,IF(AND($T104&lt;&gt;"",EDATE($D104,Milestones!$AA$93)&gt;=$T104),$W104,IF(AND($S104&lt;&gt;"",EDATE($D104,Milestones!$AA$93)&gt;=$S104),$V104,$U104)))=Milestones!$AB$93),UPPER(TEXT(EDATE($D104,Milestones!$AA$93),"dd mmm yy"))&amp;" "&amp;Milestones!$AB$93&amp;" "&amp;Milestones!$AC$93&amp;";  ","")&amp;IF(AND(EDATE($D104,Milestones!$AA$94)&lt;=AsOfDate,IF($R104=0,$X104,IF(AND($T104&lt;&gt;"",EDATE($D104,Milestones!$AA$94)&gt;=$T104),$W104,IF(AND($S104&lt;&gt;"",EDATE($D104,Milestones!$AA$94)&gt;=$S104),$V104,$U104)))=Milestones!$AB$94),UPPER(TEXT(EDATE($D104,Milestones!$AA$94),"dd mmm yy"))&amp;" "&amp;Milestones!$AB$94&amp;" "&amp;Milestones!$AC$94&amp;";  ","")&amp;IF(AND(EDATE($D104,Milestones!$AA$95)&lt;=AsOfDate,IF($R104=0,$X104,IF(AND($T104&lt;&gt;"",EDATE($D104,Milestones!$AA$95)&gt;=$T104),$W104,IF(AND($S104&lt;&gt;"",EDATE($D104,Milestones!$AA$95)&gt;=$S104),$V104,$U104)))=Milestones!$AB$95),UPPER(TEXT(EDATE($D104,Milestones!$AA$95),"dd mmm yy"))&amp;" "&amp;Milestones!$AB$95&amp;" "&amp;Milestones!$AC$95&amp;";  ","")&amp;IF(AND(EDATE($D104,Milestones!$AA$96)&lt;=AsOfDate,IF($R104=0,$X104,IF(AND($T104&lt;&gt;"",EDATE($D104,Milestones!$AA$96)&gt;=$T104),$W104,IF(AND($S104&lt;&gt;"",EDATE($D104,Milestones!$AA$96)&gt;=$S104),$V104,$U104)))=Milestones!$AB$96),UPPER(TEXT(EDATE($D104,Milestones!$AA$96),"dd mmm yy"))&amp;" "&amp;Milestones!$AB$96&amp;" "&amp;Milestones!$AC$96&amp;";  ","")&amp;IF(AND(EDATE($D104,Milestones!$AA$97)&lt;=AsOfDate,IF($R104=0,$X104,IF(AND($T104&lt;&gt;"",EDATE($D104,Milestones!$AA$97)&gt;=$T104),$W104,IF(AND($S104&lt;&gt;"",EDATE($D104,Milestones!$AA$97)&gt;=$S104),$V104,$U104)))=Milestones!$AB$97),UPPER(TEXT(EDATE($D104,Milestones!$AA$97),"dd mmm yy"))&amp;" "&amp;Milestones!$AB$97&amp;" "&amp;Milestones!$AC$97&amp;";  ","")&amp;IF(AND(EDATE($D104,Milestones!$AA$98)&lt;=AsOfDate,IF($R104=0,$X104,IF(AND($T104&lt;&gt;"",EDATE($D104,Milestones!$AA$98)&gt;=$T104),$W104,IF(AND($S104&lt;&gt;"",EDATE($D104,Milestones!$AA$98)&gt;=$S104),$V104,$U104)))=Milestones!$AB$98),UPPER(TEXT(EDATE($D104,Milestones!$AA$98),"dd mmm yy"))&amp;" "&amp;Milestones!$AB$98&amp;" "&amp;Milestones!$AC$98&amp;";  ","")&amp;IF(AND(EDATE($D104,Milestones!$AA$99)&lt;=AsOfDate,IF($R104=0,$X104,IF(AND($T104&lt;&gt;"",EDATE($D104,Milestones!$AA$99)&gt;=$T104),$W104,IF(AND($S104&lt;&gt;"",EDATE($D104,Milestones!$AA$99)&gt;=$S104),$V104,$U104)))=Milestones!$AB$99),UPPER(TEXT(EDATE($D104,Milestones!$AA$99),"dd mmm yy"))&amp;" "&amp;Milestones!$AB$99&amp;" "&amp;Milestones!$AC$99&amp;";  ",""))</f>
        <v/>
      </c>
      <c r="M104" s="0" t="str">
        <f aca="false">IF(OR($A104="",$D104=""),"",IF(AND(EDATE($D104,Milestones!$AA$100)&lt;=AsOfDate,IF($R104=0,$X104,IF(AND($T104&lt;&gt;"",EDATE($D104,Milestones!$AA$100)&gt;=$T104),$W104,IF(AND($S104&lt;&gt;"",EDATE($D104,Milestones!$AA$100)&gt;=$S104),$V104,$U104)))=Milestones!$AB$100),UPPER(TEXT(EDATE($D104,Milestones!$AA$100),"dd mmm yy"))&amp;" "&amp;Milestones!$AB$100&amp;" "&amp;Milestones!$AC$100&amp;";  ","")&amp;IF(AND(EDATE($D104,Milestones!$AA$101)&lt;=AsOfDate,IF($R104=0,$X104,IF(AND($T104&lt;&gt;"",EDATE($D104,Milestones!$AA$101)&gt;=$T104),$W104,IF(AND($S104&lt;&gt;"",EDATE($D104,Milestones!$AA$101)&gt;=$S104),$V104,$U104)))=Milestones!$AB$101),UPPER(TEXT(EDATE($D104,Milestones!$AA$101),"dd mmm yy"))&amp;" "&amp;Milestones!$AB$101&amp;" "&amp;Milestones!$AC$101&amp;";  ","")&amp;IF(AND(EDATE($D104,Milestones!$AA$102)&lt;=AsOfDate,IF($R104=0,$X104,IF(AND($T104&lt;&gt;"",EDATE($D104,Milestones!$AA$102)&gt;=$T104),$W104,IF(AND($S104&lt;&gt;"",EDATE($D104,Milestones!$AA$102)&gt;=$S104),$V104,$U104)))=Milestones!$AB$102),UPPER(TEXT(EDATE($D104,Milestones!$AA$102),"dd mmm yy"))&amp;" "&amp;Milestones!$AB$102&amp;" "&amp;Milestones!$AC$102&amp;";  ","")&amp;IF(AND(EDATE($D104,Milestones!$AA$103)&lt;=AsOfDate,IF($R104=0,$X104,IF(AND($T104&lt;&gt;"",EDATE($D104,Milestones!$AA$103)&gt;=$T104),$W104,IF(AND($S104&lt;&gt;"",EDATE($D104,Milestones!$AA$103)&gt;=$S104),$V104,$U104)))=Milestones!$AB$103),UPPER(TEXT(EDATE($D104,Milestones!$AA$103),"dd mmm yy"))&amp;" "&amp;Milestones!$AB$103&amp;" "&amp;Milestones!$AC$103&amp;";  ","")&amp;IF(AND(EDATE($D104,Milestones!$AA$104)&lt;=AsOfDate,IF($R104=0,$X104,IF(AND($T104&lt;&gt;"",EDATE($D104,Milestones!$AA$104)&gt;=$T104),$W104,IF(AND($S104&lt;&gt;"",EDATE($D104,Milestones!$AA$104)&gt;=$S104),$V104,$U104)))=Milestones!$AB$104),UPPER(TEXT(EDATE($D104,Milestones!$AA$104),"dd mmm yy"))&amp;" "&amp;Milestones!$AB$104&amp;" "&amp;Milestones!$AC$104&amp;";  ","")&amp;IF(AND(EDATE($D104,Milestones!$AA$105)&lt;=AsOfDate,IF($R104=0,$X104,IF(AND($T104&lt;&gt;"",EDATE($D104,Milestones!$AA$105)&gt;=$T104),$W104,IF(AND($S104&lt;&gt;"",EDATE($D104,Milestones!$AA$105)&gt;=$S104),$V104,$U104)))=Milestones!$AB$105),UPPER(TEXT(EDATE($D104,Milestones!$AA$105),"dd mmm yy"))&amp;" "&amp;Milestones!$AB$105&amp;" "&amp;Milestones!$AC$105&amp;";  ","")&amp;IF(AND(EDATE($D104,Milestones!$AA$106)&lt;=AsOfDate,IF($R104=0,$X104,IF(AND($T104&lt;&gt;"",EDATE($D104,Milestones!$AA$106)&gt;=$T104),$W104,IF(AND($S104&lt;&gt;"",EDATE($D104,Milestones!$AA$106)&gt;=$S104),$V104,$U104)))=Milestones!$AB$106),UPPER(TEXT(EDATE($D104,Milestones!$AA$106),"dd mmm yy"))&amp;" "&amp;Milestones!$AB$106&amp;" "&amp;Milestones!$AC$106&amp;";  ","")&amp;IF(AND(EDATE($D104,Milestones!$AA$107)&lt;=AsOfDate,IF($R104=0,$X104,IF(AND($T104&lt;&gt;"",EDATE($D104,Milestones!$AA$107)&gt;=$T104),$W104,IF(AND($S104&lt;&gt;"",EDATE($D104,Milestones!$AA$107)&gt;=$S104),$V104,$U104)))=Milestones!$AB$107),UPPER(TEXT(EDATE($D104,Milestones!$AA$107),"dd mmm yy"))&amp;" "&amp;Milestones!$AB$107&amp;" "&amp;Milestones!$AC$107&amp;";  ","")&amp;IF(AND(EDATE($D104,Milestones!$AA$108)&lt;=AsOfDate,IF($R104=0,$X104,IF(AND($T104&lt;&gt;"",EDATE($D104,Milestones!$AA$108)&gt;=$T104),$W104,IF(AND($S104&lt;&gt;"",EDATE($D104,Milestones!$AA$108)&gt;=$S104),$V104,$U104)))=Milestones!$AB$108),UPPER(TEXT(EDATE($D104,Milestones!$AA$108),"dd mmm yy"))&amp;" "&amp;Milestones!$AB$108&amp;" "&amp;Milestones!$AC$108&amp;";  ","")&amp;IF(AND(EDATE($D104,Milestones!$AA$109)&lt;=AsOfDate,IF($R104=0,$X104,IF(AND($T104&lt;&gt;"",EDATE($D104,Milestones!$AA$109)&gt;=$T104),$W104,IF(AND($S104&lt;&gt;"",EDATE($D104,Milestones!$AA$109)&gt;=$S104),$V104,$U104)))=Milestones!$AB$109),UPPER(TEXT(EDATE($D104,Milestones!$AA$109),"dd mmm yy"))&amp;" "&amp;Milestones!$AB$109&amp;" "&amp;Milestones!$AC$109&amp;";  ","")&amp;IF(AND(EDATE($D104,Milestones!$AA$110)&lt;=AsOfDate,IF($R104=0,$X104,IF(AND($T104&lt;&gt;"",EDATE($D104,Milestones!$AA$110)&gt;=$T104),$W104,IF(AND($S104&lt;&gt;"",EDATE($D104,Milestones!$AA$110)&gt;=$S104),$V104,$U104)))=Milestones!$AB$110),UPPER(TEXT(EDATE($D104,Milestones!$AA$110),"dd mmm yy"))&amp;" "&amp;Milestones!$AB$110&amp;" "&amp;Milestones!$AC$110&amp;";  ","")&amp;IF(AND(EDATE($D104,Milestones!$AA$111)&lt;=AsOfDate,IF($R104=0,$X104,IF(AND($T104&lt;&gt;"",EDATE($D104,Milestones!$AA$111)&gt;=$T104),$W104,IF(AND($S104&lt;&gt;"",EDATE($D104,Milestones!$AA$111)&gt;=$S104),$V104,$U104)))=Milestones!$AB$111),UPPER(TEXT(EDATE($D104,Milestones!$AA$111),"dd mmm yy"))&amp;" "&amp;Milestones!$AB$111&amp;" "&amp;Milestones!$AC$111&amp;";  ","")&amp;IF(AND(EDATE($D104,Milestones!$AA$112)&lt;=AsOfDate,IF($R104=0,$X104,IF(AND($T104&lt;&gt;"",EDATE($D104,Milestones!$AA$112)&gt;=$T104),$W104,IF(AND($S104&lt;&gt;"",EDATE($D104,Milestones!$AA$112)&gt;=$S104),$V104,$U104)))=Milestones!$AB$112),UPPER(TEXT(EDATE($D104,Milestones!$AA$112),"dd mmm yy"))&amp;" "&amp;Milestones!$AB$112&amp;" "&amp;Milestones!$AC$112&amp;";  ","")&amp;IF(AND(EDATE($D104,Milestones!$AA$113)&lt;=AsOfDate,IF($R104=0,$X104,IF(AND($T104&lt;&gt;"",EDATE($D104,Milestones!$AA$113)&gt;=$T104),$W104,IF(AND($S104&lt;&gt;"",EDATE($D104,Milestones!$AA$113)&gt;=$S104),$V104,$U104)))=Milestones!$AB$113),UPPER(TEXT(EDATE($D104,Milestones!$AA$113),"dd mmm yy"))&amp;" "&amp;Milestones!$AB$113&amp;" "&amp;Milestones!$AC$113&amp;";  ","")&amp;IF(AND(EDATE($D104,Milestones!$AA$114)&lt;=AsOfDate,IF($R104=0,$X104,IF(AND($T104&lt;&gt;"",EDATE($D104,Milestones!$AA$114)&gt;=$T104),$W104,IF(AND($S104&lt;&gt;"",EDATE($D104,Milestones!$AA$114)&gt;=$S104),$V104,$U104)))=Milestones!$AB$114),UPPER(TEXT(EDATE($D104,Milestones!$AA$114),"dd mmm yy"))&amp;" "&amp;Milestones!$AB$114&amp;" "&amp;Milestones!$AC$114&amp;";  ","")&amp;IF(AND(EDATE($D104,Milestones!$AA$115)&lt;=AsOfDate,IF($R104=0,$X104,IF(AND($T104&lt;&gt;"",EDATE($D104,Milestones!$AA$115)&gt;=$T104),$W104,IF(AND($S104&lt;&gt;"",EDATE($D104,Milestones!$AA$115)&gt;=$S104),$V104,$U104)))=Milestones!$AB$115),UPPER(TEXT(EDATE($D104,Milestones!$AA$115),"dd mmm yy"))&amp;" "&amp;Milestones!$AB$115&amp;" "&amp;Milestones!$AC$115&amp;";  ","")&amp;IF(AND(EDATE($D104,Milestones!$AA$116)&lt;=AsOfDate,IF($R104=0,$X104,IF(AND($T104&lt;&gt;"",EDATE($D104,Milestones!$AA$116)&gt;=$T104),$W104,IF(AND($S104&lt;&gt;"",EDATE($D104,Milestones!$AA$116)&gt;=$S104),$V104,$U104)))=Milestones!$AB$116),UPPER(TEXT(EDATE($D104,Milestones!$AA$116),"dd mmm yy"))&amp;" "&amp;Milestones!$AB$116&amp;" "&amp;Milestones!$AC$116&amp;";  ","")&amp;IF(AND(EDATE($D104,Milestones!$AA$117)&lt;=AsOfDate,IF($R104=0,$X104,IF(AND($T104&lt;&gt;"",EDATE($D104,Milestones!$AA$117)&gt;=$T104),$W104,IF(AND($S104&lt;&gt;"",EDATE($D104,Milestones!$AA$117)&gt;=$S104),$V104,$U104)))=Milestones!$AB$117),UPPER(TEXT(EDATE($D104,Milestones!$AA$117),"dd mmm yy"))&amp;" "&amp;Milestones!$AB$117&amp;" "&amp;Milestones!$AC$117&amp;";  ","")&amp;IF(AND(EDATE($D104,Milestones!$AA$118)&lt;=AsOfDate,IF($R104=0,$X104,IF(AND($T104&lt;&gt;"",EDATE($D104,Milestones!$AA$118)&gt;=$T104),$W104,IF(AND($S104&lt;&gt;"",EDATE($D104,Milestones!$AA$118)&gt;=$S104),$V104,$U104)))=Milestones!$AB$118),UPPER(TEXT(EDATE($D104,Milestones!$AA$118),"dd mmm yy"))&amp;" "&amp;Milestones!$AB$118&amp;" "&amp;Milestones!$AC$118&amp;";  ","")&amp;IF(AND(EDATE($D104,Milestones!$AA$119)&lt;=AsOfDate,IF($R104=0,$X104,IF(AND($T104&lt;&gt;"",EDATE($D104,Milestones!$AA$119)&gt;=$T104),$W104,IF(AND($S104&lt;&gt;"",EDATE($D104,Milestones!$AA$119)&gt;=$S104),$V104,$U104)))=Milestones!$AB$119),UPPER(TEXT(EDATE($D104,Milestones!$AA$119),"dd mmm yy"))&amp;" "&amp;Milestones!$AB$119&amp;" "&amp;Milestones!$AC$119&amp;";  ",""))</f>
        <v/>
      </c>
      <c r="N104" s="0" t="str">
        <f aca="false">IF(OR($A104="",$D104=""),"",IF(AND(EDATE($D104,Milestones!$AA$120)&lt;=AsOfDate,IF($R104=0,$X104,IF(AND($T104&lt;&gt;"",EDATE($D104,Milestones!$AA$120)&gt;=$T104),$W104,IF(AND($S104&lt;&gt;"",EDATE($D104,Milestones!$AA$120)&gt;=$S104),$V104,$U104)))=Milestones!$AB$120),UPPER(TEXT(EDATE($D104,Milestones!$AA$120),"dd mmm yy"))&amp;" "&amp;Milestones!$AB$120&amp;" "&amp;Milestones!$AC$120&amp;";  ","")&amp;IF(AND(EDATE($D104,Milestones!$AA$121)&lt;=AsOfDate,IF($R104=0,$X104,IF(AND($T104&lt;&gt;"",EDATE($D104,Milestones!$AA$121)&gt;=$T104),$W104,IF(AND($S104&lt;&gt;"",EDATE($D104,Milestones!$AA$121)&gt;=$S104),$V104,$U104)))=Milestones!$AB$121),UPPER(TEXT(EDATE($D104,Milestones!$AA$121),"dd mmm yy"))&amp;" "&amp;Milestones!$AB$121&amp;" "&amp;Milestones!$AC$121&amp;";  ","")&amp;IF(AND(EDATE($D104,Milestones!$AA$122)&lt;=AsOfDate,IF($R104=0,$X104,IF(AND($T104&lt;&gt;"",EDATE($D104,Milestones!$AA$122)&gt;=$T104),$W104,IF(AND($S104&lt;&gt;"",EDATE($D104,Milestones!$AA$122)&gt;=$S104),$V104,$U104)))=Milestones!$AB$122),UPPER(TEXT(EDATE($D104,Milestones!$AA$122),"dd mmm yy"))&amp;" "&amp;Milestones!$AB$122&amp;" "&amp;Milestones!$AC$122&amp;";  ","")&amp;IF(AND(EDATE($D104,Milestones!$AA$123)&lt;=AsOfDate,IF($R104=0,$X104,IF(AND($T104&lt;&gt;"",EDATE($D104,Milestones!$AA$123)&gt;=$T104),$W104,IF(AND($S104&lt;&gt;"",EDATE($D104,Milestones!$AA$123)&gt;=$S104),$V104,$U104)))=Milestones!$AB$123),UPPER(TEXT(EDATE($D104,Milestones!$AA$123),"dd mmm yy"))&amp;" "&amp;Milestones!$AB$123&amp;" "&amp;Milestones!$AC$123&amp;";  ","")&amp;IF(AND(EDATE($D104,Milestones!$AA$124)&lt;=AsOfDate,IF($R104=0,$X104,IF(AND($T104&lt;&gt;"",EDATE($D104,Milestones!$AA$124)&gt;=$T104),$W104,IF(AND($S104&lt;&gt;"",EDATE($D104,Milestones!$AA$124)&gt;=$S104),$V104,$U104)))=Milestones!$AB$124),UPPER(TEXT(EDATE($D104,Milestones!$AA$124),"dd mmm yy"))&amp;" "&amp;Milestones!$AB$124&amp;" "&amp;Milestones!$AC$124&amp;";  ","")&amp;IF(AND(EDATE($D104,Milestones!$AA$125)&lt;=AsOfDate,IF($R104=0,$X104,IF(AND($T104&lt;&gt;"",EDATE($D104,Milestones!$AA$125)&gt;=$T104),$W104,IF(AND($S104&lt;&gt;"",EDATE($D104,Milestones!$AA$125)&gt;=$S104),$V104,$U104)))=Milestones!$AB$125),UPPER(TEXT(EDATE($D104,Milestones!$AA$125),"dd mmm yy"))&amp;" "&amp;Milestones!$AB$125&amp;" "&amp;Milestones!$AC$125&amp;";  ","")&amp;IF(AND(EDATE($D104,Milestones!$AA$126)&lt;=AsOfDate,IF($R104=0,$X104,IF(AND($T104&lt;&gt;"",EDATE($D104,Milestones!$AA$126)&gt;=$T104),$W104,IF(AND($S104&lt;&gt;"",EDATE($D104,Milestones!$AA$126)&gt;=$S104),$V104,$U104)))=Milestones!$AB$126),UPPER(TEXT(EDATE($D104,Milestones!$AA$126),"dd mmm yy"))&amp;" "&amp;Milestones!$AB$126&amp;" "&amp;Milestones!$AC$126&amp;";  ","")&amp;IF(AND(EDATE($D104,Milestones!$AA$127)&lt;=AsOfDate,IF($R104=0,$X104,IF(AND($T104&lt;&gt;"",EDATE($D104,Milestones!$AA$127)&gt;=$T104),$W104,IF(AND($S104&lt;&gt;"",EDATE($D104,Milestones!$AA$127)&gt;=$S104),$V104,$U104)))=Milestones!$AB$127),UPPER(TEXT(EDATE($D104,Milestones!$AA$127),"dd mmm yy"))&amp;" "&amp;Milestones!$AB$127&amp;" "&amp;Milestones!$AC$127&amp;";  ","")&amp;IF(AND(EDATE($D104,Milestones!$AA$128)&lt;=AsOfDate,IF($R104=0,$X104,IF(AND($T104&lt;&gt;"",EDATE($D104,Milestones!$AA$128)&gt;=$T104),$W104,IF(AND($S104&lt;&gt;"",EDATE($D104,Milestones!$AA$128)&gt;=$S104),$V104,$U104)))=Milestones!$AB$128),UPPER(TEXT(EDATE($D104,Milestones!$AA$128),"dd mmm yy"))&amp;" "&amp;Milestones!$AB$128&amp;" "&amp;Milestones!$AC$128&amp;";  ","")&amp;IF(AND(EDATE($D104,Milestones!$AA$129)&lt;=AsOfDate,IF($R104=0,$X104,IF(AND($T104&lt;&gt;"",EDATE($D104,Milestones!$AA$129)&gt;=$T104),$W104,IF(AND($S104&lt;&gt;"",EDATE($D104,Milestones!$AA$129)&gt;=$S104),$V104,$U104)))=Milestones!$AB$129),UPPER(TEXT(EDATE($D104,Milestones!$AA$129),"dd mmm yy"))&amp;" "&amp;Milestones!$AB$129&amp;" "&amp;Milestones!$AC$129&amp;";  ","")&amp;IF(AND(EDATE($D104,Milestones!$AA$130)&lt;=AsOfDate,IF($R104=0,$X104,IF(AND($T104&lt;&gt;"",EDATE($D104,Milestones!$AA$130)&gt;=$T104),$W104,IF(AND($S104&lt;&gt;"",EDATE($D104,Milestones!$AA$130)&gt;=$S104),$V104,$U104)))=Milestones!$AB$130),UPPER(TEXT(EDATE($D104,Milestones!$AA$130),"dd mmm yy"))&amp;" "&amp;Milestones!$AB$130&amp;" "&amp;Milestones!$AC$130&amp;";  ","")&amp;IF(AND(EDATE($D104,Milestones!$AA$131)&lt;=AsOfDate,IF($R104=0,$X104,IF(AND($T104&lt;&gt;"",EDATE($D104,Milestones!$AA$131)&gt;=$T104),$W104,IF(AND($S104&lt;&gt;"",EDATE($D104,Milestones!$AA$131)&gt;=$S104),$V104,$U104)))=Milestones!$AB$131),UPPER(TEXT(EDATE($D104,Milestones!$AA$131),"dd mmm yy"))&amp;" "&amp;Milestones!$AB$131&amp;" "&amp;Milestones!$AC$131&amp;";  ","")&amp;IF(AND(EDATE($D104,Milestones!$AA$132)&lt;=AsOfDate,IF($R104=0,$X104,IF(AND($T104&lt;&gt;"",EDATE($D104,Milestones!$AA$132)&gt;=$T104),$W104,IF(AND($S104&lt;&gt;"",EDATE($D104,Milestones!$AA$132)&gt;=$S104),$V104,$U104)))=Milestones!$AB$132),UPPER(TEXT(EDATE($D104,Milestones!$AA$132),"dd mmm yy"))&amp;" "&amp;Milestones!$AB$132&amp;" "&amp;Milestones!$AC$132&amp;";  ","")&amp;IF(AND(EDATE($D104,Milestones!$AA$133)&lt;=AsOfDate,IF($R104=0,$X104,IF(AND($T104&lt;&gt;"",EDATE($D104,Milestones!$AA$133)&gt;=$T104),$W104,IF(AND($S104&lt;&gt;"",EDATE($D104,Milestones!$AA$133)&gt;=$S104),$V104,$U104)))=Milestones!$AB$133),UPPER(TEXT(EDATE($D104,Milestones!$AA$133),"dd mmm yy"))&amp;" "&amp;Milestones!$AB$133&amp;" "&amp;Milestones!$AC$133&amp;";  ","")&amp;IF(AND(EDATE($D104,Milestones!$AA$134)&lt;=AsOfDate,IF($R104=0,$X104,IF(AND($T104&lt;&gt;"",EDATE($D104,Milestones!$AA$134)&gt;=$T104),$W104,IF(AND($S104&lt;&gt;"",EDATE($D104,Milestones!$AA$134)&gt;=$S104),$V104,$U104)))=Milestones!$AB$134),UPPER(TEXT(EDATE($D104,Milestones!$AA$134),"dd mmm yy"))&amp;" "&amp;Milestones!$AB$134&amp;" "&amp;Milestones!$AC$134&amp;";  ","")&amp;IF(AND(EDATE($D104,Milestones!$AA$135)&lt;=AsOfDate,IF($R104=0,$X104,IF(AND($T104&lt;&gt;"",EDATE($D104,Milestones!$AA$135)&gt;=$T104),$W104,IF(AND($S104&lt;&gt;"",EDATE($D104,Milestones!$AA$135)&gt;=$S104),$V104,$U104)))=Milestones!$AB$135),UPPER(TEXT(EDATE($D104,Milestones!$AA$135),"dd mmm yy"))&amp;" "&amp;Milestones!$AB$135&amp;" "&amp;Milestones!$AC$135&amp;";  ","")&amp;IF(AND(EDATE($D104,Milestones!$AA$136)&lt;=AsOfDate,IF($R104=0,$X104,IF(AND($T104&lt;&gt;"",EDATE($D104,Milestones!$AA$136)&gt;=$T104),$W104,IF(AND($S104&lt;&gt;"",EDATE($D104,Milestones!$AA$136)&gt;=$S104),$V104,$U104)))=Milestones!$AB$136),UPPER(TEXT(EDATE($D104,Milestones!$AA$136),"dd mmm yy"))&amp;" "&amp;Milestones!$AB$136&amp;" "&amp;Milestones!$AC$136&amp;";  ","")&amp;IF(AND(EDATE($D104,Milestones!$AA$137)&lt;=AsOfDate,IF($R104=0,$X104,IF(AND($T104&lt;&gt;"",EDATE($D104,Milestones!$AA$137)&gt;=$T104),$W104,IF(AND($S104&lt;&gt;"",EDATE($D104,Milestones!$AA$137)&gt;=$S104),$V104,$U104)))=Milestones!$AB$137),UPPER(TEXT(EDATE($D104,Milestones!$AA$137),"dd mmm yy"))&amp;" "&amp;Milestones!$AB$137&amp;" "&amp;Milestones!$AC$137&amp;";  ","")&amp;IF(AND(EDATE($D104,Milestones!$AA$138)&lt;=AsOfDate,IF($R104=0,$X104,IF(AND($T104&lt;&gt;"",EDATE($D104,Milestones!$AA$138)&gt;=$T104),$W104,IF(AND($S104&lt;&gt;"",EDATE($D104,Milestones!$AA$138)&gt;=$S104),$V104,$U104)))=Milestones!$AB$138),UPPER(TEXT(EDATE($D104,Milestones!$AA$138),"dd mmm yy"))&amp;" "&amp;Milestones!$AB$138&amp;" "&amp;Milestones!$AC$138&amp;";  ","")&amp;IF(AND(EDATE($D104,Milestones!$AA$139)&lt;=AsOfDate,IF($R104=0,$X104,IF(AND($T104&lt;&gt;"",EDATE($D104,Milestones!$AA$139)&gt;=$T104),$W104,IF(AND($S104&lt;&gt;"",EDATE($D104,Milestones!$AA$139)&gt;=$S104),$V104,$U104)))=Milestones!$AB$139),UPPER(TEXT(EDATE($D104,Milestones!$AA$139),"dd mmm yy"))&amp;" "&amp;Milestones!$AB$139&amp;" "&amp;Milestones!$AC$139&amp;";  ",""))</f>
        <v/>
      </c>
      <c r="O104" s="0" t="str">
        <f aca="false">IF(OR($A104="",$D104=""),"",IF(AND(EDATE($D104,Milestones!$AA$140)&lt;=AsOfDate,IF($R104=0,$X104,IF(AND($T104&lt;&gt;"",EDATE($D104,Milestones!$AA$140)&gt;=$T104),$W104,IF(AND($S104&lt;&gt;"",EDATE($D104,Milestones!$AA$140)&gt;=$S104),$V104,$U104)))=Milestones!$AB$140),UPPER(TEXT(EDATE($D104,Milestones!$AA$140),"dd mmm yy"))&amp;" "&amp;Milestones!$AB$140&amp;" "&amp;Milestones!$AC$140&amp;";  ","")&amp;IF(AND(EDATE($D104,Milestones!$AA$141)&lt;=AsOfDate,IF($R104=0,$X104,IF(AND($T104&lt;&gt;"",EDATE($D104,Milestones!$AA$141)&gt;=$T104),$W104,IF(AND($S104&lt;&gt;"",EDATE($D104,Milestones!$AA$141)&gt;=$S104),$V104,$U104)))=Milestones!$AB$141),UPPER(TEXT(EDATE($D104,Milestones!$AA$141),"dd mmm yy"))&amp;" "&amp;Milestones!$AB$141&amp;" "&amp;Milestones!$AC$141&amp;";  ","")&amp;IF(AND(EDATE($D104,Milestones!$AA$142)&lt;=AsOfDate,IF($R104=0,$X104,IF(AND($T104&lt;&gt;"",EDATE($D104,Milestones!$AA$142)&gt;=$T104),$W104,IF(AND($S104&lt;&gt;"",EDATE($D104,Milestones!$AA$142)&gt;=$S104),$V104,$U104)))=Milestones!$AB$142),UPPER(TEXT(EDATE($D104,Milestones!$AA$142),"dd mmm yy"))&amp;" "&amp;Milestones!$AB$142&amp;" "&amp;Milestones!$AC$142&amp;";  ","")&amp;IF(AND(EDATE($D104,Milestones!$AA$143)&lt;=AsOfDate,IF($R104=0,$X104,IF(AND($T104&lt;&gt;"",EDATE($D104,Milestones!$AA$143)&gt;=$T104),$W104,IF(AND($S104&lt;&gt;"",EDATE($D104,Milestones!$AA$143)&gt;=$S104),$V104,$U104)))=Milestones!$AB$143),UPPER(TEXT(EDATE($D104,Milestones!$AA$143),"dd mmm yy"))&amp;" "&amp;Milestones!$AB$143&amp;" "&amp;Milestones!$AC$143&amp;";  ","")&amp;IF(AND(EDATE($D104,Milestones!$AA$144)&lt;=AsOfDate,IF($R104=0,$X104,IF(AND($T104&lt;&gt;"",EDATE($D104,Milestones!$AA$144)&gt;=$T104),$W104,IF(AND($S104&lt;&gt;"",EDATE($D104,Milestones!$AA$144)&gt;=$S104),$V104,$U104)))=Milestones!$AB$144),UPPER(TEXT(EDATE($D104,Milestones!$AA$144),"dd mmm yy"))&amp;" "&amp;Milestones!$AB$144&amp;" "&amp;Milestones!$AC$144&amp;";  ","")&amp;IF(AND(EDATE($D104,Milestones!$AA$145)&lt;=AsOfDate,IF($R104=0,$X104,IF(AND($T104&lt;&gt;"",EDATE($D104,Milestones!$AA$145)&gt;=$T104),$W104,IF(AND($S104&lt;&gt;"",EDATE($D104,Milestones!$AA$145)&gt;=$S104),$V104,$U104)))=Milestones!$AB$145),UPPER(TEXT(EDATE($D104,Milestones!$AA$145),"dd mmm yy"))&amp;" "&amp;Milestones!$AB$145&amp;" "&amp;Milestones!$AC$145&amp;";  ","")&amp;IF(AND(EDATE($D104,Milestones!$AA$146)&lt;=AsOfDate,IF($R104=0,$X104,IF(AND($T104&lt;&gt;"",EDATE($D104,Milestones!$AA$146)&gt;=$T104),$W104,IF(AND($S104&lt;&gt;"",EDATE($D104,Milestones!$AA$146)&gt;=$S104),$V104,$U104)))=Milestones!$AB$146),UPPER(TEXT(EDATE($D104,Milestones!$AA$146),"dd mmm yy"))&amp;" "&amp;Milestones!$AB$146&amp;" "&amp;Milestones!$AC$146&amp;";  ","")&amp;IF(AND(EDATE($D104,Milestones!$AA$147)&lt;=AsOfDate,IF($R104=0,$X104,IF(AND($T104&lt;&gt;"",EDATE($D104,Milestones!$AA$147)&gt;=$T104),$W104,IF(AND($S104&lt;&gt;"",EDATE($D104,Milestones!$AA$147)&gt;=$S104),$V104,$U104)))=Milestones!$AB$147),UPPER(TEXT(EDATE($D104,Milestones!$AA$147),"dd mmm yy"))&amp;" "&amp;Milestones!$AB$147&amp;" "&amp;Milestones!$AC$147&amp;";  ","")&amp;IF(AND(EDATE($D104,Milestones!$AA$148)&lt;=AsOfDate,IF($R104=0,$X104,IF(AND($T104&lt;&gt;"",EDATE($D104,Milestones!$AA$148)&gt;=$T104),$W104,IF(AND($S104&lt;&gt;"",EDATE($D104,Milestones!$AA$148)&gt;=$S104),$V104,$U104)))=Milestones!$AB$148),UPPER(TEXT(EDATE($D104,Milestones!$AA$148),"dd mmm yy"))&amp;" "&amp;Milestones!$AB$148&amp;" "&amp;Milestones!$AC$148&amp;";  ","")&amp;IF(AND(EDATE($D104,Milestones!$AA$149)&lt;=AsOfDate,IF($R104=0,$X104,IF(AND($T104&lt;&gt;"",EDATE($D104,Milestones!$AA$149)&gt;=$T104),$W104,IF(AND($S104&lt;&gt;"",EDATE($D104,Milestones!$AA$149)&gt;=$S104),$V104,$U104)))=Milestones!$AB$149),UPPER(TEXT(EDATE($D104,Milestones!$AA$149),"dd mmm yy"))&amp;" "&amp;Milestones!$AB$149&amp;" "&amp;Milestones!$AC$149&amp;";  ","")&amp;IF(AND(EDATE($D104,Milestones!$AA$150)&lt;=AsOfDate,IF($R104=0,$X104,IF(AND($T104&lt;&gt;"",EDATE($D104,Milestones!$AA$150)&gt;=$T104),$W104,IF(AND($S104&lt;&gt;"",EDATE($D104,Milestones!$AA$150)&gt;=$S104),$V104,$U104)))=Milestones!$AB$150),UPPER(TEXT(EDATE($D104,Milestones!$AA$150),"dd mmm yy"))&amp;" "&amp;Milestones!$AB$150&amp;" "&amp;Milestones!$AC$150&amp;";  ","")&amp;IF(AND(EDATE($D104,Milestones!$AA$151)&lt;=AsOfDate,IF($R104=0,$X104,IF(AND($T104&lt;&gt;"",EDATE($D104,Milestones!$AA$151)&gt;=$T104),$W104,IF(AND($S104&lt;&gt;"",EDATE($D104,Milestones!$AA$151)&gt;=$S104),$V104,$U104)))=Milestones!$AB$151),UPPER(TEXT(EDATE($D104,Milestones!$AA$151),"dd mmm yy"))&amp;" "&amp;Milestones!$AB$151&amp;" "&amp;Milestones!$AC$151&amp;";  ","")&amp;IF(AND(EDATE($D104,Milestones!$AA$152)&lt;=AsOfDate,IF($R104=0,$X104,IF(AND($T104&lt;&gt;"",EDATE($D104,Milestones!$AA$152)&gt;=$T104),$W104,IF(AND($S104&lt;&gt;"",EDATE($D104,Milestones!$AA$152)&gt;=$S104),$V104,$U104)))=Milestones!$AB$152),UPPER(TEXT(EDATE($D104,Milestones!$AA$152),"dd mmm yy"))&amp;" "&amp;Milestones!$AB$152&amp;" "&amp;Milestones!$AC$152&amp;";  ","")&amp;IF(AND(EDATE($D104,Milestones!$AA$153)&lt;=AsOfDate,IF($R104=0,$X104,IF(AND($T104&lt;&gt;"",EDATE($D104,Milestones!$AA$153)&gt;=$T104),$W104,IF(AND($S104&lt;&gt;"",EDATE($D104,Milestones!$AA$153)&gt;=$S104),$V104,$U104)))=Milestones!$AB$153),UPPER(TEXT(EDATE($D104,Milestones!$AA$153),"dd mmm yy"))&amp;" "&amp;Milestones!$AB$153&amp;" "&amp;Milestones!$AC$153&amp;";  ","")&amp;IF(AND(EDATE($D104,Milestones!$AA$154)&lt;=AsOfDate,IF($R104=0,$X104,IF(AND($T104&lt;&gt;"",EDATE($D104,Milestones!$AA$154)&gt;=$T104),$W104,IF(AND($S104&lt;&gt;"",EDATE($D104,Milestones!$AA$154)&gt;=$S104),$V104,$U104)))=Milestones!$AB$154),UPPER(TEXT(EDATE($D104,Milestones!$AA$154),"dd mmm yy"))&amp;" "&amp;Milestones!$AB$154&amp;" "&amp;Milestones!$AC$154&amp;";  ","")&amp;IF(AND(EDATE($D104,Milestones!$AA$155)&lt;=AsOfDate,IF($R104=0,$X104,IF(AND($T104&lt;&gt;"",EDATE($D104,Milestones!$AA$155)&gt;=$T104),$W104,IF(AND($S104&lt;&gt;"",EDATE($D104,Milestones!$AA$155)&gt;=$S104),$V104,$U104)))=Milestones!$AB$155),UPPER(TEXT(EDATE($D104,Milestones!$AA$155),"dd mmm yy"))&amp;" "&amp;Milestones!$AB$155&amp;" "&amp;Milestones!$AC$155&amp;";  ","")&amp;IF(AND(EDATE($D104,Milestones!$AA$156)&lt;=AsOfDate,IF($R104=0,$X104,IF(AND($T104&lt;&gt;"",EDATE($D104,Milestones!$AA$156)&gt;=$T104),$W104,IF(AND($S104&lt;&gt;"",EDATE($D104,Milestones!$AA$156)&gt;=$S104),$V104,$U104)))=Milestones!$AB$156),UPPER(TEXT(EDATE($D104,Milestones!$AA$156),"dd mmm yy"))&amp;" "&amp;Milestones!$AB$156&amp;" "&amp;Milestones!$AC$156&amp;";  ","")&amp;IF(AND(EDATE($D104,Milestones!$AA$157)&lt;=AsOfDate,IF($R104=0,$X104,IF(AND($T104&lt;&gt;"",EDATE($D104,Milestones!$AA$157)&gt;=$T104),$W104,IF(AND($S104&lt;&gt;"",EDATE($D104,Milestones!$AA$157)&gt;=$S104),$V104,$U104)))=Milestones!$AB$157),UPPER(TEXT(EDATE($D104,Milestones!$AA$157),"dd mmm yy"))&amp;" "&amp;Milestones!$AB$157&amp;" "&amp;Milestones!$AC$157&amp;";  ","")&amp;IF(AND(EDATE($D104,Milestones!$AA$158)&lt;=AsOfDate,IF($R104=0,$X104,IF(AND($T104&lt;&gt;"",EDATE($D104,Milestones!$AA$158)&gt;=$T104),$W104,IF(AND($S104&lt;&gt;"",EDATE($D104,Milestones!$AA$158)&gt;=$S104),$V104,$U104)))=Milestones!$AB$158),UPPER(TEXT(EDATE($D104,Milestones!$AA$158),"dd mmm yy"))&amp;" "&amp;Milestones!$AB$158&amp;" "&amp;Milestones!$AC$158&amp;";  ","")&amp;IF(AND(EDATE($D104,Milestones!$AA$159)&lt;=AsOfDate,IF($R104=0,$X104,IF(AND($T104&lt;&gt;"",EDATE($D104,Milestones!$AA$159)&gt;=$T104),$W104,IF(AND($S104&lt;&gt;"",EDATE($D104,Milestones!$AA$159)&gt;=$S104),$V104,$U104)))=Milestones!$AB$159),UPPER(TEXT(EDATE($D104,Milestones!$AA$159),"dd mmm yy"))&amp;" "&amp;Milestones!$AB$159&amp;" "&amp;Milestones!$AC$159&amp;";  ",""))</f>
        <v/>
      </c>
      <c r="P104" s="0" t="str">
        <f aca="false">IF(OR($A104="",$D104=""),"",IF(AND(EDATE($D104,Milestones!$AA$160)&lt;=AsOfDate,IF($R104=0,$X104,IF(AND($T104&lt;&gt;"",EDATE($D104,Milestones!$AA$160)&gt;=$T104),$W104,IF(AND($S104&lt;&gt;"",EDATE($D104,Milestones!$AA$160)&gt;=$S104),$V104,$U104)))=Milestones!$AB$160),UPPER(TEXT(EDATE($D104,Milestones!$AA$160),"dd mmm yy"))&amp;" "&amp;Milestones!$AB$160&amp;" "&amp;Milestones!$AC$160&amp;";  ","")&amp;IF(AND(EDATE($D104,Milestones!$AA$161)&lt;=AsOfDate,IF($R104=0,$X104,IF(AND($T104&lt;&gt;"",EDATE($D104,Milestones!$AA$161)&gt;=$T104),$W104,IF(AND($S104&lt;&gt;"",EDATE($D104,Milestones!$AA$161)&gt;=$S104),$V104,$U104)))=Milestones!$AB$161),UPPER(TEXT(EDATE($D104,Milestones!$AA$161),"dd mmm yy"))&amp;" "&amp;Milestones!$AB$161&amp;" "&amp;Milestones!$AC$161&amp;";  ","")&amp;IF(AND(EDATE($D104,Milestones!$AA$162)&lt;=AsOfDate,IF($R104=0,$X104,IF(AND($T104&lt;&gt;"",EDATE($D104,Milestones!$AA$162)&gt;=$T104),$W104,IF(AND($S104&lt;&gt;"",EDATE($D104,Milestones!$AA$162)&gt;=$S104),$V104,$U104)))=Milestones!$AB$162),UPPER(TEXT(EDATE($D104,Milestones!$AA$162),"dd mmm yy"))&amp;" "&amp;Milestones!$AB$162&amp;" "&amp;Milestones!$AC$162&amp;";  ","")&amp;IF(AND(EDATE($D104,Milestones!$AA$163)&lt;=AsOfDate,IF($R104=0,$X104,IF(AND($T104&lt;&gt;"",EDATE($D104,Milestones!$AA$163)&gt;=$T104),$W104,IF(AND($S104&lt;&gt;"",EDATE($D104,Milestones!$AA$163)&gt;=$S104),$V104,$U104)))=Milestones!$AB$163),UPPER(TEXT(EDATE($D104,Milestones!$AA$163),"dd mmm yy"))&amp;" "&amp;Milestones!$AB$163&amp;" "&amp;Milestones!$AC$163&amp;";  ","")&amp;IF(AND(EDATE($D104,Milestones!$AA$164)&lt;=AsOfDate,IF($R104=0,$X104,IF(AND($T104&lt;&gt;"",EDATE($D104,Milestones!$AA$164)&gt;=$T104),$W104,IF(AND($S104&lt;&gt;"",EDATE($D104,Milestones!$AA$164)&gt;=$S104),$V104,$U104)))=Milestones!$AB$164),UPPER(TEXT(EDATE($D104,Milestones!$AA$164),"dd mmm yy"))&amp;" "&amp;Milestones!$AB$164&amp;" "&amp;Milestones!$AC$164&amp;";  ","")&amp;IF(AND(EDATE($D104,Milestones!$AA$165)&lt;=AsOfDate,IF($R104=0,$X104,IF(AND($T104&lt;&gt;"",EDATE($D104,Milestones!$AA$165)&gt;=$T104),$W104,IF(AND($S104&lt;&gt;"",EDATE($D104,Milestones!$AA$165)&gt;=$S104),$V104,$U104)))=Milestones!$AB$165),UPPER(TEXT(EDATE($D104,Milestones!$AA$165),"dd mmm yy"))&amp;" "&amp;Milestones!$AB$165&amp;" "&amp;Milestones!$AC$165&amp;";  ","")&amp;IF(AND(EDATE($D104,Milestones!$AA$166)&lt;=AsOfDate,IF($R104=0,$X104,IF(AND($T104&lt;&gt;"",EDATE($D104,Milestones!$AA$166)&gt;=$T104),$W104,IF(AND($S104&lt;&gt;"",EDATE($D104,Milestones!$AA$166)&gt;=$S104),$V104,$U104)))=Milestones!$AB$166),UPPER(TEXT(EDATE($D104,Milestones!$AA$166),"dd mmm yy"))&amp;" "&amp;Milestones!$AB$166&amp;" "&amp;Milestones!$AC$166&amp;";  ","")&amp;IF(AND(EDATE($D104,Milestones!$AA$167)&lt;=AsOfDate,IF($R104=0,$X104,IF(AND($T104&lt;&gt;"",EDATE($D104,Milestones!$AA$167)&gt;=$T104),$W104,IF(AND($S104&lt;&gt;"",EDATE($D104,Milestones!$AA$167)&gt;=$S104),$V104,$U104)))=Milestones!$AB$167),UPPER(TEXT(EDATE($D104,Milestones!$AA$167),"dd mmm yy"))&amp;" "&amp;Milestones!$AB$167&amp;" "&amp;Milestones!$AC$167&amp;";  ","")&amp;IF(AND(EDATE($D104,Milestones!$AA$168)&lt;=AsOfDate,IF($R104=0,$X104,IF(AND($T104&lt;&gt;"",EDATE($D104,Milestones!$AA$168)&gt;=$T104),$W104,IF(AND($S104&lt;&gt;"",EDATE($D104,Milestones!$AA$168)&gt;=$S104),$V104,$U104)))=Milestones!$AB$168),UPPER(TEXT(EDATE($D104,Milestones!$AA$168),"dd mmm yy"))&amp;" "&amp;Milestones!$AB$168&amp;" "&amp;Milestones!$AC$168&amp;";  ","")&amp;IF(AND(EDATE($D104,Milestones!$AA$169)&lt;=AsOfDate,IF($R104=0,$X104,IF(AND($T104&lt;&gt;"",EDATE($D104,Milestones!$AA$169)&gt;=$T104),$W104,IF(AND($S104&lt;&gt;"",EDATE($D104,Milestones!$AA$169)&gt;=$S104),$V104,$U104)))=Milestones!$AB$169),UPPER(TEXT(EDATE($D104,Milestones!$AA$169),"dd mmm yy"))&amp;" "&amp;Milestones!$AB$169&amp;" "&amp;Milestones!$AC$169&amp;";  ","")&amp;IF(AND(EDATE($D104,Milestones!$AA$170)&lt;=AsOfDate,IF($R104=0,$X104,IF(AND($T104&lt;&gt;"",EDATE($D104,Milestones!$AA$170)&gt;=$T104),$W104,IF(AND($S104&lt;&gt;"",EDATE($D104,Milestones!$AA$170)&gt;=$S104),$V104,$U104)))=Milestones!$AB$170),UPPER(TEXT(EDATE($D104,Milestones!$AA$170),"dd mmm yy"))&amp;" "&amp;Milestones!$AB$170&amp;" "&amp;Milestones!$AC$170&amp;";  ","")&amp;IF(AND(EDATE($D104,Milestones!$AA$171)&lt;=AsOfDate,IF($R104=0,$X104,IF(AND($T104&lt;&gt;"",EDATE($D104,Milestones!$AA$171)&gt;=$T104),$W104,IF(AND($S104&lt;&gt;"",EDATE($D104,Milestones!$AA$171)&gt;=$S104),$V104,$U104)))=Milestones!$AB$171),UPPER(TEXT(EDATE($D104,Milestones!$AA$171),"dd mmm yy"))&amp;" "&amp;Milestones!$AB$171&amp;" "&amp;Milestones!$AC$171&amp;";  ","")&amp;IF(AND(EDATE($D104,Milestones!$AA$172)&lt;=AsOfDate,IF($R104=0,$X104,IF(AND($T104&lt;&gt;"",EDATE($D104,Milestones!$AA$172)&gt;=$T104),$W104,IF(AND($S104&lt;&gt;"",EDATE($D104,Milestones!$AA$172)&gt;=$S104),$V104,$U104)))=Milestones!$AB$172),UPPER(TEXT(EDATE($D104,Milestones!$AA$172),"dd mmm yy"))&amp;" "&amp;Milestones!$AB$172&amp;" "&amp;Milestones!$AC$172&amp;";  ","")&amp;IF(AND(EDATE($D104,Milestones!$AA$173)&lt;=AsOfDate,IF($R104=0,$X104,IF(AND($T104&lt;&gt;"",EDATE($D104,Milestones!$AA$173)&gt;=$T104),$W104,IF(AND($S104&lt;&gt;"",EDATE($D104,Milestones!$AA$173)&gt;=$S104),$V104,$U104)))=Milestones!$AB$173),UPPER(TEXT(EDATE($D104,Milestones!$AA$173),"dd mmm yy"))&amp;" "&amp;Milestones!$AB$173&amp;" "&amp;Milestones!$AC$173&amp;";  ","")&amp;IF(AND(EDATE($D104,Milestones!$AA$174)&lt;=AsOfDate,IF($R104=0,$X104,IF(AND($T104&lt;&gt;"",EDATE($D104,Milestones!$AA$174)&gt;=$T104),$W104,IF(AND($S104&lt;&gt;"",EDATE($D104,Milestones!$AA$174)&gt;=$S104),$V104,$U104)))=Milestones!$AB$174),UPPER(TEXT(EDATE($D104,Milestones!$AA$174),"dd mmm yy"))&amp;" "&amp;Milestones!$AB$174&amp;" "&amp;Milestones!$AC$174&amp;";  ","")&amp;IF(AND(EDATE($D104,Milestones!$AA$175)&lt;=AsOfDate,IF($R104=0,$X104,IF(AND($T104&lt;&gt;"",EDATE($D104,Milestones!$AA$175)&gt;=$T104),$W104,IF(AND($S104&lt;&gt;"",EDATE($D104,Milestones!$AA$175)&gt;=$S104),$V104,$U104)))=Milestones!$AB$175),UPPER(TEXT(EDATE($D104,Milestones!$AA$175),"dd mmm yy"))&amp;" "&amp;Milestones!$AB$175&amp;" "&amp;Milestones!$AC$175&amp;";  ","")&amp;IF(AND(EDATE($D104,Milestones!$AA$176)&lt;=AsOfDate,IF($R104=0,$X104,IF(AND($T104&lt;&gt;"",EDATE($D104,Milestones!$AA$176)&gt;=$T104),$W104,IF(AND($S104&lt;&gt;"",EDATE($D104,Milestones!$AA$176)&gt;=$S104),$V104,$U104)))=Milestones!$AB$176),UPPER(TEXT(EDATE($D104,Milestones!$AA$176),"dd mmm yy"))&amp;" "&amp;Milestones!$AB$176&amp;" "&amp;Milestones!$AC$176&amp;";  ","")&amp;IF(AND(EDATE($D104,Milestones!$AA$177)&lt;=AsOfDate,IF($R104=0,$X104,IF(AND($T104&lt;&gt;"",EDATE($D104,Milestones!$AA$177)&gt;=$T104),$W104,IF(AND($S104&lt;&gt;"",EDATE($D104,Milestones!$AA$177)&gt;=$S104),$V104,$U104)))=Milestones!$AB$177),UPPER(TEXT(EDATE($D104,Milestones!$AA$177),"dd mmm yy"))&amp;" "&amp;Milestones!$AB$177&amp;" "&amp;Milestones!$AC$177&amp;";  ","")&amp;IF(AND(EDATE($D104,Milestones!$AA$178)&lt;=AsOfDate,IF($R104=0,$X104,IF(AND($T104&lt;&gt;"",EDATE($D104,Milestones!$AA$178)&gt;=$T104),$W104,IF(AND($S104&lt;&gt;"",EDATE($D104,Milestones!$AA$178)&gt;=$S104),$V104,$U104)))=Milestones!$AB$178),UPPER(TEXT(EDATE($D104,Milestones!$AA$178),"dd mmm yy"))&amp;" "&amp;Milestones!$AB$178&amp;" "&amp;Milestones!$AC$178&amp;";  ","")&amp;IF(AND(EDATE($D104,Milestones!$AA$179)&lt;=AsOfDate,IF($R104=0,$X104,IF(AND($T104&lt;&gt;"",EDATE($D104,Milestones!$AA$179)&gt;=$T104),$W104,IF(AND($S104&lt;&gt;"",EDATE($D104,Milestones!$AA$179)&gt;=$S104),$V104,$U104)))=Milestones!$AB$179),UPPER(TEXT(EDATE($D104,Milestones!$AA$179),"dd mmm yy"))&amp;" "&amp;Milestones!$AB$179&amp;" "&amp;Milestones!$AC$179&amp;";  ",""))</f>
        <v/>
      </c>
      <c r="Q104" s="0" t="str">
        <f aca="false">IF(OR($A104="",$D104=""),"",IF(AND(EDATE($D104,Milestones!$AA$180)&lt;=AsOfDate,IF($R104=0,$X104,IF(AND($T104&lt;&gt;"",EDATE($D104,Milestones!$AA$180)&gt;=$T104),$W104,IF(AND($S104&lt;&gt;"",EDATE($D104,Milestones!$AA$180)&gt;=$S104),$V104,$U104)))=Milestones!$AB$180),UPPER(TEXT(EDATE($D104,Milestones!$AA$180),"dd mmm yy"))&amp;" "&amp;Milestones!$AB$180&amp;" "&amp;Milestones!$AC$180&amp;";  ","")&amp;IF(AND(EDATE($D104,Milestones!$AA$181)&lt;=AsOfDate,IF($R104=0,$X104,IF(AND($T104&lt;&gt;"",EDATE($D104,Milestones!$AA$181)&gt;=$T104),$W104,IF(AND($S104&lt;&gt;"",EDATE($D104,Milestones!$AA$181)&gt;=$S104),$V104,$U104)))=Milestones!$AB$181),UPPER(TEXT(EDATE($D104,Milestones!$AA$181),"dd mmm yy"))&amp;" "&amp;Milestones!$AB$181&amp;" "&amp;Milestones!$AC$181&amp;";  ","")&amp;IF(AND(EDATE($D104,Milestones!$AA$182)&lt;=AsOfDate,IF($R104=0,$X104,IF(AND($T104&lt;&gt;"",EDATE($D104,Milestones!$AA$182)&gt;=$T104),$W104,IF(AND($S104&lt;&gt;"",EDATE($D104,Milestones!$AA$182)&gt;=$S104),$V104,$U104)))=Milestones!$AB$182),UPPER(TEXT(EDATE($D104,Milestones!$AA$182),"dd mmm yy"))&amp;" "&amp;Milestones!$AB$182&amp;" "&amp;Milestones!$AC$182&amp;";  ","")&amp;IF(AND(EDATE($D104,Milestones!$AA$183)&lt;=AsOfDate,IF($R104=0,$X104,IF(AND($T104&lt;&gt;"",EDATE($D104,Milestones!$AA$183)&gt;=$T104),$W104,IF(AND($S104&lt;&gt;"",EDATE($D104,Milestones!$AA$183)&gt;=$S104),$V104,$U104)))=Milestones!$AB$183),UPPER(TEXT(EDATE($D104,Milestones!$AA$183),"dd mmm yy"))&amp;" "&amp;Milestones!$AB$183&amp;" "&amp;Milestones!$AC$183&amp;";  ","")&amp;IF(AND(EDATE($D104,Milestones!$AA$184)&lt;=AsOfDate,IF($R104=0,$X104,IF(AND($T104&lt;&gt;"",EDATE($D104,Milestones!$AA$184)&gt;=$T104),$W104,IF(AND($S104&lt;&gt;"",EDATE($D104,Milestones!$AA$184)&gt;=$S104),$V104,$U104)))=Milestones!$AB$184),UPPER(TEXT(EDATE($D104,Milestones!$AA$184),"dd mmm yy"))&amp;" "&amp;Milestones!$AB$184&amp;" "&amp;Milestones!$AC$184&amp;";  ","")&amp;IF(AND(EDATE($D104,Milestones!$AA$185)&lt;=AsOfDate,IF($R104=0,$X104,IF(AND($T104&lt;&gt;"",EDATE($D104,Milestones!$AA$185)&gt;=$T104),$W104,IF(AND($S104&lt;&gt;"",EDATE($D104,Milestones!$AA$185)&gt;=$S104),$V104,$U104)))=Milestones!$AB$185),UPPER(TEXT(EDATE($D104,Milestones!$AA$185),"dd mmm yy"))&amp;" "&amp;Milestones!$AB$185&amp;" "&amp;Milestones!$AC$185&amp;";  ","")&amp;IF(AND(EDATE($D104,Milestones!$AA$186)&lt;=AsOfDate,IF($R104=0,$X104,IF(AND($T104&lt;&gt;"",EDATE($D104,Milestones!$AA$186)&gt;=$T104),$W104,IF(AND($S104&lt;&gt;"",EDATE($D104,Milestones!$AA$186)&gt;=$S104),$V104,$U104)))=Milestones!$AB$186),UPPER(TEXT(EDATE($D104,Milestones!$AA$186),"dd mmm yy"))&amp;" "&amp;Milestones!$AB$186&amp;" "&amp;Milestones!$AC$186&amp;";  ","")&amp;IF(AND(EDATE($D104,Milestones!$AA$187)&lt;=AsOfDate,IF($R104=0,$X104,IF(AND($T104&lt;&gt;"",EDATE($D104,Milestones!$AA$187)&gt;=$T104),$W104,IF(AND($S104&lt;&gt;"",EDATE($D104,Milestones!$AA$187)&gt;=$S104),$V104,$U104)))=Milestones!$AB$187),UPPER(TEXT(EDATE($D104,Milestones!$AA$187),"dd mmm yy"))&amp;" "&amp;Milestones!$AB$187&amp;" "&amp;Milestones!$AC$187&amp;";  ","")&amp;IF(AND(EDATE($D104,Milestones!$AA$188)&lt;=AsOfDate,IF($R104=0,$X104,IF(AND($T104&lt;&gt;"",EDATE($D104,Milestones!$AA$188)&gt;=$T104),$W104,IF(AND($S104&lt;&gt;"",EDATE($D104,Milestones!$AA$188)&gt;=$S104),$V104,$U104)))=Milestones!$AB$188),UPPER(TEXT(EDATE($D104,Milestones!$AA$188),"dd mmm yy"))&amp;" "&amp;Milestones!$AB$188&amp;" "&amp;Milestones!$AC$188&amp;";  ","")&amp;IF(AND(EDATE($D104,Milestones!$AA$189)&lt;=AsOfDate,IF($R104=0,$X104,IF(AND($T104&lt;&gt;"",EDATE($D104,Milestones!$AA$189)&gt;=$T104),$W104,IF(AND($S104&lt;&gt;"",EDATE($D104,Milestones!$AA$189)&gt;=$S104),$V104,$U104)))=Milestones!$AB$189),UPPER(TEXT(EDATE($D104,Milestones!$AA$189),"dd mmm yy"))&amp;" "&amp;Milestones!$AB$189&amp;" "&amp;Milestones!$AC$189&amp;";  ","")&amp;IF(AND(EDATE($D104,Milestones!$AA$190)&lt;=AsOfDate,IF($R104=0,$X104,IF(AND($T104&lt;&gt;"",EDATE($D104,Milestones!$AA$190)&gt;=$T104),$W104,IF(AND($S104&lt;&gt;"",EDATE($D104,Milestones!$AA$190)&gt;=$S104),$V104,$U104)))=Milestones!$AB$190),UPPER(TEXT(EDATE($D104,Milestones!$AA$190),"dd mmm yy"))&amp;" "&amp;Milestones!$AB$190&amp;" "&amp;Milestones!$AC$190&amp;";  ","")&amp;IF(AND(EDATE($D104,Milestones!$AA$191)&lt;=AsOfDate,IF($R104=0,$X104,IF(AND($T104&lt;&gt;"",EDATE($D104,Milestones!$AA$191)&gt;=$T104),$W104,IF(AND($S104&lt;&gt;"",EDATE($D104,Milestones!$AA$191)&gt;=$S104),$V104,$U104)))=Milestones!$AB$191),UPPER(TEXT(EDATE($D104,Milestones!$AA$191),"dd mmm yy"))&amp;" "&amp;Milestones!$AB$191&amp;" "&amp;Milestones!$AC$191&amp;";  ","")&amp;IF(AND(EDATE($D104,Milestones!$AA$192)&lt;=AsOfDate,IF($R104=0,$X104,IF(AND($T104&lt;&gt;"",EDATE($D104,Milestones!$AA$192)&gt;=$T104),$W104,IF(AND($S104&lt;&gt;"",EDATE($D104,Milestones!$AA$192)&gt;=$S104),$V104,$U104)))=Milestones!$AB$192),UPPER(TEXT(EDATE($D104,Milestones!$AA$192),"dd mmm yy"))&amp;" "&amp;Milestones!$AB$192&amp;" "&amp;Milestones!$AC$192&amp;";  ","")&amp;IF(AND(EDATE($D104,Milestones!$AA$193)&lt;=AsOfDate,IF($R104=0,$X104,IF(AND($T104&lt;&gt;"",EDATE($D104,Milestones!$AA$193)&gt;=$T104),$W104,IF(AND($S104&lt;&gt;"",EDATE($D104,Milestones!$AA$193)&gt;=$S104),$V104,$U104)))=Milestones!$AB$193),UPPER(TEXT(EDATE($D104,Milestones!$AA$193),"dd mmm yy"))&amp;" "&amp;Milestones!$AB$193&amp;" "&amp;Milestones!$AC$193&amp;";  ","")&amp;IF(AND(EDATE($D104,Milestones!$AA$194)&lt;=AsOfDate,IF($R104=0,$X104,IF(AND($T104&lt;&gt;"",EDATE($D104,Milestones!$AA$194)&gt;=$T104),$W104,IF(AND($S104&lt;&gt;"",EDATE($D104,Milestones!$AA$194)&gt;=$S104),$V104,$U104)))=Milestones!$AB$194),UPPER(TEXT(EDATE($D104,Milestones!$AA$194),"dd mmm yy"))&amp;" "&amp;Milestones!$AB$194&amp;" "&amp;Milestones!$AC$194&amp;";  ","")&amp;IF(AND(EDATE($D104,Milestones!$AA$195)&lt;=AsOfDate,IF($R104=0,$X104,IF(AND($T104&lt;&gt;"",EDATE($D104,Milestones!$AA$195)&gt;=$T104),$W104,IF(AND($S104&lt;&gt;"",EDATE($D104,Milestones!$AA$195)&gt;=$S104),$V104,$U104)))=Milestones!$AB$195),UPPER(TEXT(EDATE($D104,Milestones!$AA$195),"dd mmm yy"))&amp;" "&amp;Milestones!$AB$195&amp;" "&amp;Milestones!$AC$195&amp;";  ","")&amp;IF(AND(EDATE($D104,Milestones!$AA$196)&lt;=AsOfDate,IF($R104=0,$X104,IF(AND($T104&lt;&gt;"",EDATE($D104,Milestones!$AA$196)&gt;=$T104),$W104,IF(AND($S104&lt;&gt;"",EDATE($D104,Milestones!$AA$196)&gt;=$S104),$V104,$U104)))=Milestones!$AB$196),UPPER(TEXT(EDATE($D104,Milestones!$AA$196),"dd mmm yy"))&amp;" "&amp;Milestones!$AB$196&amp;" "&amp;Milestones!$AC$196&amp;";  ","")&amp;IF(AND(EDATE($D104,Milestones!$AA$197)&lt;=AsOfDate,IF($R104=0,$X104,IF(AND($T104&lt;&gt;"",EDATE($D104,Milestones!$AA$197)&gt;=$T104),$W104,IF(AND($S104&lt;&gt;"",EDATE($D104,Milestones!$AA$197)&gt;=$S104),$V104,$U104)))=Milestones!$AB$197),UPPER(TEXT(EDATE($D104,Milestones!$AA$197),"dd mmm yy"))&amp;" "&amp;Milestones!$AB$197&amp;" "&amp;Milestones!$AC$197&amp;";  ","")&amp;IF(AND(EDATE($D104,Milestones!$AA$198)&lt;=AsOfDate,IF($R104=0,$X104,IF(AND($T104&lt;&gt;"",EDATE($D104,Milestones!$AA$198)&gt;=$T104),$W104,IF(AND($S104&lt;&gt;"",EDATE($D104,Milestones!$AA$198)&gt;=$S104),$V104,$U104)))=Milestones!$AB$198),UPPER(TEXT(EDATE($D104,Milestones!$AA$198),"dd mmm yy"))&amp;" "&amp;Milestones!$AB$198&amp;" "&amp;Milestones!$AC$198&amp;";  ","")&amp;IF(AND(EDATE($D104,Milestones!$AA$199)&lt;=AsOfDate,IF($R104=0,$X104,IF(AND($T104&lt;&gt;"",EDATE($D104,Milestones!$AA$199)&gt;=$T104),$W104,IF(AND($S104&lt;&gt;"",EDATE($D104,Milestones!$AA$199)&gt;=$S104),$V104,$U104)))=Milestones!$AB$199),UPPER(TEXT(EDATE($D104,Milestones!$AA$199),"dd mmm yy"))&amp;" "&amp;Milestones!$AB$199&amp;" "&amp;Milestones!$AC$199&amp;";  ",""))</f>
        <v/>
      </c>
      <c r="R104" s="0" t="str">
        <f aca="false">IF(Staff!$A104="","",Staff!$AI104)</f>
        <v/>
      </c>
      <c r="S104" s="0" t="str">
        <f aca="false">IF(Staff!$A104="","",Staff!$AK104)</f>
        <v/>
      </c>
      <c r="T104" s="0" t="str">
        <f aca="false">IF(Staff!$A104="","",Staff!$AL104)</f>
        <v/>
      </c>
      <c r="U104" s="0" t="str">
        <f aca="false">IF(Staff!$A104="","",Staff!$AP104)</f>
        <v/>
      </c>
      <c r="V104" s="0" t="str">
        <f aca="false">IF(Staff!$A104="","",Staff!$AQ104)</f>
        <v/>
      </c>
      <c r="W104" s="0" t="str">
        <f aca="false">IF(Staff!$A104="","",Staff!$AR104)</f>
        <v/>
      </c>
      <c r="X104" s="0" t="str">
        <f aca="false">IF(Staff!$A104="","",Staff!$AS104)</f>
        <v/>
      </c>
    </row>
    <row r="105" customFormat="false" ht="15" hidden="false" customHeight="false" outlineLevel="0" collapsed="false">
      <c r="A105" s="19" t="str">
        <f aca="false">IF(Staff!$A105="","",Staff!$A105)</f>
        <v/>
      </c>
      <c r="B105" s="19" t="str">
        <f aca="false">IF(Staff!$A105="","",Staff!$B105)</f>
        <v/>
      </c>
      <c r="C105" s="19" t="str">
        <f aca="false">IF(Staff!$A105="","",Staff!$C105)</f>
        <v/>
      </c>
      <c r="D105" s="17" t="str">
        <f aca="false">IF(Staff!$A105="","",Staff!$AH105)</f>
        <v/>
      </c>
      <c r="E105" s="19" t="str">
        <f aca="false">IF(Staff!$A105="","",Staff!$O105)</f>
        <v/>
      </c>
      <c r="F105" s="19" t="str">
        <f aca="false">IF(E105="","",E105*HoursPerDay)</f>
        <v/>
      </c>
      <c r="G105" s="19" t="str">
        <f aca="false">IF(Staff!$A105="","",Staff!$AE105)</f>
        <v/>
      </c>
      <c r="H105" s="32" t="str">
        <f aca="false">IF($A105="","",I105&amp;J105&amp;K105&amp;L105&amp;M105&amp;N105&amp;O105&amp;P105&amp;Q105)</f>
        <v/>
      </c>
      <c r="I105" s="0" t="str">
        <f aca="false">IF(OR($A105="",$D105=""),"",IF(AND(EDATE($D105,Milestones!$AA$20)&lt;=AsOfDate,IF($R105=0,$X105,IF(AND($T105&lt;&gt;"",EDATE($D105,Milestones!$AA$20)&gt;=$T105),$W105,IF(AND($S105&lt;&gt;"",EDATE($D105,Milestones!$AA$20)&gt;=$S105),$V105,$U105)))=Milestones!$AB$20),UPPER(TEXT(EDATE($D105,Milestones!$AA$20),"dd mmm yy"))&amp;" "&amp;Milestones!$AB$20&amp;" "&amp;Milestones!$AC$20&amp;";  ","")&amp;IF(AND(EDATE($D105,Milestones!$AA$21)&lt;=AsOfDate,IF($R105=0,$X105,IF(AND($T105&lt;&gt;"",EDATE($D105,Milestones!$AA$21)&gt;=$T105),$W105,IF(AND($S105&lt;&gt;"",EDATE($D105,Milestones!$AA$21)&gt;=$S105),$V105,$U105)))=Milestones!$AB$21),UPPER(TEXT(EDATE($D105,Milestones!$AA$21),"dd mmm yy"))&amp;" "&amp;Milestones!$AB$21&amp;" "&amp;Milestones!$AC$21&amp;";  ","")&amp;IF(AND(EDATE($D105,Milestones!$AA$22)&lt;=AsOfDate,IF($R105=0,$X105,IF(AND($T105&lt;&gt;"",EDATE($D105,Milestones!$AA$22)&gt;=$T105),$W105,IF(AND($S105&lt;&gt;"",EDATE($D105,Milestones!$AA$22)&gt;=$S105),$V105,$U105)))=Milestones!$AB$22),UPPER(TEXT(EDATE($D105,Milestones!$AA$22),"dd mmm yy"))&amp;" "&amp;Milestones!$AB$22&amp;" "&amp;Milestones!$AC$22&amp;";  ","")&amp;IF(AND(EDATE($D105,Milestones!$AA$23)&lt;=AsOfDate,IF($R105=0,$X105,IF(AND($T105&lt;&gt;"",EDATE($D105,Milestones!$AA$23)&gt;=$T105),$W105,IF(AND($S105&lt;&gt;"",EDATE($D105,Milestones!$AA$23)&gt;=$S105),$V105,$U105)))=Milestones!$AB$23),UPPER(TEXT(EDATE($D105,Milestones!$AA$23),"dd mmm yy"))&amp;" "&amp;Milestones!$AB$23&amp;" "&amp;Milestones!$AC$23&amp;";  ","")&amp;IF(AND(EDATE($D105,Milestones!$AA$24)&lt;=AsOfDate,IF($R105=0,$X105,IF(AND($T105&lt;&gt;"",EDATE($D105,Milestones!$AA$24)&gt;=$T105),$W105,IF(AND($S105&lt;&gt;"",EDATE($D105,Milestones!$AA$24)&gt;=$S105),$V105,$U105)))=Milestones!$AB$24),UPPER(TEXT(EDATE($D105,Milestones!$AA$24),"dd mmm yy"))&amp;" "&amp;Milestones!$AB$24&amp;" "&amp;Milestones!$AC$24&amp;";  ","")&amp;IF(AND(EDATE($D105,Milestones!$AA$25)&lt;=AsOfDate,IF($R105=0,$X105,IF(AND($T105&lt;&gt;"",EDATE($D105,Milestones!$AA$25)&gt;=$T105),$W105,IF(AND($S105&lt;&gt;"",EDATE($D105,Milestones!$AA$25)&gt;=$S105),$V105,$U105)))=Milestones!$AB$25),UPPER(TEXT(EDATE($D105,Milestones!$AA$25),"dd mmm yy"))&amp;" "&amp;Milestones!$AB$25&amp;" "&amp;Milestones!$AC$25&amp;";  ","")&amp;IF(AND(EDATE($D105,Milestones!$AA$26)&lt;=AsOfDate,IF($R105=0,$X105,IF(AND($T105&lt;&gt;"",EDATE($D105,Milestones!$AA$26)&gt;=$T105),$W105,IF(AND($S105&lt;&gt;"",EDATE($D105,Milestones!$AA$26)&gt;=$S105),$V105,$U105)))=Milestones!$AB$26),UPPER(TEXT(EDATE($D105,Milestones!$AA$26),"dd mmm yy"))&amp;" "&amp;Milestones!$AB$26&amp;" "&amp;Milestones!$AC$26&amp;";  ","")&amp;IF(AND(EDATE($D105,Milestones!$AA$27)&lt;=AsOfDate,IF($R105=0,$X105,IF(AND($T105&lt;&gt;"",EDATE($D105,Milestones!$AA$27)&gt;=$T105),$W105,IF(AND($S105&lt;&gt;"",EDATE($D105,Milestones!$AA$27)&gt;=$S105),$V105,$U105)))=Milestones!$AB$27),UPPER(TEXT(EDATE($D105,Milestones!$AA$27),"dd mmm yy"))&amp;" "&amp;Milestones!$AB$27&amp;" "&amp;Milestones!$AC$27&amp;";  ","")&amp;IF(AND(EDATE($D105,Milestones!$AA$28)&lt;=AsOfDate,IF($R105=0,$X105,IF(AND($T105&lt;&gt;"",EDATE($D105,Milestones!$AA$28)&gt;=$T105),$W105,IF(AND($S105&lt;&gt;"",EDATE($D105,Milestones!$AA$28)&gt;=$S105),$V105,$U105)))=Milestones!$AB$28),UPPER(TEXT(EDATE($D105,Milestones!$AA$28),"dd mmm yy"))&amp;" "&amp;Milestones!$AB$28&amp;" "&amp;Milestones!$AC$28&amp;";  ","")&amp;IF(AND(EDATE($D105,Milestones!$AA$29)&lt;=AsOfDate,IF($R105=0,$X105,IF(AND($T105&lt;&gt;"",EDATE($D105,Milestones!$AA$29)&gt;=$T105),$W105,IF(AND($S105&lt;&gt;"",EDATE($D105,Milestones!$AA$29)&gt;=$S105),$V105,$U105)))=Milestones!$AB$29),UPPER(TEXT(EDATE($D105,Milestones!$AA$29),"dd mmm yy"))&amp;" "&amp;Milestones!$AB$29&amp;" "&amp;Milestones!$AC$29&amp;";  ","")&amp;IF(AND(EDATE($D105,Milestones!$AA$30)&lt;=AsOfDate,IF($R105=0,$X105,IF(AND($T105&lt;&gt;"",EDATE($D105,Milestones!$AA$30)&gt;=$T105),$W105,IF(AND($S105&lt;&gt;"",EDATE($D105,Milestones!$AA$30)&gt;=$S105),$V105,$U105)))=Milestones!$AB$30),UPPER(TEXT(EDATE($D105,Milestones!$AA$30),"dd mmm yy"))&amp;" "&amp;Milestones!$AB$30&amp;" "&amp;Milestones!$AC$30&amp;";  ","")&amp;IF(AND(EDATE($D105,Milestones!$AA$31)&lt;=AsOfDate,IF($R105=0,$X105,IF(AND($T105&lt;&gt;"",EDATE($D105,Milestones!$AA$31)&gt;=$T105),$W105,IF(AND($S105&lt;&gt;"",EDATE($D105,Milestones!$AA$31)&gt;=$S105),$V105,$U105)))=Milestones!$AB$31),UPPER(TEXT(EDATE($D105,Milestones!$AA$31),"dd mmm yy"))&amp;" "&amp;Milestones!$AB$31&amp;" "&amp;Milestones!$AC$31&amp;";  ","")&amp;IF(AND(EDATE($D105,Milestones!$AA$32)&lt;=AsOfDate,IF($R105=0,$X105,IF(AND($T105&lt;&gt;"",EDATE($D105,Milestones!$AA$32)&gt;=$T105),$W105,IF(AND($S105&lt;&gt;"",EDATE($D105,Milestones!$AA$32)&gt;=$S105),$V105,$U105)))=Milestones!$AB$32),UPPER(TEXT(EDATE($D105,Milestones!$AA$32),"dd mmm yy"))&amp;" "&amp;Milestones!$AB$32&amp;" "&amp;Milestones!$AC$32&amp;";  ","")&amp;IF(AND(EDATE($D105,Milestones!$AA$33)&lt;=AsOfDate,IF($R105=0,$X105,IF(AND($T105&lt;&gt;"",EDATE($D105,Milestones!$AA$33)&gt;=$T105),$W105,IF(AND($S105&lt;&gt;"",EDATE($D105,Milestones!$AA$33)&gt;=$S105),$V105,$U105)))=Milestones!$AB$33),UPPER(TEXT(EDATE($D105,Milestones!$AA$33),"dd mmm yy"))&amp;" "&amp;Milestones!$AB$33&amp;" "&amp;Milestones!$AC$33&amp;";  ","")&amp;IF(AND(EDATE($D105,Milestones!$AA$34)&lt;=AsOfDate,IF($R105=0,$X105,IF(AND($T105&lt;&gt;"",EDATE($D105,Milestones!$AA$34)&gt;=$T105),$W105,IF(AND($S105&lt;&gt;"",EDATE($D105,Milestones!$AA$34)&gt;=$S105),$V105,$U105)))=Milestones!$AB$34),UPPER(TEXT(EDATE($D105,Milestones!$AA$34),"dd mmm yy"))&amp;" "&amp;Milestones!$AB$34&amp;" "&amp;Milestones!$AC$34&amp;";  ","")&amp;IF(AND(EDATE($D105,Milestones!$AA$35)&lt;=AsOfDate,IF($R105=0,$X105,IF(AND($T105&lt;&gt;"",EDATE($D105,Milestones!$AA$35)&gt;=$T105),$W105,IF(AND($S105&lt;&gt;"",EDATE($D105,Milestones!$AA$35)&gt;=$S105),$V105,$U105)))=Milestones!$AB$35),UPPER(TEXT(EDATE($D105,Milestones!$AA$35),"dd mmm yy"))&amp;" "&amp;Milestones!$AB$35&amp;" "&amp;Milestones!$AC$35&amp;";  ","")&amp;IF(AND(EDATE($D105,Milestones!$AA$36)&lt;=AsOfDate,IF($R105=0,$X105,IF(AND($T105&lt;&gt;"",EDATE($D105,Milestones!$AA$36)&gt;=$T105),$W105,IF(AND($S105&lt;&gt;"",EDATE($D105,Milestones!$AA$36)&gt;=$S105),$V105,$U105)))=Milestones!$AB$36),UPPER(TEXT(EDATE($D105,Milestones!$AA$36),"dd mmm yy"))&amp;" "&amp;Milestones!$AB$36&amp;" "&amp;Milestones!$AC$36&amp;";  ","")&amp;IF(AND(EDATE($D105,Milestones!$AA$37)&lt;=AsOfDate,IF($R105=0,$X105,IF(AND($T105&lt;&gt;"",EDATE($D105,Milestones!$AA$37)&gt;=$T105),$W105,IF(AND($S105&lt;&gt;"",EDATE($D105,Milestones!$AA$37)&gt;=$S105),$V105,$U105)))=Milestones!$AB$37),UPPER(TEXT(EDATE($D105,Milestones!$AA$37),"dd mmm yy"))&amp;" "&amp;Milestones!$AB$37&amp;" "&amp;Milestones!$AC$37&amp;";  ","")&amp;IF(AND(EDATE($D105,Milestones!$AA$38)&lt;=AsOfDate,IF($R105=0,$X105,IF(AND($T105&lt;&gt;"",EDATE($D105,Milestones!$AA$38)&gt;=$T105),$W105,IF(AND($S105&lt;&gt;"",EDATE($D105,Milestones!$AA$38)&gt;=$S105),$V105,$U105)))=Milestones!$AB$38),UPPER(TEXT(EDATE($D105,Milestones!$AA$38),"dd mmm yy"))&amp;" "&amp;Milestones!$AB$38&amp;" "&amp;Milestones!$AC$38&amp;";  ","")&amp;IF(AND(EDATE($D105,Milestones!$AA$39)&lt;=AsOfDate,IF($R105=0,$X105,IF(AND($T105&lt;&gt;"",EDATE($D105,Milestones!$AA$39)&gt;=$T105),$W105,IF(AND($S105&lt;&gt;"",EDATE($D105,Milestones!$AA$39)&gt;=$S105),$V105,$U105)))=Milestones!$AB$39),UPPER(TEXT(EDATE($D105,Milestones!$AA$39),"dd mmm yy"))&amp;" "&amp;Milestones!$AB$39&amp;" "&amp;Milestones!$AC$39&amp;";  ",""))</f>
        <v/>
      </c>
      <c r="J105" s="0" t="str">
        <f aca="false">IF(OR($A105="",$D105=""),"",IF(AND(EDATE($D105,Milestones!$AA$40)&lt;=AsOfDate,IF($R105=0,$X105,IF(AND($T105&lt;&gt;"",EDATE($D105,Milestones!$AA$40)&gt;=$T105),$W105,IF(AND($S105&lt;&gt;"",EDATE($D105,Milestones!$AA$40)&gt;=$S105),$V105,$U105)))=Milestones!$AB$40),UPPER(TEXT(EDATE($D105,Milestones!$AA$40),"dd mmm yy"))&amp;" "&amp;Milestones!$AB$40&amp;" "&amp;Milestones!$AC$40&amp;";  ","")&amp;IF(AND(EDATE($D105,Milestones!$AA$41)&lt;=AsOfDate,IF($R105=0,$X105,IF(AND($T105&lt;&gt;"",EDATE($D105,Milestones!$AA$41)&gt;=$T105),$W105,IF(AND($S105&lt;&gt;"",EDATE($D105,Milestones!$AA$41)&gt;=$S105),$V105,$U105)))=Milestones!$AB$41),UPPER(TEXT(EDATE($D105,Milestones!$AA$41),"dd mmm yy"))&amp;" "&amp;Milestones!$AB$41&amp;" "&amp;Milestones!$AC$41&amp;";  ","")&amp;IF(AND(EDATE($D105,Milestones!$AA$42)&lt;=AsOfDate,IF($R105=0,$X105,IF(AND($T105&lt;&gt;"",EDATE($D105,Milestones!$AA$42)&gt;=$T105),$W105,IF(AND($S105&lt;&gt;"",EDATE($D105,Milestones!$AA$42)&gt;=$S105),$V105,$U105)))=Milestones!$AB$42),UPPER(TEXT(EDATE($D105,Milestones!$AA$42),"dd mmm yy"))&amp;" "&amp;Milestones!$AB$42&amp;" "&amp;Milestones!$AC$42&amp;";  ","")&amp;IF(AND(EDATE($D105,Milestones!$AA$43)&lt;=AsOfDate,IF($R105=0,$X105,IF(AND($T105&lt;&gt;"",EDATE($D105,Milestones!$AA$43)&gt;=$T105),$W105,IF(AND($S105&lt;&gt;"",EDATE($D105,Milestones!$AA$43)&gt;=$S105),$V105,$U105)))=Milestones!$AB$43),UPPER(TEXT(EDATE($D105,Milestones!$AA$43),"dd mmm yy"))&amp;" "&amp;Milestones!$AB$43&amp;" "&amp;Milestones!$AC$43&amp;";  ","")&amp;IF(AND(EDATE($D105,Milestones!$AA$44)&lt;=AsOfDate,IF($R105=0,$X105,IF(AND($T105&lt;&gt;"",EDATE($D105,Milestones!$AA$44)&gt;=$T105),$W105,IF(AND($S105&lt;&gt;"",EDATE($D105,Milestones!$AA$44)&gt;=$S105),$V105,$U105)))=Milestones!$AB$44),UPPER(TEXT(EDATE($D105,Milestones!$AA$44),"dd mmm yy"))&amp;" "&amp;Milestones!$AB$44&amp;" "&amp;Milestones!$AC$44&amp;";  ","")&amp;IF(AND(EDATE($D105,Milestones!$AA$45)&lt;=AsOfDate,IF($R105=0,$X105,IF(AND($T105&lt;&gt;"",EDATE($D105,Milestones!$AA$45)&gt;=$T105),$W105,IF(AND($S105&lt;&gt;"",EDATE($D105,Milestones!$AA$45)&gt;=$S105),$V105,$U105)))=Milestones!$AB$45),UPPER(TEXT(EDATE($D105,Milestones!$AA$45),"dd mmm yy"))&amp;" "&amp;Milestones!$AB$45&amp;" "&amp;Milestones!$AC$45&amp;";  ","")&amp;IF(AND(EDATE($D105,Milestones!$AA$46)&lt;=AsOfDate,IF($R105=0,$X105,IF(AND($T105&lt;&gt;"",EDATE($D105,Milestones!$AA$46)&gt;=$T105),$W105,IF(AND($S105&lt;&gt;"",EDATE($D105,Milestones!$AA$46)&gt;=$S105),$V105,$U105)))=Milestones!$AB$46),UPPER(TEXT(EDATE($D105,Milestones!$AA$46),"dd mmm yy"))&amp;" "&amp;Milestones!$AB$46&amp;" "&amp;Milestones!$AC$46&amp;";  ","")&amp;IF(AND(EDATE($D105,Milestones!$AA$47)&lt;=AsOfDate,IF($R105=0,$X105,IF(AND($T105&lt;&gt;"",EDATE($D105,Milestones!$AA$47)&gt;=$T105),$W105,IF(AND($S105&lt;&gt;"",EDATE($D105,Milestones!$AA$47)&gt;=$S105),$V105,$U105)))=Milestones!$AB$47),UPPER(TEXT(EDATE($D105,Milestones!$AA$47),"dd mmm yy"))&amp;" "&amp;Milestones!$AB$47&amp;" "&amp;Milestones!$AC$47&amp;";  ","")&amp;IF(AND(EDATE($D105,Milestones!$AA$48)&lt;=AsOfDate,IF($R105=0,$X105,IF(AND($T105&lt;&gt;"",EDATE($D105,Milestones!$AA$48)&gt;=$T105),$W105,IF(AND($S105&lt;&gt;"",EDATE($D105,Milestones!$AA$48)&gt;=$S105),$V105,$U105)))=Milestones!$AB$48),UPPER(TEXT(EDATE($D105,Milestones!$AA$48),"dd mmm yy"))&amp;" "&amp;Milestones!$AB$48&amp;" "&amp;Milestones!$AC$48&amp;";  ","")&amp;IF(AND(EDATE($D105,Milestones!$AA$49)&lt;=AsOfDate,IF($R105=0,$X105,IF(AND($T105&lt;&gt;"",EDATE($D105,Milestones!$AA$49)&gt;=$T105),$W105,IF(AND($S105&lt;&gt;"",EDATE($D105,Milestones!$AA$49)&gt;=$S105),$V105,$U105)))=Milestones!$AB$49),UPPER(TEXT(EDATE($D105,Milestones!$AA$49),"dd mmm yy"))&amp;" "&amp;Milestones!$AB$49&amp;" "&amp;Milestones!$AC$49&amp;";  ","")&amp;IF(AND(EDATE($D105,Milestones!$AA$50)&lt;=AsOfDate,IF($R105=0,$X105,IF(AND($T105&lt;&gt;"",EDATE($D105,Milestones!$AA$50)&gt;=$T105),$W105,IF(AND($S105&lt;&gt;"",EDATE($D105,Milestones!$AA$50)&gt;=$S105),$V105,$U105)))=Milestones!$AB$50),UPPER(TEXT(EDATE($D105,Milestones!$AA$50),"dd mmm yy"))&amp;" "&amp;Milestones!$AB$50&amp;" "&amp;Milestones!$AC$50&amp;";  ","")&amp;IF(AND(EDATE($D105,Milestones!$AA$51)&lt;=AsOfDate,IF($R105=0,$X105,IF(AND($T105&lt;&gt;"",EDATE($D105,Milestones!$AA$51)&gt;=$T105),$W105,IF(AND($S105&lt;&gt;"",EDATE($D105,Milestones!$AA$51)&gt;=$S105),$V105,$U105)))=Milestones!$AB$51),UPPER(TEXT(EDATE($D105,Milestones!$AA$51),"dd mmm yy"))&amp;" "&amp;Milestones!$AB$51&amp;" "&amp;Milestones!$AC$51&amp;";  ","")&amp;IF(AND(EDATE($D105,Milestones!$AA$52)&lt;=AsOfDate,IF($R105=0,$X105,IF(AND($T105&lt;&gt;"",EDATE($D105,Milestones!$AA$52)&gt;=$T105),$W105,IF(AND($S105&lt;&gt;"",EDATE($D105,Milestones!$AA$52)&gt;=$S105),$V105,$U105)))=Milestones!$AB$52),UPPER(TEXT(EDATE($D105,Milestones!$AA$52),"dd mmm yy"))&amp;" "&amp;Milestones!$AB$52&amp;" "&amp;Milestones!$AC$52&amp;";  ","")&amp;IF(AND(EDATE($D105,Milestones!$AA$53)&lt;=AsOfDate,IF($R105=0,$X105,IF(AND($T105&lt;&gt;"",EDATE($D105,Milestones!$AA$53)&gt;=$T105),$W105,IF(AND($S105&lt;&gt;"",EDATE($D105,Milestones!$AA$53)&gt;=$S105),$V105,$U105)))=Milestones!$AB$53),UPPER(TEXT(EDATE($D105,Milestones!$AA$53),"dd mmm yy"))&amp;" "&amp;Milestones!$AB$53&amp;" "&amp;Milestones!$AC$53&amp;";  ","")&amp;IF(AND(EDATE($D105,Milestones!$AA$54)&lt;=AsOfDate,IF($R105=0,$X105,IF(AND($T105&lt;&gt;"",EDATE($D105,Milestones!$AA$54)&gt;=$T105),$W105,IF(AND($S105&lt;&gt;"",EDATE($D105,Milestones!$AA$54)&gt;=$S105),$V105,$U105)))=Milestones!$AB$54),UPPER(TEXT(EDATE($D105,Milestones!$AA$54),"dd mmm yy"))&amp;" "&amp;Milestones!$AB$54&amp;" "&amp;Milestones!$AC$54&amp;";  ","")&amp;IF(AND(EDATE($D105,Milestones!$AA$55)&lt;=AsOfDate,IF($R105=0,$X105,IF(AND($T105&lt;&gt;"",EDATE($D105,Milestones!$AA$55)&gt;=$T105),$W105,IF(AND($S105&lt;&gt;"",EDATE($D105,Milestones!$AA$55)&gt;=$S105),$V105,$U105)))=Milestones!$AB$55),UPPER(TEXT(EDATE($D105,Milestones!$AA$55),"dd mmm yy"))&amp;" "&amp;Milestones!$AB$55&amp;" "&amp;Milestones!$AC$55&amp;";  ","")&amp;IF(AND(EDATE($D105,Milestones!$AA$56)&lt;=AsOfDate,IF($R105=0,$X105,IF(AND($T105&lt;&gt;"",EDATE($D105,Milestones!$AA$56)&gt;=$T105),$W105,IF(AND($S105&lt;&gt;"",EDATE($D105,Milestones!$AA$56)&gt;=$S105),$V105,$U105)))=Milestones!$AB$56),UPPER(TEXT(EDATE($D105,Milestones!$AA$56),"dd mmm yy"))&amp;" "&amp;Milestones!$AB$56&amp;" "&amp;Milestones!$AC$56&amp;";  ","")&amp;IF(AND(EDATE($D105,Milestones!$AA$57)&lt;=AsOfDate,IF($R105=0,$X105,IF(AND($T105&lt;&gt;"",EDATE($D105,Milestones!$AA$57)&gt;=$T105),$W105,IF(AND($S105&lt;&gt;"",EDATE($D105,Milestones!$AA$57)&gt;=$S105),$V105,$U105)))=Milestones!$AB$57),UPPER(TEXT(EDATE($D105,Milestones!$AA$57),"dd mmm yy"))&amp;" "&amp;Milestones!$AB$57&amp;" "&amp;Milestones!$AC$57&amp;";  ","")&amp;IF(AND(EDATE($D105,Milestones!$AA$58)&lt;=AsOfDate,IF($R105=0,$X105,IF(AND($T105&lt;&gt;"",EDATE($D105,Milestones!$AA$58)&gt;=$T105),$W105,IF(AND($S105&lt;&gt;"",EDATE($D105,Milestones!$AA$58)&gt;=$S105),$V105,$U105)))=Milestones!$AB$58),UPPER(TEXT(EDATE($D105,Milestones!$AA$58),"dd mmm yy"))&amp;" "&amp;Milestones!$AB$58&amp;" "&amp;Milestones!$AC$58&amp;";  ","")&amp;IF(AND(EDATE($D105,Milestones!$AA$59)&lt;=AsOfDate,IF($R105=0,$X105,IF(AND($T105&lt;&gt;"",EDATE($D105,Milestones!$AA$59)&gt;=$T105),$W105,IF(AND($S105&lt;&gt;"",EDATE($D105,Milestones!$AA$59)&gt;=$S105),$V105,$U105)))=Milestones!$AB$59),UPPER(TEXT(EDATE($D105,Milestones!$AA$59),"dd mmm yy"))&amp;" "&amp;Milestones!$AB$59&amp;" "&amp;Milestones!$AC$59&amp;";  ",""))</f>
        <v/>
      </c>
      <c r="K105" s="0" t="str">
        <f aca="false">IF(OR($A105="",$D105=""),"",IF(AND(EDATE($D105,Milestones!$AA$60)&lt;=AsOfDate,IF($R105=0,$X105,IF(AND($T105&lt;&gt;"",EDATE($D105,Milestones!$AA$60)&gt;=$T105),$W105,IF(AND($S105&lt;&gt;"",EDATE($D105,Milestones!$AA$60)&gt;=$S105),$V105,$U105)))=Milestones!$AB$60),UPPER(TEXT(EDATE($D105,Milestones!$AA$60),"dd mmm yy"))&amp;" "&amp;Milestones!$AB$60&amp;" "&amp;Milestones!$AC$60&amp;";  ","")&amp;IF(AND(EDATE($D105,Milestones!$AA$61)&lt;=AsOfDate,IF($R105=0,$X105,IF(AND($T105&lt;&gt;"",EDATE($D105,Milestones!$AA$61)&gt;=$T105),$W105,IF(AND($S105&lt;&gt;"",EDATE($D105,Milestones!$AA$61)&gt;=$S105),$V105,$U105)))=Milestones!$AB$61),UPPER(TEXT(EDATE($D105,Milestones!$AA$61),"dd mmm yy"))&amp;" "&amp;Milestones!$AB$61&amp;" "&amp;Milestones!$AC$61&amp;";  ","")&amp;IF(AND(EDATE($D105,Milestones!$AA$62)&lt;=AsOfDate,IF($R105=0,$X105,IF(AND($T105&lt;&gt;"",EDATE($D105,Milestones!$AA$62)&gt;=$T105),$W105,IF(AND($S105&lt;&gt;"",EDATE($D105,Milestones!$AA$62)&gt;=$S105),$V105,$U105)))=Milestones!$AB$62),UPPER(TEXT(EDATE($D105,Milestones!$AA$62),"dd mmm yy"))&amp;" "&amp;Milestones!$AB$62&amp;" "&amp;Milestones!$AC$62&amp;";  ","")&amp;IF(AND(EDATE($D105,Milestones!$AA$63)&lt;=AsOfDate,IF($R105=0,$X105,IF(AND($T105&lt;&gt;"",EDATE($D105,Milestones!$AA$63)&gt;=$T105),$W105,IF(AND($S105&lt;&gt;"",EDATE($D105,Milestones!$AA$63)&gt;=$S105),$V105,$U105)))=Milestones!$AB$63),UPPER(TEXT(EDATE($D105,Milestones!$AA$63),"dd mmm yy"))&amp;" "&amp;Milestones!$AB$63&amp;" "&amp;Milestones!$AC$63&amp;";  ","")&amp;IF(AND(EDATE($D105,Milestones!$AA$64)&lt;=AsOfDate,IF($R105=0,$X105,IF(AND($T105&lt;&gt;"",EDATE($D105,Milestones!$AA$64)&gt;=$T105),$W105,IF(AND($S105&lt;&gt;"",EDATE($D105,Milestones!$AA$64)&gt;=$S105),$V105,$U105)))=Milestones!$AB$64),UPPER(TEXT(EDATE($D105,Milestones!$AA$64),"dd mmm yy"))&amp;" "&amp;Milestones!$AB$64&amp;" "&amp;Milestones!$AC$64&amp;";  ","")&amp;IF(AND(EDATE($D105,Milestones!$AA$65)&lt;=AsOfDate,IF($R105=0,$X105,IF(AND($T105&lt;&gt;"",EDATE($D105,Milestones!$AA$65)&gt;=$T105),$W105,IF(AND($S105&lt;&gt;"",EDATE($D105,Milestones!$AA$65)&gt;=$S105),$V105,$U105)))=Milestones!$AB$65),UPPER(TEXT(EDATE($D105,Milestones!$AA$65),"dd mmm yy"))&amp;" "&amp;Milestones!$AB$65&amp;" "&amp;Milestones!$AC$65&amp;";  ","")&amp;IF(AND(EDATE($D105,Milestones!$AA$66)&lt;=AsOfDate,IF($R105=0,$X105,IF(AND($T105&lt;&gt;"",EDATE($D105,Milestones!$AA$66)&gt;=$T105),$W105,IF(AND($S105&lt;&gt;"",EDATE($D105,Milestones!$AA$66)&gt;=$S105),$V105,$U105)))=Milestones!$AB$66),UPPER(TEXT(EDATE($D105,Milestones!$AA$66),"dd mmm yy"))&amp;" "&amp;Milestones!$AB$66&amp;" "&amp;Milestones!$AC$66&amp;";  ","")&amp;IF(AND(EDATE($D105,Milestones!$AA$67)&lt;=AsOfDate,IF($R105=0,$X105,IF(AND($T105&lt;&gt;"",EDATE($D105,Milestones!$AA$67)&gt;=$T105),$W105,IF(AND($S105&lt;&gt;"",EDATE($D105,Milestones!$AA$67)&gt;=$S105),$V105,$U105)))=Milestones!$AB$67),UPPER(TEXT(EDATE($D105,Milestones!$AA$67),"dd mmm yy"))&amp;" "&amp;Milestones!$AB$67&amp;" "&amp;Milestones!$AC$67&amp;";  ","")&amp;IF(AND(EDATE($D105,Milestones!$AA$68)&lt;=AsOfDate,IF($R105=0,$X105,IF(AND($T105&lt;&gt;"",EDATE($D105,Milestones!$AA$68)&gt;=$T105),$W105,IF(AND($S105&lt;&gt;"",EDATE($D105,Milestones!$AA$68)&gt;=$S105),$V105,$U105)))=Milestones!$AB$68),UPPER(TEXT(EDATE($D105,Milestones!$AA$68),"dd mmm yy"))&amp;" "&amp;Milestones!$AB$68&amp;" "&amp;Milestones!$AC$68&amp;";  ","")&amp;IF(AND(EDATE($D105,Milestones!$AA$69)&lt;=AsOfDate,IF($R105=0,$X105,IF(AND($T105&lt;&gt;"",EDATE($D105,Milestones!$AA$69)&gt;=$T105),$W105,IF(AND($S105&lt;&gt;"",EDATE($D105,Milestones!$AA$69)&gt;=$S105),$V105,$U105)))=Milestones!$AB$69),UPPER(TEXT(EDATE($D105,Milestones!$AA$69),"dd mmm yy"))&amp;" "&amp;Milestones!$AB$69&amp;" "&amp;Milestones!$AC$69&amp;";  ","")&amp;IF(AND(EDATE($D105,Milestones!$AA$70)&lt;=AsOfDate,IF($R105=0,$X105,IF(AND($T105&lt;&gt;"",EDATE($D105,Milestones!$AA$70)&gt;=$T105),$W105,IF(AND($S105&lt;&gt;"",EDATE($D105,Milestones!$AA$70)&gt;=$S105),$V105,$U105)))=Milestones!$AB$70),UPPER(TEXT(EDATE($D105,Milestones!$AA$70),"dd mmm yy"))&amp;" "&amp;Milestones!$AB$70&amp;" "&amp;Milestones!$AC$70&amp;";  ","")&amp;IF(AND(EDATE($D105,Milestones!$AA$71)&lt;=AsOfDate,IF($R105=0,$X105,IF(AND($T105&lt;&gt;"",EDATE($D105,Milestones!$AA$71)&gt;=$T105),$W105,IF(AND($S105&lt;&gt;"",EDATE($D105,Milestones!$AA$71)&gt;=$S105),$V105,$U105)))=Milestones!$AB$71),UPPER(TEXT(EDATE($D105,Milestones!$AA$71),"dd mmm yy"))&amp;" "&amp;Milestones!$AB$71&amp;" "&amp;Milestones!$AC$71&amp;";  ","")&amp;IF(AND(EDATE($D105,Milestones!$AA$72)&lt;=AsOfDate,IF($R105=0,$X105,IF(AND($T105&lt;&gt;"",EDATE($D105,Milestones!$AA$72)&gt;=$T105),$W105,IF(AND($S105&lt;&gt;"",EDATE($D105,Milestones!$AA$72)&gt;=$S105),$V105,$U105)))=Milestones!$AB$72),UPPER(TEXT(EDATE($D105,Milestones!$AA$72),"dd mmm yy"))&amp;" "&amp;Milestones!$AB$72&amp;" "&amp;Milestones!$AC$72&amp;";  ","")&amp;IF(AND(EDATE($D105,Milestones!$AA$73)&lt;=AsOfDate,IF($R105=0,$X105,IF(AND($T105&lt;&gt;"",EDATE($D105,Milestones!$AA$73)&gt;=$T105),$W105,IF(AND($S105&lt;&gt;"",EDATE($D105,Milestones!$AA$73)&gt;=$S105),$V105,$U105)))=Milestones!$AB$73),UPPER(TEXT(EDATE($D105,Milestones!$AA$73),"dd mmm yy"))&amp;" "&amp;Milestones!$AB$73&amp;" "&amp;Milestones!$AC$73&amp;";  ","")&amp;IF(AND(EDATE($D105,Milestones!$AA$74)&lt;=AsOfDate,IF($R105=0,$X105,IF(AND($T105&lt;&gt;"",EDATE($D105,Milestones!$AA$74)&gt;=$T105),$W105,IF(AND($S105&lt;&gt;"",EDATE($D105,Milestones!$AA$74)&gt;=$S105),$V105,$U105)))=Milestones!$AB$74),UPPER(TEXT(EDATE($D105,Milestones!$AA$74),"dd mmm yy"))&amp;" "&amp;Milestones!$AB$74&amp;" "&amp;Milestones!$AC$74&amp;";  ","")&amp;IF(AND(EDATE($D105,Milestones!$AA$75)&lt;=AsOfDate,IF($R105=0,$X105,IF(AND($T105&lt;&gt;"",EDATE($D105,Milestones!$AA$75)&gt;=$T105),$W105,IF(AND($S105&lt;&gt;"",EDATE($D105,Milestones!$AA$75)&gt;=$S105),$V105,$U105)))=Milestones!$AB$75),UPPER(TEXT(EDATE($D105,Milestones!$AA$75),"dd mmm yy"))&amp;" "&amp;Milestones!$AB$75&amp;" "&amp;Milestones!$AC$75&amp;";  ","")&amp;IF(AND(EDATE($D105,Milestones!$AA$76)&lt;=AsOfDate,IF($R105=0,$X105,IF(AND($T105&lt;&gt;"",EDATE($D105,Milestones!$AA$76)&gt;=$T105),$W105,IF(AND($S105&lt;&gt;"",EDATE($D105,Milestones!$AA$76)&gt;=$S105),$V105,$U105)))=Milestones!$AB$76),UPPER(TEXT(EDATE($D105,Milestones!$AA$76),"dd mmm yy"))&amp;" "&amp;Milestones!$AB$76&amp;" "&amp;Milestones!$AC$76&amp;";  ","")&amp;IF(AND(EDATE($D105,Milestones!$AA$77)&lt;=AsOfDate,IF($R105=0,$X105,IF(AND($T105&lt;&gt;"",EDATE($D105,Milestones!$AA$77)&gt;=$T105),$W105,IF(AND($S105&lt;&gt;"",EDATE($D105,Milestones!$AA$77)&gt;=$S105),$V105,$U105)))=Milestones!$AB$77),UPPER(TEXT(EDATE($D105,Milestones!$AA$77),"dd mmm yy"))&amp;" "&amp;Milestones!$AB$77&amp;" "&amp;Milestones!$AC$77&amp;";  ","")&amp;IF(AND(EDATE($D105,Milestones!$AA$78)&lt;=AsOfDate,IF($R105=0,$X105,IF(AND($T105&lt;&gt;"",EDATE($D105,Milestones!$AA$78)&gt;=$T105),$W105,IF(AND($S105&lt;&gt;"",EDATE($D105,Milestones!$AA$78)&gt;=$S105),$V105,$U105)))=Milestones!$AB$78),UPPER(TEXT(EDATE($D105,Milestones!$AA$78),"dd mmm yy"))&amp;" "&amp;Milestones!$AB$78&amp;" "&amp;Milestones!$AC$78&amp;";  ","")&amp;IF(AND(EDATE($D105,Milestones!$AA$79)&lt;=AsOfDate,IF($R105=0,$X105,IF(AND($T105&lt;&gt;"",EDATE($D105,Milestones!$AA$79)&gt;=$T105),$W105,IF(AND($S105&lt;&gt;"",EDATE($D105,Milestones!$AA$79)&gt;=$S105),$V105,$U105)))=Milestones!$AB$79),UPPER(TEXT(EDATE($D105,Milestones!$AA$79),"dd mmm yy"))&amp;" "&amp;Milestones!$AB$79&amp;" "&amp;Milestones!$AC$79&amp;";  ",""))</f>
        <v/>
      </c>
      <c r="L105" s="0" t="str">
        <f aca="false">IF(OR($A105="",$D105=""),"",IF(AND(EDATE($D105,Milestones!$AA$80)&lt;=AsOfDate,IF($R105=0,$X105,IF(AND($T105&lt;&gt;"",EDATE($D105,Milestones!$AA$80)&gt;=$T105),$W105,IF(AND($S105&lt;&gt;"",EDATE($D105,Milestones!$AA$80)&gt;=$S105),$V105,$U105)))=Milestones!$AB$80),UPPER(TEXT(EDATE($D105,Milestones!$AA$80),"dd mmm yy"))&amp;" "&amp;Milestones!$AB$80&amp;" "&amp;Milestones!$AC$80&amp;";  ","")&amp;IF(AND(EDATE($D105,Milestones!$AA$81)&lt;=AsOfDate,IF($R105=0,$X105,IF(AND($T105&lt;&gt;"",EDATE($D105,Milestones!$AA$81)&gt;=$T105),$W105,IF(AND($S105&lt;&gt;"",EDATE($D105,Milestones!$AA$81)&gt;=$S105),$V105,$U105)))=Milestones!$AB$81),UPPER(TEXT(EDATE($D105,Milestones!$AA$81),"dd mmm yy"))&amp;" "&amp;Milestones!$AB$81&amp;" "&amp;Milestones!$AC$81&amp;";  ","")&amp;IF(AND(EDATE($D105,Milestones!$AA$82)&lt;=AsOfDate,IF($R105=0,$X105,IF(AND($T105&lt;&gt;"",EDATE($D105,Milestones!$AA$82)&gt;=$T105),$W105,IF(AND($S105&lt;&gt;"",EDATE($D105,Milestones!$AA$82)&gt;=$S105),$V105,$U105)))=Milestones!$AB$82),UPPER(TEXT(EDATE($D105,Milestones!$AA$82),"dd mmm yy"))&amp;" "&amp;Milestones!$AB$82&amp;" "&amp;Milestones!$AC$82&amp;";  ","")&amp;IF(AND(EDATE($D105,Milestones!$AA$83)&lt;=AsOfDate,IF($R105=0,$X105,IF(AND($T105&lt;&gt;"",EDATE($D105,Milestones!$AA$83)&gt;=$T105),$W105,IF(AND($S105&lt;&gt;"",EDATE($D105,Milestones!$AA$83)&gt;=$S105),$V105,$U105)))=Milestones!$AB$83),UPPER(TEXT(EDATE($D105,Milestones!$AA$83),"dd mmm yy"))&amp;" "&amp;Milestones!$AB$83&amp;" "&amp;Milestones!$AC$83&amp;";  ","")&amp;IF(AND(EDATE($D105,Milestones!$AA$84)&lt;=AsOfDate,IF($R105=0,$X105,IF(AND($T105&lt;&gt;"",EDATE($D105,Milestones!$AA$84)&gt;=$T105),$W105,IF(AND($S105&lt;&gt;"",EDATE($D105,Milestones!$AA$84)&gt;=$S105),$V105,$U105)))=Milestones!$AB$84),UPPER(TEXT(EDATE($D105,Milestones!$AA$84),"dd mmm yy"))&amp;" "&amp;Milestones!$AB$84&amp;" "&amp;Milestones!$AC$84&amp;";  ","")&amp;IF(AND(EDATE($D105,Milestones!$AA$85)&lt;=AsOfDate,IF($R105=0,$X105,IF(AND($T105&lt;&gt;"",EDATE($D105,Milestones!$AA$85)&gt;=$T105),$W105,IF(AND($S105&lt;&gt;"",EDATE($D105,Milestones!$AA$85)&gt;=$S105),$V105,$U105)))=Milestones!$AB$85),UPPER(TEXT(EDATE($D105,Milestones!$AA$85),"dd mmm yy"))&amp;" "&amp;Milestones!$AB$85&amp;" "&amp;Milestones!$AC$85&amp;";  ","")&amp;IF(AND(EDATE($D105,Milestones!$AA$86)&lt;=AsOfDate,IF($R105=0,$X105,IF(AND($T105&lt;&gt;"",EDATE($D105,Milestones!$AA$86)&gt;=$T105),$W105,IF(AND($S105&lt;&gt;"",EDATE($D105,Milestones!$AA$86)&gt;=$S105),$V105,$U105)))=Milestones!$AB$86),UPPER(TEXT(EDATE($D105,Milestones!$AA$86),"dd mmm yy"))&amp;" "&amp;Milestones!$AB$86&amp;" "&amp;Milestones!$AC$86&amp;";  ","")&amp;IF(AND(EDATE($D105,Milestones!$AA$87)&lt;=AsOfDate,IF($R105=0,$X105,IF(AND($T105&lt;&gt;"",EDATE($D105,Milestones!$AA$87)&gt;=$T105),$W105,IF(AND($S105&lt;&gt;"",EDATE($D105,Milestones!$AA$87)&gt;=$S105),$V105,$U105)))=Milestones!$AB$87),UPPER(TEXT(EDATE($D105,Milestones!$AA$87),"dd mmm yy"))&amp;" "&amp;Milestones!$AB$87&amp;" "&amp;Milestones!$AC$87&amp;";  ","")&amp;IF(AND(EDATE($D105,Milestones!$AA$88)&lt;=AsOfDate,IF($R105=0,$X105,IF(AND($T105&lt;&gt;"",EDATE($D105,Milestones!$AA$88)&gt;=$T105),$W105,IF(AND($S105&lt;&gt;"",EDATE($D105,Milestones!$AA$88)&gt;=$S105),$V105,$U105)))=Milestones!$AB$88),UPPER(TEXT(EDATE($D105,Milestones!$AA$88),"dd mmm yy"))&amp;" "&amp;Milestones!$AB$88&amp;" "&amp;Milestones!$AC$88&amp;";  ","")&amp;IF(AND(EDATE($D105,Milestones!$AA$89)&lt;=AsOfDate,IF($R105=0,$X105,IF(AND($T105&lt;&gt;"",EDATE($D105,Milestones!$AA$89)&gt;=$T105),$W105,IF(AND($S105&lt;&gt;"",EDATE($D105,Milestones!$AA$89)&gt;=$S105),$V105,$U105)))=Milestones!$AB$89),UPPER(TEXT(EDATE($D105,Milestones!$AA$89),"dd mmm yy"))&amp;" "&amp;Milestones!$AB$89&amp;" "&amp;Milestones!$AC$89&amp;";  ","")&amp;IF(AND(EDATE($D105,Milestones!$AA$90)&lt;=AsOfDate,IF($R105=0,$X105,IF(AND($T105&lt;&gt;"",EDATE($D105,Milestones!$AA$90)&gt;=$T105),$W105,IF(AND($S105&lt;&gt;"",EDATE($D105,Milestones!$AA$90)&gt;=$S105),$V105,$U105)))=Milestones!$AB$90),UPPER(TEXT(EDATE($D105,Milestones!$AA$90),"dd mmm yy"))&amp;" "&amp;Milestones!$AB$90&amp;" "&amp;Milestones!$AC$90&amp;";  ","")&amp;IF(AND(EDATE($D105,Milestones!$AA$91)&lt;=AsOfDate,IF($R105=0,$X105,IF(AND($T105&lt;&gt;"",EDATE($D105,Milestones!$AA$91)&gt;=$T105),$W105,IF(AND($S105&lt;&gt;"",EDATE($D105,Milestones!$AA$91)&gt;=$S105),$V105,$U105)))=Milestones!$AB$91),UPPER(TEXT(EDATE($D105,Milestones!$AA$91),"dd mmm yy"))&amp;" "&amp;Milestones!$AB$91&amp;" "&amp;Milestones!$AC$91&amp;";  ","")&amp;IF(AND(EDATE($D105,Milestones!$AA$92)&lt;=AsOfDate,IF($R105=0,$X105,IF(AND($T105&lt;&gt;"",EDATE($D105,Milestones!$AA$92)&gt;=$T105),$W105,IF(AND($S105&lt;&gt;"",EDATE($D105,Milestones!$AA$92)&gt;=$S105),$V105,$U105)))=Milestones!$AB$92),UPPER(TEXT(EDATE($D105,Milestones!$AA$92),"dd mmm yy"))&amp;" "&amp;Milestones!$AB$92&amp;" "&amp;Milestones!$AC$92&amp;";  ","")&amp;IF(AND(EDATE($D105,Milestones!$AA$93)&lt;=AsOfDate,IF($R105=0,$X105,IF(AND($T105&lt;&gt;"",EDATE($D105,Milestones!$AA$93)&gt;=$T105),$W105,IF(AND($S105&lt;&gt;"",EDATE($D105,Milestones!$AA$93)&gt;=$S105),$V105,$U105)))=Milestones!$AB$93),UPPER(TEXT(EDATE($D105,Milestones!$AA$93),"dd mmm yy"))&amp;" "&amp;Milestones!$AB$93&amp;" "&amp;Milestones!$AC$93&amp;";  ","")&amp;IF(AND(EDATE($D105,Milestones!$AA$94)&lt;=AsOfDate,IF($R105=0,$X105,IF(AND($T105&lt;&gt;"",EDATE($D105,Milestones!$AA$94)&gt;=$T105),$W105,IF(AND($S105&lt;&gt;"",EDATE($D105,Milestones!$AA$94)&gt;=$S105),$V105,$U105)))=Milestones!$AB$94),UPPER(TEXT(EDATE($D105,Milestones!$AA$94),"dd mmm yy"))&amp;" "&amp;Milestones!$AB$94&amp;" "&amp;Milestones!$AC$94&amp;";  ","")&amp;IF(AND(EDATE($D105,Milestones!$AA$95)&lt;=AsOfDate,IF($R105=0,$X105,IF(AND($T105&lt;&gt;"",EDATE($D105,Milestones!$AA$95)&gt;=$T105),$W105,IF(AND($S105&lt;&gt;"",EDATE($D105,Milestones!$AA$95)&gt;=$S105),$V105,$U105)))=Milestones!$AB$95),UPPER(TEXT(EDATE($D105,Milestones!$AA$95),"dd mmm yy"))&amp;" "&amp;Milestones!$AB$95&amp;" "&amp;Milestones!$AC$95&amp;";  ","")&amp;IF(AND(EDATE($D105,Milestones!$AA$96)&lt;=AsOfDate,IF($R105=0,$X105,IF(AND($T105&lt;&gt;"",EDATE($D105,Milestones!$AA$96)&gt;=$T105),$W105,IF(AND($S105&lt;&gt;"",EDATE($D105,Milestones!$AA$96)&gt;=$S105),$V105,$U105)))=Milestones!$AB$96),UPPER(TEXT(EDATE($D105,Milestones!$AA$96),"dd mmm yy"))&amp;" "&amp;Milestones!$AB$96&amp;" "&amp;Milestones!$AC$96&amp;";  ","")&amp;IF(AND(EDATE($D105,Milestones!$AA$97)&lt;=AsOfDate,IF($R105=0,$X105,IF(AND($T105&lt;&gt;"",EDATE($D105,Milestones!$AA$97)&gt;=$T105),$W105,IF(AND($S105&lt;&gt;"",EDATE($D105,Milestones!$AA$97)&gt;=$S105),$V105,$U105)))=Milestones!$AB$97),UPPER(TEXT(EDATE($D105,Milestones!$AA$97),"dd mmm yy"))&amp;" "&amp;Milestones!$AB$97&amp;" "&amp;Milestones!$AC$97&amp;";  ","")&amp;IF(AND(EDATE($D105,Milestones!$AA$98)&lt;=AsOfDate,IF($R105=0,$X105,IF(AND($T105&lt;&gt;"",EDATE($D105,Milestones!$AA$98)&gt;=$T105),$W105,IF(AND($S105&lt;&gt;"",EDATE($D105,Milestones!$AA$98)&gt;=$S105),$V105,$U105)))=Milestones!$AB$98),UPPER(TEXT(EDATE($D105,Milestones!$AA$98),"dd mmm yy"))&amp;" "&amp;Milestones!$AB$98&amp;" "&amp;Milestones!$AC$98&amp;";  ","")&amp;IF(AND(EDATE($D105,Milestones!$AA$99)&lt;=AsOfDate,IF($R105=0,$X105,IF(AND($T105&lt;&gt;"",EDATE($D105,Milestones!$AA$99)&gt;=$T105),$W105,IF(AND($S105&lt;&gt;"",EDATE($D105,Milestones!$AA$99)&gt;=$S105),$V105,$U105)))=Milestones!$AB$99),UPPER(TEXT(EDATE($D105,Milestones!$AA$99),"dd mmm yy"))&amp;" "&amp;Milestones!$AB$99&amp;" "&amp;Milestones!$AC$99&amp;";  ",""))</f>
        <v/>
      </c>
      <c r="M105" s="0" t="str">
        <f aca="false">IF(OR($A105="",$D105=""),"",IF(AND(EDATE($D105,Milestones!$AA$100)&lt;=AsOfDate,IF($R105=0,$X105,IF(AND($T105&lt;&gt;"",EDATE($D105,Milestones!$AA$100)&gt;=$T105),$W105,IF(AND($S105&lt;&gt;"",EDATE($D105,Milestones!$AA$100)&gt;=$S105),$V105,$U105)))=Milestones!$AB$100),UPPER(TEXT(EDATE($D105,Milestones!$AA$100),"dd mmm yy"))&amp;" "&amp;Milestones!$AB$100&amp;" "&amp;Milestones!$AC$100&amp;";  ","")&amp;IF(AND(EDATE($D105,Milestones!$AA$101)&lt;=AsOfDate,IF($R105=0,$X105,IF(AND($T105&lt;&gt;"",EDATE($D105,Milestones!$AA$101)&gt;=$T105),$W105,IF(AND($S105&lt;&gt;"",EDATE($D105,Milestones!$AA$101)&gt;=$S105),$V105,$U105)))=Milestones!$AB$101),UPPER(TEXT(EDATE($D105,Milestones!$AA$101),"dd mmm yy"))&amp;" "&amp;Milestones!$AB$101&amp;" "&amp;Milestones!$AC$101&amp;";  ","")&amp;IF(AND(EDATE($D105,Milestones!$AA$102)&lt;=AsOfDate,IF($R105=0,$X105,IF(AND($T105&lt;&gt;"",EDATE($D105,Milestones!$AA$102)&gt;=$T105),$W105,IF(AND($S105&lt;&gt;"",EDATE($D105,Milestones!$AA$102)&gt;=$S105),$V105,$U105)))=Milestones!$AB$102),UPPER(TEXT(EDATE($D105,Milestones!$AA$102),"dd mmm yy"))&amp;" "&amp;Milestones!$AB$102&amp;" "&amp;Milestones!$AC$102&amp;";  ","")&amp;IF(AND(EDATE($D105,Milestones!$AA$103)&lt;=AsOfDate,IF($R105=0,$X105,IF(AND($T105&lt;&gt;"",EDATE($D105,Milestones!$AA$103)&gt;=$T105),$W105,IF(AND($S105&lt;&gt;"",EDATE($D105,Milestones!$AA$103)&gt;=$S105),$V105,$U105)))=Milestones!$AB$103),UPPER(TEXT(EDATE($D105,Milestones!$AA$103),"dd mmm yy"))&amp;" "&amp;Milestones!$AB$103&amp;" "&amp;Milestones!$AC$103&amp;";  ","")&amp;IF(AND(EDATE($D105,Milestones!$AA$104)&lt;=AsOfDate,IF($R105=0,$X105,IF(AND($T105&lt;&gt;"",EDATE($D105,Milestones!$AA$104)&gt;=$T105),$W105,IF(AND($S105&lt;&gt;"",EDATE($D105,Milestones!$AA$104)&gt;=$S105),$V105,$U105)))=Milestones!$AB$104),UPPER(TEXT(EDATE($D105,Milestones!$AA$104),"dd mmm yy"))&amp;" "&amp;Milestones!$AB$104&amp;" "&amp;Milestones!$AC$104&amp;";  ","")&amp;IF(AND(EDATE($D105,Milestones!$AA$105)&lt;=AsOfDate,IF($R105=0,$X105,IF(AND($T105&lt;&gt;"",EDATE($D105,Milestones!$AA$105)&gt;=$T105),$W105,IF(AND($S105&lt;&gt;"",EDATE($D105,Milestones!$AA$105)&gt;=$S105),$V105,$U105)))=Milestones!$AB$105),UPPER(TEXT(EDATE($D105,Milestones!$AA$105),"dd mmm yy"))&amp;" "&amp;Milestones!$AB$105&amp;" "&amp;Milestones!$AC$105&amp;";  ","")&amp;IF(AND(EDATE($D105,Milestones!$AA$106)&lt;=AsOfDate,IF($R105=0,$X105,IF(AND($T105&lt;&gt;"",EDATE($D105,Milestones!$AA$106)&gt;=$T105),$W105,IF(AND($S105&lt;&gt;"",EDATE($D105,Milestones!$AA$106)&gt;=$S105),$V105,$U105)))=Milestones!$AB$106),UPPER(TEXT(EDATE($D105,Milestones!$AA$106),"dd mmm yy"))&amp;" "&amp;Milestones!$AB$106&amp;" "&amp;Milestones!$AC$106&amp;";  ","")&amp;IF(AND(EDATE($D105,Milestones!$AA$107)&lt;=AsOfDate,IF($R105=0,$X105,IF(AND($T105&lt;&gt;"",EDATE($D105,Milestones!$AA$107)&gt;=$T105),$W105,IF(AND($S105&lt;&gt;"",EDATE($D105,Milestones!$AA$107)&gt;=$S105),$V105,$U105)))=Milestones!$AB$107),UPPER(TEXT(EDATE($D105,Milestones!$AA$107),"dd mmm yy"))&amp;" "&amp;Milestones!$AB$107&amp;" "&amp;Milestones!$AC$107&amp;";  ","")&amp;IF(AND(EDATE($D105,Milestones!$AA$108)&lt;=AsOfDate,IF($R105=0,$X105,IF(AND($T105&lt;&gt;"",EDATE($D105,Milestones!$AA$108)&gt;=$T105),$W105,IF(AND($S105&lt;&gt;"",EDATE($D105,Milestones!$AA$108)&gt;=$S105),$V105,$U105)))=Milestones!$AB$108),UPPER(TEXT(EDATE($D105,Milestones!$AA$108),"dd mmm yy"))&amp;" "&amp;Milestones!$AB$108&amp;" "&amp;Milestones!$AC$108&amp;";  ","")&amp;IF(AND(EDATE($D105,Milestones!$AA$109)&lt;=AsOfDate,IF($R105=0,$X105,IF(AND($T105&lt;&gt;"",EDATE($D105,Milestones!$AA$109)&gt;=$T105),$W105,IF(AND($S105&lt;&gt;"",EDATE($D105,Milestones!$AA$109)&gt;=$S105),$V105,$U105)))=Milestones!$AB$109),UPPER(TEXT(EDATE($D105,Milestones!$AA$109),"dd mmm yy"))&amp;" "&amp;Milestones!$AB$109&amp;" "&amp;Milestones!$AC$109&amp;";  ","")&amp;IF(AND(EDATE($D105,Milestones!$AA$110)&lt;=AsOfDate,IF($R105=0,$X105,IF(AND($T105&lt;&gt;"",EDATE($D105,Milestones!$AA$110)&gt;=$T105),$W105,IF(AND($S105&lt;&gt;"",EDATE($D105,Milestones!$AA$110)&gt;=$S105),$V105,$U105)))=Milestones!$AB$110),UPPER(TEXT(EDATE($D105,Milestones!$AA$110),"dd mmm yy"))&amp;" "&amp;Milestones!$AB$110&amp;" "&amp;Milestones!$AC$110&amp;";  ","")&amp;IF(AND(EDATE($D105,Milestones!$AA$111)&lt;=AsOfDate,IF($R105=0,$X105,IF(AND($T105&lt;&gt;"",EDATE($D105,Milestones!$AA$111)&gt;=$T105),$W105,IF(AND($S105&lt;&gt;"",EDATE($D105,Milestones!$AA$111)&gt;=$S105),$V105,$U105)))=Milestones!$AB$111),UPPER(TEXT(EDATE($D105,Milestones!$AA$111),"dd mmm yy"))&amp;" "&amp;Milestones!$AB$111&amp;" "&amp;Milestones!$AC$111&amp;";  ","")&amp;IF(AND(EDATE($D105,Milestones!$AA$112)&lt;=AsOfDate,IF($R105=0,$X105,IF(AND($T105&lt;&gt;"",EDATE($D105,Milestones!$AA$112)&gt;=$T105),$W105,IF(AND($S105&lt;&gt;"",EDATE($D105,Milestones!$AA$112)&gt;=$S105),$V105,$U105)))=Milestones!$AB$112),UPPER(TEXT(EDATE($D105,Milestones!$AA$112),"dd mmm yy"))&amp;" "&amp;Milestones!$AB$112&amp;" "&amp;Milestones!$AC$112&amp;";  ","")&amp;IF(AND(EDATE($D105,Milestones!$AA$113)&lt;=AsOfDate,IF($R105=0,$X105,IF(AND($T105&lt;&gt;"",EDATE($D105,Milestones!$AA$113)&gt;=$T105),$W105,IF(AND($S105&lt;&gt;"",EDATE($D105,Milestones!$AA$113)&gt;=$S105),$V105,$U105)))=Milestones!$AB$113),UPPER(TEXT(EDATE($D105,Milestones!$AA$113),"dd mmm yy"))&amp;" "&amp;Milestones!$AB$113&amp;" "&amp;Milestones!$AC$113&amp;";  ","")&amp;IF(AND(EDATE($D105,Milestones!$AA$114)&lt;=AsOfDate,IF($R105=0,$X105,IF(AND($T105&lt;&gt;"",EDATE($D105,Milestones!$AA$114)&gt;=$T105),$W105,IF(AND($S105&lt;&gt;"",EDATE($D105,Milestones!$AA$114)&gt;=$S105),$V105,$U105)))=Milestones!$AB$114),UPPER(TEXT(EDATE($D105,Milestones!$AA$114),"dd mmm yy"))&amp;" "&amp;Milestones!$AB$114&amp;" "&amp;Milestones!$AC$114&amp;";  ","")&amp;IF(AND(EDATE($D105,Milestones!$AA$115)&lt;=AsOfDate,IF($R105=0,$X105,IF(AND($T105&lt;&gt;"",EDATE($D105,Milestones!$AA$115)&gt;=$T105),$W105,IF(AND($S105&lt;&gt;"",EDATE($D105,Milestones!$AA$115)&gt;=$S105),$V105,$U105)))=Milestones!$AB$115),UPPER(TEXT(EDATE($D105,Milestones!$AA$115),"dd mmm yy"))&amp;" "&amp;Milestones!$AB$115&amp;" "&amp;Milestones!$AC$115&amp;";  ","")&amp;IF(AND(EDATE($D105,Milestones!$AA$116)&lt;=AsOfDate,IF($R105=0,$X105,IF(AND($T105&lt;&gt;"",EDATE($D105,Milestones!$AA$116)&gt;=$T105),$W105,IF(AND($S105&lt;&gt;"",EDATE($D105,Milestones!$AA$116)&gt;=$S105),$V105,$U105)))=Milestones!$AB$116),UPPER(TEXT(EDATE($D105,Milestones!$AA$116),"dd mmm yy"))&amp;" "&amp;Milestones!$AB$116&amp;" "&amp;Milestones!$AC$116&amp;";  ","")&amp;IF(AND(EDATE($D105,Milestones!$AA$117)&lt;=AsOfDate,IF($R105=0,$X105,IF(AND($T105&lt;&gt;"",EDATE($D105,Milestones!$AA$117)&gt;=$T105),$W105,IF(AND($S105&lt;&gt;"",EDATE($D105,Milestones!$AA$117)&gt;=$S105),$V105,$U105)))=Milestones!$AB$117),UPPER(TEXT(EDATE($D105,Milestones!$AA$117),"dd mmm yy"))&amp;" "&amp;Milestones!$AB$117&amp;" "&amp;Milestones!$AC$117&amp;";  ","")&amp;IF(AND(EDATE($D105,Milestones!$AA$118)&lt;=AsOfDate,IF($R105=0,$X105,IF(AND($T105&lt;&gt;"",EDATE($D105,Milestones!$AA$118)&gt;=$T105),$W105,IF(AND($S105&lt;&gt;"",EDATE($D105,Milestones!$AA$118)&gt;=$S105),$V105,$U105)))=Milestones!$AB$118),UPPER(TEXT(EDATE($D105,Milestones!$AA$118),"dd mmm yy"))&amp;" "&amp;Milestones!$AB$118&amp;" "&amp;Milestones!$AC$118&amp;";  ","")&amp;IF(AND(EDATE($D105,Milestones!$AA$119)&lt;=AsOfDate,IF($R105=0,$X105,IF(AND($T105&lt;&gt;"",EDATE($D105,Milestones!$AA$119)&gt;=$T105),$W105,IF(AND($S105&lt;&gt;"",EDATE($D105,Milestones!$AA$119)&gt;=$S105),$V105,$U105)))=Milestones!$AB$119),UPPER(TEXT(EDATE($D105,Milestones!$AA$119),"dd mmm yy"))&amp;" "&amp;Milestones!$AB$119&amp;" "&amp;Milestones!$AC$119&amp;";  ",""))</f>
        <v/>
      </c>
      <c r="N105" s="0" t="str">
        <f aca="false">IF(OR($A105="",$D105=""),"",IF(AND(EDATE($D105,Milestones!$AA$120)&lt;=AsOfDate,IF($R105=0,$X105,IF(AND($T105&lt;&gt;"",EDATE($D105,Milestones!$AA$120)&gt;=$T105),$W105,IF(AND($S105&lt;&gt;"",EDATE($D105,Milestones!$AA$120)&gt;=$S105),$V105,$U105)))=Milestones!$AB$120),UPPER(TEXT(EDATE($D105,Milestones!$AA$120),"dd mmm yy"))&amp;" "&amp;Milestones!$AB$120&amp;" "&amp;Milestones!$AC$120&amp;";  ","")&amp;IF(AND(EDATE($D105,Milestones!$AA$121)&lt;=AsOfDate,IF($R105=0,$X105,IF(AND($T105&lt;&gt;"",EDATE($D105,Milestones!$AA$121)&gt;=$T105),$W105,IF(AND($S105&lt;&gt;"",EDATE($D105,Milestones!$AA$121)&gt;=$S105),$V105,$U105)))=Milestones!$AB$121),UPPER(TEXT(EDATE($D105,Milestones!$AA$121),"dd mmm yy"))&amp;" "&amp;Milestones!$AB$121&amp;" "&amp;Milestones!$AC$121&amp;";  ","")&amp;IF(AND(EDATE($D105,Milestones!$AA$122)&lt;=AsOfDate,IF($R105=0,$X105,IF(AND($T105&lt;&gt;"",EDATE($D105,Milestones!$AA$122)&gt;=$T105),$W105,IF(AND($S105&lt;&gt;"",EDATE($D105,Milestones!$AA$122)&gt;=$S105),$V105,$U105)))=Milestones!$AB$122),UPPER(TEXT(EDATE($D105,Milestones!$AA$122),"dd mmm yy"))&amp;" "&amp;Milestones!$AB$122&amp;" "&amp;Milestones!$AC$122&amp;";  ","")&amp;IF(AND(EDATE($D105,Milestones!$AA$123)&lt;=AsOfDate,IF($R105=0,$X105,IF(AND($T105&lt;&gt;"",EDATE($D105,Milestones!$AA$123)&gt;=$T105),$W105,IF(AND($S105&lt;&gt;"",EDATE($D105,Milestones!$AA$123)&gt;=$S105),$V105,$U105)))=Milestones!$AB$123),UPPER(TEXT(EDATE($D105,Milestones!$AA$123),"dd mmm yy"))&amp;" "&amp;Milestones!$AB$123&amp;" "&amp;Milestones!$AC$123&amp;";  ","")&amp;IF(AND(EDATE($D105,Milestones!$AA$124)&lt;=AsOfDate,IF($R105=0,$X105,IF(AND($T105&lt;&gt;"",EDATE($D105,Milestones!$AA$124)&gt;=$T105),$W105,IF(AND($S105&lt;&gt;"",EDATE($D105,Milestones!$AA$124)&gt;=$S105),$V105,$U105)))=Milestones!$AB$124),UPPER(TEXT(EDATE($D105,Milestones!$AA$124),"dd mmm yy"))&amp;" "&amp;Milestones!$AB$124&amp;" "&amp;Milestones!$AC$124&amp;";  ","")&amp;IF(AND(EDATE($D105,Milestones!$AA$125)&lt;=AsOfDate,IF($R105=0,$X105,IF(AND($T105&lt;&gt;"",EDATE($D105,Milestones!$AA$125)&gt;=$T105),$W105,IF(AND($S105&lt;&gt;"",EDATE($D105,Milestones!$AA$125)&gt;=$S105),$V105,$U105)))=Milestones!$AB$125),UPPER(TEXT(EDATE($D105,Milestones!$AA$125),"dd mmm yy"))&amp;" "&amp;Milestones!$AB$125&amp;" "&amp;Milestones!$AC$125&amp;";  ","")&amp;IF(AND(EDATE($D105,Milestones!$AA$126)&lt;=AsOfDate,IF($R105=0,$X105,IF(AND($T105&lt;&gt;"",EDATE($D105,Milestones!$AA$126)&gt;=$T105),$W105,IF(AND($S105&lt;&gt;"",EDATE($D105,Milestones!$AA$126)&gt;=$S105),$V105,$U105)))=Milestones!$AB$126),UPPER(TEXT(EDATE($D105,Milestones!$AA$126),"dd mmm yy"))&amp;" "&amp;Milestones!$AB$126&amp;" "&amp;Milestones!$AC$126&amp;";  ","")&amp;IF(AND(EDATE($D105,Milestones!$AA$127)&lt;=AsOfDate,IF($R105=0,$X105,IF(AND($T105&lt;&gt;"",EDATE($D105,Milestones!$AA$127)&gt;=$T105),$W105,IF(AND($S105&lt;&gt;"",EDATE($D105,Milestones!$AA$127)&gt;=$S105),$V105,$U105)))=Milestones!$AB$127),UPPER(TEXT(EDATE($D105,Milestones!$AA$127),"dd mmm yy"))&amp;" "&amp;Milestones!$AB$127&amp;" "&amp;Milestones!$AC$127&amp;";  ","")&amp;IF(AND(EDATE($D105,Milestones!$AA$128)&lt;=AsOfDate,IF($R105=0,$X105,IF(AND($T105&lt;&gt;"",EDATE($D105,Milestones!$AA$128)&gt;=$T105),$W105,IF(AND($S105&lt;&gt;"",EDATE($D105,Milestones!$AA$128)&gt;=$S105),$V105,$U105)))=Milestones!$AB$128),UPPER(TEXT(EDATE($D105,Milestones!$AA$128),"dd mmm yy"))&amp;" "&amp;Milestones!$AB$128&amp;" "&amp;Milestones!$AC$128&amp;";  ","")&amp;IF(AND(EDATE($D105,Milestones!$AA$129)&lt;=AsOfDate,IF($R105=0,$X105,IF(AND($T105&lt;&gt;"",EDATE($D105,Milestones!$AA$129)&gt;=$T105),$W105,IF(AND($S105&lt;&gt;"",EDATE($D105,Milestones!$AA$129)&gt;=$S105),$V105,$U105)))=Milestones!$AB$129),UPPER(TEXT(EDATE($D105,Milestones!$AA$129),"dd mmm yy"))&amp;" "&amp;Milestones!$AB$129&amp;" "&amp;Milestones!$AC$129&amp;";  ","")&amp;IF(AND(EDATE($D105,Milestones!$AA$130)&lt;=AsOfDate,IF($R105=0,$X105,IF(AND($T105&lt;&gt;"",EDATE($D105,Milestones!$AA$130)&gt;=$T105),$W105,IF(AND($S105&lt;&gt;"",EDATE($D105,Milestones!$AA$130)&gt;=$S105),$V105,$U105)))=Milestones!$AB$130),UPPER(TEXT(EDATE($D105,Milestones!$AA$130),"dd mmm yy"))&amp;" "&amp;Milestones!$AB$130&amp;" "&amp;Milestones!$AC$130&amp;";  ","")&amp;IF(AND(EDATE($D105,Milestones!$AA$131)&lt;=AsOfDate,IF($R105=0,$X105,IF(AND($T105&lt;&gt;"",EDATE($D105,Milestones!$AA$131)&gt;=$T105),$W105,IF(AND($S105&lt;&gt;"",EDATE($D105,Milestones!$AA$131)&gt;=$S105),$V105,$U105)))=Milestones!$AB$131),UPPER(TEXT(EDATE($D105,Milestones!$AA$131),"dd mmm yy"))&amp;" "&amp;Milestones!$AB$131&amp;" "&amp;Milestones!$AC$131&amp;";  ","")&amp;IF(AND(EDATE($D105,Milestones!$AA$132)&lt;=AsOfDate,IF($R105=0,$X105,IF(AND($T105&lt;&gt;"",EDATE($D105,Milestones!$AA$132)&gt;=$T105),$W105,IF(AND($S105&lt;&gt;"",EDATE($D105,Milestones!$AA$132)&gt;=$S105),$V105,$U105)))=Milestones!$AB$132),UPPER(TEXT(EDATE($D105,Milestones!$AA$132),"dd mmm yy"))&amp;" "&amp;Milestones!$AB$132&amp;" "&amp;Milestones!$AC$132&amp;";  ","")&amp;IF(AND(EDATE($D105,Milestones!$AA$133)&lt;=AsOfDate,IF($R105=0,$X105,IF(AND($T105&lt;&gt;"",EDATE($D105,Milestones!$AA$133)&gt;=$T105),$W105,IF(AND($S105&lt;&gt;"",EDATE($D105,Milestones!$AA$133)&gt;=$S105),$V105,$U105)))=Milestones!$AB$133),UPPER(TEXT(EDATE($D105,Milestones!$AA$133),"dd mmm yy"))&amp;" "&amp;Milestones!$AB$133&amp;" "&amp;Milestones!$AC$133&amp;";  ","")&amp;IF(AND(EDATE($D105,Milestones!$AA$134)&lt;=AsOfDate,IF($R105=0,$X105,IF(AND($T105&lt;&gt;"",EDATE($D105,Milestones!$AA$134)&gt;=$T105),$W105,IF(AND($S105&lt;&gt;"",EDATE($D105,Milestones!$AA$134)&gt;=$S105),$V105,$U105)))=Milestones!$AB$134),UPPER(TEXT(EDATE($D105,Milestones!$AA$134),"dd mmm yy"))&amp;" "&amp;Milestones!$AB$134&amp;" "&amp;Milestones!$AC$134&amp;";  ","")&amp;IF(AND(EDATE($D105,Milestones!$AA$135)&lt;=AsOfDate,IF($R105=0,$X105,IF(AND($T105&lt;&gt;"",EDATE($D105,Milestones!$AA$135)&gt;=$T105),$W105,IF(AND($S105&lt;&gt;"",EDATE($D105,Milestones!$AA$135)&gt;=$S105),$V105,$U105)))=Milestones!$AB$135),UPPER(TEXT(EDATE($D105,Milestones!$AA$135),"dd mmm yy"))&amp;" "&amp;Milestones!$AB$135&amp;" "&amp;Milestones!$AC$135&amp;";  ","")&amp;IF(AND(EDATE($D105,Milestones!$AA$136)&lt;=AsOfDate,IF($R105=0,$X105,IF(AND($T105&lt;&gt;"",EDATE($D105,Milestones!$AA$136)&gt;=$T105),$W105,IF(AND($S105&lt;&gt;"",EDATE($D105,Milestones!$AA$136)&gt;=$S105),$V105,$U105)))=Milestones!$AB$136),UPPER(TEXT(EDATE($D105,Milestones!$AA$136),"dd mmm yy"))&amp;" "&amp;Milestones!$AB$136&amp;" "&amp;Milestones!$AC$136&amp;";  ","")&amp;IF(AND(EDATE($D105,Milestones!$AA$137)&lt;=AsOfDate,IF($R105=0,$X105,IF(AND($T105&lt;&gt;"",EDATE($D105,Milestones!$AA$137)&gt;=$T105),$W105,IF(AND($S105&lt;&gt;"",EDATE($D105,Milestones!$AA$137)&gt;=$S105),$V105,$U105)))=Milestones!$AB$137),UPPER(TEXT(EDATE($D105,Milestones!$AA$137),"dd mmm yy"))&amp;" "&amp;Milestones!$AB$137&amp;" "&amp;Milestones!$AC$137&amp;";  ","")&amp;IF(AND(EDATE($D105,Milestones!$AA$138)&lt;=AsOfDate,IF($R105=0,$X105,IF(AND($T105&lt;&gt;"",EDATE($D105,Milestones!$AA$138)&gt;=$T105),$W105,IF(AND($S105&lt;&gt;"",EDATE($D105,Milestones!$AA$138)&gt;=$S105),$V105,$U105)))=Milestones!$AB$138),UPPER(TEXT(EDATE($D105,Milestones!$AA$138),"dd mmm yy"))&amp;" "&amp;Milestones!$AB$138&amp;" "&amp;Milestones!$AC$138&amp;";  ","")&amp;IF(AND(EDATE($D105,Milestones!$AA$139)&lt;=AsOfDate,IF($R105=0,$X105,IF(AND($T105&lt;&gt;"",EDATE($D105,Milestones!$AA$139)&gt;=$T105),$W105,IF(AND($S105&lt;&gt;"",EDATE($D105,Milestones!$AA$139)&gt;=$S105),$V105,$U105)))=Milestones!$AB$139),UPPER(TEXT(EDATE($D105,Milestones!$AA$139),"dd mmm yy"))&amp;" "&amp;Milestones!$AB$139&amp;" "&amp;Milestones!$AC$139&amp;";  ",""))</f>
        <v/>
      </c>
      <c r="O105" s="0" t="str">
        <f aca="false">IF(OR($A105="",$D105=""),"",IF(AND(EDATE($D105,Milestones!$AA$140)&lt;=AsOfDate,IF($R105=0,$X105,IF(AND($T105&lt;&gt;"",EDATE($D105,Milestones!$AA$140)&gt;=$T105),$W105,IF(AND($S105&lt;&gt;"",EDATE($D105,Milestones!$AA$140)&gt;=$S105),$V105,$U105)))=Milestones!$AB$140),UPPER(TEXT(EDATE($D105,Milestones!$AA$140),"dd mmm yy"))&amp;" "&amp;Milestones!$AB$140&amp;" "&amp;Milestones!$AC$140&amp;";  ","")&amp;IF(AND(EDATE($D105,Milestones!$AA$141)&lt;=AsOfDate,IF($R105=0,$X105,IF(AND($T105&lt;&gt;"",EDATE($D105,Milestones!$AA$141)&gt;=$T105),$W105,IF(AND($S105&lt;&gt;"",EDATE($D105,Milestones!$AA$141)&gt;=$S105),$V105,$U105)))=Milestones!$AB$141),UPPER(TEXT(EDATE($D105,Milestones!$AA$141),"dd mmm yy"))&amp;" "&amp;Milestones!$AB$141&amp;" "&amp;Milestones!$AC$141&amp;";  ","")&amp;IF(AND(EDATE($D105,Milestones!$AA$142)&lt;=AsOfDate,IF($R105=0,$X105,IF(AND($T105&lt;&gt;"",EDATE($D105,Milestones!$AA$142)&gt;=$T105),$W105,IF(AND($S105&lt;&gt;"",EDATE($D105,Milestones!$AA$142)&gt;=$S105),$V105,$U105)))=Milestones!$AB$142),UPPER(TEXT(EDATE($D105,Milestones!$AA$142),"dd mmm yy"))&amp;" "&amp;Milestones!$AB$142&amp;" "&amp;Milestones!$AC$142&amp;";  ","")&amp;IF(AND(EDATE($D105,Milestones!$AA$143)&lt;=AsOfDate,IF($R105=0,$X105,IF(AND($T105&lt;&gt;"",EDATE($D105,Milestones!$AA$143)&gt;=$T105),$W105,IF(AND($S105&lt;&gt;"",EDATE($D105,Milestones!$AA$143)&gt;=$S105),$V105,$U105)))=Milestones!$AB$143),UPPER(TEXT(EDATE($D105,Milestones!$AA$143),"dd mmm yy"))&amp;" "&amp;Milestones!$AB$143&amp;" "&amp;Milestones!$AC$143&amp;";  ","")&amp;IF(AND(EDATE($D105,Milestones!$AA$144)&lt;=AsOfDate,IF($R105=0,$X105,IF(AND($T105&lt;&gt;"",EDATE($D105,Milestones!$AA$144)&gt;=$T105),$W105,IF(AND($S105&lt;&gt;"",EDATE($D105,Milestones!$AA$144)&gt;=$S105),$V105,$U105)))=Milestones!$AB$144),UPPER(TEXT(EDATE($D105,Milestones!$AA$144),"dd mmm yy"))&amp;" "&amp;Milestones!$AB$144&amp;" "&amp;Milestones!$AC$144&amp;";  ","")&amp;IF(AND(EDATE($D105,Milestones!$AA$145)&lt;=AsOfDate,IF($R105=0,$X105,IF(AND($T105&lt;&gt;"",EDATE($D105,Milestones!$AA$145)&gt;=$T105),$W105,IF(AND($S105&lt;&gt;"",EDATE($D105,Milestones!$AA$145)&gt;=$S105),$V105,$U105)))=Milestones!$AB$145),UPPER(TEXT(EDATE($D105,Milestones!$AA$145),"dd mmm yy"))&amp;" "&amp;Milestones!$AB$145&amp;" "&amp;Milestones!$AC$145&amp;";  ","")&amp;IF(AND(EDATE($D105,Milestones!$AA$146)&lt;=AsOfDate,IF($R105=0,$X105,IF(AND($T105&lt;&gt;"",EDATE($D105,Milestones!$AA$146)&gt;=$T105),$W105,IF(AND($S105&lt;&gt;"",EDATE($D105,Milestones!$AA$146)&gt;=$S105),$V105,$U105)))=Milestones!$AB$146),UPPER(TEXT(EDATE($D105,Milestones!$AA$146),"dd mmm yy"))&amp;" "&amp;Milestones!$AB$146&amp;" "&amp;Milestones!$AC$146&amp;";  ","")&amp;IF(AND(EDATE($D105,Milestones!$AA$147)&lt;=AsOfDate,IF($R105=0,$X105,IF(AND($T105&lt;&gt;"",EDATE($D105,Milestones!$AA$147)&gt;=$T105),$W105,IF(AND($S105&lt;&gt;"",EDATE($D105,Milestones!$AA$147)&gt;=$S105),$V105,$U105)))=Milestones!$AB$147),UPPER(TEXT(EDATE($D105,Milestones!$AA$147),"dd mmm yy"))&amp;" "&amp;Milestones!$AB$147&amp;" "&amp;Milestones!$AC$147&amp;";  ","")&amp;IF(AND(EDATE($D105,Milestones!$AA$148)&lt;=AsOfDate,IF($R105=0,$X105,IF(AND($T105&lt;&gt;"",EDATE($D105,Milestones!$AA$148)&gt;=$T105),$W105,IF(AND($S105&lt;&gt;"",EDATE($D105,Milestones!$AA$148)&gt;=$S105),$V105,$U105)))=Milestones!$AB$148),UPPER(TEXT(EDATE($D105,Milestones!$AA$148),"dd mmm yy"))&amp;" "&amp;Milestones!$AB$148&amp;" "&amp;Milestones!$AC$148&amp;";  ","")&amp;IF(AND(EDATE($D105,Milestones!$AA$149)&lt;=AsOfDate,IF($R105=0,$X105,IF(AND($T105&lt;&gt;"",EDATE($D105,Milestones!$AA$149)&gt;=$T105),$W105,IF(AND($S105&lt;&gt;"",EDATE($D105,Milestones!$AA$149)&gt;=$S105),$V105,$U105)))=Milestones!$AB$149),UPPER(TEXT(EDATE($D105,Milestones!$AA$149),"dd mmm yy"))&amp;" "&amp;Milestones!$AB$149&amp;" "&amp;Milestones!$AC$149&amp;";  ","")&amp;IF(AND(EDATE($D105,Milestones!$AA$150)&lt;=AsOfDate,IF($R105=0,$X105,IF(AND($T105&lt;&gt;"",EDATE($D105,Milestones!$AA$150)&gt;=$T105),$W105,IF(AND($S105&lt;&gt;"",EDATE($D105,Milestones!$AA$150)&gt;=$S105),$V105,$U105)))=Milestones!$AB$150),UPPER(TEXT(EDATE($D105,Milestones!$AA$150),"dd mmm yy"))&amp;" "&amp;Milestones!$AB$150&amp;" "&amp;Milestones!$AC$150&amp;";  ","")&amp;IF(AND(EDATE($D105,Milestones!$AA$151)&lt;=AsOfDate,IF($R105=0,$X105,IF(AND($T105&lt;&gt;"",EDATE($D105,Milestones!$AA$151)&gt;=$T105),$W105,IF(AND($S105&lt;&gt;"",EDATE($D105,Milestones!$AA$151)&gt;=$S105),$V105,$U105)))=Milestones!$AB$151),UPPER(TEXT(EDATE($D105,Milestones!$AA$151),"dd mmm yy"))&amp;" "&amp;Milestones!$AB$151&amp;" "&amp;Milestones!$AC$151&amp;";  ","")&amp;IF(AND(EDATE($D105,Milestones!$AA$152)&lt;=AsOfDate,IF($R105=0,$X105,IF(AND($T105&lt;&gt;"",EDATE($D105,Milestones!$AA$152)&gt;=$T105),$W105,IF(AND($S105&lt;&gt;"",EDATE($D105,Milestones!$AA$152)&gt;=$S105),$V105,$U105)))=Milestones!$AB$152),UPPER(TEXT(EDATE($D105,Milestones!$AA$152),"dd mmm yy"))&amp;" "&amp;Milestones!$AB$152&amp;" "&amp;Milestones!$AC$152&amp;";  ","")&amp;IF(AND(EDATE($D105,Milestones!$AA$153)&lt;=AsOfDate,IF($R105=0,$X105,IF(AND($T105&lt;&gt;"",EDATE($D105,Milestones!$AA$153)&gt;=$T105),$W105,IF(AND($S105&lt;&gt;"",EDATE($D105,Milestones!$AA$153)&gt;=$S105),$V105,$U105)))=Milestones!$AB$153),UPPER(TEXT(EDATE($D105,Milestones!$AA$153),"dd mmm yy"))&amp;" "&amp;Milestones!$AB$153&amp;" "&amp;Milestones!$AC$153&amp;";  ","")&amp;IF(AND(EDATE($D105,Milestones!$AA$154)&lt;=AsOfDate,IF($R105=0,$X105,IF(AND($T105&lt;&gt;"",EDATE($D105,Milestones!$AA$154)&gt;=$T105),$W105,IF(AND($S105&lt;&gt;"",EDATE($D105,Milestones!$AA$154)&gt;=$S105),$V105,$U105)))=Milestones!$AB$154),UPPER(TEXT(EDATE($D105,Milestones!$AA$154),"dd mmm yy"))&amp;" "&amp;Milestones!$AB$154&amp;" "&amp;Milestones!$AC$154&amp;";  ","")&amp;IF(AND(EDATE($D105,Milestones!$AA$155)&lt;=AsOfDate,IF($R105=0,$X105,IF(AND($T105&lt;&gt;"",EDATE($D105,Milestones!$AA$155)&gt;=$T105),$W105,IF(AND($S105&lt;&gt;"",EDATE($D105,Milestones!$AA$155)&gt;=$S105),$V105,$U105)))=Milestones!$AB$155),UPPER(TEXT(EDATE($D105,Milestones!$AA$155),"dd mmm yy"))&amp;" "&amp;Milestones!$AB$155&amp;" "&amp;Milestones!$AC$155&amp;";  ","")&amp;IF(AND(EDATE($D105,Milestones!$AA$156)&lt;=AsOfDate,IF($R105=0,$X105,IF(AND($T105&lt;&gt;"",EDATE($D105,Milestones!$AA$156)&gt;=$T105),$W105,IF(AND($S105&lt;&gt;"",EDATE($D105,Milestones!$AA$156)&gt;=$S105),$V105,$U105)))=Milestones!$AB$156),UPPER(TEXT(EDATE($D105,Milestones!$AA$156),"dd mmm yy"))&amp;" "&amp;Milestones!$AB$156&amp;" "&amp;Milestones!$AC$156&amp;";  ","")&amp;IF(AND(EDATE($D105,Milestones!$AA$157)&lt;=AsOfDate,IF($R105=0,$X105,IF(AND($T105&lt;&gt;"",EDATE($D105,Milestones!$AA$157)&gt;=$T105),$W105,IF(AND($S105&lt;&gt;"",EDATE($D105,Milestones!$AA$157)&gt;=$S105),$V105,$U105)))=Milestones!$AB$157),UPPER(TEXT(EDATE($D105,Milestones!$AA$157),"dd mmm yy"))&amp;" "&amp;Milestones!$AB$157&amp;" "&amp;Milestones!$AC$157&amp;";  ","")&amp;IF(AND(EDATE($D105,Milestones!$AA$158)&lt;=AsOfDate,IF($R105=0,$X105,IF(AND($T105&lt;&gt;"",EDATE($D105,Milestones!$AA$158)&gt;=$T105),$W105,IF(AND($S105&lt;&gt;"",EDATE($D105,Milestones!$AA$158)&gt;=$S105),$V105,$U105)))=Milestones!$AB$158),UPPER(TEXT(EDATE($D105,Milestones!$AA$158),"dd mmm yy"))&amp;" "&amp;Milestones!$AB$158&amp;" "&amp;Milestones!$AC$158&amp;";  ","")&amp;IF(AND(EDATE($D105,Milestones!$AA$159)&lt;=AsOfDate,IF($R105=0,$X105,IF(AND($T105&lt;&gt;"",EDATE($D105,Milestones!$AA$159)&gt;=$T105),$W105,IF(AND($S105&lt;&gt;"",EDATE($D105,Milestones!$AA$159)&gt;=$S105),$V105,$U105)))=Milestones!$AB$159),UPPER(TEXT(EDATE($D105,Milestones!$AA$159),"dd mmm yy"))&amp;" "&amp;Milestones!$AB$159&amp;" "&amp;Milestones!$AC$159&amp;";  ",""))</f>
        <v/>
      </c>
      <c r="P105" s="0" t="str">
        <f aca="false">IF(OR($A105="",$D105=""),"",IF(AND(EDATE($D105,Milestones!$AA$160)&lt;=AsOfDate,IF($R105=0,$X105,IF(AND($T105&lt;&gt;"",EDATE($D105,Milestones!$AA$160)&gt;=$T105),$W105,IF(AND($S105&lt;&gt;"",EDATE($D105,Milestones!$AA$160)&gt;=$S105),$V105,$U105)))=Milestones!$AB$160),UPPER(TEXT(EDATE($D105,Milestones!$AA$160),"dd mmm yy"))&amp;" "&amp;Milestones!$AB$160&amp;" "&amp;Milestones!$AC$160&amp;";  ","")&amp;IF(AND(EDATE($D105,Milestones!$AA$161)&lt;=AsOfDate,IF($R105=0,$X105,IF(AND($T105&lt;&gt;"",EDATE($D105,Milestones!$AA$161)&gt;=$T105),$W105,IF(AND($S105&lt;&gt;"",EDATE($D105,Milestones!$AA$161)&gt;=$S105),$V105,$U105)))=Milestones!$AB$161),UPPER(TEXT(EDATE($D105,Milestones!$AA$161),"dd mmm yy"))&amp;" "&amp;Milestones!$AB$161&amp;" "&amp;Milestones!$AC$161&amp;";  ","")&amp;IF(AND(EDATE($D105,Milestones!$AA$162)&lt;=AsOfDate,IF($R105=0,$X105,IF(AND($T105&lt;&gt;"",EDATE($D105,Milestones!$AA$162)&gt;=$T105),$W105,IF(AND($S105&lt;&gt;"",EDATE($D105,Milestones!$AA$162)&gt;=$S105),$V105,$U105)))=Milestones!$AB$162),UPPER(TEXT(EDATE($D105,Milestones!$AA$162),"dd mmm yy"))&amp;" "&amp;Milestones!$AB$162&amp;" "&amp;Milestones!$AC$162&amp;";  ","")&amp;IF(AND(EDATE($D105,Milestones!$AA$163)&lt;=AsOfDate,IF($R105=0,$X105,IF(AND($T105&lt;&gt;"",EDATE($D105,Milestones!$AA$163)&gt;=$T105),$W105,IF(AND($S105&lt;&gt;"",EDATE($D105,Milestones!$AA$163)&gt;=$S105),$V105,$U105)))=Milestones!$AB$163),UPPER(TEXT(EDATE($D105,Milestones!$AA$163),"dd mmm yy"))&amp;" "&amp;Milestones!$AB$163&amp;" "&amp;Milestones!$AC$163&amp;";  ","")&amp;IF(AND(EDATE($D105,Milestones!$AA$164)&lt;=AsOfDate,IF($R105=0,$X105,IF(AND($T105&lt;&gt;"",EDATE($D105,Milestones!$AA$164)&gt;=$T105),$W105,IF(AND($S105&lt;&gt;"",EDATE($D105,Milestones!$AA$164)&gt;=$S105),$V105,$U105)))=Milestones!$AB$164),UPPER(TEXT(EDATE($D105,Milestones!$AA$164),"dd mmm yy"))&amp;" "&amp;Milestones!$AB$164&amp;" "&amp;Milestones!$AC$164&amp;";  ","")&amp;IF(AND(EDATE($D105,Milestones!$AA$165)&lt;=AsOfDate,IF($R105=0,$X105,IF(AND($T105&lt;&gt;"",EDATE($D105,Milestones!$AA$165)&gt;=$T105),$W105,IF(AND($S105&lt;&gt;"",EDATE($D105,Milestones!$AA$165)&gt;=$S105),$V105,$U105)))=Milestones!$AB$165),UPPER(TEXT(EDATE($D105,Milestones!$AA$165),"dd mmm yy"))&amp;" "&amp;Milestones!$AB$165&amp;" "&amp;Milestones!$AC$165&amp;";  ","")&amp;IF(AND(EDATE($D105,Milestones!$AA$166)&lt;=AsOfDate,IF($R105=0,$X105,IF(AND($T105&lt;&gt;"",EDATE($D105,Milestones!$AA$166)&gt;=$T105),$W105,IF(AND($S105&lt;&gt;"",EDATE($D105,Milestones!$AA$166)&gt;=$S105),$V105,$U105)))=Milestones!$AB$166),UPPER(TEXT(EDATE($D105,Milestones!$AA$166),"dd mmm yy"))&amp;" "&amp;Milestones!$AB$166&amp;" "&amp;Milestones!$AC$166&amp;";  ","")&amp;IF(AND(EDATE($D105,Milestones!$AA$167)&lt;=AsOfDate,IF($R105=0,$X105,IF(AND($T105&lt;&gt;"",EDATE($D105,Milestones!$AA$167)&gt;=$T105),$W105,IF(AND($S105&lt;&gt;"",EDATE($D105,Milestones!$AA$167)&gt;=$S105),$V105,$U105)))=Milestones!$AB$167),UPPER(TEXT(EDATE($D105,Milestones!$AA$167),"dd mmm yy"))&amp;" "&amp;Milestones!$AB$167&amp;" "&amp;Milestones!$AC$167&amp;";  ","")&amp;IF(AND(EDATE($D105,Milestones!$AA$168)&lt;=AsOfDate,IF($R105=0,$X105,IF(AND($T105&lt;&gt;"",EDATE($D105,Milestones!$AA$168)&gt;=$T105),$W105,IF(AND($S105&lt;&gt;"",EDATE($D105,Milestones!$AA$168)&gt;=$S105),$V105,$U105)))=Milestones!$AB$168),UPPER(TEXT(EDATE($D105,Milestones!$AA$168),"dd mmm yy"))&amp;" "&amp;Milestones!$AB$168&amp;" "&amp;Milestones!$AC$168&amp;";  ","")&amp;IF(AND(EDATE($D105,Milestones!$AA$169)&lt;=AsOfDate,IF($R105=0,$X105,IF(AND($T105&lt;&gt;"",EDATE($D105,Milestones!$AA$169)&gt;=$T105),$W105,IF(AND($S105&lt;&gt;"",EDATE($D105,Milestones!$AA$169)&gt;=$S105),$V105,$U105)))=Milestones!$AB$169),UPPER(TEXT(EDATE($D105,Milestones!$AA$169),"dd mmm yy"))&amp;" "&amp;Milestones!$AB$169&amp;" "&amp;Milestones!$AC$169&amp;";  ","")&amp;IF(AND(EDATE($D105,Milestones!$AA$170)&lt;=AsOfDate,IF($R105=0,$X105,IF(AND($T105&lt;&gt;"",EDATE($D105,Milestones!$AA$170)&gt;=$T105),$W105,IF(AND($S105&lt;&gt;"",EDATE($D105,Milestones!$AA$170)&gt;=$S105),$V105,$U105)))=Milestones!$AB$170),UPPER(TEXT(EDATE($D105,Milestones!$AA$170),"dd mmm yy"))&amp;" "&amp;Milestones!$AB$170&amp;" "&amp;Milestones!$AC$170&amp;";  ","")&amp;IF(AND(EDATE($D105,Milestones!$AA$171)&lt;=AsOfDate,IF($R105=0,$X105,IF(AND($T105&lt;&gt;"",EDATE($D105,Milestones!$AA$171)&gt;=$T105),$W105,IF(AND($S105&lt;&gt;"",EDATE($D105,Milestones!$AA$171)&gt;=$S105),$V105,$U105)))=Milestones!$AB$171),UPPER(TEXT(EDATE($D105,Milestones!$AA$171),"dd mmm yy"))&amp;" "&amp;Milestones!$AB$171&amp;" "&amp;Milestones!$AC$171&amp;";  ","")&amp;IF(AND(EDATE($D105,Milestones!$AA$172)&lt;=AsOfDate,IF($R105=0,$X105,IF(AND($T105&lt;&gt;"",EDATE($D105,Milestones!$AA$172)&gt;=$T105),$W105,IF(AND($S105&lt;&gt;"",EDATE($D105,Milestones!$AA$172)&gt;=$S105),$V105,$U105)))=Milestones!$AB$172),UPPER(TEXT(EDATE($D105,Milestones!$AA$172),"dd mmm yy"))&amp;" "&amp;Milestones!$AB$172&amp;" "&amp;Milestones!$AC$172&amp;";  ","")&amp;IF(AND(EDATE($D105,Milestones!$AA$173)&lt;=AsOfDate,IF($R105=0,$X105,IF(AND($T105&lt;&gt;"",EDATE($D105,Milestones!$AA$173)&gt;=$T105),$W105,IF(AND($S105&lt;&gt;"",EDATE($D105,Milestones!$AA$173)&gt;=$S105),$V105,$U105)))=Milestones!$AB$173),UPPER(TEXT(EDATE($D105,Milestones!$AA$173),"dd mmm yy"))&amp;" "&amp;Milestones!$AB$173&amp;" "&amp;Milestones!$AC$173&amp;";  ","")&amp;IF(AND(EDATE($D105,Milestones!$AA$174)&lt;=AsOfDate,IF($R105=0,$X105,IF(AND($T105&lt;&gt;"",EDATE($D105,Milestones!$AA$174)&gt;=$T105),$W105,IF(AND($S105&lt;&gt;"",EDATE($D105,Milestones!$AA$174)&gt;=$S105),$V105,$U105)))=Milestones!$AB$174),UPPER(TEXT(EDATE($D105,Milestones!$AA$174),"dd mmm yy"))&amp;" "&amp;Milestones!$AB$174&amp;" "&amp;Milestones!$AC$174&amp;";  ","")&amp;IF(AND(EDATE($D105,Milestones!$AA$175)&lt;=AsOfDate,IF($R105=0,$X105,IF(AND($T105&lt;&gt;"",EDATE($D105,Milestones!$AA$175)&gt;=$T105),$W105,IF(AND($S105&lt;&gt;"",EDATE($D105,Milestones!$AA$175)&gt;=$S105),$V105,$U105)))=Milestones!$AB$175),UPPER(TEXT(EDATE($D105,Milestones!$AA$175),"dd mmm yy"))&amp;" "&amp;Milestones!$AB$175&amp;" "&amp;Milestones!$AC$175&amp;";  ","")&amp;IF(AND(EDATE($D105,Milestones!$AA$176)&lt;=AsOfDate,IF($R105=0,$X105,IF(AND($T105&lt;&gt;"",EDATE($D105,Milestones!$AA$176)&gt;=$T105),$W105,IF(AND($S105&lt;&gt;"",EDATE($D105,Milestones!$AA$176)&gt;=$S105),$V105,$U105)))=Milestones!$AB$176),UPPER(TEXT(EDATE($D105,Milestones!$AA$176),"dd mmm yy"))&amp;" "&amp;Milestones!$AB$176&amp;" "&amp;Milestones!$AC$176&amp;";  ","")&amp;IF(AND(EDATE($D105,Milestones!$AA$177)&lt;=AsOfDate,IF($R105=0,$X105,IF(AND($T105&lt;&gt;"",EDATE($D105,Milestones!$AA$177)&gt;=$T105),$W105,IF(AND($S105&lt;&gt;"",EDATE($D105,Milestones!$AA$177)&gt;=$S105),$V105,$U105)))=Milestones!$AB$177),UPPER(TEXT(EDATE($D105,Milestones!$AA$177),"dd mmm yy"))&amp;" "&amp;Milestones!$AB$177&amp;" "&amp;Milestones!$AC$177&amp;";  ","")&amp;IF(AND(EDATE($D105,Milestones!$AA$178)&lt;=AsOfDate,IF($R105=0,$X105,IF(AND($T105&lt;&gt;"",EDATE($D105,Milestones!$AA$178)&gt;=$T105),$W105,IF(AND($S105&lt;&gt;"",EDATE($D105,Milestones!$AA$178)&gt;=$S105),$V105,$U105)))=Milestones!$AB$178),UPPER(TEXT(EDATE($D105,Milestones!$AA$178),"dd mmm yy"))&amp;" "&amp;Milestones!$AB$178&amp;" "&amp;Milestones!$AC$178&amp;";  ","")&amp;IF(AND(EDATE($D105,Milestones!$AA$179)&lt;=AsOfDate,IF($R105=0,$X105,IF(AND($T105&lt;&gt;"",EDATE($D105,Milestones!$AA$179)&gt;=$T105),$W105,IF(AND($S105&lt;&gt;"",EDATE($D105,Milestones!$AA$179)&gt;=$S105),$V105,$U105)))=Milestones!$AB$179),UPPER(TEXT(EDATE($D105,Milestones!$AA$179),"dd mmm yy"))&amp;" "&amp;Milestones!$AB$179&amp;" "&amp;Milestones!$AC$179&amp;";  ",""))</f>
        <v/>
      </c>
      <c r="Q105" s="0" t="str">
        <f aca="false">IF(OR($A105="",$D105=""),"",IF(AND(EDATE($D105,Milestones!$AA$180)&lt;=AsOfDate,IF($R105=0,$X105,IF(AND($T105&lt;&gt;"",EDATE($D105,Milestones!$AA$180)&gt;=$T105),$W105,IF(AND($S105&lt;&gt;"",EDATE($D105,Milestones!$AA$180)&gt;=$S105),$V105,$U105)))=Milestones!$AB$180),UPPER(TEXT(EDATE($D105,Milestones!$AA$180),"dd mmm yy"))&amp;" "&amp;Milestones!$AB$180&amp;" "&amp;Milestones!$AC$180&amp;";  ","")&amp;IF(AND(EDATE($D105,Milestones!$AA$181)&lt;=AsOfDate,IF($R105=0,$X105,IF(AND($T105&lt;&gt;"",EDATE($D105,Milestones!$AA$181)&gt;=$T105),$W105,IF(AND($S105&lt;&gt;"",EDATE($D105,Milestones!$AA$181)&gt;=$S105),$V105,$U105)))=Milestones!$AB$181),UPPER(TEXT(EDATE($D105,Milestones!$AA$181),"dd mmm yy"))&amp;" "&amp;Milestones!$AB$181&amp;" "&amp;Milestones!$AC$181&amp;";  ","")&amp;IF(AND(EDATE($D105,Milestones!$AA$182)&lt;=AsOfDate,IF($R105=0,$X105,IF(AND($T105&lt;&gt;"",EDATE($D105,Milestones!$AA$182)&gt;=$T105),$W105,IF(AND($S105&lt;&gt;"",EDATE($D105,Milestones!$AA$182)&gt;=$S105),$V105,$U105)))=Milestones!$AB$182),UPPER(TEXT(EDATE($D105,Milestones!$AA$182),"dd mmm yy"))&amp;" "&amp;Milestones!$AB$182&amp;" "&amp;Milestones!$AC$182&amp;";  ","")&amp;IF(AND(EDATE($D105,Milestones!$AA$183)&lt;=AsOfDate,IF($R105=0,$X105,IF(AND($T105&lt;&gt;"",EDATE($D105,Milestones!$AA$183)&gt;=$T105),$W105,IF(AND($S105&lt;&gt;"",EDATE($D105,Milestones!$AA$183)&gt;=$S105),$V105,$U105)))=Milestones!$AB$183),UPPER(TEXT(EDATE($D105,Milestones!$AA$183),"dd mmm yy"))&amp;" "&amp;Milestones!$AB$183&amp;" "&amp;Milestones!$AC$183&amp;";  ","")&amp;IF(AND(EDATE($D105,Milestones!$AA$184)&lt;=AsOfDate,IF($R105=0,$X105,IF(AND($T105&lt;&gt;"",EDATE($D105,Milestones!$AA$184)&gt;=$T105),$W105,IF(AND($S105&lt;&gt;"",EDATE($D105,Milestones!$AA$184)&gt;=$S105),$V105,$U105)))=Milestones!$AB$184),UPPER(TEXT(EDATE($D105,Milestones!$AA$184),"dd mmm yy"))&amp;" "&amp;Milestones!$AB$184&amp;" "&amp;Milestones!$AC$184&amp;";  ","")&amp;IF(AND(EDATE($D105,Milestones!$AA$185)&lt;=AsOfDate,IF($R105=0,$X105,IF(AND($T105&lt;&gt;"",EDATE($D105,Milestones!$AA$185)&gt;=$T105),$W105,IF(AND($S105&lt;&gt;"",EDATE($D105,Milestones!$AA$185)&gt;=$S105),$V105,$U105)))=Milestones!$AB$185),UPPER(TEXT(EDATE($D105,Milestones!$AA$185),"dd mmm yy"))&amp;" "&amp;Milestones!$AB$185&amp;" "&amp;Milestones!$AC$185&amp;";  ","")&amp;IF(AND(EDATE($D105,Milestones!$AA$186)&lt;=AsOfDate,IF($R105=0,$X105,IF(AND($T105&lt;&gt;"",EDATE($D105,Milestones!$AA$186)&gt;=$T105),$W105,IF(AND($S105&lt;&gt;"",EDATE($D105,Milestones!$AA$186)&gt;=$S105),$V105,$U105)))=Milestones!$AB$186),UPPER(TEXT(EDATE($D105,Milestones!$AA$186),"dd mmm yy"))&amp;" "&amp;Milestones!$AB$186&amp;" "&amp;Milestones!$AC$186&amp;";  ","")&amp;IF(AND(EDATE($D105,Milestones!$AA$187)&lt;=AsOfDate,IF($R105=0,$X105,IF(AND($T105&lt;&gt;"",EDATE($D105,Milestones!$AA$187)&gt;=$T105),$W105,IF(AND($S105&lt;&gt;"",EDATE($D105,Milestones!$AA$187)&gt;=$S105),$V105,$U105)))=Milestones!$AB$187),UPPER(TEXT(EDATE($D105,Milestones!$AA$187),"dd mmm yy"))&amp;" "&amp;Milestones!$AB$187&amp;" "&amp;Milestones!$AC$187&amp;";  ","")&amp;IF(AND(EDATE($D105,Milestones!$AA$188)&lt;=AsOfDate,IF($R105=0,$X105,IF(AND($T105&lt;&gt;"",EDATE($D105,Milestones!$AA$188)&gt;=$T105),$W105,IF(AND($S105&lt;&gt;"",EDATE($D105,Milestones!$AA$188)&gt;=$S105),$V105,$U105)))=Milestones!$AB$188),UPPER(TEXT(EDATE($D105,Milestones!$AA$188),"dd mmm yy"))&amp;" "&amp;Milestones!$AB$188&amp;" "&amp;Milestones!$AC$188&amp;";  ","")&amp;IF(AND(EDATE($D105,Milestones!$AA$189)&lt;=AsOfDate,IF($R105=0,$X105,IF(AND($T105&lt;&gt;"",EDATE($D105,Milestones!$AA$189)&gt;=$T105),$W105,IF(AND($S105&lt;&gt;"",EDATE($D105,Milestones!$AA$189)&gt;=$S105),$V105,$U105)))=Milestones!$AB$189),UPPER(TEXT(EDATE($D105,Milestones!$AA$189),"dd mmm yy"))&amp;" "&amp;Milestones!$AB$189&amp;" "&amp;Milestones!$AC$189&amp;";  ","")&amp;IF(AND(EDATE($D105,Milestones!$AA$190)&lt;=AsOfDate,IF($R105=0,$X105,IF(AND($T105&lt;&gt;"",EDATE($D105,Milestones!$AA$190)&gt;=$T105),$W105,IF(AND($S105&lt;&gt;"",EDATE($D105,Milestones!$AA$190)&gt;=$S105),$V105,$U105)))=Milestones!$AB$190),UPPER(TEXT(EDATE($D105,Milestones!$AA$190),"dd mmm yy"))&amp;" "&amp;Milestones!$AB$190&amp;" "&amp;Milestones!$AC$190&amp;";  ","")&amp;IF(AND(EDATE($D105,Milestones!$AA$191)&lt;=AsOfDate,IF($R105=0,$X105,IF(AND($T105&lt;&gt;"",EDATE($D105,Milestones!$AA$191)&gt;=$T105),$W105,IF(AND($S105&lt;&gt;"",EDATE($D105,Milestones!$AA$191)&gt;=$S105),$V105,$U105)))=Milestones!$AB$191),UPPER(TEXT(EDATE($D105,Milestones!$AA$191),"dd mmm yy"))&amp;" "&amp;Milestones!$AB$191&amp;" "&amp;Milestones!$AC$191&amp;";  ","")&amp;IF(AND(EDATE($D105,Milestones!$AA$192)&lt;=AsOfDate,IF($R105=0,$X105,IF(AND($T105&lt;&gt;"",EDATE($D105,Milestones!$AA$192)&gt;=$T105),$W105,IF(AND($S105&lt;&gt;"",EDATE($D105,Milestones!$AA$192)&gt;=$S105),$V105,$U105)))=Milestones!$AB$192),UPPER(TEXT(EDATE($D105,Milestones!$AA$192),"dd mmm yy"))&amp;" "&amp;Milestones!$AB$192&amp;" "&amp;Milestones!$AC$192&amp;";  ","")&amp;IF(AND(EDATE($D105,Milestones!$AA$193)&lt;=AsOfDate,IF($R105=0,$X105,IF(AND($T105&lt;&gt;"",EDATE($D105,Milestones!$AA$193)&gt;=$T105),$W105,IF(AND($S105&lt;&gt;"",EDATE($D105,Milestones!$AA$193)&gt;=$S105),$V105,$U105)))=Milestones!$AB$193),UPPER(TEXT(EDATE($D105,Milestones!$AA$193),"dd mmm yy"))&amp;" "&amp;Milestones!$AB$193&amp;" "&amp;Milestones!$AC$193&amp;";  ","")&amp;IF(AND(EDATE($D105,Milestones!$AA$194)&lt;=AsOfDate,IF($R105=0,$X105,IF(AND($T105&lt;&gt;"",EDATE($D105,Milestones!$AA$194)&gt;=$T105),$W105,IF(AND($S105&lt;&gt;"",EDATE($D105,Milestones!$AA$194)&gt;=$S105),$V105,$U105)))=Milestones!$AB$194),UPPER(TEXT(EDATE($D105,Milestones!$AA$194),"dd mmm yy"))&amp;" "&amp;Milestones!$AB$194&amp;" "&amp;Milestones!$AC$194&amp;";  ","")&amp;IF(AND(EDATE($D105,Milestones!$AA$195)&lt;=AsOfDate,IF($R105=0,$X105,IF(AND($T105&lt;&gt;"",EDATE($D105,Milestones!$AA$195)&gt;=$T105),$W105,IF(AND($S105&lt;&gt;"",EDATE($D105,Milestones!$AA$195)&gt;=$S105),$V105,$U105)))=Milestones!$AB$195),UPPER(TEXT(EDATE($D105,Milestones!$AA$195),"dd mmm yy"))&amp;" "&amp;Milestones!$AB$195&amp;" "&amp;Milestones!$AC$195&amp;";  ","")&amp;IF(AND(EDATE($D105,Milestones!$AA$196)&lt;=AsOfDate,IF($R105=0,$X105,IF(AND($T105&lt;&gt;"",EDATE($D105,Milestones!$AA$196)&gt;=$T105),$W105,IF(AND($S105&lt;&gt;"",EDATE($D105,Milestones!$AA$196)&gt;=$S105),$V105,$U105)))=Milestones!$AB$196),UPPER(TEXT(EDATE($D105,Milestones!$AA$196),"dd mmm yy"))&amp;" "&amp;Milestones!$AB$196&amp;" "&amp;Milestones!$AC$196&amp;";  ","")&amp;IF(AND(EDATE($D105,Milestones!$AA$197)&lt;=AsOfDate,IF($R105=0,$X105,IF(AND($T105&lt;&gt;"",EDATE($D105,Milestones!$AA$197)&gt;=$T105),$W105,IF(AND($S105&lt;&gt;"",EDATE($D105,Milestones!$AA$197)&gt;=$S105),$V105,$U105)))=Milestones!$AB$197),UPPER(TEXT(EDATE($D105,Milestones!$AA$197),"dd mmm yy"))&amp;" "&amp;Milestones!$AB$197&amp;" "&amp;Milestones!$AC$197&amp;";  ","")&amp;IF(AND(EDATE($D105,Milestones!$AA$198)&lt;=AsOfDate,IF($R105=0,$X105,IF(AND($T105&lt;&gt;"",EDATE($D105,Milestones!$AA$198)&gt;=$T105),$W105,IF(AND($S105&lt;&gt;"",EDATE($D105,Milestones!$AA$198)&gt;=$S105),$V105,$U105)))=Milestones!$AB$198),UPPER(TEXT(EDATE($D105,Milestones!$AA$198),"dd mmm yy"))&amp;" "&amp;Milestones!$AB$198&amp;" "&amp;Milestones!$AC$198&amp;";  ","")&amp;IF(AND(EDATE($D105,Milestones!$AA$199)&lt;=AsOfDate,IF($R105=0,$X105,IF(AND($T105&lt;&gt;"",EDATE($D105,Milestones!$AA$199)&gt;=$T105),$W105,IF(AND($S105&lt;&gt;"",EDATE($D105,Milestones!$AA$199)&gt;=$S105),$V105,$U105)))=Milestones!$AB$199),UPPER(TEXT(EDATE($D105,Milestones!$AA$199),"dd mmm yy"))&amp;" "&amp;Milestones!$AB$199&amp;" "&amp;Milestones!$AC$199&amp;";  ",""))</f>
        <v/>
      </c>
      <c r="R105" s="0" t="str">
        <f aca="false">IF(Staff!$A105="","",Staff!$AI105)</f>
        <v/>
      </c>
      <c r="S105" s="0" t="str">
        <f aca="false">IF(Staff!$A105="","",Staff!$AK105)</f>
        <v/>
      </c>
      <c r="T105" s="0" t="str">
        <f aca="false">IF(Staff!$A105="","",Staff!$AL105)</f>
        <v/>
      </c>
      <c r="U105" s="0" t="str">
        <f aca="false">IF(Staff!$A105="","",Staff!$AP105)</f>
        <v/>
      </c>
      <c r="V105" s="0" t="str">
        <f aca="false">IF(Staff!$A105="","",Staff!$AQ105)</f>
        <v/>
      </c>
      <c r="W105" s="0" t="str">
        <f aca="false">IF(Staff!$A105="","",Staff!$AR105)</f>
        <v/>
      </c>
      <c r="X105" s="0" t="str">
        <f aca="false">IF(Staff!$A105="","",Staff!$AS105)</f>
        <v/>
      </c>
    </row>
    <row r="106" customFormat="false" ht="15" hidden="false" customHeight="false" outlineLevel="0" collapsed="false">
      <c r="A106" s="19" t="str">
        <f aca="false">IF(Staff!$A106="","",Staff!$A106)</f>
        <v/>
      </c>
      <c r="B106" s="19" t="str">
        <f aca="false">IF(Staff!$A106="","",Staff!$B106)</f>
        <v/>
      </c>
      <c r="C106" s="19" t="str">
        <f aca="false">IF(Staff!$A106="","",Staff!$C106)</f>
        <v/>
      </c>
      <c r="D106" s="17" t="str">
        <f aca="false">IF(Staff!$A106="","",Staff!$AH106)</f>
        <v/>
      </c>
      <c r="E106" s="19" t="str">
        <f aca="false">IF(Staff!$A106="","",Staff!$O106)</f>
        <v/>
      </c>
      <c r="F106" s="19" t="str">
        <f aca="false">IF(E106="","",E106*HoursPerDay)</f>
        <v/>
      </c>
      <c r="G106" s="19" t="str">
        <f aca="false">IF(Staff!$A106="","",Staff!$AE106)</f>
        <v/>
      </c>
      <c r="H106" s="32" t="str">
        <f aca="false">IF($A106="","",I106&amp;J106&amp;K106&amp;L106&amp;M106&amp;N106&amp;O106&amp;P106&amp;Q106)</f>
        <v/>
      </c>
      <c r="I106" s="0" t="str">
        <f aca="false">IF(OR($A106="",$D106=""),"",IF(AND(EDATE($D106,Milestones!$AA$20)&lt;=AsOfDate,IF($R106=0,$X106,IF(AND($T106&lt;&gt;"",EDATE($D106,Milestones!$AA$20)&gt;=$T106),$W106,IF(AND($S106&lt;&gt;"",EDATE($D106,Milestones!$AA$20)&gt;=$S106),$V106,$U106)))=Milestones!$AB$20),UPPER(TEXT(EDATE($D106,Milestones!$AA$20),"dd mmm yy"))&amp;" "&amp;Milestones!$AB$20&amp;" "&amp;Milestones!$AC$20&amp;";  ","")&amp;IF(AND(EDATE($D106,Milestones!$AA$21)&lt;=AsOfDate,IF($R106=0,$X106,IF(AND($T106&lt;&gt;"",EDATE($D106,Milestones!$AA$21)&gt;=$T106),$W106,IF(AND($S106&lt;&gt;"",EDATE($D106,Milestones!$AA$21)&gt;=$S106),$V106,$U106)))=Milestones!$AB$21),UPPER(TEXT(EDATE($D106,Milestones!$AA$21),"dd mmm yy"))&amp;" "&amp;Milestones!$AB$21&amp;" "&amp;Milestones!$AC$21&amp;";  ","")&amp;IF(AND(EDATE($D106,Milestones!$AA$22)&lt;=AsOfDate,IF($R106=0,$X106,IF(AND($T106&lt;&gt;"",EDATE($D106,Milestones!$AA$22)&gt;=$T106),$W106,IF(AND($S106&lt;&gt;"",EDATE($D106,Milestones!$AA$22)&gt;=$S106),$V106,$U106)))=Milestones!$AB$22),UPPER(TEXT(EDATE($D106,Milestones!$AA$22),"dd mmm yy"))&amp;" "&amp;Milestones!$AB$22&amp;" "&amp;Milestones!$AC$22&amp;";  ","")&amp;IF(AND(EDATE($D106,Milestones!$AA$23)&lt;=AsOfDate,IF($R106=0,$X106,IF(AND($T106&lt;&gt;"",EDATE($D106,Milestones!$AA$23)&gt;=$T106),$W106,IF(AND($S106&lt;&gt;"",EDATE($D106,Milestones!$AA$23)&gt;=$S106),$V106,$U106)))=Milestones!$AB$23),UPPER(TEXT(EDATE($D106,Milestones!$AA$23),"dd mmm yy"))&amp;" "&amp;Milestones!$AB$23&amp;" "&amp;Milestones!$AC$23&amp;";  ","")&amp;IF(AND(EDATE($D106,Milestones!$AA$24)&lt;=AsOfDate,IF($R106=0,$X106,IF(AND($T106&lt;&gt;"",EDATE($D106,Milestones!$AA$24)&gt;=$T106),$W106,IF(AND($S106&lt;&gt;"",EDATE($D106,Milestones!$AA$24)&gt;=$S106),$V106,$U106)))=Milestones!$AB$24),UPPER(TEXT(EDATE($D106,Milestones!$AA$24),"dd mmm yy"))&amp;" "&amp;Milestones!$AB$24&amp;" "&amp;Milestones!$AC$24&amp;";  ","")&amp;IF(AND(EDATE($D106,Milestones!$AA$25)&lt;=AsOfDate,IF($R106=0,$X106,IF(AND($T106&lt;&gt;"",EDATE($D106,Milestones!$AA$25)&gt;=$T106),$W106,IF(AND($S106&lt;&gt;"",EDATE($D106,Milestones!$AA$25)&gt;=$S106),$V106,$U106)))=Milestones!$AB$25),UPPER(TEXT(EDATE($D106,Milestones!$AA$25),"dd mmm yy"))&amp;" "&amp;Milestones!$AB$25&amp;" "&amp;Milestones!$AC$25&amp;";  ","")&amp;IF(AND(EDATE($D106,Milestones!$AA$26)&lt;=AsOfDate,IF($R106=0,$X106,IF(AND($T106&lt;&gt;"",EDATE($D106,Milestones!$AA$26)&gt;=$T106),$W106,IF(AND($S106&lt;&gt;"",EDATE($D106,Milestones!$AA$26)&gt;=$S106),$V106,$U106)))=Milestones!$AB$26),UPPER(TEXT(EDATE($D106,Milestones!$AA$26),"dd mmm yy"))&amp;" "&amp;Milestones!$AB$26&amp;" "&amp;Milestones!$AC$26&amp;";  ","")&amp;IF(AND(EDATE($D106,Milestones!$AA$27)&lt;=AsOfDate,IF($R106=0,$X106,IF(AND($T106&lt;&gt;"",EDATE($D106,Milestones!$AA$27)&gt;=$T106),$W106,IF(AND($S106&lt;&gt;"",EDATE($D106,Milestones!$AA$27)&gt;=$S106),$V106,$U106)))=Milestones!$AB$27),UPPER(TEXT(EDATE($D106,Milestones!$AA$27),"dd mmm yy"))&amp;" "&amp;Milestones!$AB$27&amp;" "&amp;Milestones!$AC$27&amp;";  ","")&amp;IF(AND(EDATE($D106,Milestones!$AA$28)&lt;=AsOfDate,IF($R106=0,$X106,IF(AND($T106&lt;&gt;"",EDATE($D106,Milestones!$AA$28)&gt;=$T106),$W106,IF(AND($S106&lt;&gt;"",EDATE($D106,Milestones!$AA$28)&gt;=$S106),$V106,$U106)))=Milestones!$AB$28),UPPER(TEXT(EDATE($D106,Milestones!$AA$28),"dd mmm yy"))&amp;" "&amp;Milestones!$AB$28&amp;" "&amp;Milestones!$AC$28&amp;";  ","")&amp;IF(AND(EDATE($D106,Milestones!$AA$29)&lt;=AsOfDate,IF($R106=0,$X106,IF(AND($T106&lt;&gt;"",EDATE($D106,Milestones!$AA$29)&gt;=$T106),$W106,IF(AND($S106&lt;&gt;"",EDATE($D106,Milestones!$AA$29)&gt;=$S106),$V106,$U106)))=Milestones!$AB$29),UPPER(TEXT(EDATE($D106,Milestones!$AA$29),"dd mmm yy"))&amp;" "&amp;Milestones!$AB$29&amp;" "&amp;Milestones!$AC$29&amp;";  ","")&amp;IF(AND(EDATE($D106,Milestones!$AA$30)&lt;=AsOfDate,IF($R106=0,$X106,IF(AND($T106&lt;&gt;"",EDATE($D106,Milestones!$AA$30)&gt;=$T106),$W106,IF(AND($S106&lt;&gt;"",EDATE($D106,Milestones!$AA$30)&gt;=$S106),$V106,$U106)))=Milestones!$AB$30),UPPER(TEXT(EDATE($D106,Milestones!$AA$30),"dd mmm yy"))&amp;" "&amp;Milestones!$AB$30&amp;" "&amp;Milestones!$AC$30&amp;";  ","")&amp;IF(AND(EDATE($D106,Milestones!$AA$31)&lt;=AsOfDate,IF($R106=0,$X106,IF(AND($T106&lt;&gt;"",EDATE($D106,Milestones!$AA$31)&gt;=$T106),$W106,IF(AND($S106&lt;&gt;"",EDATE($D106,Milestones!$AA$31)&gt;=$S106),$V106,$U106)))=Milestones!$AB$31),UPPER(TEXT(EDATE($D106,Milestones!$AA$31),"dd mmm yy"))&amp;" "&amp;Milestones!$AB$31&amp;" "&amp;Milestones!$AC$31&amp;";  ","")&amp;IF(AND(EDATE($D106,Milestones!$AA$32)&lt;=AsOfDate,IF($R106=0,$X106,IF(AND($T106&lt;&gt;"",EDATE($D106,Milestones!$AA$32)&gt;=$T106),$W106,IF(AND($S106&lt;&gt;"",EDATE($D106,Milestones!$AA$32)&gt;=$S106),$V106,$U106)))=Milestones!$AB$32),UPPER(TEXT(EDATE($D106,Milestones!$AA$32),"dd mmm yy"))&amp;" "&amp;Milestones!$AB$32&amp;" "&amp;Milestones!$AC$32&amp;";  ","")&amp;IF(AND(EDATE($D106,Milestones!$AA$33)&lt;=AsOfDate,IF($R106=0,$X106,IF(AND($T106&lt;&gt;"",EDATE($D106,Milestones!$AA$33)&gt;=$T106),$W106,IF(AND($S106&lt;&gt;"",EDATE($D106,Milestones!$AA$33)&gt;=$S106),$V106,$U106)))=Milestones!$AB$33),UPPER(TEXT(EDATE($D106,Milestones!$AA$33),"dd mmm yy"))&amp;" "&amp;Milestones!$AB$33&amp;" "&amp;Milestones!$AC$33&amp;";  ","")&amp;IF(AND(EDATE($D106,Milestones!$AA$34)&lt;=AsOfDate,IF($R106=0,$X106,IF(AND($T106&lt;&gt;"",EDATE($D106,Milestones!$AA$34)&gt;=$T106),$W106,IF(AND($S106&lt;&gt;"",EDATE($D106,Milestones!$AA$34)&gt;=$S106),$V106,$U106)))=Milestones!$AB$34),UPPER(TEXT(EDATE($D106,Milestones!$AA$34),"dd mmm yy"))&amp;" "&amp;Milestones!$AB$34&amp;" "&amp;Milestones!$AC$34&amp;";  ","")&amp;IF(AND(EDATE($D106,Milestones!$AA$35)&lt;=AsOfDate,IF($R106=0,$X106,IF(AND($T106&lt;&gt;"",EDATE($D106,Milestones!$AA$35)&gt;=$T106),$W106,IF(AND($S106&lt;&gt;"",EDATE($D106,Milestones!$AA$35)&gt;=$S106),$V106,$U106)))=Milestones!$AB$35),UPPER(TEXT(EDATE($D106,Milestones!$AA$35),"dd mmm yy"))&amp;" "&amp;Milestones!$AB$35&amp;" "&amp;Milestones!$AC$35&amp;";  ","")&amp;IF(AND(EDATE($D106,Milestones!$AA$36)&lt;=AsOfDate,IF($R106=0,$X106,IF(AND($T106&lt;&gt;"",EDATE($D106,Milestones!$AA$36)&gt;=$T106),$W106,IF(AND($S106&lt;&gt;"",EDATE($D106,Milestones!$AA$36)&gt;=$S106),$V106,$U106)))=Milestones!$AB$36),UPPER(TEXT(EDATE($D106,Milestones!$AA$36),"dd mmm yy"))&amp;" "&amp;Milestones!$AB$36&amp;" "&amp;Milestones!$AC$36&amp;";  ","")&amp;IF(AND(EDATE($D106,Milestones!$AA$37)&lt;=AsOfDate,IF($R106=0,$X106,IF(AND($T106&lt;&gt;"",EDATE($D106,Milestones!$AA$37)&gt;=$T106),$W106,IF(AND($S106&lt;&gt;"",EDATE($D106,Milestones!$AA$37)&gt;=$S106),$V106,$U106)))=Milestones!$AB$37),UPPER(TEXT(EDATE($D106,Milestones!$AA$37),"dd mmm yy"))&amp;" "&amp;Milestones!$AB$37&amp;" "&amp;Milestones!$AC$37&amp;";  ","")&amp;IF(AND(EDATE($D106,Milestones!$AA$38)&lt;=AsOfDate,IF($R106=0,$X106,IF(AND($T106&lt;&gt;"",EDATE($D106,Milestones!$AA$38)&gt;=$T106),$W106,IF(AND($S106&lt;&gt;"",EDATE($D106,Milestones!$AA$38)&gt;=$S106),$V106,$U106)))=Milestones!$AB$38),UPPER(TEXT(EDATE($D106,Milestones!$AA$38),"dd mmm yy"))&amp;" "&amp;Milestones!$AB$38&amp;" "&amp;Milestones!$AC$38&amp;";  ","")&amp;IF(AND(EDATE($D106,Milestones!$AA$39)&lt;=AsOfDate,IF($R106=0,$X106,IF(AND($T106&lt;&gt;"",EDATE($D106,Milestones!$AA$39)&gt;=$T106),$W106,IF(AND($S106&lt;&gt;"",EDATE($D106,Milestones!$AA$39)&gt;=$S106),$V106,$U106)))=Milestones!$AB$39),UPPER(TEXT(EDATE($D106,Milestones!$AA$39),"dd mmm yy"))&amp;" "&amp;Milestones!$AB$39&amp;" "&amp;Milestones!$AC$39&amp;";  ",""))</f>
        <v/>
      </c>
      <c r="J106" s="0" t="str">
        <f aca="false">IF(OR($A106="",$D106=""),"",IF(AND(EDATE($D106,Milestones!$AA$40)&lt;=AsOfDate,IF($R106=0,$X106,IF(AND($T106&lt;&gt;"",EDATE($D106,Milestones!$AA$40)&gt;=$T106),$W106,IF(AND($S106&lt;&gt;"",EDATE($D106,Milestones!$AA$40)&gt;=$S106),$V106,$U106)))=Milestones!$AB$40),UPPER(TEXT(EDATE($D106,Milestones!$AA$40),"dd mmm yy"))&amp;" "&amp;Milestones!$AB$40&amp;" "&amp;Milestones!$AC$40&amp;";  ","")&amp;IF(AND(EDATE($D106,Milestones!$AA$41)&lt;=AsOfDate,IF($R106=0,$X106,IF(AND($T106&lt;&gt;"",EDATE($D106,Milestones!$AA$41)&gt;=$T106),$W106,IF(AND($S106&lt;&gt;"",EDATE($D106,Milestones!$AA$41)&gt;=$S106),$V106,$U106)))=Milestones!$AB$41),UPPER(TEXT(EDATE($D106,Milestones!$AA$41),"dd mmm yy"))&amp;" "&amp;Milestones!$AB$41&amp;" "&amp;Milestones!$AC$41&amp;";  ","")&amp;IF(AND(EDATE($D106,Milestones!$AA$42)&lt;=AsOfDate,IF($R106=0,$X106,IF(AND($T106&lt;&gt;"",EDATE($D106,Milestones!$AA$42)&gt;=$T106),$W106,IF(AND($S106&lt;&gt;"",EDATE($D106,Milestones!$AA$42)&gt;=$S106),$V106,$U106)))=Milestones!$AB$42),UPPER(TEXT(EDATE($D106,Milestones!$AA$42),"dd mmm yy"))&amp;" "&amp;Milestones!$AB$42&amp;" "&amp;Milestones!$AC$42&amp;";  ","")&amp;IF(AND(EDATE($D106,Milestones!$AA$43)&lt;=AsOfDate,IF($R106=0,$X106,IF(AND($T106&lt;&gt;"",EDATE($D106,Milestones!$AA$43)&gt;=$T106),$W106,IF(AND($S106&lt;&gt;"",EDATE($D106,Milestones!$AA$43)&gt;=$S106),$V106,$U106)))=Milestones!$AB$43),UPPER(TEXT(EDATE($D106,Milestones!$AA$43),"dd mmm yy"))&amp;" "&amp;Milestones!$AB$43&amp;" "&amp;Milestones!$AC$43&amp;";  ","")&amp;IF(AND(EDATE($D106,Milestones!$AA$44)&lt;=AsOfDate,IF($R106=0,$X106,IF(AND($T106&lt;&gt;"",EDATE($D106,Milestones!$AA$44)&gt;=$T106),$W106,IF(AND($S106&lt;&gt;"",EDATE($D106,Milestones!$AA$44)&gt;=$S106),$V106,$U106)))=Milestones!$AB$44),UPPER(TEXT(EDATE($D106,Milestones!$AA$44),"dd mmm yy"))&amp;" "&amp;Milestones!$AB$44&amp;" "&amp;Milestones!$AC$44&amp;";  ","")&amp;IF(AND(EDATE($D106,Milestones!$AA$45)&lt;=AsOfDate,IF($R106=0,$X106,IF(AND($T106&lt;&gt;"",EDATE($D106,Milestones!$AA$45)&gt;=$T106),$W106,IF(AND($S106&lt;&gt;"",EDATE($D106,Milestones!$AA$45)&gt;=$S106),$V106,$U106)))=Milestones!$AB$45),UPPER(TEXT(EDATE($D106,Milestones!$AA$45),"dd mmm yy"))&amp;" "&amp;Milestones!$AB$45&amp;" "&amp;Milestones!$AC$45&amp;";  ","")&amp;IF(AND(EDATE($D106,Milestones!$AA$46)&lt;=AsOfDate,IF($R106=0,$X106,IF(AND($T106&lt;&gt;"",EDATE($D106,Milestones!$AA$46)&gt;=$T106),$W106,IF(AND($S106&lt;&gt;"",EDATE($D106,Milestones!$AA$46)&gt;=$S106),$V106,$U106)))=Milestones!$AB$46),UPPER(TEXT(EDATE($D106,Milestones!$AA$46),"dd mmm yy"))&amp;" "&amp;Milestones!$AB$46&amp;" "&amp;Milestones!$AC$46&amp;";  ","")&amp;IF(AND(EDATE($D106,Milestones!$AA$47)&lt;=AsOfDate,IF($R106=0,$X106,IF(AND($T106&lt;&gt;"",EDATE($D106,Milestones!$AA$47)&gt;=$T106),$W106,IF(AND($S106&lt;&gt;"",EDATE($D106,Milestones!$AA$47)&gt;=$S106),$V106,$U106)))=Milestones!$AB$47),UPPER(TEXT(EDATE($D106,Milestones!$AA$47),"dd mmm yy"))&amp;" "&amp;Milestones!$AB$47&amp;" "&amp;Milestones!$AC$47&amp;";  ","")&amp;IF(AND(EDATE($D106,Milestones!$AA$48)&lt;=AsOfDate,IF($R106=0,$X106,IF(AND($T106&lt;&gt;"",EDATE($D106,Milestones!$AA$48)&gt;=$T106),$W106,IF(AND($S106&lt;&gt;"",EDATE($D106,Milestones!$AA$48)&gt;=$S106),$V106,$U106)))=Milestones!$AB$48),UPPER(TEXT(EDATE($D106,Milestones!$AA$48),"dd mmm yy"))&amp;" "&amp;Milestones!$AB$48&amp;" "&amp;Milestones!$AC$48&amp;";  ","")&amp;IF(AND(EDATE($D106,Milestones!$AA$49)&lt;=AsOfDate,IF($R106=0,$X106,IF(AND($T106&lt;&gt;"",EDATE($D106,Milestones!$AA$49)&gt;=$T106),$W106,IF(AND($S106&lt;&gt;"",EDATE($D106,Milestones!$AA$49)&gt;=$S106),$V106,$U106)))=Milestones!$AB$49),UPPER(TEXT(EDATE($D106,Milestones!$AA$49),"dd mmm yy"))&amp;" "&amp;Milestones!$AB$49&amp;" "&amp;Milestones!$AC$49&amp;";  ","")&amp;IF(AND(EDATE($D106,Milestones!$AA$50)&lt;=AsOfDate,IF($R106=0,$X106,IF(AND($T106&lt;&gt;"",EDATE($D106,Milestones!$AA$50)&gt;=$T106),$W106,IF(AND($S106&lt;&gt;"",EDATE($D106,Milestones!$AA$50)&gt;=$S106),$V106,$U106)))=Milestones!$AB$50),UPPER(TEXT(EDATE($D106,Milestones!$AA$50),"dd mmm yy"))&amp;" "&amp;Milestones!$AB$50&amp;" "&amp;Milestones!$AC$50&amp;";  ","")&amp;IF(AND(EDATE($D106,Milestones!$AA$51)&lt;=AsOfDate,IF($R106=0,$X106,IF(AND($T106&lt;&gt;"",EDATE($D106,Milestones!$AA$51)&gt;=$T106),$W106,IF(AND($S106&lt;&gt;"",EDATE($D106,Milestones!$AA$51)&gt;=$S106),$V106,$U106)))=Milestones!$AB$51),UPPER(TEXT(EDATE($D106,Milestones!$AA$51),"dd mmm yy"))&amp;" "&amp;Milestones!$AB$51&amp;" "&amp;Milestones!$AC$51&amp;";  ","")&amp;IF(AND(EDATE($D106,Milestones!$AA$52)&lt;=AsOfDate,IF($R106=0,$X106,IF(AND($T106&lt;&gt;"",EDATE($D106,Milestones!$AA$52)&gt;=$T106),$W106,IF(AND($S106&lt;&gt;"",EDATE($D106,Milestones!$AA$52)&gt;=$S106),$V106,$U106)))=Milestones!$AB$52),UPPER(TEXT(EDATE($D106,Milestones!$AA$52),"dd mmm yy"))&amp;" "&amp;Milestones!$AB$52&amp;" "&amp;Milestones!$AC$52&amp;";  ","")&amp;IF(AND(EDATE($D106,Milestones!$AA$53)&lt;=AsOfDate,IF($R106=0,$X106,IF(AND($T106&lt;&gt;"",EDATE($D106,Milestones!$AA$53)&gt;=$T106),$W106,IF(AND($S106&lt;&gt;"",EDATE($D106,Milestones!$AA$53)&gt;=$S106),$V106,$U106)))=Milestones!$AB$53),UPPER(TEXT(EDATE($D106,Milestones!$AA$53),"dd mmm yy"))&amp;" "&amp;Milestones!$AB$53&amp;" "&amp;Milestones!$AC$53&amp;";  ","")&amp;IF(AND(EDATE($D106,Milestones!$AA$54)&lt;=AsOfDate,IF($R106=0,$X106,IF(AND($T106&lt;&gt;"",EDATE($D106,Milestones!$AA$54)&gt;=$T106),$W106,IF(AND($S106&lt;&gt;"",EDATE($D106,Milestones!$AA$54)&gt;=$S106),$V106,$U106)))=Milestones!$AB$54),UPPER(TEXT(EDATE($D106,Milestones!$AA$54),"dd mmm yy"))&amp;" "&amp;Milestones!$AB$54&amp;" "&amp;Milestones!$AC$54&amp;";  ","")&amp;IF(AND(EDATE($D106,Milestones!$AA$55)&lt;=AsOfDate,IF($R106=0,$X106,IF(AND($T106&lt;&gt;"",EDATE($D106,Milestones!$AA$55)&gt;=$T106),$W106,IF(AND($S106&lt;&gt;"",EDATE($D106,Milestones!$AA$55)&gt;=$S106),$V106,$U106)))=Milestones!$AB$55),UPPER(TEXT(EDATE($D106,Milestones!$AA$55),"dd mmm yy"))&amp;" "&amp;Milestones!$AB$55&amp;" "&amp;Milestones!$AC$55&amp;";  ","")&amp;IF(AND(EDATE($D106,Milestones!$AA$56)&lt;=AsOfDate,IF($R106=0,$X106,IF(AND($T106&lt;&gt;"",EDATE($D106,Milestones!$AA$56)&gt;=$T106),$W106,IF(AND($S106&lt;&gt;"",EDATE($D106,Milestones!$AA$56)&gt;=$S106),$V106,$U106)))=Milestones!$AB$56),UPPER(TEXT(EDATE($D106,Milestones!$AA$56),"dd mmm yy"))&amp;" "&amp;Milestones!$AB$56&amp;" "&amp;Milestones!$AC$56&amp;";  ","")&amp;IF(AND(EDATE($D106,Milestones!$AA$57)&lt;=AsOfDate,IF($R106=0,$X106,IF(AND($T106&lt;&gt;"",EDATE($D106,Milestones!$AA$57)&gt;=$T106),$W106,IF(AND($S106&lt;&gt;"",EDATE($D106,Milestones!$AA$57)&gt;=$S106),$V106,$U106)))=Milestones!$AB$57),UPPER(TEXT(EDATE($D106,Milestones!$AA$57),"dd mmm yy"))&amp;" "&amp;Milestones!$AB$57&amp;" "&amp;Milestones!$AC$57&amp;";  ","")&amp;IF(AND(EDATE($D106,Milestones!$AA$58)&lt;=AsOfDate,IF($R106=0,$X106,IF(AND($T106&lt;&gt;"",EDATE($D106,Milestones!$AA$58)&gt;=$T106),$W106,IF(AND($S106&lt;&gt;"",EDATE($D106,Milestones!$AA$58)&gt;=$S106),$V106,$U106)))=Milestones!$AB$58),UPPER(TEXT(EDATE($D106,Milestones!$AA$58),"dd mmm yy"))&amp;" "&amp;Milestones!$AB$58&amp;" "&amp;Milestones!$AC$58&amp;";  ","")&amp;IF(AND(EDATE($D106,Milestones!$AA$59)&lt;=AsOfDate,IF($R106=0,$X106,IF(AND($T106&lt;&gt;"",EDATE($D106,Milestones!$AA$59)&gt;=$T106),$W106,IF(AND($S106&lt;&gt;"",EDATE($D106,Milestones!$AA$59)&gt;=$S106),$V106,$U106)))=Milestones!$AB$59),UPPER(TEXT(EDATE($D106,Milestones!$AA$59),"dd mmm yy"))&amp;" "&amp;Milestones!$AB$59&amp;" "&amp;Milestones!$AC$59&amp;";  ",""))</f>
        <v/>
      </c>
      <c r="K106" s="0" t="str">
        <f aca="false">IF(OR($A106="",$D106=""),"",IF(AND(EDATE($D106,Milestones!$AA$60)&lt;=AsOfDate,IF($R106=0,$X106,IF(AND($T106&lt;&gt;"",EDATE($D106,Milestones!$AA$60)&gt;=$T106),$W106,IF(AND($S106&lt;&gt;"",EDATE($D106,Milestones!$AA$60)&gt;=$S106),$V106,$U106)))=Milestones!$AB$60),UPPER(TEXT(EDATE($D106,Milestones!$AA$60),"dd mmm yy"))&amp;" "&amp;Milestones!$AB$60&amp;" "&amp;Milestones!$AC$60&amp;";  ","")&amp;IF(AND(EDATE($D106,Milestones!$AA$61)&lt;=AsOfDate,IF($R106=0,$X106,IF(AND($T106&lt;&gt;"",EDATE($D106,Milestones!$AA$61)&gt;=$T106),$W106,IF(AND($S106&lt;&gt;"",EDATE($D106,Milestones!$AA$61)&gt;=$S106),$V106,$U106)))=Milestones!$AB$61),UPPER(TEXT(EDATE($D106,Milestones!$AA$61),"dd mmm yy"))&amp;" "&amp;Milestones!$AB$61&amp;" "&amp;Milestones!$AC$61&amp;";  ","")&amp;IF(AND(EDATE($D106,Milestones!$AA$62)&lt;=AsOfDate,IF($R106=0,$X106,IF(AND($T106&lt;&gt;"",EDATE($D106,Milestones!$AA$62)&gt;=$T106),$W106,IF(AND($S106&lt;&gt;"",EDATE($D106,Milestones!$AA$62)&gt;=$S106),$V106,$U106)))=Milestones!$AB$62),UPPER(TEXT(EDATE($D106,Milestones!$AA$62),"dd mmm yy"))&amp;" "&amp;Milestones!$AB$62&amp;" "&amp;Milestones!$AC$62&amp;";  ","")&amp;IF(AND(EDATE($D106,Milestones!$AA$63)&lt;=AsOfDate,IF($R106=0,$X106,IF(AND($T106&lt;&gt;"",EDATE($D106,Milestones!$AA$63)&gt;=$T106),$W106,IF(AND($S106&lt;&gt;"",EDATE($D106,Milestones!$AA$63)&gt;=$S106),$V106,$U106)))=Milestones!$AB$63),UPPER(TEXT(EDATE($D106,Milestones!$AA$63),"dd mmm yy"))&amp;" "&amp;Milestones!$AB$63&amp;" "&amp;Milestones!$AC$63&amp;";  ","")&amp;IF(AND(EDATE($D106,Milestones!$AA$64)&lt;=AsOfDate,IF($R106=0,$X106,IF(AND($T106&lt;&gt;"",EDATE($D106,Milestones!$AA$64)&gt;=$T106),$W106,IF(AND($S106&lt;&gt;"",EDATE($D106,Milestones!$AA$64)&gt;=$S106),$V106,$U106)))=Milestones!$AB$64),UPPER(TEXT(EDATE($D106,Milestones!$AA$64),"dd mmm yy"))&amp;" "&amp;Milestones!$AB$64&amp;" "&amp;Milestones!$AC$64&amp;";  ","")&amp;IF(AND(EDATE($D106,Milestones!$AA$65)&lt;=AsOfDate,IF($R106=0,$X106,IF(AND($T106&lt;&gt;"",EDATE($D106,Milestones!$AA$65)&gt;=$T106),$W106,IF(AND($S106&lt;&gt;"",EDATE($D106,Milestones!$AA$65)&gt;=$S106),$V106,$U106)))=Milestones!$AB$65),UPPER(TEXT(EDATE($D106,Milestones!$AA$65),"dd mmm yy"))&amp;" "&amp;Milestones!$AB$65&amp;" "&amp;Milestones!$AC$65&amp;";  ","")&amp;IF(AND(EDATE($D106,Milestones!$AA$66)&lt;=AsOfDate,IF($R106=0,$X106,IF(AND($T106&lt;&gt;"",EDATE($D106,Milestones!$AA$66)&gt;=$T106),$W106,IF(AND($S106&lt;&gt;"",EDATE($D106,Milestones!$AA$66)&gt;=$S106),$V106,$U106)))=Milestones!$AB$66),UPPER(TEXT(EDATE($D106,Milestones!$AA$66),"dd mmm yy"))&amp;" "&amp;Milestones!$AB$66&amp;" "&amp;Milestones!$AC$66&amp;";  ","")&amp;IF(AND(EDATE($D106,Milestones!$AA$67)&lt;=AsOfDate,IF($R106=0,$X106,IF(AND($T106&lt;&gt;"",EDATE($D106,Milestones!$AA$67)&gt;=$T106),$W106,IF(AND($S106&lt;&gt;"",EDATE($D106,Milestones!$AA$67)&gt;=$S106),$V106,$U106)))=Milestones!$AB$67),UPPER(TEXT(EDATE($D106,Milestones!$AA$67),"dd mmm yy"))&amp;" "&amp;Milestones!$AB$67&amp;" "&amp;Milestones!$AC$67&amp;";  ","")&amp;IF(AND(EDATE($D106,Milestones!$AA$68)&lt;=AsOfDate,IF($R106=0,$X106,IF(AND($T106&lt;&gt;"",EDATE($D106,Milestones!$AA$68)&gt;=$T106),$W106,IF(AND($S106&lt;&gt;"",EDATE($D106,Milestones!$AA$68)&gt;=$S106),$V106,$U106)))=Milestones!$AB$68),UPPER(TEXT(EDATE($D106,Milestones!$AA$68),"dd mmm yy"))&amp;" "&amp;Milestones!$AB$68&amp;" "&amp;Milestones!$AC$68&amp;";  ","")&amp;IF(AND(EDATE($D106,Milestones!$AA$69)&lt;=AsOfDate,IF($R106=0,$X106,IF(AND($T106&lt;&gt;"",EDATE($D106,Milestones!$AA$69)&gt;=$T106),$W106,IF(AND($S106&lt;&gt;"",EDATE($D106,Milestones!$AA$69)&gt;=$S106),$V106,$U106)))=Milestones!$AB$69),UPPER(TEXT(EDATE($D106,Milestones!$AA$69),"dd mmm yy"))&amp;" "&amp;Milestones!$AB$69&amp;" "&amp;Milestones!$AC$69&amp;";  ","")&amp;IF(AND(EDATE($D106,Milestones!$AA$70)&lt;=AsOfDate,IF($R106=0,$X106,IF(AND($T106&lt;&gt;"",EDATE($D106,Milestones!$AA$70)&gt;=$T106),$W106,IF(AND($S106&lt;&gt;"",EDATE($D106,Milestones!$AA$70)&gt;=$S106),$V106,$U106)))=Milestones!$AB$70),UPPER(TEXT(EDATE($D106,Milestones!$AA$70),"dd mmm yy"))&amp;" "&amp;Milestones!$AB$70&amp;" "&amp;Milestones!$AC$70&amp;";  ","")&amp;IF(AND(EDATE($D106,Milestones!$AA$71)&lt;=AsOfDate,IF($R106=0,$X106,IF(AND($T106&lt;&gt;"",EDATE($D106,Milestones!$AA$71)&gt;=$T106),$W106,IF(AND($S106&lt;&gt;"",EDATE($D106,Milestones!$AA$71)&gt;=$S106),$V106,$U106)))=Milestones!$AB$71),UPPER(TEXT(EDATE($D106,Milestones!$AA$71),"dd mmm yy"))&amp;" "&amp;Milestones!$AB$71&amp;" "&amp;Milestones!$AC$71&amp;";  ","")&amp;IF(AND(EDATE($D106,Milestones!$AA$72)&lt;=AsOfDate,IF($R106=0,$X106,IF(AND($T106&lt;&gt;"",EDATE($D106,Milestones!$AA$72)&gt;=$T106),$W106,IF(AND($S106&lt;&gt;"",EDATE($D106,Milestones!$AA$72)&gt;=$S106),$V106,$U106)))=Milestones!$AB$72),UPPER(TEXT(EDATE($D106,Milestones!$AA$72),"dd mmm yy"))&amp;" "&amp;Milestones!$AB$72&amp;" "&amp;Milestones!$AC$72&amp;";  ","")&amp;IF(AND(EDATE($D106,Milestones!$AA$73)&lt;=AsOfDate,IF($R106=0,$X106,IF(AND($T106&lt;&gt;"",EDATE($D106,Milestones!$AA$73)&gt;=$T106),$W106,IF(AND($S106&lt;&gt;"",EDATE($D106,Milestones!$AA$73)&gt;=$S106),$V106,$U106)))=Milestones!$AB$73),UPPER(TEXT(EDATE($D106,Milestones!$AA$73),"dd mmm yy"))&amp;" "&amp;Milestones!$AB$73&amp;" "&amp;Milestones!$AC$73&amp;";  ","")&amp;IF(AND(EDATE($D106,Milestones!$AA$74)&lt;=AsOfDate,IF($R106=0,$X106,IF(AND($T106&lt;&gt;"",EDATE($D106,Milestones!$AA$74)&gt;=$T106),$W106,IF(AND($S106&lt;&gt;"",EDATE($D106,Milestones!$AA$74)&gt;=$S106),$V106,$U106)))=Milestones!$AB$74),UPPER(TEXT(EDATE($D106,Milestones!$AA$74),"dd mmm yy"))&amp;" "&amp;Milestones!$AB$74&amp;" "&amp;Milestones!$AC$74&amp;";  ","")&amp;IF(AND(EDATE($D106,Milestones!$AA$75)&lt;=AsOfDate,IF($R106=0,$X106,IF(AND($T106&lt;&gt;"",EDATE($D106,Milestones!$AA$75)&gt;=$T106),$W106,IF(AND($S106&lt;&gt;"",EDATE($D106,Milestones!$AA$75)&gt;=$S106),$V106,$U106)))=Milestones!$AB$75),UPPER(TEXT(EDATE($D106,Milestones!$AA$75),"dd mmm yy"))&amp;" "&amp;Milestones!$AB$75&amp;" "&amp;Milestones!$AC$75&amp;";  ","")&amp;IF(AND(EDATE($D106,Milestones!$AA$76)&lt;=AsOfDate,IF($R106=0,$X106,IF(AND($T106&lt;&gt;"",EDATE($D106,Milestones!$AA$76)&gt;=$T106),$W106,IF(AND($S106&lt;&gt;"",EDATE($D106,Milestones!$AA$76)&gt;=$S106),$V106,$U106)))=Milestones!$AB$76),UPPER(TEXT(EDATE($D106,Milestones!$AA$76),"dd mmm yy"))&amp;" "&amp;Milestones!$AB$76&amp;" "&amp;Milestones!$AC$76&amp;";  ","")&amp;IF(AND(EDATE($D106,Milestones!$AA$77)&lt;=AsOfDate,IF($R106=0,$X106,IF(AND($T106&lt;&gt;"",EDATE($D106,Milestones!$AA$77)&gt;=$T106),$W106,IF(AND($S106&lt;&gt;"",EDATE($D106,Milestones!$AA$77)&gt;=$S106),$V106,$U106)))=Milestones!$AB$77),UPPER(TEXT(EDATE($D106,Milestones!$AA$77),"dd mmm yy"))&amp;" "&amp;Milestones!$AB$77&amp;" "&amp;Milestones!$AC$77&amp;";  ","")&amp;IF(AND(EDATE($D106,Milestones!$AA$78)&lt;=AsOfDate,IF($R106=0,$X106,IF(AND($T106&lt;&gt;"",EDATE($D106,Milestones!$AA$78)&gt;=$T106),$W106,IF(AND($S106&lt;&gt;"",EDATE($D106,Milestones!$AA$78)&gt;=$S106),$V106,$U106)))=Milestones!$AB$78),UPPER(TEXT(EDATE($D106,Milestones!$AA$78),"dd mmm yy"))&amp;" "&amp;Milestones!$AB$78&amp;" "&amp;Milestones!$AC$78&amp;";  ","")&amp;IF(AND(EDATE($D106,Milestones!$AA$79)&lt;=AsOfDate,IF($R106=0,$X106,IF(AND($T106&lt;&gt;"",EDATE($D106,Milestones!$AA$79)&gt;=$T106),$W106,IF(AND($S106&lt;&gt;"",EDATE($D106,Milestones!$AA$79)&gt;=$S106),$V106,$U106)))=Milestones!$AB$79),UPPER(TEXT(EDATE($D106,Milestones!$AA$79),"dd mmm yy"))&amp;" "&amp;Milestones!$AB$79&amp;" "&amp;Milestones!$AC$79&amp;";  ",""))</f>
        <v/>
      </c>
      <c r="L106" s="0" t="str">
        <f aca="false">IF(OR($A106="",$D106=""),"",IF(AND(EDATE($D106,Milestones!$AA$80)&lt;=AsOfDate,IF($R106=0,$X106,IF(AND($T106&lt;&gt;"",EDATE($D106,Milestones!$AA$80)&gt;=$T106),$W106,IF(AND($S106&lt;&gt;"",EDATE($D106,Milestones!$AA$80)&gt;=$S106),$V106,$U106)))=Milestones!$AB$80),UPPER(TEXT(EDATE($D106,Milestones!$AA$80),"dd mmm yy"))&amp;" "&amp;Milestones!$AB$80&amp;" "&amp;Milestones!$AC$80&amp;";  ","")&amp;IF(AND(EDATE($D106,Milestones!$AA$81)&lt;=AsOfDate,IF($R106=0,$X106,IF(AND($T106&lt;&gt;"",EDATE($D106,Milestones!$AA$81)&gt;=$T106),$W106,IF(AND($S106&lt;&gt;"",EDATE($D106,Milestones!$AA$81)&gt;=$S106),$V106,$U106)))=Milestones!$AB$81),UPPER(TEXT(EDATE($D106,Milestones!$AA$81),"dd mmm yy"))&amp;" "&amp;Milestones!$AB$81&amp;" "&amp;Milestones!$AC$81&amp;";  ","")&amp;IF(AND(EDATE($D106,Milestones!$AA$82)&lt;=AsOfDate,IF($R106=0,$X106,IF(AND($T106&lt;&gt;"",EDATE($D106,Milestones!$AA$82)&gt;=$T106),$W106,IF(AND($S106&lt;&gt;"",EDATE($D106,Milestones!$AA$82)&gt;=$S106),$V106,$U106)))=Milestones!$AB$82),UPPER(TEXT(EDATE($D106,Milestones!$AA$82),"dd mmm yy"))&amp;" "&amp;Milestones!$AB$82&amp;" "&amp;Milestones!$AC$82&amp;";  ","")&amp;IF(AND(EDATE($D106,Milestones!$AA$83)&lt;=AsOfDate,IF($R106=0,$X106,IF(AND($T106&lt;&gt;"",EDATE($D106,Milestones!$AA$83)&gt;=$T106),$W106,IF(AND($S106&lt;&gt;"",EDATE($D106,Milestones!$AA$83)&gt;=$S106),$V106,$U106)))=Milestones!$AB$83),UPPER(TEXT(EDATE($D106,Milestones!$AA$83),"dd mmm yy"))&amp;" "&amp;Milestones!$AB$83&amp;" "&amp;Milestones!$AC$83&amp;";  ","")&amp;IF(AND(EDATE($D106,Milestones!$AA$84)&lt;=AsOfDate,IF($R106=0,$X106,IF(AND($T106&lt;&gt;"",EDATE($D106,Milestones!$AA$84)&gt;=$T106),$W106,IF(AND($S106&lt;&gt;"",EDATE($D106,Milestones!$AA$84)&gt;=$S106),$V106,$U106)))=Milestones!$AB$84),UPPER(TEXT(EDATE($D106,Milestones!$AA$84),"dd mmm yy"))&amp;" "&amp;Milestones!$AB$84&amp;" "&amp;Milestones!$AC$84&amp;";  ","")&amp;IF(AND(EDATE($D106,Milestones!$AA$85)&lt;=AsOfDate,IF($R106=0,$X106,IF(AND($T106&lt;&gt;"",EDATE($D106,Milestones!$AA$85)&gt;=$T106),$W106,IF(AND($S106&lt;&gt;"",EDATE($D106,Milestones!$AA$85)&gt;=$S106),$V106,$U106)))=Milestones!$AB$85),UPPER(TEXT(EDATE($D106,Milestones!$AA$85),"dd mmm yy"))&amp;" "&amp;Milestones!$AB$85&amp;" "&amp;Milestones!$AC$85&amp;";  ","")&amp;IF(AND(EDATE($D106,Milestones!$AA$86)&lt;=AsOfDate,IF($R106=0,$X106,IF(AND($T106&lt;&gt;"",EDATE($D106,Milestones!$AA$86)&gt;=$T106),$W106,IF(AND($S106&lt;&gt;"",EDATE($D106,Milestones!$AA$86)&gt;=$S106),$V106,$U106)))=Milestones!$AB$86),UPPER(TEXT(EDATE($D106,Milestones!$AA$86),"dd mmm yy"))&amp;" "&amp;Milestones!$AB$86&amp;" "&amp;Milestones!$AC$86&amp;";  ","")&amp;IF(AND(EDATE($D106,Milestones!$AA$87)&lt;=AsOfDate,IF($R106=0,$X106,IF(AND($T106&lt;&gt;"",EDATE($D106,Milestones!$AA$87)&gt;=$T106),$W106,IF(AND($S106&lt;&gt;"",EDATE($D106,Milestones!$AA$87)&gt;=$S106),$V106,$U106)))=Milestones!$AB$87),UPPER(TEXT(EDATE($D106,Milestones!$AA$87),"dd mmm yy"))&amp;" "&amp;Milestones!$AB$87&amp;" "&amp;Milestones!$AC$87&amp;";  ","")&amp;IF(AND(EDATE($D106,Milestones!$AA$88)&lt;=AsOfDate,IF($R106=0,$X106,IF(AND($T106&lt;&gt;"",EDATE($D106,Milestones!$AA$88)&gt;=$T106),$W106,IF(AND($S106&lt;&gt;"",EDATE($D106,Milestones!$AA$88)&gt;=$S106),$V106,$U106)))=Milestones!$AB$88),UPPER(TEXT(EDATE($D106,Milestones!$AA$88),"dd mmm yy"))&amp;" "&amp;Milestones!$AB$88&amp;" "&amp;Milestones!$AC$88&amp;";  ","")&amp;IF(AND(EDATE($D106,Milestones!$AA$89)&lt;=AsOfDate,IF($R106=0,$X106,IF(AND($T106&lt;&gt;"",EDATE($D106,Milestones!$AA$89)&gt;=$T106),$W106,IF(AND($S106&lt;&gt;"",EDATE($D106,Milestones!$AA$89)&gt;=$S106),$V106,$U106)))=Milestones!$AB$89),UPPER(TEXT(EDATE($D106,Milestones!$AA$89),"dd mmm yy"))&amp;" "&amp;Milestones!$AB$89&amp;" "&amp;Milestones!$AC$89&amp;";  ","")&amp;IF(AND(EDATE($D106,Milestones!$AA$90)&lt;=AsOfDate,IF($R106=0,$X106,IF(AND($T106&lt;&gt;"",EDATE($D106,Milestones!$AA$90)&gt;=$T106),$W106,IF(AND($S106&lt;&gt;"",EDATE($D106,Milestones!$AA$90)&gt;=$S106),$V106,$U106)))=Milestones!$AB$90),UPPER(TEXT(EDATE($D106,Milestones!$AA$90),"dd mmm yy"))&amp;" "&amp;Milestones!$AB$90&amp;" "&amp;Milestones!$AC$90&amp;";  ","")&amp;IF(AND(EDATE($D106,Milestones!$AA$91)&lt;=AsOfDate,IF($R106=0,$X106,IF(AND($T106&lt;&gt;"",EDATE($D106,Milestones!$AA$91)&gt;=$T106),$W106,IF(AND($S106&lt;&gt;"",EDATE($D106,Milestones!$AA$91)&gt;=$S106),$V106,$U106)))=Milestones!$AB$91),UPPER(TEXT(EDATE($D106,Milestones!$AA$91),"dd mmm yy"))&amp;" "&amp;Milestones!$AB$91&amp;" "&amp;Milestones!$AC$91&amp;";  ","")&amp;IF(AND(EDATE($D106,Milestones!$AA$92)&lt;=AsOfDate,IF($R106=0,$X106,IF(AND($T106&lt;&gt;"",EDATE($D106,Milestones!$AA$92)&gt;=$T106),$W106,IF(AND($S106&lt;&gt;"",EDATE($D106,Milestones!$AA$92)&gt;=$S106),$V106,$U106)))=Milestones!$AB$92),UPPER(TEXT(EDATE($D106,Milestones!$AA$92),"dd mmm yy"))&amp;" "&amp;Milestones!$AB$92&amp;" "&amp;Milestones!$AC$92&amp;";  ","")&amp;IF(AND(EDATE($D106,Milestones!$AA$93)&lt;=AsOfDate,IF($R106=0,$X106,IF(AND($T106&lt;&gt;"",EDATE($D106,Milestones!$AA$93)&gt;=$T106),$W106,IF(AND($S106&lt;&gt;"",EDATE($D106,Milestones!$AA$93)&gt;=$S106),$V106,$U106)))=Milestones!$AB$93),UPPER(TEXT(EDATE($D106,Milestones!$AA$93),"dd mmm yy"))&amp;" "&amp;Milestones!$AB$93&amp;" "&amp;Milestones!$AC$93&amp;";  ","")&amp;IF(AND(EDATE($D106,Milestones!$AA$94)&lt;=AsOfDate,IF($R106=0,$X106,IF(AND($T106&lt;&gt;"",EDATE($D106,Milestones!$AA$94)&gt;=$T106),$W106,IF(AND($S106&lt;&gt;"",EDATE($D106,Milestones!$AA$94)&gt;=$S106),$V106,$U106)))=Milestones!$AB$94),UPPER(TEXT(EDATE($D106,Milestones!$AA$94),"dd mmm yy"))&amp;" "&amp;Milestones!$AB$94&amp;" "&amp;Milestones!$AC$94&amp;";  ","")&amp;IF(AND(EDATE($D106,Milestones!$AA$95)&lt;=AsOfDate,IF($R106=0,$X106,IF(AND($T106&lt;&gt;"",EDATE($D106,Milestones!$AA$95)&gt;=$T106),$W106,IF(AND($S106&lt;&gt;"",EDATE($D106,Milestones!$AA$95)&gt;=$S106),$V106,$U106)))=Milestones!$AB$95),UPPER(TEXT(EDATE($D106,Milestones!$AA$95),"dd mmm yy"))&amp;" "&amp;Milestones!$AB$95&amp;" "&amp;Milestones!$AC$95&amp;";  ","")&amp;IF(AND(EDATE($D106,Milestones!$AA$96)&lt;=AsOfDate,IF($R106=0,$X106,IF(AND($T106&lt;&gt;"",EDATE($D106,Milestones!$AA$96)&gt;=$T106),$W106,IF(AND($S106&lt;&gt;"",EDATE($D106,Milestones!$AA$96)&gt;=$S106),$V106,$U106)))=Milestones!$AB$96),UPPER(TEXT(EDATE($D106,Milestones!$AA$96),"dd mmm yy"))&amp;" "&amp;Milestones!$AB$96&amp;" "&amp;Milestones!$AC$96&amp;";  ","")&amp;IF(AND(EDATE($D106,Milestones!$AA$97)&lt;=AsOfDate,IF($R106=0,$X106,IF(AND($T106&lt;&gt;"",EDATE($D106,Milestones!$AA$97)&gt;=$T106),$W106,IF(AND($S106&lt;&gt;"",EDATE($D106,Milestones!$AA$97)&gt;=$S106),$V106,$U106)))=Milestones!$AB$97),UPPER(TEXT(EDATE($D106,Milestones!$AA$97),"dd mmm yy"))&amp;" "&amp;Milestones!$AB$97&amp;" "&amp;Milestones!$AC$97&amp;";  ","")&amp;IF(AND(EDATE($D106,Milestones!$AA$98)&lt;=AsOfDate,IF($R106=0,$X106,IF(AND($T106&lt;&gt;"",EDATE($D106,Milestones!$AA$98)&gt;=$T106),$W106,IF(AND($S106&lt;&gt;"",EDATE($D106,Milestones!$AA$98)&gt;=$S106),$V106,$U106)))=Milestones!$AB$98),UPPER(TEXT(EDATE($D106,Milestones!$AA$98),"dd mmm yy"))&amp;" "&amp;Milestones!$AB$98&amp;" "&amp;Milestones!$AC$98&amp;";  ","")&amp;IF(AND(EDATE($D106,Milestones!$AA$99)&lt;=AsOfDate,IF($R106=0,$X106,IF(AND($T106&lt;&gt;"",EDATE($D106,Milestones!$AA$99)&gt;=$T106),$W106,IF(AND($S106&lt;&gt;"",EDATE($D106,Milestones!$AA$99)&gt;=$S106),$V106,$U106)))=Milestones!$AB$99),UPPER(TEXT(EDATE($D106,Milestones!$AA$99),"dd mmm yy"))&amp;" "&amp;Milestones!$AB$99&amp;" "&amp;Milestones!$AC$99&amp;";  ",""))</f>
        <v/>
      </c>
      <c r="M106" s="0" t="str">
        <f aca="false">IF(OR($A106="",$D106=""),"",IF(AND(EDATE($D106,Milestones!$AA$100)&lt;=AsOfDate,IF($R106=0,$X106,IF(AND($T106&lt;&gt;"",EDATE($D106,Milestones!$AA$100)&gt;=$T106),$W106,IF(AND($S106&lt;&gt;"",EDATE($D106,Milestones!$AA$100)&gt;=$S106),$V106,$U106)))=Milestones!$AB$100),UPPER(TEXT(EDATE($D106,Milestones!$AA$100),"dd mmm yy"))&amp;" "&amp;Milestones!$AB$100&amp;" "&amp;Milestones!$AC$100&amp;";  ","")&amp;IF(AND(EDATE($D106,Milestones!$AA$101)&lt;=AsOfDate,IF($R106=0,$X106,IF(AND($T106&lt;&gt;"",EDATE($D106,Milestones!$AA$101)&gt;=$T106),$W106,IF(AND($S106&lt;&gt;"",EDATE($D106,Milestones!$AA$101)&gt;=$S106),$V106,$U106)))=Milestones!$AB$101),UPPER(TEXT(EDATE($D106,Milestones!$AA$101),"dd mmm yy"))&amp;" "&amp;Milestones!$AB$101&amp;" "&amp;Milestones!$AC$101&amp;";  ","")&amp;IF(AND(EDATE($D106,Milestones!$AA$102)&lt;=AsOfDate,IF($R106=0,$X106,IF(AND($T106&lt;&gt;"",EDATE($D106,Milestones!$AA$102)&gt;=$T106),$W106,IF(AND($S106&lt;&gt;"",EDATE($D106,Milestones!$AA$102)&gt;=$S106),$V106,$U106)))=Milestones!$AB$102),UPPER(TEXT(EDATE($D106,Milestones!$AA$102),"dd mmm yy"))&amp;" "&amp;Milestones!$AB$102&amp;" "&amp;Milestones!$AC$102&amp;";  ","")&amp;IF(AND(EDATE($D106,Milestones!$AA$103)&lt;=AsOfDate,IF($R106=0,$X106,IF(AND($T106&lt;&gt;"",EDATE($D106,Milestones!$AA$103)&gt;=$T106),$W106,IF(AND($S106&lt;&gt;"",EDATE($D106,Milestones!$AA$103)&gt;=$S106),$V106,$U106)))=Milestones!$AB$103),UPPER(TEXT(EDATE($D106,Milestones!$AA$103),"dd mmm yy"))&amp;" "&amp;Milestones!$AB$103&amp;" "&amp;Milestones!$AC$103&amp;";  ","")&amp;IF(AND(EDATE($D106,Milestones!$AA$104)&lt;=AsOfDate,IF($R106=0,$X106,IF(AND($T106&lt;&gt;"",EDATE($D106,Milestones!$AA$104)&gt;=$T106),$W106,IF(AND($S106&lt;&gt;"",EDATE($D106,Milestones!$AA$104)&gt;=$S106),$V106,$U106)))=Milestones!$AB$104),UPPER(TEXT(EDATE($D106,Milestones!$AA$104),"dd mmm yy"))&amp;" "&amp;Milestones!$AB$104&amp;" "&amp;Milestones!$AC$104&amp;";  ","")&amp;IF(AND(EDATE($D106,Milestones!$AA$105)&lt;=AsOfDate,IF($R106=0,$X106,IF(AND($T106&lt;&gt;"",EDATE($D106,Milestones!$AA$105)&gt;=$T106),$W106,IF(AND($S106&lt;&gt;"",EDATE($D106,Milestones!$AA$105)&gt;=$S106),$V106,$U106)))=Milestones!$AB$105),UPPER(TEXT(EDATE($D106,Milestones!$AA$105),"dd mmm yy"))&amp;" "&amp;Milestones!$AB$105&amp;" "&amp;Milestones!$AC$105&amp;";  ","")&amp;IF(AND(EDATE($D106,Milestones!$AA$106)&lt;=AsOfDate,IF($R106=0,$X106,IF(AND($T106&lt;&gt;"",EDATE($D106,Milestones!$AA$106)&gt;=$T106),$W106,IF(AND($S106&lt;&gt;"",EDATE($D106,Milestones!$AA$106)&gt;=$S106),$V106,$U106)))=Milestones!$AB$106),UPPER(TEXT(EDATE($D106,Milestones!$AA$106),"dd mmm yy"))&amp;" "&amp;Milestones!$AB$106&amp;" "&amp;Milestones!$AC$106&amp;";  ","")&amp;IF(AND(EDATE($D106,Milestones!$AA$107)&lt;=AsOfDate,IF($R106=0,$X106,IF(AND($T106&lt;&gt;"",EDATE($D106,Milestones!$AA$107)&gt;=$T106),$W106,IF(AND($S106&lt;&gt;"",EDATE($D106,Milestones!$AA$107)&gt;=$S106),$V106,$U106)))=Milestones!$AB$107),UPPER(TEXT(EDATE($D106,Milestones!$AA$107),"dd mmm yy"))&amp;" "&amp;Milestones!$AB$107&amp;" "&amp;Milestones!$AC$107&amp;";  ","")&amp;IF(AND(EDATE($D106,Milestones!$AA$108)&lt;=AsOfDate,IF($R106=0,$X106,IF(AND($T106&lt;&gt;"",EDATE($D106,Milestones!$AA$108)&gt;=$T106),$W106,IF(AND($S106&lt;&gt;"",EDATE($D106,Milestones!$AA$108)&gt;=$S106),$V106,$U106)))=Milestones!$AB$108),UPPER(TEXT(EDATE($D106,Milestones!$AA$108),"dd mmm yy"))&amp;" "&amp;Milestones!$AB$108&amp;" "&amp;Milestones!$AC$108&amp;";  ","")&amp;IF(AND(EDATE($D106,Milestones!$AA$109)&lt;=AsOfDate,IF($R106=0,$X106,IF(AND($T106&lt;&gt;"",EDATE($D106,Milestones!$AA$109)&gt;=$T106),$W106,IF(AND($S106&lt;&gt;"",EDATE($D106,Milestones!$AA$109)&gt;=$S106),$V106,$U106)))=Milestones!$AB$109),UPPER(TEXT(EDATE($D106,Milestones!$AA$109),"dd mmm yy"))&amp;" "&amp;Milestones!$AB$109&amp;" "&amp;Milestones!$AC$109&amp;";  ","")&amp;IF(AND(EDATE($D106,Milestones!$AA$110)&lt;=AsOfDate,IF($R106=0,$X106,IF(AND($T106&lt;&gt;"",EDATE($D106,Milestones!$AA$110)&gt;=$T106),$W106,IF(AND($S106&lt;&gt;"",EDATE($D106,Milestones!$AA$110)&gt;=$S106),$V106,$U106)))=Milestones!$AB$110),UPPER(TEXT(EDATE($D106,Milestones!$AA$110),"dd mmm yy"))&amp;" "&amp;Milestones!$AB$110&amp;" "&amp;Milestones!$AC$110&amp;";  ","")&amp;IF(AND(EDATE($D106,Milestones!$AA$111)&lt;=AsOfDate,IF($R106=0,$X106,IF(AND($T106&lt;&gt;"",EDATE($D106,Milestones!$AA$111)&gt;=$T106),$W106,IF(AND($S106&lt;&gt;"",EDATE($D106,Milestones!$AA$111)&gt;=$S106),$V106,$U106)))=Milestones!$AB$111),UPPER(TEXT(EDATE($D106,Milestones!$AA$111),"dd mmm yy"))&amp;" "&amp;Milestones!$AB$111&amp;" "&amp;Milestones!$AC$111&amp;";  ","")&amp;IF(AND(EDATE($D106,Milestones!$AA$112)&lt;=AsOfDate,IF($R106=0,$X106,IF(AND($T106&lt;&gt;"",EDATE($D106,Milestones!$AA$112)&gt;=$T106),$W106,IF(AND($S106&lt;&gt;"",EDATE($D106,Milestones!$AA$112)&gt;=$S106),$V106,$U106)))=Milestones!$AB$112),UPPER(TEXT(EDATE($D106,Milestones!$AA$112),"dd mmm yy"))&amp;" "&amp;Milestones!$AB$112&amp;" "&amp;Milestones!$AC$112&amp;";  ","")&amp;IF(AND(EDATE($D106,Milestones!$AA$113)&lt;=AsOfDate,IF($R106=0,$X106,IF(AND($T106&lt;&gt;"",EDATE($D106,Milestones!$AA$113)&gt;=$T106),$W106,IF(AND($S106&lt;&gt;"",EDATE($D106,Milestones!$AA$113)&gt;=$S106),$V106,$U106)))=Milestones!$AB$113),UPPER(TEXT(EDATE($D106,Milestones!$AA$113),"dd mmm yy"))&amp;" "&amp;Milestones!$AB$113&amp;" "&amp;Milestones!$AC$113&amp;";  ","")&amp;IF(AND(EDATE($D106,Milestones!$AA$114)&lt;=AsOfDate,IF($R106=0,$X106,IF(AND($T106&lt;&gt;"",EDATE($D106,Milestones!$AA$114)&gt;=$T106),$W106,IF(AND($S106&lt;&gt;"",EDATE($D106,Milestones!$AA$114)&gt;=$S106),$V106,$U106)))=Milestones!$AB$114),UPPER(TEXT(EDATE($D106,Milestones!$AA$114),"dd mmm yy"))&amp;" "&amp;Milestones!$AB$114&amp;" "&amp;Milestones!$AC$114&amp;";  ","")&amp;IF(AND(EDATE($D106,Milestones!$AA$115)&lt;=AsOfDate,IF($R106=0,$X106,IF(AND($T106&lt;&gt;"",EDATE($D106,Milestones!$AA$115)&gt;=$T106),$W106,IF(AND($S106&lt;&gt;"",EDATE($D106,Milestones!$AA$115)&gt;=$S106),$V106,$U106)))=Milestones!$AB$115),UPPER(TEXT(EDATE($D106,Milestones!$AA$115),"dd mmm yy"))&amp;" "&amp;Milestones!$AB$115&amp;" "&amp;Milestones!$AC$115&amp;";  ","")&amp;IF(AND(EDATE($D106,Milestones!$AA$116)&lt;=AsOfDate,IF($R106=0,$X106,IF(AND($T106&lt;&gt;"",EDATE($D106,Milestones!$AA$116)&gt;=$T106),$W106,IF(AND($S106&lt;&gt;"",EDATE($D106,Milestones!$AA$116)&gt;=$S106),$V106,$U106)))=Milestones!$AB$116),UPPER(TEXT(EDATE($D106,Milestones!$AA$116),"dd mmm yy"))&amp;" "&amp;Milestones!$AB$116&amp;" "&amp;Milestones!$AC$116&amp;";  ","")&amp;IF(AND(EDATE($D106,Milestones!$AA$117)&lt;=AsOfDate,IF($R106=0,$X106,IF(AND($T106&lt;&gt;"",EDATE($D106,Milestones!$AA$117)&gt;=$T106),$W106,IF(AND($S106&lt;&gt;"",EDATE($D106,Milestones!$AA$117)&gt;=$S106),$V106,$U106)))=Milestones!$AB$117),UPPER(TEXT(EDATE($D106,Milestones!$AA$117),"dd mmm yy"))&amp;" "&amp;Milestones!$AB$117&amp;" "&amp;Milestones!$AC$117&amp;";  ","")&amp;IF(AND(EDATE($D106,Milestones!$AA$118)&lt;=AsOfDate,IF($R106=0,$X106,IF(AND($T106&lt;&gt;"",EDATE($D106,Milestones!$AA$118)&gt;=$T106),$W106,IF(AND($S106&lt;&gt;"",EDATE($D106,Milestones!$AA$118)&gt;=$S106),$V106,$U106)))=Milestones!$AB$118),UPPER(TEXT(EDATE($D106,Milestones!$AA$118),"dd mmm yy"))&amp;" "&amp;Milestones!$AB$118&amp;" "&amp;Milestones!$AC$118&amp;";  ","")&amp;IF(AND(EDATE($D106,Milestones!$AA$119)&lt;=AsOfDate,IF($R106=0,$X106,IF(AND($T106&lt;&gt;"",EDATE($D106,Milestones!$AA$119)&gt;=$T106),$W106,IF(AND($S106&lt;&gt;"",EDATE($D106,Milestones!$AA$119)&gt;=$S106),$V106,$U106)))=Milestones!$AB$119),UPPER(TEXT(EDATE($D106,Milestones!$AA$119),"dd mmm yy"))&amp;" "&amp;Milestones!$AB$119&amp;" "&amp;Milestones!$AC$119&amp;";  ",""))</f>
        <v/>
      </c>
      <c r="N106" s="0" t="str">
        <f aca="false">IF(OR($A106="",$D106=""),"",IF(AND(EDATE($D106,Milestones!$AA$120)&lt;=AsOfDate,IF($R106=0,$X106,IF(AND($T106&lt;&gt;"",EDATE($D106,Milestones!$AA$120)&gt;=$T106),$W106,IF(AND($S106&lt;&gt;"",EDATE($D106,Milestones!$AA$120)&gt;=$S106),$V106,$U106)))=Milestones!$AB$120),UPPER(TEXT(EDATE($D106,Milestones!$AA$120),"dd mmm yy"))&amp;" "&amp;Milestones!$AB$120&amp;" "&amp;Milestones!$AC$120&amp;";  ","")&amp;IF(AND(EDATE($D106,Milestones!$AA$121)&lt;=AsOfDate,IF($R106=0,$X106,IF(AND($T106&lt;&gt;"",EDATE($D106,Milestones!$AA$121)&gt;=$T106),$W106,IF(AND($S106&lt;&gt;"",EDATE($D106,Milestones!$AA$121)&gt;=$S106),$V106,$U106)))=Milestones!$AB$121),UPPER(TEXT(EDATE($D106,Milestones!$AA$121),"dd mmm yy"))&amp;" "&amp;Milestones!$AB$121&amp;" "&amp;Milestones!$AC$121&amp;";  ","")&amp;IF(AND(EDATE($D106,Milestones!$AA$122)&lt;=AsOfDate,IF($R106=0,$X106,IF(AND($T106&lt;&gt;"",EDATE($D106,Milestones!$AA$122)&gt;=$T106),$W106,IF(AND($S106&lt;&gt;"",EDATE($D106,Milestones!$AA$122)&gt;=$S106),$V106,$U106)))=Milestones!$AB$122),UPPER(TEXT(EDATE($D106,Milestones!$AA$122),"dd mmm yy"))&amp;" "&amp;Milestones!$AB$122&amp;" "&amp;Milestones!$AC$122&amp;";  ","")&amp;IF(AND(EDATE($D106,Milestones!$AA$123)&lt;=AsOfDate,IF($R106=0,$X106,IF(AND($T106&lt;&gt;"",EDATE($D106,Milestones!$AA$123)&gt;=$T106),$W106,IF(AND($S106&lt;&gt;"",EDATE($D106,Milestones!$AA$123)&gt;=$S106),$V106,$U106)))=Milestones!$AB$123),UPPER(TEXT(EDATE($D106,Milestones!$AA$123),"dd mmm yy"))&amp;" "&amp;Milestones!$AB$123&amp;" "&amp;Milestones!$AC$123&amp;";  ","")&amp;IF(AND(EDATE($D106,Milestones!$AA$124)&lt;=AsOfDate,IF($R106=0,$X106,IF(AND($T106&lt;&gt;"",EDATE($D106,Milestones!$AA$124)&gt;=$T106),$W106,IF(AND($S106&lt;&gt;"",EDATE($D106,Milestones!$AA$124)&gt;=$S106),$V106,$U106)))=Milestones!$AB$124),UPPER(TEXT(EDATE($D106,Milestones!$AA$124),"dd mmm yy"))&amp;" "&amp;Milestones!$AB$124&amp;" "&amp;Milestones!$AC$124&amp;";  ","")&amp;IF(AND(EDATE($D106,Milestones!$AA$125)&lt;=AsOfDate,IF($R106=0,$X106,IF(AND($T106&lt;&gt;"",EDATE($D106,Milestones!$AA$125)&gt;=$T106),$W106,IF(AND($S106&lt;&gt;"",EDATE($D106,Milestones!$AA$125)&gt;=$S106),$V106,$U106)))=Milestones!$AB$125),UPPER(TEXT(EDATE($D106,Milestones!$AA$125),"dd mmm yy"))&amp;" "&amp;Milestones!$AB$125&amp;" "&amp;Milestones!$AC$125&amp;";  ","")&amp;IF(AND(EDATE($D106,Milestones!$AA$126)&lt;=AsOfDate,IF($R106=0,$X106,IF(AND($T106&lt;&gt;"",EDATE($D106,Milestones!$AA$126)&gt;=$T106),$W106,IF(AND($S106&lt;&gt;"",EDATE($D106,Milestones!$AA$126)&gt;=$S106),$V106,$U106)))=Milestones!$AB$126),UPPER(TEXT(EDATE($D106,Milestones!$AA$126),"dd mmm yy"))&amp;" "&amp;Milestones!$AB$126&amp;" "&amp;Milestones!$AC$126&amp;";  ","")&amp;IF(AND(EDATE($D106,Milestones!$AA$127)&lt;=AsOfDate,IF($R106=0,$X106,IF(AND($T106&lt;&gt;"",EDATE($D106,Milestones!$AA$127)&gt;=$T106),$W106,IF(AND($S106&lt;&gt;"",EDATE($D106,Milestones!$AA$127)&gt;=$S106),$V106,$U106)))=Milestones!$AB$127),UPPER(TEXT(EDATE($D106,Milestones!$AA$127),"dd mmm yy"))&amp;" "&amp;Milestones!$AB$127&amp;" "&amp;Milestones!$AC$127&amp;";  ","")&amp;IF(AND(EDATE($D106,Milestones!$AA$128)&lt;=AsOfDate,IF($R106=0,$X106,IF(AND($T106&lt;&gt;"",EDATE($D106,Milestones!$AA$128)&gt;=$T106),$W106,IF(AND($S106&lt;&gt;"",EDATE($D106,Milestones!$AA$128)&gt;=$S106),$V106,$U106)))=Milestones!$AB$128),UPPER(TEXT(EDATE($D106,Milestones!$AA$128),"dd mmm yy"))&amp;" "&amp;Milestones!$AB$128&amp;" "&amp;Milestones!$AC$128&amp;";  ","")&amp;IF(AND(EDATE($D106,Milestones!$AA$129)&lt;=AsOfDate,IF($R106=0,$X106,IF(AND($T106&lt;&gt;"",EDATE($D106,Milestones!$AA$129)&gt;=$T106),$W106,IF(AND($S106&lt;&gt;"",EDATE($D106,Milestones!$AA$129)&gt;=$S106),$V106,$U106)))=Milestones!$AB$129),UPPER(TEXT(EDATE($D106,Milestones!$AA$129),"dd mmm yy"))&amp;" "&amp;Milestones!$AB$129&amp;" "&amp;Milestones!$AC$129&amp;";  ","")&amp;IF(AND(EDATE($D106,Milestones!$AA$130)&lt;=AsOfDate,IF($R106=0,$X106,IF(AND($T106&lt;&gt;"",EDATE($D106,Milestones!$AA$130)&gt;=$T106),$W106,IF(AND($S106&lt;&gt;"",EDATE($D106,Milestones!$AA$130)&gt;=$S106),$V106,$U106)))=Milestones!$AB$130),UPPER(TEXT(EDATE($D106,Milestones!$AA$130),"dd mmm yy"))&amp;" "&amp;Milestones!$AB$130&amp;" "&amp;Milestones!$AC$130&amp;";  ","")&amp;IF(AND(EDATE($D106,Milestones!$AA$131)&lt;=AsOfDate,IF($R106=0,$X106,IF(AND($T106&lt;&gt;"",EDATE($D106,Milestones!$AA$131)&gt;=$T106),$W106,IF(AND($S106&lt;&gt;"",EDATE($D106,Milestones!$AA$131)&gt;=$S106),$V106,$U106)))=Milestones!$AB$131),UPPER(TEXT(EDATE($D106,Milestones!$AA$131),"dd mmm yy"))&amp;" "&amp;Milestones!$AB$131&amp;" "&amp;Milestones!$AC$131&amp;";  ","")&amp;IF(AND(EDATE($D106,Milestones!$AA$132)&lt;=AsOfDate,IF($R106=0,$X106,IF(AND($T106&lt;&gt;"",EDATE($D106,Milestones!$AA$132)&gt;=$T106),$W106,IF(AND($S106&lt;&gt;"",EDATE($D106,Milestones!$AA$132)&gt;=$S106),$V106,$U106)))=Milestones!$AB$132),UPPER(TEXT(EDATE($D106,Milestones!$AA$132),"dd mmm yy"))&amp;" "&amp;Milestones!$AB$132&amp;" "&amp;Milestones!$AC$132&amp;";  ","")&amp;IF(AND(EDATE($D106,Milestones!$AA$133)&lt;=AsOfDate,IF($R106=0,$X106,IF(AND($T106&lt;&gt;"",EDATE($D106,Milestones!$AA$133)&gt;=$T106),$W106,IF(AND($S106&lt;&gt;"",EDATE($D106,Milestones!$AA$133)&gt;=$S106),$V106,$U106)))=Milestones!$AB$133),UPPER(TEXT(EDATE($D106,Milestones!$AA$133),"dd mmm yy"))&amp;" "&amp;Milestones!$AB$133&amp;" "&amp;Milestones!$AC$133&amp;";  ","")&amp;IF(AND(EDATE($D106,Milestones!$AA$134)&lt;=AsOfDate,IF($R106=0,$X106,IF(AND($T106&lt;&gt;"",EDATE($D106,Milestones!$AA$134)&gt;=$T106),$W106,IF(AND($S106&lt;&gt;"",EDATE($D106,Milestones!$AA$134)&gt;=$S106),$V106,$U106)))=Milestones!$AB$134),UPPER(TEXT(EDATE($D106,Milestones!$AA$134),"dd mmm yy"))&amp;" "&amp;Milestones!$AB$134&amp;" "&amp;Milestones!$AC$134&amp;";  ","")&amp;IF(AND(EDATE($D106,Milestones!$AA$135)&lt;=AsOfDate,IF($R106=0,$X106,IF(AND($T106&lt;&gt;"",EDATE($D106,Milestones!$AA$135)&gt;=$T106),$W106,IF(AND($S106&lt;&gt;"",EDATE($D106,Milestones!$AA$135)&gt;=$S106),$V106,$U106)))=Milestones!$AB$135),UPPER(TEXT(EDATE($D106,Milestones!$AA$135),"dd mmm yy"))&amp;" "&amp;Milestones!$AB$135&amp;" "&amp;Milestones!$AC$135&amp;";  ","")&amp;IF(AND(EDATE($D106,Milestones!$AA$136)&lt;=AsOfDate,IF($R106=0,$X106,IF(AND($T106&lt;&gt;"",EDATE($D106,Milestones!$AA$136)&gt;=$T106),$W106,IF(AND($S106&lt;&gt;"",EDATE($D106,Milestones!$AA$136)&gt;=$S106),$V106,$U106)))=Milestones!$AB$136),UPPER(TEXT(EDATE($D106,Milestones!$AA$136),"dd mmm yy"))&amp;" "&amp;Milestones!$AB$136&amp;" "&amp;Milestones!$AC$136&amp;";  ","")&amp;IF(AND(EDATE($D106,Milestones!$AA$137)&lt;=AsOfDate,IF($R106=0,$X106,IF(AND($T106&lt;&gt;"",EDATE($D106,Milestones!$AA$137)&gt;=$T106),$W106,IF(AND($S106&lt;&gt;"",EDATE($D106,Milestones!$AA$137)&gt;=$S106),$V106,$U106)))=Milestones!$AB$137),UPPER(TEXT(EDATE($D106,Milestones!$AA$137),"dd mmm yy"))&amp;" "&amp;Milestones!$AB$137&amp;" "&amp;Milestones!$AC$137&amp;";  ","")&amp;IF(AND(EDATE($D106,Milestones!$AA$138)&lt;=AsOfDate,IF($R106=0,$X106,IF(AND($T106&lt;&gt;"",EDATE($D106,Milestones!$AA$138)&gt;=$T106),$W106,IF(AND($S106&lt;&gt;"",EDATE($D106,Milestones!$AA$138)&gt;=$S106),$V106,$U106)))=Milestones!$AB$138),UPPER(TEXT(EDATE($D106,Milestones!$AA$138),"dd mmm yy"))&amp;" "&amp;Milestones!$AB$138&amp;" "&amp;Milestones!$AC$138&amp;";  ","")&amp;IF(AND(EDATE($D106,Milestones!$AA$139)&lt;=AsOfDate,IF($R106=0,$X106,IF(AND($T106&lt;&gt;"",EDATE($D106,Milestones!$AA$139)&gt;=$T106),$W106,IF(AND($S106&lt;&gt;"",EDATE($D106,Milestones!$AA$139)&gt;=$S106),$V106,$U106)))=Milestones!$AB$139),UPPER(TEXT(EDATE($D106,Milestones!$AA$139),"dd mmm yy"))&amp;" "&amp;Milestones!$AB$139&amp;" "&amp;Milestones!$AC$139&amp;";  ",""))</f>
        <v/>
      </c>
      <c r="O106" s="0" t="str">
        <f aca="false">IF(OR($A106="",$D106=""),"",IF(AND(EDATE($D106,Milestones!$AA$140)&lt;=AsOfDate,IF($R106=0,$X106,IF(AND($T106&lt;&gt;"",EDATE($D106,Milestones!$AA$140)&gt;=$T106),$W106,IF(AND($S106&lt;&gt;"",EDATE($D106,Milestones!$AA$140)&gt;=$S106),$V106,$U106)))=Milestones!$AB$140),UPPER(TEXT(EDATE($D106,Milestones!$AA$140),"dd mmm yy"))&amp;" "&amp;Milestones!$AB$140&amp;" "&amp;Milestones!$AC$140&amp;";  ","")&amp;IF(AND(EDATE($D106,Milestones!$AA$141)&lt;=AsOfDate,IF($R106=0,$X106,IF(AND($T106&lt;&gt;"",EDATE($D106,Milestones!$AA$141)&gt;=$T106),$W106,IF(AND($S106&lt;&gt;"",EDATE($D106,Milestones!$AA$141)&gt;=$S106),$V106,$U106)))=Milestones!$AB$141),UPPER(TEXT(EDATE($D106,Milestones!$AA$141),"dd mmm yy"))&amp;" "&amp;Milestones!$AB$141&amp;" "&amp;Milestones!$AC$141&amp;";  ","")&amp;IF(AND(EDATE($D106,Milestones!$AA$142)&lt;=AsOfDate,IF($R106=0,$X106,IF(AND($T106&lt;&gt;"",EDATE($D106,Milestones!$AA$142)&gt;=$T106),$W106,IF(AND($S106&lt;&gt;"",EDATE($D106,Milestones!$AA$142)&gt;=$S106),$V106,$U106)))=Milestones!$AB$142),UPPER(TEXT(EDATE($D106,Milestones!$AA$142),"dd mmm yy"))&amp;" "&amp;Milestones!$AB$142&amp;" "&amp;Milestones!$AC$142&amp;";  ","")&amp;IF(AND(EDATE($D106,Milestones!$AA$143)&lt;=AsOfDate,IF($R106=0,$X106,IF(AND($T106&lt;&gt;"",EDATE($D106,Milestones!$AA$143)&gt;=$T106),$W106,IF(AND($S106&lt;&gt;"",EDATE($D106,Milestones!$AA$143)&gt;=$S106),$V106,$U106)))=Milestones!$AB$143),UPPER(TEXT(EDATE($D106,Milestones!$AA$143),"dd mmm yy"))&amp;" "&amp;Milestones!$AB$143&amp;" "&amp;Milestones!$AC$143&amp;";  ","")&amp;IF(AND(EDATE($D106,Milestones!$AA$144)&lt;=AsOfDate,IF($R106=0,$X106,IF(AND($T106&lt;&gt;"",EDATE($D106,Milestones!$AA$144)&gt;=$T106),$W106,IF(AND($S106&lt;&gt;"",EDATE($D106,Milestones!$AA$144)&gt;=$S106),$V106,$U106)))=Milestones!$AB$144),UPPER(TEXT(EDATE($D106,Milestones!$AA$144),"dd mmm yy"))&amp;" "&amp;Milestones!$AB$144&amp;" "&amp;Milestones!$AC$144&amp;";  ","")&amp;IF(AND(EDATE($D106,Milestones!$AA$145)&lt;=AsOfDate,IF($R106=0,$X106,IF(AND($T106&lt;&gt;"",EDATE($D106,Milestones!$AA$145)&gt;=$T106),$W106,IF(AND($S106&lt;&gt;"",EDATE($D106,Milestones!$AA$145)&gt;=$S106),$V106,$U106)))=Milestones!$AB$145),UPPER(TEXT(EDATE($D106,Milestones!$AA$145),"dd mmm yy"))&amp;" "&amp;Milestones!$AB$145&amp;" "&amp;Milestones!$AC$145&amp;";  ","")&amp;IF(AND(EDATE($D106,Milestones!$AA$146)&lt;=AsOfDate,IF($R106=0,$X106,IF(AND($T106&lt;&gt;"",EDATE($D106,Milestones!$AA$146)&gt;=$T106),$W106,IF(AND($S106&lt;&gt;"",EDATE($D106,Milestones!$AA$146)&gt;=$S106),$V106,$U106)))=Milestones!$AB$146),UPPER(TEXT(EDATE($D106,Milestones!$AA$146),"dd mmm yy"))&amp;" "&amp;Milestones!$AB$146&amp;" "&amp;Milestones!$AC$146&amp;";  ","")&amp;IF(AND(EDATE($D106,Milestones!$AA$147)&lt;=AsOfDate,IF($R106=0,$X106,IF(AND($T106&lt;&gt;"",EDATE($D106,Milestones!$AA$147)&gt;=$T106),$W106,IF(AND($S106&lt;&gt;"",EDATE($D106,Milestones!$AA$147)&gt;=$S106),$V106,$U106)))=Milestones!$AB$147),UPPER(TEXT(EDATE($D106,Milestones!$AA$147),"dd mmm yy"))&amp;" "&amp;Milestones!$AB$147&amp;" "&amp;Milestones!$AC$147&amp;";  ","")&amp;IF(AND(EDATE($D106,Milestones!$AA$148)&lt;=AsOfDate,IF($R106=0,$X106,IF(AND($T106&lt;&gt;"",EDATE($D106,Milestones!$AA$148)&gt;=$T106),$W106,IF(AND($S106&lt;&gt;"",EDATE($D106,Milestones!$AA$148)&gt;=$S106),$V106,$U106)))=Milestones!$AB$148),UPPER(TEXT(EDATE($D106,Milestones!$AA$148),"dd mmm yy"))&amp;" "&amp;Milestones!$AB$148&amp;" "&amp;Milestones!$AC$148&amp;";  ","")&amp;IF(AND(EDATE($D106,Milestones!$AA$149)&lt;=AsOfDate,IF($R106=0,$X106,IF(AND($T106&lt;&gt;"",EDATE($D106,Milestones!$AA$149)&gt;=$T106),$W106,IF(AND($S106&lt;&gt;"",EDATE($D106,Milestones!$AA$149)&gt;=$S106),$V106,$U106)))=Milestones!$AB$149),UPPER(TEXT(EDATE($D106,Milestones!$AA$149),"dd mmm yy"))&amp;" "&amp;Milestones!$AB$149&amp;" "&amp;Milestones!$AC$149&amp;";  ","")&amp;IF(AND(EDATE($D106,Milestones!$AA$150)&lt;=AsOfDate,IF($R106=0,$X106,IF(AND($T106&lt;&gt;"",EDATE($D106,Milestones!$AA$150)&gt;=$T106),$W106,IF(AND($S106&lt;&gt;"",EDATE($D106,Milestones!$AA$150)&gt;=$S106),$V106,$U106)))=Milestones!$AB$150),UPPER(TEXT(EDATE($D106,Milestones!$AA$150),"dd mmm yy"))&amp;" "&amp;Milestones!$AB$150&amp;" "&amp;Milestones!$AC$150&amp;";  ","")&amp;IF(AND(EDATE($D106,Milestones!$AA$151)&lt;=AsOfDate,IF($R106=0,$X106,IF(AND($T106&lt;&gt;"",EDATE($D106,Milestones!$AA$151)&gt;=$T106),$W106,IF(AND($S106&lt;&gt;"",EDATE($D106,Milestones!$AA$151)&gt;=$S106),$V106,$U106)))=Milestones!$AB$151),UPPER(TEXT(EDATE($D106,Milestones!$AA$151),"dd mmm yy"))&amp;" "&amp;Milestones!$AB$151&amp;" "&amp;Milestones!$AC$151&amp;";  ","")&amp;IF(AND(EDATE($D106,Milestones!$AA$152)&lt;=AsOfDate,IF($R106=0,$X106,IF(AND($T106&lt;&gt;"",EDATE($D106,Milestones!$AA$152)&gt;=$T106),$W106,IF(AND($S106&lt;&gt;"",EDATE($D106,Milestones!$AA$152)&gt;=$S106),$V106,$U106)))=Milestones!$AB$152),UPPER(TEXT(EDATE($D106,Milestones!$AA$152),"dd mmm yy"))&amp;" "&amp;Milestones!$AB$152&amp;" "&amp;Milestones!$AC$152&amp;";  ","")&amp;IF(AND(EDATE($D106,Milestones!$AA$153)&lt;=AsOfDate,IF($R106=0,$X106,IF(AND($T106&lt;&gt;"",EDATE($D106,Milestones!$AA$153)&gt;=$T106),$W106,IF(AND($S106&lt;&gt;"",EDATE($D106,Milestones!$AA$153)&gt;=$S106),$V106,$U106)))=Milestones!$AB$153),UPPER(TEXT(EDATE($D106,Milestones!$AA$153),"dd mmm yy"))&amp;" "&amp;Milestones!$AB$153&amp;" "&amp;Milestones!$AC$153&amp;";  ","")&amp;IF(AND(EDATE($D106,Milestones!$AA$154)&lt;=AsOfDate,IF($R106=0,$X106,IF(AND($T106&lt;&gt;"",EDATE($D106,Milestones!$AA$154)&gt;=$T106),$W106,IF(AND($S106&lt;&gt;"",EDATE($D106,Milestones!$AA$154)&gt;=$S106),$V106,$U106)))=Milestones!$AB$154),UPPER(TEXT(EDATE($D106,Milestones!$AA$154),"dd mmm yy"))&amp;" "&amp;Milestones!$AB$154&amp;" "&amp;Milestones!$AC$154&amp;";  ","")&amp;IF(AND(EDATE($D106,Milestones!$AA$155)&lt;=AsOfDate,IF($R106=0,$X106,IF(AND($T106&lt;&gt;"",EDATE($D106,Milestones!$AA$155)&gt;=$T106),$W106,IF(AND($S106&lt;&gt;"",EDATE($D106,Milestones!$AA$155)&gt;=$S106),$V106,$U106)))=Milestones!$AB$155),UPPER(TEXT(EDATE($D106,Milestones!$AA$155),"dd mmm yy"))&amp;" "&amp;Milestones!$AB$155&amp;" "&amp;Milestones!$AC$155&amp;";  ","")&amp;IF(AND(EDATE($D106,Milestones!$AA$156)&lt;=AsOfDate,IF($R106=0,$X106,IF(AND($T106&lt;&gt;"",EDATE($D106,Milestones!$AA$156)&gt;=$T106),$W106,IF(AND($S106&lt;&gt;"",EDATE($D106,Milestones!$AA$156)&gt;=$S106),$V106,$U106)))=Milestones!$AB$156),UPPER(TEXT(EDATE($D106,Milestones!$AA$156),"dd mmm yy"))&amp;" "&amp;Milestones!$AB$156&amp;" "&amp;Milestones!$AC$156&amp;";  ","")&amp;IF(AND(EDATE($D106,Milestones!$AA$157)&lt;=AsOfDate,IF($R106=0,$X106,IF(AND($T106&lt;&gt;"",EDATE($D106,Milestones!$AA$157)&gt;=$T106),$W106,IF(AND($S106&lt;&gt;"",EDATE($D106,Milestones!$AA$157)&gt;=$S106),$V106,$U106)))=Milestones!$AB$157),UPPER(TEXT(EDATE($D106,Milestones!$AA$157),"dd mmm yy"))&amp;" "&amp;Milestones!$AB$157&amp;" "&amp;Milestones!$AC$157&amp;";  ","")&amp;IF(AND(EDATE($D106,Milestones!$AA$158)&lt;=AsOfDate,IF($R106=0,$X106,IF(AND($T106&lt;&gt;"",EDATE($D106,Milestones!$AA$158)&gt;=$T106),$W106,IF(AND($S106&lt;&gt;"",EDATE($D106,Milestones!$AA$158)&gt;=$S106),$V106,$U106)))=Milestones!$AB$158),UPPER(TEXT(EDATE($D106,Milestones!$AA$158),"dd mmm yy"))&amp;" "&amp;Milestones!$AB$158&amp;" "&amp;Milestones!$AC$158&amp;";  ","")&amp;IF(AND(EDATE($D106,Milestones!$AA$159)&lt;=AsOfDate,IF($R106=0,$X106,IF(AND($T106&lt;&gt;"",EDATE($D106,Milestones!$AA$159)&gt;=$T106),$W106,IF(AND($S106&lt;&gt;"",EDATE($D106,Milestones!$AA$159)&gt;=$S106),$V106,$U106)))=Milestones!$AB$159),UPPER(TEXT(EDATE($D106,Milestones!$AA$159),"dd mmm yy"))&amp;" "&amp;Milestones!$AB$159&amp;" "&amp;Milestones!$AC$159&amp;";  ",""))</f>
        <v/>
      </c>
      <c r="P106" s="0" t="str">
        <f aca="false">IF(OR($A106="",$D106=""),"",IF(AND(EDATE($D106,Milestones!$AA$160)&lt;=AsOfDate,IF($R106=0,$X106,IF(AND($T106&lt;&gt;"",EDATE($D106,Milestones!$AA$160)&gt;=$T106),$W106,IF(AND($S106&lt;&gt;"",EDATE($D106,Milestones!$AA$160)&gt;=$S106),$V106,$U106)))=Milestones!$AB$160),UPPER(TEXT(EDATE($D106,Milestones!$AA$160),"dd mmm yy"))&amp;" "&amp;Milestones!$AB$160&amp;" "&amp;Milestones!$AC$160&amp;";  ","")&amp;IF(AND(EDATE($D106,Milestones!$AA$161)&lt;=AsOfDate,IF($R106=0,$X106,IF(AND($T106&lt;&gt;"",EDATE($D106,Milestones!$AA$161)&gt;=$T106),$W106,IF(AND($S106&lt;&gt;"",EDATE($D106,Milestones!$AA$161)&gt;=$S106),$V106,$U106)))=Milestones!$AB$161),UPPER(TEXT(EDATE($D106,Milestones!$AA$161),"dd mmm yy"))&amp;" "&amp;Milestones!$AB$161&amp;" "&amp;Milestones!$AC$161&amp;";  ","")&amp;IF(AND(EDATE($D106,Milestones!$AA$162)&lt;=AsOfDate,IF($R106=0,$X106,IF(AND($T106&lt;&gt;"",EDATE($D106,Milestones!$AA$162)&gt;=$T106),$W106,IF(AND($S106&lt;&gt;"",EDATE($D106,Milestones!$AA$162)&gt;=$S106),$V106,$U106)))=Milestones!$AB$162),UPPER(TEXT(EDATE($D106,Milestones!$AA$162),"dd mmm yy"))&amp;" "&amp;Milestones!$AB$162&amp;" "&amp;Milestones!$AC$162&amp;";  ","")&amp;IF(AND(EDATE($D106,Milestones!$AA$163)&lt;=AsOfDate,IF($R106=0,$X106,IF(AND($T106&lt;&gt;"",EDATE($D106,Milestones!$AA$163)&gt;=$T106),$W106,IF(AND($S106&lt;&gt;"",EDATE($D106,Milestones!$AA$163)&gt;=$S106),$V106,$U106)))=Milestones!$AB$163),UPPER(TEXT(EDATE($D106,Milestones!$AA$163),"dd mmm yy"))&amp;" "&amp;Milestones!$AB$163&amp;" "&amp;Milestones!$AC$163&amp;";  ","")&amp;IF(AND(EDATE($D106,Milestones!$AA$164)&lt;=AsOfDate,IF($R106=0,$X106,IF(AND($T106&lt;&gt;"",EDATE($D106,Milestones!$AA$164)&gt;=$T106),$W106,IF(AND($S106&lt;&gt;"",EDATE($D106,Milestones!$AA$164)&gt;=$S106),$V106,$U106)))=Milestones!$AB$164),UPPER(TEXT(EDATE($D106,Milestones!$AA$164),"dd mmm yy"))&amp;" "&amp;Milestones!$AB$164&amp;" "&amp;Milestones!$AC$164&amp;";  ","")&amp;IF(AND(EDATE($D106,Milestones!$AA$165)&lt;=AsOfDate,IF($R106=0,$X106,IF(AND($T106&lt;&gt;"",EDATE($D106,Milestones!$AA$165)&gt;=$T106),$W106,IF(AND($S106&lt;&gt;"",EDATE($D106,Milestones!$AA$165)&gt;=$S106),$V106,$U106)))=Milestones!$AB$165),UPPER(TEXT(EDATE($D106,Milestones!$AA$165),"dd mmm yy"))&amp;" "&amp;Milestones!$AB$165&amp;" "&amp;Milestones!$AC$165&amp;";  ","")&amp;IF(AND(EDATE($D106,Milestones!$AA$166)&lt;=AsOfDate,IF($R106=0,$X106,IF(AND($T106&lt;&gt;"",EDATE($D106,Milestones!$AA$166)&gt;=$T106),$W106,IF(AND($S106&lt;&gt;"",EDATE($D106,Milestones!$AA$166)&gt;=$S106),$V106,$U106)))=Milestones!$AB$166),UPPER(TEXT(EDATE($D106,Milestones!$AA$166),"dd mmm yy"))&amp;" "&amp;Milestones!$AB$166&amp;" "&amp;Milestones!$AC$166&amp;";  ","")&amp;IF(AND(EDATE($D106,Milestones!$AA$167)&lt;=AsOfDate,IF($R106=0,$X106,IF(AND($T106&lt;&gt;"",EDATE($D106,Milestones!$AA$167)&gt;=$T106),$W106,IF(AND($S106&lt;&gt;"",EDATE($D106,Milestones!$AA$167)&gt;=$S106),$V106,$U106)))=Milestones!$AB$167),UPPER(TEXT(EDATE($D106,Milestones!$AA$167),"dd mmm yy"))&amp;" "&amp;Milestones!$AB$167&amp;" "&amp;Milestones!$AC$167&amp;";  ","")&amp;IF(AND(EDATE($D106,Milestones!$AA$168)&lt;=AsOfDate,IF($R106=0,$X106,IF(AND($T106&lt;&gt;"",EDATE($D106,Milestones!$AA$168)&gt;=$T106),$W106,IF(AND($S106&lt;&gt;"",EDATE($D106,Milestones!$AA$168)&gt;=$S106),$V106,$U106)))=Milestones!$AB$168),UPPER(TEXT(EDATE($D106,Milestones!$AA$168),"dd mmm yy"))&amp;" "&amp;Milestones!$AB$168&amp;" "&amp;Milestones!$AC$168&amp;";  ","")&amp;IF(AND(EDATE($D106,Milestones!$AA$169)&lt;=AsOfDate,IF($R106=0,$X106,IF(AND($T106&lt;&gt;"",EDATE($D106,Milestones!$AA$169)&gt;=$T106),$W106,IF(AND($S106&lt;&gt;"",EDATE($D106,Milestones!$AA$169)&gt;=$S106),$V106,$U106)))=Milestones!$AB$169),UPPER(TEXT(EDATE($D106,Milestones!$AA$169),"dd mmm yy"))&amp;" "&amp;Milestones!$AB$169&amp;" "&amp;Milestones!$AC$169&amp;";  ","")&amp;IF(AND(EDATE($D106,Milestones!$AA$170)&lt;=AsOfDate,IF($R106=0,$X106,IF(AND($T106&lt;&gt;"",EDATE($D106,Milestones!$AA$170)&gt;=$T106),$W106,IF(AND($S106&lt;&gt;"",EDATE($D106,Milestones!$AA$170)&gt;=$S106),$V106,$U106)))=Milestones!$AB$170),UPPER(TEXT(EDATE($D106,Milestones!$AA$170),"dd mmm yy"))&amp;" "&amp;Milestones!$AB$170&amp;" "&amp;Milestones!$AC$170&amp;";  ","")&amp;IF(AND(EDATE($D106,Milestones!$AA$171)&lt;=AsOfDate,IF($R106=0,$X106,IF(AND($T106&lt;&gt;"",EDATE($D106,Milestones!$AA$171)&gt;=$T106),$W106,IF(AND($S106&lt;&gt;"",EDATE($D106,Milestones!$AA$171)&gt;=$S106),$V106,$U106)))=Milestones!$AB$171),UPPER(TEXT(EDATE($D106,Milestones!$AA$171),"dd mmm yy"))&amp;" "&amp;Milestones!$AB$171&amp;" "&amp;Milestones!$AC$171&amp;";  ","")&amp;IF(AND(EDATE($D106,Milestones!$AA$172)&lt;=AsOfDate,IF($R106=0,$X106,IF(AND($T106&lt;&gt;"",EDATE($D106,Milestones!$AA$172)&gt;=$T106),$W106,IF(AND($S106&lt;&gt;"",EDATE($D106,Milestones!$AA$172)&gt;=$S106),$V106,$U106)))=Milestones!$AB$172),UPPER(TEXT(EDATE($D106,Milestones!$AA$172),"dd mmm yy"))&amp;" "&amp;Milestones!$AB$172&amp;" "&amp;Milestones!$AC$172&amp;";  ","")&amp;IF(AND(EDATE($D106,Milestones!$AA$173)&lt;=AsOfDate,IF($R106=0,$X106,IF(AND($T106&lt;&gt;"",EDATE($D106,Milestones!$AA$173)&gt;=$T106),$W106,IF(AND($S106&lt;&gt;"",EDATE($D106,Milestones!$AA$173)&gt;=$S106),$V106,$U106)))=Milestones!$AB$173),UPPER(TEXT(EDATE($D106,Milestones!$AA$173),"dd mmm yy"))&amp;" "&amp;Milestones!$AB$173&amp;" "&amp;Milestones!$AC$173&amp;";  ","")&amp;IF(AND(EDATE($D106,Milestones!$AA$174)&lt;=AsOfDate,IF($R106=0,$X106,IF(AND($T106&lt;&gt;"",EDATE($D106,Milestones!$AA$174)&gt;=$T106),$W106,IF(AND($S106&lt;&gt;"",EDATE($D106,Milestones!$AA$174)&gt;=$S106),$V106,$U106)))=Milestones!$AB$174),UPPER(TEXT(EDATE($D106,Milestones!$AA$174),"dd mmm yy"))&amp;" "&amp;Milestones!$AB$174&amp;" "&amp;Milestones!$AC$174&amp;";  ","")&amp;IF(AND(EDATE($D106,Milestones!$AA$175)&lt;=AsOfDate,IF($R106=0,$X106,IF(AND($T106&lt;&gt;"",EDATE($D106,Milestones!$AA$175)&gt;=$T106),$W106,IF(AND($S106&lt;&gt;"",EDATE($D106,Milestones!$AA$175)&gt;=$S106),$V106,$U106)))=Milestones!$AB$175),UPPER(TEXT(EDATE($D106,Milestones!$AA$175),"dd mmm yy"))&amp;" "&amp;Milestones!$AB$175&amp;" "&amp;Milestones!$AC$175&amp;";  ","")&amp;IF(AND(EDATE($D106,Milestones!$AA$176)&lt;=AsOfDate,IF($R106=0,$X106,IF(AND($T106&lt;&gt;"",EDATE($D106,Milestones!$AA$176)&gt;=$T106),$W106,IF(AND($S106&lt;&gt;"",EDATE($D106,Milestones!$AA$176)&gt;=$S106),$V106,$U106)))=Milestones!$AB$176),UPPER(TEXT(EDATE($D106,Milestones!$AA$176),"dd mmm yy"))&amp;" "&amp;Milestones!$AB$176&amp;" "&amp;Milestones!$AC$176&amp;";  ","")&amp;IF(AND(EDATE($D106,Milestones!$AA$177)&lt;=AsOfDate,IF($R106=0,$X106,IF(AND($T106&lt;&gt;"",EDATE($D106,Milestones!$AA$177)&gt;=$T106),$W106,IF(AND($S106&lt;&gt;"",EDATE($D106,Milestones!$AA$177)&gt;=$S106),$V106,$U106)))=Milestones!$AB$177),UPPER(TEXT(EDATE($D106,Milestones!$AA$177),"dd mmm yy"))&amp;" "&amp;Milestones!$AB$177&amp;" "&amp;Milestones!$AC$177&amp;";  ","")&amp;IF(AND(EDATE($D106,Milestones!$AA$178)&lt;=AsOfDate,IF($R106=0,$X106,IF(AND($T106&lt;&gt;"",EDATE($D106,Milestones!$AA$178)&gt;=$T106),$W106,IF(AND($S106&lt;&gt;"",EDATE($D106,Milestones!$AA$178)&gt;=$S106),$V106,$U106)))=Milestones!$AB$178),UPPER(TEXT(EDATE($D106,Milestones!$AA$178),"dd mmm yy"))&amp;" "&amp;Milestones!$AB$178&amp;" "&amp;Milestones!$AC$178&amp;";  ","")&amp;IF(AND(EDATE($D106,Milestones!$AA$179)&lt;=AsOfDate,IF($R106=0,$X106,IF(AND($T106&lt;&gt;"",EDATE($D106,Milestones!$AA$179)&gt;=$T106),$W106,IF(AND($S106&lt;&gt;"",EDATE($D106,Milestones!$AA$179)&gt;=$S106),$V106,$U106)))=Milestones!$AB$179),UPPER(TEXT(EDATE($D106,Milestones!$AA$179),"dd mmm yy"))&amp;" "&amp;Milestones!$AB$179&amp;" "&amp;Milestones!$AC$179&amp;";  ",""))</f>
        <v/>
      </c>
      <c r="Q106" s="0" t="str">
        <f aca="false">IF(OR($A106="",$D106=""),"",IF(AND(EDATE($D106,Milestones!$AA$180)&lt;=AsOfDate,IF($R106=0,$X106,IF(AND($T106&lt;&gt;"",EDATE($D106,Milestones!$AA$180)&gt;=$T106),$W106,IF(AND($S106&lt;&gt;"",EDATE($D106,Milestones!$AA$180)&gt;=$S106),$V106,$U106)))=Milestones!$AB$180),UPPER(TEXT(EDATE($D106,Milestones!$AA$180),"dd mmm yy"))&amp;" "&amp;Milestones!$AB$180&amp;" "&amp;Milestones!$AC$180&amp;";  ","")&amp;IF(AND(EDATE($D106,Milestones!$AA$181)&lt;=AsOfDate,IF($R106=0,$X106,IF(AND($T106&lt;&gt;"",EDATE($D106,Milestones!$AA$181)&gt;=$T106),$W106,IF(AND($S106&lt;&gt;"",EDATE($D106,Milestones!$AA$181)&gt;=$S106),$V106,$U106)))=Milestones!$AB$181),UPPER(TEXT(EDATE($D106,Milestones!$AA$181),"dd mmm yy"))&amp;" "&amp;Milestones!$AB$181&amp;" "&amp;Milestones!$AC$181&amp;";  ","")&amp;IF(AND(EDATE($D106,Milestones!$AA$182)&lt;=AsOfDate,IF($R106=0,$X106,IF(AND($T106&lt;&gt;"",EDATE($D106,Milestones!$AA$182)&gt;=$T106),$W106,IF(AND($S106&lt;&gt;"",EDATE($D106,Milestones!$AA$182)&gt;=$S106),$V106,$U106)))=Milestones!$AB$182),UPPER(TEXT(EDATE($D106,Milestones!$AA$182),"dd mmm yy"))&amp;" "&amp;Milestones!$AB$182&amp;" "&amp;Milestones!$AC$182&amp;";  ","")&amp;IF(AND(EDATE($D106,Milestones!$AA$183)&lt;=AsOfDate,IF($R106=0,$X106,IF(AND($T106&lt;&gt;"",EDATE($D106,Milestones!$AA$183)&gt;=$T106),$W106,IF(AND($S106&lt;&gt;"",EDATE($D106,Milestones!$AA$183)&gt;=$S106),$V106,$U106)))=Milestones!$AB$183),UPPER(TEXT(EDATE($D106,Milestones!$AA$183),"dd mmm yy"))&amp;" "&amp;Milestones!$AB$183&amp;" "&amp;Milestones!$AC$183&amp;";  ","")&amp;IF(AND(EDATE($D106,Milestones!$AA$184)&lt;=AsOfDate,IF($R106=0,$X106,IF(AND($T106&lt;&gt;"",EDATE($D106,Milestones!$AA$184)&gt;=$T106),$W106,IF(AND($S106&lt;&gt;"",EDATE($D106,Milestones!$AA$184)&gt;=$S106),$V106,$U106)))=Milestones!$AB$184),UPPER(TEXT(EDATE($D106,Milestones!$AA$184),"dd mmm yy"))&amp;" "&amp;Milestones!$AB$184&amp;" "&amp;Milestones!$AC$184&amp;";  ","")&amp;IF(AND(EDATE($D106,Milestones!$AA$185)&lt;=AsOfDate,IF($R106=0,$X106,IF(AND($T106&lt;&gt;"",EDATE($D106,Milestones!$AA$185)&gt;=$T106),$W106,IF(AND($S106&lt;&gt;"",EDATE($D106,Milestones!$AA$185)&gt;=$S106),$V106,$U106)))=Milestones!$AB$185),UPPER(TEXT(EDATE($D106,Milestones!$AA$185),"dd mmm yy"))&amp;" "&amp;Milestones!$AB$185&amp;" "&amp;Milestones!$AC$185&amp;";  ","")&amp;IF(AND(EDATE($D106,Milestones!$AA$186)&lt;=AsOfDate,IF($R106=0,$X106,IF(AND($T106&lt;&gt;"",EDATE($D106,Milestones!$AA$186)&gt;=$T106),$W106,IF(AND($S106&lt;&gt;"",EDATE($D106,Milestones!$AA$186)&gt;=$S106),$V106,$U106)))=Milestones!$AB$186),UPPER(TEXT(EDATE($D106,Milestones!$AA$186),"dd mmm yy"))&amp;" "&amp;Milestones!$AB$186&amp;" "&amp;Milestones!$AC$186&amp;";  ","")&amp;IF(AND(EDATE($D106,Milestones!$AA$187)&lt;=AsOfDate,IF($R106=0,$X106,IF(AND($T106&lt;&gt;"",EDATE($D106,Milestones!$AA$187)&gt;=$T106),$W106,IF(AND($S106&lt;&gt;"",EDATE($D106,Milestones!$AA$187)&gt;=$S106),$V106,$U106)))=Milestones!$AB$187),UPPER(TEXT(EDATE($D106,Milestones!$AA$187),"dd mmm yy"))&amp;" "&amp;Milestones!$AB$187&amp;" "&amp;Milestones!$AC$187&amp;";  ","")&amp;IF(AND(EDATE($D106,Milestones!$AA$188)&lt;=AsOfDate,IF($R106=0,$X106,IF(AND($T106&lt;&gt;"",EDATE($D106,Milestones!$AA$188)&gt;=$T106),$W106,IF(AND($S106&lt;&gt;"",EDATE($D106,Milestones!$AA$188)&gt;=$S106),$V106,$U106)))=Milestones!$AB$188),UPPER(TEXT(EDATE($D106,Milestones!$AA$188),"dd mmm yy"))&amp;" "&amp;Milestones!$AB$188&amp;" "&amp;Milestones!$AC$188&amp;";  ","")&amp;IF(AND(EDATE($D106,Milestones!$AA$189)&lt;=AsOfDate,IF($R106=0,$X106,IF(AND($T106&lt;&gt;"",EDATE($D106,Milestones!$AA$189)&gt;=$T106),$W106,IF(AND($S106&lt;&gt;"",EDATE($D106,Milestones!$AA$189)&gt;=$S106),$V106,$U106)))=Milestones!$AB$189),UPPER(TEXT(EDATE($D106,Milestones!$AA$189),"dd mmm yy"))&amp;" "&amp;Milestones!$AB$189&amp;" "&amp;Milestones!$AC$189&amp;";  ","")&amp;IF(AND(EDATE($D106,Milestones!$AA$190)&lt;=AsOfDate,IF($R106=0,$X106,IF(AND($T106&lt;&gt;"",EDATE($D106,Milestones!$AA$190)&gt;=$T106),$W106,IF(AND($S106&lt;&gt;"",EDATE($D106,Milestones!$AA$190)&gt;=$S106),$V106,$U106)))=Milestones!$AB$190),UPPER(TEXT(EDATE($D106,Milestones!$AA$190),"dd mmm yy"))&amp;" "&amp;Milestones!$AB$190&amp;" "&amp;Milestones!$AC$190&amp;";  ","")&amp;IF(AND(EDATE($D106,Milestones!$AA$191)&lt;=AsOfDate,IF($R106=0,$X106,IF(AND($T106&lt;&gt;"",EDATE($D106,Milestones!$AA$191)&gt;=$T106),$W106,IF(AND($S106&lt;&gt;"",EDATE($D106,Milestones!$AA$191)&gt;=$S106),$V106,$U106)))=Milestones!$AB$191),UPPER(TEXT(EDATE($D106,Milestones!$AA$191),"dd mmm yy"))&amp;" "&amp;Milestones!$AB$191&amp;" "&amp;Milestones!$AC$191&amp;";  ","")&amp;IF(AND(EDATE($D106,Milestones!$AA$192)&lt;=AsOfDate,IF($R106=0,$X106,IF(AND($T106&lt;&gt;"",EDATE($D106,Milestones!$AA$192)&gt;=$T106),$W106,IF(AND($S106&lt;&gt;"",EDATE($D106,Milestones!$AA$192)&gt;=$S106),$V106,$U106)))=Milestones!$AB$192),UPPER(TEXT(EDATE($D106,Milestones!$AA$192),"dd mmm yy"))&amp;" "&amp;Milestones!$AB$192&amp;" "&amp;Milestones!$AC$192&amp;";  ","")&amp;IF(AND(EDATE($D106,Milestones!$AA$193)&lt;=AsOfDate,IF($R106=0,$X106,IF(AND($T106&lt;&gt;"",EDATE($D106,Milestones!$AA$193)&gt;=$T106),$W106,IF(AND($S106&lt;&gt;"",EDATE($D106,Milestones!$AA$193)&gt;=$S106),$V106,$U106)))=Milestones!$AB$193),UPPER(TEXT(EDATE($D106,Milestones!$AA$193),"dd mmm yy"))&amp;" "&amp;Milestones!$AB$193&amp;" "&amp;Milestones!$AC$193&amp;";  ","")&amp;IF(AND(EDATE($D106,Milestones!$AA$194)&lt;=AsOfDate,IF($R106=0,$X106,IF(AND($T106&lt;&gt;"",EDATE($D106,Milestones!$AA$194)&gt;=$T106),$W106,IF(AND($S106&lt;&gt;"",EDATE($D106,Milestones!$AA$194)&gt;=$S106),$V106,$U106)))=Milestones!$AB$194),UPPER(TEXT(EDATE($D106,Milestones!$AA$194),"dd mmm yy"))&amp;" "&amp;Milestones!$AB$194&amp;" "&amp;Milestones!$AC$194&amp;";  ","")&amp;IF(AND(EDATE($D106,Milestones!$AA$195)&lt;=AsOfDate,IF($R106=0,$X106,IF(AND($T106&lt;&gt;"",EDATE($D106,Milestones!$AA$195)&gt;=$T106),$W106,IF(AND($S106&lt;&gt;"",EDATE($D106,Milestones!$AA$195)&gt;=$S106),$V106,$U106)))=Milestones!$AB$195),UPPER(TEXT(EDATE($D106,Milestones!$AA$195),"dd mmm yy"))&amp;" "&amp;Milestones!$AB$195&amp;" "&amp;Milestones!$AC$195&amp;";  ","")&amp;IF(AND(EDATE($D106,Milestones!$AA$196)&lt;=AsOfDate,IF($R106=0,$X106,IF(AND($T106&lt;&gt;"",EDATE($D106,Milestones!$AA$196)&gt;=$T106),$W106,IF(AND($S106&lt;&gt;"",EDATE($D106,Milestones!$AA$196)&gt;=$S106),$V106,$U106)))=Milestones!$AB$196),UPPER(TEXT(EDATE($D106,Milestones!$AA$196),"dd mmm yy"))&amp;" "&amp;Milestones!$AB$196&amp;" "&amp;Milestones!$AC$196&amp;";  ","")&amp;IF(AND(EDATE($D106,Milestones!$AA$197)&lt;=AsOfDate,IF($R106=0,$X106,IF(AND($T106&lt;&gt;"",EDATE($D106,Milestones!$AA$197)&gt;=$T106),$W106,IF(AND($S106&lt;&gt;"",EDATE($D106,Milestones!$AA$197)&gt;=$S106),$V106,$U106)))=Milestones!$AB$197),UPPER(TEXT(EDATE($D106,Milestones!$AA$197),"dd mmm yy"))&amp;" "&amp;Milestones!$AB$197&amp;" "&amp;Milestones!$AC$197&amp;";  ","")&amp;IF(AND(EDATE($D106,Milestones!$AA$198)&lt;=AsOfDate,IF($R106=0,$X106,IF(AND($T106&lt;&gt;"",EDATE($D106,Milestones!$AA$198)&gt;=$T106),$W106,IF(AND($S106&lt;&gt;"",EDATE($D106,Milestones!$AA$198)&gt;=$S106),$V106,$U106)))=Milestones!$AB$198),UPPER(TEXT(EDATE($D106,Milestones!$AA$198),"dd mmm yy"))&amp;" "&amp;Milestones!$AB$198&amp;" "&amp;Milestones!$AC$198&amp;";  ","")&amp;IF(AND(EDATE($D106,Milestones!$AA$199)&lt;=AsOfDate,IF($R106=0,$X106,IF(AND($T106&lt;&gt;"",EDATE($D106,Milestones!$AA$199)&gt;=$T106),$W106,IF(AND($S106&lt;&gt;"",EDATE($D106,Milestones!$AA$199)&gt;=$S106),$V106,$U106)))=Milestones!$AB$199),UPPER(TEXT(EDATE($D106,Milestones!$AA$199),"dd mmm yy"))&amp;" "&amp;Milestones!$AB$199&amp;" "&amp;Milestones!$AC$199&amp;";  ",""))</f>
        <v/>
      </c>
      <c r="R106" s="0" t="str">
        <f aca="false">IF(Staff!$A106="","",Staff!$AI106)</f>
        <v/>
      </c>
      <c r="S106" s="0" t="str">
        <f aca="false">IF(Staff!$A106="","",Staff!$AK106)</f>
        <v/>
      </c>
      <c r="T106" s="0" t="str">
        <f aca="false">IF(Staff!$A106="","",Staff!$AL106)</f>
        <v/>
      </c>
      <c r="U106" s="0" t="str">
        <f aca="false">IF(Staff!$A106="","",Staff!$AP106)</f>
        <v/>
      </c>
      <c r="V106" s="0" t="str">
        <f aca="false">IF(Staff!$A106="","",Staff!$AQ106)</f>
        <v/>
      </c>
      <c r="W106" s="0" t="str">
        <f aca="false">IF(Staff!$A106="","",Staff!$AR106)</f>
        <v/>
      </c>
      <c r="X106" s="0" t="str">
        <f aca="false">IF(Staff!$A106="","",Staff!$AS106)</f>
        <v/>
      </c>
    </row>
    <row r="107" customFormat="false" ht="15" hidden="false" customHeight="false" outlineLevel="0" collapsed="false">
      <c r="A107" s="19" t="str">
        <f aca="false">IF(Staff!$A107="","",Staff!$A107)</f>
        <v/>
      </c>
      <c r="B107" s="19" t="str">
        <f aca="false">IF(Staff!$A107="","",Staff!$B107)</f>
        <v/>
      </c>
      <c r="C107" s="19" t="str">
        <f aca="false">IF(Staff!$A107="","",Staff!$C107)</f>
        <v/>
      </c>
      <c r="D107" s="17" t="str">
        <f aca="false">IF(Staff!$A107="","",Staff!$AH107)</f>
        <v/>
      </c>
      <c r="E107" s="19" t="str">
        <f aca="false">IF(Staff!$A107="","",Staff!$O107)</f>
        <v/>
      </c>
      <c r="F107" s="19" t="str">
        <f aca="false">IF(E107="","",E107*HoursPerDay)</f>
        <v/>
      </c>
      <c r="G107" s="19" t="str">
        <f aca="false">IF(Staff!$A107="","",Staff!$AE107)</f>
        <v/>
      </c>
      <c r="H107" s="32" t="str">
        <f aca="false">IF($A107="","",I107&amp;J107&amp;K107&amp;L107&amp;M107&amp;N107&amp;O107&amp;P107&amp;Q107)</f>
        <v/>
      </c>
      <c r="I107" s="0" t="str">
        <f aca="false">IF(OR($A107="",$D107=""),"",IF(AND(EDATE($D107,Milestones!$AA$20)&lt;=AsOfDate,IF($R107=0,$X107,IF(AND($T107&lt;&gt;"",EDATE($D107,Milestones!$AA$20)&gt;=$T107),$W107,IF(AND($S107&lt;&gt;"",EDATE($D107,Milestones!$AA$20)&gt;=$S107),$V107,$U107)))=Milestones!$AB$20),UPPER(TEXT(EDATE($D107,Milestones!$AA$20),"dd mmm yy"))&amp;" "&amp;Milestones!$AB$20&amp;" "&amp;Milestones!$AC$20&amp;";  ","")&amp;IF(AND(EDATE($D107,Milestones!$AA$21)&lt;=AsOfDate,IF($R107=0,$X107,IF(AND($T107&lt;&gt;"",EDATE($D107,Milestones!$AA$21)&gt;=$T107),$W107,IF(AND($S107&lt;&gt;"",EDATE($D107,Milestones!$AA$21)&gt;=$S107),$V107,$U107)))=Milestones!$AB$21),UPPER(TEXT(EDATE($D107,Milestones!$AA$21),"dd mmm yy"))&amp;" "&amp;Milestones!$AB$21&amp;" "&amp;Milestones!$AC$21&amp;";  ","")&amp;IF(AND(EDATE($D107,Milestones!$AA$22)&lt;=AsOfDate,IF($R107=0,$X107,IF(AND($T107&lt;&gt;"",EDATE($D107,Milestones!$AA$22)&gt;=$T107),$W107,IF(AND($S107&lt;&gt;"",EDATE($D107,Milestones!$AA$22)&gt;=$S107),$V107,$U107)))=Milestones!$AB$22),UPPER(TEXT(EDATE($D107,Milestones!$AA$22),"dd mmm yy"))&amp;" "&amp;Milestones!$AB$22&amp;" "&amp;Milestones!$AC$22&amp;";  ","")&amp;IF(AND(EDATE($D107,Milestones!$AA$23)&lt;=AsOfDate,IF($R107=0,$X107,IF(AND($T107&lt;&gt;"",EDATE($D107,Milestones!$AA$23)&gt;=$T107),$W107,IF(AND($S107&lt;&gt;"",EDATE($D107,Milestones!$AA$23)&gt;=$S107),$V107,$U107)))=Milestones!$AB$23),UPPER(TEXT(EDATE($D107,Milestones!$AA$23),"dd mmm yy"))&amp;" "&amp;Milestones!$AB$23&amp;" "&amp;Milestones!$AC$23&amp;";  ","")&amp;IF(AND(EDATE($D107,Milestones!$AA$24)&lt;=AsOfDate,IF($R107=0,$X107,IF(AND($T107&lt;&gt;"",EDATE($D107,Milestones!$AA$24)&gt;=$T107),$W107,IF(AND($S107&lt;&gt;"",EDATE($D107,Milestones!$AA$24)&gt;=$S107),$V107,$U107)))=Milestones!$AB$24),UPPER(TEXT(EDATE($D107,Milestones!$AA$24),"dd mmm yy"))&amp;" "&amp;Milestones!$AB$24&amp;" "&amp;Milestones!$AC$24&amp;";  ","")&amp;IF(AND(EDATE($D107,Milestones!$AA$25)&lt;=AsOfDate,IF($R107=0,$X107,IF(AND($T107&lt;&gt;"",EDATE($D107,Milestones!$AA$25)&gt;=$T107),$W107,IF(AND($S107&lt;&gt;"",EDATE($D107,Milestones!$AA$25)&gt;=$S107),$V107,$U107)))=Milestones!$AB$25),UPPER(TEXT(EDATE($D107,Milestones!$AA$25),"dd mmm yy"))&amp;" "&amp;Milestones!$AB$25&amp;" "&amp;Milestones!$AC$25&amp;";  ","")&amp;IF(AND(EDATE($D107,Milestones!$AA$26)&lt;=AsOfDate,IF($R107=0,$X107,IF(AND($T107&lt;&gt;"",EDATE($D107,Milestones!$AA$26)&gt;=$T107),$W107,IF(AND($S107&lt;&gt;"",EDATE($D107,Milestones!$AA$26)&gt;=$S107),$V107,$U107)))=Milestones!$AB$26),UPPER(TEXT(EDATE($D107,Milestones!$AA$26),"dd mmm yy"))&amp;" "&amp;Milestones!$AB$26&amp;" "&amp;Milestones!$AC$26&amp;";  ","")&amp;IF(AND(EDATE($D107,Milestones!$AA$27)&lt;=AsOfDate,IF($R107=0,$X107,IF(AND($T107&lt;&gt;"",EDATE($D107,Milestones!$AA$27)&gt;=$T107),$W107,IF(AND($S107&lt;&gt;"",EDATE($D107,Milestones!$AA$27)&gt;=$S107),$V107,$U107)))=Milestones!$AB$27),UPPER(TEXT(EDATE($D107,Milestones!$AA$27),"dd mmm yy"))&amp;" "&amp;Milestones!$AB$27&amp;" "&amp;Milestones!$AC$27&amp;";  ","")&amp;IF(AND(EDATE($D107,Milestones!$AA$28)&lt;=AsOfDate,IF($R107=0,$X107,IF(AND($T107&lt;&gt;"",EDATE($D107,Milestones!$AA$28)&gt;=$T107),$W107,IF(AND($S107&lt;&gt;"",EDATE($D107,Milestones!$AA$28)&gt;=$S107),$V107,$U107)))=Milestones!$AB$28),UPPER(TEXT(EDATE($D107,Milestones!$AA$28),"dd mmm yy"))&amp;" "&amp;Milestones!$AB$28&amp;" "&amp;Milestones!$AC$28&amp;";  ","")&amp;IF(AND(EDATE($D107,Milestones!$AA$29)&lt;=AsOfDate,IF($R107=0,$X107,IF(AND($T107&lt;&gt;"",EDATE($D107,Milestones!$AA$29)&gt;=$T107),$W107,IF(AND($S107&lt;&gt;"",EDATE($D107,Milestones!$AA$29)&gt;=$S107),$V107,$U107)))=Milestones!$AB$29),UPPER(TEXT(EDATE($D107,Milestones!$AA$29),"dd mmm yy"))&amp;" "&amp;Milestones!$AB$29&amp;" "&amp;Milestones!$AC$29&amp;";  ","")&amp;IF(AND(EDATE($D107,Milestones!$AA$30)&lt;=AsOfDate,IF($R107=0,$X107,IF(AND($T107&lt;&gt;"",EDATE($D107,Milestones!$AA$30)&gt;=$T107),$W107,IF(AND($S107&lt;&gt;"",EDATE($D107,Milestones!$AA$30)&gt;=$S107),$V107,$U107)))=Milestones!$AB$30),UPPER(TEXT(EDATE($D107,Milestones!$AA$30),"dd mmm yy"))&amp;" "&amp;Milestones!$AB$30&amp;" "&amp;Milestones!$AC$30&amp;";  ","")&amp;IF(AND(EDATE($D107,Milestones!$AA$31)&lt;=AsOfDate,IF($R107=0,$X107,IF(AND($T107&lt;&gt;"",EDATE($D107,Milestones!$AA$31)&gt;=$T107),$W107,IF(AND($S107&lt;&gt;"",EDATE($D107,Milestones!$AA$31)&gt;=$S107),$V107,$U107)))=Milestones!$AB$31),UPPER(TEXT(EDATE($D107,Milestones!$AA$31),"dd mmm yy"))&amp;" "&amp;Milestones!$AB$31&amp;" "&amp;Milestones!$AC$31&amp;";  ","")&amp;IF(AND(EDATE($D107,Milestones!$AA$32)&lt;=AsOfDate,IF($R107=0,$X107,IF(AND($T107&lt;&gt;"",EDATE($D107,Milestones!$AA$32)&gt;=$T107),$W107,IF(AND($S107&lt;&gt;"",EDATE($D107,Milestones!$AA$32)&gt;=$S107),$V107,$U107)))=Milestones!$AB$32),UPPER(TEXT(EDATE($D107,Milestones!$AA$32),"dd mmm yy"))&amp;" "&amp;Milestones!$AB$32&amp;" "&amp;Milestones!$AC$32&amp;";  ","")&amp;IF(AND(EDATE($D107,Milestones!$AA$33)&lt;=AsOfDate,IF($R107=0,$X107,IF(AND($T107&lt;&gt;"",EDATE($D107,Milestones!$AA$33)&gt;=$T107),$W107,IF(AND($S107&lt;&gt;"",EDATE($D107,Milestones!$AA$33)&gt;=$S107),$V107,$U107)))=Milestones!$AB$33),UPPER(TEXT(EDATE($D107,Milestones!$AA$33),"dd mmm yy"))&amp;" "&amp;Milestones!$AB$33&amp;" "&amp;Milestones!$AC$33&amp;";  ","")&amp;IF(AND(EDATE($D107,Milestones!$AA$34)&lt;=AsOfDate,IF($R107=0,$X107,IF(AND($T107&lt;&gt;"",EDATE($D107,Milestones!$AA$34)&gt;=$T107),$W107,IF(AND($S107&lt;&gt;"",EDATE($D107,Milestones!$AA$34)&gt;=$S107),$V107,$U107)))=Milestones!$AB$34),UPPER(TEXT(EDATE($D107,Milestones!$AA$34),"dd mmm yy"))&amp;" "&amp;Milestones!$AB$34&amp;" "&amp;Milestones!$AC$34&amp;";  ","")&amp;IF(AND(EDATE($D107,Milestones!$AA$35)&lt;=AsOfDate,IF($R107=0,$X107,IF(AND($T107&lt;&gt;"",EDATE($D107,Milestones!$AA$35)&gt;=$T107),$W107,IF(AND($S107&lt;&gt;"",EDATE($D107,Milestones!$AA$35)&gt;=$S107),$V107,$U107)))=Milestones!$AB$35),UPPER(TEXT(EDATE($D107,Milestones!$AA$35),"dd mmm yy"))&amp;" "&amp;Milestones!$AB$35&amp;" "&amp;Milestones!$AC$35&amp;";  ","")&amp;IF(AND(EDATE($D107,Milestones!$AA$36)&lt;=AsOfDate,IF($R107=0,$X107,IF(AND($T107&lt;&gt;"",EDATE($D107,Milestones!$AA$36)&gt;=$T107),$W107,IF(AND($S107&lt;&gt;"",EDATE($D107,Milestones!$AA$36)&gt;=$S107),$V107,$U107)))=Milestones!$AB$36),UPPER(TEXT(EDATE($D107,Milestones!$AA$36),"dd mmm yy"))&amp;" "&amp;Milestones!$AB$36&amp;" "&amp;Milestones!$AC$36&amp;";  ","")&amp;IF(AND(EDATE($D107,Milestones!$AA$37)&lt;=AsOfDate,IF($R107=0,$X107,IF(AND($T107&lt;&gt;"",EDATE($D107,Milestones!$AA$37)&gt;=$T107),$W107,IF(AND($S107&lt;&gt;"",EDATE($D107,Milestones!$AA$37)&gt;=$S107),$V107,$U107)))=Milestones!$AB$37),UPPER(TEXT(EDATE($D107,Milestones!$AA$37),"dd mmm yy"))&amp;" "&amp;Milestones!$AB$37&amp;" "&amp;Milestones!$AC$37&amp;";  ","")&amp;IF(AND(EDATE($D107,Milestones!$AA$38)&lt;=AsOfDate,IF($R107=0,$X107,IF(AND($T107&lt;&gt;"",EDATE($D107,Milestones!$AA$38)&gt;=$T107),$W107,IF(AND($S107&lt;&gt;"",EDATE($D107,Milestones!$AA$38)&gt;=$S107),$V107,$U107)))=Milestones!$AB$38),UPPER(TEXT(EDATE($D107,Milestones!$AA$38),"dd mmm yy"))&amp;" "&amp;Milestones!$AB$38&amp;" "&amp;Milestones!$AC$38&amp;";  ","")&amp;IF(AND(EDATE($D107,Milestones!$AA$39)&lt;=AsOfDate,IF($R107=0,$X107,IF(AND($T107&lt;&gt;"",EDATE($D107,Milestones!$AA$39)&gt;=$T107),$W107,IF(AND($S107&lt;&gt;"",EDATE($D107,Milestones!$AA$39)&gt;=$S107),$V107,$U107)))=Milestones!$AB$39),UPPER(TEXT(EDATE($D107,Milestones!$AA$39),"dd mmm yy"))&amp;" "&amp;Milestones!$AB$39&amp;" "&amp;Milestones!$AC$39&amp;";  ",""))</f>
        <v/>
      </c>
      <c r="J107" s="0" t="str">
        <f aca="false">IF(OR($A107="",$D107=""),"",IF(AND(EDATE($D107,Milestones!$AA$40)&lt;=AsOfDate,IF($R107=0,$X107,IF(AND($T107&lt;&gt;"",EDATE($D107,Milestones!$AA$40)&gt;=$T107),$W107,IF(AND($S107&lt;&gt;"",EDATE($D107,Milestones!$AA$40)&gt;=$S107),$V107,$U107)))=Milestones!$AB$40),UPPER(TEXT(EDATE($D107,Milestones!$AA$40),"dd mmm yy"))&amp;" "&amp;Milestones!$AB$40&amp;" "&amp;Milestones!$AC$40&amp;";  ","")&amp;IF(AND(EDATE($D107,Milestones!$AA$41)&lt;=AsOfDate,IF($R107=0,$X107,IF(AND($T107&lt;&gt;"",EDATE($D107,Milestones!$AA$41)&gt;=$T107),$W107,IF(AND($S107&lt;&gt;"",EDATE($D107,Milestones!$AA$41)&gt;=$S107),$V107,$U107)))=Milestones!$AB$41),UPPER(TEXT(EDATE($D107,Milestones!$AA$41),"dd mmm yy"))&amp;" "&amp;Milestones!$AB$41&amp;" "&amp;Milestones!$AC$41&amp;";  ","")&amp;IF(AND(EDATE($D107,Milestones!$AA$42)&lt;=AsOfDate,IF($R107=0,$X107,IF(AND($T107&lt;&gt;"",EDATE($D107,Milestones!$AA$42)&gt;=$T107),$W107,IF(AND($S107&lt;&gt;"",EDATE($D107,Milestones!$AA$42)&gt;=$S107),$V107,$U107)))=Milestones!$AB$42),UPPER(TEXT(EDATE($D107,Milestones!$AA$42),"dd mmm yy"))&amp;" "&amp;Milestones!$AB$42&amp;" "&amp;Milestones!$AC$42&amp;";  ","")&amp;IF(AND(EDATE($D107,Milestones!$AA$43)&lt;=AsOfDate,IF($R107=0,$X107,IF(AND($T107&lt;&gt;"",EDATE($D107,Milestones!$AA$43)&gt;=$T107),$W107,IF(AND($S107&lt;&gt;"",EDATE($D107,Milestones!$AA$43)&gt;=$S107),$V107,$U107)))=Milestones!$AB$43),UPPER(TEXT(EDATE($D107,Milestones!$AA$43),"dd mmm yy"))&amp;" "&amp;Milestones!$AB$43&amp;" "&amp;Milestones!$AC$43&amp;";  ","")&amp;IF(AND(EDATE($D107,Milestones!$AA$44)&lt;=AsOfDate,IF($R107=0,$X107,IF(AND($T107&lt;&gt;"",EDATE($D107,Milestones!$AA$44)&gt;=$T107),$W107,IF(AND($S107&lt;&gt;"",EDATE($D107,Milestones!$AA$44)&gt;=$S107),$V107,$U107)))=Milestones!$AB$44),UPPER(TEXT(EDATE($D107,Milestones!$AA$44),"dd mmm yy"))&amp;" "&amp;Milestones!$AB$44&amp;" "&amp;Milestones!$AC$44&amp;";  ","")&amp;IF(AND(EDATE($D107,Milestones!$AA$45)&lt;=AsOfDate,IF($R107=0,$X107,IF(AND($T107&lt;&gt;"",EDATE($D107,Milestones!$AA$45)&gt;=$T107),$W107,IF(AND($S107&lt;&gt;"",EDATE($D107,Milestones!$AA$45)&gt;=$S107),$V107,$U107)))=Milestones!$AB$45),UPPER(TEXT(EDATE($D107,Milestones!$AA$45),"dd mmm yy"))&amp;" "&amp;Milestones!$AB$45&amp;" "&amp;Milestones!$AC$45&amp;";  ","")&amp;IF(AND(EDATE($D107,Milestones!$AA$46)&lt;=AsOfDate,IF($R107=0,$X107,IF(AND($T107&lt;&gt;"",EDATE($D107,Milestones!$AA$46)&gt;=$T107),$W107,IF(AND($S107&lt;&gt;"",EDATE($D107,Milestones!$AA$46)&gt;=$S107),$V107,$U107)))=Milestones!$AB$46),UPPER(TEXT(EDATE($D107,Milestones!$AA$46),"dd mmm yy"))&amp;" "&amp;Milestones!$AB$46&amp;" "&amp;Milestones!$AC$46&amp;";  ","")&amp;IF(AND(EDATE($D107,Milestones!$AA$47)&lt;=AsOfDate,IF($R107=0,$X107,IF(AND($T107&lt;&gt;"",EDATE($D107,Milestones!$AA$47)&gt;=$T107),$W107,IF(AND($S107&lt;&gt;"",EDATE($D107,Milestones!$AA$47)&gt;=$S107),$V107,$U107)))=Milestones!$AB$47),UPPER(TEXT(EDATE($D107,Milestones!$AA$47),"dd mmm yy"))&amp;" "&amp;Milestones!$AB$47&amp;" "&amp;Milestones!$AC$47&amp;";  ","")&amp;IF(AND(EDATE($D107,Milestones!$AA$48)&lt;=AsOfDate,IF($R107=0,$X107,IF(AND($T107&lt;&gt;"",EDATE($D107,Milestones!$AA$48)&gt;=$T107),$W107,IF(AND($S107&lt;&gt;"",EDATE($D107,Milestones!$AA$48)&gt;=$S107),$V107,$U107)))=Milestones!$AB$48),UPPER(TEXT(EDATE($D107,Milestones!$AA$48),"dd mmm yy"))&amp;" "&amp;Milestones!$AB$48&amp;" "&amp;Milestones!$AC$48&amp;";  ","")&amp;IF(AND(EDATE($D107,Milestones!$AA$49)&lt;=AsOfDate,IF($R107=0,$X107,IF(AND($T107&lt;&gt;"",EDATE($D107,Milestones!$AA$49)&gt;=$T107),$W107,IF(AND($S107&lt;&gt;"",EDATE($D107,Milestones!$AA$49)&gt;=$S107),$V107,$U107)))=Milestones!$AB$49),UPPER(TEXT(EDATE($D107,Milestones!$AA$49),"dd mmm yy"))&amp;" "&amp;Milestones!$AB$49&amp;" "&amp;Milestones!$AC$49&amp;";  ","")&amp;IF(AND(EDATE($D107,Milestones!$AA$50)&lt;=AsOfDate,IF($R107=0,$X107,IF(AND($T107&lt;&gt;"",EDATE($D107,Milestones!$AA$50)&gt;=$T107),$W107,IF(AND($S107&lt;&gt;"",EDATE($D107,Milestones!$AA$50)&gt;=$S107),$V107,$U107)))=Milestones!$AB$50),UPPER(TEXT(EDATE($D107,Milestones!$AA$50),"dd mmm yy"))&amp;" "&amp;Milestones!$AB$50&amp;" "&amp;Milestones!$AC$50&amp;";  ","")&amp;IF(AND(EDATE($D107,Milestones!$AA$51)&lt;=AsOfDate,IF($R107=0,$X107,IF(AND($T107&lt;&gt;"",EDATE($D107,Milestones!$AA$51)&gt;=$T107),$W107,IF(AND($S107&lt;&gt;"",EDATE($D107,Milestones!$AA$51)&gt;=$S107),$V107,$U107)))=Milestones!$AB$51),UPPER(TEXT(EDATE($D107,Milestones!$AA$51),"dd mmm yy"))&amp;" "&amp;Milestones!$AB$51&amp;" "&amp;Milestones!$AC$51&amp;";  ","")&amp;IF(AND(EDATE($D107,Milestones!$AA$52)&lt;=AsOfDate,IF($R107=0,$X107,IF(AND($T107&lt;&gt;"",EDATE($D107,Milestones!$AA$52)&gt;=$T107),$W107,IF(AND($S107&lt;&gt;"",EDATE($D107,Milestones!$AA$52)&gt;=$S107),$V107,$U107)))=Milestones!$AB$52),UPPER(TEXT(EDATE($D107,Milestones!$AA$52),"dd mmm yy"))&amp;" "&amp;Milestones!$AB$52&amp;" "&amp;Milestones!$AC$52&amp;";  ","")&amp;IF(AND(EDATE($D107,Milestones!$AA$53)&lt;=AsOfDate,IF($R107=0,$X107,IF(AND($T107&lt;&gt;"",EDATE($D107,Milestones!$AA$53)&gt;=$T107),$W107,IF(AND($S107&lt;&gt;"",EDATE($D107,Milestones!$AA$53)&gt;=$S107),$V107,$U107)))=Milestones!$AB$53),UPPER(TEXT(EDATE($D107,Milestones!$AA$53),"dd mmm yy"))&amp;" "&amp;Milestones!$AB$53&amp;" "&amp;Milestones!$AC$53&amp;";  ","")&amp;IF(AND(EDATE($D107,Milestones!$AA$54)&lt;=AsOfDate,IF($R107=0,$X107,IF(AND($T107&lt;&gt;"",EDATE($D107,Milestones!$AA$54)&gt;=$T107),$W107,IF(AND($S107&lt;&gt;"",EDATE($D107,Milestones!$AA$54)&gt;=$S107),$V107,$U107)))=Milestones!$AB$54),UPPER(TEXT(EDATE($D107,Milestones!$AA$54),"dd mmm yy"))&amp;" "&amp;Milestones!$AB$54&amp;" "&amp;Milestones!$AC$54&amp;";  ","")&amp;IF(AND(EDATE($D107,Milestones!$AA$55)&lt;=AsOfDate,IF($R107=0,$X107,IF(AND($T107&lt;&gt;"",EDATE($D107,Milestones!$AA$55)&gt;=$T107),$W107,IF(AND($S107&lt;&gt;"",EDATE($D107,Milestones!$AA$55)&gt;=$S107),$V107,$U107)))=Milestones!$AB$55),UPPER(TEXT(EDATE($D107,Milestones!$AA$55),"dd mmm yy"))&amp;" "&amp;Milestones!$AB$55&amp;" "&amp;Milestones!$AC$55&amp;";  ","")&amp;IF(AND(EDATE($D107,Milestones!$AA$56)&lt;=AsOfDate,IF($R107=0,$X107,IF(AND($T107&lt;&gt;"",EDATE($D107,Milestones!$AA$56)&gt;=$T107),$W107,IF(AND($S107&lt;&gt;"",EDATE($D107,Milestones!$AA$56)&gt;=$S107),$V107,$U107)))=Milestones!$AB$56),UPPER(TEXT(EDATE($D107,Milestones!$AA$56),"dd mmm yy"))&amp;" "&amp;Milestones!$AB$56&amp;" "&amp;Milestones!$AC$56&amp;";  ","")&amp;IF(AND(EDATE($D107,Milestones!$AA$57)&lt;=AsOfDate,IF($R107=0,$X107,IF(AND($T107&lt;&gt;"",EDATE($D107,Milestones!$AA$57)&gt;=$T107),$W107,IF(AND($S107&lt;&gt;"",EDATE($D107,Milestones!$AA$57)&gt;=$S107),$V107,$U107)))=Milestones!$AB$57),UPPER(TEXT(EDATE($D107,Milestones!$AA$57),"dd mmm yy"))&amp;" "&amp;Milestones!$AB$57&amp;" "&amp;Milestones!$AC$57&amp;";  ","")&amp;IF(AND(EDATE($D107,Milestones!$AA$58)&lt;=AsOfDate,IF($R107=0,$X107,IF(AND($T107&lt;&gt;"",EDATE($D107,Milestones!$AA$58)&gt;=$T107),$W107,IF(AND($S107&lt;&gt;"",EDATE($D107,Milestones!$AA$58)&gt;=$S107),$V107,$U107)))=Milestones!$AB$58),UPPER(TEXT(EDATE($D107,Milestones!$AA$58),"dd mmm yy"))&amp;" "&amp;Milestones!$AB$58&amp;" "&amp;Milestones!$AC$58&amp;";  ","")&amp;IF(AND(EDATE($D107,Milestones!$AA$59)&lt;=AsOfDate,IF($R107=0,$X107,IF(AND($T107&lt;&gt;"",EDATE($D107,Milestones!$AA$59)&gt;=$T107),$W107,IF(AND($S107&lt;&gt;"",EDATE($D107,Milestones!$AA$59)&gt;=$S107),$V107,$U107)))=Milestones!$AB$59),UPPER(TEXT(EDATE($D107,Milestones!$AA$59),"dd mmm yy"))&amp;" "&amp;Milestones!$AB$59&amp;" "&amp;Milestones!$AC$59&amp;";  ",""))</f>
        <v/>
      </c>
      <c r="K107" s="0" t="str">
        <f aca="false">IF(OR($A107="",$D107=""),"",IF(AND(EDATE($D107,Milestones!$AA$60)&lt;=AsOfDate,IF($R107=0,$X107,IF(AND($T107&lt;&gt;"",EDATE($D107,Milestones!$AA$60)&gt;=$T107),$W107,IF(AND($S107&lt;&gt;"",EDATE($D107,Milestones!$AA$60)&gt;=$S107),$V107,$U107)))=Milestones!$AB$60),UPPER(TEXT(EDATE($D107,Milestones!$AA$60),"dd mmm yy"))&amp;" "&amp;Milestones!$AB$60&amp;" "&amp;Milestones!$AC$60&amp;";  ","")&amp;IF(AND(EDATE($D107,Milestones!$AA$61)&lt;=AsOfDate,IF($R107=0,$X107,IF(AND($T107&lt;&gt;"",EDATE($D107,Milestones!$AA$61)&gt;=$T107),$W107,IF(AND($S107&lt;&gt;"",EDATE($D107,Milestones!$AA$61)&gt;=$S107),$V107,$U107)))=Milestones!$AB$61),UPPER(TEXT(EDATE($D107,Milestones!$AA$61),"dd mmm yy"))&amp;" "&amp;Milestones!$AB$61&amp;" "&amp;Milestones!$AC$61&amp;";  ","")&amp;IF(AND(EDATE($D107,Milestones!$AA$62)&lt;=AsOfDate,IF($R107=0,$X107,IF(AND($T107&lt;&gt;"",EDATE($D107,Milestones!$AA$62)&gt;=$T107),$W107,IF(AND($S107&lt;&gt;"",EDATE($D107,Milestones!$AA$62)&gt;=$S107),$V107,$U107)))=Milestones!$AB$62),UPPER(TEXT(EDATE($D107,Milestones!$AA$62),"dd mmm yy"))&amp;" "&amp;Milestones!$AB$62&amp;" "&amp;Milestones!$AC$62&amp;";  ","")&amp;IF(AND(EDATE($D107,Milestones!$AA$63)&lt;=AsOfDate,IF($R107=0,$X107,IF(AND($T107&lt;&gt;"",EDATE($D107,Milestones!$AA$63)&gt;=$T107),$W107,IF(AND($S107&lt;&gt;"",EDATE($D107,Milestones!$AA$63)&gt;=$S107),$V107,$U107)))=Milestones!$AB$63),UPPER(TEXT(EDATE($D107,Milestones!$AA$63),"dd mmm yy"))&amp;" "&amp;Milestones!$AB$63&amp;" "&amp;Milestones!$AC$63&amp;";  ","")&amp;IF(AND(EDATE($D107,Milestones!$AA$64)&lt;=AsOfDate,IF($R107=0,$X107,IF(AND($T107&lt;&gt;"",EDATE($D107,Milestones!$AA$64)&gt;=$T107),$W107,IF(AND($S107&lt;&gt;"",EDATE($D107,Milestones!$AA$64)&gt;=$S107),$V107,$U107)))=Milestones!$AB$64),UPPER(TEXT(EDATE($D107,Milestones!$AA$64),"dd mmm yy"))&amp;" "&amp;Milestones!$AB$64&amp;" "&amp;Milestones!$AC$64&amp;";  ","")&amp;IF(AND(EDATE($D107,Milestones!$AA$65)&lt;=AsOfDate,IF($R107=0,$X107,IF(AND($T107&lt;&gt;"",EDATE($D107,Milestones!$AA$65)&gt;=$T107),$W107,IF(AND($S107&lt;&gt;"",EDATE($D107,Milestones!$AA$65)&gt;=$S107),$V107,$U107)))=Milestones!$AB$65),UPPER(TEXT(EDATE($D107,Milestones!$AA$65),"dd mmm yy"))&amp;" "&amp;Milestones!$AB$65&amp;" "&amp;Milestones!$AC$65&amp;";  ","")&amp;IF(AND(EDATE($D107,Milestones!$AA$66)&lt;=AsOfDate,IF($R107=0,$X107,IF(AND($T107&lt;&gt;"",EDATE($D107,Milestones!$AA$66)&gt;=$T107),$W107,IF(AND($S107&lt;&gt;"",EDATE($D107,Milestones!$AA$66)&gt;=$S107),$V107,$U107)))=Milestones!$AB$66),UPPER(TEXT(EDATE($D107,Milestones!$AA$66),"dd mmm yy"))&amp;" "&amp;Milestones!$AB$66&amp;" "&amp;Milestones!$AC$66&amp;";  ","")&amp;IF(AND(EDATE($D107,Milestones!$AA$67)&lt;=AsOfDate,IF($R107=0,$X107,IF(AND($T107&lt;&gt;"",EDATE($D107,Milestones!$AA$67)&gt;=$T107),$W107,IF(AND($S107&lt;&gt;"",EDATE($D107,Milestones!$AA$67)&gt;=$S107),$V107,$U107)))=Milestones!$AB$67),UPPER(TEXT(EDATE($D107,Milestones!$AA$67),"dd mmm yy"))&amp;" "&amp;Milestones!$AB$67&amp;" "&amp;Milestones!$AC$67&amp;";  ","")&amp;IF(AND(EDATE($D107,Milestones!$AA$68)&lt;=AsOfDate,IF($R107=0,$X107,IF(AND($T107&lt;&gt;"",EDATE($D107,Milestones!$AA$68)&gt;=$T107),$W107,IF(AND($S107&lt;&gt;"",EDATE($D107,Milestones!$AA$68)&gt;=$S107),$V107,$U107)))=Milestones!$AB$68),UPPER(TEXT(EDATE($D107,Milestones!$AA$68),"dd mmm yy"))&amp;" "&amp;Milestones!$AB$68&amp;" "&amp;Milestones!$AC$68&amp;";  ","")&amp;IF(AND(EDATE($D107,Milestones!$AA$69)&lt;=AsOfDate,IF($R107=0,$X107,IF(AND($T107&lt;&gt;"",EDATE($D107,Milestones!$AA$69)&gt;=$T107),$W107,IF(AND($S107&lt;&gt;"",EDATE($D107,Milestones!$AA$69)&gt;=$S107),$V107,$U107)))=Milestones!$AB$69),UPPER(TEXT(EDATE($D107,Milestones!$AA$69),"dd mmm yy"))&amp;" "&amp;Milestones!$AB$69&amp;" "&amp;Milestones!$AC$69&amp;";  ","")&amp;IF(AND(EDATE($D107,Milestones!$AA$70)&lt;=AsOfDate,IF($R107=0,$X107,IF(AND($T107&lt;&gt;"",EDATE($D107,Milestones!$AA$70)&gt;=$T107),$W107,IF(AND($S107&lt;&gt;"",EDATE($D107,Milestones!$AA$70)&gt;=$S107),$V107,$U107)))=Milestones!$AB$70),UPPER(TEXT(EDATE($D107,Milestones!$AA$70),"dd mmm yy"))&amp;" "&amp;Milestones!$AB$70&amp;" "&amp;Milestones!$AC$70&amp;";  ","")&amp;IF(AND(EDATE($D107,Milestones!$AA$71)&lt;=AsOfDate,IF($R107=0,$X107,IF(AND($T107&lt;&gt;"",EDATE($D107,Milestones!$AA$71)&gt;=$T107),$W107,IF(AND($S107&lt;&gt;"",EDATE($D107,Milestones!$AA$71)&gt;=$S107),$V107,$U107)))=Milestones!$AB$71),UPPER(TEXT(EDATE($D107,Milestones!$AA$71),"dd mmm yy"))&amp;" "&amp;Milestones!$AB$71&amp;" "&amp;Milestones!$AC$71&amp;";  ","")&amp;IF(AND(EDATE($D107,Milestones!$AA$72)&lt;=AsOfDate,IF($R107=0,$X107,IF(AND($T107&lt;&gt;"",EDATE($D107,Milestones!$AA$72)&gt;=$T107),$W107,IF(AND($S107&lt;&gt;"",EDATE($D107,Milestones!$AA$72)&gt;=$S107),$V107,$U107)))=Milestones!$AB$72),UPPER(TEXT(EDATE($D107,Milestones!$AA$72),"dd mmm yy"))&amp;" "&amp;Milestones!$AB$72&amp;" "&amp;Milestones!$AC$72&amp;";  ","")&amp;IF(AND(EDATE($D107,Milestones!$AA$73)&lt;=AsOfDate,IF($R107=0,$X107,IF(AND($T107&lt;&gt;"",EDATE($D107,Milestones!$AA$73)&gt;=$T107),$W107,IF(AND($S107&lt;&gt;"",EDATE($D107,Milestones!$AA$73)&gt;=$S107),$V107,$U107)))=Milestones!$AB$73),UPPER(TEXT(EDATE($D107,Milestones!$AA$73),"dd mmm yy"))&amp;" "&amp;Milestones!$AB$73&amp;" "&amp;Milestones!$AC$73&amp;";  ","")&amp;IF(AND(EDATE($D107,Milestones!$AA$74)&lt;=AsOfDate,IF($R107=0,$X107,IF(AND($T107&lt;&gt;"",EDATE($D107,Milestones!$AA$74)&gt;=$T107),$W107,IF(AND($S107&lt;&gt;"",EDATE($D107,Milestones!$AA$74)&gt;=$S107),$V107,$U107)))=Milestones!$AB$74),UPPER(TEXT(EDATE($D107,Milestones!$AA$74),"dd mmm yy"))&amp;" "&amp;Milestones!$AB$74&amp;" "&amp;Milestones!$AC$74&amp;";  ","")&amp;IF(AND(EDATE($D107,Milestones!$AA$75)&lt;=AsOfDate,IF($R107=0,$X107,IF(AND($T107&lt;&gt;"",EDATE($D107,Milestones!$AA$75)&gt;=$T107),$W107,IF(AND($S107&lt;&gt;"",EDATE($D107,Milestones!$AA$75)&gt;=$S107),$V107,$U107)))=Milestones!$AB$75),UPPER(TEXT(EDATE($D107,Milestones!$AA$75),"dd mmm yy"))&amp;" "&amp;Milestones!$AB$75&amp;" "&amp;Milestones!$AC$75&amp;";  ","")&amp;IF(AND(EDATE($D107,Milestones!$AA$76)&lt;=AsOfDate,IF($R107=0,$X107,IF(AND($T107&lt;&gt;"",EDATE($D107,Milestones!$AA$76)&gt;=$T107),$W107,IF(AND($S107&lt;&gt;"",EDATE($D107,Milestones!$AA$76)&gt;=$S107),$V107,$U107)))=Milestones!$AB$76),UPPER(TEXT(EDATE($D107,Milestones!$AA$76),"dd mmm yy"))&amp;" "&amp;Milestones!$AB$76&amp;" "&amp;Milestones!$AC$76&amp;";  ","")&amp;IF(AND(EDATE($D107,Milestones!$AA$77)&lt;=AsOfDate,IF($R107=0,$X107,IF(AND($T107&lt;&gt;"",EDATE($D107,Milestones!$AA$77)&gt;=$T107),$W107,IF(AND($S107&lt;&gt;"",EDATE($D107,Milestones!$AA$77)&gt;=$S107),$V107,$U107)))=Milestones!$AB$77),UPPER(TEXT(EDATE($D107,Milestones!$AA$77),"dd mmm yy"))&amp;" "&amp;Milestones!$AB$77&amp;" "&amp;Milestones!$AC$77&amp;";  ","")&amp;IF(AND(EDATE($D107,Milestones!$AA$78)&lt;=AsOfDate,IF($R107=0,$X107,IF(AND($T107&lt;&gt;"",EDATE($D107,Milestones!$AA$78)&gt;=$T107),$W107,IF(AND($S107&lt;&gt;"",EDATE($D107,Milestones!$AA$78)&gt;=$S107),$V107,$U107)))=Milestones!$AB$78),UPPER(TEXT(EDATE($D107,Milestones!$AA$78),"dd mmm yy"))&amp;" "&amp;Milestones!$AB$78&amp;" "&amp;Milestones!$AC$78&amp;";  ","")&amp;IF(AND(EDATE($D107,Milestones!$AA$79)&lt;=AsOfDate,IF($R107=0,$X107,IF(AND($T107&lt;&gt;"",EDATE($D107,Milestones!$AA$79)&gt;=$T107),$W107,IF(AND($S107&lt;&gt;"",EDATE($D107,Milestones!$AA$79)&gt;=$S107),$V107,$U107)))=Milestones!$AB$79),UPPER(TEXT(EDATE($D107,Milestones!$AA$79),"dd mmm yy"))&amp;" "&amp;Milestones!$AB$79&amp;" "&amp;Milestones!$AC$79&amp;";  ",""))</f>
        <v/>
      </c>
      <c r="L107" s="0" t="str">
        <f aca="false">IF(OR($A107="",$D107=""),"",IF(AND(EDATE($D107,Milestones!$AA$80)&lt;=AsOfDate,IF($R107=0,$X107,IF(AND($T107&lt;&gt;"",EDATE($D107,Milestones!$AA$80)&gt;=$T107),$W107,IF(AND($S107&lt;&gt;"",EDATE($D107,Milestones!$AA$80)&gt;=$S107),$V107,$U107)))=Milestones!$AB$80),UPPER(TEXT(EDATE($D107,Milestones!$AA$80),"dd mmm yy"))&amp;" "&amp;Milestones!$AB$80&amp;" "&amp;Milestones!$AC$80&amp;";  ","")&amp;IF(AND(EDATE($D107,Milestones!$AA$81)&lt;=AsOfDate,IF($R107=0,$X107,IF(AND($T107&lt;&gt;"",EDATE($D107,Milestones!$AA$81)&gt;=$T107),$W107,IF(AND($S107&lt;&gt;"",EDATE($D107,Milestones!$AA$81)&gt;=$S107),$V107,$U107)))=Milestones!$AB$81),UPPER(TEXT(EDATE($D107,Milestones!$AA$81),"dd mmm yy"))&amp;" "&amp;Milestones!$AB$81&amp;" "&amp;Milestones!$AC$81&amp;";  ","")&amp;IF(AND(EDATE($D107,Milestones!$AA$82)&lt;=AsOfDate,IF($R107=0,$X107,IF(AND($T107&lt;&gt;"",EDATE($D107,Milestones!$AA$82)&gt;=$T107),$W107,IF(AND($S107&lt;&gt;"",EDATE($D107,Milestones!$AA$82)&gt;=$S107),$V107,$U107)))=Milestones!$AB$82),UPPER(TEXT(EDATE($D107,Milestones!$AA$82),"dd mmm yy"))&amp;" "&amp;Milestones!$AB$82&amp;" "&amp;Milestones!$AC$82&amp;";  ","")&amp;IF(AND(EDATE($D107,Milestones!$AA$83)&lt;=AsOfDate,IF($R107=0,$X107,IF(AND($T107&lt;&gt;"",EDATE($D107,Milestones!$AA$83)&gt;=$T107),$W107,IF(AND($S107&lt;&gt;"",EDATE($D107,Milestones!$AA$83)&gt;=$S107),$V107,$U107)))=Milestones!$AB$83),UPPER(TEXT(EDATE($D107,Milestones!$AA$83),"dd mmm yy"))&amp;" "&amp;Milestones!$AB$83&amp;" "&amp;Milestones!$AC$83&amp;";  ","")&amp;IF(AND(EDATE($D107,Milestones!$AA$84)&lt;=AsOfDate,IF($R107=0,$X107,IF(AND($T107&lt;&gt;"",EDATE($D107,Milestones!$AA$84)&gt;=$T107),$W107,IF(AND($S107&lt;&gt;"",EDATE($D107,Milestones!$AA$84)&gt;=$S107),$V107,$U107)))=Milestones!$AB$84),UPPER(TEXT(EDATE($D107,Milestones!$AA$84),"dd mmm yy"))&amp;" "&amp;Milestones!$AB$84&amp;" "&amp;Milestones!$AC$84&amp;";  ","")&amp;IF(AND(EDATE($D107,Milestones!$AA$85)&lt;=AsOfDate,IF($R107=0,$X107,IF(AND($T107&lt;&gt;"",EDATE($D107,Milestones!$AA$85)&gt;=$T107),$W107,IF(AND($S107&lt;&gt;"",EDATE($D107,Milestones!$AA$85)&gt;=$S107),$V107,$U107)))=Milestones!$AB$85),UPPER(TEXT(EDATE($D107,Milestones!$AA$85),"dd mmm yy"))&amp;" "&amp;Milestones!$AB$85&amp;" "&amp;Milestones!$AC$85&amp;";  ","")&amp;IF(AND(EDATE($D107,Milestones!$AA$86)&lt;=AsOfDate,IF($R107=0,$X107,IF(AND($T107&lt;&gt;"",EDATE($D107,Milestones!$AA$86)&gt;=$T107),$W107,IF(AND($S107&lt;&gt;"",EDATE($D107,Milestones!$AA$86)&gt;=$S107),$V107,$U107)))=Milestones!$AB$86),UPPER(TEXT(EDATE($D107,Milestones!$AA$86),"dd mmm yy"))&amp;" "&amp;Milestones!$AB$86&amp;" "&amp;Milestones!$AC$86&amp;";  ","")&amp;IF(AND(EDATE($D107,Milestones!$AA$87)&lt;=AsOfDate,IF($R107=0,$X107,IF(AND($T107&lt;&gt;"",EDATE($D107,Milestones!$AA$87)&gt;=$T107),$W107,IF(AND($S107&lt;&gt;"",EDATE($D107,Milestones!$AA$87)&gt;=$S107),$V107,$U107)))=Milestones!$AB$87),UPPER(TEXT(EDATE($D107,Milestones!$AA$87),"dd mmm yy"))&amp;" "&amp;Milestones!$AB$87&amp;" "&amp;Milestones!$AC$87&amp;";  ","")&amp;IF(AND(EDATE($D107,Milestones!$AA$88)&lt;=AsOfDate,IF($R107=0,$X107,IF(AND($T107&lt;&gt;"",EDATE($D107,Milestones!$AA$88)&gt;=$T107),$W107,IF(AND($S107&lt;&gt;"",EDATE($D107,Milestones!$AA$88)&gt;=$S107),$V107,$U107)))=Milestones!$AB$88),UPPER(TEXT(EDATE($D107,Milestones!$AA$88),"dd mmm yy"))&amp;" "&amp;Milestones!$AB$88&amp;" "&amp;Milestones!$AC$88&amp;";  ","")&amp;IF(AND(EDATE($D107,Milestones!$AA$89)&lt;=AsOfDate,IF($R107=0,$X107,IF(AND($T107&lt;&gt;"",EDATE($D107,Milestones!$AA$89)&gt;=$T107),$W107,IF(AND($S107&lt;&gt;"",EDATE($D107,Milestones!$AA$89)&gt;=$S107),$V107,$U107)))=Milestones!$AB$89),UPPER(TEXT(EDATE($D107,Milestones!$AA$89),"dd mmm yy"))&amp;" "&amp;Milestones!$AB$89&amp;" "&amp;Milestones!$AC$89&amp;";  ","")&amp;IF(AND(EDATE($D107,Milestones!$AA$90)&lt;=AsOfDate,IF($R107=0,$X107,IF(AND($T107&lt;&gt;"",EDATE($D107,Milestones!$AA$90)&gt;=$T107),$W107,IF(AND($S107&lt;&gt;"",EDATE($D107,Milestones!$AA$90)&gt;=$S107),$V107,$U107)))=Milestones!$AB$90),UPPER(TEXT(EDATE($D107,Milestones!$AA$90),"dd mmm yy"))&amp;" "&amp;Milestones!$AB$90&amp;" "&amp;Milestones!$AC$90&amp;";  ","")&amp;IF(AND(EDATE($D107,Milestones!$AA$91)&lt;=AsOfDate,IF($R107=0,$X107,IF(AND($T107&lt;&gt;"",EDATE($D107,Milestones!$AA$91)&gt;=$T107),$W107,IF(AND($S107&lt;&gt;"",EDATE($D107,Milestones!$AA$91)&gt;=$S107),$V107,$U107)))=Milestones!$AB$91),UPPER(TEXT(EDATE($D107,Milestones!$AA$91),"dd mmm yy"))&amp;" "&amp;Milestones!$AB$91&amp;" "&amp;Milestones!$AC$91&amp;";  ","")&amp;IF(AND(EDATE($D107,Milestones!$AA$92)&lt;=AsOfDate,IF($R107=0,$X107,IF(AND($T107&lt;&gt;"",EDATE($D107,Milestones!$AA$92)&gt;=$T107),$W107,IF(AND($S107&lt;&gt;"",EDATE($D107,Milestones!$AA$92)&gt;=$S107),$V107,$U107)))=Milestones!$AB$92),UPPER(TEXT(EDATE($D107,Milestones!$AA$92),"dd mmm yy"))&amp;" "&amp;Milestones!$AB$92&amp;" "&amp;Milestones!$AC$92&amp;";  ","")&amp;IF(AND(EDATE($D107,Milestones!$AA$93)&lt;=AsOfDate,IF($R107=0,$X107,IF(AND($T107&lt;&gt;"",EDATE($D107,Milestones!$AA$93)&gt;=$T107),$W107,IF(AND($S107&lt;&gt;"",EDATE($D107,Milestones!$AA$93)&gt;=$S107),$V107,$U107)))=Milestones!$AB$93),UPPER(TEXT(EDATE($D107,Milestones!$AA$93),"dd mmm yy"))&amp;" "&amp;Milestones!$AB$93&amp;" "&amp;Milestones!$AC$93&amp;";  ","")&amp;IF(AND(EDATE($D107,Milestones!$AA$94)&lt;=AsOfDate,IF($R107=0,$X107,IF(AND($T107&lt;&gt;"",EDATE($D107,Milestones!$AA$94)&gt;=$T107),$W107,IF(AND($S107&lt;&gt;"",EDATE($D107,Milestones!$AA$94)&gt;=$S107),$V107,$U107)))=Milestones!$AB$94),UPPER(TEXT(EDATE($D107,Milestones!$AA$94),"dd mmm yy"))&amp;" "&amp;Milestones!$AB$94&amp;" "&amp;Milestones!$AC$94&amp;";  ","")&amp;IF(AND(EDATE($D107,Milestones!$AA$95)&lt;=AsOfDate,IF($R107=0,$X107,IF(AND($T107&lt;&gt;"",EDATE($D107,Milestones!$AA$95)&gt;=$T107),$W107,IF(AND($S107&lt;&gt;"",EDATE($D107,Milestones!$AA$95)&gt;=$S107),$V107,$U107)))=Milestones!$AB$95),UPPER(TEXT(EDATE($D107,Milestones!$AA$95),"dd mmm yy"))&amp;" "&amp;Milestones!$AB$95&amp;" "&amp;Milestones!$AC$95&amp;";  ","")&amp;IF(AND(EDATE($D107,Milestones!$AA$96)&lt;=AsOfDate,IF($R107=0,$X107,IF(AND($T107&lt;&gt;"",EDATE($D107,Milestones!$AA$96)&gt;=$T107),$W107,IF(AND($S107&lt;&gt;"",EDATE($D107,Milestones!$AA$96)&gt;=$S107),$V107,$U107)))=Milestones!$AB$96),UPPER(TEXT(EDATE($D107,Milestones!$AA$96),"dd mmm yy"))&amp;" "&amp;Milestones!$AB$96&amp;" "&amp;Milestones!$AC$96&amp;";  ","")&amp;IF(AND(EDATE($D107,Milestones!$AA$97)&lt;=AsOfDate,IF($R107=0,$X107,IF(AND($T107&lt;&gt;"",EDATE($D107,Milestones!$AA$97)&gt;=$T107),$W107,IF(AND($S107&lt;&gt;"",EDATE($D107,Milestones!$AA$97)&gt;=$S107),$V107,$U107)))=Milestones!$AB$97),UPPER(TEXT(EDATE($D107,Milestones!$AA$97),"dd mmm yy"))&amp;" "&amp;Milestones!$AB$97&amp;" "&amp;Milestones!$AC$97&amp;";  ","")&amp;IF(AND(EDATE($D107,Milestones!$AA$98)&lt;=AsOfDate,IF($R107=0,$X107,IF(AND($T107&lt;&gt;"",EDATE($D107,Milestones!$AA$98)&gt;=$T107),$W107,IF(AND($S107&lt;&gt;"",EDATE($D107,Milestones!$AA$98)&gt;=$S107),$V107,$U107)))=Milestones!$AB$98),UPPER(TEXT(EDATE($D107,Milestones!$AA$98),"dd mmm yy"))&amp;" "&amp;Milestones!$AB$98&amp;" "&amp;Milestones!$AC$98&amp;";  ","")&amp;IF(AND(EDATE($D107,Milestones!$AA$99)&lt;=AsOfDate,IF($R107=0,$X107,IF(AND($T107&lt;&gt;"",EDATE($D107,Milestones!$AA$99)&gt;=$T107),$W107,IF(AND($S107&lt;&gt;"",EDATE($D107,Milestones!$AA$99)&gt;=$S107),$V107,$U107)))=Milestones!$AB$99),UPPER(TEXT(EDATE($D107,Milestones!$AA$99),"dd mmm yy"))&amp;" "&amp;Milestones!$AB$99&amp;" "&amp;Milestones!$AC$99&amp;";  ",""))</f>
        <v/>
      </c>
      <c r="M107" s="0" t="str">
        <f aca="false">IF(OR($A107="",$D107=""),"",IF(AND(EDATE($D107,Milestones!$AA$100)&lt;=AsOfDate,IF($R107=0,$X107,IF(AND($T107&lt;&gt;"",EDATE($D107,Milestones!$AA$100)&gt;=$T107),$W107,IF(AND($S107&lt;&gt;"",EDATE($D107,Milestones!$AA$100)&gt;=$S107),$V107,$U107)))=Milestones!$AB$100),UPPER(TEXT(EDATE($D107,Milestones!$AA$100),"dd mmm yy"))&amp;" "&amp;Milestones!$AB$100&amp;" "&amp;Milestones!$AC$100&amp;";  ","")&amp;IF(AND(EDATE($D107,Milestones!$AA$101)&lt;=AsOfDate,IF($R107=0,$X107,IF(AND($T107&lt;&gt;"",EDATE($D107,Milestones!$AA$101)&gt;=$T107),$W107,IF(AND($S107&lt;&gt;"",EDATE($D107,Milestones!$AA$101)&gt;=$S107),$V107,$U107)))=Milestones!$AB$101),UPPER(TEXT(EDATE($D107,Milestones!$AA$101),"dd mmm yy"))&amp;" "&amp;Milestones!$AB$101&amp;" "&amp;Milestones!$AC$101&amp;";  ","")&amp;IF(AND(EDATE($D107,Milestones!$AA$102)&lt;=AsOfDate,IF($R107=0,$X107,IF(AND($T107&lt;&gt;"",EDATE($D107,Milestones!$AA$102)&gt;=$T107),$W107,IF(AND($S107&lt;&gt;"",EDATE($D107,Milestones!$AA$102)&gt;=$S107),$V107,$U107)))=Milestones!$AB$102),UPPER(TEXT(EDATE($D107,Milestones!$AA$102),"dd mmm yy"))&amp;" "&amp;Milestones!$AB$102&amp;" "&amp;Milestones!$AC$102&amp;";  ","")&amp;IF(AND(EDATE($D107,Milestones!$AA$103)&lt;=AsOfDate,IF($R107=0,$X107,IF(AND($T107&lt;&gt;"",EDATE($D107,Milestones!$AA$103)&gt;=$T107),$W107,IF(AND($S107&lt;&gt;"",EDATE($D107,Milestones!$AA$103)&gt;=$S107),$V107,$U107)))=Milestones!$AB$103),UPPER(TEXT(EDATE($D107,Milestones!$AA$103),"dd mmm yy"))&amp;" "&amp;Milestones!$AB$103&amp;" "&amp;Milestones!$AC$103&amp;";  ","")&amp;IF(AND(EDATE($D107,Milestones!$AA$104)&lt;=AsOfDate,IF($R107=0,$X107,IF(AND($T107&lt;&gt;"",EDATE($D107,Milestones!$AA$104)&gt;=$T107),$W107,IF(AND($S107&lt;&gt;"",EDATE($D107,Milestones!$AA$104)&gt;=$S107),$V107,$U107)))=Milestones!$AB$104),UPPER(TEXT(EDATE($D107,Milestones!$AA$104),"dd mmm yy"))&amp;" "&amp;Milestones!$AB$104&amp;" "&amp;Milestones!$AC$104&amp;";  ","")&amp;IF(AND(EDATE($D107,Milestones!$AA$105)&lt;=AsOfDate,IF($R107=0,$X107,IF(AND($T107&lt;&gt;"",EDATE($D107,Milestones!$AA$105)&gt;=$T107),$W107,IF(AND($S107&lt;&gt;"",EDATE($D107,Milestones!$AA$105)&gt;=$S107),$V107,$U107)))=Milestones!$AB$105),UPPER(TEXT(EDATE($D107,Milestones!$AA$105),"dd mmm yy"))&amp;" "&amp;Milestones!$AB$105&amp;" "&amp;Milestones!$AC$105&amp;";  ","")&amp;IF(AND(EDATE($D107,Milestones!$AA$106)&lt;=AsOfDate,IF($R107=0,$X107,IF(AND($T107&lt;&gt;"",EDATE($D107,Milestones!$AA$106)&gt;=$T107),$W107,IF(AND($S107&lt;&gt;"",EDATE($D107,Milestones!$AA$106)&gt;=$S107),$V107,$U107)))=Milestones!$AB$106),UPPER(TEXT(EDATE($D107,Milestones!$AA$106),"dd mmm yy"))&amp;" "&amp;Milestones!$AB$106&amp;" "&amp;Milestones!$AC$106&amp;";  ","")&amp;IF(AND(EDATE($D107,Milestones!$AA$107)&lt;=AsOfDate,IF($R107=0,$X107,IF(AND($T107&lt;&gt;"",EDATE($D107,Milestones!$AA$107)&gt;=$T107),$W107,IF(AND($S107&lt;&gt;"",EDATE($D107,Milestones!$AA$107)&gt;=$S107),$V107,$U107)))=Milestones!$AB$107),UPPER(TEXT(EDATE($D107,Milestones!$AA$107),"dd mmm yy"))&amp;" "&amp;Milestones!$AB$107&amp;" "&amp;Milestones!$AC$107&amp;";  ","")&amp;IF(AND(EDATE($D107,Milestones!$AA$108)&lt;=AsOfDate,IF($R107=0,$X107,IF(AND($T107&lt;&gt;"",EDATE($D107,Milestones!$AA$108)&gt;=$T107),$W107,IF(AND($S107&lt;&gt;"",EDATE($D107,Milestones!$AA$108)&gt;=$S107),$V107,$U107)))=Milestones!$AB$108),UPPER(TEXT(EDATE($D107,Milestones!$AA$108),"dd mmm yy"))&amp;" "&amp;Milestones!$AB$108&amp;" "&amp;Milestones!$AC$108&amp;";  ","")&amp;IF(AND(EDATE($D107,Milestones!$AA$109)&lt;=AsOfDate,IF($R107=0,$X107,IF(AND($T107&lt;&gt;"",EDATE($D107,Milestones!$AA$109)&gt;=$T107),$W107,IF(AND($S107&lt;&gt;"",EDATE($D107,Milestones!$AA$109)&gt;=$S107),$V107,$U107)))=Milestones!$AB$109),UPPER(TEXT(EDATE($D107,Milestones!$AA$109),"dd mmm yy"))&amp;" "&amp;Milestones!$AB$109&amp;" "&amp;Milestones!$AC$109&amp;";  ","")&amp;IF(AND(EDATE($D107,Milestones!$AA$110)&lt;=AsOfDate,IF($R107=0,$X107,IF(AND($T107&lt;&gt;"",EDATE($D107,Milestones!$AA$110)&gt;=$T107),$W107,IF(AND($S107&lt;&gt;"",EDATE($D107,Milestones!$AA$110)&gt;=$S107),$V107,$U107)))=Milestones!$AB$110),UPPER(TEXT(EDATE($D107,Milestones!$AA$110),"dd mmm yy"))&amp;" "&amp;Milestones!$AB$110&amp;" "&amp;Milestones!$AC$110&amp;";  ","")&amp;IF(AND(EDATE($D107,Milestones!$AA$111)&lt;=AsOfDate,IF($R107=0,$X107,IF(AND($T107&lt;&gt;"",EDATE($D107,Milestones!$AA$111)&gt;=$T107),$W107,IF(AND($S107&lt;&gt;"",EDATE($D107,Milestones!$AA$111)&gt;=$S107),$V107,$U107)))=Milestones!$AB$111),UPPER(TEXT(EDATE($D107,Milestones!$AA$111),"dd mmm yy"))&amp;" "&amp;Milestones!$AB$111&amp;" "&amp;Milestones!$AC$111&amp;";  ","")&amp;IF(AND(EDATE($D107,Milestones!$AA$112)&lt;=AsOfDate,IF($R107=0,$X107,IF(AND($T107&lt;&gt;"",EDATE($D107,Milestones!$AA$112)&gt;=$T107),$W107,IF(AND($S107&lt;&gt;"",EDATE($D107,Milestones!$AA$112)&gt;=$S107),$V107,$U107)))=Milestones!$AB$112),UPPER(TEXT(EDATE($D107,Milestones!$AA$112),"dd mmm yy"))&amp;" "&amp;Milestones!$AB$112&amp;" "&amp;Milestones!$AC$112&amp;";  ","")&amp;IF(AND(EDATE($D107,Milestones!$AA$113)&lt;=AsOfDate,IF($R107=0,$X107,IF(AND($T107&lt;&gt;"",EDATE($D107,Milestones!$AA$113)&gt;=$T107),$W107,IF(AND($S107&lt;&gt;"",EDATE($D107,Milestones!$AA$113)&gt;=$S107),$V107,$U107)))=Milestones!$AB$113),UPPER(TEXT(EDATE($D107,Milestones!$AA$113),"dd mmm yy"))&amp;" "&amp;Milestones!$AB$113&amp;" "&amp;Milestones!$AC$113&amp;";  ","")&amp;IF(AND(EDATE($D107,Milestones!$AA$114)&lt;=AsOfDate,IF($R107=0,$X107,IF(AND($T107&lt;&gt;"",EDATE($D107,Milestones!$AA$114)&gt;=$T107),$W107,IF(AND($S107&lt;&gt;"",EDATE($D107,Milestones!$AA$114)&gt;=$S107),$V107,$U107)))=Milestones!$AB$114),UPPER(TEXT(EDATE($D107,Milestones!$AA$114),"dd mmm yy"))&amp;" "&amp;Milestones!$AB$114&amp;" "&amp;Milestones!$AC$114&amp;";  ","")&amp;IF(AND(EDATE($D107,Milestones!$AA$115)&lt;=AsOfDate,IF($R107=0,$X107,IF(AND($T107&lt;&gt;"",EDATE($D107,Milestones!$AA$115)&gt;=$T107),$W107,IF(AND($S107&lt;&gt;"",EDATE($D107,Milestones!$AA$115)&gt;=$S107),$V107,$U107)))=Milestones!$AB$115),UPPER(TEXT(EDATE($D107,Milestones!$AA$115),"dd mmm yy"))&amp;" "&amp;Milestones!$AB$115&amp;" "&amp;Milestones!$AC$115&amp;";  ","")&amp;IF(AND(EDATE($D107,Milestones!$AA$116)&lt;=AsOfDate,IF($R107=0,$X107,IF(AND($T107&lt;&gt;"",EDATE($D107,Milestones!$AA$116)&gt;=$T107),$W107,IF(AND($S107&lt;&gt;"",EDATE($D107,Milestones!$AA$116)&gt;=$S107),$V107,$U107)))=Milestones!$AB$116),UPPER(TEXT(EDATE($D107,Milestones!$AA$116),"dd mmm yy"))&amp;" "&amp;Milestones!$AB$116&amp;" "&amp;Milestones!$AC$116&amp;";  ","")&amp;IF(AND(EDATE($D107,Milestones!$AA$117)&lt;=AsOfDate,IF($R107=0,$X107,IF(AND($T107&lt;&gt;"",EDATE($D107,Milestones!$AA$117)&gt;=$T107),$W107,IF(AND($S107&lt;&gt;"",EDATE($D107,Milestones!$AA$117)&gt;=$S107),$V107,$U107)))=Milestones!$AB$117),UPPER(TEXT(EDATE($D107,Milestones!$AA$117),"dd mmm yy"))&amp;" "&amp;Milestones!$AB$117&amp;" "&amp;Milestones!$AC$117&amp;";  ","")&amp;IF(AND(EDATE($D107,Milestones!$AA$118)&lt;=AsOfDate,IF($R107=0,$X107,IF(AND($T107&lt;&gt;"",EDATE($D107,Milestones!$AA$118)&gt;=$T107),$W107,IF(AND($S107&lt;&gt;"",EDATE($D107,Milestones!$AA$118)&gt;=$S107),$V107,$U107)))=Milestones!$AB$118),UPPER(TEXT(EDATE($D107,Milestones!$AA$118),"dd mmm yy"))&amp;" "&amp;Milestones!$AB$118&amp;" "&amp;Milestones!$AC$118&amp;";  ","")&amp;IF(AND(EDATE($D107,Milestones!$AA$119)&lt;=AsOfDate,IF($R107=0,$X107,IF(AND($T107&lt;&gt;"",EDATE($D107,Milestones!$AA$119)&gt;=$T107),$W107,IF(AND($S107&lt;&gt;"",EDATE($D107,Milestones!$AA$119)&gt;=$S107),$V107,$U107)))=Milestones!$AB$119),UPPER(TEXT(EDATE($D107,Milestones!$AA$119),"dd mmm yy"))&amp;" "&amp;Milestones!$AB$119&amp;" "&amp;Milestones!$AC$119&amp;";  ",""))</f>
        <v/>
      </c>
      <c r="N107" s="0" t="str">
        <f aca="false">IF(OR($A107="",$D107=""),"",IF(AND(EDATE($D107,Milestones!$AA$120)&lt;=AsOfDate,IF($R107=0,$X107,IF(AND($T107&lt;&gt;"",EDATE($D107,Milestones!$AA$120)&gt;=$T107),$W107,IF(AND($S107&lt;&gt;"",EDATE($D107,Milestones!$AA$120)&gt;=$S107),$V107,$U107)))=Milestones!$AB$120),UPPER(TEXT(EDATE($D107,Milestones!$AA$120),"dd mmm yy"))&amp;" "&amp;Milestones!$AB$120&amp;" "&amp;Milestones!$AC$120&amp;";  ","")&amp;IF(AND(EDATE($D107,Milestones!$AA$121)&lt;=AsOfDate,IF($R107=0,$X107,IF(AND($T107&lt;&gt;"",EDATE($D107,Milestones!$AA$121)&gt;=$T107),$W107,IF(AND($S107&lt;&gt;"",EDATE($D107,Milestones!$AA$121)&gt;=$S107),$V107,$U107)))=Milestones!$AB$121),UPPER(TEXT(EDATE($D107,Milestones!$AA$121),"dd mmm yy"))&amp;" "&amp;Milestones!$AB$121&amp;" "&amp;Milestones!$AC$121&amp;";  ","")&amp;IF(AND(EDATE($D107,Milestones!$AA$122)&lt;=AsOfDate,IF($R107=0,$X107,IF(AND($T107&lt;&gt;"",EDATE($D107,Milestones!$AA$122)&gt;=$T107),$W107,IF(AND($S107&lt;&gt;"",EDATE($D107,Milestones!$AA$122)&gt;=$S107),$V107,$U107)))=Milestones!$AB$122),UPPER(TEXT(EDATE($D107,Milestones!$AA$122),"dd mmm yy"))&amp;" "&amp;Milestones!$AB$122&amp;" "&amp;Milestones!$AC$122&amp;";  ","")&amp;IF(AND(EDATE($D107,Milestones!$AA$123)&lt;=AsOfDate,IF($R107=0,$X107,IF(AND($T107&lt;&gt;"",EDATE($D107,Milestones!$AA$123)&gt;=$T107),$W107,IF(AND($S107&lt;&gt;"",EDATE($D107,Milestones!$AA$123)&gt;=$S107),$V107,$U107)))=Milestones!$AB$123),UPPER(TEXT(EDATE($D107,Milestones!$AA$123),"dd mmm yy"))&amp;" "&amp;Milestones!$AB$123&amp;" "&amp;Milestones!$AC$123&amp;";  ","")&amp;IF(AND(EDATE($D107,Milestones!$AA$124)&lt;=AsOfDate,IF($R107=0,$X107,IF(AND($T107&lt;&gt;"",EDATE($D107,Milestones!$AA$124)&gt;=$T107),$W107,IF(AND($S107&lt;&gt;"",EDATE($D107,Milestones!$AA$124)&gt;=$S107),$V107,$U107)))=Milestones!$AB$124),UPPER(TEXT(EDATE($D107,Milestones!$AA$124),"dd mmm yy"))&amp;" "&amp;Milestones!$AB$124&amp;" "&amp;Milestones!$AC$124&amp;";  ","")&amp;IF(AND(EDATE($D107,Milestones!$AA$125)&lt;=AsOfDate,IF($R107=0,$X107,IF(AND($T107&lt;&gt;"",EDATE($D107,Milestones!$AA$125)&gt;=$T107),$W107,IF(AND($S107&lt;&gt;"",EDATE($D107,Milestones!$AA$125)&gt;=$S107),$V107,$U107)))=Milestones!$AB$125),UPPER(TEXT(EDATE($D107,Milestones!$AA$125),"dd mmm yy"))&amp;" "&amp;Milestones!$AB$125&amp;" "&amp;Milestones!$AC$125&amp;";  ","")&amp;IF(AND(EDATE($D107,Milestones!$AA$126)&lt;=AsOfDate,IF($R107=0,$X107,IF(AND($T107&lt;&gt;"",EDATE($D107,Milestones!$AA$126)&gt;=$T107),$W107,IF(AND($S107&lt;&gt;"",EDATE($D107,Milestones!$AA$126)&gt;=$S107),$V107,$U107)))=Milestones!$AB$126),UPPER(TEXT(EDATE($D107,Milestones!$AA$126),"dd mmm yy"))&amp;" "&amp;Milestones!$AB$126&amp;" "&amp;Milestones!$AC$126&amp;";  ","")&amp;IF(AND(EDATE($D107,Milestones!$AA$127)&lt;=AsOfDate,IF($R107=0,$X107,IF(AND($T107&lt;&gt;"",EDATE($D107,Milestones!$AA$127)&gt;=$T107),$W107,IF(AND($S107&lt;&gt;"",EDATE($D107,Milestones!$AA$127)&gt;=$S107),$V107,$U107)))=Milestones!$AB$127),UPPER(TEXT(EDATE($D107,Milestones!$AA$127),"dd mmm yy"))&amp;" "&amp;Milestones!$AB$127&amp;" "&amp;Milestones!$AC$127&amp;";  ","")&amp;IF(AND(EDATE($D107,Milestones!$AA$128)&lt;=AsOfDate,IF($R107=0,$X107,IF(AND($T107&lt;&gt;"",EDATE($D107,Milestones!$AA$128)&gt;=$T107),$W107,IF(AND($S107&lt;&gt;"",EDATE($D107,Milestones!$AA$128)&gt;=$S107),$V107,$U107)))=Milestones!$AB$128),UPPER(TEXT(EDATE($D107,Milestones!$AA$128),"dd mmm yy"))&amp;" "&amp;Milestones!$AB$128&amp;" "&amp;Milestones!$AC$128&amp;";  ","")&amp;IF(AND(EDATE($D107,Milestones!$AA$129)&lt;=AsOfDate,IF($R107=0,$X107,IF(AND($T107&lt;&gt;"",EDATE($D107,Milestones!$AA$129)&gt;=$T107),$W107,IF(AND($S107&lt;&gt;"",EDATE($D107,Milestones!$AA$129)&gt;=$S107),$V107,$U107)))=Milestones!$AB$129),UPPER(TEXT(EDATE($D107,Milestones!$AA$129),"dd mmm yy"))&amp;" "&amp;Milestones!$AB$129&amp;" "&amp;Milestones!$AC$129&amp;";  ","")&amp;IF(AND(EDATE($D107,Milestones!$AA$130)&lt;=AsOfDate,IF($R107=0,$X107,IF(AND($T107&lt;&gt;"",EDATE($D107,Milestones!$AA$130)&gt;=$T107),$W107,IF(AND($S107&lt;&gt;"",EDATE($D107,Milestones!$AA$130)&gt;=$S107),$V107,$U107)))=Milestones!$AB$130),UPPER(TEXT(EDATE($D107,Milestones!$AA$130),"dd mmm yy"))&amp;" "&amp;Milestones!$AB$130&amp;" "&amp;Milestones!$AC$130&amp;";  ","")&amp;IF(AND(EDATE($D107,Milestones!$AA$131)&lt;=AsOfDate,IF($R107=0,$X107,IF(AND($T107&lt;&gt;"",EDATE($D107,Milestones!$AA$131)&gt;=$T107),$W107,IF(AND($S107&lt;&gt;"",EDATE($D107,Milestones!$AA$131)&gt;=$S107),$V107,$U107)))=Milestones!$AB$131),UPPER(TEXT(EDATE($D107,Milestones!$AA$131),"dd mmm yy"))&amp;" "&amp;Milestones!$AB$131&amp;" "&amp;Milestones!$AC$131&amp;";  ","")&amp;IF(AND(EDATE($D107,Milestones!$AA$132)&lt;=AsOfDate,IF($R107=0,$X107,IF(AND($T107&lt;&gt;"",EDATE($D107,Milestones!$AA$132)&gt;=$T107),$W107,IF(AND($S107&lt;&gt;"",EDATE($D107,Milestones!$AA$132)&gt;=$S107),$V107,$U107)))=Milestones!$AB$132),UPPER(TEXT(EDATE($D107,Milestones!$AA$132),"dd mmm yy"))&amp;" "&amp;Milestones!$AB$132&amp;" "&amp;Milestones!$AC$132&amp;";  ","")&amp;IF(AND(EDATE($D107,Milestones!$AA$133)&lt;=AsOfDate,IF($R107=0,$X107,IF(AND($T107&lt;&gt;"",EDATE($D107,Milestones!$AA$133)&gt;=$T107),$W107,IF(AND($S107&lt;&gt;"",EDATE($D107,Milestones!$AA$133)&gt;=$S107),$V107,$U107)))=Milestones!$AB$133),UPPER(TEXT(EDATE($D107,Milestones!$AA$133),"dd mmm yy"))&amp;" "&amp;Milestones!$AB$133&amp;" "&amp;Milestones!$AC$133&amp;";  ","")&amp;IF(AND(EDATE($D107,Milestones!$AA$134)&lt;=AsOfDate,IF($R107=0,$X107,IF(AND($T107&lt;&gt;"",EDATE($D107,Milestones!$AA$134)&gt;=$T107),$W107,IF(AND($S107&lt;&gt;"",EDATE($D107,Milestones!$AA$134)&gt;=$S107),$V107,$U107)))=Milestones!$AB$134),UPPER(TEXT(EDATE($D107,Milestones!$AA$134),"dd mmm yy"))&amp;" "&amp;Milestones!$AB$134&amp;" "&amp;Milestones!$AC$134&amp;";  ","")&amp;IF(AND(EDATE($D107,Milestones!$AA$135)&lt;=AsOfDate,IF($R107=0,$X107,IF(AND($T107&lt;&gt;"",EDATE($D107,Milestones!$AA$135)&gt;=$T107),$W107,IF(AND($S107&lt;&gt;"",EDATE($D107,Milestones!$AA$135)&gt;=$S107),$V107,$U107)))=Milestones!$AB$135),UPPER(TEXT(EDATE($D107,Milestones!$AA$135),"dd mmm yy"))&amp;" "&amp;Milestones!$AB$135&amp;" "&amp;Milestones!$AC$135&amp;";  ","")&amp;IF(AND(EDATE($D107,Milestones!$AA$136)&lt;=AsOfDate,IF($R107=0,$X107,IF(AND($T107&lt;&gt;"",EDATE($D107,Milestones!$AA$136)&gt;=$T107),$W107,IF(AND($S107&lt;&gt;"",EDATE($D107,Milestones!$AA$136)&gt;=$S107),$V107,$U107)))=Milestones!$AB$136),UPPER(TEXT(EDATE($D107,Milestones!$AA$136),"dd mmm yy"))&amp;" "&amp;Milestones!$AB$136&amp;" "&amp;Milestones!$AC$136&amp;";  ","")&amp;IF(AND(EDATE($D107,Milestones!$AA$137)&lt;=AsOfDate,IF($R107=0,$X107,IF(AND($T107&lt;&gt;"",EDATE($D107,Milestones!$AA$137)&gt;=$T107),$W107,IF(AND($S107&lt;&gt;"",EDATE($D107,Milestones!$AA$137)&gt;=$S107),$V107,$U107)))=Milestones!$AB$137),UPPER(TEXT(EDATE($D107,Milestones!$AA$137),"dd mmm yy"))&amp;" "&amp;Milestones!$AB$137&amp;" "&amp;Milestones!$AC$137&amp;";  ","")&amp;IF(AND(EDATE($D107,Milestones!$AA$138)&lt;=AsOfDate,IF($R107=0,$X107,IF(AND($T107&lt;&gt;"",EDATE($D107,Milestones!$AA$138)&gt;=$T107),$W107,IF(AND($S107&lt;&gt;"",EDATE($D107,Milestones!$AA$138)&gt;=$S107),$V107,$U107)))=Milestones!$AB$138),UPPER(TEXT(EDATE($D107,Milestones!$AA$138),"dd mmm yy"))&amp;" "&amp;Milestones!$AB$138&amp;" "&amp;Milestones!$AC$138&amp;";  ","")&amp;IF(AND(EDATE($D107,Milestones!$AA$139)&lt;=AsOfDate,IF($R107=0,$X107,IF(AND($T107&lt;&gt;"",EDATE($D107,Milestones!$AA$139)&gt;=$T107),$W107,IF(AND($S107&lt;&gt;"",EDATE($D107,Milestones!$AA$139)&gt;=$S107),$V107,$U107)))=Milestones!$AB$139),UPPER(TEXT(EDATE($D107,Milestones!$AA$139),"dd mmm yy"))&amp;" "&amp;Milestones!$AB$139&amp;" "&amp;Milestones!$AC$139&amp;";  ",""))</f>
        <v/>
      </c>
      <c r="O107" s="0" t="str">
        <f aca="false">IF(OR($A107="",$D107=""),"",IF(AND(EDATE($D107,Milestones!$AA$140)&lt;=AsOfDate,IF($R107=0,$X107,IF(AND($T107&lt;&gt;"",EDATE($D107,Milestones!$AA$140)&gt;=$T107),$W107,IF(AND($S107&lt;&gt;"",EDATE($D107,Milestones!$AA$140)&gt;=$S107),$V107,$U107)))=Milestones!$AB$140),UPPER(TEXT(EDATE($D107,Milestones!$AA$140),"dd mmm yy"))&amp;" "&amp;Milestones!$AB$140&amp;" "&amp;Milestones!$AC$140&amp;";  ","")&amp;IF(AND(EDATE($D107,Milestones!$AA$141)&lt;=AsOfDate,IF($R107=0,$X107,IF(AND($T107&lt;&gt;"",EDATE($D107,Milestones!$AA$141)&gt;=$T107),$W107,IF(AND($S107&lt;&gt;"",EDATE($D107,Milestones!$AA$141)&gt;=$S107),$V107,$U107)))=Milestones!$AB$141),UPPER(TEXT(EDATE($D107,Milestones!$AA$141),"dd mmm yy"))&amp;" "&amp;Milestones!$AB$141&amp;" "&amp;Milestones!$AC$141&amp;";  ","")&amp;IF(AND(EDATE($D107,Milestones!$AA$142)&lt;=AsOfDate,IF($R107=0,$X107,IF(AND($T107&lt;&gt;"",EDATE($D107,Milestones!$AA$142)&gt;=$T107),$W107,IF(AND($S107&lt;&gt;"",EDATE($D107,Milestones!$AA$142)&gt;=$S107),$V107,$U107)))=Milestones!$AB$142),UPPER(TEXT(EDATE($D107,Milestones!$AA$142),"dd mmm yy"))&amp;" "&amp;Milestones!$AB$142&amp;" "&amp;Milestones!$AC$142&amp;";  ","")&amp;IF(AND(EDATE($D107,Milestones!$AA$143)&lt;=AsOfDate,IF($R107=0,$X107,IF(AND($T107&lt;&gt;"",EDATE($D107,Milestones!$AA$143)&gt;=$T107),$W107,IF(AND($S107&lt;&gt;"",EDATE($D107,Milestones!$AA$143)&gt;=$S107),$V107,$U107)))=Milestones!$AB$143),UPPER(TEXT(EDATE($D107,Milestones!$AA$143),"dd mmm yy"))&amp;" "&amp;Milestones!$AB$143&amp;" "&amp;Milestones!$AC$143&amp;";  ","")&amp;IF(AND(EDATE($D107,Milestones!$AA$144)&lt;=AsOfDate,IF($R107=0,$X107,IF(AND($T107&lt;&gt;"",EDATE($D107,Milestones!$AA$144)&gt;=$T107),$W107,IF(AND($S107&lt;&gt;"",EDATE($D107,Milestones!$AA$144)&gt;=$S107),$V107,$U107)))=Milestones!$AB$144),UPPER(TEXT(EDATE($D107,Milestones!$AA$144),"dd mmm yy"))&amp;" "&amp;Milestones!$AB$144&amp;" "&amp;Milestones!$AC$144&amp;";  ","")&amp;IF(AND(EDATE($D107,Milestones!$AA$145)&lt;=AsOfDate,IF($R107=0,$X107,IF(AND($T107&lt;&gt;"",EDATE($D107,Milestones!$AA$145)&gt;=$T107),$W107,IF(AND($S107&lt;&gt;"",EDATE($D107,Milestones!$AA$145)&gt;=$S107),$V107,$U107)))=Milestones!$AB$145),UPPER(TEXT(EDATE($D107,Milestones!$AA$145),"dd mmm yy"))&amp;" "&amp;Milestones!$AB$145&amp;" "&amp;Milestones!$AC$145&amp;";  ","")&amp;IF(AND(EDATE($D107,Milestones!$AA$146)&lt;=AsOfDate,IF($R107=0,$X107,IF(AND($T107&lt;&gt;"",EDATE($D107,Milestones!$AA$146)&gt;=$T107),$W107,IF(AND($S107&lt;&gt;"",EDATE($D107,Milestones!$AA$146)&gt;=$S107),$V107,$U107)))=Milestones!$AB$146),UPPER(TEXT(EDATE($D107,Milestones!$AA$146),"dd mmm yy"))&amp;" "&amp;Milestones!$AB$146&amp;" "&amp;Milestones!$AC$146&amp;";  ","")&amp;IF(AND(EDATE($D107,Milestones!$AA$147)&lt;=AsOfDate,IF($R107=0,$X107,IF(AND($T107&lt;&gt;"",EDATE($D107,Milestones!$AA$147)&gt;=$T107),$W107,IF(AND($S107&lt;&gt;"",EDATE($D107,Milestones!$AA$147)&gt;=$S107),$V107,$U107)))=Milestones!$AB$147),UPPER(TEXT(EDATE($D107,Milestones!$AA$147),"dd mmm yy"))&amp;" "&amp;Milestones!$AB$147&amp;" "&amp;Milestones!$AC$147&amp;";  ","")&amp;IF(AND(EDATE($D107,Milestones!$AA$148)&lt;=AsOfDate,IF($R107=0,$X107,IF(AND($T107&lt;&gt;"",EDATE($D107,Milestones!$AA$148)&gt;=$T107),$W107,IF(AND($S107&lt;&gt;"",EDATE($D107,Milestones!$AA$148)&gt;=$S107),$V107,$U107)))=Milestones!$AB$148),UPPER(TEXT(EDATE($D107,Milestones!$AA$148),"dd mmm yy"))&amp;" "&amp;Milestones!$AB$148&amp;" "&amp;Milestones!$AC$148&amp;";  ","")&amp;IF(AND(EDATE($D107,Milestones!$AA$149)&lt;=AsOfDate,IF($R107=0,$X107,IF(AND($T107&lt;&gt;"",EDATE($D107,Milestones!$AA$149)&gt;=$T107),$W107,IF(AND($S107&lt;&gt;"",EDATE($D107,Milestones!$AA$149)&gt;=$S107),$V107,$U107)))=Milestones!$AB$149),UPPER(TEXT(EDATE($D107,Milestones!$AA$149),"dd mmm yy"))&amp;" "&amp;Milestones!$AB$149&amp;" "&amp;Milestones!$AC$149&amp;";  ","")&amp;IF(AND(EDATE($D107,Milestones!$AA$150)&lt;=AsOfDate,IF($R107=0,$X107,IF(AND($T107&lt;&gt;"",EDATE($D107,Milestones!$AA$150)&gt;=$T107),$W107,IF(AND($S107&lt;&gt;"",EDATE($D107,Milestones!$AA$150)&gt;=$S107),$V107,$U107)))=Milestones!$AB$150),UPPER(TEXT(EDATE($D107,Milestones!$AA$150),"dd mmm yy"))&amp;" "&amp;Milestones!$AB$150&amp;" "&amp;Milestones!$AC$150&amp;";  ","")&amp;IF(AND(EDATE($D107,Milestones!$AA$151)&lt;=AsOfDate,IF($R107=0,$X107,IF(AND($T107&lt;&gt;"",EDATE($D107,Milestones!$AA$151)&gt;=$T107),$W107,IF(AND($S107&lt;&gt;"",EDATE($D107,Milestones!$AA$151)&gt;=$S107),$V107,$U107)))=Milestones!$AB$151),UPPER(TEXT(EDATE($D107,Milestones!$AA$151),"dd mmm yy"))&amp;" "&amp;Milestones!$AB$151&amp;" "&amp;Milestones!$AC$151&amp;";  ","")&amp;IF(AND(EDATE($D107,Milestones!$AA$152)&lt;=AsOfDate,IF($R107=0,$X107,IF(AND($T107&lt;&gt;"",EDATE($D107,Milestones!$AA$152)&gt;=$T107),$W107,IF(AND($S107&lt;&gt;"",EDATE($D107,Milestones!$AA$152)&gt;=$S107),$V107,$U107)))=Milestones!$AB$152),UPPER(TEXT(EDATE($D107,Milestones!$AA$152),"dd mmm yy"))&amp;" "&amp;Milestones!$AB$152&amp;" "&amp;Milestones!$AC$152&amp;";  ","")&amp;IF(AND(EDATE($D107,Milestones!$AA$153)&lt;=AsOfDate,IF($R107=0,$X107,IF(AND($T107&lt;&gt;"",EDATE($D107,Milestones!$AA$153)&gt;=$T107),$W107,IF(AND($S107&lt;&gt;"",EDATE($D107,Milestones!$AA$153)&gt;=$S107),$V107,$U107)))=Milestones!$AB$153),UPPER(TEXT(EDATE($D107,Milestones!$AA$153),"dd mmm yy"))&amp;" "&amp;Milestones!$AB$153&amp;" "&amp;Milestones!$AC$153&amp;";  ","")&amp;IF(AND(EDATE($D107,Milestones!$AA$154)&lt;=AsOfDate,IF($R107=0,$X107,IF(AND($T107&lt;&gt;"",EDATE($D107,Milestones!$AA$154)&gt;=$T107),$W107,IF(AND($S107&lt;&gt;"",EDATE($D107,Milestones!$AA$154)&gt;=$S107),$V107,$U107)))=Milestones!$AB$154),UPPER(TEXT(EDATE($D107,Milestones!$AA$154),"dd mmm yy"))&amp;" "&amp;Milestones!$AB$154&amp;" "&amp;Milestones!$AC$154&amp;";  ","")&amp;IF(AND(EDATE($D107,Milestones!$AA$155)&lt;=AsOfDate,IF($R107=0,$X107,IF(AND($T107&lt;&gt;"",EDATE($D107,Milestones!$AA$155)&gt;=$T107),$W107,IF(AND($S107&lt;&gt;"",EDATE($D107,Milestones!$AA$155)&gt;=$S107),$V107,$U107)))=Milestones!$AB$155),UPPER(TEXT(EDATE($D107,Milestones!$AA$155),"dd mmm yy"))&amp;" "&amp;Milestones!$AB$155&amp;" "&amp;Milestones!$AC$155&amp;";  ","")&amp;IF(AND(EDATE($D107,Milestones!$AA$156)&lt;=AsOfDate,IF($R107=0,$X107,IF(AND($T107&lt;&gt;"",EDATE($D107,Milestones!$AA$156)&gt;=$T107),$W107,IF(AND($S107&lt;&gt;"",EDATE($D107,Milestones!$AA$156)&gt;=$S107),$V107,$U107)))=Milestones!$AB$156),UPPER(TEXT(EDATE($D107,Milestones!$AA$156),"dd mmm yy"))&amp;" "&amp;Milestones!$AB$156&amp;" "&amp;Milestones!$AC$156&amp;";  ","")&amp;IF(AND(EDATE($D107,Milestones!$AA$157)&lt;=AsOfDate,IF($R107=0,$X107,IF(AND($T107&lt;&gt;"",EDATE($D107,Milestones!$AA$157)&gt;=$T107),$W107,IF(AND($S107&lt;&gt;"",EDATE($D107,Milestones!$AA$157)&gt;=$S107),$V107,$U107)))=Milestones!$AB$157),UPPER(TEXT(EDATE($D107,Milestones!$AA$157),"dd mmm yy"))&amp;" "&amp;Milestones!$AB$157&amp;" "&amp;Milestones!$AC$157&amp;";  ","")&amp;IF(AND(EDATE($D107,Milestones!$AA$158)&lt;=AsOfDate,IF($R107=0,$X107,IF(AND($T107&lt;&gt;"",EDATE($D107,Milestones!$AA$158)&gt;=$T107),$W107,IF(AND($S107&lt;&gt;"",EDATE($D107,Milestones!$AA$158)&gt;=$S107),$V107,$U107)))=Milestones!$AB$158),UPPER(TEXT(EDATE($D107,Milestones!$AA$158),"dd mmm yy"))&amp;" "&amp;Milestones!$AB$158&amp;" "&amp;Milestones!$AC$158&amp;";  ","")&amp;IF(AND(EDATE($D107,Milestones!$AA$159)&lt;=AsOfDate,IF($R107=0,$X107,IF(AND($T107&lt;&gt;"",EDATE($D107,Milestones!$AA$159)&gt;=$T107),$W107,IF(AND($S107&lt;&gt;"",EDATE($D107,Milestones!$AA$159)&gt;=$S107),$V107,$U107)))=Milestones!$AB$159),UPPER(TEXT(EDATE($D107,Milestones!$AA$159),"dd mmm yy"))&amp;" "&amp;Milestones!$AB$159&amp;" "&amp;Milestones!$AC$159&amp;";  ",""))</f>
        <v/>
      </c>
      <c r="P107" s="0" t="str">
        <f aca="false">IF(OR($A107="",$D107=""),"",IF(AND(EDATE($D107,Milestones!$AA$160)&lt;=AsOfDate,IF($R107=0,$X107,IF(AND($T107&lt;&gt;"",EDATE($D107,Milestones!$AA$160)&gt;=$T107),$W107,IF(AND($S107&lt;&gt;"",EDATE($D107,Milestones!$AA$160)&gt;=$S107),$V107,$U107)))=Milestones!$AB$160),UPPER(TEXT(EDATE($D107,Milestones!$AA$160),"dd mmm yy"))&amp;" "&amp;Milestones!$AB$160&amp;" "&amp;Milestones!$AC$160&amp;";  ","")&amp;IF(AND(EDATE($D107,Milestones!$AA$161)&lt;=AsOfDate,IF($R107=0,$X107,IF(AND($T107&lt;&gt;"",EDATE($D107,Milestones!$AA$161)&gt;=$T107),$W107,IF(AND($S107&lt;&gt;"",EDATE($D107,Milestones!$AA$161)&gt;=$S107),$V107,$U107)))=Milestones!$AB$161),UPPER(TEXT(EDATE($D107,Milestones!$AA$161),"dd mmm yy"))&amp;" "&amp;Milestones!$AB$161&amp;" "&amp;Milestones!$AC$161&amp;";  ","")&amp;IF(AND(EDATE($D107,Milestones!$AA$162)&lt;=AsOfDate,IF($R107=0,$X107,IF(AND($T107&lt;&gt;"",EDATE($D107,Milestones!$AA$162)&gt;=$T107),$W107,IF(AND($S107&lt;&gt;"",EDATE($D107,Milestones!$AA$162)&gt;=$S107),$V107,$U107)))=Milestones!$AB$162),UPPER(TEXT(EDATE($D107,Milestones!$AA$162),"dd mmm yy"))&amp;" "&amp;Milestones!$AB$162&amp;" "&amp;Milestones!$AC$162&amp;";  ","")&amp;IF(AND(EDATE($D107,Milestones!$AA$163)&lt;=AsOfDate,IF($R107=0,$X107,IF(AND($T107&lt;&gt;"",EDATE($D107,Milestones!$AA$163)&gt;=$T107),$W107,IF(AND($S107&lt;&gt;"",EDATE($D107,Milestones!$AA$163)&gt;=$S107),$V107,$U107)))=Milestones!$AB$163),UPPER(TEXT(EDATE($D107,Milestones!$AA$163),"dd mmm yy"))&amp;" "&amp;Milestones!$AB$163&amp;" "&amp;Milestones!$AC$163&amp;";  ","")&amp;IF(AND(EDATE($D107,Milestones!$AA$164)&lt;=AsOfDate,IF($R107=0,$X107,IF(AND($T107&lt;&gt;"",EDATE($D107,Milestones!$AA$164)&gt;=$T107),$W107,IF(AND($S107&lt;&gt;"",EDATE($D107,Milestones!$AA$164)&gt;=$S107),$V107,$U107)))=Milestones!$AB$164),UPPER(TEXT(EDATE($D107,Milestones!$AA$164),"dd mmm yy"))&amp;" "&amp;Milestones!$AB$164&amp;" "&amp;Milestones!$AC$164&amp;";  ","")&amp;IF(AND(EDATE($D107,Milestones!$AA$165)&lt;=AsOfDate,IF($R107=0,$X107,IF(AND($T107&lt;&gt;"",EDATE($D107,Milestones!$AA$165)&gt;=$T107),$W107,IF(AND($S107&lt;&gt;"",EDATE($D107,Milestones!$AA$165)&gt;=$S107),$V107,$U107)))=Milestones!$AB$165),UPPER(TEXT(EDATE($D107,Milestones!$AA$165),"dd mmm yy"))&amp;" "&amp;Milestones!$AB$165&amp;" "&amp;Milestones!$AC$165&amp;";  ","")&amp;IF(AND(EDATE($D107,Milestones!$AA$166)&lt;=AsOfDate,IF($R107=0,$X107,IF(AND($T107&lt;&gt;"",EDATE($D107,Milestones!$AA$166)&gt;=$T107),$W107,IF(AND($S107&lt;&gt;"",EDATE($D107,Milestones!$AA$166)&gt;=$S107),$V107,$U107)))=Milestones!$AB$166),UPPER(TEXT(EDATE($D107,Milestones!$AA$166),"dd mmm yy"))&amp;" "&amp;Milestones!$AB$166&amp;" "&amp;Milestones!$AC$166&amp;";  ","")&amp;IF(AND(EDATE($D107,Milestones!$AA$167)&lt;=AsOfDate,IF($R107=0,$X107,IF(AND($T107&lt;&gt;"",EDATE($D107,Milestones!$AA$167)&gt;=$T107),$W107,IF(AND($S107&lt;&gt;"",EDATE($D107,Milestones!$AA$167)&gt;=$S107),$V107,$U107)))=Milestones!$AB$167),UPPER(TEXT(EDATE($D107,Milestones!$AA$167),"dd mmm yy"))&amp;" "&amp;Milestones!$AB$167&amp;" "&amp;Milestones!$AC$167&amp;";  ","")&amp;IF(AND(EDATE($D107,Milestones!$AA$168)&lt;=AsOfDate,IF($R107=0,$X107,IF(AND($T107&lt;&gt;"",EDATE($D107,Milestones!$AA$168)&gt;=$T107),$W107,IF(AND($S107&lt;&gt;"",EDATE($D107,Milestones!$AA$168)&gt;=$S107),$V107,$U107)))=Milestones!$AB$168),UPPER(TEXT(EDATE($D107,Milestones!$AA$168),"dd mmm yy"))&amp;" "&amp;Milestones!$AB$168&amp;" "&amp;Milestones!$AC$168&amp;";  ","")&amp;IF(AND(EDATE($D107,Milestones!$AA$169)&lt;=AsOfDate,IF($R107=0,$X107,IF(AND($T107&lt;&gt;"",EDATE($D107,Milestones!$AA$169)&gt;=$T107),$W107,IF(AND($S107&lt;&gt;"",EDATE($D107,Milestones!$AA$169)&gt;=$S107),$V107,$U107)))=Milestones!$AB$169),UPPER(TEXT(EDATE($D107,Milestones!$AA$169),"dd mmm yy"))&amp;" "&amp;Milestones!$AB$169&amp;" "&amp;Milestones!$AC$169&amp;";  ","")&amp;IF(AND(EDATE($D107,Milestones!$AA$170)&lt;=AsOfDate,IF($R107=0,$X107,IF(AND($T107&lt;&gt;"",EDATE($D107,Milestones!$AA$170)&gt;=$T107),$W107,IF(AND($S107&lt;&gt;"",EDATE($D107,Milestones!$AA$170)&gt;=$S107),$V107,$U107)))=Milestones!$AB$170),UPPER(TEXT(EDATE($D107,Milestones!$AA$170),"dd mmm yy"))&amp;" "&amp;Milestones!$AB$170&amp;" "&amp;Milestones!$AC$170&amp;";  ","")&amp;IF(AND(EDATE($D107,Milestones!$AA$171)&lt;=AsOfDate,IF($R107=0,$X107,IF(AND($T107&lt;&gt;"",EDATE($D107,Milestones!$AA$171)&gt;=$T107),$W107,IF(AND($S107&lt;&gt;"",EDATE($D107,Milestones!$AA$171)&gt;=$S107),$V107,$U107)))=Milestones!$AB$171),UPPER(TEXT(EDATE($D107,Milestones!$AA$171),"dd mmm yy"))&amp;" "&amp;Milestones!$AB$171&amp;" "&amp;Milestones!$AC$171&amp;";  ","")&amp;IF(AND(EDATE($D107,Milestones!$AA$172)&lt;=AsOfDate,IF($R107=0,$X107,IF(AND($T107&lt;&gt;"",EDATE($D107,Milestones!$AA$172)&gt;=$T107),$W107,IF(AND($S107&lt;&gt;"",EDATE($D107,Milestones!$AA$172)&gt;=$S107),$V107,$U107)))=Milestones!$AB$172),UPPER(TEXT(EDATE($D107,Milestones!$AA$172),"dd mmm yy"))&amp;" "&amp;Milestones!$AB$172&amp;" "&amp;Milestones!$AC$172&amp;";  ","")&amp;IF(AND(EDATE($D107,Milestones!$AA$173)&lt;=AsOfDate,IF($R107=0,$X107,IF(AND($T107&lt;&gt;"",EDATE($D107,Milestones!$AA$173)&gt;=$T107),$W107,IF(AND($S107&lt;&gt;"",EDATE($D107,Milestones!$AA$173)&gt;=$S107),$V107,$U107)))=Milestones!$AB$173),UPPER(TEXT(EDATE($D107,Milestones!$AA$173),"dd mmm yy"))&amp;" "&amp;Milestones!$AB$173&amp;" "&amp;Milestones!$AC$173&amp;";  ","")&amp;IF(AND(EDATE($D107,Milestones!$AA$174)&lt;=AsOfDate,IF($R107=0,$X107,IF(AND($T107&lt;&gt;"",EDATE($D107,Milestones!$AA$174)&gt;=$T107),$W107,IF(AND($S107&lt;&gt;"",EDATE($D107,Milestones!$AA$174)&gt;=$S107),$V107,$U107)))=Milestones!$AB$174),UPPER(TEXT(EDATE($D107,Milestones!$AA$174),"dd mmm yy"))&amp;" "&amp;Milestones!$AB$174&amp;" "&amp;Milestones!$AC$174&amp;";  ","")&amp;IF(AND(EDATE($D107,Milestones!$AA$175)&lt;=AsOfDate,IF($R107=0,$X107,IF(AND($T107&lt;&gt;"",EDATE($D107,Milestones!$AA$175)&gt;=$T107),$W107,IF(AND($S107&lt;&gt;"",EDATE($D107,Milestones!$AA$175)&gt;=$S107),$V107,$U107)))=Milestones!$AB$175),UPPER(TEXT(EDATE($D107,Milestones!$AA$175),"dd mmm yy"))&amp;" "&amp;Milestones!$AB$175&amp;" "&amp;Milestones!$AC$175&amp;";  ","")&amp;IF(AND(EDATE($D107,Milestones!$AA$176)&lt;=AsOfDate,IF($R107=0,$X107,IF(AND($T107&lt;&gt;"",EDATE($D107,Milestones!$AA$176)&gt;=$T107),$W107,IF(AND($S107&lt;&gt;"",EDATE($D107,Milestones!$AA$176)&gt;=$S107),$V107,$U107)))=Milestones!$AB$176),UPPER(TEXT(EDATE($D107,Milestones!$AA$176),"dd mmm yy"))&amp;" "&amp;Milestones!$AB$176&amp;" "&amp;Milestones!$AC$176&amp;";  ","")&amp;IF(AND(EDATE($D107,Milestones!$AA$177)&lt;=AsOfDate,IF($R107=0,$X107,IF(AND($T107&lt;&gt;"",EDATE($D107,Milestones!$AA$177)&gt;=$T107),$W107,IF(AND($S107&lt;&gt;"",EDATE($D107,Milestones!$AA$177)&gt;=$S107),$V107,$U107)))=Milestones!$AB$177),UPPER(TEXT(EDATE($D107,Milestones!$AA$177),"dd mmm yy"))&amp;" "&amp;Milestones!$AB$177&amp;" "&amp;Milestones!$AC$177&amp;";  ","")&amp;IF(AND(EDATE($D107,Milestones!$AA$178)&lt;=AsOfDate,IF($R107=0,$X107,IF(AND($T107&lt;&gt;"",EDATE($D107,Milestones!$AA$178)&gt;=$T107),$W107,IF(AND($S107&lt;&gt;"",EDATE($D107,Milestones!$AA$178)&gt;=$S107),$V107,$U107)))=Milestones!$AB$178),UPPER(TEXT(EDATE($D107,Milestones!$AA$178),"dd mmm yy"))&amp;" "&amp;Milestones!$AB$178&amp;" "&amp;Milestones!$AC$178&amp;";  ","")&amp;IF(AND(EDATE($D107,Milestones!$AA$179)&lt;=AsOfDate,IF($R107=0,$X107,IF(AND($T107&lt;&gt;"",EDATE($D107,Milestones!$AA$179)&gt;=$T107),$W107,IF(AND($S107&lt;&gt;"",EDATE($D107,Milestones!$AA$179)&gt;=$S107),$V107,$U107)))=Milestones!$AB$179),UPPER(TEXT(EDATE($D107,Milestones!$AA$179),"dd mmm yy"))&amp;" "&amp;Milestones!$AB$179&amp;" "&amp;Milestones!$AC$179&amp;";  ",""))</f>
        <v/>
      </c>
      <c r="Q107" s="0" t="str">
        <f aca="false">IF(OR($A107="",$D107=""),"",IF(AND(EDATE($D107,Milestones!$AA$180)&lt;=AsOfDate,IF($R107=0,$X107,IF(AND($T107&lt;&gt;"",EDATE($D107,Milestones!$AA$180)&gt;=$T107),$W107,IF(AND($S107&lt;&gt;"",EDATE($D107,Milestones!$AA$180)&gt;=$S107),$V107,$U107)))=Milestones!$AB$180),UPPER(TEXT(EDATE($D107,Milestones!$AA$180),"dd mmm yy"))&amp;" "&amp;Milestones!$AB$180&amp;" "&amp;Milestones!$AC$180&amp;";  ","")&amp;IF(AND(EDATE($D107,Milestones!$AA$181)&lt;=AsOfDate,IF($R107=0,$X107,IF(AND($T107&lt;&gt;"",EDATE($D107,Milestones!$AA$181)&gt;=$T107),$W107,IF(AND($S107&lt;&gt;"",EDATE($D107,Milestones!$AA$181)&gt;=$S107),$V107,$U107)))=Milestones!$AB$181),UPPER(TEXT(EDATE($D107,Milestones!$AA$181),"dd mmm yy"))&amp;" "&amp;Milestones!$AB$181&amp;" "&amp;Milestones!$AC$181&amp;";  ","")&amp;IF(AND(EDATE($D107,Milestones!$AA$182)&lt;=AsOfDate,IF($R107=0,$X107,IF(AND($T107&lt;&gt;"",EDATE($D107,Milestones!$AA$182)&gt;=$T107),$W107,IF(AND($S107&lt;&gt;"",EDATE($D107,Milestones!$AA$182)&gt;=$S107),$V107,$U107)))=Milestones!$AB$182),UPPER(TEXT(EDATE($D107,Milestones!$AA$182),"dd mmm yy"))&amp;" "&amp;Milestones!$AB$182&amp;" "&amp;Milestones!$AC$182&amp;";  ","")&amp;IF(AND(EDATE($D107,Milestones!$AA$183)&lt;=AsOfDate,IF($R107=0,$X107,IF(AND($T107&lt;&gt;"",EDATE($D107,Milestones!$AA$183)&gt;=$T107),$W107,IF(AND($S107&lt;&gt;"",EDATE($D107,Milestones!$AA$183)&gt;=$S107),$V107,$U107)))=Milestones!$AB$183),UPPER(TEXT(EDATE($D107,Milestones!$AA$183),"dd mmm yy"))&amp;" "&amp;Milestones!$AB$183&amp;" "&amp;Milestones!$AC$183&amp;";  ","")&amp;IF(AND(EDATE($D107,Milestones!$AA$184)&lt;=AsOfDate,IF($R107=0,$X107,IF(AND($T107&lt;&gt;"",EDATE($D107,Milestones!$AA$184)&gt;=$T107),$W107,IF(AND($S107&lt;&gt;"",EDATE($D107,Milestones!$AA$184)&gt;=$S107),$V107,$U107)))=Milestones!$AB$184),UPPER(TEXT(EDATE($D107,Milestones!$AA$184),"dd mmm yy"))&amp;" "&amp;Milestones!$AB$184&amp;" "&amp;Milestones!$AC$184&amp;";  ","")&amp;IF(AND(EDATE($D107,Milestones!$AA$185)&lt;=AsOfDate,IF($R107=0,$X107,IF(AND($T107&lt;&gt;"",EDATE($D107,Milestones!$AA$185)&gt;=$T107),$W107,IF(AND($S107&lt;&gt;"",EDATE($D107,Milestones!$AA$185)&gt;=$S107),$V107,$U107)))=Milestones!$AB$185),UPPER(TEXT(EDATE($D107,Milestones!$AA$185),"dd mmm yy"))&amp;" "&amp;Milestones!$AB$185&amp;" "&amp;Milestones!$AC$185&amp;";  ","")&amp;IF(AND(EDATE($D107,Milestones!$AA$186)&lt;=AsOfDate,IF($R107=0,$X107,IF(AND($T107&lt;&gt;"",EDATE($D107,Milestones!$AA$186)&gt;=$T107),$W107,IF(AND($S107&lt;&gt;"",EDATE($D107,Milestones!$AA$186)&gt;=$S107),$V107,$U107)))=Milestones!$AB$186),UPPER(TEXT(EDATE($D107,Milestones!$AA$186),"dd mmm yy"))&amp;" "&amp;Milestones!$AB$186&amp;" "&amp;Milestones!$AC$186&amp;";  ","")&amp;IF(AND(EDATE($D107,Milestones!$AA$187)&lt;=AsOfDate,IF($R107=0,$X107,IF(AND($T107&lt;&gt;"",EDATE($D107,Milestones!$AA$187)&gt;=$T107),$W107,IF(AND($S107&lt;&gt;"",EDATE($D107,Milestones!$AA$187)&gt;=$S107),$V107,$U107)))=Milestones!$AB$187),UPPER(TEXT(EDATE($D107,Milestones!$AA$187),"dd mmm yy"))&amp;" "&amp;Milestones!$AB$187&amp;" "&amp;Milestones!$AC$187&amp;";  ","")&amp;IF(AND(EDATE($D107,Milestones!$AA$188)&lt;=AsOfDate,IF($R107=0,$X107,IF(AND($T107&lt;&gt;"",EDATE($D107,Milestones!$AA$188)&gt;=$T107),$W107,IF(AND($S107&lt;&gt;"",EDATE($D107,Milestones!$AA$188)&gt;=$S107),$V107,$U107)))=Milestones!$AB$188),UPPER(TEXT(EDATE($D107,Milestones!$AA$188),"dd mmm yy"))&amp;" "&amp;Milestones!$AB$188&amp;" "&amp;Milestones!$AC$188&amp;";  ","")&amp;IF(AND(EDATE($D107,Milestones!$AA$189)&lt;=AsOfDate,IF($R107=0,$X107,IF(AND($T107&lt;&gt;"",EDATE($D107,Milestones!$AA$189)&gt;=$T107),$W107,IF(AND($S107&lt;&gt;"",EDATE($D107,Milestones!$AA$189)&gt;=$S107),$V107,$U107)))=Milestones!$AB$189),UPPER(TEXT(EDATE($D107,Milestones!$AA$189),"dd mmm yy"))&amp;" "&amp;Milestones!$AB$189&amp;" "&amp;Milestones!$AC$189&amp;";  ","")&amp;IF(AND(EDATE($D107,Milestones!$AA$190)&lt;=AsOfDate,IF($R107=0,$X107,IF(AND($T107&lt;&gt;"",EDATE($D107,Milestones!$AA$190)&gt;=$T107),$W107,IF(AND($S107&lt;&gt;"",EDATE($D107,Milestones!$AA$190)&gt;=$S107),$V107,$U107)))=Milestones!$AB$190),UPPER(TEXT(EDATE($D107,Milestones!$AA$190),"dd mmm yy"))&amp;" "&amp;Milestones!$AB$190&amp;" "&amp;Milestones!$AC$190&amp;";  ","")&amp;IF(AND(EDATE($D107,Milestones!$AA$191)&lt;=AsOfDate,IF($R107=0,$X107,IF(AND($T107&lt;&gt;"",EDATE($D107,Milestones!$AA$191)&gt;=$T107),$W107,IF(AND($S107&lt;&gt;"",EDATE($D107,Milestones!$AA$191)&gt;=$S107),$V107,$U107)))=Milestones!$AB$191),UPPER(TEXT(EDATE($D107,Milestones!$AA$191),"dd mmm yy"))&amp;" "&amp;Milestones!$AB$191&amp;" "&amp;Milestones!$AC$191&amp;";  ","")&amp;IF(AND(EDATE($D107,Milestones!$AA$192)&lt;=AsOfDate,IF($R107=0,$X107,IF(AND($T107&lt;&gt;"",EDATE($D107,Milestones!$AA$192)&gt;=$T107),$W107,IF(AND($S107&lt;&gt;"",EDATE($D107,Milestones!$AA$192)&gt;=$S107),$V107,$U107)))=Milestones!$AB$192),UPPER(TEXT(EDATE($D107,Milestones!$AA$192),"dd mmm yy"))&amp;" "&amp;Milestones!$AB$192&amp;" "&amp;Milestones!$AC$192&amp;";  ","")&amp;IF(AND(EDATE($D107,Milestones!$AA$193)&lt;=AsOfDate,IF($R107=0,$X107,IF(AND($T107&lt;&gt;"",EDATE($D107,Milestones!$AA$193)&gt;=$T107),$W107,IF(AND($S107&lt;&gt;"",EDATE($D107,Milestones!$AA$193)&gt;=$S107),$V107,$U107)))=Milestones!$AB$193),UPPER(TEXT(EDATE($D107,Milestones!$AA$193),"dd mmm yy"))&amp;" "&amp;Milestones!$AB$193&amp;" "&amp;Milestones!$AC$193&amp;";  ","")&amp;IF(AND(EDATE($D107,Milestones!$AA$194)&lt;=AsOfDate,IF($R107=0,$X107,IF(AND($T107&lt;&gt;"",EDATE($D107,Milestones!$AA$194)&gt;=$T107),$W107,IF(AND($S107&lt;&gt;"",EDATE($D107,Milestones!$AA$194)&gt;=$S107),$V107,$U107)))=Milestones!$AB$194),UPPER(TEXT(EDATE($D107,Milestones!$AA$194),"dd mmm yy"))&amp;" "&amp;Milestones!$AB$194&amp;" "&amp;Milestones!$AC$194&amp;";  ","")&amp;IF(AND(EDATE($D107,Milestones!$AA$195)&lt;=AsOfDate,IF($R107=0,$X107,IF(AND($T107&lt;&gt;"",EDATE($D107,Milestones!$AA$195)&gt;=$T107),$W107,IF(AND($S107&lt;&gt;"",EDATE($D107,Milestones!$AA$195)&gt;=$S107),$V107,$U107)))=Milestones!$AB$195),UPPER(TEXT(EDATE($D107,Milestones!$AA$195),"dd mmm yy"))&amp;" "&amp;Milestones!$AB$195&amp;" "&amp;Milestones!$AC$195&amp;";  ","")&amp;IF(AND(EDATE($D107,Milestones!$AA$196)&lt;=AsOfDate,IF($R107=0,$X107,IF(AND($T107&lt;&gt;"",EDATE($D107,Milestones!$AA$196)&gt;=$T107),$W107,IF(AND($S107&lt;&gt;"",EDATE($D107,Milestones!$AA$196)&gt;=$S107),$V107,$U107)))=Milestones!$AB$196),UPPER(TEXT(EDATE($D107,Milestones!$AA$196),"dd mmm yy"))&amp;" "&amp;Milestones!$AB$196&amp;" "&amp;Milestones!$AC$196&amp;";  ","")&amp;IF(AND(EDATE($D107,Milestones!$AA$197)&lt;=AsOfDate,IF($R107=0,$X107,IF(AND($T107&lt;&gt;"",EDATE($D107,Milestones!$AA$197)&gt;=$T107),$W107,IF(AND($S107&lt;&gt;"",EDATE($D107,Milestones!$AA$197)&gt;=$S107),$V107,$U107)))=Milestones!$AB$197),UPPER(TEXT(EDATE($D107,Milestones!$AA$197),"dd mmm yy"))&amp;" "&amp;Milestones!$AB$197&amp;" "&amp;Milestones!$AC$197&amp;";  ","")&amp;IF(AND(EDATE($D107,Milestones!$AA$198)&lt;=AsOfDate,IF($R107=0,$X107,IF(AND($T107&lt;&gt;"",EDATE($D107,Milestones!$AA$198)&gt;=$T107),$W107,IF(AND($S107&lt;&gt;"",EDATE($D107,Milestones!$AA$198)&gt;=$S107),$V107,$U107)))=Milestones!$AB$198),UPPER(TEXT(EDATE($D107,Milestones!$AA$198),"dd mmm yy"))&amp;" "&amp;Milestones!$AB$198&amp;" "&amp;Milestones!$AC$198&amp;";  ","")&amp;IF(AND(EDATE($D107,Milestones!$AA$199)&lt;=AsOfDate,IF($R107=0,$X107,IF(AND($T107&lt;&gt;"",EDATE($D107,Milestones!$AA$199)&gt;=$T107),$W107,IF(AND($S107&lt;&gt;"",EDATE($D107,Milestones!$AA$199)&gt;=$S107),$V107,$U107)))=Milestones!$AB$199),UPPER(TEXT(EDATE($D107,Milestones!$AA$199),"dd mmm yy"))&amp;" "&amp;Milestones!$AB$199&amp;" "&amp;Milestones!$AC$199&amp;";  ",""))</f>
        <v/>
      </c>
      <c r="R107" s="0" t="str">
        <f aca="false">IF(Staff!$A107="","",Staff!$AI107)</f>
        <v/>
      </c>
      <c r="S107" s="0" t="str">
        <f aca="false">IF(Staff!$A107="","",Staff!$AK107)</f>
        <v/>
      </c>
      <c r="T107" s="0" t="str">
        <f aca="false">IF(Staff!$A107="","",Staff!$AL107)</f>
        <v/>
      </c>
      <c r="U107" s="0" t="str">
        <f aca="false">IF(Staff!$A107="","",Staff!$AP107)</f>
        <v/>
      </c>
      <c r="V107" s="0" t="str">
        <f aca="false">IF(Staff!$A107="","",Staff!$AQ107)</f>
        <v/>
      </c>
      <c r="W107" s="0" t="str">
        <f aca="false">IF(Staff!$A107="","",Staff!$AR107)</f>
        <v/>
      </c>
      <c r="X107" s="0" t="str">
        <f aca="false">IF(Staff!$A107="","",Staff!$AS107)</f>
        <v/>
      </c>
    </row>
    <row r="108" customFormat="false" ht="15" hidden="false" customHeight="false" outlineLevel="0" collapsed="false">
      <c r="A108" s="19" t="str">
        <f aca="false">IF(Staff!$A108="","",Staff!$A108)</f>
        <v/>
      </c>
      <c r="B108" s="19" t="str">
        <f aca="false">IF(Staff!$A108="","",Staff!$B108)</f>
        <v/>
      </c>
      <c r="C108" s="19" t="str">
        <f aca="false">IF(Staff!$A108="","",Staff!$C108)</f>
        <v/>
      </c>
      <c r="D108" s="17" t="str">
        <f aca="false">IF(Staff!$A108="","",Staff!$AH108)</f>
        <v/>
      </c>
      <c r="E108" s="19" t="str">
        <f aca="false">IF(Staff!$A108="","",Staff!$O108)</f>
        <v/>
      </c>
      <c r="F108" s="19" t="str">
        <f aca="false">IF(E108="","",E108*HoursPerDay)</f>
        <v/>
      </c>
      <c r="G108" s="19" t="str">
        <f aca="false">IF(Staff!$A108="","",Staff!$AE108)</f>
        <v/>
      </c>
      <c r="H108" s="32" t="str">
        <f aca="false">IF($A108="","",I108&amp;J108&amp;K108&amp;L108&amp;M108&amp;N108&amp;O108&amp;P108&amp;Q108)</f>
        <v/>
      </c>
      <c r="I108" s="0" t="str">
        <f aca="false">IF(OR($A108="",$D108=""),"",IF(AND(EDATE($D108,Milestones!$AA$20)&lt;=AsOfDate,IF($R108=0,$X108,IF(AND($T108&lt;&gt;"",EDATE($D108,Milestones!$AA$20)&gt;=$T108),$W108,IF(AND($S108&lt;&gt;"",EDATE($D108,Milestones!$AA$20)&gt;=$S108),$V108,$U108)))=Milestones!$AB$20),UPPER(TEXT(EDATE($D108,Milestones!$AA$20),"dd mmm yy"))&amp;" "&amp;Milestones!$AB$20&amp;" "&amp;Milestones!$AC$20&amp;";  ","")&amp;IF(AND(EDATE($D108,Milestones!$AA$21)&lt;=AsOfDate,IF($R108=0,$X108,IF(AND($T108&lt;&gt;"",EDATE($D108,Milestones!$AA$21)&gt;=$T108),$W108,IF(AND($S108&lt;&gt;"",EDATE($D108,Milestones!$AA$21)&gt;=$S108),$V108,$U108)))=Milestones!$AB$21),UPPER(TEXT(EDATE($D108,Milestones!$AA$21),"dd mmm yy"))&amp;" "&amp;Milestones!$AB$21&amp;" "&amp;Milestones!$AC$21&amp;";  ","")&amp;IF(AND(EDATE($D108,Milestones!$AA$22)&lt;=AsOfDate,IF($R108=0,$X108,IF(AND($T108&lt;&gt;"",EDATE($D108,Milestones!$AA$22)&gt;=$T108),$W108,IF(AND($S108&lt;&gt;"",EDATE($D108,Milestones!$AA$22)&gt;=$S108),$V108,$U108)))=Milestones!$AB$22),UPPER(TEXT(EDATE($D108,Milestones!$AA$22),"dd mmm yy"))&amp;" "&amp;Milestones!$AB$22&amp;" "&amp;Milestones!$AC$22&amp;";  ","")&amp;IF(AND(EDATE($D108,Milestones!$AA$23)&lt;=AsOfDate,IF($R108=0,$X108,IF(AND($T108&lt;&gt;"",EDATE($D108,Milestones!$AA$23)&gt;=$T108),$W108,IF(AND($S108&lt;&gt;"",EDATE($D108,Milestones!$AA$23)&gt;=$S108),$V108,$U108)))=Milestones!$AB$23),UPPER(TEXT(EDATE($D108,Milestones!$AA$23),"dd mmm yy"))&amp;" "&amp;Milestones!$AB$23&amp;" "&amp;Milestones!$AC$23&amp;";  ","")&amp;IF(AND(EDATE($D108,Milestones!$AA$24)&lt;=AsOfDate,IF($R108=0,$X108,IF(AND($T108&lt;&gt;"",EDATE($D108,Milestones!$AA$24)&gt;=$T108),$W108,IF(AND($S108&lt;&gt;"",EDATE($D108,Milestones!$AA$24)&gt;=$S108),$V108,$U108)))=Milestones!$AB$24),UPPER(TEXT(EDATE($D108,Milestones!$AA$24),"dd mmm yy"))&amp;" "&amp;Milestones!$AB$24&amp;" "&amp;Milestones!$AC$24&amp;";  ","")&amp;IF(AND(EDATE($D108,Milestones!$AA$25)&lt;=AsOfDate,IF($R108=0,$X108,IF(AND($T108&lt;&gt;"",EDATE($D108,Milestones!$AA$25)&gt;=$T108),$W108,IF(AND($S108&lt;&gt;"",EDATE($D108,Milestones!$AA$25)&gt;=$S108),$V108,$U108)))=Milestones!$AB$25),UPPER(TEXT(EDATE($D108,Milestones!$AA$25),"dd mmm yy"))&amp;" "&amp;Milestones!$AB$25&amp;" "&amp;Milestones!$AC$25&amp;";  ","")&amp;IF(AND(EDATE($D108,Milestones!$AA$26)&lt;=AsOfDate,IF($R108=0,$X108,IF(AND($T108&lt;&gt;"",EDATE($D108,Milestones!$AA$26)&gt;=$T108),$W108,IF(AND($S108&lt;&gt;"",EDATE($D108,Milestones!$AA$26)&gt;=$S108),$V108,$U108)))=Milestones!$AB$26),UPPER(TEXT(EDATE($D108,Milestones!$AA$26),"dd mmm yy"))&amp;" "&amp;Milestones!$AB$26&amp;" "&amp;Milestones!$AC$26&amp;";  ","")&amp;IF(AND(EDATE($D108,Milestones!$AA$27)&lt;=AsOfDate,IF($R108=0,$X108,IF(AND($T108&lt;&gt;"",EDATE($D108,Milestones!$AA$27)&gt;=$T108),$W108,IF(AND($S108&lt;&gt;"",EDATE($D108,Milestones!$AA$27)&gt;=$S108),$V108,$U108)))=Milestones!$AB$27),UPPER(TEXT(EDATE($D108,Milestones!$AA$27),"dd mmm yy"))&amp;" "&amp;Milestones!$AB$27&amp;" "&amp;Milestones!$AC$27&amp;";  ","")&amp;IF(AND(EDATE($D108,Milestones!$AA$28)&lt;=AsOfDate,IF($R108=0,$X108,IF(AND($T108&lt;&gt;"",EDATE($D108,Milestones!$AA$28)&gt;=$T108),$W108,IF(AND($S108&lt;&gt;"",EDATE($D108,Milestones!$AA$28)&gt;=$S108),$V108,$U108)))=Milestones!$AB$28),UPPER(TEXT(EDATE($D108,Milestones!$AA$28),"dd mmm yy"))&amp;" "&amp;Milestones!$AB$28&amp;" "&amp;Milestones!$AC$28&amp;";  ","")&amp;IF(AND(EDATE($D108,Milestones!$AA$29)&lt;=AsOfDate,IF($R108=0,$X108,IF(AND($T108&lt;&gt;"",EDATE($D108,Milestones!$AA$29)&gt;=$T108),$W108,IF(AND($S108&lt;&gt;"",EDATE($D108,Milestones!$AA$29)&gt;=$S108),$V108,$U108)))=Milestones!$AB$29),UPPER(TEXT(EDATE($D108,Milestones!$AA$29),"dd mmm yy"))&amp;" "&amp;Milestones!$AB$29&amp;" "&amp;Milestones!$AC$29&amp;";  ","")&amp;IF(AND(EDATE($D108,Milestones!$AA$30)&lt;=AsOfDate,IF($R108=0,$X108,IF(AND($T108&lt;&gt;"",EDATE($D108,Milestones!$AA$30)&gt;=$T108),$W108,IF(AND($S108&lt;&gt;"",EDATE($D108,Milestones!$AA$30)&gt;=$S108),$V108,$U108)))=Milestones!$AB$30),UPPER(TEXT(EDATE($D108,Milestones!$AA$30),"dd mmm yy"))&amp;" "&amp;Milestones!$AB$30&amp;" "&amp;Milestones!$AC$30&amp;";  ","")&amp;IF(AND(EDATE($D108,Milestones!$AA$31)&lt;=AsOfDate,IF($R108=0,$X108,IF(AND($T108&lt;&gt;"",EDATE($D108,Milestones!$AA$31)&gt;=$T108),$W108,IF(AND($S108&lt;&gt;"",EDATE($D108,Milestones!$AA$31)&gt;=$S108),$V108,$U108)))=Milestones!$AB$31),UPPER(TEXT(EDATE($D108,Milestones!$AA$31),"dd mmm yy"))&amp;" "&amp;Milestones!$AB$31&amp;" "&amp;Milestones!$AC$31&amp;";  ","")&amp;IF(AND(EDATE($D108,Milestones!$AA$32)&lt;=AsOfDate,IF($R108=0,$X108,IF(AND($T108&lt;&gt;"",EDATE($D108,Milestones!$AA$32)&gt;=$T108),$W108,IF(AND($S108&lt;&gt;"",EDATE($D108,Milestones!$AA$32)&gt;=$S108),$V108,$U108)))=Milestones!$AB$32),UPPER(TEXT(EDATE($D108,Milestones!$AA$32),"dd mmm yy"))&amp;" "&amp;Milestones!$AB$32&amp;" "&amp;Milestones!$AC$32&amp;";  ","")&amp;IF(AND(EDATE($D108,Milestones!$AA$33)&lt;=AsOfDate,IF($R108=0,$X108,IF(AND($T108&lt;&gt;"",EDATE($D108,Milestones!$AA$33)&gt;=$T108),$W108,IF(AND($S108&lt;&gt;"",EDATE($D108,Milestones!$AA$33)&gt;=$S108),$V108,$U108)))=Milestones!$AB$33),UPPER(TEXT(EDATE($D108,Milestones!$AA$33),"dd mmm yy"))&amp;" "&amp;Milestones!$AB$33&amp;" "&amp;Milestones!$AC$33&amp;";  ","")&amp;IF(AND(EDATE($D108,Milestones!$AA$34)&lt;=AsOfDate,IF($R108=0,$X108,IF(AND($T108&lt;&gt;"",EDATE($D108,Milestones!$AA$34)&gt;=$T108),$W108,IF(AND($S108&lt;&gt;"",EDATE($D108,Milestones!$AA$34)&gt;=$S108),$V108,$U108)))=Milestones!$AB$34),UPPER(TEXT(EDATE($D108,Milestones!$AA$34),"dd mmm yy"))&amp;" "&amp;Milestones!$AB$34&amp;" "&amp;Milestones!$AC$34&amp;";  ","")&amp;IF(AND(EDATE($D108,Milestones!$AA$35)&lt;=AsOfDate,IF($R108=0,$X108,IF(AND($T108&lt;&gt;"",EDATE($D108,Milestones!$AA$35)&gt;=$T108),$W108,IF(AND($S108&lt;&gt;"",EDATE($D108,Milestones!$AA$35)&gt;=$S108),$V108,$U108)))=Milestones!$AB$35),UPPER(TEXT(EDATE($D108,Milestones!$AA$35),"dd mmm yy"))&amp;" "&amp;Milestones!$AB$35&amp;" "&amp;Milestones!$AC$35&amp;";  ","")&amp;IF(AND(EDATE($D108,Milestones!$AA$36)&lt;=AsOfDate,IF($R108=0,$X108,IF(AND($T108&lt;&gt;"",EDATE($D108,Milestones!$AA$36)&gt;=$T108),$W108,IF(AND($S108&lt;&gt;"",EDATE($D108,Milestones!$AA$36)&gt;=$S108),$V108,$U108)))=Milestones!$AB$36),UPPER(TEXT(EDATE($D108,Milestones!$AA$36),"dd mmm yy"))&amp;" "&amp;Milestones!$AB$36&amp;" "&amp;Milestones!$AC$36&amp;";  ","")&amp;IF(AND(EDATE($D108,Milestones!$AA$37)&lt;=AsOfDate,IF($R108=0,$X108,IF(AND($T108&lt;&gt;"",EDATE($D108,Milestones!$AA$37)&gt;=$T108),$W108,IF(AND($S108&lt;&gt;"",EDATE($D108,Milestones!$AA$37)&gt;=$S108),$V108,$U108)))=Milestones!$AB$37),UPPER(TEXT(EDATE($D108,Milestones!$AA$37),"dd mmm yy"))&amp;" "&amp;Milestones!$AB$37&amp;" "&amp;Milestones!$AC$37&amp;";  ","")&amp;IF(AND(EDATE($D108,Milestones!$AA$38)&lt;=AsOfDate,IF($R108=0,$X108,IF(AND($T108&lt;&gt;"",EDATE($D108,Milestones!$AA$38)&gt;=$T108),$W108,IF(AND($S108&lt;&gt;"",EDATE($D108,Milestones!$AA$38)&gt;=$S108),$V108,$U108)))=Milestones!$AB$38),UPPER(TEXT(EDATE($D108,Milestones!$AA$38),"dd mmm yy"))&amp;" "&amp;Milestones!$AB$38&amp;" "&amp;Milestones!$AC$38&amp;";  ","")&amp;IF(AND(EDATE($D108,Milestones!$AA$39)&lt;=AsOfDate,IF($R108=0,$X108,IF(AND($T108&lt;&gt;"",EDATE($D108,Milestones!$AA$39)&gt;=$T108),$W108,IF(AND($S108&lt;&gt;"",EDATE($D108,Milestones!$AA$39)&gt;=$S108),$V108,$U108)))=Milestones!$AB$39),UPPER(TEXT(EDATE($D108,Milestones!$AA$39),"dd mmm yy"))&amp;" "&amp;Milestones!$AB$39&amp;" "&amp;Milestones!$AC$39&amp;";  ",""))</f>
        <v/>
      </c>
      <c r="J108" s="0" t="str">
        <f aca="false">IF(OR($A108="",$D108=""),"",IF(AND(EDATE($D108,Milestones!$AA$40)&lt;=AsOfDate,IF($R108=0,$X108,IF(AND($T108&lt;&gt;"",EDATE($D108,Milestones!$AA$40)&gt;=$T108),$W108,IF(AND($S108&lt;&gt;"",EDATE($D108,Milestones!$AA$40)&gt;=$S108),$V108,$U108)))=Milestones!$AB$40),UPPER(TEXT(EDATE($D108,Milestones!$AA$40),"dd mmm yy"))&amp;" "&amp;Milestones!$AB$40&amp;" "&amp;Milestones!$AC$40&amp;";  ","")&amp;IF(AND(EDATE($D108,Milestones!$AA$41)&lt;=AsOfDate,IF($R108=0,$X108,IF(AND($T108&lt;&gt;"",EDATE($D108,Milestones!$AA$41)&gt;=$T108),$W108,IF(AND($S108&lt;&gt;"",EDATE($D108,Milestones!$AA$41)&gt;=$S108),$V108,$U108)))=Milestones!$AB$41),UPPER(TEXT(EDATE($D108,Milestones!$AA$41),"dd mmm yy"))&amp;" "&amp;Milestones!$AB$41&amp;" "&amp;Milestones!$AC$41&amp;";  ","")&amp;IF(AND(EDATE($D108,Milestones!$AA$42)&lt;=AsOfDate,IF($R108=0,$X108,IF(AND($T108&lt;&gt;"",EDATE($D108,Milestones!$AA$42)&gt;=$T108),$W108,IF(AND($S108&lt;&gt;"",EDATE($D108,Milestones!$AA$42)&gt;=$S108),$V108,$U108)))=Milestones!$AB$42),UPPER(TEXT(EDATE($D108,Milestones!$AA$42),"dd mmm yy"))&amp;" "&amp;Milestones!$AB$42&amp;" "&amp;Milestones!$AC$42&amp;";  ","")&amp;IF(AND(EDATE($D108,Milestones!$AA$43)&lt;=AsOfDate,IF($R108=0,$X108,IF(AND($T108&lt;&gt;"",EDATE($D108,Milestones!$AA$43)&gt;=$T108),$W108,IF(AND($S108&lt;&gt;"",EDATE($D108,Milestones!$AA$43)&gt;=$S108),$V108,$U108)))=Milestones!$AB$43),UPPER(TEXT(EDATE($D108,Milestones!$AA$43),"dd mmm yy"))&amp;" "&amp;Milestones!$AB$43&amp;" "&amp;Milestones!$AC$43&amp;";  ","")&amp;IF(AND(EDATE($D108,Milestones!$AA$44)&lt;=AsOfDate,IF($R108=0,$X108,IF(AND($T108&lt;&gt;"",EDATE($D108,Milestones!$AA$44)&gt;=$T108),$W108,IF(AND($S108&lt;&gt;"",EDATE($D108,Milestones!$AA$44)&gt;=$S108),$V108,$U108)))=Milestones!$AB$44),UPPER(TEXT(EDATE($D108,Milestones!$AA$44),"dd mmm yy"))&amp;" "&amp;Milestones!$AB$44&amp;" "&amp;Milestones!$AC$44&amp;";  ","")&amp;IF(AND(EDATE($D108,Milestones!$AA$45)&lt;=AsOfDate,IF($R108=0,$X108,IF(AND($T108&lt;&gt;"",EDATE($D108,Milestones!$AA$45)&gt;=$T108),$W108,IF(AND($S108&lt;&gt;"",EDATE($D108,Milestones!$AA$45)&gt;=$S108),$V108,$U108)))=Milestones!$AB$45),UPPER(TEXT(EDATE($D108,Milestones!$AA$45),"dd mmm yy"))&amp;" "&amp;Milestones!$AB$45&amp;" "&amp;Milestones!$AC$45&amp;";  ","")&amp;IF(AND(EDATE($D108,Milestones!$AA$46)&lt;=AsOfDate,IF($R108=0,$X108,IF(AND($T108&lt;&gt;"",EDATE($D108,Milestones!$AA$46)&gt;=$T108),$W108,IF(AND($S108&lt;&gt;"",EDATE($D108,Milestones!$AA$46)&gt;=$S108),$V108,$U108)))=Milestones!$AB$46),UPPER(TEXT(EDATE($D108,Milestones!$AA$46),"dd mmm yy"))&amp;" "&amp;Milestones!$AB$46&amp;" "&amp;Milestones!$AC$46&amp;";  ","")&amp;IF(AND(EDATE($D108,Milestones!$AA$47)&lt;=AsOfDate,IF($R108=0,$X108,IF(AND($T108&lt;&gt;"",EDATE($D108,Milestones!$AA$47)&gt;=$T108),$W108,IF(AND($S108&lt;&gt;"",EDATE($D108,Milestones!$AA$47)&gt;=$S108),$V108,$U108)))=Milestones!$AB$47),UPPER(TEXT(EDATE($D108,Milestones!$AA$47),"dd mmm yy"))&amp;" "&amp;Milestones!$AB$47&amp;" "&amp;Milestones!$AC$47&amp;";  ","")&amp;IF(AND(EDATE($D108,Milestones!$AA$48)&lt;=AsOfDate,IF($R108=0,$X108,IF(AND($T108&lt;&gt;"",EDATE($D108,Milestones!$AA$48)&gt;=$T108),$W108,IF(AND($S108&lt;&gt;"",EDATE($D108,Milestones!$AA$48)&gt;=$S108),$V108,$U108)))=Milestones!$AB$48),UPPER(TEXT(EDATE($D108,Milestones!$AA$48),"dd mmm yy"))&amp;" "&amp;Milestones!$AB$48&amp;" "&amp;Milestones!$AC$48&amp;";  ","")&amp;IF(AND(EDATE($D108,Milestones!$AA$49)&lt;=AsOfDate,IF($R108=0,$X108,IF(AND($T108&lt;&gt;"",EDATE($D108,Milestones!$AA$49)&gt;=$T108),$W108,IF(AND($S108&lt;&gt;"",EDATE($D108,Milestones!$AA$49)&gt;=$S108),$V108,$U108)))=Milestones!$AB$49),UPPER(TEXT(EDATE($D108,Milestones!$AA$49),"dd mmm yy"))&amp;" "&amp;Milestones!$AB$49&amp;" "&amp;Milestones!$AC$49&amp;";  ","")&amp;IF(AND(EDATE($D108,Milestones!$AA$50)&lt;=AsOfDate,IF($R108=0,$X108,IF(AND($T108&lt;&gt;"",EDATE($D108,Milestones!$AA$50)&gt;=$T108),$W108,IF(AND($S108&lt;&gt;"",EDATE($D108,Milestones!$AA$50)&gt;=$S108),$V108,$U108)))=Milestones!$AB$50),UPPER(TEXT(EDATE($D108,Milestones!$AA$50),"dd mmm yy"))&amp;" "&amp;Milestones!$AB$50&amp;" "&amp;Milestones!$AC$50&amp;";  ","")&amp;IF(AND(EDATE($D108,Milestones!$AA$51)&lt;=AsOfDate,IF($R108=0,$X108,IF(AND($T108&lt;&gt;"",EDATE($D108,Milestones!$AA$51)&gt;=$T108),$W108,IF(AND($S108&lt;&gt;"",EDATE($D108,Milestones!$AA$51)&gt;=$S108),$V108,$U108)))=Milestones!$AB$51),UPPER(TEXT(EDATE($D108,Milestones!$AA$51),"dd mmm yy"))&amp;" "&amp;Milestones!$AB$51&amp;" "&amp;Milestones!$AC$51&amp;";  ","")&amp;IF(AND(EDATE($D108,Milestones!$AA$52)&lt;=AsOfDate,IF($R108=0,$X108,IF(AND($T108&lt;&gt;"",EDATE($D108,Milestones!$AA$52)&gt;=$T108),$W108,IF(AND($S108&lt;&gt;"",EDATE($D108,Milestones!$AA$52)&gt;=$S108),$V108,$U108)))=Milestones!$AB$52),UPPER(TEXT(EDATE($D108,Milestones!$AA$52),"dd mmm yy"))&amp;" "&amp;Milestones!$AB$52&amp;" "&amp;Milestones!$AC$52&amp;";  ","")&amp;IF(AND(EDATE($D108,Milestones!$AA$53)&lt;=AsOfDate,IF($R108=0,$X108,IF(AND($T108&lt;&gt;"",EDATE($D108,Milestones!$AA$53)&gt;=$T108),$W108,IF(AND($S108&lt;&gt;"",EDATE($D108,Milestones!$AA$53)&gt;=$S108),$V108,$U108)))=Milestones!$AB$53),UPPER(TEXT(EDATE($D108,Milestones!$AA$53),"dd mmm yy"))&amp;" "&amp;Milestones!$AB$53&amp;" "&amp;Milestones!$AC$53&amp;";  ","")&amp;IF(AND(EDATE($D108,Milestones!$AA$54)&lt;=AsOfDate,IF($R108=0,$X108,IF(AND($T108&lt;&gt;"",EDATE($D108,Milestones!$AA$54)&gt;=$T108),$W108,IF(AND($S108&lt;&gt;"",EDATE($D108,Milestones!$AA$54)&gt;=$S108),$V108,$U108)))=Milestones!$AB$54),UPPER(TEXT(EDATE($D108,Milestones!$AA$54),"dd mmm yy"))&amp;" "&amp;Milestones!$AB$54&amp;" "&amp;Milestones!$AC$54&amp;";  ","")&amp;IF(AND(EDATE($D108,Milestones!$AA$55)&lt;=AsOfDate,IF($R108=0,$X108,IF(AND($T108&lt;&gt;"",EDATE($D108,Milestones!$AA$55)&gt;=$T108),$W108,IF(AND($S108&lt;&gt;"",EDATE($D108,Milestones!$AA$55)&gt;=$S108),$V108,$U108)))=Milestones!$AB$55),UPPER(TEXT(EDATE($D108,Milestones!$AA$55),"dd mmm yy"))&amp;" "&amp;Milestones!$AB$55&amp;" "&amp;Milestones!$AC$55&amp;";  ","")&amp;IF(AND(EDATE($D108,Milestones!$AA$56)&lt;=AsOfDate,IF($R108=0,$X108,IF(AND($T108&lt;&gt;"",EDATE($D108,Milestones!$AA$56)&gt;=$T108),$W108,IF(AND($S108&lt;&gt;"",EDATE($D108,Milestones!$AA$56)&gt;=$S108),$V108,$U108)))=Milestones!$AB$56),UPPER(TEXT(EDATE($D108,Milestones!$AA$56),"dd mmm yy"))&amp;" "&amp;Milestones!$AB$56&amp;" "&amp;Milestones!$AC$56&amp;";  ","")&amp;IF(AND(EDATE($D108,Milestones!$AA$57)&lt;=AsOfDate,IF($R108=0,$X108,IF(AND($T108&lt;&gt;"",EDATE($D108,Milestones!$AA$57)&gt;=$T108),$W108,IF(AND($S108&lt;&gt;"",EDATE($D108,Milestones!$AA$57)&gt;=$S108),$V108,$U108)))=Milestones!$AB$57),UPPER(TEXT(EDATE($D108,Milestones!$AA$57),"dd mmm yy"))&amp;" "&amp;Milestones!$AB$57&amp;" "&amp;Milestones!$AC$57&amp;";  ","")&amp;IF(AND(EDATE($D108,Milestones!$AA$58)&lt;=AsOfDate,IF($R108=0,$X108,IF(AND($T108&lt;&gt;"",EDATE($D108,Milestones!$AA$58)&gt;=$T108),$W108,IF(AND($S108&lt;&gt;"",EDATE($D108,Milestones!$AA$58)&gt;=$S108),$V108,$U108)))=Milestones!$AB$58),UPPER(TEXT(EDATE($D108,Milestones!$AA$58),"dd mmm yy"))&amp;" "&amp;Milestones!$AB$58&amp;" "&amp;Milestones!$AC$58&amp;";  ","")&amp;IF(AND(EDATE($D108,Milestones!$AA$59)&lt;=AsOfDate,IF($R108=0,$X108,IF(AND($T108&lt;&gt;"",EDATE($D108,Milestones!$AA$59)&gt;=$T108),$W108,IF(AND($S108&lt;&gt;"",EDATE($D108,Milestones!$AA$59)&gt;=$S108),$V108,$U108)))=Milestones!$AB$59),UPPER(TEXT(EDATE($D108,Milestones!$AA$59),"dd mmm yy"))&amp;" "&amp;Milestones!$AB$59&amp;" "&amp;Milestones!$AC$59&amp;";  ",""))</f>
        <v/>
      </c>
      <c r="K108" s="0" t="str">
        <f aca="false">IF(OR($A108="",$D108=""),"",IF(AND(EDATE($D108,Milestones!$AA$60)&lt;=AsOfDate,IF($R108=0,$X108,IF(AND($T108&lt;&gt;"",EDATE($D108,Milestones!$AA$60)&gt;=$T108),$W108,IF(AND($S108&lt;&gt;"",EDATE($D108,Milestones!$AA$60)&gt;=$S108),$V108,$U108)))=Milestones!$AB$60),UPPER(TEXT(EDATE($D108,Milestones!$AA$60),"dd mmm yy"))&amp;" "&amp;Milestones!$AB$60&amp;" "&amp;Milestones!$AC$60&amp;";  ","")&amp;IF(AND(EDATE($D108,Milestones!$AA$61)&lt;=AsOfDate,IF($R108=0,$X108,IF(AND($T108&lt;&gt;"",EDATE($D108,Milestones!$AA$61)&gt;=$T108),$W108,IF(AND($S108&lt;&gt;"",EDATE($D108,Milestones!$AA$61)&gt;=$S108),$V108,$U108)))=Milestones!$AB$61),UPPER(TEXT(EDATE($D108,Milestones!$AA$61),"dd mmm yy"))&amp;" "&amp;Milestones!$AB$61&amp;" "&amp;Milestones!$AC$61&amp;";  ","")&amp;IF(AND(EDATE($D108,Milestones!$AA$62)&lt;=AsOfDate,IF($R108=0,$X108,IF(AND($T108&lt;&gt;"",EDATE($D108,Milestones!$AA$62)&gt;=$T108),$W108,IF(AND($S108&lt;&gt;"",EDATE($D108,Milestones!$AA$62)&gt;=$S108),$V108,$U108)))=Milestones!$AB$62),UPPER(TEXT(EDATE($D108,Milestones!$AA$62),"dd mmm yy"))&amp;" "&amp;Milestones!$AB$62&amp;" "&amp;Milestones!$AC$62&amp;";  ","")&amp;IF(AND(EDATE($D108,Milestones!$AA$63)&lt;=AsOfDate,IF($R108=0,$X108,IF(AND($T108&lt;&gt;"",EDATE($D108,Milestones!$AA$63)&gt;=$T108),$W108,IF(AND($S108&lt;&gt;"",EDATE($D108,Milestones!$AA$63)&gt;=$S108),$V108,$U108)))=Milestones!$AB$63),UPPER(TEXT(EDATE($D108,Milestones!$AA$63),"dd mmm yy"))&amp;" "&amp;Milestones!$AB$63&amp;" "&amp;Milestones!$AC$63&amp;";  ","")&amp;IF(AND(EDATE($D108,Milestones!$AA$64)&lt;=AsOfDate,IF($R108=0,$X108,IF(AND($T108&lt;&gt;"",EDATE($D108,Milestones!$AA$64)&gt;=$T108),$W108,IF(AND($S108&lt;&gt;"",EDATE($D108,Milestones!$AA$64)&gt;=$S108),$V108,$U108)))=Milestones!$AB$64),UPPER(TEXT(EDATE($D108,Milestones!$AA$64),"dd mmm yy"))&amp;" "&amp;Milestones!$AB$64&amp;" "&amp;Milestones!$AC$64&amp;";  ","")&amp;IF(AND(EDATE($D108,Milestones!$AA$65)&lt;=AsOfDate,IF($R108=0,$X108,IF(AND($T108&lt;&gt;"",EDATE($D108,Milestones!$AA$65)&gt;=$T108),$W108,IF(AND($S108&lt;&gt;"",EDATE($D108,Milestones!$AA$65)&gt;=$S108),$V108,$U108)))=Milestones!$AB$65),UPPER(TEXT(EDATE($D108,Milestones!$AA$65),"dd mmm yy"))&amp;" "&amp;Milestones!$AB$65&amp;" "&amp;Milestones!$AC$65&amp;";  ","")&amp;IF(AND(EDATE($D108,Milestones!$AA$66)&lt;=AsOfDate,IF($R108=0,$X108,IF(AND($T108&lt;&gt;"",EDATE($D108,Milestones!$AA$66)&gt;=$T108),$W108,IF(AND($S108&lt;&gt;"",EDATE($D108,Milestones!$AA$66)&gt;=$S108),$V108,$U108)))=Milestones!$AB$66),UPPER(TEXT(EDATE($D108,Milestones!$AA$66),"dd mmm yy"))&amp;" "&amp;Milestones!$AB$66&amp;" "&amp;Milestones!$AC$66&amp;";  ","")&amp;IF(AND(EDATE($D108,Milestones!$AA$67)&lt;=AsOfDate,IF($R108=0,$X108,IF(AND($T108&lt;&gt;"",EDATE($D108,Milestones!$AA$67)&gt;=$T108),$W108,IF(AND($S108&lt;&gt;"",EDATE($D108,Milestones!$AA$67)&gt;=$S108),$V108,$U108)))=Milestones!$AB$67),UPPER(TEXT(EDATE($D108,Milestones!$AA$67),"dd mmm yy"))&amp;" "&amp;Milestones!$AB$67&amp;" "&amp;Milestones!$AC$67&amp;";  ","")&amp;IF(AND(EDATE($D108,Milestones!$AA$68)&lt;=AsOfDate,IF($R108=0,$X108,IF(AND($T108&lt;&gt;"",EDATE($D108,Milestones!$AA$68)&gt;=$T108),$W108,IF(AND($S108&lt;&gt;"",EDATE($D108,Milestones!$AA$68)&gt;=$S108),$V108,$U108)))=Milestones!$AB$68),UPPER(TEXT(EDATE($D108,Milestones!$AA$68),"dd mmm yy"))&amp;" "&amp;Milestones!$AB$68&amp;" "&amp;Milestones!$AC$68&amp;";  ","")&amp;IF(AND(EDATE($D108,Milestones!$AA$69)&lt;=AsOfDate,IF($R108=0,$X108,IF(AND($T108&lt;&gt;"",EDATE($D108,Milestones!$AA$69)&gt;=$T108),$W108,IF(AND($S108&lt;&gt;"",EDATE($D108,Milestones!$AA$69)&gt;=$S108),$V108,$U108)))=Milestones!$AB$69),UPPER(TEXT(EDATE($D108,Milestones!$AA$69),"dd mmm yy"))&amp;" "&amp;Milestones!$AB$69&amp;" "&amp;Milestones!$AC$69&amp;";  ","")&amp;IF(AND(EDATE($D108,Milestones!$AA$70)&lt;=AsOfDate,IF($R108=0,$X108,IF(AND($T108&lt;&gt;"",EDATE($D108,Milestones!$AA$70)&gt;=$T108),$W108,IF(AND($S108&lt;&gt;"",EDATE($D108,Milestones!$AA$70)&gt;=$S108),$V108,$U108)))=Milestones!$AB$70),UPPER(TEXT(EDATE($D108,Milestones!$AA$70),"dd mmm yy"))&amp;" "&amp;Milestones!$AB$70&amp;" "&amp;Milestones!$AC$70&amp;";  ","")&amp;IF(AND(EDATE($D108,Milestones!$AA$71)&lt;=AsOfDate,IF($R108=0,$X108,IF(AND($T108&lt;&gt;"",EDATE($D108,Milestones!$AA$71)&gt;=$T108),$W108,IF(AND($S108&lt;&gt;"",EDATE($D108,Milestones!$AA$71)&gt;=$S108),$V108,$U108)))=Milestones!$AB$71),UPPER(TEXT(EDATE($D108,Milestones!$AA$71),"dd mmm yy"))&amp;" "&amp;Milestones!$AB$71&amp;" "&amp;Milestones!$AC$71&amp;";  ","")&amp;IF(AND(EDATE($D108,Milestones!$AA$72)&lt;=AsOfDate,IF($R108=0,$X108,IF(AND($T108&lt;&gt;"",EDATE($D108,Milestones!$AA$72)&gt;=$T108),$W108,IF(AND($S108&lt;&gt;"",EDATE($D108,Milestones!$AA$72)&gt;=$S108),$V108,$U108)))=Milestones!$AB$72),UPPER(TEXT(EDATE($D108,Milestones!$AA$72),"dd mmm yy"))&amp;" "&amp;Milestones!$AB$72&amp;" "&amp;Milestones!$AC$72&amp;";  ","")&amp;IF(AND(EDATE($D108,Milestones!$AA$73)&lt;=AsOfDate,IF($R108=0,$X108,IF(AND($T108&lt;&gt;"",EDATE($D108,Milestones!$AA$73)&gt;=$T108),$W108,IF(AND($S108&lt;&gt;"",EDATE($D108,Milestones!$AA$73)&gt;=$S108),$V108,$U108)))=Milestones!$AB$73),UPPER(TEXT(EDATE($D108,Milestones!$AA$73),"dd mmm yy"))&amp;" "&amp;Milestones!$AB$73&amp;" "&amp;Milestones!$AC$73&amp;";  ","")&amp;IF(AND(EDATE($D108,Milestones!$AA$74)&lt;=AsOfDate,IF($R108=0,$X108,IF(AND($T108&lt;&gt;"",EDATE($D108,Milestones!$AA$74)&gt;=$T108),$W108,IF(AND($S108&lt;&gt;"",EDATE($D108,Milestones!$AA$74)&gt;=$S108),$V108,$U108)))=Milestones!$AB$74),UPPER(TEXT(EDATE($D108,Milestones!$AA$74),"dd mmm yy"))&amp;" "&amp;Milestones!$AB$74&amp;" "&amp;Milestones!$AC$74&amp;";  ","")&amp;IF(AND(EDATE($D108,Milestones!$AA$75)&lt;=AsOfDate,IF($R108=0,$X108,IF(AND($T108&lt;&gt;"",EDATE($D108,Milestones!$AA$75)&gt;=$T108),$W108,IF(AND($S108&lt;&gt;"",EDATE($D108,Milestones!$AA$75)&gt;=$S108),$V108,$U108)))=Milestones!$AB$75),UPPER(TEXT(EDATE($D108,Milestones!$AA$75),"dd mmm yy"))&amp;" "&amp;Milestones!$AB$75&amp;" "&amp;Milestones!$AC$75&amp;";  ","")&amp;IF(AND(EDATE($D108,Milestones!$AA$76)&lt;=AsOfDate,IF($R108=0,$X108,IF(AND($T108&lt;&gt;"",EDATE($D108,Milestones!$AA$76)&gt;=$T108),$W108,IF(AND($S108&lt;&gt;"",EDATE($D108,Milestones!$AA$76)&gt;=$S108),$V108,$U108)))=Milestones!$AB$76),UPPER(TEXT(EDATE($D108,Milestones!$AA$76),"dd mmm yy"))&amp;" "&amp;Milestones!$AB$76&amp;" "&amp;Milestones!$AC$76&amp;";  ","")&amp;IF(AND(EDATE($D108,Milestones!$AA$77)&lt;=AsOfDate,IF($R108=0,$X108,IF(AND($T108&lt;&gt;"",EDATE($D108,Milestones!$AA$77)&gt;=$T108),$W108,IF(AND($S108&lt;&gt;"",EDATE($D108,Milestones!$AA$77)&gt;=$S108),$V108,$U108)))=Milestones!$AB$77),UPPER(TEXT(EDATE($D108,Milestones!$AA$77),"dd mmm yy"))&amp;" "&amp;Milestones!$AB$77&amp;" "&amp;Milestones!$AC$77&amp;";  ","")&amp;IF(AND(EDATE($D108,Milestones!$AA$78)&lt;=AsOfDate,IF($R108=0,$X108,IF(AND($T108&lt;&gt;"",EDATE($D108,Milestones!$AA$78)&gt;=$T108),$W108,IF(AND($S108&lt;&gt;"",EDATE($D108,Milestones!$AA$78)&gt;=$S108),$V108,$U108)))=Milestones!$AB$78),UPPER(TEXT(EDATE($D108,Milestones!$AA$78),"dd mmm yy"))&amp;" "&amp;Milestones!$AB$78&amp;" "&amp;Milestones!$AC$78&amp;";  ","")&amp;IF(AND(EDATE($D108,Milestones!$AA$79)&lt;=AsOfDate,IF($R108=0,$X108,IF(AND($T108&lt;&gt;"",EDATE($D108,Milestones!$AA$79)&gt;=$T108),$W108,IF(AND($S108&lt;&gt;"",EDATE($D108,Milestones!$AA$79)&gt;=$S108),$V108,$U108)))=Milestones!$AB$79),UPPER(TEXT(EDATE($D108,Milestones!$AA$79),"dd mmm yy"))&amp;" "&amp;Milestones!$AB$79&amp;" "&amp;Milestones!$AC$79&amp;";  ",""))</f>
        <v/>
      </c>
      <c r="L108" s="0" t="str">
        <f aca="false">IF(OR($A108="",$D108=""),"",IF(AND(EDATE($D108,Milestones!$AA$80)&lt;=AsOfDate,IF($R108=0,$X108,IF(AND($T108&lt;&gt;"",EDATE($D108,Milestones!$AA$80)&gt;=$T108),$W108,IF(AND($S108&lt;&gt;"",EDATE($D108,Milestones!$AA$80)&gt;=$S108),$V108,$U108)))=Milestones!$AB$80),UPPER(TEXT(EDATE($D108,Milestones!$AA$80),"dd mmm yy"))&amp;" "&amp;Milestones!$AB$80&amp;" "&amp;Milestones!$AC$80&amp;";  ","")&amp;IF(AND(EDATE($D108,Milestones!$AA$81)&lt;=AsOfDate,IF($R108=0,$X108,IF(AND($T108&lt;&gt;"",EDATE($D108,Milestones!$AA$81)&gt;=$T108),$W108,IF(AND($S108&lt;&gt;"",EDATE($D108,Milestones!$AA$81)&gt;=$S108),$V108,$U108)))=Milestones!$AB$81),UPPER(TEXT(EDATE($D108,Milestones!$AA$81),"dd mmm yy"))&amp;" "&amp;Milestones!$AB$81&amp;" "&amp;Milestones!$AC$81&amp;";  ","")&amp;IF(AND(EDATE($D108,Milestones!$AA$82)&lt;=AsOfDate,IF($R108=0,$X108,IF(AND($T108&lt;&gt;"",EDATE($D108,Milestones!$AA$82)&gt;=$T108),$W108,IF(AND($S108&lt;&gt;"",EDATE($D108,Milestones!$AA$82)&gt;=$S108),$V108,$U108)))=Milestones!$AB$82),UPPER(TEXT(EDATE($D108,Milestones!$AA$82),"dd mmm yy"))&amp;" "&amp;Milestones!$AB$82&amp;" "&amp;Milestones!$AC$82&amp;";  ","")&amp;IF(AND(EDATE($D108,Milestones!$AA$83)&lt;=AsOfDate,IF($R108=0,$X108,IF(AND($T108&lt;&gt;"",EDATE($D108,Milestones!$AA$83)&gt;=$T108),$W108,IF(AND($S108&lt;&gt;"",EDATE($D108,Milestones!$AA$83)&gt;=$S108),$V108,$U108)))=Milestones!$AB$83),UPPER(TEXT(EDATE($D108,Milestones!$AA$83),"dd mmm yy"))&amp;" "&amp;Milestones!$AB$83&amp;" "&amp;Milestones!$AC$83&amp;";  ","")&amp;IF(AND(EDATE($D108,Milestones!$AA$84)&lt;=AsOfDate,IF($R108=0,$X108,IF(AND($T108&lt;&gt;"",EDATE($D108,Milestones!$AA$84)&gt;=$T108),$W108,IF(AND($S108&lt;&gt;"",EDATE($D108,Milestones!$AA$84)&gt;=$S108),$V108,$U108)))=Milestones!$AB$84),UPPER(TEXT(EDATE($D108,Milestones!$AA$84),"dd mmm yy"))&amp;" "&amp;Milestones!$AB$84&amp;" "&amp;Milestones!$AC$84&amp;";  ","")&amp;IF(AND(EDATE($D108,Milestones!$AA$85)&lt;=AsOfDate,IF($R108=0,$X108,IF(AND($T108&lt;&gt;"",EDATE($D108,Milestones!$AA$85)&gt;=$T108),$W108,IF(AND($S108&lt;&gt;"",EDATE($D108,Milestones!$AA$85)&gt;=$S108),$V108,$U108)))=Milestones!$AB$85),UPPER(TEXT(EDATE($D108,Milestones!$AA$85),"dd mmm yy"))&amp;" "&amp;Milestones!$AB$85&amp;" "&amp;Milestones!$AC$85&amp;";  ","")&amp;IF(AND(EDATE($D108,Milestones!$AA$86)&lt;=AsOfDate,IF($R108=0,$X108,IF(AND($T108&lt;&gt;"",EDATE($D108,Milestones!$AA$86)&gt;=$T108),$W108,IF(AND($S108&lt;&gt;"",EDATE($D108,Milestones!$AA$86)&gt;=$S108),$V108,$U108)))=Milestones!$AB$86),UPPER(TEXT(EDATE($D108,Milestones!$AA$86),"dd mmm yy"))&amp;" "&amp;Milestones!$AB$86&amp;" "&amp;Milestones!$AC$86&amp;";  ","")&amp;IF(AND(EDATE($D108,Milestones!$AA$87)&lt;=AsOfDate,IF($R108=0,$X108,IF(AND($T108&lt;&gt;"",EDATE($D108,Milestones!$AA$87)&gt;=$T108),$W108,IF(AND($S108&lt;&gt;"",EDATE($D108,Milestones!$AA$87)&gt;=$S108),$V108,$U108)))=Milestones!$AB$87),UPPER(TEXT(EDATE($D108,Milestones!$AA$87),"dd mmm yy"))&amp;" "&amp;Milestones!$AB$87&amp;" "&amp;Milestones!$AC$87&amp;";  ","")&amp;IF(AND(EDATE($D108,Milestones!$AA$88)&lt;=AsOfDate,IF($R108=0,$X108,IF(AND($T108&lt;&gt;"",EDATE($D108,Milestones!$AA$88)&gt;=$T108),$W108,IF(AND($S108&lt;&gt;"",EDATE($D108,Milestones!$AA$88)&gt;=$S108),$V108,$U108)))=Milestones!$AB$88),UPPER(TEXT(EDATE($D108,Milestones!$AA$88),"dd mmm yy"))&amp;" "&amp;Milestones!$AB$88&amp;" "&amp;Milestones!$AC$88&amp;";  ","")&amp;IF(AND(EDATE($D108,Milestones!$AA$89)&lt;=AsOfDate,IF($R108=0,$X108,IF(AND($T108&lt;&gt;"",EDATE($D108,Milestones!$AA$89)&gt;=$T108),$W108,IF(AND($S108&lt;&gt;"",EDATE($D108,Milestones!$AA$89)&gt;=$S108),$V108,$U108)))=Milestones!$AB$89),UPPER(TEXT(EDATE($D108,Milestones!$AA$89),"dd mmm yy"))&amp;" "&amp;Milestones!$AB$89&amp;" "&amp;Milestones!$AC$89&amp;";  ","")&amp;IF(AND(EDATE($D108,Milestones!$AA$90)&lt;=AsOfDate,IF($R108=0,$X108,IF(AND($T108&lt;&gt;"",EDATE($D108,Milestones!$AA$90)&gt;=$T108),$W108,IF(AND($S108&lt;&gt;"",EDATE($D108,Milestones!$AA$90)&gt;=$S108),$V108,$U108)))=Milestones!$AB$90),UPPER(TEXT(EDATE($D108,Milestones!$AA$90),"dd mmm yy"))&amp;" "&amp;Milestones!$AB$90&amp;" "&amp;Milestones!$AC$90&amp;";  ","")&amp;IF(AND(EDATE($D108,Milestones!$AA$91)&lt;=AsOfDate,IF($R108=0,$X108,IF(AND($T108&lt;&gt;"",EDATE($D108,Milestones!$AA$91)&gt;=$T108),$W108,IF(AND($S108&lt;&gt;"",EDATE($D108,Milestones!$AA$91)&gt;=$S108),$V108,$U108)))=Milestones!$AB$91),UPPER(TEXT(EDATE($D108,Milestones!$AA$91),"dd mmm yy"))&amp;" "&amp;Milestones!$AB$91&amp;" "&amp;Milestones!$AC$91&amp;";  ","")&amp;IF(AND(EDATE($D108,Milestones!$AA$92)&lt;=AsOfDate,IF($R108=0,$X108,IF(AND($T108&lt;&gt;"",EDATE($D108,Milestones!$AA$92)&gt;=$T108),$W108,IF(AND($S108&lt;&gt;"",EDATE($D108,Milestones!$AA$92)&gt;=$S108),$V108,$U108)))=Milestones!$AB$92),UPPER(TEXT(EDATE($D108,Milestones!$AA$92),"dd mmm yy"))&amp;" "&amp;Milestones!$AB$92&amp;" "&amp;Milestones!$AC$92&amp;";  ","")&amp;IF(AND(EDATE($D108,Milestones!$AA$93)&lt;=AsOfDate,IF($R108=0,$X108,IF(AND($T108&lt;&gt;"",EDATE($D108,Milestones!$AA$93)&gt;=$T108),$W108,IF(AND($S108&lt;&gt;"",EDATE($D108,Milestones!$AA$93)&gt;=$S108),$V108,$U108)))=Milestones!$AB$93),UPPER(TEXT(EDATE($D108,Milestones!$AA$93),"dd mmm yy"))&amp;" "&amp;Milestones!$AB$93&amp;" "&amp;Milestones!$AC$93&amp;";  ","")&amp;IF(AND(EDATE($D108,Milestones!$AA$94)&lt;=AsOfDate,IF($R108=0,$X108,IF(AND($T108&lt;&gt;"",EDATE($D108,Milestones!$AA$94)&gt;=$T108),$W108,IF(AND($S108&lt;&gt;"",EDATE($D108,Milestones!$AA$94)&gt;=$S108),$V108,$U108)))=Milestones!$AB$94),UPPER(TEXT(EDATE($D108,Milestones!$AA$94),"dd mmm yy"))&amp;" "&amp;Milestones!$AB$94&amp;" "&amp;Milestones!$AC$94&amp;";  ","")&amp;IF(AND(EDATE($D108,Milestones!$AA$95)&lt;=AsOfDate,IF($R108=0,$X108,IF(AND($T108&lt;&gt;"",EDATE($D108,Milestones!$AA$95)&gt;=$T108),$W108,IF(AND($S108&lt;&gt;"",EDATE($D108,Milestones!$AA$95)&gt;=$S108),$V108,$U108)))=Milestones!$AB$95),UPPER(TEXT(EDATE($D108,Milestones!$AA$95),"dd mmm yy"))&amp;" "&amp;Milestones!$AB$95&amp;" "&amp;Milestones!$AC$95&amp;";  ","")&amp;IF(AND(EDATE($D108,Milestones!$AA$96)&lt;=AsOfDate,IF($R108=0,$X108,IF(AND($T108&lt;&gt;"",EDATE($D108,Milestones!$AA$96)&gt;=$T108),$W108,IF(AND($S108&lt;&gt;"",EDATE($D108,Milestones!$AA$96)&gt;=$S108),$V108,$U108)))=Milestones!$AB$96),UPPER(TEXT(EDATE($D108,Milestones!$AA$96),"dd mmm yy"))&amp;" "&amp;Milestones!$AB$96&amp;" "&amp;Milestones!$AC$96&amp;";  ","")&amp;IF(AND(EDATE($D108,Milestones!$AA$97)&lt;=AsOfDate,IF($R108=0,$X108,IF(AND($T108&lt;&gt;"",EDATE($D108,Milestones!$AA$97)&gt;=$T108),$W108,IF(AND($S108&lt;&gt;"",EDATE($D108,Milestones!$AA$97)&gt;=$S108),$V108,$U108)))=Milestones!$AB$97),UPPER(TEXT(EDATE($D108,Milestones!$AA$97),"dd mmm yy"))&amp;" "&amp;Milestones!$AB$97&amp;" "&amp;Milestones!$AC$97&amp;";  ","")&amp;IF(AND(EDATE($D108,Milestones!$AA$98)&lt;=AsOfDate,IF($R108=0,$X108,IF(AND($T108&lt;&gt;"",EDATE($D108,Milestones!$AA$98)&gt;=$T108),$W108,IF(AND($S108&lt;&gt;"",EDATE($D108,Milestones!$AA$98)&gt;=$S108),$V108,$U108)))=Milestones!$AB$98),UPPER(TEXT(EDATE($D108,Milestones!$AA$98),"dd mmm yy"))&amp;" "&amp;Milestones!$AB$98&amp;" "&amp;Milestones!$AC$98&amp;";  ","")&amp;IF(AND(EDATE($D108,Milestones!$AA$99)&lt;=AsOfDate,IF($R108=0,$X108,IF(AND($T108&lt;&gt;"",EDATE($D108,Milestones!$AA$99)&gt;=$T108),$W108,IF(AND($S108&lt;&gt;"",EDATE($D108,Milestones!$AA$99)&gt;=$S108),$V108,$U108)))=Milestones!$AB$99),UPPER(TEXT(EDATE($D108,Milestones!$AA$99),"dd mmm yy"))&amp;" "&amp;Milestones!$AB$99&amp;" "&amp;Milestones!$AC$99&amp;";  ",""))</f>
        <v/>
      </c>
      <c r="M108" s="0" t="str">
        <f aca="false">IF(OR($A108="",$D108=""),"",IF(AND(EDATE($D108,Milestones!$AA$100)&lt;=AsOfDate,IF($R108=0,$X108,IF(AND($T108&lt;&gt;"",EDATE($D108,Milestones!$AA$100)&gt;=$T108),$W108,IF(AND($S108&lt;&gt;"",EDATE($D108,Milestones!$AA$100)&gt;=$S108),$V108,$U108)))=Milestones!$AB$100),UPPER(TEXT(EDATE($D108,Milestones!$AA$100),"dd mmm yy"))&amp;" "&amp;Milestones!$AB$100&amp;" "&amp;Milestones!$AC$100&amp;";  ","")&amp;IF(AND(EDATE($D108,Milestones!$AA$101)&lt;=AsOfDate,IF($R108=0,$X108,IF(AND($T108&lt;&gt;"",EDATE($D108,Milestones!$AA$101)&gt;=$T108),$W108,IF(AND($S108&lt;&gt;"",EDATE($D108,Milestones!$AA$101)&gt;=$S108),$V108,$U108)))=Milestones!$AB$101),UPPER(TEXT(EDATE($D108,Milestones!$AA$101),"dd mmm yy"))&amp;" "&amp;Milestones!$AB$101&amp;" "&amp;Milestones!$AC$101&amp;";  ","")&amp;IF(AND(EDATE($D108,Milestones!$AA$102)&lt;=AsOfDate,IF($R108=0,$X108,IF(AND($T108&lt;&gt;"",EDATE($D108,Milestones!$AA$102)&gt;=$T108),$W108,IF(AND($S108&lt;&gt;"",EDATE($D108,Milestones!$AA$102)&gt;=$S108),$V108,$U108)))=Milestones!$AB$102),UPPER(TEXT(EDATE($D108,Milestones!$AA$102),"dd mmm yy"))&amp;" "&amp;Milestones!$AB$102&amp;" "&amp;Milestones!$AC$102&amp;";  ","")&amp;IF(AND(EDATE($D108,Milestones!$AA$103)&lt;=AsOfDate,IF($R108=0,$X108,IF(AND($T108&lt;&gt;"",EDATE($D108,Milestones!$AA$103)&gt;=$T108),$W108,IF(AND($S108&lt;&gt;"",EDATE($D108,Milestones!$AA$103)&gt;=$S108),$V108,$U108)))=Milestones!$AB$103),UPPER(TEXT(EDATE($D108,Milestones!$AA$103),"dd mmm yy"))&amp;" "&amp;Milestones!$AB$103&amp;" "&amp;Milestones!$AC$103&amp;";  ","")&amp;IF(AND(EDATE($D108,Milestones!$AA$104)&lt;=AsOfDate,IF($R108=0,$X108,IF(AND($T108&lt;&gt;"",EDATE($D108,Milestones!$AA$104)&gt;=$T108),$W108,IF(AND($S108&lt;&gt;"",EDATE($D108,Milestones!$AA$104)&gt;=$S108),$V108,$U108)))=Milestones!$AB$104),UPPER(TEXT(EDATE($D108,Milestones!$AA$104),"dd mmm yy"))&amp;" "&amp;Milestones!$AB$104&amp;" "&amp;Milestones!$AC$104&amp;";  ","")&amp;IF(AND(EDATE($D108,Milestones!$AA$105)&lt;=AsOfDate,IF($R108=0,$X108,IF(AND($T108&lt;&gt;"",EDATE($D108,Milestones!$AA$105)&gt;=$T108),$W108,IF(AND($S108&lt;&gt;"",EDATE($D108,Milestones!$AA$105)&gt;=$S108),$V108,$U108)))=Milestones!$AB$105),UPPER(TEXT(EDATE($D108,Milestones!$AA$105),"dd mmm yy"))&amp;" "&amp;Milestones!$AB$105&amp;" "&amp;Milestones!$AC$105&amp;";  ","")&amp;IF(AND(EDATE($D108,Milestones!$AA$106)&lt;=AsOfDate,IF($R108=0,$X108,IF(AND($T108&lt;&gt;"",EDATE($D108,Milestones!$AA$106)&gt;=$T108),$W108,IF(AND($S108&lt;&gt;"",EDATE($D108,Milestones!$AA$106)&gt;=$S108),$V108,$U108)))=Milestones!$AB$106),UPPER(TEXT(EDATE($D108,Milestones!$AA$106),"dd mmm yy"))&amp;" "&amp;Milestones!$AB$106&amp;" "&amp;Milestones!$AC$106&amp;";  ","")&amp;IF(AND(EDATE($D108,Milestones!$AA$107)&lt;=AsOfDate,IF($R108=0,$X108,IF(AND($T108&lt;&gt;"",EDATE($D108,Milestones!$AA$107)&gt;=$T108),$W108,IF(AND($S108&lt;&gt;"",EDATE($D108,Milestones!$AA$107)&gt;=$S108),$V108,$U108)))=Milestones!$AB$107),UPPER(TEXT(EDATE($D108,Milestones!$AA$107),"dd mmm yy"))&amp;" "&amp;Milestones!$AB$107&amp;" "&amp;Milestones!$AC$107&amp;";  ","")&amp;IF(AND(EDATE($D108,Milestones!$AA$108)&lt;=AsOfDate,IF($R108=0,$X108,IF(AND($T108&lt;&gt;"",EDATE($D108,Milestones!$AA$108)&gt;=$T108),$W108,IF(AND($S108&lt;&gt;"",EDATE($D108,Milestones!$AA$108)&gt;=$S108),$V108,$U108)))=Milestones!$AB$108),UPPER(TEXT(EDATE($D108,Milestones!$AA$108),"dd mmm yy"))&amp;" "&amp;Milestones!$AB$108&amp;" "&amp;Milestones!$AC$108&amp;";  ","")&amp;IF(AND(EDATE($D108,Milestones!$AA$109)&lt;=AsOfDate,IF($R108=0,$X108,IF(AND($T108&lt;&gt;"",EDATE($D108,Milestones!$AA$109)&gt;=$T108),$W108,IF(AND($S108&lt;&gt;"",EDATE($D108,Milestones!$AA$109)&gt;=$S108),$V108,$U108)))=Milestones!$AB$109),UPPER(TEXT(EDATE($D108,Milestones!$AA$109),"dd mmm yy"))&amp;" "&amp;Milestones!$AB$109&amp;" "&amp;Milestones!$AC$109&amp;";  ","")&amp;IF(AND(EDATE($D108,Milestones!$AA$110)&lt;=AsOfDate,IF($R108=0,$X108,IF(AND($T108&lt;&gt;"",EDATE($D108,Milestones!$AA$110)&gt;=$T108),$W108,IF(AND($S108&lt;&gt;"",EDATE($D108,Milestones!$AA$110)&gt;=$S108),$V108,$U108)))=Milestones!$AB$110),UPPER(TEXT(EDATE($D108,Milestones!$AA$110),"dd mmm yy"))&amp;" "&amp;Milestones!$AB$110&amp;" "&amp;Milestones!$AC$110&amp;";  ","")&amp;IF(AND(EDATE($D108,Milestones!$AA$111)&lt;=AsOfDate,IF($R108=0,$X108,IF(AND($T108&lt;&gt;"",EDATE($D108,Milestones!$AA$111)&gt;=$T108),$W108,IF(AND($S108&lt;&gt;"",EDATE($D108,Milestones!$AA$111)&gt;=$S108),$V108,$U108)))=Milestones!$AB$111),UPPER(TEXT(EDATE($D108,Milestones!$AA$111),"dd mmm yy"))&amp;" "&amp;Milestones!$AB$111&amp;" "&amp;Milestones!$AC$111&amp;";  ","")&amp;IF(AND(EDATE($D108,Milestones!$AA$112)&lt;=AsOfDate,IF($R108=0,$X108,IF(AND($T108&lt;&gt;"",EDATE($D108,Milestones!$AA$112)&gt;=$T108),$W108,IF(AND($S108&lt;&gt;"",EDATE($D108,Milestones!$AA$112)&gt;=$S108),$V108,$U108)))=Milestones!$AB$112),UPPER(TEXT(EDATE($D108,Milestones!$AA$112),"dd mmm yy"))&amp;" "&amp;Milestones!$AB$112&amp;" "&amp;Milestones!$AC$112&amp;";  ","")&amp;IF(AND(EDATE($D108,Milestones!$AA$113)&lt;=AsOfDate,IF($R108=0,$X108,IF(AND($T108&lt;&gt;"",EDATE($D108,Milestones!$AA$113)&gt;=$T108),$W108,IF(AND($S108&lt;&gt;"",EDATE($D108,Milestones!$AA$113)&gt;=$S108),$V108,$U108)))=Milestones!$AB$113),UPPER(TEXT(EDATE($D108,Milestones!$AA$113),"dd mmm yy"))&amp;" "&amp;Milestones!$AB$113&amp;" "&amp;Milestones!$AC$113&amp;";  ","")&amp;IF(AND(EDATE($D108,Milestones!$AA$114)&lt;=AsOfDate,IF($R108=0,$X108,IF(AND($T108&lt;&gt;"",EDATE($D108,Milestones!$AA$114)&gt;=$T108),$W108,IF(AND($S108&lt;&gt;"",EDATE($D108,Milestones!$AA$114)&gt;=$S108),$V108,$U108)))=Milestones!$AB$114),UPPER(TEXT(EDATE($D108,Milestones!$AA$114),"dd mmm yy"))&amp;" "&amp;Milestones!$AB$114&amp;" "&amp;Milestones!$AC$114&amp;";  ","")&amp;IF(AND(EDATE($D108,Milestones!$AA$115)&lt;=AsOfDate,IF($R108=0,$X108,IF(AND($T108&lt;&gt;"",EDATE($D108,Milestones!$AA$115)&gt;=$T108),$W108,IF(AND($S108&lt;&gt;"",EDATE($D108,Milestones!$AA$115)&gt;=$S108),$V108,$U108)))=Milestones!$AB$115),UPPER(TEXT(EDATE($D108,Milestones!$AA$115),"dd mmm yy"))&amp;" "&amp;Milestones!$AB$115&amp;" "&amp;Milestones!$AC$115&amp;";  ","")&amp;IF(AND(EDATE($D108,Milestones!$AA$116)&lt;=AsOfDate,IF($R108=0,$X108,IF(AND($T108&lt;&gt;"",EDATE($D108,Milestones!$AA$116)&gt;=$T108),$W108,IF(AND($S108&lt;&gt;"",EDATE($D108,Milestones!$AA$116)&gt;=$S108),$V108,$U108)))=Milestones!$AB$116),UPPER(TEXT(EDATE($D108,Milestones!$AA$116),"dd mmm yy"))&amp;" "&amp;Milestones!$AB$116&amp;" "&amp;Milestones!$AC$116&amp;";  ","")&amp;IF(AND(EDATE($D108,Milestones!$AA$117)&lt;=AsOfDate,IF($R108=0,$X108,IF(AND($T108&lt;&gt;"",EDATE($D108,Milestones!$AA$117)&gt;=$T108),$W108,IF(AND($S108&lt;&gt;"",EDATE($D108,Milestones!$AA$117)&gt;=$S108),$V108,$U108)))=Milestones!$AB$117),UPPER(TEXT(EDATE($D108,Milestones!$AA$117),"dd mmm yy"))&amp;" "&amp;Milestones!$AB$117&amp;" "&amp;Milestones!$AC$117&amp;";  ","")&amp;IF(AND(EDATE($D108,Milestones!$AA$118)&lt;=AsOfDate,IF($R108=0,$X108,IF(AND($T108&lt;&gt;"",EDATE($D108,Milestones!$AA$118)&gt;=$T108),$W108,IF(AND($S108&lt;&gt;"",EDATE($D108,Milestones!$AA$118)&gt;=$S108),$V108,$U108)))=Milestones!$AB$118),UPPER(TEXT(EDATE($D108,Milestones!$AA$118),"dd mmm yy"))&amp;" "&amp;Milestones!$AB$118&amp;" "&amp;Milestones!$AC$118&amp;";  ","")&amp;IF(AND(EDATE($D108,Milestones!$AA$119)&lt;=AsOfDate,IF($R108=0,$X108,IF(AND($T108&lt;&gt;"",EDATE($D108,Milestones!$AA$119)&gt;=$T108),$W108,IF(AND($S108&lt;&gt;"",EDATE($D108,Milestones!$AA$119)&gt;=$S108),$V108,$U108)))=Milestones!$AB$119),UPPER(TEXT(EDATE($D108,Milestones!$AA$119),"dd mmm yy"))&amp;" "&amp;Milestones!$AB$119&amp;" "&amp;Milestones!$AC$119&amp;";  ",""))</f>
        <v/>
      </c>
      <c r="N108" s="0" t="str">
        <f aca="false">IF(OR($A108="",$D108=""),"",IF(AND(EDATE($D108,Milestones!$AA$120)&lt;=AsOfDate,IF($R108=0,$X108,IF(AND($T108&lt;&gt;"",EDATE($D108,Milestones!$AA$120)&gt;=$T108),$W108,IF(AND($S108&lt;&gt;"",EDATE($D108,Milestones!$AA$120)&gt;=$S108),$V108,$U108)))=Milestones!$AB$120),UPPER(TEXT(EDATE($D108,Milestones!$AA$120),"dd mmm yy"))&amp;" "&amp;Milestones!$AB$120&amp;" "&amp;Milestones!$AC$120&amp;";  ","")&amp;IF(AND(EDATE($D108,Milestones!$AA$121)&lt;=AsOfDate,IF($R108=0,$X108,IF(AND($T108&lt;&gt;"",EDATE($D108,Milestones!$AA$121)&gt;=$T108),$W108,IF(AND($S108&lt;&gt;"",EDATE($D108,Milestones!$AA$121)&gt;=$S108),$V108,$U108)))=Milestones!$AB$121),UPPER(TEXT(EDATE($D108,Milestones!$AA$121),"dd mmm yy"))&amp;" "&amp;Milestones!$AB$121&amp;" "&amp;Milestones!$AC$121&amp;";  ","")&amp;IF(AND(EDATE($D108,Milestones!$AA$122)&lt;=AsOfDate,IF($R108=0,$X108,IF(AND($T108&lt;&gt;"",EDATE($D108,Milestones!$AA$122)&gt;=$T108),$W108,IF(AND($S108&lt;&gt;"",EDATE($D108,Milestones!$AA$122)&gt;=$S108),$V108,$U108)))=Milestones!$AB$122),UPPER(TEXT(EDATE($D108,Milestones!$AA$122),"dd mmm yy"))&amp;" "&amp;Milestones!$AB$122&amp;" "&amp;Milestones!$AC$122&amp;";  ","")&amp;IF(AND(EDATE($D108,Milestones!$AA$123)&lt;=AsOfDate,IF($R108=0,$X108,IF(AND($T108&lt;&gt;"",EDATE($D108,Milestones!$AA$123)&gt;=$T108),$W108,IF(AND($S108&lt;&gt;"",EDATE($D108,Milestones!$AA$123)&gt;=$S108),$V108,$U108)))=Milestones!$AB$123),UPPER(TEXT(EDATE($D108,Milestones!$AA$123),"dd mmm yy"))&amp;" "&amp;Milestones!$AB$123&amp;" "&amp;Milestones!$AC$123&amp;";  ","")&amp;IF(AND(EDATE($D108,Milestones!$AA$124)&lt;=AsOfDate,IF($R108=0,$X108,IF(AND($T108&lt;&gt;"",EDATE($D108,Milestones!$AA$124)&gt;=$T108),$W108,IF(AND($S108&lt;&gt;"",EDATE($D108,Milestones!$AA$124)&gt;=$S108),$V108,$U108)))=Milestones!$AB$124),UPPER(TEXT(EDATE($D108,Milestones!$AA$124),"dd mmm yy"))&amp;" "&amp;Milestones!$AB$124&amp;" "&amp;Milestones!$AC$124&amp;";  ","")&amp;IF(AND(EDATE($D108,Milestones!$AA$125)&lt;=AsOfDate,IF($R108=0,$X108,IF(AND($T108&lt;&gt;"",EDATE($D108,Milestones!$AA$125)&gt;=$T108),$W108,IF(AND($S108&lt;&gt;"",EDATE($D108,Milestones!$AA$125)&gt;=$S108),$V108,$U108)))=Milestones!$AB$125),UPPER(TEXT(EDATE($D108,Milestones!$AA$125),"dd mmm yy"))&amp;" "&amp;Milestones!$AB$125&amp;" "&amp;Milestones!$AC$125&amp;";  ","")&amp;IF(AND(EDATE($D108,Milestones!$AA$126)&lt;=AsOfDate,IF($R108=0,$X108,IF(AND($T108&lt;&gt;"",EDATE($D108,Milestones!$AA$126)&gt;=$T108),$W108,IF(AND($S108&lt;&gt;"",EDATE($D108,Milestones!$AA$126)&gt;=$S108),$V108,$U108)))=Milestones!$AB$126),UPPER(TEXT(EDATE($D108,Milestones!$AA$126),"dd mmm yy"))&amp;" "&amp;Milestones!$AB$126&amp;" "&amp;Milestones!$AC$126&amp;";  ","")&amp;IF(AND(EDATE($D108,Milestones!$AA$127)&lt;=AsOfDate,IF($R108=0,$X108,IF(AND($T108&lt;&gt;"",EDATE($D108,Milestones!$AA$127)&gt;=$T108),$W108,IF(AND($S108&lt;&gt;"",EDATE($D108,Milestones!$AA$127)&gt;=$S108),$V108,$U108)))=Milestones!$AB$127),UPPER(TEXT(EDATE($D108,Milestones!$AA$127),"dd mmm yy"))&amp;" "&amp;Milestones!$AB$127&amp;" "&amp;Milestones!$AC$127&amp;";  ","")&amp;IF(AND(EDATE($D108,Milestones!$AA$128)&lt;=AsOfDate,IF($R108=0,$X108,IF(AND($T108&lt;&gt;"",EDATE($D108,Milestones!$AA$128)&gt;=$T108),$W108,IF(AND($S108&lt;&gt;"",EDATE($D108,Milestones!$AA$128)&gt;=$S108),$V108,$U108)))=Milestones!$AB$128),UPPER(TEXT(EDATE($D108,Milestones!$AA$128),"dd mmm yy"))&amp;" "&amp;Milestones!$AB$128&amp;" "&amp;Milestones!$AC$128&amp;";  ","")&amp;IF(AND(EDATE($D108,Milestones!$AA$129)&lt;=AsOfDate,IF($R108=0,$X108,IF(AND($T108&lt;&gt;"",EDATE($D108,Milestones!$AA$129)&gt;=$T108),$W108,IF(AND($S108&lt;&gt;"",EDATE($D108,Milestones!$AA$129)&gt;=$S108),$V108,$U108)))=Milestones!$AB$129),UPPER(TEXT(EDATE($D108,Milestones!$AA$129),"dd mmm yy"))&amp;" "&amp;Milestones!$AB$129&amp;" "&amp;Milestones!$AC$129&amp;";  ","")&amp;IF(AND(EDATE($D108,Milestones!$AA$130)&lt;=AsOfDate,IF($R108=0,$X108,IF(AND($T108&lt;&gt;"",EDATE($D108,Milestones!$AA$130)&gt;=$T108),$W108,IF(AND($S108&lt;&gt;"",EDATE($D108,Milestones!$AA$130)&gt;=$S108),$V108,$U108)))=Milestones!$AB$130),UPPER(TEXT(EDATE($D108,Milestones!$AA$130),"dd mmm yy"))&amp;" "&amp;Milestones!$AB$130&amp;" "&amp;Milestones!$AC$130&amp;";  ","")&amp;IF(AND(EDATE($D108,Milestones!$AA$131)&lt;=AsOfDate,IF($R108=0,$X108,IF(AND($T108&lt;&gt;"",EDATE($D108,Milestones!$AA$131)&gt;=$T108),$W108,IF(AND($S108&lt;&gt;"",EDATE($D108,Milestones!$AA$131)&gt;=$S108),$V108,$U108)))=Milestones!$AB$131),UPPER(TEXT(EDATE($D108,Milestones!$AA$131),"dd mmm yy"))&amp;" "&amp;Milestones!$AB$131&amp;" "&amp;Milestones!$AC$131&amp;";  ","")&amp;IF(AND(EDATE($D108,Milestones!$AA$132)&lt;=AsOfDate,IF($R108=0,$X108,IF(AND($T108&lt;&gt;"",EDATE($D108,Milestones!$AA$132)&gt;=$T108),$W108,IF(AND($S108&lt;&gt;"",EDATE($D108,Milestones!$AA$132)&gt;=$S108),$V108,$U108)))=Milestones!$AB$132),UPPER(TEXT(EDATE($D108,Milestones!$AA$132),"dd mmm yy"))&amp;" "&amp;Milestones!$AB$132&amp;" "&amp;Milestones!$AC$132&amp;";  ","")&amp;IF(AND(EDATE($D108,Milestones!$AA$133)&lt;=AsOfDate,IF($R108=0,$X108,IF(AND($T108&lt;&gt;"",EDATE($D108,Milestones!$AA$133)&gt;=$T108),$W108,IF(AND($S108&lt;&gt;"",EDATE($D108,Milestones!$AA$133)&gt;=$S108),$V108,$U108)))=Milestones!$AB$133),UPPER(TEXT(EDATE($D108,Milestones!$AA$133),"dd mmm yy"))&amp;" "&amp;Milestones!$AB$133&amp;" "&amp;Milestones!$AC$133&amp;";  ","")&amp;IF(AND(EDATE($D108,Milestones!$AA$134)&lt;=AsOfDate,IF($R108=0,$X108,IF(AND($T108&lt;&gt;"",EDATE($D108,Milestones!$AA$134)&gt;=$T108),$W108,IF(AND($S108&lt;&gt;"",EDATE($D108,Milestones!$AA$134)&gt;=$S108),$V108,$U108)))=Milestones!$AB$134),UPPER(TEXT(EDATE($D108,Milestones!$AA$134),"dd mmm yy"))&amp;" "&amp;Milestones!$AB$134&amp;" "&amp;Milestones!$AC$134&amp;";  ","")&amp;IF(AND(EDATE($D108,Milestones!$AA$135)&lt;=AsOfDate,IF($R108=0,$X108,IF(AND($T108&lt;&gt;"",EDATE($D108,Milestones!$AA$135)&gt;=$T108),$W108,IF(AND($S108&lt;&gt;"",EDATE($D108,Milestones!$AA$135)&gt;=$S108),$V108,$U108)))=Milestones!$AB$135),UPPER(TEXT(EDATE($D108,Milestones!$AA$135),"dd mmm yy"))&amp;" "&amp;Milestones!$AB$135&amp;" "&amp;Milestones!$AC$135&amp;";  ","")&amp;IF(AND(EDATE($D108,Milestones!$AA$136)&lt;=AsOfDate,IF($R108=0,$X108,IF(AND($T108&lt;&gt;"",EDATE($D108,Milestones!$AA$136)&gt;=$T108),$W108,IF(AND($S108&lt;&gt;"",EDATE($D108,Milestones!$AA$136)&gt;=$S108),$V108,$U108)))=Milestones!$AB$136),UPPER(TEXT(EDATE($D108,Milestones!$AA$136),"dd mmm yy"))&amp;" "&amp;Milestones!$AB$136&amp;" "&amp;Milestones!$AC$136&amp;";  ","")&amp;IF(AND(EDATE($D108,Milestones!$AA$137)&lt;=AsOfDate,IF($R108=0,$X108,IF(AND($T108&lt;&gt;"",EDATE($D108,Milestones!$AA$137)&gt;=$T108),$W108,IF(AND($S108&lt;&gt;"",EDATE($D108,Milestones!$AA$137)&gt;=$S108),$V108,$U108)))=Milestones!$AB$137),UPPER(TEXT(EDATE($D108,Milestones!$AA$137),"dd mmm yy"))&amp;" "&amp;Milestones!$AB$137&amp;" "&amp;Milestones!$AC$137&amp;";  ","")&amp;IF(AND(EDATE($D108,Milestones!$AA$138)&lt;=AsOfDate,IF($R108=0,$X108,IF(AND($T108&lt;&gt;"",EDATE($D108,Milestones!$AA$138)&gt;=$T108),$W108,IF(AND($S108&lt;&gt;"",EDATE($D108,Milestones!$AA$138)&gt;=$S108),$V108,$U108)))=Milestones!$AB$138),UPPER(TEXT(EDATE($D108,Milestones!$AA$138),"dd mmm yy"))&amp;" "&amp;Milestones!$AB$138&amp;" "&amp;Milestones!$AC$138&amp;";  ","")&amp;IF(AND(EDATE($D108,Milestones!$AA$139)&lt;=AsOfDate,IF($R108=0,$X108,IF(AND($T108&lt;&gt;"",EDATE($D108,Milestones!$AA$139)&gt;=$T108),$W108,IF(AND($S108&lt;&gt;"",EDATE($D108,Milestones!$AA$139)&gt;=$S108),$V108,$U108)))=Milestones!$AB$139),UPPER(TEXT(EDATE($D108,Milestones!$AA$139),"dd mmm yy"))&amp;" "&amp;Milestones!$AB$139&amp;" "&amp;Milestones!$AC$139&amp;";  ",""))</f>
        <v/>
      </c>
      <c r="O108" s="0" t="str">
        <f aca="false">IF(OR($A108="",$D108=""),"",IF(AND(EDATE($D108,Milestones!$AA$140)&lt;=AsOfDate,IF($R108=0,$X108,IF(AND($T108&lt;&gt;"",EDATE($D108,Milestones!$AA$140)&gt;=$T108),$W108,IF(AND($S108&lt;&gt;"",EDATE($D108,Milestones!$AA$140)&gt;=$S108),$V108,$U108)))=Milestones!$AB$140),UPPER(TEXT(EDATE($D108,Milestones!$AA$140),"dd mmm yy"))&amp;" "&amp;Milestones!$AB$140&amp;" "&amp;Milestones!$AC$140&amp;";  ","")&amp;IF(AND(EDATE($D108,Milestones!$AA$141)&lt;=AsOfDate,IF($R108=0,$X108,IF(AND($T108&lt;&gt;"",EDATE($D108,Milestones!$AA$141)&gt;=$T108),$W108,IF(AND($S108&lt;&gt;"",EDATE($D108,Milestones!$AA$141)&gt;=$S108),$V108,$U108)))=Milestones!$AB$141),UPPER(TEXT(EDATE($D108,Milestones!$AA$141),"dd mmm yy"))&amp;" "&amp;Milestones!$AB$141&amp;" "&amp;Milestones!$AC$141&amp;";  ","")&amp;IF(AND(EDATE($D108,Milestones!$AA$142)&lt;=AsOfDate,IF($R108=0,$X108,IF(AND($T108&lt;&gt;"",EDATE($D108,Milestones!$AA$142)&gt;=$T108),$W108,IF(AND($S108&lt;&gt;"",EDATE($D108,Milestones!$AA$142)&gt;=$S108),$V108,$U108)))=Milestones!$AB$142),UPPER(TEXT(EDATE($D108,Milestones!$AA$142),"dd mmm yy"))&amp;" "&amp;Milestones!$AB$142&amp;" "&amp;Milestones!$AC$142&amp;";  ","")&amp;IF(AND(EDATE($D108,Milestones!$AA$143)&lt;=AsOfDate,IF($R108=0,$X108,IF(AND($T108&lt;&gt;"",EDATE($D108,Milestones!$AA$143)&gt;=$T108),$W108,IF(AND($S108&lt;&gt;"",EDATE($D108,Milestones!$AA$143)&gt;=$S108),$V108,$U108)))=Milestones!$AB$143),UPPER(TEXT(EDATE($D108,Milestones!$AA$143),"dd mmm yy"))&amp;" "&amp;Milestones!$AB$143&amp;" "&amp;Milestones!$AC$143&amp;";  ","")&amp;IF(AND(EDATE($D108,Milestones!$AA$144)&lt;=AsOfDate,IF($R108=0,$X108,IF(AND($T108&lt;&gt;"",EDATE($D108,Milestones!$AA$144)&gt;=$T108),$W108,IF(AND($S108&lt;&gt;"",EDATE($D108,Milestones!$AA$144)&gt;=$S108),$V108,$U108)))=Milestones!$AB$144),UPPER(TEXT(EDATE($D108,Milestones!$AA$144),"dd mmm yy"))&amp;" "&amp;Milestones!$AB$144&amp;" "&amp;Milestones!$AC$144&amp;";  ","")&amp;IF(AND(EDATE($D108,Milestones!$AA$145)&lt;=AsOfDate,IF($R108=0,$X108,IF(AND($T108&lt;&gt;"",EDATE($D108,Milestones!$AA$145)&gt;=$T108),$W108,IF(AND($S108&lt;&gt;"",EDATE($D108,Milestones!$AA$145)&gt;=$S108),$V108,$U108)))=Milestones!$AB$145),UPPER(TEXT(EDATE($D108,Milestones!$AA$145),"dd mmm yy"))&amp;" "&amp;Milestones!$AB$145&amp;" "&amp;Milestones!$AC$145&amp;";  ","")&amp;IF(AND(EDATE($D108,Milestones!$AA$146)&lt;=AsOfDate,IF($R108=0,$X108,IF(AND($T108&lt;&gt;"",EDATE($D108,Milestones!$AA$146)&gt;=$T108),$W108,IF(AND($S108&lt;&gt;"",EDATE($D108,Milestones!$AA$146)&gt;=$S108),$V108,$U108)))=Milestones!$AB$146),UPPER(TEXT(EDATE($D108,Milestones!$AA$146),"dd mmm yy"))&amp;" "&amp;Milestones!$AB$146&amp;" "&amp;Milestones!$AC$146&amp;";  ","")&amp;IF(AND(EDATE($D108,Milestones!$AA$147)&lt;=AsOfDate,IF($R108=0,$X108,IF(AND($T108&lt;&gt;"",EDATE($D108,Milestones!$AA$147)&gt;=$T108),$W108,IF(AND($S108&lt;&gt;"",EDATE($D108,Milestones!$AA$147)&gt;=$S108),$V108,$U108)))=Milestones!$AB$147),UPPER(TEXT(EDATE($D108,Milestones!$AA$147),"dd mmm yy"))&amp;" "&amp;Milestones!$AB$147&amp;" "&amp;Milestones!$AC$147&amp;";  ","")&amp;IF(AND(EDATE($D108,Milestones!$AA$148)&lt;=AsOfDate,IF($R108=0,$X108,IF(AND($T108&lt;&gt;"",EDATE($D108,Milestones!$AA$148)&gt;=$T108),$W108,IF(AND($S108&lt;&gt;"",EDATE($D108,Milestones!$AA$148)&gt;=$S108),$V108,$U108)))=Milestones!$AB$148),UPPER(TEXT(EDATE($D108,Milestones!$AA$148),"dd mmm yy"))&amp;" "&amp;Milestones!$AB$148&amp;" "&amp;Milestones!$AC$148&amp;";  ","")&amp;IF(AND(EDATE($D108,Milestones!$AA$149)&lt;=AsOfDate,IF($R108=0,$X108,IF(AND($T108&lt;&gt;"",EDATE($D108,Milestones!$AA$149)&gt;=$T108),$W108,IF(AND($S108&lt;&gt;"",EDATE($D108,Milestones!$AA$149)&gt;=$S108),$V108,$U108)))=Milestones!$AB$149),UPPER(TEXT(EDATE($D108,Milestones!$AA$149),"dd mmm yy"))&amp;" "&amp;Milestones!$AB$149&amp;" "&amp;Milestones!$AC$149&amp;";  ","")&amp;IF(AND(EDATE($D108,Milestones!$AA$150)&lt;=AsOfDate,IF($R108=0,$X108,IF(AND($T108&lt;&gt;"",EDATE($D108,Milestones!$AA$150)&gt;=$T108),$W108,IF(AND($S108&lt;&gt;"",EDATE($D108,Milestones!$AA$150)&gt;=$S108),$V108,$U108)))=Milestones!$AB$150),UPPER(TEXT(EDATE($D108,Milestones!$AA$150),"dd mmm yy"))&amp;" "&amp;Milestones!$AB$150&amp;" "&amp;Milestones!$AC$150&amp;";  ","")&amp;IF(AND(EDATE($D108,Milestones!$AA$151)&lt;=AsOfDate,IF($R108=0,$X108,IF(AND($T108&lt;&gt;"",EDATE($D108,Milestones!$AA$151)&gt;=$T108),$W108,IF(AND($S108&lt;&gt;"",EDATE($D108,Milestones!$AA$151)&gt;=$S108),$V108,$U108)))=Milestones!$AB$151),UPPER(TEXT(EDATE($D108,Milestones!$AA$151),"dd mmm yy"))&amp;" "&amp;Milestones!$AB$151&amp;" "&amp;Milestones!$AC$151&amp;";  ","")&amp;IF(AND(EDATE($D108,Milestones!$AA$152)&lt;=AsOfDate,IF($R108=0,$X108,IF(AND($T108&lt;&gt;"",EDATE($D108,Milestones!$AA$152)&gt;=$T108),$W108,IF(AND($S108&lt;&gt;"",EDATE($D108,Milestones!$AA$152)&gt;=$S108),$V108,$U108)))=Milestones!$AB$152),UPPER(TEXT(EDATE($D108,Milestones!$AA$152),"dd mmm yy"))&amp;" "&amp;Milestones!$AB$152&amp;" "&amp;Milestones!$AC$152&amp;";  ","")&amp;IF(AND(EDATE($D108,Milestones!$AA$153)&lt;=AsOfDate,IF($R108=0,$X108,IF(AND($T108&lt;&gt;"",EDATE($D108,Milestones!$AA$153)&gt;=$T108),$W108,IF(AND($S108&lt;&gt;"",EDATE($D108,Milestones!$AA$153)&gt;=$S108),$V108,$U108)))=Milestones!$AB$153),UPPER(TEXT(EDATE($D108,Milestones!$AA$153),"dd mmm yy"))&amp;" "&amp;Milestones!$AB$153&amp;" "&amp;Milestones!$AC$153&amp;";  ","")&amp;IF(AND(EDATE($D108,Milestones!$AA$154)&lt;=AsOfDate,IF($R108=0,$X108,IF(AND($T108&lt;&gt;"",EDATE($D108,Milestones!$AA$154)&gt;=$T108),$W108,IF(AND($S108&lt;&gt;"",EDATE($D108,Milestones!$AA$154)&gt;=$S108),$V108,$U108)))=Milestones!$AB$154),UPPER(TEXT(EDATE($D108,Milestones!$AA$154),"dd mmm yy"))&amp;" "&amp;Milestones!$AB$154&amp;" "&amp;Milestones!$AC$154&amp;";  ","")&amp;IF(AND(EDATE($D108,Milestones!$AA$155)&lt;=AsOfDate,IF($R108=0,$X108,IF(AND($T108&lt;&gt;"",EDATE($D108,Milestones!$AA$155)&gt;=$T108),$W108,IF(AND($S108&lt;&gt;"",EDATE($D108,Milestones!$AA$155)&gt;=$S108),$V108,$U108)))=Milestones!$AB$155),UPPER(TEXT(EDATE($D108,Milestones!$AA$155),"dd mmm yy"))&amp;" "&amp;Milestones!$AB$155&amp;" "&amp;Milestones!$AC$155&amp;";  ","")&amp;IF(AND(EDATE($D108,Milestones!$AA$156)&lt;=AsOfDate,IF($R108=0,$X108,IF(AND($T108&lt;&gt;"",EDATE($D108,Milestones!$AA$156)&gt;=$T108),$W108,IF(AND($S108&lt;&gt;"",EDATE($D108,Milestones!$AA$156)&gt;=$S108),$V108,$U108)))=Milestones!$AB$156),UPPER(TEXT(EDATE($D108,Milestones!$AA$156),"dd mmm yy"))&amp;" "&amp;Milestones!$AB$156&amp;" "&amp;Milestones!$AC$156&amp;";  ","")&amp;IF(AND(EDATE($D108,Milestones!$AA$157)&lt;=AsOfDate,IF($R108=0,$X108,IF(AND($T108&lt;&gt;"",EDATE($D108,Milestones!$AA$157)&gt;=$T108),$W108,IF(AND($S108&lt;&gt;"",EDATE($D108,Milestones!$AA$157)&gt;=$S108),$V108,$U108)))=Milestones!$AB$157),UPPER(TEXT(EDATE($D108,Milestones!$AA$157),"dd mmm yy"))&amp;" "&amp;Milestones!$AB$157&amp;" "&amp;Milestones!$AC$157&amp;";  ","")&amp;IF(AND(EDATE($D108,Milestones!$AA$158)&lt;=AsOfDate,IF($R108=0,$X108,IF(AND($T108&lt;&gt;"",EDATE($D108,Milestones!$AA$158)&gt;=$T108),$W108,IF(AND($S108&lt;&gt;"",EDATE($D108,Milestones!$AA$158)&gt;=$S108),$V108,$U108)))=Milestones!$AB$158),UPPER(TEXT(EDATE($D108,Milestones!$AA$158),"dd mmm yy"))&amp;" "&amp;Milestones!$AB$158&amp;" "&amp;Milestones!$AC$158&amp;";  ","")&amp;IF(AND(EDATE($D108,Milestones!$AA$159)&lt;=AsOfDate,IF($R108=0,$X108,IF(AND($T108&lt;&gt;"",EDATE($D108,Milestones!$AA$159)&gt;=$T108),$W108,IF(AND($S108&lt;&gt;"",EDATE($D108,Milestones!$AA$159)&gt;=$S108),$V108,$U108)))=Milestones!$AB$159),UPPER(TEXT(EDATE($D108,Milestones!$AA$159),"dd mmm yy"))&amp;" "&amp;Milestones!$AB$159&amp;" "&amp;Milestones!$AC$159&amp;";  ",""))</f>
        <v/>
      </c>
      <c r="P108" s="0" t="str">
        <f aca="false">IF(OR($A108="",$D108=""),"",IF(AND(EDATE($D108,Milestones!$AA$160)&lt;=AsOfDate,IF($R108=0,$X108,IF(AND($T108&lt;&gt;"",EDATE($D108,Milestones!$AA$160)&gt;=$T108),$W108,IF(AND($S108&lt;&gt;"",EDATE($D108,Milestones!$AA$160)&gt;=$S108),$V108,$U108)))=Milestones!$AB$160),UPPER(TEXT(EDATE($D108,Milestones!$AA$160),"dd mmm yy"))&amp;" "&amp;Milestones!$AB$160&amp;" "&amp;Milestones!$AC$160&amp;";  ","")&amp;IF(AND(EDATE($D108,Milestones!$AA$161)&lt;=AsOfDate,IF($R108=0,$X108,IF(AND($T108&lt;&gt;"",EDATE($D108,Milestones!$AA$161)&gt;=$T108),$W108,IF(AND($S108&lt;&gt;"",EDATE($D108,Milestones!$AA$161)&gt;=$S108),$V108,$U108)))=Milestones!$AB$161),UPPER(TEXT(EDATE($D108,Milestones!$AA$161),"dd mmm yy"))&amp;" "&amp;Milestones!$AB$161&amp;" "&amp;Milestones!$AC$161&amp;";  ","")&amp;IF(AND(EDATE($D108,Milestones!$AA$162)&lt;=AsOfDate,IF($R108=0,$X108,IF(AND($T108&lt;&gt;"",EDATE($D108,Milestones!$AA$162)&gt;=$T108),$W108,IF(AND($S108&lt;&gt;"",EDATE($D108,Milestones!$AA$162)&gt;=$S108),$V108,$U108)))=Milestones!$AB$162),UPPER(TEXT(EDATE($D108,Milestones!$AA$162),"dd mmm yy"))&amp;" "&amp;Milestones!$AB$162&amp;" "&amp;Milestones!$AC$162&amp;";  ","")&amp;IF(AND(EDATE($D108,Milestones!$AA$163)&lt;=AsOfDate,IF($R108=0,$X108,IF(AND($T108&lt;&gt;"",EDATE($D108,Milestones!$AA$163)&gt;=$T108),$W108,IF(AND($S108&lt;&gt;"",EDATE($D108,Milestones!$AA$163)&gt;=$S108),$V108,$U108)))=Milestones!$AB$163),UPPER(TEXT(EDATE($D108,Milestones!$AA$163),"dd mmm yy"))&amp;" "&amp;Milestones!$AB$163&amp;" "&amp;Milestones!$AC$163&amp;";  ","")&amp;IF(AND(EDATE($D108,Milestones!$AA$164)&lt;=AsOfDate,IF($R108=0,$X108,IF(AND($T108&lt;&gt;"",EDATE($D108,Milestones!$AA$164)&gt;=$T108),$W108,IF(AND($S108&lt;&gt;"",EDATE($D108,Milestones!$AA$164)&gt;=$S108),$V108,$U108)))=Milestones!$AB$164),UPPER(TEXT(EDATE($D108,Milestones!$AA$164),"dd mmm yy"))&amp;" "&amp;Milestones!$AB$164&amp;" "&amp;Milestones!$AC$164&amp;";  ","")&amp;IF(AND(EDATE($D108,Milestones!$AA$165)&lt;=AsOfDate,IF($R108=0,$X108,IF(AND($T108&lt;&gt;"",EDATE($D108,Milestones!$AA$165)&gt;=$T108),$W108,IF(AND($S108&lt;&gt;"",EDATE($D108,Milestones!$AA$165)&gt;=$S108),$V108,$U108)))=Milestones!$AB$165),UPPER(TEXT(EDATE($D108,Milestones!$AA$165),"dd mmm yy"))&amp;" "&amp;Milestones!$AB$165&amp;" "&amp;Milestones!$AC$165&amp;";  ","")&amp;IF(AND(EDATE($D108,Milestones!$AA$166)&lt;=AsOfDate,IF($R108=0,$X108,IF(AND($T108&lt;&gt;"",EDATE($D108,Milestones!$AA$166)&gt;=$T108),$W108,IF(AND($S108&lt;&gt;"",EDATE($D108,Milestones!$AA$166)&gt;=$S108),$V108,$U108)))=Milestones!$AB$166),UPPER(TEXT(EDATE($D108,Milestones!$AA$166),"dd mmm yy"))&amp;" "&amp;Milestones!$AB$166&amp;" "&amp;Milestones!$AC$166&amp;";  ","")&amp;IF(AND(EDATE($D108,Milestones!$AA$167)&lt;=AsOfDate,IF($R108=0,$X108,IF(AND($T108&lt;&gt;"",EDATE($D108,Milestones!$AA$167)&gt;=$T108),$W108,IF(AND($S108&lt;&gt;"",EDATE($D108,Milestones!$AA$167)&gt;=$S108),$V108,$U108)))=Milestones!$AB$167),UPPER(TEXT(EDATE($D108,Milestones!$AA$167),"dd mmm yy"))&amp;" "&amp;Milestones!$AB$167&amp;" "&amp;Milestones!$AC$167&amp;";  ","")&amp;IF(AND(EDATE($D108,Milestones!$AA$168)&lt;=AsOfDate,IF($R108=0,$X108,IF(AND($T108&lt;&gt;"",EDATE($D108,Milestones!$AA$168)&gt;=$T108),$W108,IF(AND($S108&lt;&gt;"",EDATE($D108,Milestones!$AA$168)&gt;=$S108),$V108,$U108)))=Milestones!$AB$168),UPPER(TEXT(EDATE($D108,Milestones!$AA$168),"dd mmm yy"))&amp;" "&amp;Milestones!$AB$168&amp;" "&amp;Milestones!$AC$168&amp;";  ","")&amp;IF(AND(EDATE($D108,Milestones!$AA$169)&lt;=AsOfDate,IF($R108=0,$X108,IF(AND($T108&lt;&gt;"",EDATE($D108,Milestones!$AA$169)&gt;=$T108),$W108,IF(AND($S108&lt;&gt;"",EDATE($D108,Milestones!$AA$169)&gt;=$S108),$V108,$U108)))=Milestones!$AB$169),UPPER(TEXT(EDATE($D108,Milestones!$AA$169),"dd mmm yy"))&amp;" "&amp;Milestones!$AB$169&amp;" "&amp;Milestones!$AC$169&amp;";  ","")&amp;IF(AND(EDATE($D108,Milestones!$AA$170)&lt;=AsOfDate,IF($R108=0,$X108,IF(AND($T108&lt;&gt;"",EDATE($D108,Milestones!$AA$170)&gt;=$T108),$W108,IF(AND($S108&lt;&gt;"",EDATE($D108,Milestones!$AA$170)&gt;=$S108),$V108,$U108)))=Milestones!$AB$170),UPPER(TEXT(EDATE($D108,Milestones!$AA$170),"dd mmm yy"))&amp;" "&amp;Milestones!$AB$170&amp;" "&amp;Milestones!$AC$170&amp;";  ","")&amp;IF(AND(EDATE($D108,Milestones!$AA$171)&lt;=AsOfDate,IF($R108=0,$X108,IF(AND($T108&lt;&gt;"",EDATE($D108,Milestones!$AA$171)&gt;=$T108),$W108,IF(AND($S108&lt;&gt;"",EDATE($D108,Milestones!$AA$171)&gt;=$S108),$V108,$U108)))=Milestones!$AB$171),UPPER(TEXT(EDATE($D108,Milestones!$AA$171),"dd mmm yy"))&amp;" "&amp;Milestones!$AB$171&amp;" "&amp;Milestones!$AC$171&amp;";  ","")&amp;IF(AND(EDATE($D108,Milestones!$AA$172)&lt;=AsOfDate,IF($R108=0,$X108,IF(AND($T108&lt;&gt;"",EDATE($D108,Milestones!$AA$172)&gt;=$T108),$W108,IF(AND($S108&lt;&gt;"",EDATE($D108,Milestones!$AA$172)&gt;=$S108),$V108,$U108)))=Milestones!$AB$172),UPPER(TEXT(EDATE($D108,Milestones!$AA$172),"dd mmm yy"))&amp;" "&amp;Milestones!$AB$172&amp;" "&amp;Milestones!$AC$172&amp;";  ","")&amp;IF(AND(EDATE($D108,Milestones!$AA$173)&lt;=AsOfDate,IF($R108=0,$X108,IF(AND($T108&lt;&gt;"",EDATE($D108,Milestones!$AA$173)&gt;=$T108),$W108,IF(AND($S108&lt;&gt;"",EDATE($D108,Milestones!$AA$173)&gt;=$S108),$V108,$U108)))=Milestones!$AB$173),UPPER(TEXT(EDATE($D108,Milestones!$AA$173),"dd mmm yy"))&amp;" "&amp;Milestones!$AB$173&amp;" "&amp;Milestones!$AC$173&amp;";  ","")&amp;IF(AND(EDATE($D108,Milestones!$AA$174)&lt;=AsOfDate,IF($R108=0,$X108,IF(AND($T108&lt;&gt;"",EDATE($D108,Milestones!$AA$174)&gt;=$T108),$W108,IF(AND($S108&lt;&gt;"",EDATE($D108,Milestones!$AA$174)&gt;=$S108),$V108,$U108)))=Milestones!$AB$174),UPPER(TEXT(EDATE($D108,Milestones!$AA$174),"dd mmm yy"))&amp;" "&amp;Milestones!$AB$174&amp;" "&amp;Milestones!$AC$174&amp;";  ","")&amp;IF(AND(EDATE($D108,Milestones!$AA$175)&lt;=AsOfDate,IF($R108=0,$X108,IF(AND($T108&lt;&gt;"",EDATE($D108,Milestones!$AA$175)&gt;=$T108),$W108,IF(AND($S108&lt;&gt;"",EDATE($D108,Milestones!$AA$175)&gt;=$S108),$V108,$U108)))=Milestones!$AB$175),UPPER(TEXT(EDATE($D108,Milestones!$AA$175),"dd mmm yy"))&amp;" "&amp;Milestones!$AB$175&amp;" "&amp;Milestones!$AC$175&amp;";  ","")&amp;IF(AND(EDATE($D108,Milestones!$AA$176)&lt;=AsOfDate,IF($R108=0,$X108,IF(AND($T108&lt;&gt;"",EDATE($D108,Milestones!$AA$176)&gt;=$T108),$W108,IF(AND($S108&lt;&gt;"",EDATE($D108,Milestones!$AA$176)&gt;=$S108),$V108,$U108)))=Milestones!$AB$176),UPPER(TEXT(EDATE($D108,Milestones!$AA$176),"dd mmm yy"))&amp;" "&amp;Milestones!$AB$176&amp;" "&amp;Milestones!$AC$176&amp;";  ","")&amp;IF(AND(EDATE($D108,Milestones!$AA$177)&lt;=AsOfDate,IF($R108=0,$X108,IF(AND($T108&lt;&gt;"",EDATE($D108,Milestones!$AA$177)&gt;=$T108),$W108,IF(AND($S108&lt;&gt;"",EDATE($D108,Milestones!$AA$177)&gt;=$S108),$V108,$U108)))=Milestones!$AB$177),UPPER(TEXT(EDATE($D108,Milestones!$AA$177),"dd mmm yy"))&amp;" "&amp;Milestones!$AB$177&amp;" "&amp;Milestones!$AC$177&amp;";  ","")&amp;IF(AND(EDATE($D108,Milestones!$AA$178)&lt;=AsOfDate,IF($R108=0,$X108,IF(AND($T108&lt;&gt;"",EDATE($D108,Milestones!$AA$178)&gt;=$T108),$W108,IF(AND($S108&lt;&gt;"",EDATE($D108,Milestones!$AA$178)&gt;=$S108),$V108,$U108)))=Milestones!$AB$178),UPPER(TEXT(EDATE($D108,Milestones!$AA$178),"dd mmm yy"))&amp;" "&amp;Milestones!$AB$178&amp;" "&amp;Milestones!$AC$178&amp;";  ","")&amp;IF(AND(EDATE($D108,Milestones!$AA$179)&lt;=AsOfDate,IF($R108=0,$X108,IF(AND($T108&lt;&gt;"",EDATE($D108,Milestones!$AA$179)&gt;=$T108),$W108,IF(AND($S108&lt;&gt;"",EDATE($D108,Milestones!$AA$179)&gt;=$S108),$V108,$U108)))=Milestones!$AB$179),UPPER(TEXT(EDATE($D108,Milestones!$AA$179),"dd mmm yy"))&amp;" "&amp;Milestones!$AB$179&amp;" "&amp;Milestones!$AC$179&amp;";  ",""))</f>
        <v/>
      </c>
      <c r="Q108" s="0" t="str">
        <f aca="false">IF(OR($A108="",$D108=""),"",IF(AND(EDATE($D108,Milestones!$AA$180)&lt;=AsOfDate,IF($R108=0,$X108,IF(AND($T108&lt;&gt;"",EDATE($D108,Milestones!$AA$180)&gt;=$T108),$W108,IF(AND($S108&lt;&gt;"",EDATE($D108,Milestones!$AA$180)&gt;=$S108),$V108,$U108)))=Milestones!$AB$180),UPPER(TEXT(EDATE($D108,Milestones!$AA$180),"dd mmm yy"))&amp;" "&amp;Milestones!$AB$180&amp;" "&amp;Milestones!$AC$180&amp;";  ","")&amp;IF(AND(EDATE($D108,Milestones!$AA$181)&lt;=AsOfDate,IF($R108=0,$X108,IF(AND($T108&lt;&gt;"",EDATE($D108,Milestones!$AA$181)&gt;=$T108),$W108,IF(AND($S108&lt;&gt;"",EDATE($D108,Milestones!$AA$181)&gt;=$S108),$V108,$U108)))=Milestones!$AB$181),UPPER(TEXT(EDATE($D108,Milestones!$AA$181),"dd mmm yy"))&amp;" "&amp;Milestones!$AB$181&amp;" "&amp;Milestones!$AC$181&amp;";  ","")&amp;IF(AND(EDATE($D108,Milestones!$AA$182)&lt;=AsOfDate,IF($R108=0,$X108,IF(AND($T108&lt;&gt;"",EDATE($D108,Milestones!$AA$182)&gt;=$T108),$W108,IF(AND($S108&lt;&gt;"",EDATE($D108,Milestones!$AA$182)&gt;=$S108),$V108,$U108)))=Milestones!$AB$182),UPPER(TEXT(EDATE($D108,Milestones!$AA$182),"dd mmm yy"))&amp;" "&amp;Milestones!$AB$182&amp;" "&amp;Milestones!$AC$182&amp;";  ","")&amp;IF(AND(EDATE($D108,Milestones!$AA$183)&lt;=AsOfDate,IF($R108=0,$X108,IF(AND($T108&lt;&gt;"",EDATE($D108,Milestones!$AA$183)&gt;=$T108),$W108,IF(AND($S108&lt;&gt;"",EDATE($D108,Milestones!$AA$183)&gt;=$S108),$V108,$U108)))=Milestones!$AB$183),UPPER(TEXT(EDATE($D108,Milestones!$AA$183),"dd mmm yy"))&amp;" "&amp;Milestones!$AB$183&amp;" "&amp;Milestones!$AC$183&amp;";  ","")&amp;IF(AND(EDATE($D108,Milestones!$AA$184)&lt;=AsOfDate,IF($R108=0,$X108,IF(AND($T108&lt;&gt;"",EDATE($D108,Milestones!$AA$184)&gt;=$T108),$W108,IF(AND($S108&lt;&gt;"",EDATE($D108,Milestones!$AA$184)&gt;=$S108),$V108,$U108)))=Milestones!$AB$184),UPPER(TEXT(EDATE($D108,Milestones!$AA$184),"dd mmm yy"))&amp;" "&amp;Milestones!$AB$184&amp;" "&amp;Milestones!$AC$184&amp;";  ","")&amp;IF(AND(EDATE($D108,Milestones!$AA$185)&lt;=AsOfDate,IF($R108=0,$X108,IF(AND($T108&lt;&gt;"",EDATE($D108,Milestones!$AA$185)&gt;=$T108),$W108,IF(AND($S108&lt;&gt;"",EDATE($D108,Milestones!$AA$185)&gt;=$S108),$V108,$U108)))=Milestones!$AB$185),UPPER(TEXT(EDATE($D108,Milestones!$AA$185),"dd mmm yy"))&amp;" "&amp;Milestones!$AB$185&amp;" "&amp;Milestones!$AC$185&amp;";  ","")&amp;IF(AND(EDATE($D108,Milestones!$AA$186)&lt;=AsOfDate,IF($R108=0,$X108,IF(AND($T108&lt;&gt;"",EDATE($D108,Milestones!$AA$186)&gt;=$T108),$W108,IF(AND($S108&lt;&gt;"",EDATE($D108,Milestones!$AA$186)&gt;=$S108),$V108,$U108)))=Milestones!$AB$186),UPPER(TEXT(EDATE($D108,Milestones!$AA$186),"dd mmm yy"))&amp;" "&amp;Milestones!$AB$186&amp;" "&amp;Milestones!$AC$186&amp;";  ","")&amp;IF(AND(EDATE($D108,Milestones!$AA$187)&lt;=AsOfDate,IF($R108=0,$X108,IF(AND($T108&lt;&gt;"",EDATE($D108,Milestones!$AA$187)&gt;=$T108),$W108,IF(AND($S108&lt;&gt;"",EDATE($D108,Milestones!$AA$187)&gt;=$S108),$V108,$U108)))=Milestones!$AB$187),UPPER(TEXT(EDATE($D108,Milestones!$AA$187),"dd mmm yy"))&amp;" "&amp;Milestones!$AB$187&amp;" "&amp;Milestones!$AC$187&amp;";  ","")&amp;IF(AND(EDATE($D108,Milestones!$AA$188)&lt;=AsOfDate,IF($R108=0,$X108,IF(AND($T108&lt;&gt;"",EDATE($D108,Milestones!$AA$188)&gt;=$T108),$W108,IF(AND($S108&lt;&gt;"",EDATE($D108,Milestones!$AA$188)&gt;=$S108),$V108,$U108)))=Milestones!$AB$188),UPPER(TEXT(EDATE($D108,Milestones!$AA$188),"dd mmm yy"))&amp;" "&amp;Milestones!$AB$188&amp;" "&amp;Milestones!$AC$188&amp;";  ","")&amp;IF(AND(EDATE($D108,Milestones!$AA$189)&lt;=AsOfDate,IF($R108=0,$X108,IF(AND($T108&lt;&gt;"",EDATE($D108,Milestones!$AA$189)&gt;=$T108),$W108,IF(AND($S108&lt;&gt;"",EDATE($D108,Milestones!$AA$189)&gt;=$S108),$V108,$U108)))=Milestones!$AB$189),UPPER(TEXT(EDATE($D108,Milestones!$AA$189),"dd mmm yy"))&amp;" "&amp;Milestones!$AB$189&amp;" "&amp;Milestones!$AC$189&amp;";  ","")&amp;IF(AND(EDATE($D108,Milestones!$AA$190)&lt;=AsOfDate,IF($R108=0,$X108,IF(AND($T108&lt;&gt;"",EDATE($D108,Milestones!$AA$190)&gt;=$T108),$W108,IF(AND($S108&lt;&gt;"",EDATE($D108,Milestones!$AA$190)&gt;=$S108),$V108,$U108)))=Milestones!$AB$190),UPPER(TEXT(EDATE($D108,Milestones!$AA$190),"dd mmm yy"))&amp;" "&amp;Milestones!$AB$190&amp;" "&amp;Milestones!$AC$190&amp;";  ","")&amp;IF(AND(EDATE($D108,Milestones!$AA$191)&lt;=AsOfDate,IF($R108=0,$X108,IF(AND($T108&lt;&gt;"",EDATE($D108,Milestones!$AA$191)&gt;=$T108),$W108,IF(AND($S108&lt;&gt;"",EDATE($D108,Milestones!$AA$191)&gt;=$S108),$V108,$U108)))=Milestones!$AB$191),UPPER(TEXT(EDATE($D108,Milestones!$AA$191),"dd mmm yy"))&amp;" "&amp;Milestones!$AB$191&amp;" "&amp;Milestones!$AC$191&amp;";  ","")&amp;IF(AND(EDATE($D108,Milestones!$AA$192)&lt;=AsOfDate,IF($R108=0,$X108,IF(AND($T108&lt;&gt;"",EDATE($D108,Milestones!$AA$192)&gt;=$T108),$W108,IF(AND($S108&lt;&gt;"",EDATE($D108,Milestones!$AA$192)&gt;=$S108),$V108,$U108)))=Milestones!$AB$192),UPPER(TEXT(EDATE($D108,Milestones!$AA$192),"dd mmm yy"))&amp;" "&amp;Milestones!$AB$192&amp;" "&amp;Milestones!$AC$192&amp;";  ","")&amp;IF(AND(EDATE($D108,Milestones!$AA$193)&lt;=AsOfDate,IF($R108=0,$X108,IF(AND($T108&lt;&gt;"",EDATE($D108,Milestones!$AA$193)&gt;=$T108),$W108,IF(AND($S108&lt;&gt;"",EDATE($D108,Milestones!$AA$193)&gt;=$S108),$V108,$U108)))=Milestones!$AB$193),UPPER(TEXT(EDATE($D108,Milestones!$AA$193),"dd mmm yy"))&amp;" "&amp;Milestones!$AB$193&amp;" "&amp;Milestones!$AC$193&amp;";  ","")&amp;IF(AND(EDATE($D108,Milestones!$AA$194)&lt;=AsOfDate,IF($R108=0,$X108,IF(AND($T108&lt;&gt;"",EDATE($D108,Milestones!$AA$194)&gt;=$T108),$W108,IF(AND($S108&lt;&gt;"",EDATE($D108,Milestones!$AA$194)&gt;=$S108),$V108,$U108)))=Milestones!$AB$194),UPPER(TEXT(EDATE($D108,Milestones!$AA$194),"dd mmm yy"))&amp;" "&amp;Milestones!$AB$194&amp;" "&amp;Milestones!$AC$194&amp;";  ","")&amp;IF(AND(EDATE($D108,Milestones!$AA$195)&lt;=AsOfDate,IF($R108=0,$X108,IF(AND($T108&lt;&gt;"",EDATE($D108,Milestones!$AA$195)&gt;=$T108),$W108,IF(AND($S108&lt;&gt;"",EDATE($D108,Milestones!$AA$195)&gt;=$S108),$V108,$U108)))=Milestones!$AB$195),UPPER(TEXT(EDATE($D108,Milestones!$AA$195),"dd mmm yy"))&amp;" "&amp;Milestones!$AB$195&amp;" "&amp;Milestones!$AC$195&amp;";  ","")&amp;IF(AND(EDATE($D108,Milestones!$AA$196)&lt;=AsOfDate,IF($R108=0,$X108,IF(AND($T108&lt;&gt;"",EDATE($D108,Milestones!$AA$196)&gt;=$T108),$W108,IF(AND($S108&lt;&gt;"",EDATE($D108,Milestones!$AA$196)&gt;=$S108),$V108,$U108)))=Milestones!$AB$196),UPPER(TEXT(EDATE($D108,Milestones!$AA$196),"dd mmm yy"))&amp;" "&amp;Milestones!$AB$196&amp;" "&amp;Milestones!$AC$196&amp;";  ","")&amp;IF(AND(EDATE($D108,Milestones!$AA$197)&lt;=AsOfDate,IF($R108=0,$X108,IF(AND($T108&lt;&gt;"",EDATE($D108,Milestones!$AA$197)&gt;=$T108),$W108,IF(AND($S108&lt;&gt;"",EDATE($D108,Milestones!$AA$197)&gt;=$S108),$V108,$U108)))=Milestones!$AB$197),UPPER(TEXT(EDATE($D108,Milestones!$AA$197),"dd mmm yy"))&amp;" "&amp;Milestones!$AB$197&amp;" "&amp;Milestones!$AC$197&amp;";  ","")&amp;IF(AND(EDATE($D108,Milestones!$AA$198)&lt;=AsOfDate,IF($R108=0,$X108,IF(AND($T108&lt;&gt;"",EDATE($D108,Milestones!$AA$198)&gt;=$T108),$W108,IF(AND($S108&lt;&gt;"",EDATE($D108,Milestones!$AA$198)&gt;=$S108),$V108,$U108)))=Milestones!$AB$198),UPPER(TEXT(EDATE($D108,Milestones!$AA$198),"dd mmm yy"))&amp;" "&amp;Milestones!$AB$198&amp;" "&amp;Milestones!$AC$198&amp;";  ","")&amp;IF(AND(EDATE($D108,Milestones!$AA$199)&lt;=AsOfDate,IF($R108=0,$X108,IF(AND($T108&lt;&gt;"",EDATE($D108,Milestones!$AA$199)&gt;=$T108),$W108,IF(AND($S108&lt;&gt;"",EDATE($D108,Milestones!$AA$199)&gt;=$S108),$V108,$U108)))=Milestones!$AB$199),UPPER(TEXT(EDATE($D108,Milestones!$AA$199),"dd mmm yy"))&amp;" "&amp;Milestones!$AB$199&amp;" "&amp;Milestones!$AC$199&amp;";  ",""))</f>
        <v/>
      </c>
      <c r="R108" s="0" t="str">
        <f aca="false">IF(Staff!$A108="","",Staff!$AI108)</f>
        <v/>
      </c>
      <c r="S108" s="0" t="str">
        <f aca="false">IF(Staff!$A108="","",Staff!$AK108)</f>
        <v/>
      </c>
      <c r="T108" s="0" t="str">
        <f aca="false">IF(Staff!$A108="","",Staff!$AL108)</f>
        <v/>
      </c>
      <c r="U108" s="0" t="str">
        <f aca="false">IF(Staff!$A108="","",Staff!$AP108)</f>
        <v/>
      </c>
      <c r="V108" s="0" t="str">
        <f aca="false">IF(Staff!$A108="","",Staff!$AQ108)</f>
        <v/>
      </c>
      <c r="W108" s="0" t="str">
        <f aca="false">IF(Staff!$A108="","",Staff!$AR108)</f>
        <v/>
      </c>
      <c r="X108" s="0" t="str">
        <f aca="false">IF(Staff!$A108="","",Staff!$AS108)</f>
        <v/>
      </c>
    </row>
    <row r="109" customFormat="false" ht="15" hidden="false" customHeight="false" outlineLevel="0" collapsed="false">
      <c r="A109" s="19" t="str">
        <f aca="false">IF(Staff!$A109="","",Staff!$A109)</f>
        <v/>
      </c>
      <c r="B109" s="19" t="str">
        <f aca="false">IF(Staff!$A109="","",Staff!$B109)</f>
        <v/>
      </c>
      <c r="C109" s="19" t="str">
        <f aca="false">IF(Staff!$A109="","",Staff!$C109)</f>
        <v/>
      </c>
      <c r="D109" s="17" t="str">
        <f aca="false">IF(Staff!$A109="","",Staff!$AH109)</f>
        <v/>
      </c>
      <c r="E109" s="19" t="str">
        <f aca="false">IF(Staff!$A109="","",Staff!$O109)</f>
        <v/>
      </c>
      <c r="F109" s="19" t="str">
        <f aca="false">IF(E109="","",E109*HoursPerDay)</f>
        <v/>
      </c>
      <c r="G109" s="19" t="str">
        <f aca="false">IF(Staff!$A109="","",Staff!$AE109)</f>
        <v/>
      </c>
      <c r="H109" s="32" t="str">
        <f aca="false">IF($A109="","",I109&amp;J109&amp;K109&amp;L109&amp;M109&amp;N109&amp;O109&amp;P109&amp;Q109)</f>
        <v/>
      </c>
      <c r="I109" s="0" t="str">
        <f aca="false">IF(OR($A109="",$D109=""),"",IF(AND(EDATE($D109,Milestones!$AA$20)&lt;=AsOfDate,IF($R109=0,$X109,IF(AND($T109&lt;&gt;"",EDATE($D109,Milestones!$AA$20)&gt;=$T109),$W109,IF(AND($S109&lt;&gt;"",EDATE($D109,Milestones!$AA$20)&gt;=$S109),$V109,$U109)))=Milestones!$AB$20),UPPER(TEXT(EDATE($D109,Milestones!$AA$20),"dd mmm yy"))&amp;" "&amp;Milestones!$AB$20&amp;" "&amp;Milestones!$AC$20&amp;";  ","")&amp;IF(AND(EDATE($D109,Milestones!$AA$21)&lt;=AsOfDate,IF($R109=0,$X109,IF(AND($T109&lt;&gt;"",EDATE($D109,Milestones!$AA$21)&gt;=$T109),$W109,IF(AND($S109&lt;&gt;"",EDATE($D109,Milestones!$AA$21)&gt;=$S109),$V109,$U109)))=Milestones!$AB$21),UPPER(TEXT(EDATE($D109,Milestones!$AA$21),"dd mmm yy"))&amp;" "&amp;Milestones!$AB$21&amp;" "&amp;Milestones!$AC$21&amp;";  ","")&amp;IF(AND(EDATE($D109,Milestones!$AA$22)&lt;=AsOfDate,IF($R109=0,$X109,IF(AND($T109&lt;&gt;"",EDATE($D109,Milestones!$AA$22)&gt;=$T109),$W109,IF(AND($S109&lt;&gt;"",EDATE($D109,Milestones!$AA$22)&gt;=$S109),$V109,$U109)))=Milestones!$AB$22),UPPER(TEXT(EDATE($D109,Milestones!$AA$22),"dd mmm yy"))&amp;" "&amp;Milestones!$AB$22&amp;" "&amp;Milestones!$AC$22&amp;";  ","")&amp;IF(AND(EDATE($D109,Milestones!$AA$23)&lt;=AsOfDate,IF($R109=0,$X109,IF(AND($T109&lt;&gt;"",EDATE($D109,Milestones!$AA$23)&gt;=$T109),$W109,IF(AND($S109&lt;&gt;"",EDATE($D109,Milestones!$AA$23)&gt;=$S109),$V109,$U109)))=Milestones!$AB$23),UPPER(TEXT(EDATE($D109,Milestones!$AA$23),"dd mmm yy"))&amp;" "&amp;Milestones!$AB$23&amp;" "&amp;Milestones!$AC$23&amp;";  ","")&amp;IF(AND(EDATE($D109,Milestones!$AA$24)&lt;=AsOfDate,IF($R109=0,$X109,IF(AND($T109&lt;&gt;"",EDATE($D109,Milestones!$AA$24)&gt;=$T109),$W109,IF(AND($S109&lt;&gt;"",EDATE($D109,Milestones!$AA$24)&gt;=$S109),$V109,$U109)))=Milestones!$AB$24),UPPER(TEXT(EDATE($D109,Milestones!$AA$24),"dd mmm yy"))&amp;" "&amp;Milestones!$AB$24&amp;" "&amp;Milestones!$AC$24&amp;";  ","")&amp;IF(AND(EDATE($D109,Milestones!$AA$25)&lt;=AsOfDate,IF($R109=0,$X109,IF(AND($T109&lt;&gt;"",EDATE($D109,Milestones!$AA$25)&gt;=$T109),$W109,IF(AND($S109&lt;&gt;"",EDATE($D109,Milestones!$AA$25)&gt;=$S109),$V109,$U109)))=Milestones!$AB$25),UPPER(TEXT(EDATE($D109,Milestones!$AA$25),"dd mmm yy"))&amp;" "&amp;Milestones!$AB$25&amp;" "&amp;Milestones!$AC$25&amp;";  ","")&amp;IF(AND(EDATE($D109,Milestones!$AA$26)&lt;=AsOfDate,IF($R109=0,$X109,IF(AND($T109&lt;&gt;"",EDATE($D109,Milestones!$AA$26)&gt;=$T109),$W109,IF(AND($S109&lt;&gt;"",EDATE($D109,Milestones!$AA$26)&gt;=$S109),$V109,$U109)))=Milestones!$AB$26),UPPER(TEXT(EDATE($D109,Milestones!$AA$26),"dd mmm yy"))&amp;" "&amp;Milestones!$AB$26&amp;" "&amp;Milestones!$AC$26&amp;";  ","")&amp;IF(AND(EDATE($D109,Milestones!$AA$27)&lt;=AsOfDate,IF($R109=0,$X109,IF(AND($T109&lt;&gt;"",EDATE($D109,Milestones!$AA$27)&gt;=$T109),$W109,IF(AND($S109&lt;&gt;"",EDATE($D109,Milestones!$AA$27)&gt;=$S109),$V109,$U109)))=Milestones!$AB$27),UPPER(TEXT(EDATE($D109,Milestones!$AA$27),"dd mmm yy"))&amp;" "&amp;Milestones!$AB$27&amp;" "&amp;Milestones!$AC$27&amp;";  ","")&amp;IF(AND(EDATE($D109,Milestones!$AA$28)&lt;=AsOfDate,IF($R109=0,$X109,IF(AND($T109&lt;&gt;"",EDATE($D109,Milestones!$AA$28)&gt;=$T109),$W109,IF(AND($S109&lt;&gt;"",EDATE($D109,Milestones!$AA$28)&gt;=$S109),$V109,$U109)))=Milestones!$AB$28),UPPER(TEXT(EDATE($D109,Milestones!$AA$28),"dd mmm yy"))&amp;" "&amp;Milestones!$AB$28&amp;" "&amp;Milestones!$AC$28&amp;";  ","")&amp;IF(AND(EDATE($D109,Milestones!$AA$29)&lt;=AsOfDate,IF($R109=0,$X109,IF(AND($T109&lt;&gt;"",EDATE($D109,Milestones!$AA$29)&gt;=$T109),$W109,IF(AND($S109&lt;&gt;"",EDATE($D109,Milestones!$AA$29)&gt;=$S109),$V109,$U109)))=Milestones!$AB$29),UPPER(TEXT(EDATE($D109,Milestones!$AA$29),"dd mmm yy"))&amp;" "&amp;Milestones!$AB$29&amp;" "&amp;Milestones!$AC$29&amp;";  ","")&amp;IF(AND(EDATE($D109,Milestones!$AA$30)&lt;=AsOfDate,IF($R109=0,$X109,IF(AND($T109&lt;&gt;"",EDATE($D109,Milestones!$AA$30)&gt;=$T109),$W109,IF(AND($S109&lt;&gt;"",EDATE($D109,Milestones!$AA$30)&gt;=$S109),$V109,$U109)))=Milestones!$AB$30),UPPER(TEXT(EDATE($D109,Milestones!$AA$30),"dd mmm yy"))&amp;" "&amp;Milestones!$AB$30&amp;" "&amp;Milestones!$AC$30&amp;";  ","")&amp;IF(AND(EDATE($D109,Milestones!$AA$31)&lt;=AsOfDate,IF($R109=0,$X109,IF(AND($T109&lt;&gt;"",EDATE($D109,Milestones!$AA$31)&gt;=$T109),$W109,IF(AND($S109&lt;&gt;"",EDATE($D109,Milestones!$AA$31)&gt;=$S109),$V109,$U109)))=Milestones!$AB$31),UPPER(TEXT(EDATE($D109,Milestones!$AA$31),"dd mmm yy"))&amp;" "&amp;Milestones!$AB$31&amp;" "&amp;Milestones!$AC$31&amp;";  ","")&amp;IF(AND(EDATE($D109,Milestones!$AA$32)&lt;=AsOfDate,IF($R109=0,$X109,IF(AND($T109&lt;&gt;"",EDATE($D109,Milestones!$AA$32)&gt;=$T109),$W109,IF(AND($S109&lt;&gt;"",EDATE($D109,Milestones!$AA$32)&gt;=$S109),$V109,$U109)))=Milestones!$AB$32),UPPER(TEXT(EDATE($D109,Milestones!$AA$32),"dd mmm yy"))&amp;" "&amp;Milestones!$AB$32&amp;" "&amp;Milestones!$AC$32&amp;";  ","")&amp;IF(AND(EDATE($D109,Milestones!$AA$33)&lt;=AsOfDate,IF($R109=0,$X109,IF(AND($T109&lt;&gt;"",EDATE($D109,Milestones!$AA$33)&gt;=$T109),$W109,IF(AND($S109&lt;&gt;"",EDATE($D109,Milestones!$AA$33)&gt;=$S109),$V109,$U109)))=Milestones!$AB$33),UPPER(TEXT(EDATE($D109,Milestones!$AA$33),"dd mmm yy"))&amp;" "&amp;Milestones!$AB$33&amp;" "&amp;Milestones!$AC$33&amp;";  ","")&amp;IF(AND(EDATE($D109,Milestones!$AA$34)&lt;=AsOfDate,IF($R109=0,$X109,IF(AND($T109&lt;&gt;"",EDATE($D109,Milestones!$AA$34)&gt;=$T109),$W109,IF(AND($S109&lt;&gt;"",EDATE($D109,Milestones!$AA$34)&gt;=$S109),$V109,$U109)))=Milestones!$AB$34),UPPER(TEXT(EDATE($D109,Milestones!$AA$34),"dd mmm yy"))&amp;" "&amp;Milestones!$AB$34&amp;" "&amp;Milestones!$AC$34&amp;";  ","")&amp;IF(AND(EDATE($D109,Milestones!$AA$35)&lt;=AsOfDate,IF($R109=0,$X109,IF(AND($T109&lt;&gt;"",EDATE($D109,Milestones!$AA$35)&gt;=$T109),$W109,IF(AND($S109&lt;&gt;"",EDATE($D109,Milestones!$AA$35)&gt;=$S109),$V109,$U109)))=Milestones!$AB$35),UPPER(TEXT(EDATE($D109,Milestones!$AA$35),"dd mmm yy"))&amp;" "&amp;Milestones!$AB$35&amp;" "&amp;Milestones!$AC$35&amp;";  ","")&amp;IF(AND(EDATE($D109,Milestones!$AA$36)&lt;=AsOfDate,IF($R109=0,$X109,IF(AND($T109&lt;&gt;"",EDATE($D109,Milestones!$AA$36)&gt;=$T109),$W109,IF(AND($S109&lt;&gt;"",EDATE($D109,Milestones!$AA$36)&gt;=$S109),$V109,$U109)))=Milestones!$AB$36),UPPER(TEXT(EDATE($D109,Milestones!$AA$36),"dd mmm yy"))&amp;" "&amp;Milestones!$AB$36&amp;" "&amp;Milestones!$AC$36&amp;";  ","")&amp;IF(AND(EDATE($D109,Milestones!$AA$37)&lt;=AsOfDate,IF($R109=0,$X109,IF(AND($T109&lt;&gt;"",EDATE($D109,Milestones!$AA$37)&gt;=$T109),$W109,IF(AND($S109&lt;&gt;"",EDATE($D109,Milestones!$AA$37)&gt;=$S109),$V109,$U109)))=Milestones!$AB$37),UPPER(TEXT(EDATE($D109,Milestones!$AA$37),"dd mmm yy"))&amp;" "&amp;Milestones!$AB$37&amp;" "&amp;Milestones!$AC$37&amp;";  ","")&amp;IF(AND(EDATE($D109,Milestones!$AA$38)&lt;=AsOfDate,IF($R109=0,$X109,IF(AND($T109&lt;&gt;"",EDATE($D109,Milestones!$AA$38)&gt;=$T109),$W109,IF(AND($S109&lt;&gt;"",EDATE($D109,Milestones!$AA$38)&gt;=$S109),$V109,$U109)))=Milestones!$AB$38),UPPER(TEXT(EDATE($D109,Milestones!$AA$38),"dd mmm yy"))&amp;" "&amp;Milestones!$AB$38&amp;" "&amp;Milestones!$AC$38&amp;";  ","")&amp;IF(AND(EDATE($D109,Milestones!$AA$39)&lt;=AsOfDate,IF($R109=0,$X109,IF(AND($T109&lt;&gt;"",EDATE($D109,Milestones!$AA$39)&gt;=$T109),$W109,IF(AND($S109&lt;&gt;"",EDATE($D109,Milestones!$AA$39)&gt;=$S109),$V109,$U109)))=Milestones!$AB$39),UPPER(TEXT(EDATE($D109,Milestones!$AA$39),"dd mmm yy"))&amp;" "&amp;Milestones!$AB$39&amp;" "&amp;Milestones!$AC$39&amp;";  ",""))</f>
        <v/>
      </c>
      <c r="J109" s="0" t="str">
        <f aca="false">IF(OR($A109="",$D109=""),"",IF(AND(EDATE($D109,Milestones!$AA$40)&lt;=AsOfDate,IF($R109=0,$X109,IF(AND($T109&lt;&gt;"",EDATE($D109,Milestones!$AA$40)&gt;=$T109),$W109,IF(AND($S109&lt;&gt;"",EDATE($D109,Milestones!$AA$40)&gt;=$S109),$V109,$U109)))=Milestones!$AB$40),UPPER(TEXT(EDATE($D109,Milestones!$AA$40),"dd mmm yy"))&amp;" "&amp;Milestones!$AB$40&amp;" "&amp;Milestones!$AC$40&amp;";  ","")&amp;IF(AND(EDATE($D109,Milestones!$AA$41)&lt;=AsOfDate,IF($R109=0,$X109,IF(AND($T109&lt;&gt;"",EDATE($D109,Milestones!$AA$41)&gt;=$T109),$W109,IF(AND($S109&lt;&gt;"",EDATE($D109,Milestones!$AA$41)&gt;=$S109),$V109,$U109)))=Milestones!$AB$41),UPPER(TEXT(EDATE($D109,Milestones!$AA$41),"dd mmm yy"))&amp;" "&amp;Milestones!$AB$41&amp;" "&amp;Milestones!$AC$41&amp;";  ","")&amp;IF(AND(EDATE($D109,Milestones!$AA$42)&lt;=AsOfDate,IF($R109=0,$X109,IF(AND($T109&lt;&gt;"",EDATE($D109,Milestones!$AA$42)&gt;=$T109),$W109,IF(AND($S109&lt;&gt;"",EDATE($D109,Milestones!$AA$42)&gt;=$S109),$V109,$U109)))=Milestones!$AB$42),UPPER(TEXT(EDATE($D109,Milestones!$AA$42),"dd mmm yy"))&amp;" "&amp;Milestones!$AB$42&amp;" "&amp;Milestones!$AC$42&amp;";  ","")&amp;IF(AND(EDATE($D109,Milestones!$AA$43)&lt;=AsOfDate,IF($R109=0,$X109,IF(AND($T109&lt;&gt;"",EDATE($D109,Milestones!$AA$43)&gt;=$T109),$W109,IF(AND($S109&lt;&gt;"",EDATE($D109,Milestones!$AA$43)&gt;=$S109),$V109,$U109)))=Milestones!$AB$43),UPPER(TEXT(EDATE($D109,Milestones!$AA$43),"dd mmm yy"))&amp;" "&amp;Milestones!$AB$43&amp;" "&amp;Milestones!$AC$43&amp;";  ","")&amp;IF(AND(EDATE($D109,Milestones!$AA$44)&lt;=AsOfDate,IF($R109=0,$X109,IF(AND($T109&lt;&gt;"",EDATE($D109,Milestones!$AA$44)&gt;=$T109),$W109,IF(AND($S109&lt;&gt;"",EDATE($D109,Milestones!$AA$44)&gt;=$S109),$V109,$U109)))=Milestones!$AB$44),UPPER(TEXT(EDATE($D109,Milestones!$AA$44),"dd mmm yy"))&amp;" "&amp;Milestones!$AB$44&amp;" "&amp;Milestones!$AC$44&amp;";  ","")&amp;IF(AND(EDATE($D109,Milestones!$AA$45)&lt;=AsOfDate,IF($R109=0,$X109,IF(AND($T109&lt;&gt;"",EDATE($D109,Milestones!$AA$45)&gt;=$T109),$W109,IF(AND($S109&lt;&gt;"",EDATE($D109,Milestones!$AA$45)&gt;=$S109),$V109,$U109)))=Milestones!$AB$45),UPPER(TEXT(EDATE($D109,Milestones!$AA$45),"dd mmm yy"))&amp;" "&amp;Milestones!$AB$45&amp;" "&amp;Milestones!$AC$45&amp;";  ","")&amp;IF(AND(EDATE($D109,Milestones!$AA$46)&lt;=AsOfDate,IF($R109=0,$X109,IF(AND($T109&lt;&gt;"",EDATE($D109,Milestones!$AA$46)&gt;=$T109),$W109,IF(AND($S109&lt;&gt;"",EDATE($D109,Milestones!$AA$46)&gt;=$S109),$V109,$U109)))=Milestones!$AB$46),UPPER(TEXT(EDATE($D109,Milestones!$AA$46),"dd mmm yy"))&amp;" "&amp;Milestones!$AB$46&amp;" "&amp;Milestones!$AC$46&amp;";  ","")&amp;IF(AND(EDATE($D109,Milestones!$AA$47)&lt;=AsOfDate,IF($R109=0,$X109,IF(AND($T109&lt;&gt;"",EDATE($D109,Milestones!$AA$47)&gt;=$T109),$W109,IF(AND($S109&lt;&gt;"",EDATE($D109,Milestones!$AA$47)&gt;=$S109),$V109,$U109)))=Milestones!$AB$47),UPPER(TEXT(EDATE($D109,Milestones!$AA$47),"dd mmm yy"))&amp;" "&amp;Milestones!$AB$47&amp;" "&amp;Milestones!$AC$47&amp;";  ","")&amp;IF(AND(EDATE($D109,Milestones!$AA$48)&lt;=AsOfDate,IF($R109=0,$X109,IF(AND($T109&lt;&gt;"",EDATE($D109,Milestones!$AA$48)&gt;=$T109),$W109,IF(AND($S109&lt;&gt;"",EDATE($D109,Milestones!$AA$48)&gt;=$S109),$V109,$U109)))=Milestones!$AB$48),UPPER(TEXT(EDATE($D109,Milestones!$AA$48),"dd mmm yy"))&amp;" "&amp;Milestones!$AB$48&amp;" "&amp;Milestones!$AC$48&amp;";  ","")&amp;IF(AND(EDATE($D109,Milestones!$AA$49)&lt;=AsOfDate,IF($R109=0,$X109,IF(AND($T109&lt;&gt;"",EDATE($D109,Milestones!$AA$49)&gt;=$T109),$W109,IF(AND($S109&lt;&gt;"",EDATE($D109,Milestones!$AA$49)&gt;=$S109),$V109,$U109)))=Milestones!$AB$49),UPPER(TEXT(EDATE($D109,Milestones!$AA$49),"dd mmm yy"))&amp;" "&amp;Milestones!$AB$49&amp;" "&amp;Milestones!$AC$49&amp;";  ","")&amp;IF(AND(EDATE($D109,Milestones!$AA$50)&lt;=AsOfDate,IF($R109=0,$X109,IF(AND($T109&lt;&gt;"",EDATE($D109,Milestones!$AA$50)&gt;=$T109),$W109,IF(AND($S109&lt;&gt;"",EDATE($D109,Milestones!$AA$50)&gt;=$S109),$V109,$U109)))=Milestones!$AB$50),UPPER(TEXT(EDATE($D109,Milestones!$AA$50),"dd mmm yy"))&amp;" "&amp;Milestones!$AB$50&amp;" "&amp;Milestones!$AC$50&amp;";  ","")&amp;IF(AND(EDATE($D109,Milestones!$AA$51)&lt;=AsOfDate,IF($R109=0,$X109,IF(AND($T109&lt;&gt;"",EDATE($D109,Milestones!$AA$51)&gt;=$T109),$W109,IF(AND($S109&lt;&gt;"",EDATE($D109,Milestones!$AA$51)&gt;=$S109),$V109,$U109)))=Milestones!$AB$51),UPPER(TEXT(EDATE($D109,Milestones!$AA$51),"dd mmm yy"))&amp;" "&amp;Milestones!$AB$51&amp;" "&amp;Milestones!$AC$51&amp;";  ","")&amp;IF(AND(EDATE($D109,Milestones!$AA$52)&lt;=AsOfDate,IF($R109=0,$X109,IF(AND($T109&lt;&gt;"",EDATE($D109,Milestones!$AA$52)&gt;=$T109),$W109,IF(AND($S109&lt;&gt;"",EDATE($D109,Milestones!$AA$52)&gt;=$S109),$V109,$U109)))=Milestones!$AB$52),UPPER(TEXT(EDATE($D109,Milestones!$AA$52),"dd mmm yy"))&amp;" "&amp;Milestones!$AB$52&amp;" "&amp;Milestones!$AC$52&amp;";  ","")&amp;IF(AND(EDATE($D109,Milestones!$AA$53)&lt;=AsOfDate,IF($R109=0,$X109,IF(AND($T109&lt;&gt;"",EDATE($D109,Milestones!$AA$53)&gt;=$T109),$W109,IF(AND($S109&lt;&gt;"",EDATE($D109,Milestones!$AA$53)&gt;=$S109),$V109,$U109)))=Milestones!$AB$53),UPPER(TEXT(EDATE($D109,Milestones!$AA$53),"dd mmm yy"))&amp;" "&amp;Milestones!$AB$53&amp;" "&amp;Milestones!$AC$53&amp;";  ","")&amp;IF(AND(EDATE($D109,Milestones!$AA$54)&lt;=AsOfDate,IF($R109=0,$X109,IF(AND($T109&lt;&gt;"",EDATE($D109,Milestones!$AA$54)&gt;=$T109),$W109,IF(AND($S109&lt;&gt;"",EDATE($D109,Milestones!$AA$54)&gt;=$S109),$V109,$U109)))=Milestones!$AB$54),UPPER(TEXT(EDATE($D109,Milestones!$AA$54),"dd mmm yy"))&amp;" "&amp;Milestones!$AB$54&amp;" "&amp;Milestones!$AC$54&amp;";  ","")&amp;IF(AND(EDATE($D109,Milestones!$AA$55)&lt;=AsOfDate,IF($R109=0,$X109,IF(AND($T109&lt;&gt;"",EDATE($D109,Milestones!$AA$55)&gt;=$T109),$W109,IF(AND($S109&lt;&gt;"",EDATE($D109,Milestones!$AA$55)&gt;=$S109),$V109,$U109)))=Milestones!$AB$55),UPPER(TEXT(EDATE($D109,Milestones!$AA$55),"dd mmm yy"))&amp;" "&amp;Milestones!$AB$55&amp;" "&amp;Milestones!$AC$55&amp;";  ","")&amp;IF(AND(EDATE($D109,Milestones!$AA$56)&lt;=AsOfDate,IF($R109=0,$X109,IF(AND($T109&lt;&gt;"",EDATE($D109,Milestones!$AA$56)&gt;=$T109),$W109,IF(AND($S109&lt;&gt;"",EDATE($D109,Milestones!$AA$56)&gt;=$S109),$V109,$U109)))=Milestones!$AB$56),UPPER(TEXT(EDATE($D109,Milestones!$AA$56),"dd mmm yy"))&amp;" "&amp;Milestones!$AB$56&amp;" "&amp;Milestones!$AC$56&amp;";  ","")&amp;IF(AND(EDATE($D109,Milestones!$AA$57)&lt;=AsOfDate,IF($R109=0,$X109,IF(AND($T109&lt;&gt;"",EDATE($D109,Milestones!$AA$57)&gt;=$T109),$W109,IF(AND($S109&lt;&gt;"",EDATE($D109,Milestones!$AA$57)&gt;=$S109),$V109,$U109)))=Milestones!$AB$57),UPPER(TEXT(EDATE($D109,Milestones!$AA$57),"dd mmm yy"))&amp;" "&amp;Milestones!$AB$57&amp;" "&amp;Milestones!$AC$57&amp;";  ","")&amp;IF(AND(EDATE($D109,Milestones!$AA$58)&lt;=AsOfDate,IF($R109=0,$X109,IF(AND($T109&lt;&gt;"",EDATE($D109,Milestones!$AA$58)&gt;=$T109),$W109,IF(AND($S109&lt;&gt;"",EDATE($D109,Milestones!$AA$58)&gt;=$S109),$V109,$U109)))=Milestones!$AB$58),UPPER(TEXT(EDATE($D109,Milestones!$AA$58),"dd mmm yy"))&amp;" "&amp;Milestones!$AB$58&amp;" "&amp;Milestones!$AC$58&amp;";  ","")&amp;IF(AND(EDATE($D109,Milestones!$AA$59)&lt;=AsOfDate,IF($R109=0,$X109,IF(AND($T109&lt;&gt;"",EDATE($D109,Milestones!$AA$59)&gt;=$T109),$W109,IF(AND($S109&lt;&gt;"",EDATE($D109,Milestones!$AA$59)&gt;=$S109),$V109,$U109)))=Milestones!$AB$59),UPPER(TEXT(EDATE($D109,Milestones!$AA$59),"dd mmm yy"))&amp;" "&amp;Milestones!$AB$59&amp;" "&amp;Milestones!$AC$59&amp;";  ",""))</f>
        <v/>
      </c>
      <c r="K109" s="0" t="str">
        <f aca="false">IF(OR($A109="",$D109=""),"",IF(AND(EDATE($D109,Milestones!$AA$60)&lt;=AsOfDate,IF($R109=0,$X109,IF(AND($T109&lt;&gt;"",EDATE($D109,Milestones!$AA$60)&gt;=$T109),$W109,IF(AND($S109&lt;&gt;"",EDATE($D109,Milestones!$AA$60)&gt;=$S109),$V109,$U109)))=Milestones!$AB$60),UPPER(TEXT(EDATE($D109,Milestones!$AA$60),"dd mmm yy"))&amp;" "&amp;Milestones!$AB$60&amp;" "&amp;Milestones!$AC$60&amp;";  ","")&amp;IF(AND(EDATE($D109,Milestones!$AA$61)&lt;=AsOfDate,IF($R109=0,$X109,IF(AND($T109&lt;&gt;"",EDATE($D109,Milestones!$AA$61)&gt;=$T109),$W109,IF(AND($S109&lt;&gt;"",EDATE($D109,Milestones!$AA$61)&gt;=$S109),$V109,$U109)))=Milestones!$AB$61),UPPER(TEXT(EDATE($D109,Milestones!$AA$61),"dd mmm yy"))&amp;" "&amp;Milestones!$AB$61&amp;" "&amp;Milestones!$AC$61&amp;";  ","")&amp;IF(AND(EDATE($D109,Milestones!$AA$62)&lt;=AsOfDate,IF($R109=0,$X109,IF(AND($T109&lt;&gt;"",EDATE($D109,Milestones!$AA$62)&gt;=$T109),$W109,IF(AND($S109&lt;&gt;"",EDATE($D109,Milestones!$AA$62)&gt;=$S109),$V109,$U109)))=Milestones!$AB$62),UPPER(TEXT(EDATE($D109,Milestones!$AA$62),"dd mmm yy"))&amp;" "&amp;Milestones!$AB$62&amp;" "&amp;Milestones!$AC$62&amp;";  ","")&amp;IF(AND(EDATE($D109,Milestones!$AA$63)&lt;=AsOfDate,IF($R109=0,$X109,IF(AND($T109&lt;&gt;"",EDATE($D109,Milestones!$AA$63)&gt;=$T109),$W109,IF(AND($S109&lt;&gt;"",EDATE($D109,Milestones!$AA$63)&gt;=$S109),$V109,$U109)))=Milestones!$AB$63),UPPER(TEXT(EDATE($D109,Milestones!$AA$63),"dd mmm yy"))&amp;" "&amp;Milestones!$AB$63&amp;" "&amp;Milestones!$AC$63&amp;";  ","")&amp;IF(AND(EDATE($D109,Milestones!$AA$64)&lt;=AsOfDate,IF($R109=0,$X109,IF(AND($T109&lt;&gt;"",EDATE($D109,Milestones!$AA$64)&gt;=$T109),$W109,IF(AND($S109&lt;&gt;"",EDATE($D109,Milestones!$AA$64)&gt;=$S109),$V109,$U109)))=Milestones!$AB$64),UPPER(TEXT(EDATE($D109,Milestones!$AA$64),"dd mmm yy"))&amp;" "&amp;Milestones!$AB$64&amp;" "&amp;Milestones!$AC$64&amp;";  ","")&amp;IF(AND(EDATE($D109,Milestones!$AA$65)&lt;=AsOfDate,IF($R109=0,$X109,IF(AND($T109&lt;&gt;"",EDATE($D109,Milestones!$AA$65)&gt;=$T109),$W109,IF(AND($S109&lt;&gt;"",EDATE($D109,Milestones!$AA$65)&gt;=$S109),$V109,$U109)))=Milestones!$AB$65),UPPER(TEXT(EDATE($D109,Milestones!$AA$65),"dd mmm yy"))&amp;" "&amp;Milestones!$AB$65&amp;" "&amp;Milestones!$AC$65&amp;";  ","")&amp;IF(AND(EDATE($D109,Milestones!$AA$66)&lt;=AsOfDate,IF($R109=0,$X109,IF(AND($T109&lt;&gt;"",EDATE($D109,Milestones!$AA$66)&gt;=$T109),$W109,IF(AND($S109&lt;&gt;"",EDATE($D109,Milestones!$AA$66)&gt;=$S109),$V109,$U109)))=Milestones!$AB$66),UPPER(TEXT(EDATE($D109,Milestones!$AA$66),"dd mmm yy"))&amp;" "&amp;Milestones!$AB$66&amp;" "&amp;Milestones!$AC$66&amp;";  ","")&amp;IF(AND(EDATE($D109,Milestones!$AA$67)&lt;=AsOfDate,IF($R109=0,$X109,IF(AND($T109&lt;&gt;"",EDATE($D109,Milestones!$AA$67)&gt;=$T109),$W109,IF(AND($S109&lt;&gt;"",EDATE($D109,Milestones!$AA$67)&gt;=$S109),$V109,$U109)))=Milestones!$AB$67),UPPER(TEXT(EDATE($D109,Milestones!$AA$67),"dd mmm yy"))&amp;" "&amp;Milestones!$AB$67&amp;" "&amp;Milestones!$AC$67&amp;";  ","")&amp;IF(AND(EDATE($D109,Milestones!$AA$68)&lt;=AsOfDate,IF($R109=0,$X109,IF(AND($T109&lt;&gt;"",EDATE($D109,Milestones!$AA$68)&gt;=$T109),$W109,IF(AND($S109&lt;&gt;"",EDATE($D109,Milestones!$AA$68)&gt;=$S109),$V109,$U109)))=Milestones!$AB$68),UPPER(TEXT(EDATE($D109,Milestones!$AA$68),"dd mmm yy"))&amp;" "&amp;Milestones!$AB$68&amp;" "&amp;Milestones!$AC$68&amp;";  ","")&amp;IF(AND(EDATE($D109,Milestones!$AA$69)&lt;=AsOfDate,IF($R109=0,$X109,IF(AND($T109&lt;&gt;"",EDATE($D109,Milestones!$AA$69)&gt;=$T109),$W109,IF(AND($S109&lt;&gt;"",EDATE($D109,Milestones!$AA$69)&gt;=$S109),$V109,$U109)))=Milestones!$AB$69),UPPER(TEXT(EDATE($D109,Milestones!$AA$69),"dd mmm yy"))&amp;" "&amp;Milestones!$AB$69&amp;" "&amp;Milestones!$AC$69&amp;";  ","")&amp;IF(AND(EDATE($D109,Milestones!$AA$70)&lt;=AsOfDate,IF($R109=0,$X109,IF(AND($T109&lt;&gt;"",EDATE($D109,Milestones!$AA$70)&gt;=$T109),$W109,IF(AND($S109&lt;&gt;"",EDATE($D109,Milestones!$AA$70)&gt;=$S109),$V109,$U109)))=Milestones!$AB$70),UPPER(TEXT(EDATE($D109,Milestones!$AA$70),"dd mmm yy"))&amp;" "&amp;Milestones!$AB$70&amp;" "&amp;Milestones!$AC$70&amp;";  ","")&amp;IF(AND(EDATE($D109,Milestones!$AA$71)&lt;=AsOfDate,IF($R109=0,$X109,IF(AND($T109&lt;&gt;"",EDATE($D109,Milestones!$AA$71)&gt;=$T109),$W109,IF(AND($S109&lt;&gt;"",EDATE($D109,Milestones!$AA$71)&gt;=$S109),$V109,$U109)))=Milestones!$AB$71),UPPER(TEXT(EDATE($D109,Milestones!$AA$71),"dd mmm yy"))&amp;" "&amp;Milestones!$AB$71&amp;" "&amp;Milestones!$AC$71&amp;";  ","")&amp;IF(AND(EDATE($D109,Milestones!$AA$72)&lt;=AsOfDate,IF($R109=0,$X109,IF(AND($T109&lt;&gt;"",EDATE($D109,Milestones!$AA$72)&gt;=$T109),$W109,IF(AND($S109&lt;&gt;"",EDATE($D109,Milestones!$AA$72)&gt;=$S109),$V109,$U109)))=Milestones!$AB$72),UPPER(TEXT(EDATE($D109,Milestones!$AA$72),"dd mmm yy"))&amp;" "&amp;Milestones!$AB$72&amp;" "&amp;Milestones!$AC$72&amp;";  ","")&amp;IF(AND(EDATE($D109,Milestones!$AA$73)&lt;=AsOfDate,IF($R109=0,$X109,IF(AND($T109&lt;&gt;"",EDATE($D109,Milestones!$AA$73)&gt;=$T109),$W109,IF(AND($S109&lt;&gt;"",EDATE($D109,Milestones!$AA$73)&gt;=$S109),$V109,$U109)))=Milestones!$AB$73),UPPER(TEXT(EDATE($D109,Milestones!$AA$73),"dd mmm yy"))&amp;" "&amp;Milestones!$AB$73&amp;" "&amp;Milestones!$AC$73&amp;";  ","")&amp;IF(AND(EDATE($D109,Milestones!$AA$74)&lt;=AsOfDate,IF($R109=0,$X109,IF(AND($T109&lt;&gt;"",EDATE($D109,Milestones!$AA$74)&gt;=$T109),$W109,IF(AND($S109&lt;&gt;"",EDATE($D109,Milestones!$AA$74)&gt;=$S109),$V109,$U109)))=Milestones!$AB$74),UPPER(TEXT(EDATE($D109,Milestones!$AA$74),"dd mmm yy"))&amp;" "&amp;Milestones!$AB$74&amp;" "&amp;Milestones!$AC$74&amp;";  ","")&amp;IF(AND(EDATE($D109,Milestones!$AA$75)&lt;=AsOfDate,IF($R109=0,$X109,IF(AND($T109&lt;&gt;"",EDATE($D109,Milestones!$AA$75)&gt;=$T109),$W109,IF(AND($S109&lt;&gt;"",EDATE($D109,Milestones!$AA$75)&gt;=$S109),$V109,$U109)))=Milestones!$AB$75),UPPER(TEXT(EDATE($D109,Milestones!$AA$75),"dd mmm yy"))&amp;" "&amp;Milestones!$AB$75&amp;" "&amp;Milestones!$AC$75&amp;";  ","")&amp;IF(AND(EDATE($D109,Milestones!$AA$76)&lt;=AsOfDate,IF($R109=0,$X109,IF(AND($T109&lt;&gt;"",EDATE($D109,Milestones!$AA$76)&gt;=$T109),$W109,IF(AND($S109&lt;&gt;"",EDATE($D109,Milestones!$AA$76)&gt;=$S109),$V109,$U109)))=Milestones!$AB$76),UPPER(TEXT(EDATE($D109,Milestones!$AA$76),"dd mmm yy"))&amp;" "&amp;Milestones!$AB$76&amp;" "&amp;Milestones!$AC$76&amp;";  ","")&amp;IF(AND(EDATE($D109,Milestones!$AA$77)&lt;=AsOfDate,IF($R109=0,$X109,IF(AND($T109&lt;&gt;"",EDATE($D109,Milestones!$AA$77)&gt;=$T109),$W109,IF(AND($S109&lt;&gt;"",EDATE($D109,Milestones!$AA$77)&gt;=$S109),$V109,$U109)))=Milestones!$AB$77),UPPER(TEXT(EDATE($D109,Milestones!$AA$77),"dd mmm yy"))&amp;" "&amp;Milestones!$AB$77&amp;" "&amp;Milestones!$AC$77&amp;";  ","")&amp;IF(AND(EDATE($D109,Milestones!$AA$78)&lt;=AsOfDate,IF($R109=0,$X109,IF(AND($T109&lt;&gt;"",EDATE($D109,Milestones!$AA$78)&gt;=$T109),$W109,IF(AND($S109&lt;&gt;"",EDATE($D109,Milestones!$AA$78)&gt;=$S109),$V109,$U109)))=Milestones!$AB$78),UPPER(TEXT(EDATE($D109,Milestones!$AA$78),"dd mmm yy"))&amp;" "&amp;Milestones!$AB$78&amp;" "&amp;Milestones!$AC$78&amp;";  ","")&amp;IF(AND(EDATE($D109,Milestones!$AA$79)&lt;=AsOfDate,IF($R109=0,$X109,IF(AND($T109&lt;&gt;"",EDATE($D109,Milestones!$AA$79)&gt;=$T109),$W109,IF(AND($S109&lt;&gt;"",EDATE($D109,Milestones!$AA$79)&gt;=$S109),$V109,$U109)))=Milestones!$AB$79),UPPER(TEXT(EDATE($D109,Milestones!$AA$79),"dd mmm yy"))&amp;" "&amp;Milestones!$AB$79&amp;" "&amp;Milestones!$AC$79&amp;";  ",""))</f>
        <v/>
      </c>
      <c r="L109" s="0" t="str">
        <f aca="false">IF(OR($A109="",$D109=""),"",IF(AND(EDATE($D109,Milestones!$AA$80)&lt;=AsOfDate,IF($R109=0,$X109,IF(AND($T109&lt;&gt;"",EDATE($D109,Milestones!$AA$80)&gt;=$T109),$W109,IF(AND($S109&lt;&gt;"",EDATE($D109,Milestones!$AA$80)&gt;=$S109),$V109,$U109)))=Milestones!$AB$80),UPPER(TEXT(EDATE($D109,Milestones!$AA$80),"dd mmm yy"))&amp;" "&amp;Milestones!$AB$80&amp;" "&amp;Milestones!$AC$80&amp;";  ","")&amp;IF(AND(EDATE($D109,Milestones!$AA$81)&lt;=AsOfDate,IF($R109=0,$X109,IF(AND($T109&lt;&gt;"",EDATE($D109,Milestones!$AA$81)&gt;=$T109),$W109,IF(AND($S109&lt;&gt;"",EDATE($D109,Milestones!$AA$81)&gt;=$S109),$V109,$U109)))=Milestones!$AB$81),UPPER(TEXT(EDATE($D109,Milestones!$AA$81),"dd mmm yy"))&amp;" "&amp;Milestones!$AB$81&amp;" "&amp;Milestones!$AC$81&amp;";  ","")&amp;IF(AND(EDATE($D109,Milestones!$AA$82)&lt;=AsOfDate,IF($R109=0,$X109,IF(AND($T109&lt;&gt;"",EDATE($D109,Milestones!$AA$82)&gt;=$T109),$W109,IF(AND($S109&lt;&gt;"",EDATE($D109,Milestones!$AA$82)&gt;=$S109),$V109,$U109)))=Milestones!$AB$82),UPPER(TEXT(EDATE($D109,Milestones!$AA$82),"dd mmm yy"))&amp;" "&amp;Milestones!$AB$82&amp;" "&amp;Milestones!$AC$82&amp;";  ","")&amp;IF(AND(EDATE($D109,Milestones!$AA$83)&lt;=AsOfDate,IF($R109=0,$X109,IF(AND($T109&lt;&gt;"",EDATE($D109,Milestones!$AA$83)&gt;=$T109),$W109,IF(AND($S109&lt;&gt;"",EDATE($D109,Milestones!$AA$83)&gt;=$S109),$V109,$U109)))=Milestones!$AB$83),UPPER(TEXT(EDATE($D109,Milestones!$AA$83),"dd mmm yy"))&amp;" "&amp;Milestones!$AB$83&amp;" "&amp;Milestones!$AC$83&amp;";  ","")&amp;IF(AND(EDATE($D109,Milestones!$AA$84)&lt;=AsOfDate,IF($R109=0,$X109,IF(AND($T109&lt;&gt;"",EDATE($D109,Milestones!$AA$84)&gt;=$T109),$W109,IF(AND($S109&lt;&gt;"",EDATE($D109,Milestones!$AA$84)&gt;=$S109),$V109,$U109)))=Milestones!$AB$84),UPPER(TEXT(EDATE($D109,Milestones!$AA$84),"dd mmm yy"))&amp;" "&amp;Milestones!$AB$84&amp;" "&amp;Milestones!$AC$84&amp;";  ","")&amp;IF(AND(EDATE($D109,Milestones!$AA$85)&lt;=AsOfDate,IF($R109=0,$X109,IF(AND($T109&lt;&gt;"",EDATE($D109,Milestones!$AA$85)&gt;=$T109),$W109,IF(AND($S109&lt;&gt;"",EDATE($D109,Milestones!$AA$85)&gt;=$S109),$V109,$U109)))=Milestones!$AB$85),UPPER(TEXT(EDATE($D109,Milestones!$AA$85),"dd mmm yy"))&amp;" "&amp;Milestones!$AB$85&amp;" "&amp;Milestones!$AC$85&amp;";  ","")&amp;IF(AND(EDATE($D109,Milestones!$AA$86)&lt;=AsOfDate,IF($R109=0,$X109,IF(AND($T109&lt;&gt;"",EDATE($D109,Milestones!$AA$86)&gt;=$T109),$W109,IF(AND($S109&lt;&gt;"",EDATE($D109,Milestones!$AA$86)&gt;=$S109),$V109,$U109)))=Milestones!$AB$86),UPPER(TEXT(EDATE($D109,Milestones!$AA$86),"dd mmm yy"))&amp;" "&amp;Milestones!$AB$86&amp;" "&amp;Milestones!$AC$86&amp;";  ","")&amp;IF(AND(EDATE($D109,Milestones!$AA$87)&lt;=AsOfDate,IF($R109=0,$X109,IF(AND($T109&lt;&gt;"",EDATE($D109,Milestones!$AA$87)&gt;=$T109),$W109,IF(AND($S109&lt;&gt;"",EDATE($D109,Milestones!$AA$87)&gt;=$S109),$V109,$U109)))=Milestones!$AB$87),UPPER(TEXT(EDATE($D109,Milestones!$AA$87),"dd mmm yy"))&amp;" "&amp;Milestones!$AB$87&amp;" "&amp;Milestones!$AC$87&amp;";  ","")&amp;IF(AND(EDATE($D109,Milestones!$AA$88)&lt;=AsOfDate,IF($R109=0,$X109,IF(AND($T109&lt;&gt;"",EDATE($D109,Milestones!$AA$88)&gt;=$T109),$W109,IF(AND($S109&lt;&gt;"",EDATE($D109,Milestones!$AA$88)&gt;=$S109),$V109,$U109)))=Milestones!$AB$88),UPPER(TEXT(EDATE($D109,Milestones!$AA$88),"dd mmm yy"))&amp;" "&amp;Milestones!$AB$88&amp;" "&amp;Milestones!$AC$88&amp;";  ","")&amp;IF(AND(EDATE($D109,Milestones!$AA$89)&lt;=AsOfDate,IF($R109=0,$X109,IF(AND($T109&lt;&gt;"",EDATE($D109,Milestones!$AA$89)&gt;=$T109),$W109,IF(AND($S109&lt;&gt;"",EDATE($D109,Milestones!$AA$89)&gt;=$S109),$V109,$U109)))=Milestones!$AB$89),UPPER(TEXT(EDATE($D109,Milestones!$AA$89),"dd mmm yy"))&amp;" "&amp;Milestones!$AB$89&amp;" "&amp;Milestones!$AC$89&amp;";  ","")&amp;IF(AND(EDATE($D109,Milestones!$AA$90)&lt;=AsOfDate,IF($R109=0,$X109,IF(AND($T109&lt;&gt;"",EDATE($D109,Milestones!$AA$90)&gt;=$T109),$W109,IF(AND($S109&lt;&gt;"",EDATE($D109,Milestones!$AA$90)&gt;=$S109),$V109,$U109)))=Milestones!$AB$90),UPPER(TEXT(EDATE($D109,Milestones!$AA$90),"dd mmm yy"))&amp;" "&amp;Milestones!$AB$90&amp;" "&amp;Milestones!$AC$90&amp;";  ","")&amp;IF(AND(EDATE($D109,Milestones!$AA$91)&lt;=AsOfDate,IF($R109=0,$X109,IF(AND($T109&lt;&gt;"",EDATE($D109,Milestones!$AA$91)&gt;=$T109),$W109,IF(AND($S109&lt;&gt;"",EDATE($D109,Milestones!$AA$91)&gt;=$S109),$V109,$U109)))=Milestones!$AB$91),UPPER(TEXT(EDATE($D109,Milestones!$AA$91),"dd mmm yy"))&amp;" "&amp;Milestones!$AB$91&amp;" "&amp;Milestones!$AC$91&amp;";  ","")&amp;IF(AND(EDATE($D109,Milestones!$AA$92)&lt;=AsOfDate,IF($R109=0,$X109,IF(AND($T109&lt;&gt;"",EDATE($D109,Milestones!$AA$92)&gt;=$T109),$W109,IF(AND($S109&lt;&gt;"",EDATE($D109,Milestones!$AA$92)&gt;=$S109),$V109,$U109)))=Milestones!$AB$92),UPPER(TEXT(EDATE($D109,Milestones!$AA$92),"dd mmm yy"))&amp;" "&amp;Milestones!$AB$92&amp;" "&amp;Milestones!$AC$92&amp;";  ","")&amp;IF(AND(EDATE($D109,Milestones!$AA$93)&lt;=AsOfDate,IF($R109=0,$X109,IF(AND($T109&lt;&gt;"",EDATE($D109,Milestones!$AA$93)&gt;=$T109),$W109,IF(AND($S109&lt;&gt;"",EDATE($D109,Milestones!$AA$93)&gt;=$S109),$V109,$U109)))=Milestones!$AB$93),UPPER(TEXT(EDATE($D109,Milestones!$AA$93),"dd mmm yy"))&amp;" "&amp;Milestones!$AB$93&amp;" "&amp;Milestones!$AC$93&amp;";  ","")&amp;IF(AND(EDATE($D109,Milestones!$AA$94)&lt;=AsOfDate,IF($R109=0,$X109,IF(AND($T109&lt;&gt;"",EDATE($D109,Milestones!$AA$94)&gt;=$T109),$W109,IF(AND($S109&lt;&gt;"",EDATE($D109,Milestones!$AA$94)&gt;=$S109),$V109,$U109)))=Milestones!$AB$94),UPPER(TEXT(EDATE($D109,Milestones!$AA$94),"dd mmm yy"))&amp;" "&amp;Milestones!$AB$94&amp;" "&amp;Milestones!$AC$94&amp;";  ","")&amp;IF(AND(EDATE($D109,Milestones!$AA$95)&lt;=AsOfDate,IF($R109=0,$X109,IF(AND($T109&lt;&gt;"",EDATE($D109,Milestones!$AA$95)&gt;=$T109),$W109,IF(AND($S109&lt;&gt;"",EDATE($D109,Milestones!$AA$95)&gt;=$S109),$V109,$U109)))=Milestones!$AB$95),UPPER(TEXT(EDATE($D109,Milestones!$AA$95),"dd mmm yy"))&amp;" "&amp;Milestones!$AB$95&amp;" "&amp;Milestones!$AC$95&amp;";  ","")&amp;IF(AND(EDATE($D109,Milestones!$AA$96)&lt;=AsOfDate,IF($R109=0,$X109,IF(AND($T109&lt;&gt;"",EDATE($D109,Milestones!$AA$96)&gt;=$T109),$W109,IF(AND($S109&lt;&gt;"",EDATE($D109,Milestones!$AA$96)&gt;=$S109),$V109,$U109)))=Milestones!$AB$96),UPPER(TEXT(EDATE($D109,Milestones!$AA$96),"dd mmm yy"))&amp;" "&amp;Milestones!$AB$96&amp;" "&amp;Milestones!$AC$96&amp;";  ","")&amp;IF(AND(EDATE($D109,Milestones!$AA$97)&lt;=AsOfDate,IF($R109=0,$X109,IF(AND($T109&lt;&gt;"",EDATE($D109,Milestones!$AA$97)&gt;=$T109),$W109,IF(AND($S109&lt;&gt;"",EDATE($D109,Milestones!$AA$97)&gt;=$S109),$V109,$U109)))=Milestones!$AB$97),UPPER(TEXT(EDATE($D109,Milestones!$AA$97),"dd mmm yy"))&amp;" "&amp;Milestones!$AB$97&amp;" "&amp;Milestones!$AC$97&amp;";  ","")&amp;IF(AND(EDATE($D109,Milestones!$AA$98)&lt;=AsOfDate,IF($R109=0,$X109,IF(AND($T109&lt;&gt;"",EDATE($D109,Milestones!$AA$98)&gt;=$T109),$W109,IF(AND($S109&lt;&gt;"",EDATE($D109,Milestones!$AA$98)&gt;=$S109),$V109,$U109)))=Milestones!$AB$98),UPPER(TEXT(EDATE($D109,Milestones!$AA$98),"dd mmm yy"))&amp;" "&amp;Milestones!$AB$98&amp;" "&amp;Milestones!$AC$98&amp;";  ","")&amp;IF(AND(EDATE($D109,Milestones!$AA$99)&lt;=AsOfDate,IF($R109=0,$X109,IF(AND($T109&lt;&gt;"",EDATE($D109,Milestones!$AA$99)&gt;=$T109),$W109,IF(AND($S109&lt;&gt;"",EDATE($D109,Milestones!$AA$99)&gt;=$S109),$V109,$U109)))=Milestones!$AB$99),UPPER(TEXT(EDATE($D109,Milestones!$AA$99),"dd mmm yy"))&amp;" "&amp;Milestones!$AB$99&amp;" "&amp;Milestones!$AC$99&amp;";  ",""))</f>
        <v/>
      </c>
      <c r="M109" s="0" t="str">
        <f aca="false">IF(OR($A109="",$D109=""),"",IF(AND(EDATE($D109,Milestones!$AA$100)&lt;=AsOfDate,IF($R109=0,$X109,IF(AND($T109&lt;&gt;"",EDATE($D109,Milestones!$AA$100)&gt;=$T109),$W109,IF(AND($S109&lt;&gt;"",EDATE($D109,Milestones!$AA$100)&gt;=$S109),$V109,$U109)))=Milestones!$AB$100),UPPER(TEXT(EDATE($D109,Milestones!$AA$100),"dd mmm yy"))&amp;" "&amp;Milestones!$AB$100&amp;" "&amp;Milestones!$AC$100&amp;";  ","")&amp;IF(AND(EDATE($D109,Milestones!$AA$101)&lt;=AsOfDate,IF($R109=0,$X109,IF(AND($T109&lt;&gt;"",EDATE($D109,Milestones!$AA$101)&gt;=$T109),$W109,IF(AND($S109&lt;&gt;"",EDATE($D109,Milestones!$AA$101)&gt;=$S109),$V109,$U109)))=Milestones!$AB$101),UPPER(TEXT(EDATE($D109,Milestones!$AA$101),"dd mmm yy"))&amp;" "&amp;Milestones!$AB$101&amp;" "&amp;Milestones!$AC$101&amp;";  ","")&amp;IF(AND(EDATE($D109,Milestones!$AA$102)&lt;=AsOfDate,IF($R109=0,$X109,IF(AND($T109&lt;&gt;"",EDATE($D109,Milestones!$AA$102)&gt;=$T109),$W109,IF(AND($S109&lt;&gt;"",EDATE($D109,Milestones!$AA$102)&gt;=$S109),$V109,$U109)))=Milestones!$AB$102),UPPER(TEXT(EDATE($D109,Milestones!$AA$102),"dd mmm yy"))&amp;" "&amp;Milestones!$AB$102&amp;" "&amp;Milestones!$AC$102&amp;";  ","")&amp;IF(AND(EDATE($D109,Milestones!$AA$103)&lt;=AsOfDate,IF($R109=0,$X109,IF(AND($T109&lt;&gt;"",EDATE($D109,Milestones!$AA$103)&gt;=$T109),$W109,IF(AND($S109&lt;&gt;"",EDATE($D109,Milestones!$AA$103)&gt;=$S109),$V109,$U109)))=Milestones!$AB$103),UPPER(TEXT(EDATE($D109,Milestones!$AA$103),"dd mmm yy"))&amp;" "&amp;Milestones!$AB$103&amp;" "&amp;Milestones!$AC$103&amp;";  ","")&amp;IF(AND(EDATE($D109,Milestones!$AA$104)&lt;=AsOfDate,IF($R109=0,$X109,IF(AND($T109&lt;&gt;"",EDATE($D109,Milestones!$AA$104)&gt;=$T109),$W109,IF(AND($S109&lt;&gt;"",EDATE($D109,Milestones!$AA$104)&gt;=$S109),$V109,$U109)))=Milestones!$AB$104),UPPER(TEXT(EDATE($D109,Milestones!$AA$104),"dd mmm yy"))&amp;" "&amp;Milestones!$AB$104&amp;" "&amp;Milestones!$AC$104&amp;";  ","")&amp;IF(AND(EDATE($D109,Milestones!$AA$105)&lt;=AsOfDate,IF($R109=0,$X109,IF(AND($T109&lt;&gt;"",EDATE($D109,Milestones!$AA$105)&gt;=$T109),$W109,IF(AND($S109&lt;&gt;"",EDATE($D109,Milestones!$AA$105)&gt;=$S109),$V109,$U109)))=Milestones!$AB$105),UPPER(TEXT(EDATE($D109,Milestones!$AA$105),"dd mmm yy"))&amp;" "&amp;Milestones!$AB$105&amp;" "&amp;Milestones!$AC$105&amp;";  ","")&amp;IF(AND(EDATE($D109,Milestones!$AA$106)&lt;=AsOfDate,IF($R109=0,$X109,IF(AND($T109&lt;&gt;"",EDATE($D109,Milestones!$AA$106)&gt;=$T109),$W109,IF(AND($S109&lt;&gt;"",EDATE($D109,Milestones!$AA$106)&gt;=$S109),$V109,$U109)))=Milestones!$AB$106),UPPER(TEXT(EDATE($D109,Milestones!$AA$106),"dd mmm yy"))&amp;" "&amp;Milestones!$AB$106&amp;" "&amp;Milestones!$AC$106&amp;";  ","")&amp;IF(AND(EDATE($D109,Milestones!$AA$107)&lt;=AsOfDate,IF($R109=0,$X109,IF(AND($T109&lt;&gt;"",EDATE($D109,Milestones!$AA$107)&gt;=$T109),$W109,IF(AND($S109&lt;&gt;"",EDATE($D109,Milestones!$AA$107)&gt;=$S109),$V109,$U109)))=Milestones!$AB$107),UPPER(TEXT(EDATE($D109,Milestones!$AA$107),"dd mmm yy"))&amp;" "&amp;Milestones!$AB$107&amp;" "&amp;Milestones!$AC$107&amp;";  ","")&amp;IF(AND(EDATE($D109,Milestones!$AA$108)&lt;=AsOfDate,IF($R109=0,$X109,IF(AND($T109&lt;&gt;"",EDATE($D109,Milestones!$AA$108)&gt;=$T109),$W109,IF(AND($S109&lt;&gt;"",EDATE($D109,Milestones!$AA$108)&gt;=$S109),$V109,$U109)))=Milestones!$AB$108),UPPER(TEXT(EDATE($D109,Milestones!$AA$108),"dd mmm yy"))&amp;" "&amp;Milestones!$AB$108&amp;" "&amp;Milestones!$AC$108&amp;";  ","")&amp;IF(AND(EDATE($D109,Milestones!$AA$109)&lt;=AsOfDate,IF($R109=0,$X109,IF(AND($T109&lt;&gt;"",EDATE($D109,Milestones!$AA$109)&gt;=$T109),$W109,IF(AND($S109&lt;&gt;"",EDATE($D109,Milestones!$AA$109)&gt;=$S109),$V109,$U109)))=Milestones!$AB$109),UPPER(TEXT(EDATE($D109,Milestones!$AA$109),"dd mmm yy"))&amp;" "&amp;Milestones!$AB$109&amp;" "&amp;Milestones!$AC$109&amp;";  ","")&amp;IF(AND(EDATE($D109,Milestones!$AA$110)&lt;=AsOfDate,IF($R109=0,$X109,IF(AND($T109&lt;&gt;"",EDATE($D109,Milestones!$AA$110)&gt;=$T109),$W109,IF(AND($S109&lt;&gt;"",EDATE($D109,Milestones!$AA$110)&gt;=$S109),$V109,$U109)))=Milestones!$AB$110),UPPER(TEXT(EDATE($D109,Milestones!$AA$110),"dd mmm yy"))&amp;" "&amp;Milestones!$AB$110&amp;" "&amp;Milestones!$AC$110&amp;";  ","")&amp;IF(AND(EDATE($D109,Milestones!$AA$111)&lt;=AsOfDate,IF($R109=0,$X109,IF(AND($T109&lt;&gt;"",EDATE($D109,Milestones!$AA$111)&gt;=$T109),$W109,IF(AND($S109&lt;&gt;"",EDATE($D109,Milestones!$AA$111)&gt;=$S109),$V109,$U109)))=Milestones!$AB$111),UPPER(TEXT(EDATE($D109,Milestones!$AA$111),"dd mmm yy"))&amp;" "&amp;Milestones!$AB$111&amp;" "&amp;Milestones!$AC$111&amp;";  ","")&amp;IF(AND(EDATE($D109,Milestones!$AA$112)&lt;=AsOfDate,IF($R109=0,$X109,IF(AND($T109&lt;&gt;"",EDATE($D109,Milestones!$AA$112)&gt;=$T109),$W109,IF(AND($S109&lt;&gt;"",EDATE($D109,Milestones!$AA$112)&gt;=$S109),$V109,$U109)))=Milestones!$AB$112),UPPER(TEXT(EDATE($D109,Milestones!$AA$112),"dd mmm yy"))&amp;" "&amp;Milestones!$AB$112&amp;" "&amp;Milestones!$AC$112&amp;";  ","")&amp;IF(AND(EDATE($D109,Milestones!$AA$113)&lt;=AsOfDate,IF($R109=0,$X109,IF(AND($T109&lt;&gt;"",EDATE($D109,Milestones!$AA$113)&gt;=$T109),$W109,IF(AND($S109&lt;&gt;"",EDATE($D109,Milestones!$AA$113)&gt;=$S109),$V109,$U109)))=Milestones!$AB$113),UPPER(TEXT(EDATE($D109,Milestones!$AA$113),"dd mmm yy"))&amp;" "&amp;Milestones!$AB$113&amp;" "&amp;Milestones!$AC$113&amp;";  ","")&amp;IF(AND(EDATE($D109,Milestones!$AA$114)&lt;=AsOfDate,IF($R109=0,$X109,IF(AND($T109&lt;&gt;"",EDATE($D109,Milestones!$AA$114)&gt;=$T109),$W109,IF(AND($S109&lt;&gt;"",EDATE($D109,Milestones!$AA$114)&gt;=$S109),$V109,$U109)))=Milestones!$AB$114),UPPER(TEXT(EDATE($D109,Milestones!$AA$114),"dd mmm yy"))&amp;" "&amp;Milestones!$AB$114&amp;" "&amp;Milestones!$AC$114&amp;";  ","")&amp;IF(AND(EDATE($D109,Milestones!$AA$115)&lt;=AsOfDate,IF($R109=0,$X109,IF(AND($T109&lt;&gt;"",EDATE($D109,Milestones!$AA$115)&gt;=$T109),$W109,IF(AND($S109&lt;&gt;"",EDATE($D109,Milestones!$AA$115)&gt;=$S109),$V109,$U109)))=Milestones!$AB$115),UPPER(TEXT(EDATE($D109,Milestones!$AA$115),"dd mmm yy"))&amp;" "&amp;Milestones!$AB$115&amp;" "&amp;Milestones!$AC$115&amp;";  ","")&amp;IF(AND(EDATE($D109,Milestones!$AA$116)&lt;=AsOfDate,IF($R109=0,$X109,IF(AND($T109&lt;&gt;"",EDATE($D109,Milestones!$AA$116)&gt;=$T109),$W109,IF(AND($S109&lt;&gt;"",EDATE($D109,Milestones!$AA$116)&gt;=$S109),$V109,$U109)))=Milestones!$AB$116),UPPER(TEXT(EDATE($D109,Milestones!$AA$116),"dd mmm yy"))&amp;" "&amp;Milestones!$AB$116&amp;" "&amp;Milestones!$AC$116&amp;";  ","")&amp;IF(AND(EDATE($D109,Milestones!$AA$117)&lt;=AsOfDate,IF($R109=0,$X109,IF(AND($T109&lt;&gt;"",EDATE($D109,Milestones!$AA$117)&gt;=$T109),$W109,IF(AND($S109&lt;&gt;"",EDATE($D109,Milestones!$AA$117)&gt;=$S109),$V109,$U109)))=Milestones!$AB$117),UPPER(TEXT(EDATE($D109,Milestones!$AA$117),"dd mmm yy"))&amp;" "&amp;Milestones!$AB$117&amp;" "&amp;Milestones!$AC$117&amp;";  ","")&amp;IF(AND(EDATE($D109,Milestones!$AA$118)&lt;=AsOfDate,IF($R109=0,$X109,IF(AND($T109&lt;&gt;"",EDATE($D109,Milestones!$AA$118)&gt;=$T109),$W109,IF(AND($S109&lt;&gt;"",EDATE($D109,Milestones!$AA$118)&gt;=$S109),$V109,$U109)))=Milestones!$AB$118),UPPER(TEXT(EDATE($D109,Milestones!$AA$118),"dd mmm yy"))&amp;" "&amp;Milestones!$AB$118&amp;" "&amp;Milestones!$AC$118&amp;";  ","")&amp;IF(AND(EDATE($D109,Milestones!$AA$119)&lt;=AsOfDate,IF($R109=0,$X109,IF(AND($T109&lt;&gt;"",EDATE($D109,Milestones!$AA$119)&gt;=$T109),$W109,IF(AND($S109&lt;&gt;"",EDATE($D109,Milestones!$AA$119)&gt;=$S109),$V109,$U109)))=Milestones!$AB$119),UPPER(TEXT(EDATE($D109,Milestones!$AA$119),"dd mmm yy"))&amp;" "&amp;Milestones!$AB$119&amp;" "&amp;Milestones!$AC$119&amp;";  ",""))</f>
        <v/>
      </c>
      <c r="N109" s="0" t="str">
        <f aca="false">IF(OR($A109="",$D109=""),"",IF(AND(EDATE($D109,Milestones!$AA$120)&lt;=AsOfDate,IF($R109=0,$X109,IF(AND($T109&lt;&gt;"",EDATE($D109,Milestones!$AA$120)&gt;=$T109),$W109,IF(AND($S109&lt;&gt;"",EDATE($D109,Milestones!$AA$120)&gt;=$S109),$V109,$U109)))=Milestones!$AB$120),UPPER(TEXT(EDATE($D109,Milestones!$AA$120),"dd mmm yy"))&amp;" "&amp;Milestones!$AB$120&amp;" "&amp;Milestones!$AC$120&amp;";  ","")&amp;IF(AND(EDATE($D109,Milestones!$AA$121)&lt;=AsOfDate,IF($R109=0,$X109,IF(AND($T109&lt;&gt;"",EDATE($D109,Milestones!$AA$121)&gt;=$T109),$W109,IF(AND($S109&lt;&gt;"",EDATE($D109,Milestones!$AA$121)&gt;=$S109),$V109,$U109)))=Milestones!$AB$121),UPPER(TEXT(EDATE($D109,Milestones!$AA$121),"dd mmm yy"))&amp;" "&amp;Milestones!$AB$121&amp;" "&amp;Milestones!$AC$121&amp;";  ","")&amp;IF(AND(EDATE($D109,Milestones!$AA$122)&lt;=AsOfDate,IF($R109=0,$X109,IF(AND($T109&lt;&gt;"",EDATE($D109,Milestones!$AA$122)&gt;=$T109),$W109,IF(AND($S109&lt;&gt;"",EDATE($D109,Milestones!$AA$122)&gt;=$S109),$V109,$U109)))=Milestones!$AB$122),UPPER(TEXT(EDATE($D109,Milestones!$AA$122),"dd mmm yy"))&amp;" "&amp;Milestones!$AB$122&amp;" "&amp;Milestones!$AC$122&amp;";  ","")&amp;IF(AND(EDATE($D109,Milestones!$AA$123)&lt;=AsOfDate,IF($R109=0,$X109,IF(AND($T109&lt;&gt;"",EDATE($D109,Milestones!$AA$123)&gt;=$T109),$W109,IF(AND($S109&lt;&gt;"",EDATE($D109,Milestones!$AA$123)&gt;=$S109),$V109,$U109)))=Milestones!$AB$123),UPPER(TEXT(EDATE($D109,Milestones!$AA$123),"dd mmm yy"))&amp;" "&amp;Milestones!$AB$123&amp;" "&amp;Milestones!$AC$123&amp;";  ","")&amp;IF(AND(EDATE($D109,Milestones!$AA$124)&lt;=AsOfDate,IF($R109=0,$X109,IF(AND($T109&lt;&gt;"",EDATE($D109,Milestones!$AA$124)&gt;=$T109),$W109,IF(AND($S109&lt;&gt;"",EDATE($D109,Milestones!$AA$124)&gt;=$S109),$V109,$U109)))=Milestones!$AB$124),UPPER(TEXT(EDATE($D109,Milestones!$AA$124),"dd mmm yy"))&amp;" "&amp;Milestones!$AB$124&amp;" "&amp;Milestones!$AC$124&amp;";  ","")&amp;IF(AND(EDATE($D109,Milestones!$AA$125)&lt;=AsOfDate,IF($R109=0,$X109,IF(AND($T109&lt;&gt;"",EDATE($D109,Milestones!$AA$125)&gt;=$T109),$W109,IF(AND($S109&lt;&gt;"",EDATE($D109,Milestones!$AA$125)&gt;=$S109),$V109,$U109)))=Milestones!$AB$125),UPPER(TEXT(EDATE($D109,Milestones!$AA$125),"dd mmm yy"))&amp;" "&amp;Milestones!$AB$125&amp;" "&amp;Milestones!$AC$125&amp;";  ","")&amp;IF(AND(EDATE($D109,Milestones!$AA$126)&lt;=AsOfDate,IF($R109=0,$X109,IF(AND($T109&lt;&gt;"",EDATE($D109,Milestones!$AA$126)&gt;=$T109),$W109,IF(AND($S109&lt;&gt;"",EDATE($D109,Milestones!$AA$126)&gt;=$S109),$V109,$U109)))=Milestones!$AB$126),UPPER(TEXT(EDATE($D109,Milestones!$AA$126),"dd mmm yy"))&amp;" "&amp;Milestones!$AB$126&amp;" "&amp;Milestones!$AC$126&amp;";  ","")&amp;IF(AND(EDATE($D109,Milestones!$AA$127)&lt;=AsOfDate,IF($R109=0,$X109,IF(AND($T109&lt;&gt;"",EDATE($D109,Milestones!$AA$127)&gt;=$T109),$W109,IF(AND($S109&lt;&gt;"",EDATE($D109,Milestones!$AA$127)&gt;=$S109),$V109,$U109)))=Milestones!$AB$127),UPPER(TEXT(EDATE($D109,Milestones!$AA$127),"dd mmm yy"))&amp;" "&amp;Milestones!$AB$127&amp;" "&amp;Milestones!$AC$127&amp;";  ","")&amp;IF(AND(EDATE($D109,Milestones!$AA$128)&lt;=AsOfDate,IF($R109=0,$X109,IF(AND($T109&lt;&gt;"",EDATE($D109,Milestones!$AA$128)&gt;=$T109),$W109,IF(AND($S109&lt;&gt;"",EDATE($D109,Milestones!$AA$128)&gt;=$S109),$V109,$U109)))=Milestones!$AB$128),UPPER(TEXT(EDATE($D109,Milestones!$AA$128),"dd mmm yy"))&amp;" "&amp;Milestones!$AB$128&amp;" "&amp;Milestones!$AC$128&amp;";  ","")&amp;IF(AND(EDATE($D109,Milestones!$AA$129)&lt;=AsOfDate,IF($R109=0,$X109,IF(AND($T109&lt;&gt;"",EDATE($D109,Milestones!$AA$129)&gt;=$T109),$W109,IF(AND($S109&lt;&gt;"",EDATE($D109,Milestones!$AA$129)&gt;=$S109),$V109,$U109)))=Milestones!$AB$129),UPPER(TEXT(EDATE($D109,Milestones!$AA$129),"dd mmm yy"))&amp;" "&amp;Milestones!$AB$129&amp;" "&amp;Milestones!$AC$129&amp;";  ","")&amp;IF(AND(EDATE($D109,Milestones!$AA$130)&lt;=AsOfDate,IF($R109=0,$X109,IF(AND($T109&lt;&gt;"",EDATE($D109,Milestones!$AA$130)&gt;=$T109),$W109,IF(AND($S109&lt;&gt;"",EDATE($D109,Milestones!$AA$130)&gt;=$S109),$V109,$U109)))=Milestones!$AB$130),UPPER(TEXT(EDATE($D109,Milestones!$AA$130),"dd mmm yy"))&amp;" "&amp;Milestones!$AB$130&amp;" "&amp;Milestones!$AC$130&amp;";  ","")&amp;IF(AND(EDATE($D109,Milestones!$AA$131)&lt;=AsOfDate,IF($R109=0,$X109,IF(AND($T109&lt;&gt;"",EDATE($D109,Milestones!$AA$131)&gt;=$T109),$W109,IF(AND($S109&lt;&gt;"",EDATE($D109,Milestones!$AA$131)&gt;=$S109),$V109,$U109)))=Milestones!$AB$131),UPPER(TEXT(EDATE($D109,Milestones!$AA$131),"dd mmm yy"))&amp;" "&amp;Milestones!$AB$131&amp;" "&amp;Milestones!$AC$131&amp;";  ","")&amp;IF(AND(EDATE($D109,Milestones!$AA$132)&lt;=AsOfDate,IF($R109=0,$X109,IF(AND($T109&lt;&gt;"",EDATE($D109,Milestones!$AA$132)&gt;=$T109),$W109,IF(AND($S109&lt;&gt;"",EDATE($D109,Milestones!$AA$132)&gt;=$S109),$V109,$U109)))=Milestones!$AB$132),UPPER(TEXT(EDATE($D109,Milestones!$AA$132),"dd mmm yy"))&amp;" "&amp;Milestones!$AB$132&amp;" "&amp;Milestones!$AC$132&amp;";  ","")&amp;IF(AND(EDATE($D109,Milestones!$AA$133)&lt;=AsOfDate,IF($R109=0,$X109,IF(AND($T109&lt;&gt;"",EDATE($D109,Milestones!$AA$133)&gt;=$T109),$W109,IF(AND($S109&lt;&gt;"",EDATE($D109,Milestones!$AA$133)&gt;=$S109),$V109,$U109)))=Milestones!$AB$133),UPPER(TEXT(EDATE($D109,Milestones!$AA$133),"dd mmm yy"))&amp;" "&amp;Milestones!$AB$133&amp;" "&amp;Milestones!$AC$133&amp;";  ","")&amp;IF(AND(EDATE($D109,Milestones!$AA$134)&lt;=AsOfDate,IF($R109=0,$X109,IF(AND($T109&lt;&gt;"",EDATE($D109,Milestones!$AA$134)&gt;=$T109),$W109,IF(AND($S109&lt;&gt;"",EDATE($D109,Milestones!$AA$134)&gt;=$S109),$V109,$U109)))=Milestones!$AB$134),UPPER(TEXT(EDATE($D109,Milestones!$AA$134),"dd mmm yy"))&amp;" "&amp;Milestones!$AB$134&amp;" "&amp;Milestones!$AC$134&amp;";  ","")&amp;IF(AND(EDATE($D109,Milestones!$AA$135)&lt;=AsOfDate,IF($R109=0,$X109,IF(AND($T109&lt;&gt;"",EDATE($D109,Milestones!$AA$135)&gt;=$T109),$W109,IF(AND($S109&lt;&gt;"",EDATE($D109,Milestones!$AA$135)&gt;=$S109),$V109,$U109)))=Milestones!$AB$135),UPPER(TEXT(EDATE($D109,Milestones!$AA$135),"dd mmm yy"))&amp;" "&amp;Milestones!$AB$135&amp;" "&amp;Milestones!$AC$135&amp;";  ","")&amp;IF(AND(EDATE($D109,Milestones!$AA$136)&lt;=AsOfDate,IF($R109=0,$X109,IF(AND($T109&lt;&gt;"",EDATE($D109,Milestones!$AA$136)&gt;=$T109),$W109,IF(AND($S109&lt;&gt;"",EDATE($D109,Milestones!$AA$136)&gt;=$S109),$V109,$U109)))=Milestones!$AB$136),UPPER(TEXT(EDATE($D109,Milestones!$AA$136),"dd mmm yy"))&amp;" "&amp;Milestones!$AB$136&amp;" "&amp;Milestones!$AC$136&amp;";  ","")&amp;IF(AND(EDATE($D109,Milestones!$AA$137)&lt;=AsOfDate,IF($R109=0,$X109,IF(AND($T109&lt;&gt;"",EDATE($D109,Milestones!$AA$137)&gt;=$T109),$W109,IF(AND($S109&lt;&gt;"",EDATE($D109,Milestones!$AA$137)&gt;=$S109),$V109,$U109)))=Milestones!$AB$137),UPPER(TEXT(EDATE($D109,Milestones!$AA$137),"dd mmm yy"))&amp;" "&amp;Milestones!$AB$137&amp;" "&amp;Milestones!$AC$137&amp;";  ","")&amp;IF(AND(EDATE($D109,Milestones!$AA$138)&lt;=AsOfDate,IF($R109=0,$X109,IF(AND($T109&lt;&gt;"",EDATE($D109,Milestones!$AA$138)&gt;=$T109),$W109,IF(AND($S109&lt;&gt;"",EDATE($D109,Milestones!$AA$138)&gt;=$S109),$V109,$U109)))=Milestones!$AB$138),UPPER(TEXT(EDATE($D109,Milestones!$AA$138),"dd mmm yy"))&amp;" "&amp;Milestones!$AB$138&amp;" "&amp;Milestones!$AC$138&amp;";  ","")&amp;IF(AND(EDATE($D109,Milestones!$AA$139)&lt;=AsOfDate,IF($R109=0,$X109,IF(AND($T109&lt;&gt;"",EDATE($D109,Milestones!$AA$139)&gt;=$T109),$W109,IF(AND($S109&lt;&gt;"",EDATE($D109,Milestones!$AA$139)&gt;=$S109),$V109,$U109)))=Milestones!$AB$139),UPPER(TEXT(EDATE($D109,Milestones!$AA$139),"dd mmm yy"))&amp;" "&amp;Milestones!$AB$139&amp;" "&amp;Milestones!$AC$139&amp;";  ",""))</f>
        <v/>
      </c>
      <c r="O109" s="0" t="str">
        <f aca="false">IF(OR($A109="",$D109=""),"",IF(AND(EDATE($D109,Milestones!$AA$140)&lt;=AsOfDate,IF($R109=0,$X109,IF(AND($T109&lt;&gt;"",EDATE($D109,Milestones!$AA$140)&gt;=$T109),$W109,IF(AND($S109&lt;&gt;"",EDATE($D109,Milestones!$AA$140)&gt;=$S109),$V109,$U109)))=Milestones!$AB$140),UPPER(TEXT(EDATE($D109,Milestones!$AA$140),"dd mmm yy"))&amp;" "&amp;Milestones!$AB$140&amp;" "&amp;Milestones!$AC$140&amp;";  ","")&amp;IF(AND(EDATE($D109,Milestones!$AA$141)&lt;=AsOfDate,IF($R109=0,$X109,IF(AND($T109&lt;&gt;"",EDATE($D109,Milestones!$AA$141)&gt;=$T109),$W109,IF(AND($S109&lt;&gt;"",EDATE($D109,Milestones!$AA$141)&gt;=$S109),$V109,$U109)))=Milestones!$AB$141),UPPER(TEXT(EDATE($D109,Milestones!$AA$141),"dd mmm yy"))&amp;" "&amp;Milestones!$AB$141&amp;" "&amp;Milestones!$AC$141&amp;";  ","")&amp;IF(AND(EDATE($D109,Milestones!$AA$142)&lt;=AsOfDate,IF($R109=0,$X109,IF(AND($T109&lt;&gt;"",EDATE($D109,Milestones!$AA$142)&gt;=$T109),$W109,IF(AND($S109&lt;&gt;"",EDATE($D109,Milestones!$AA$142)&gt;=$S109),$V109,$U109)))=Milestones!$AB$142),UPPER(TEXT(EDATE($D109,Milestones!$AA$142),"dd mmm yy"))&amp;" "&amp;Milestones!$AB$142&amp;" "&amp;Milestones!$AC$142&amp;";  ","")&amp;IF(AND(EDATE($D109,Milestones!$AA$143)&lt;=AsOfDate,IF($R109=0,$X109,IF(AND($T109&lt;&gt;"",EDATE($D109,Milestones!$AA$143)&gt;=$T109),$W109,IF(AND($S109&lt;&gt;"",EDATE($D109,Milestones!$AA$143)&gt;=$S109),$V109,$U109)))=Milestones!$AB$143),UPPER(TEXT(EDATE($D109,Milestones!$AA$143),"dd mmm yy"))&amp;" "&amp;Milestones!$AB$143&amp;" "&amp;Milestones!$AC$143&amp;";  ","")&amp;IF(AND(EDATE($D109,Milestones!$AA$144)&lt;=AsOfDate,IF($R109=0,$X109,IF(AND($T109&lt;&gt;"",EDATE($D109,Milestones!$AA$144)&gt;=$T109),$W109,IF(AND($S109&lt;&gt;"",EDATE($D109,Milestones!$AA$144)&gt;=$S109),$V109,$U109)))=Milestones!$AB$144),UPPER(TEXT(EDATE($D109,Milestones!$AA$144),"dd mmm yy"))&amp;" "&amp;Milestones!$AB$144&amp;" "&amp;Milestones!$AC$144&amp;";  ","")&amp;IF(AND(EDATE($D109,Milestones!$AA$145)&lt;=AsOfDate,IF($R109=0,$X109,IF(AND($T109&lt;&gt;"",EDATE($D109,Milestones!$AA$145)&gt;=$T109),$W109,IF(AND($S109&lt;&gt;"",EDATE($D109,Milestones!$AA$145)&gt;=$S109),$V109,$U109)))=Milestones!$AB$145),UPPER(TEXT(EDATE($D109,Milestones!$AA$145),"dd mmm yy"))&amp;" "&amp;Milestones!$AB$145&amp;" "&amp;Milestones!$AC$145&amp;";  ","")&amp;IF(AND(EDATE($D109,Milestones!$AA$146)&lt;=AsOfDate,IF($R109=0,$X109,IF(AND($T109&lt;&gt;"",EDATE($D109,Milestones!$AA$146)&gt;=$T109),$W109,IF(AND($S109&lt;&gt;"",EDATE($D109,Milestones!$AA$146)&gt;=$S109),$V109,$U109)))=Milestones!$AB$146),UPPER(TEXT(EDATE($D109,Milestones!$AA$146),"dd mmm yy"))&amp;" "&amp;Milestones!$AB$146&amp;" "&amp;Milestones!$AC$146&amp;";  ","")&amp;IF(AND(EDATE($D109,Milestones!$AA$147)&lt;=AsOfDate,IF($R109=0,$X109,IF(AND($T109&lt;&gt;"",EDATE($D109,Milestones!$AA$147)&gt;=$T109),$W109,IF(AND($S109&lt;&gt;"",EDATE($D109,Milestones!$AA$147)&gt;=$S109),$V109,$U109)))=Milestones!$AB$147),UPPER(TEXT(EDATE($D109,Milestones!$AA$147),"dd mmm yy"))&amp;" "&amp;Milestones!$AB$147&amp;" "&amp;Milestones!$AC$147&amp;";  ","")&amp;IF(AND(EDATE($D109,Milestones!$AA$148)&lt;=AsOfDate,IF($R109=0,$X109,IF(AND($T109&lt;&gt;"",EDATE($D109,Milestones!$AA$148)&gt;=$T109),$W109,IF(AND($S109&lt;&gt;"",EDATE($D109,Milestones!$AA$148)&gt;=$S109),$V109,$U109)))=Milestones!$AB$148),UPPER(TEXT(EDATE($D109,Milestones!$AA$148),"dd mmm yy"))&amp;" "&amp;Milestones!$AB$148&amp;" "&amp;Milestones!$AC$148&amp;";  ","")&amp;IF(AND(EDATE($D109,Milestones!$AA$149)&lt;=AsOfDate,IF($R109=0,$X109,IF(AND($T109&lt;&gt;"",EDATE($D109,Milestones!$AA$149)&gt;=$T109),$W109,IF(AND($S109&lt;&gt;"",EDATE($D109,Milestones!$AA$149)&gt;=$S109),$V109,$U109)))=Milestones!$AB$149),UPPER(TEXT(EDATE($D109,Milestones!$AA$149),"dd mmm yy"))&amp;" "&amp;Milestones!$AB$149&amp;" "&amp;Milestones!$AC$149&amp;";  ","")&amp;IF(AND(EDATE($D109,Milestones!$AA$150)&lt;=AsOfDate,IF($R109=0,$X109,IF(AND($T109&lt;&gt;"",EDATE($D109,Milestones!$AA$150)&gt;=$T109),$W109,IF(AND($S109&lt;&gt;"",EDATE($D109,Milestones!$AA$150)&gt;=$S109),$V109,$U109)))=Milestones!$AB$150),UPPER(TEXT(EDATE($D109,Milestones!$AA$150),"dd mmm yy"))&amp;" "&amp;Milestones!$AB$150&amp;" "&amp;Milestones!$AC$150&amp;";  ","")&amp;IF(AND(EDATE($D109,Milestones!$AA$151)&lt;=AsOfDate,IF($R109=0,$X109,IF(AND($T109&lt;&gt;"",EDATE($D109,Milestones!$AA$151)&gt;=$T109),$W109,IF(AND($S109&lt;&gt;"",EDATE($D109,Milestones!$AA$151)&gt;=$S109),$V109,$U109)))=Milestones!$AB$151),UPPER(TEXT(EDATE($D109,Milestones!$AA$151),"dd mmm yy"))&amp;" "&amp;Milestones!$AB$151&amp;" "&amp;Milestones!$AC$151&amp;";  ","")&amp;IF(AND(EDATE($D109,Milestones!$AA$152)&lt;=AsOfDate,IF($R109=0,$X109,IF(AND($T109&lt;&gt;"",EDATE($D109,Milestones!$AA$152)&gt;=$T109),$W109,IF(AND($S109&lt;&gt;"",EDATE($D109,Milestones!$AA$152)&gt;=$S109),$V109,$U109)))=Milestones!$AB$152),UPPER(TEXT(EDATE($D109,Milestones!$AA$152),"dd mmm yy"))&amp;" "&amp;Milestones!$AB$152&amp;" "&amp;Milestones!$AC$152&amp;";  ","")&amp;IF(AND(EDATE($D109,Milestones!$AA$153)&lt;=AsOfDate,IF($R109=0,$X109,IF(AND($T109&lt;&gt;"",EDATE($D109,Milestones!$AA$153)&gt;=$T109),$W109,IF(AND($S109&lt;&gt;"",EDATE($D109,Milestones!$AA$153)&gt;=$S109),$V109,$U109)))=Milestones!$AB$153),UPPER(TEXT(EDATE($D109,Milestones!$AA$153),"dd mmm yy"))&amp;" "&amp;Milestones!$AB$153&amp;" "&amp;Milestones!$AC$153&amp;";  ","")&amp;IF(AND(EDATE($D109,Milestones!$AA$154)&lt;=AsOfDate,IF($R109=0,$X109,IF(AND($T109&lt;&gt;"",EDATE($D109,Milestones!$AA$154)&gt;=$T109),$W109,IF(AND($S109&lt;&gt;"",EDATE($D109,Milestones!$AA$154)&gt;=$S109),$V109,$U109)))=Milestones!$AB$154),UPPER(TEXT(EDATE($D109,Milestones!$AA$154),"dd mmm yy"))&amp;" "&amp;Milestones!$AB$154&amp;" "&amp;Milestones!$AC$154&amp;";  ","")&amp;IF(AND(EDATE($D109,Milestones!$AA$155)&lt;=AsOfDate,IF($R109=0,$X109,IF(AND($T109&lt;&gt;"",EDATE($D109,Milestones!$AA$155)&gt;=$T109),$W109,IF(AND($S109&lt;&gt;"",EDATE($D109,Milestones!$AA$155)&gt;=$S109),$V109,$U109)))=Milestones!$AB$155),UPPER(TEXT(EDATE($D109,Milestones!$AA$155),"dd mmm yy"))&amp;" "&amp;Milestones!$AB$155&amp;" "&amp;Milestones!$AC$155&amp;";  ","")&amp;IF(AND(EDATE($D109,Milestones!$AA$156)&lt;=AsOfDate,IF($R109=0,$X109,IF(AND($T109&lt;&gt;"",EDATE($D109,Milestones!$AA$156)&gt;=$T109),$W109,IF(AND($S109&lt;&gt;"",EDATE($D109,Milestones!$AA$156)&gt;=$S109),$V109,$U109)))=Milestones!$AB$156),UPPER(TEXT(EDATE($D109,Milestones!$AA$156),"dd mmm yy"))&amp;" "&amp;Milestones!$AB$156&amp;" "&amp;Milestones!$AC$156&amp;";  ","")&amp;IF(AND(EDATE($D109,Milestones!$AA$157)&lt;=AsOfDate,IF($R109=0,$X109,IF(AND($T109&lt;&gt;"",EDATE($D109,Milestones!$AA$157)&gt;=$T109),$W109,IF(AND($S109&lt;&gt;"",EDATE($D109,Milestones!$AA$157)&gt;=$S109),$V109,$U109)))=Milestones!$AB$157),UPPER(TEXT(EDATE($D109,Milestones!$AA$157),"dd mmm yy"))&amp;" "&amp;Milestones!$AB$157&amp;" "&amp;Milestones!$AC$157&amp;";  ","")&amp;IF(AND(EDATE($D109,Milestones!$AA$158)&lt;=AsOfDate,IF($R109=0,$X109,IF(AND($T109&lt;&gt;"",EDATE($D109,Milestones!$AA$158)&gt;=$T109),$W109,IF(AND($S109&lt;&gt;"",EDATE($D109,Milestones!$AA$158)&gt;=$S109),$V109,$U109)))=Milestones!$AB$158),UPPER(TEXT(EDATE($D109,Milestones!$AA$158),"dd mmm yy"))&amp;" "&amp;Milestones!$AB$158&amp;" "&amp;Milestones!$AC$158&amp;";  ","")&amp;IF(AND(EDATE($D109,Milestones!$AA$159)&lt;=AsOfDate,IF($R109=0,$X109,IF(AND($T109&lt;&gt;"",EDATE($D109,Milestones!$AA$159)&gt;=$T109),$W109,IF(AND($S109&lt;&gt;"",EDATE($D109,Milestones!$AA$159)&gt;=$S109),$V109,$U109)))=Milestones!$AB$159),UPPER(TEXT(EDATE($D109,Milestones!$AA$159),"dd mmm yy"))&amp;" "&amp;Milestones!$AB$159&amp;" "&amp;Milestones!$AC$159&amp;";  ",""))</f>
        <v/>
      </c>
      <c r="P109" s="0" t="str">
        <f aca="false">IF(OR($A109="",$D109=""),"",IF(AND(EDATE($D109,Milestones!$AA$160)&lt;=AsOfDate,IF($R109=0,$X109,IF(AND($T109&lt;&gt;"",EDATE($D109,Milestones!$AA$160)&gt;=$T109),$W109,IF(AND($S109&lt;&gt;"",EDATE($D109,Milestones!$AA$160)&gt;=$S109),$V109,$U109)))=Milestones!$AB$160),UPPER(TEXT(EDATE($D109,Milestones!$AA$160),"dd mmm yy"))&amp;" "&amp;Milestones!$AB$160&amp;" "&amp;Milestones!$AC$160&amp;";  ","")&amp;IF(AND(EDATE($D109,Milestones!$AA$161)&lt;=AsOfDate,IF($R109=0,$X109,IF(AND($T109&lt;&gt;"",EDATE($D109,Milestones!$AA$161)&gt;=$T109),$W109,IF(AND($S109&lt;&gt;"",EDATE($D109,Milestones!$AA$161)&gt;=$S109),$V109,$U109)))=Milestones!$AB$161),UPPER(TEXT(EDATE($D109,Milestones!$AA$161),"dd mmm yy"))&amp;" "&amp;Milestones!$AB$161&amp;" "&amp;Milestones!$AC$161&amp;";  ","")&amp;IF(AND(EDATE($D109,Milestones!$AA$162)&lt;=AsOfDate,IF($R109=0,$X109,IF(AND($T109&lt;&gt;"",EDATE($D109,Milestones!$AA$162)&gt;=$T109),$W109,IF(AND($S109&lt;&gt;"",EDATE($D109,Milestones!$AA$162)&gt;=$S109),$V109,$U109)))=Milestones!$AB$162),UPPER(TEXT(EDATE($D109,Milestones!$AA$162),"dd mmm yy"))&amp;" "&amp;Milestones!$AB$162&amp;" "&amp;Milestones!$AC$162&amp;";  ","")&amp;IF(AND(EDATE($D109,Milestones!$AA$163)&lt;=AsOfDate,IF($R109=0,$X109,IF(AND($T109&lt;&gt;"",EDATE($D109,Milestones!$AA$163)&gt;=$T109),$W109,IF(AND($S109&lt;&gt;"",EDATE($D109,Milestones!$AA$163)&gt;=$S109),$V109,$U109)))=Milestones!$AB$163),UPPER(TEXT(EDATE($D109,Milestones!$AA$163),"dd mmm yy"))&amp;" "&amp;Milestones!$AB$163&amp;" "&amp;Milestones!$AC$163&amp;";  ","")&amp;IF(AND(EDATE($D109,Milestones!$AA$164)&lt;=AsOfDate,IF($R109=0,$X109,IF(AND($T109&lt;&gt;"",EDATE($D109,Milestones!$AA$164)&gt;=$T109),$W109,IF(AND($S109&lt;&gt;"",EDATE($D109,Milestones!$AA$164)&gt;=$S109),$V109,$U109)))=Milestones!$AB$164),UPPER(TEXT(EDATE($D109,Milestones!$AA$164),"dd mmm yy"))&amp;" "&amp;Milestones!$AB$164&amp;" "&amp;Milestones!$AC$164&amp;";  ","")&amp;IF(AND(EDATE($D109,Milestones!$AA$165)&lt;=AsOfDate,IF($R109=0,$X109,IF(AND($T109&lt;&gt;"",EDATE($D109,Milestones!$AA$165)&gt;=$T109),$W109,IF(AND($S109&lt;&gt;"",EDATE($D109,Milestones!$AA$165)&gt;=$S109),$V109,$U109)))=Milestones!$AB$165),UPPER(TEXT(EDATE($D109,Milestones!$AA$165),"dd mmm yy"))&amp;" "&amp;Milestones!$AB$165&amp;" "&amp;Milestones!$AC$165&amp;";  ","")&amp;IF(AND(EDATE($D109,Milestones!$AA$166)&lt;=AsOfDate,IF($R109=0,$X109,IF(AND($T109&lt;&gt;"",EDATE($D109,Milestones!$AA$166)&gt;=$T109),$W109,IF(AND($S109&lt;&gt;"",EDATE($D109,Milestones!$AA$166)&gt;=$S109),$V109,$U109)))=Milestones!$AB$166),UPPER(TEXT(EDATE($D109,Milestones!$AA$166),"dd mmm yy"))&amp;" "&amp;Milestones!$AB$166&amp;" "&amp;Milestones!$AC$166&amp;";  ","")&amp;IF(AND(EDATE($D109,Milestones!$AA$167)&lt;=AsOfDate,IF($R109=0,$X109,IF(AND($T109&lt;&gt;"",EDATE($D109,Milestones!$AA$167)&gt;=$T109),$W109,IF(AND($S109&lt;&gt;"",EDATE($D109,Milestones!$AA$167)&gt;=$S109),$V109,$U109)))=Milestones!$AB$167),UPPER(TEXT(EDATE($D109,Milestones!$AA$167),"dd mmm yy"))&amp;" "&amp;Milestones!$AB$167&amp;" "&amp;Milestones!$AC$167&amp;";  ","")&amp;IF(AND(EDATE($D109,Milestones!$AA$168)&lt;=AsOfDate,IF($R109=0,$X109,IF(AND($T109&lt;&gt;"",EDATE($D109,Milestones!$AA$168)&gt;=$T109),$W109,IF(AND($S109&lt;&gt;"",EDATE($D109,Milestones!$AA$168)&gt;=$S109),$V109,$U109)))=Milestones!$AB$168),UPPER(TEXT(EDATE($D109,Milestones!$AA$168),"dd mmm yy"))&amp;" "&amp;Milestones!$AB$168&amp;" "&amp;Milestones!$AC$168&amp;";  ","")&amp;IF(AND(EDATE($D109,Milestones!$AA$169)&lt;=AsOfDate,IF($R109=0,$X109,IF(AND($T109&lt;&gt;"",EDATE($D109,Milestones!$AA$169)&gt;=$T109),$W109,IF(AND($S109&lt;&gt;"",EDATE($D109,Milestones!$AA$169)&gt;=$S109),$V109,$U109)))=Milestones!$AB$169),UPPER(TEXT(EDATE($D109,Milestones!$AA$169),"dd mmm yy"))&amp;" "&amp;Milestones!$AB$169&amp;" "&amp;Milestones!$AC$169&amp;";  ","")&amp;IF(AND(EDATE($D109,Milestones!$AA$170)&lt;=AsOfDate,IF($R109=0,$X109,IF(AND($T109&lt;&gt;"",EDATE($D109,Milestones!$AA$170)&gt;=$T109),$W109,IF(AND($S109&lt;&gt;"",EDATE($D109,Milestones!$AA$170)&gt;=$S109),$V109,$U109)))=Milestones!$AB$170),UPPER(TEXT(EDATE($D109,Milestones!$AA$170),"dd mmm yy"))&amp;" "&amp;Milestones!$AB$170&amp;" "&amp;Milestones!$AC$170&amp;";  ","")&amp;IF(AND(EDATE($D109,Milestones!$AA$171)&lt;=AsOfDate,IF($R109=0,$X109,IF(AND($T109&lt;&gt;"",EDATE($D109,Milestones!$AA$171)&gt;=$T109),$W109,IF(AND($S109&lt;&gt;"",EDATE($D109,Milestones!$AA$171)&gt;=$S109),$V109,$U109)))=Milestones!$AB$171),UPPER(TEXT(EDATE($D109,Milestones!$AA$171),"dd mmm yy"))&amp;" "&amp;Milestones!$AB$171&amp;" "&amp;Milestones!$AC$171&amp;";  ","")&amp;IF(AND(EDATE($D109,Milestones!$AA$172)&lt;=AsOfDate,IF($R109=0,$X109,IF(AND($T109&lt;&gt;"",EDATE($D109,Milestones!$AA$172)&gt;=$T109),$W109,IF(AND($S109&lt;&gt;"",EDATE($D109,Milestones!$AA$172)&gt;=$S109),$V109,$U109)))=Milestones!$AB$172),UPPER(TEXT(EDATE($D109,Milestones!$AA$172),"dd mmm yy"))&amp;" "&amp;Milestones!$AB$172&amp;" "&amp;Milestones!$AC$172&amp;";  ","")&amp;IF(AND(EDATE($D109,Milestones!$AA$173)&lt;=AsOfDate,IF($R109=0,$X109,IF(AND($T109&lt;&gt;"",EDATE($D109,Milestones!$AA$173)&gt;=$T109),$W109,IF(AND($S109&lt;&gt;"",EDATE($D109,Milestones!$AA$173)&gt;=$S109),$V109,$U109)))=Milestones!$AB$173),UPPER(TEXT(EDATE($D109,Milestones!$AA$173),"dd mmm yy"))&amp;" "&amp;Milestones!$AB$173&amp;" "&amp;Milestones!$AC$173&amp;";  ","")&amp;IF(AND(EDATE($D109,Milestones!$AA$174)&lt;=AsOfDate,IF($R109=0,$X109,IF(AND($T109&lt;&gt;"",EDATE($D109,Milestones!$AA$174)&gt;=$T109),$W109,IF(AND($S109&lt;&gt;"",EDATE($D109,Milestones!$AA$174)&gt;=$S109),$V109,$U109)))=Milestones!$AB$174),UPPER(TEXT(EDATE($D109,Milestones!$AA$174),"dd mmm yy"))&amp;" "&amp;Milestones!$AB$174&amp;" "&amp;Milestones!$AC$174&amp;";  ","")&amp;IF(AND(EDATE($D109,Milestones!$AA$175)&lt;=AsOfDate,IF($R109=0,$X109,IF(AND($T109&lt;&gt;"",EDATE($D109,Milestones!$AA$175)&gt;=$T109),$W109,IF(AND($S109&lt;&gt;"",EDATE($D109,Milestones!$AA$175)&gt;=$S109),$V109,$U109)))=Milestones!$AB$175),UPPER(TEXT(EDATE($D109,Milestones!$AA$175),"dd mmm yy"))&amp;" "&amp;Milestones!$AB$175&amp;" "&amp;Milestones!$AC$175&amp;";  ","")&amp;IF(AND(EDATE($D109,Milestones!$AA$176)&lt;=AsOfDate,IF($R109=0,$X109,IF(AND($T109&lt;&gt;"",EDATE($D109,Milestones!$AA$176)&gt;=$T109),$W109,IF(AND($S109&lt;&gt;"",EDATE($D109,Milestones!$AA$176)&gt;=$S109),$V109,$U109)))=Milestones!$AB$176),UPPER(TEXT(EDATE($D109,Milestones!$AA$176),"dd mmm yy"))&amp;" "&amp;Milestones!$AB$176&amp;" "&amp;Milestones!$AC$176&amp;";  ","")&amp;IF(AND(EDATE($D109,Milestones!$AA$177)&lt;=AsOfDate,IF($R109=0,$X109,IF(AND($T109&lt;&gt;"",EDATE($D109,Milestones!$AA$177)&gt;=$T109),$W109,IF(AND($S109&lt;&gt;"",EDATE($D109,Milestones!$AA$177)&gt;=$S109),$V109,$U109)))=Milestones!$AB$177),UPPER(TEXT(EDATE($D109,Milestones!$AA$177),"dd mmm yy"))&amp;" "&amp;Milestones!$AB$177&amp;" "&amp;Milestones!$AC$177&amp;";  ","")&amp;IF(AND(EDATE($D109,Milestones!$AA$178)&lt;=AsOfDate,IF($R109=0,$X109,IF(AND($T109&lt;&gt;"",EDATE($D109,Milestones!$AA$178)&gt;=$T109),$W109,IF(AND($S109&lt;&gt;"",EDATE($D109,Milestones!$AA$178)&gt;=$S109),$V109,$U109)))=Milestones!$AB$178),UPPER(TEXT(EDATE($D109,Milestones!$AA$178),"dd mmm yy"))&amp;" "&amp;Milestones!$AB$178&amp;" "&amp;Milestones!$AC$178&amp;";  ","")&amp;IF(AND(EDATE($D109,Milestones!$AA$179)&lt;=AsOfDate,IF($R109=0,$X109,IF(AND($T109&lt;&gt;"",EDATE($D109,Milestones!$AA$179)&gt;=$T109),$W109,IF(AND($S109&lt;&gt;"",EDATE($D109,Milestones!$AA$179)&gt;=$S109),$V109,$U109)))=Milestones!$AB$179),UPPER(TEXT(EDATE($D109,Milestones!$AA$179),"dd mmm yy"))&amp;" "&amp;Milestones!$AB$179&amp;" "&amp;Milestones!$AC$179&amp;";  ",""))</f>
        <v/>
      </c>
      <c r="Q109" s="0" t="str">
        <f aca="false">IF(OR($A109="",$D109=""),"",IF(AND(EDATE($D109,Milestones!$AA$180)&lt;=AsOfDate,IF($R109=0,$X109,IF(AND($T109&lt;&gt;"",EDATE($D109,Milestones!$AA$180)&gt;=$T109),$W109,IF(AND($S109&lt;&gt;"",EDATE($D109,Milestones!$AA$180)&gt;=$S109),$V109,$U109)))=Milestones!$AB$180),UPPER(TEXT(EDATE($D109,Milestones!$AA$180),"dd mmm yy"))&amp;" "&amp;Milestones!$AB$180&amp;" "&amp;Milestones!$AC$180&amp;";  ","")&amp;IF(AND(EDATE($D109,Milestones!$AA$181)&lt;=AsOfDate,IF($R109=0,$X109,IF(AND($T109&lt;&gt;"",EDATE($D109,Milestones!$AA$181)&gt;=$T109),$W109,IF(AND($S109&lt;&gt;"",EDATE($D109,Milestones!$AA$181)&gt;=$S109),$V109,$U109)))=Milestones!$AB$181),UPPER(TEXT(EDATE($D109,Milestones!$AA$181),"dd mmm yy"))&amp;" "&amp;Milestones!$AB$181&amp;" "&amp;Milestones!$AC$181&amp;";  ","")&amp;IF(AND(EDATE($D109,Milestones!$AA$182)&lt;=AsOfDate,IF($R109=0,$X109,IF(AND($T109&lt;&gt;"",EDATE($D109,Milestones!$AA$182)&gt;=$T109),$W109,IF(AND($S109&lt;&gt;"",EDATE($D109,Milestones!$AA$182)&gt;=$S109),$V109,$U109)))=Milestones!$AB$182),UPPER(TEXT(EDATE($D109,Milestones!$AA$182),"dd mmm yy"))&amp;" "&amp;Milestones!$AB$182&amp;" "&amp;Milestones!$AC$182&amp;";  ","")&amp;IF(AND(EDATE($D109,Milestones!$AA$183)&lt;=AsOfDate,IF($R109=0,$X109,IF(AND($T109&lt;&gt;"",EDATE($D109,Milestones!$AA$183)&gt;=$T109),$W109,IF(AND($S109&lt;&gt;"",EDATE($D109,Milestones!$AA$183)&gt;=$S109),$V109,$U109)))=Milestones!$AB$183),UPPER(TEXT(EDATE($D109,Milestones!$AA$183),"dd mmm yy"))&amp;" "&amp;Milestones!$AB$183&amp;" "&amp;Milestones!$AC$183&amp;";  ","")&amp;IF(AND(EDATE($D109,Milestones!$AA$184)&lt;=AsOfDate,IF($R109=0,$X109,IF(AND($T109&lt;&gt;"",EDATE($D109,Milestones!$AA$184)&gt;=$T109),$W109,IF(AND($S109&lt;&gt;"",EDATE($D109,Milestones!$AA$184)&gt;=$S109),$V109,$U109)))=Milestones!$AB$184),UPPER(TEXT(EDATE($D109,Milestones!$AA$184),"dd mmm yy"))&amp;" "&amp;Milestones!$AB$184&amp;" "&amp;Milestones!$AC$184&amp;";  ","")&amp;IF(AND(EDATE($D109,Milestones!$AA$185)&lt;=AsOfDate,IF($R109=0,$X109,IF(AND($T109&lt;&gt;"",EDATE($D109,Milestones!$AA$185)&gt;=$T109),$W109,IF(AND($S109&lt;&gt;"",EDATE($D109,Milestones!$AA$185)&gt;=$S109),$V109,$U109)))=Milestones!$AB$185),UPPER(TEXT(EDATE($D109,Milestones!$AA$185),"dd mmm yy"))&amp;" "&amp;Milestones!$AB$185&amp;" "&amp;Milestones!$AC$185&amp;";  ","")&amp;IF(AND(EDATE($D109,Milestones!$AA$186)&lt;=AsOfDate,IF($R109=0,$X109,IF(AND($T109&lt;&gt;"",EDATE($D109,Milestones!$AA$186)&gt;=$T109),$W109,IF(AND($S109&lt;&gt;"",EDATE($D109,Milestones!$AA$186)&gt;=$S109),$V109,$U109)))=Milestones!$AB$186),UPPER(TEXT(EDATE($D109,Milestones!$AA$186),"dd mmm yy"))&amp;" "&amp;Milestones!$AB$186&amp;" "&amp;Milestones!$AC$186&amp;";  ","")&amp;IF(AND(EDATE($D109,Milestones!$AA$187)&lt;=AsOfDate,IF($R109=0,$X109,IF(AND($T109&lt;&gt;"",EDATE($D109,Milestones!$AA$187)&gt;=$T109),$W109,IF(AND($S109&lt;&gt;"",EDATE($D109,Milestones!$AA$187)&gt;=$S109),$V109,$U109)))=Milestones!$AB$187),UPPER(TEXT(EDATE($D109,Milestones!$AA$187),"dd mmm yy"))&amp;" "&amp;Milestones!$AB$187&amp;" "&amp;Milestones!$AC$187&amp;";  ","")&amp;IF(AND(EDATE($D109,Milestones!$AA$188)&lt;=AsOfDate,IF($R109=0,$X109,IF(AND($T109&lt;&gt;"",EDATE($D109,Milestones!$AA$188)&gt;=$T109),$W109,IF(AND($S109&lt;&gt;"",EDATE($D109,Milestones!$AA$188)&gt;=$S109),$V109,$U109)))=Milestones!$AB$188),UPPER(TEXT(EDATE($D109,Milestones!$AA$188),"dd mmm yy"))&amp;" "&amp;Milestones!$AB$188&amp;" "&amp;Milestones!$AC$188&amp;";  ","")&amp;IF(AND(EDATE($D109,Milestones!$AA$189)&lt;=AsOfDate,IF($R109=0,$X109,IF(AND($T109&lt;&gt;"",EDATE($D109,Milestones!$AA$189)&gt;=$T109),$W109,IF(AND($S109&lt;&gt;"",EDATE($D109,Milestones!$AA$189)&gt;=$S109),$V109,$U109)))=Milestones!$AB$189),UPPER(TEXT(EDATE($D109,Milestones!$AA$189),"dd mmm yy"))&amp;" "&amp;Milestones!$AB$189&amp;" "&amp;Milestones!$AC$189&amp;";  ","")&amp;IF(AND(EDATE($D109,Milestones!$AA$190)&lt;=AsOfDate,IF($R109=0,$X109,IF(AND($T109&lt;&gt;"",EDATE($D109,Milestones!$AA$190)&gt;=$T109),$W109,IF(AND($S109&lt;&gt;"",EDATE($D109,Milestones!$AA$190)&gt;=$S109),$V109,$U109)))=Milestones!$AB$190),UPPER(TEXT(EDATE($D109,Milestones!$AA$190),"dd mmm yy"))&amp;" "&amp;Milestones!$AB$190&amp;" "&amp;Milestones!$AC$190&amp;";  ","")&amp;IF(AND(EDATE($D109,Milestones!$AA$191)&lt;=AsOfDate,IF($R109=0,$X109,IF(AND($T109&lt;&gt;"",EDATE($D109,Milestones!$AA$191)&gt;=$T109),$W109,IF(AND($S109&lt;&gt;"",EDATE($D109,Milestones!$AA$191)&gt;=$S109),$V109,$U109)))=Milestones!$AB$191),UPPER(TEXT(EDATE($D109,Milestones!$AA$191),"dd mmm yy"))&amp;" "&amp;Milestones!$AB$191&amp;" "&amp;Milestones!$AC$191&amp;";  ","")&amp;IF(AND(EDATE($D109,Milestones!$AA$192)&lt;=AsOfDate,IF($R109=0,$X109,IF(AND($T109&lt;&gt;"",EDATE($D109,Milestones!$AA$192)&gt;=$T109),$W109,IF(AND($S109&lt;&gt;"",EDATE($D109,Milestones!$AA$192)&gt;=$S109),$V109,$U109)))=Milestones!$AB$192),UPPER(TEXT(EDATE($D109,Milestones!$AA$192),"dd mmm yy"))&amp;" "&amp;Milestones!$AB$192&amp;" "&amp;Milestones!$AC$192&amp;";  ","")&amp;IF(AND(EDATE($D109,Milestones!$AA$193)&lt;=AsOfDate,IF($R109=0,$X109,IF(AND($T109&lt;&gt;"",EDATE($D109,Milestones!$AA$193)&gt;=$T109),$W109,IF(AND($S109&lt;&gt;"",EDATE($D109,Milestones!$AA$193)&gt;=$S109),$V109,$U109)))=Milestones!$AB$193),UPPER(TEXT(EDATE($D109,Milestones!$AA$193),"dd mmm yy"))&amp;" "&amp;Milestones!$AB$193&amp;" "&amp;Milestones!$AC$193&amp;";  ","")&amp;IF(AND(EDATE($D109,Milestones!$AA$194)&lt;=AsOfDate,IF($R109=0,$X109,IF(AND($T109&lt;&gt;"",EDATE($D109,Milestones!$AA$194)&gt;=$T109),$W109,IF(AND($S109&lt;&gt;"",EDATE($D109,Milestones!$AA$194)&gt;=$S109),$V109,$U109)))=Milestones!$AB$194),UPPER(TEXT(EDATE($D109,Milestones!$AA$194),"dd mmm yy"))&amp;" "&amp;Milestones!$AB$194&amp;" "&amp;Milestones!$AC$194&amp;";  ","")&amp;IF(AND(EDATE($D109,Milestones!$AA$195)&lt;=AsOfDate,IF($R109=0,$X109,IF(AND($T109&lt;&gt;"",EDATE($D109,Milestones!$AA$195)&gt;=$T109),$W109,IF(AND($S109&lt;&gt;"",EDATE($D109,Milestones!$AA$195)&gt;=$S109),$V109,$U109)))=Milestones!$AB$195),UPPER(TEXT(EDATE($D109,Milestones!$AA$195),"dd mmm yy"))&amp;" "&amp;Milestones!$AB$195&amp;" "&amp;Milestones!$AC$195&amp;";  ","")&amp;IF(AND(EDATE($D109,Milestones!$AA$196)&lt;=AsOfDate,IF($R109=0,$X109,IF(AND($T109&lt;&gt;"",EDATE($D109,Milestones!$AA$196)&gt;=$T109),$W109,IF(AND($S109&lt;&gt;"",EDATE($D109,Milestones!$AA$196)&gt;=$S109),$V109,$U109)))=Milestones!$AB$196),UPPER(TEXT(EDATE($D109,Milestones!$AA$196),"dd mmm yy"))&amp;" "&amp;Milestones!$AB$196&amp;" "&amp;Milestones!$AC$196&amp;";  ","")&amp;IF(AND(EDATE($D109,Milestones!$AA$197)&lt;=AsOfDate,IF($R109=0,$X109,IF(AND($T109&lt;&gt;"",EDATE($D109,Milestones!$AA$197)&gt;=$T109),$W109,IF(AND($S109&lt;&gt;"",EDATE($D109,Milestones!$AA$197)&gt;=$S109),$V109,$U109)))=Milestones!$AB$197),UPPER(TEXT(EDATE($D109,Milestones!$AA$197),"dd mmm yy"))&amp;" "&amp;Milestones!$AB$197&amp;" "&amp;Milestones!$AC$197&amp;";  ","")&amp;IF(AND(EDATE($D109,Milestones!$AA$198)&lt;=AsOfDate,IF($R109=0,$X109,IF(AND($T109&lt;&gt;"",EDATE($D109,Milestones!$AA$198)&gt;=$T109),$W109,IF(AND($S109&lt;&gt;"",EDATE($D109,Milestones!$AA$198)&gt;=$S109),$V109,$U109)))=Milestones!$AB$198),UPPER(TEXT(EDATE($D109,Milestones!$AA$198),"dd mmm yy"))&amp;" "&amp;Milestones!$AB$198&amp;" "&amp;Milestones!$AC$198&amp;";  ","")&amp;IF(AND(EDATE($D109,Milestones!$AA$199)&lt;=AsOfDate,IF($R109=0,$X109,IF(AND($T109&lt;&gt;"",EDATE($D109,Milestones!$AA$199)&gt;=$T109),$W109,IF(AND($S109&lt;&gt;"",EDATE($D109,Milestones!$AA$199)&gt;=$S109),$V109,$U109)))=Milestones!$AB$199),UPPER(TEXT(EDATE($D109,Milestones!$AA$199),"dd mmm yy"))&amp;" "&amp;Milestones!$AB$199&amp;" "&amp;Milestones!$AC$199&amp;";  ",""))</f>
        <v/>
      </c>
      <c r="R109" s="0" t="str">
        <f aca="false">IF(Staff!$A109="","",Staff!$AI109)</f>
        <v/>
      </c>
      <c r="S109" s="0" t="str">
        <f aca="false">IF(Staff!$A109="","",Staff!$AK109)</f>
        <v/>
      </c>
      <c r="T109" s="0" t="str">
        <f aca="false">IF(Staff!$A109="","",Staff!$AL109)</f>
        <v/>
      </c>
      <c r="U109" s="0" t="str">
        <f aca="false">IF(Staff!$A109="","",Staff!$AP109)</f>
        <v/>
      </c>
      <c r="V109" s="0" t="str">
        <f aca="false">IF(Staff!$A109="","",Staff!$AQ109)</f>
        <v/>
      </c>
      <c r="W109" s="0" t="str">
        <f aca="false">IF(Staff!$A109="","",Staff!$AR109)</f>
        <v/>
      </c>
      <c r="X109" s="0" t="str">
        <f aca="false">IF(Staff!$A109="","",Staff!$AS109)</f>
        <v/>
      </c>
    </row>
    <row r="110" customFormat="false" ht="15" hidden="false" customHeight="false" outlineLevel="0" collapsed="false">
      <c r="A110" s="19" t="str">
        <f aca="false">IF(Staff!$A110="","",Staff!$A110)</f>
        <v/>
      </c>
      <c r="B110" s="19" t="str">
        <f aca="false">IF(Staff!$A110="","",Staff!$B110)</f>
        <v/>
      </c>
      <c r="C110" s="19" t="str">
        <f aca="false">IF(Staff!$A110="","",Staff!$C110)</f>
        <v/>
      </c>
      <c r="D110" s="17" t="str">
        <f aca="false">IF(Staff!$A110="","",Staff!$AH110)</f>
        <v/>
      </c>
      <c r="E110" s="19" t="str">
        <f aca="false">IF(Staff!$A110="","",Staff!$O110)</f>
        <v/>
      </c>
      <c r="F110" s="19" t="str">
        <f aca="false">IF(E110="","",E110*HoursPerDay)</f>
        <v/>
      </c>
      <c r="G110" s="19" t="str">
        <f aca="false">IF(Staff!$A110="","",Staff!$AE110)</f>
        <v/>
      </c>
      <c r="H110" s="32" t="str">
        <f aca="false">IF($A110="","",I110&amp;J110&amp;K110&amp;L110&amp;M110&amp;N110&amp;O110&amp;P110&amp;Q110)</f>
        <v/>
      </c>
      <c r="I110" s="0" t="str">
        <f aca="false">IF(OR($A110="",$D110=""),"",IF(AND(EDATE($D110,Milestones!$AA$20)&lt;=AsOfDate,IF($R110=0,$X110,IF(AND($T110&lt;&gt;"",EDATE($D110,Milestones!$AA$20)&gt;=$T110),$W110,IF(AND($S110&lt;&gt;"",EDATE($D110,Milestones!$AA$20)&gt;=$S110),$V110,$U110)))=Milestones!$AB$20),UPPER(TEXT(EDATE($D110,Milestones!$AA$20),"dd mmm yy"))&amp;" "&amp;Milestones!$AB$20&amp;" "&amp;Milestones!$AC$20&amp;";  ","")&amp;IF(AND(EDATE($D110,Milestones!$AA$21)&lt;=AsOfDate,IF($R110=0,$X110,IF(AND($T110&lt;&gt;"",EDATE($D110,Milestones!$AA$21)&gt;=$T110),$W110,IF(AND($S110&lt;&gt;"",EDATE($D110,Milestones!$AA$21)&gt;=$S110),$V110,$U110)))=Milestones!$AB$21),UPPER(TEXT(EDATE($D110,Milestones!$AA$21),"dd mmm yy"))&amp;" "&amp;Milestones!$AB$21&amp;" "&amp;Milestones!$AC$21&amp;";  ","")&amp;IF(AND(EDATE($D110,Milestones!$AA$22)&lt;=AsOfDate,IF($R110=0,$X110,IF(AND($T110&lt;&gt;"",EDATE($D110,Milestones!$AA$22)&gt;=$T110),$W110,IF(AND($S110&lt;&gt;"",EDATE($D110,Milestones!$AA$22)&gt;=$S110),$V110,$U110)))=Milestones!$AB$22),UPPER(TEXT(EDATE($D110,Milestones!$AA$22),"dd mmm yy"))&amp;" "&amp;Milestones!$AB$22&amp;" "&amp;Milestones!$AC$22&amp;";  ","")&amp;IF(AND(EDATE($D110,Milestones!$AA$23)&lt;=AsOfDate,IF($R110=0,$X110,IF(AND($T110&lt;&gt;"",EDATE($D110,Milestones!$AA$23)&gt;=$T110),$W110,IF(AND($S110&lt;&gt;"",EDATE($D110,Milestones!$AA$23)&gt;=$S110),$V110,$U110)))=Milestones!$AB$23),UPPER(TEXT(EDATE($D110,Milestones!$AA$23),"dd mmm yy"))&amp;" "&amp;Milestones!$AB$23&amp;" "&amp;Milestones!$AC$23&amp;";  ","")&amp;IF(AND(EDATE($D110,Milestones!$AA$24)&lt;=AsOfDate,IF($R110=0,$X110,IF(AND($T110&lt;&gt;"",EDATE($D110,Milestones!$AA$24)&gt;=$T110),$W110,IF(AND($S110&lt;&gt;"",EDATE($D110,Milestones!$AA$24)&gt;=$S110),$V110,$U110)))=Milestones!$AB$24),UPPER(TEXT(EDATE($D110,Milestones!$AA$24),"dd mmm yy"))&amp;" "&amp;Milestones!$AB$24&amp;" "&amp;Milestones!$AC$24&amp;";  ","")&amp;IF(AND(EDATE($D110,Milestones!$AA$25)&lt;=AsOfDate,IF($R110=0,$X110,IF(AND($T110&lt;&gt;"",EDATE($D110,Milestones!$AA$25)&gt;=$T110),$W110,IF(AND($S110&lt;&gt;"",EDATE($D110,Milestones!$AA$25)&gt;=$S110),$V110,$U110)))=Milestones!$AB$25),UPPER(TEXT(EDATE($D110,Milestones!$AA$25),"dd mmm yy"))&amp;" "&amp;Milestones!$AB$25&amp;" "&amp;Milestones!$AC$25&amp;";  ","")&amp;IF(AND(EDATE($D110,Milestones!$AA$26)&lt;=AsOfDate,IF($R110=0,$X110,IF(AND($T110&lt;&gt;"",EDATE($D110,Milestones!$AA$26)&gt;=$T110),$W110,IF(AND($S110&lt;&gt;"",EDATE($D110,Milestones!$AA$26)&gt;=$S110),$V110,$U110)))=Milestones!$AB$26),UPPER(TEXT(EDATE($D110,Milestones!$AA$26),"dd mmm yy"))&amp;" "&amp;Milestones!$AB$26&amp;" "&amp;Milestones!$AC$26&amp;";  ","")&amp;IF(AND(EDATE($D110,Milestones!$AA$27)&lt;=AsOfDate,IF($R110=0,$X110,IF(AND($T110&lt;&gt;"",EDATE($D110,Milestones!$AA$27)&gt;=$T110),$W110,IF(AND($S110&lt;&gt;"",EDATE($D110,Milestones!$AA$27)&gt;=$S110),$V110,$U110)))=Milestones!$AB$27),UPPER(TEXT(EDATE($D110,Milestones!$AA$27),"dd mmm yy"))&amp;" "&amp;Milestones!$AB$27&amp;" "&amp;Milestones!$AC$27&amp;";  ","")&amp;IF(AND(EDATE($D110,Milestones!$AA$28)&lt;=AsOfDate,IF($R110=0,$X110,IF(AND($T110&lt;&gt;"",EDATE($D110,Milestones!$AA$28)&gt;=$T110),$W110,IF(AND($S110&lt;&gt;"",EDATE($D110,Milestones!$AA$28)&gt;=$S110),$V110,$U110)))=Milestones!$AB$28),UPPER(TEXT(EDATE($D110,Milestones!$AA$28),"dd mmm yy"))&amp;" "&amp;Milestones!$AB$28&amp;" "&amp;Milestones!$AC$28&amp;";  ","")&amp;IF(AND(EDATE($D110,Milestones!$AA$29)&lt;=AsOfDate,IF($R110=0,$X110,IF(AND($T110&lt;&gt;"",EDATE($D110,Milestones!$AA$29)&gt;=$T110),$W110,IF(AND($S110&lt;&gt;"",EDATE($D110,Milestones!$AA$29)&gt;=$S110),$V110,$U110)))=Milestones!$AB$29),UPPER(TEXT(EDATE($D110,Milestones!$AA$29),"dd mmm yy"))&amp;" "&amp;Milestones!$AB$29&amp;" "&amp;Milestones!$AC$29&amp;";  ","")&amp;IF(AND(EDATE($D110,Milestones!$AA$30)&lt;=AsOfDate,IF($R110=0,$X110,IF(AND($T110&lt;&gt;"",EDATE($D110,Milestones!$AA$30)&gt;=$T110),$W110,IF(AND($S110&lt;&gt;"",EDATE($D110,Milestones!$AA$30)&gt;=$S110),$V110,$U110)))=Milestones!$AB$30),UPPER(TEXT(EDATE($D110,Milestones!$AA$30),"dd mmm yy"))&amp;" "&amp;Milestones!$AB$30&amp;" "&amp;Milestones!$AC$30&amp;";  ","")&amp;IF(AND(EDATE($D110,Milestones!$AA$31)&lt;=AsOfDate,IF($R110=0,$X110,IF(AND($T110&lt;&gt;"",EDATE($D110,Milestones!$AA$31)&gt;=$T110),$W110,IF(AND($S110&lt;&gt;"",EDATE($D110,Milestones!$AA$31)&gt;=$S110),$V110,$U110)))=Milestones!$AB$31),UPPER(TEXT(EDATE($D110,Milestones!$AA$31),"dd mmm yy"))&amp;" "&amp;Milestones!$AB$31&amp;" "&amp;Milestones!$AC$31&amp;";  ","")&amp;IF(AND(EDATE($D110,Milestones!$AA$32)&lt;=AsOfDate,IF($R110=0,$X110,IF(AND($T110&lt;&gt;"",EDATE($D110,Milestones!$AA$32)&gt;=$T110),$W110,IF(AND($S110&lt;&gt;"",EDATE($D110,Milestones!$AA$32)&gt;=$S110),$V110,$U110)))=Milestones!$AB$32),UPPER(TEXT(EDATE($D110,Milestones!$AA$32),"dd mmm yy"))&amp;" "&amp;Milestones!$AB$32&amp;" "&amp;Milestones!$AC$32&amp;";  ","")&amp;IF(AND(EDATE($D110,Milestones!$AA$33)&lt;=AsOfDate,IF($R110=0,$X110,IF(AND($T110&lt;&gt;"",EDATE($D110,Milestones!$AA$33)&gt;=$T110),$W110,IF(AND($S110&lt;&gt;"",EDATE($D110,Milestones!$AA$33)&gt;=$S110),$V110,$U110)))=Milestones!$AB$33),UPPER(TEXT(EDATE($D110,Milestones!$AA$33),"dd mmm yy"))&amp;" "&amp;Milestones!$AB$33&amp;" "&amp;Milestones!$AC$33&amp;";  ","")&amp;IF(AND(EDATE($D110,Milestones!$AA$34)&lt;=AsOfDate,IF($R110=0,$X110,IF(AND($T110&lt;&gt;"",EDATE($D110,Milestones!$AA$34)&gt;=$T110),$W110,IF(AND($S110&lt;&gt;"",EDATE($D110,Milestones!$AA$34)&gt;=$S110),$V110,$U110)))=Milestones!$AB$34),UPPER(TEXT(EDATE($D110,Milestones!$AA$34),"dd mmm yy"))&amp;" "&amp;Milestones!$AB$34&amp;" "&amp;Milestones!$AC$34&amp;";  ","")&amp;IF(AND(EDATE($D110,Milestones!$AA$35)&lt;=AsOfDate,IF($R110=0,$X110,IF(AND($T110&lt;&gt;"",EDATE($D110,Milestones!$AA$35)&gt;=$T110),$W110,IF(AND($S110&lt;&gt;"",EDATE($D110,Milestones!$AA$35)&gt;=$S110),$V110,$U110)))=Milestones!$AB$35),UPPER(TEXT(EDATE($D110,Milestones!$AA$35),"dd mmm yy"))&amp;" "&amp;Milestones!$AB$35&amp;" "&amp;Milestones!$AC$35&amp;";  ","")&amp;IF(AND(EDATE($D110,Milestones!$AA$36)&lt;=AsOfDate,IF($R110=0,$X110,IF(AND($T110&lt;&gt;"",EDATE($D110,Milestones!$AA$36)&gt;=$T110),$W110,IF(AND($S110&lt;&gt;"",EDATE($D110,Milestones!$AA$36)&gt;=$S110),$V110,$U110)))=Milestones!$AB$36),UPPER(TEXT(EDATE($D110,Milestones!$AA$36),"dd mmm yy"))&amp;" "&amp;Milestones!$AB$36&amp;" "&amp;Milestones!$AC$36&amp;";  ","")&amp;IF(AND(EDATE($D110,Milestones!$AA$37)&lt;=AsOfDate,IF($R110=0,$X110,IF(AND($T110&lt;&gt;"",EDATE($D110,Milestones!$AA$37)&gt;=$T110),$W110,IF(AND($S110&lt;&gt;"",EDATE($D110,Milestones!$AA$37)&gt;=$S110),$V110,$U110)))=Milestones!$AB$37),UPPER(TEXT(EDATE($D110,Milestones!$AA$37),"dd mmm yy"))&amp;" "&amp;Milestones!$AB$37&amp;" "&amp;Milestones!$AC$37&amp;";  ","")&amp;IF(AND(EDATE($D110,Milestones!$AA$38)&lt;=AsOfDate,IF($R110=0,$X110,IF(AND($T110&lt;&gt;"",EDATE($D110,Milestones!$AA$38)&gt;=$T110),$W110,IF(AND($S110&lt;&gt;"",EDATE($D110,Milestones!$AA$38)&gt;=$S110),$V110,$U110)))=Milestones!$AB$38),UPPER(TEXT(EDATE($D110,Milestones!$AA$38),"dd mmm yy"))&amp;" "&amp;Milestones!$AB$38&amp;" "&amp;Milestones!$AC$38&amp;";  ","")&amp;IF(AND(EDATE($D110,Milestones!$AA$39)&lt;=AsOfDate,IF($R110=0,$X110,IF(AND($T110&lt;&gt;"",EDATE($D110,Milestones!$AA$39)&gt;=$T110),$W110,IF(AND($S110&lt;&gt;"",EDATE($D110,Milestones!$AA$39)&gt;=$S110),$V110,$U110)))=Milestones!$AB$39),UPPER(TEXT(EDATE($D110,Milestones!$AA$39),"dd mmm yy"))&amp;" "&amp;Milestones!$AB$39&amp;" "&amp;Milestones!$AC$39&amp;";  ",""))</f>
        <v/>
      </c>
      <c r="J110" s="0" t="str">
        <f aca="false">IF(OR($A110="",$D110=""),"",IF(AND(EDATE($D110,Milestones!$AA$40)&lt;=AsOfDate,IF($R110=0,$X110,IF(AND($T110&lt;&gt;"",EDATE($D110,Milestones!$AA$40)&gt;=$T110),$W110,IF(AND($S110&lt;&gt;"",EDATE($D110,Milestones!$AA$40)&gt;=$S110),$V110,$U110)))=Milestones!$AB$40),UPPER(TEXT(EDATE($D110,Milestones!$AA$40),"dd mmm yy"))&amp;" "&amp;Milestones!$AB$40&amp;" "&amp;Milestones!$AC$40&amp;";  ","")&amp;IF(AND(EDATE($D110,Milestones!$AA$41)&lt;=AsOfDate,IF($R110=0,$X110,IF(AND($T110&lt;&gt;"",EDATE($D110,Milestones!$AA$41)&gt;=$T110),$W110,IF(AND($S110&lt;&gt;"",EDATE($D110,Milestones!$AA$41)&gt;=$S110),$V110,$U110)))=Milestones!$AB$41),UPPER(TEXT(EDATE($D110,Milestones!$AA$41),"dd mmm yy"))&amp;" "&amp;Milestones!$AB$41&amp;" "&amp;Milestones!$AC$41&amp;";  ","")&amp;IF(AND(EDATE($D110,Milestones!$AA$42)&lt;=AsOfDate,IF($R110=0,$X110,IF(AND($T110&lt;&gt;"",EDATE($D110,Milestones!$AA$42)&gt;=$T110),$W110,IF(AND($S110&lt;&gt;"",EDATE($D110,Milestones!$AA$42)&gt;=$S110),$V110,$U110)))=Milestones!$AB$42),UPPER(TEXT(EDATE($D110,Milestones!$AA$42),"dd mmm yy"))&amp;" "&amp;Milestones!$AB$42&amp;" "&amp;Milestones!$AC$42&amp;";  ","")&amp;IF(AND(EDATE($D110,Milestones!$AA$43)&lt;=AsOfDate,IF($R110=0,$X110,IF(AND($T110&lt;&gt;"",EDATE($D110,Milestones!$AA$43)&gt;=$T110),$W110,IF(AND($S110&lt;&gt;"",EDATE($D110,Milestones!$AA$43)&gt;=$S110),$V110,$U110)))=Milestones!$AB$43),UPPER(TEXT(EDATE($D110,Milestones!$AA$43),"dd mmm yy"))&amp;" "&amp;Milestones!$AB$43&amp;" "&amp;Milestones!$AC$43&amp;";  ","")&amp;IF(AND(EDATE($D110,Milestones!$AA$44)&lt;=AsOfDate,IF($R110=0,$X110,IF(AND($T110&lt;&gt;"",EDATE($D110,Milestones!$AA$44)&gt;=$T110),$W110,IF(AND($S110&lt;&gt;"",EDATE($D110,Milestones!$AA$44)&gt;=$S110),$V110,$U110)))=Milestones!$AB$44),UPPER(TEXT(EDATE($D110,Milestones!$AA$44),"dd mmm yy"))&amp;" "&amp;Milestones!$AB$44&amp;" "&amp;Milestones!$AC$44&amp;";  ","")&amp;IF(AND(EDATE($D110,Milestones!$AA$45)&lt;=AsOfDate,IF($R110=0,$X110,IF(AND($T110&lt;&gt;"",EDATE($D110,Milestones!$AA$45)&gt;=$T110),$W110,IF(AND($S110&lt;&gt;"",EDATE($D110,Milestones!$AA$45)&gt;=$S110),$V110,$U110)))=Milestones!$AB$45),UPPER(TEXT(EDATE($D110,Milestones!$AA$45),"dd mmm yy"))&amp;" "&amp;Milestones!$AB$45&amp;" "&amp;Milestones!$AC$45&amp;";  ","")&amp;IF(AND(EDATE($D110,Milestones!$AA$46)&lt;=AsOfDate,IF($R110=0,$X110,IF(AND($T110&lt;&gt;"",EDATE($D110,Milestones!$AA$46)&gt;=$T110),$W110,IF(AND($S110&lt;&gt;"",EDATE($D110,Milestones!$AA$46)&gt;=$S110),$V110,$U110)))=Milestones!$AB$46),UPPER(TEXT(EDATE($D110,Milestones!$AA$46),"dd mmm yy"))&amp;" "&amp;Milestones!$AB$46&amp;" "&amp;Milestones!$AC$46&amp;";  ","")&amp;IF(AND(EDATE($D110,Milestones!$AA$47)&lt;=AsOfDate,IF($R110=0,$X110,IF(AND($T110&lt;&gt;"",EDATE($D110,Milestones!$AA$47)&gt;=$T110),$W110,IF(AND($S110&lt;&gt;"",EDATE($D110,Milestones!$AA$47)&gt;=$S110),$V110,$U110)))=Milestones!$AB$47),UPPER(TEXT(EDATE($D110,Milestones!$AA$47),"dd mmm yy"))&amp;" "&amp;Milestones!$AB$47&amp;" "&amp;Milestones!$AC$47&amp;";  ","")&amp;IF(AND(EDATE($D110,Milestones!$AA$48)&lt;=AsOfDate,IF($R110=0,$X110,IF(AND($T110&lt;&gt;"",EDATE($D110,Milestones!$AA$48)&gt;=$T110),$W110,IF(AND($S110&lt;&gt;"",EDATE($D110,Milestones!$AA$48)&gt;=$S110),$V110,$U110)))=Milestones!$AB$48),UPPER(TEXT(EDATE($D110,Milestones!$AA$48),"dd mmm yy"))&amp;" "&amp;Milestones!$AB$48&amp;" "&amp;Milestones!$AC$48&amp;";  ","")&amp;IF(AND(EDATE($D110,Milestones!$AA$49)&lt;=AsOfDate,IF($R110=0,$X110,IF(AND($T110&lt;&gt;"",EDATE($D110,Milestones!$AA$49)&gt;=$T110),$W110,IF(AND($S110&lt;&gt;"",EDATE($D110,Milestones!$AA$49)&gt;=$S110),$V110,$U110)))=Milestones!$AB$49),UPPER(TEXT(EDATE($D110,Milestones!$AA$49),"dd mmm yy"))&amp;" "&amp;Milestones!$AB$49&amp;" "&amp;Milestones!$AC$49&amp;";  ","")&amp;IF(AND(EDATE($D110,Milestones!$AA$50)&lt;=AsOfDate,IF($R110=0,$X110,IF(AND($T110&lt;&gt;"",EDATE($D110,Milestones!$AA$50)&gt;=$T110),$W110,IF(AND($S110&lt;&gt;"",EDATE($D110,Milestones!$AA$50)&gt;=$S110),$V110,$U110)))=Milestones!$AB$50),UPPER(TEXT(EDATE($D110,Milestones!$AA$50),"dd mmm yy"))&amp;" "&amp;Milestones!$AB$50&amp;" "&amp;Milestones!$AC$50&amp;";  ","")&amp;IF(AND(EDATE($D110,Milestones!$AA$51)&lt;=AsOfDate,IF($R110=0,$X110,IF(AND($T110&lt;&gt;"",EDATE($D110,Milestones!$AA$51)&gt;=$T110),$W110,IF(AND($S110&lt;&gt;"",EDATE($D110,Milestones!$AA$51)&gt;=$S110),$V110,$U110)))=Milestones!$AB$51),UPPER(TEXT(EDATE($D110,Milestones!$AA$51),"dd mmm yy"))&amp;" "&amp;Milestones!$AB$51&amp;" "&amp;Milestones!$AC$51&amp;";  ","")&amp;IF(AND(EDATE($D110,Milestones!$AA$52)&lt;=AsOfDate,IF($R110=0,$X110,IF(AND($T110&lt;&gt;"",EDATE($D110,Milestones!$AA$52)&gt;=$T110),$W110,IF(AND($S110&lt;&gt;"",EDATE($D110,Milestones!$AA$52)&gt;=$S110),$V110,$U110)))=Milestones!$AB$52),UPPER(TEXT(EDATE($D110,Milestones!$AA$52),"dd mmm yy"))&amp;" "&amp;Milestones!$AB$52&amp;" "&amp;Milestones!$AC$52&amp;";  ","")&amp;IF(AND(EDATE($D110,Milestones!$AA$53)&lt;=AsOfDate,IF($R110=0,$X110,IF(AND($T110&lt;&gt;"",EDATE($D110,Milestones!$AA$53)&gt;=$T110),$W110,IF(AND($S110&lt;&gt;"",EDATE($D110,Milestones!$AA$53)&gt;=$S110),$V110,$U110)))=Milestones!$AB$53),UPPER(TEXT(EDATE($D110,Milestones!$AA$53),"dd mmm yy"))&amp;" "&amp;Milestones!$AB$53&amp;" "&amp;Milestones!$AC$53&amp;";  ","")&amp;IF(AND(EDATE($D110,Milestones!$AA$54)&lt;=AsOfDate,IF($R110=0,$X110,IF(AND($T110&lt;&gt;"",EDATE($D110,Milestones!$AA$54)&gt;=$T110),$W110,IF(AND($S110&lt;&gt;"",EDATE($D110,Milestones!$AA$54)&gt;=$S110),$V110,$U110)))=Milestones!$AB$54),UPPER(TEXT(EDATE($D110,Milestones!$AA$54),"dd mmm yy"))&amp;" "&amp;Milestones!$AB$54&amp;" "&amp;Milestones!$AC$54&amp;";  ","")&amp;IF(AND(EDATE($D110,Milestones!$AA$55)&lt;=AsOfDate,IF($R110=0,$X110,IF(AND($T110&lt;&gt;"",EDATE($D110,Milestones!$AA$55)&gt;=$T110),$W110,IF(AND($S110&lt;&gt;"",EDATE($D110,Milestones!$AA$55)&gt;=$S110),$V110,$U110)))=Milestones!$AB$55),UPPER(TEXT(EDATE($D110,Milestones!$AA$55),"dd mmm yy"))&amp;" "&amp;Milestones!$AB$55&amp;" "&amp;Milestones!$AC$55&amp;";  ","")&amp;IF(AND(EDATE($D110,Milestones!$AA$56)&lt;=AsOfDate,IF($R110=0,$X110,IF(AND($T110&lt;&gt;"",EDATE($D110,Milestones!$AA$56)&gt;=$T110),$W110,IF(AND($S110&lt;&gt;"",EDATE($D110,Milestones!$AA$56)&gt;=$S110),$V110,$U110)))=Milestones!$AB$56),UPPER(TEXT(EDATE($D110,Milestones!$AA$56),"dd mmm yy"))&amp;" "&amp;Milestones!$AB$56&amp;" "&amp;Milestones!$AC$56&amp;";  ","")&amp;IF(AND(EDATE($D110,Milestones!$AA$57)&lt;=AsOfDate,IF($R110=0,$X110,IF(AND($T110&lt;&gt;"",EDATE($D110,Milestones!$AA$57)&gt;=$T110),$W110,IF(AND($S110&lt;&gt;"",EDATE($D110,Milestones!$AA$57)&gt;=$S110),$V110,$U110)))=Milestones!$AB$57),UPPER(TEXT(EDATE($D110,Milestones!$AA$57),"dd mmm yy"))&amp;" "&amp;Milestones!$AB$57&amp;" "&amp;Milestones!$AC$57&amp;";  ","")&amp;IF(AND(EDATE($D110,Milestones!$AA$58)&lt;=AsOfDate,IF($R110=0,$X110,IF(AND($T110&lt;&gt;"",EDATE($D110,Milestones!$AA$58)&gt;=$T110),$W110,IF(AND($S110&lt;&gt;"",EDATE($D110,Milestones!$AA$58)&gt;=$S110),$V110,$U110)))=Milestones!$AB$58),UPPER(TEXT(EDATE($D110,Milestones!$AA$58),"dd mmm yy"))&amp;" "&amp;Milestones!$AB$58&amp;" "&amp;Milestones!$AC$58&amp;";  ","")&amp;IF(AND(EDATE($D110,Milestones!$AA$59)&lt;=AsOfDate,IF($R110=0,$X110,IF(AND($T110&lt;&gt;"",EDATE($D110,Milestones!$AA$59)&gt;=$T110),$W110,IF(AND($S110&lt;&gt;"",EDATE($D110,Milestones!$AA$59)&gt;=$S110),$V110,$U110)))=Milestones!$AB$59),UPPER(TEXT(EDATE($D110,Milestones!$AA$59),"dd mmm yy"))&amp;" "&amp;Milestones!$AB$59&amp;" "&amp;Milestones!$AC$59&amp;";  ",""))</f>
        <v/>
      </c>
      <c r="K110" s="0" t="str">
        <f aca="false">IF(OR($A110="",$D110=""),"",IF(AND(EDATE($D110,Milestones!$AA$60)&lt;=AsOfDate,IF($R110=0,$X110,IF(AND($T110&lt;&gt;"",EDATE($D110,Milestones!$AA$60)&gt;=$T110),$W110,IF(AND($S110&lt;&gt;"",EDATE($D110,Milestones!$AA$60)&gt;=$S110),$V110,$U110)))=Milestones!$AB$60),UPPER(TEXT(EDATE($D110,Milestones!$AA$60),"dd mmm yy"))&amp;" "&amp;Milestones!$AB$60&amp;" "&amp;Milestones!$AC$60&amp;";  ","")&amp;IF(AND(EDATE($D110,Milestones!$AA$61)&lt;=AsOfDate,IF($R110=0,$X110,IF(AND($T110&lt;&gt;"",EDATE($D110,Milestones!$AA$61)&gt;=$T110),$W110,IF(AND($S110&lt;&gt;"",EDATE($D110,Milestones!$AA$61)&gt;=$S110),$V110,$U110)))=Milestones!$AB$61),UPPER(TEXT(EDATE($D110,Milestones!$AA$61),"dd mmm yy"))&amp;" "&amp;Milestones!$AB$61&amp;" "&amp;Milestones!$AC$61&amp;";  ","")&amp;IF(AND(EDATE($D110,Milestones!$AA$62)&lt;=AsOfDate,IF($R110=0,$X110,IF(AND($T110&lt;&gt;"",EDATE($D110,Milestones!$AA$62)&gt;=$T110),$W110,IF(AND($S110&lt;&gt;"",EDATE($D110,Milestones!$AA$62)&gt;=$S110),$V110,$U110)))=Milestones!$AB$62),UPPER(TEXT(EDATE($D110,Milestones!$AA$62),"dd mmm yy"))&amp;" "&amp;Milestones!$AB$62&amp;" "&amp;Milestones!$AC$62&amp;";  ","")&amp;IF(AND(EDATE($D110,Milestones!$AA$63)&lt;=AsOfDate,IF($R110=0,$X110,IF(AND($T110&lt;&gt;"",EDATE($D110,Milestones!$AA$63)&gt;=$T110),$W110,IF(AND($S110&lt;&gt;"",EDATE($D110,Milestones!$AA$63)&gt;=$S110),$V110,$U110)))=Milestones!$AB$63),UPPER(TEXT(EDATE($D110,Milestones!$AA$63),"dd mmm yy"))&amp;" "&amp;Milestones!$AB$63&amp;" "&amp;Milestones!$AC$63&amp;";  ","")&amp;IF(AND(EDATE($D110,Milestones!$AA$64)&lt;=AsOfDate,IF($R110=0,$X110,IF(AND($T110&lt;&gt;"",EDATE($D110,Milestones!$AA$64)&gt;=$T110),$W110,IF(AND($S110&lt;&gt;"",EDATE($D110,Milestones!$AA$64)&gt;=$S110),$V110,$U110)))=Milestones!$AB$64),UPPER(TEXT(EDATE($D110,Milestones!$AA$64),"dd mmm yy"))&amp;" "&amp;Milestones!$AB$64&amp;" "&amp;Milestones!$AC$64&amp;";  ","")&amp;IF(AND(EDATE($D110,Milestones!$AA$65)&lt;=AsOfDate,IF($R110=0,$X110,IF(AND($T110&lt;&gt;"",EDATE($D110,Milestones!$AA$65)&gt;=$T110),$W110,IF(AND($S110&lt;&gt;"",EDATE($D110,Milestones!$AA$65)&gt;=$S110),$V110,$U110)))=Milestones!$AB$65),UPPER(TEXT(EDATE($D110,Milestones!$AA$65),"dd mmm yy"))&amp;" "&amp;Milestones!$AB$65&amp;" "&amp;Milestones!$AC$65&amp;";  ","")&amp;IF(AND(EDATE($D110,Milestones!$AA$66)&lt;=AsOfDate,IF($R110=0,$X110,IF(AND($T110&lt;&gt;"",EDATE($D110,Milestones!$AA$66)&gt;=$T110),$W110,IF(AND($S110&lt;&gt;"",EDATE($D110,Milestones!$AA$66)&gt;=$S110),$V110,$U110)))=Milestones!$AB$66),UPPER(TEXT(EDATE($D110,Milestones!$AA$66),"dd mmm yy"))&amp;" "&amp;Milestones!$AB$66&amp;" "&amp;Milestones!$AC$66&amp;";  ","")&amp;IF(AND(EDATE($D110,Milestones!$AA$67)&lt;=AsOfDate,IF($R110=0,$X110,IF(AND($T110&lt;&gt;"",EDATE($D110,Milestones!$AA$67)&gt;=$T110),$W110,IF(AND($S110&lt;&gt;"",EDATE($D110,Milestones!$AA$67)&gt;=$S110),$V110,$U110)))=Milestones!$AB$67),UPPER(TEXT(EDATE($D110,Milestones!$AA$67),"dd mmm yy"))&amp;" "&amp;Milestones!$AB$67&amp;" "&amp;Milestones!$AC$67&amp;";  ","")&amp;IF(AND(EDATE($D110,Milestones!$AA$68)&lt;=AsOfDate,IF($R110=0,$X110,IF(AND($T110&lt;&gt;"",EDATE($D110,Milestones!$AA$68)&gt;=$T110),$W110,IF(AND($S110&lt;&gt;"",EDATE($D110,Milestones!$AA$68)&gt;=$S110),$V110,$U110)))=Milestones!$AB$68),UPPER(TEXT(EDATE($D110,Milestones!$AA$68),"dd mmm yy"))&amp;" "&amp;Milestones!$AB$68&amp;" "&amp;Milestones!$AC$68&amp;";  ","")&amp;IF(AND(EDATE($D110,Milestones!$AA$69)&lt;=AsOfDate,IF($R110=0,$X110,IF(AND($T110&lt;&gt;"",EDATE($D110,Milestones!$AA$69)&gt;=$T110),$W110,IF(AND($S110&lt;&gt;"",EDATE($D110,Milestones!$AA$69)&gt;=$S110),$V110,$U110)))=Milestones!$AB$69),UPPER(TEXT(EDATE($D110,Milestones!$AA$69),"dd mmm yy"))&amp;" "&amp;Milestones!$AB$69&amp;" "&amp;Milestones!$AC$69&amp;";  ","")&amp;IF(AND(EDATE($D110,Milestones!$AA$70)&lt;=AsOfDate,IF($R110=0,$X110,IF(AND($T110&lt;&gt;"",EDATE($D110,Milestones!$AA$70)&gt;=$T110),$W110,IF(AND($S110&lt;&gt;"",EDATE($D110,Milestones!$AA$70)&gt;=$S110),$V110,$U110)))=Milestones!$AB$70),UPPER(TEXT(EDATE($D110,Milestones!$AA$70),"dd mmm yy"))&amp;" "&amp;Milestones!$AB$70&amp;" "&amp;Milestones!$AC$70&amp;";  ","")&amp;IF(AND(EDATE($D110,Milestones!$AA$71)&lt;=AsOfDate,IF($R110=0,$X110,IF(AND($T110&lt;&gt;"",EDATE($D110,Milestones!$AA$71)&gt;=$T110),$W110,IF(AND($S110&lt;&gt;"",EDATE($D110,Milestones!$AA$71)&gt;=$S110),$V110,$U110)))=Milestones!$AB$71),UPPER(TEXT(EDATE($D110,Milestones!$AA$71),"dd mmm yy"))&amp;" "&amp;Milestones!$AB$71&amp;" "&amp;Milestones!$AC$71&amp;";  ","")&amp;IF(AND(EDATE($D110,Milestones!$AA$72)&lt;=AsOfDate,IF($R110=0,$X110,IF(AND($T110&lt;&gt;"",EDATE($D110,Milestones!$AA$72)&gt;=$T110),$W110,IF(AND($S110&lt;&gt;"",EDATE($D110,Milestones!$AA$72)&gt;=$S110),$V110,$U110)))=Milestones!$AB$72),UPPER(TEXT(EDATE($D110,Milestones!$AA$72),"dd mmm yy"))&amp;" "&amp;Milestones!$AB$72&amp;" "&amp;Milestones!$AC$72&amp;";  ","")&amp;IF(AND(EDATE($D110,Milestones!$AA$73)&lt;=AsOfDate,IF($R110=0,$X110,IF(AND($T110&lt;&gt;"",EDATE($D110,Milestones!$AA$73)&gt;=$T110),$W110,IF(AND($S110&lt;&gt;"",EDATE($D110,Milestones!$AA$73)&gt;=$S110),$V110,$U110)))=Milestones!$AB$73),UPPER(TEXT(EDATE($D110,Milestones!$AA$73),"dd mmm yy"))&amp;" "&amp;Milestones!$AB$73&amp;" "&amp;Milestones!$AC$73&amp;";  ","")&amp;IF(AND(EDATE($D110,Milestones!$AA$74)&lt;=AsOfDate,IF($R110=0,$X110,IF(AND($T110&lt;&gt;"",EDATE($D110,Milestones!$AA$74)&gt;=$T110),$W110,IF(AND($S110&lt;&gt;"",EDATE($D110,Milestones!$AA$74)&gt;=$S110),$V110,$U110)))=Milestones!$AB$74),UPPER(TEXT(EDATE($D110,Milestones!$AA$74),"dd mmm yy"))&amp;" "&amp;Milestones!$AB$74&amp;" "&amp;Milestones!$AC$74&amp;";  ","")&amp;IF(AND(EDATE($D110,Milestones!$AA$75)&lt;=AsOfDate,IF($R110=0,$X110,IF(AND($T110&lt;&gt;"",EDATE($D110,Milestones!$AA$75)&gt;=$T110),$W110,IF(AND($S110&lt;&gt;"",EDATE($D110,Milestones!$AA$75)&gt;=$S110),$V110,$U110)))=Milestones!$AB$75),UPPER(TEXT(EDATE($D110,Milestones!$AA$75),"dd mmm yy"))&amp;" "&amp;Milestones!$AB$75&amp;" "&amp;Milestones!$AC$75&amp;";  ","")&amp;IF(AND(EDATE($D110,Milestones!$AA$76)&lt;=AsOfDate,IF($R110=0,$X110,IF(AND($T110&lt;&gt;"",EDATE($D110,Milestones!$AA$76)&gt;=$T110),$W110,IF(AND($S110&lt;&gt;"",EDATE($D110,Milestones!$AA$76)&gt;=$S110),$V110,$U110)))=Milestones!$AB$76),UPPER(TEXT(EDATE($D110,Milestones!$AA$76),"dd mmm yy"))&amp;" "&amp;Milestones!$AB$76&amp;" "&amp;Milestones!$AC$76&amp;";  ","")&amp;IF(AND(EDATE($D110,Milestones!$AA$77)&lt;=AsOfDate,IF($R110=0,$X110,IF(AND($T110&lt;&gt;"",EDATE($D110,Milestones!$AA$77)&gt;=$T110),$W110,IF(AND($S110&lt;&gt;"",EDATE($D110,Milestones!$AA$77)&gt;=$S110),$V110,$U110)))=Milestones!$AB$77),UPPER(TEXT(EDATE($D110,Milestones!$AA$77),"dd mmm yy"))&amp;" "&amp;Milestones!$AB$77&amp;" "&amp;Milestones!$AC$77&amp;";  ","")&amp;IF(AND(EDATE($D110,Milestones!$AA$78)&lt;=AsOfDate,IF($R110=0,$X110,IF(AND($T110&lt;&gt;"",EDATE($D110,Milestones!$AA$78)&gt;=$T110),$W110,IF(AND($S110&lt;&gt;"",EDATE($D110,Milestones!$AA$78)&gt;=$S110),$V110,$U110)))=Milestones!$AB$78),UPPER(TEXT(EDATE($D110,Milestones!$AA$78),"dd mmm yy"))&amp;" "&amp;Milestones!$AB$78&amp;" "&amp;Milestones!$AC$78&amp;";  ","")&amp;IF(AND(EDATE($D110,Milestones!$AA$79)&lt;=AsOfDate,IF($R110=0,$X110,IF(AND($T110&lt;&gt;"",EDATE($D110,Milestones!$AA$79)&gt;=$T110),$W110,IF(AND($S110&lt;&gt;"",EDATE($D110,Milestones!$AA$79)&gt;=$S110),$V110,$U110)))=Milestones!$AB$79),UPPER(TEXT(EDATE($D110,Milestones!$AA$79),"dd mmm yy"))&amp;" "&amp;Milestones!$AB$79&amp;" "&amp;Milestones!$AC$79&amp;";  ",""))</f>
        <v/>
      </c>
      <c r="L110" s="0" t="str">
        <f aca="false">IF(OR($A110="",$D110=""),"",IF(AND(EDATE($D110,Milestones!$AA$80)&lt;=AsOfDate,IF($R110=0,$X110,IF(AND($T110&lt;&gt;"",EDATE($D110,Milestones!$AA$80)&gt;=$T110),$W110,IF(AND($S110&lt;&gt;"",EDATE($D110,Milestones!$AA$80)&gt;=$S110),$V110,$U110)))=Milestones!$AB$80),UPPER(TEXT(EDATE($D110,Milestones!$AA$80),"dd mmm yy"))&amp;" "&amp;Milestones!$AB$80&amp;" "&amp;Milestones!$AC$80&amp;";  ","")&amp;IF(AND(EDATE($D110,Milestones!$AA$81)&lt;=AsOfDate,IF($R110=0,$X110,IF(AND($T110&lt;&gt;"",EDATE($D110,Milestones!$AA$81)&gt;=$T110),$W110,IF(AND($S110&lt;&gt;"",EDATE($D110,Milestones!$AA$81)&gt;=$S110),$V110,$U110)))=Milestones!$AB$81),UPPER(TEXT(EDATE($D110,Milestones!$AA$81),"dd mmm yy"))&amp;" "&amp;Milestones!$AB$81&amp;" "&amp;Milestones!$AC$81&amp;";  ","")&amp;IF(AND(EDATE($D110,Milestones!$AA$82)&lt;=AsOfDate,IF($R110=0,$X110,IF(AND($T110&lt;&gt;"",EDATE($D110,Milestones!$AA$82)&gt;=$T110),$W110,IF(AND($S110&lt;&gt;"",EDATE($D110,Milestones!$AA$82)&gt;=$S110),$V110,$U110)))=Milestones!$AB$82),UPPER(TEXT(EDATE($D110,Milestones!$AA$82),"dd mmm yy"))&amp;" "&amp;Milestones!$AB$82&amp;" "&amp;Milestones!$AC$82&amp;";  ","")&amp;IF(AND(EDATE($D110,Milestones!$AA$83)&lt;=AsOfDate,IF($R110=0,$X110,IF(AND($T110&lt;&gt;"",EDATE($D110,Milestones!$AA$83)&gt;=$T110),$W110,IF(AND($S110&lt;&gt;"",EDATE($D110,Milestones!$AA$83)&gt;=$S110),$V110,$U110)))=Milestones!$AB$83),UPPER(TEXT(EDATE($D110,Milestones!$AA$83),"dd mmm yy"))&amp;" "&amp;Milestones!$AB$83&amp;" "&amp;Milestones!$AC$83&amp;";  ","")&amp;IF(AND(EDATE($D110,Milestones!$AA$84)&lt;=AsOfDate,IF($R110=0,$X110,IF(AND($T110&lt;&gt;"",EDATE($D110,Milestones!$AA$84)&gt;=$T110),$W110,IF(AND($S110&lt;&gt;"",EDATE($D110,Milestones!$AA$84)&gt;=$S110),$V110,$U110)))=Milestones!$AB$84),UPPER(TEXT(EDATE($D110,Milestones!$AA$84),"dd mmm yy"))&amp;" "&amp;Milestones!$AB$84&amp;" "&amp;Milestones!$AC$84&amp;";  ","")&amp;IF(AND(EDATE($D110,Milestones!$AA$85)&lt;=AsOfDate,IF($R110=0,$X110,IF(AND($T110&lt;&gt;"",EDATE($D110,Milestones!$AA$85)&gt;=$T110),$W110,IF(AND($S110&lt;&gt;"",EDATE($D110,Milestones!$AA$85)&gt;=$S110),$V110,$U110)))=Milestones!$AB$85),UPPER(TEXT(EDATE($D110,Milestones!$AA$85),"dd mmm yy"))&amp;" "&amp;Milestones!$AB$85&amp;" "&amp;Milestones!$AC$85&amp;";  ","")&amp;IF(AND(EDATE($D110,Milestones!$AA$86)&lt;=AsOfDate,IF($R110=0,$X110,IF(AND($T110&lt;&gt;"",EDATE($D110,Milestones!$AA$86)&gt;=$T110),$W110,IF(AND($S110&lt;&gt;"",EDATE($D110,Milestones!$AA$86)&gt;=$S110),$V110,$U110)))=Milestones!$AB$86),UPPER(TEXT(EDATE($D110,Milestones!$AA$86),"dd mmm yy"))&amp;" "&amp;Milestones!$AB$86&amp;" "&amp;Milestones!$AC$86&amp;";  ","")&amp;IF(AND(EDATE($D110,Milestones!$AA$87)&lt;=AsOfDate,IF($R110=0,$X110,IF(AND($T110&lt;&gt;"",EDATE($D110,Milestones!$AA$87)&gt;=$T110),$W110,IF(AND($S110&lt;&gt;"",EDATE($D110,Milestones!$AA$87)&gt;=$S110),$V110,$U110)))=Milestones!$AB$87),UPPER(TEXT(EDATE($D110,Milestones!$AA$87),"dd mmm yy"))&amp;" "&amp;Milestones!$AB$87&amp;" "&amp;Milestones!$AC$87&amp;";  ","")&amp;IF(AND(EDATE($D110,Milestones!$AA$88)&lt;=AsOfDate,IF($R110=0,$X110,IF(AND($T110&lt;&gt;"",EDATE($D110,Milestones!$AA$88)&gt;=$T110),$W110,IF(AND($S110&lt;&gt;"",EDATE($D110,Milestones!$AA$88)&gt;=$S110),$V110,$U110)))=Milestones!$AB$88),UPPER(TEXT(EDATE($D110,Milestones!$AA$88),"dd mmm yy"))&amp;" "&amp;Milestones!$AB$88&amp;" "&amp;Milestones!$AC$88&amp;";  ","")&amp;IF(AND(EDATE($D110,Milestones!$AA$89)&lt;=AsOfDate,IF($R110=0,$X110,IF(AND($T110&lt;&gt;"",EDATE($D110,Milestones!$AA$89)&gt;=$T110),$W110,IF(AND($S110&lt;&gt;"",EDATE($D110,Milestones!$AA$89)&gt;=$S110),$V110,$U110)))=Milestones!$AB$89),UPPER(TEXT(EDATE($D110,Milestones!$AA$89),"dd mmm yy"))&amp;" "&amp;Milestones!$AB$89&amp;" "&amp;Milestones!$AC$89&amp;";  ","")&amp;IF(AND(EDATE($D110,Milestones!$AA$90)&lt;=AsOfDate,IF($R110=0,$X110,IF(AND($T110&lt;&gt;"",EDATE($D110,Milestones!$AA$90)&gt;=$T110),$W110,IF(AND($S110&lt;&gt;"",EDATE($D110,Milestones!$AA$90)&gt;=$S110),$V110,$U110)))=Milestones!$AB$90),UPPER(TEXT(EDATE($D110,Milestones!$AA$90),"dd mmm yy"))&amp;" "&amp;Milestones!$AB$90&amp;" "&amp;Milestones!$AC$90&amp;";  ","")&amp;IF(AND(EDATE($D110,Milestones!$AA$91)&lt;=AsOfDate,IF($R110=0,$X110,IF(AND($T110&lt;&gt;"",EDATE($D110,Milestones!$AA$91)&gt;=$T110),$W110,IF(AND($S110&lt;&gt;"",EDATE($D110,Milestones!$AA$91)&gt;=$S110),$V110,$U110)))=Milestones!$AB$91),UPPER(TEXT(EDATE($D110,Milestones!$AA$91),"dd mmm yy"))&amp;" "&amp;Milestones!$AB$91&amp;" "&amp;Milestones!$AC$91&amp;";  ","")&amp;IF(AND(EDATE($D110,Milestones!$AA$92)&lt;=AsOfDate,IF($R110=0,$X110,IF(AND($T110&lt;&gt;"",EDATE($D110,Milestones!$AA$92)&gt;=$T110),$W110,IF(AND($S110&lt;&gt;"",EDATE($D110,Milestones!$AA$92)&gt;=$S110),$V110,$U110)))=Milestones!$AB$92),UPPER(TEXT(EDATE($D110,Milestones!$AA$92),"dd mmm yy"))&amp;" "&amp;Milestones!$AB$92&amp;" "&amp;Milestones!$AC$92&amp;";  ","")&amp;IF(AND(EDATE($D110,Milestones!$AA$93)&lt;=AsOfDate,IF($R110=0,$X110,IF(AND($T110&lt;&gt;"",EDATE($D110,Milestones!$AA$93)&gt;=$T110),$W110,IF(AND($S110&lt;&gt;"",EDATE($D110,Milestones!$AA$93)&gt;=$S110),$V110,$U110)))=Milestones!$AB$93),UPPER(TEXT(EDATE($D110,Milestones!$AA$93),"dd mmm yy"))&amp;" "&amp;Milestones!$AB$93&amp;" "&amp;Milestones!$AC$93&amp;";  ","")&amp;IF(AND(EDATE($D110,Milestones!$AA$94)&lt;=AsOfDate,IF($R110=0,$X110,IF(AND($T110&lt;&gt;"",EDATE($D110,Milestones!$AA$94)&gt;=$T110),$W110,IF(AND($S110&lt;&gt;"",EDATE($D110,Milestones!$AA$94)&gt;=$S110),$V110,$U110)))=Milestones!$AB$94),UPPER(TEXT(EDATE($D110,Milestones!$AA$94),"dd mmm yy"))&amp;" "&amp;Milestones!$AB$94&amp;" "&amp;Milestones!$AC$94&amp;";  ","")&amp;IF(AND(EDATE($D110,Milestones!$AA$95)&lt;=AsOfDate,IF($R110=0,$X110,IF(AND($T110&lt;&gt;"",EDATE($D110,Milestones!$AA$95)&gt;=$T110),$W110,IF(AND($S110&lt;&gt;"",EDATE($D110,Milestones!$AA$95)&gt;=$S110),$V110,$U110)))=Milestones!$AB$95),UPPER(TEXT(EDATE($D110,Milestones!$AA$95),"dd mmm yy"))&amp;" "&amp;Milestones!$AB$95&amp;" "&amp;Milestones!$AC$95&amp;";  ","")&amp;IF(AND(EDATE($D110,Milestones!$AA$96)&lt;=AsOfDate,IF($R110=0,$X110,IF(AND($T110&lt;&gt;"",EDATE($D110,Milestones!$AA$96)&gt;=$T110),$W110,IF(AND($S110&lt;&gt;"",EDATE($D110,Milestones!$AA$96)&gt;=$S110),$V110,$U110)))=Milestones!$AB$96),UPPER(TEXT(EDATE($D110,Milestones!$AA$96),"dd mmm yy"))&amp;" "&amp;Milestones!$AB$96&amp;" "&amp;Milestones!$AC$96&amp;";  ","")&amp;IF(AND(EDATE($D110,Milestones!$AA$97)&lt;=AsOfDate,IF($R110=0,$X110,IF(AND($T110&lt;&gt;"",EDATE($D110,Milestones!$AA$97)&gt;=$T110),$W110,IF(AND($S110&lt;&gt;"",EDATE($D110,Milestones!$AA$97)&gt;=$S110),$V110,$U110)))=Milestones!$AB$97),UPPER(TEXT(EDATE($D110,Milestones!$AA$97),"dd mmm yy"))&amp;" "&amp;Milestones!$AB$97&amp;" "&amp;Milestones!$AC$97&amp;";  ","")&amp;IF(AND(EDATE($D110,Milestones!$AA$98)&lt;=AsOfDate,IF($R110=0,$X110,IF(AND($T110&lt;&gt;"",EDATE($D110,Milestones!$AA$98)&gt;=$T110),$W110,IF(AND($S110&lt;&gt;"",EDATE($D110,Milestones!$AA$98)&gt;=$S110),$V110,$U110)))=Milestones!$AB$98),UPPER(TEXT(EDATE($D110,Milestones!$AA$98),"dd mmm yy"))&amp;" "&amp;Milestones!$AB$98&amp;" "&amp;Milestones!$AC$98&amp;";  ","")&amp;IF(AND(EDATE($D110,Milestones!$AA$99)&lt;=AsOfDate,IF($R110=0,$X110,IF(AND($T110&lt;&gt;"",EDATE($D110,Milestones!$AA$99)&gt;=$T110),$W110,IF(AND($S110&lt;&gt;"",EDATE($D110,Milestones!$AA$99)&gt;=$S110),$V110,$U110)))=Milestones!$AB$99),UPPER(TEXT(EDATE($D110,Milestones!$AA$99),"dd mmm yy"))&amp;" "&amp;Milestones!$AB$99&amp;" "&amp;Milestones!$AC$99&amp;";  ",""))</f>
        <v/>
      </c>
      <c r="M110" s="0" t="str">
        <f aca="false">IF(OR($A110="",$D110=""),"",IF(AND(EDATE($D110,Milestones!$AA$100)&lt;=AsOfDate,IF($R110=0,$X110,IF(AND($T110&lt;&gt;"",EDATE($D110,Milestones!$AA$100)&gt;=$T110),$W110,IF(AND($S110&lt;&gt;"",EDATE($D110,Milestones!$AA$100)&gt;=$S110),$V110,$U110)))=Milestones!$AB$100),UPPER(TEXT(EDATE($D110,Milestones!$AA$100),"dd mmm yy"))&amp;" "&amp;Milestones!$AB$100&amp;" "&amp;Milestones!$AC$100&amp;";  ","")&amp;IF(AND(EDATE($D110,Milestones!$AA$101)&lt;=AsOfDate,IF($R110=0,$X110,IF(AND($T110&lt;&gt;"",EDATE($D110,Milestones!$AA$101)&gt;=$T110),$W110,IF(AND($S110&lt;&gt;"",EDATE($D110,Milestones!$AA$101)&gt;=$S110),$V110,$U110)))=Milestones!$AB$101),UPPER(TEXT(EDATE($D110,Milestones!$AA$101),"dd mmm yy"))&amp;" "&amp;Milestones!$AB$101&amp;" "&amp;Milestones!$AC$101&amp;";  ","")&amp;IF(AND(EDATE($D110,Milestones!$AA$102)&lt;=AsOfDate,IF($R110=0,$X110,IF(AND($T110&lt;&gt;"",EDATE($D110,Milestones!$AA$102)&gt;=$T110),$W110,IF(AND($S110&lt;&gt;"",EDATE($D110,Milestones!$AA$102)&gt;=$S110),$V110,$U110)))=Milestones!$AB$102),UPPER(TEXT(EDATE($D110,Milestones!$AA$102),"dd mmm yy"))&amp;" "&amp;Milestones!$AB$102&amp;" "&amp;Milestones!$AC$102&amp;";  ","")&amp;IF(AND(EDATE($D110,Milestones!$AA$103)&lt;=AsOfDate,IF($R110=0,$X110,IF(AND($T110&lt;&gt;"",EDATE($D110,Milestones!$AA$103)&gt;=$T110),$W110,IF(AND($S110&lt;&gt;"",EDATE($D110,Milestones!$AA$103)&gt;=$S110),$V110,$U110)))=Milestones!$AB$103),UPPER(TEXT(EDATE($D110,Milestones!$AA$103),"dd mmm yy"))&amp;" "&amp;Milestones!$AB$103&amp;" "&amp;Milestones!$AC$103&amp;";  ","")&amp;IF(AND(EDATE($D110,Milestones!$AA$104)&lt;=AsOfDate,IF($R110=0,$X110,IF(AND($T110&lt;&gt;"",EDATE($D110,Milestones!$AA$104)&gt;=$T110),$W110,IF(AND($S110&lt;&gt;"",EDATE($D110,Milestones!$AA$104)&gt;=$S110),$V110,$U110)))=Milestones!$AB$104),UPPER(TEXT(EDATE($D110,Milestones!$AA$104),"dd mmm yy"))&amp;" "&amp;Milestones!$AB$104&amp;" "&amp;Milestones!$AC$104&amp;";  ","")&amp;IF(AND(EDATE($D110,Milestones!$AA$105)&lt;=AsOfDate,IF($R110=0,$X110,IF(AND($T110&lt;&gt;"",EDATE($D110,Milestones!$AA$105)&gt;=$T110),$W110,IF(AND($S110&lt;&gt;"",EDATE($D110,Milestones!$AA$105)&gt;=$S110),$V110,$U110)))=Milestones!$AB$105),UPPER(TEXT(EDATE($D110,Milestones!$AA$105),"dd mmm yy"))&amp;" "&amp;Milestones!$AB$105&amp;" "&amp;Milestones!$AC$105&amp;";  ","")&amp;IF(AND(EDATE($D110,Milestones!$AA$106)&lt;=AsOfDate,IF($R110=0,$X110,IF(AND($T110&lt;&gt;"",EDATE($D110,Milestones!$AA$106)&gt;=$T110),$W110,IF(AND($S110&lt;&gt;"",EDATE($D110,Milestones!$AA$106)&gt;=$S110),$V110,$U110)))=Milestones!$AB$106),UPPER(TEXT(EDATE($D110,Milestones!$AA$106),"dd mmm yy"))&amp;" "&amp;Milestones!$AB$106&amp;" "&amp;Milestones!$AC$106&amp;";  ","")&amp;IF(AND(EDATE($D110,Milestones!$AA$107)&lt;=AsOfDate,IF($R110=0,$X110,IF(AND($T110&lt;&gt;"",EDATE($D110,Milestones!$AA$107)&gt;=$T110),$W110,IF(AND($S110&lt;&gt;"",EDATE($D110,Milestones!$AA$107)&gt;=$S110),$V110,$U110)))=Milestones!$AB$107),UPPER(TEXT(EDATE($D110,Milestones!$AA$107),"dd mmm yy"))&amp;" "&amp;Milestones!$AB$107&amp;" "&amp;Milestones!$AC$107&amp;";  ","")&amp;IF(AND(EDATE($D110,Milestones!$AA$108)&lt;=AsOfDate,IF($R110=0,$X110,IF(AND($T110&lt;&gt;"",EDATE($D110,Milestones!$AA$108)&gt;=$T110),$W110,IF(AND($S110&lt;&gt;"",EDATE($D110,Milestones!$AA$108)&gt;=$S110),$V110,$U110)))=Milestones!$AB$108),UPPER(TEXT(EDATE($D110,Milestones!$AA$108),"dd mmm yy"))&amp;" "&amp;Milestones!$AB$108&amp;" "&amp;Milestones!$AC$108&amp;";  ","")&amp;IF(AND(EDATE($D110,Milestones!$AA$109)&lt;=AsOfDate,IF($R110=0,$X110,IF(AND($T110&lt;&gt;"",EDATE($D110,Milestones!$AA$109)&gt;=$T110),$W110,IF(AND($S110&lt;&gt;"",EDATE($D110,Milestones!$AA$109)&gt;=$S110),$V110,$U110)))=Milestones!$AB$109),UPPER(TEXT(EDATE($D110,Milestones!$AA$109),"dd mmm yy"))&amp;" "&amp;Milestones!$AB$109&amp;" "&amp;Milestones!$AC$109&amp;";  ","")&amp;IF(AND(EDATE($D110,Milestones!$AA$110)&lt;=AsOfDate,IF($R110=0,$X110,IF(AND($T110&lt;&gt;"",EDATE($D110,Milestones!$AA$110)&gt;=$T110),$W110,IF(AND($S110&lt;&gt;"",EDATE($D110,Milestones!$AA$110)&gt;=$S110),$V110,$U110)))=Milestones!$AB$110),UPPER(TEXT(EDATE($D110,Milestones!$AA$110),"dd mmm yy"))&amp;" "&amp;Milestones!$AB$110&amp;" "&amp;Milestones!$AC$110&amp;";  ","")&amp;IF(AND(EDATE($D110,Milestones!$AA$111)&lt;=AsOfDate,IF($R110=0,$X110,IF(AND($T110&lt;&gt;"",EDATE($D110,Milestones!$AA$111)&gt;=$T110),$W110,IF(AND($S110&lt;&gt;"",EDATE($D110,Milestones!$AA$111)&gt;=$S110),$V110,$U110)))=Milestones!$AB$111),UPPER(TEXT(EDATE($D110,Milestones!$AA$111),"dd mmm yy"))&amp;" "&amp;Milestones!$AB$111&amp;" "&amp;Milestones!$AC$111&amp;";  ","")&amp;IF(AND(EDATE($D110,Milestones!$AA$112)&lt;=AsOfDate,IF($R110=0,$X110,IF(AND($T110&lt;&gt;"",EDATE($D110,Milestones!$AA$112)&gt;=$T110),$W110,IF(AND($S110&lt;&gt;"",EDATE($D110,Milestones!$AA$112)&gt;=$S110),$V110,$U110)))=Milestones!$AB$112),UPPER(TEXT(EDATE($D110,Milestones!$AA$112),"dd mmm yy"))&amp;" "&amp;Milestones!$AB$112&amp;" "&amp;Milestones!$AC$112&amp;";  ","")&amp;IF(AND(EDATE($D110,Milestones!$AA$113)&lt;=AsOfDate,IF($R110=0,$X110,IF(AND($T110&lt;&gt;"",EDATE($D110,Milestones!$AA$113)&gt;=$T110),$W110,IF(AND($S110&lt;&gt;"",EDATE($D110,Milestones!$AA$113)&gt;=$S110),$V110,$U110)))=Milestones!$AB$113),UPPER(TEXT(EDATE($D110,Milestones!$AA$113),"dd mmm yy"))&amp;" "&amp;Milestones!$AB$113&amp;" "&amp;Milestones!$AC$113&amp;";  ","")&amp;IF(AND(EDATE($D110,Milestones!$AA$114)&lt;=AsOfDate,IF($R110=0,$X110,IF(AND($T110&lt;&gt;"",EDATE($D110,Milestones!$AA$114)&gt;=$T110),$W110,IF(AND($S110&lt;&gt;"",EDATE($D110,Milestones!$AA$114)&gt;=$S110),$V110,$U110)))=Milestones!$AB$114),UPPER(TEXT(EDATE($D110,Milestones!$AA$114),"dd mmm yy"))&amp;" "&amp;Milestones!$AB$114&amp;" "&amp;Milestones!$AC$114&amp;";  ","")&amp;IF(AND(EDATE($D110,Milestones!$AA$115)&lt;=AsOfDate,IF($R110=0,$X110,IF(AND($T110&lt;&gt;"",EDATE($D110,Milestones!$AA$115)&gt;=$T110),$W110,IF(AND($S110&lt;&gt;"",EDATE($D110,Milestones!$AA$115)&gt;=$S110),$V110,$U110)))=Milestones!$AB$115),UPPER(TEXT(EDATE($D110,Milestones!$AA$115),"dd mmm yy"))&amp;" "&amp;Milestones!$AB$115&amp;" "&amp;Milestones!$AC$115&amp;";  ","")&amp;IF(AND(EDATE($D110,Milestones!$AA$116)&lt;=AsOfDate,IF($R110=0,$X110,IF(AND($T110&lt;&gt;"",EDATE($D110,Milestones!$AA$116)&gt;=$T110),$W110,IF(AND($S110&lt;&gt;"",EDATE($D110,Milestones!$AA$116)&gt;=$S110),$V110,$U110)))=Milestones!$AB$116),UPPER(TEXT(EDATE($D110,Milestones!$AA$116),"dd mmm yy"))&amp;" "&amp;Milestones!$AB$116&amp;" "&amp;Milestones!$AC$116&amp;";  ","")&amp;IF(AND(EDATE($D110,Milestones!$AA$117)&lt;=AsOfDate,IF($R110=0,$X110,IF(AND($T110&lt;&gt;"",EDATE($D110,Milestones!$AA$117)&gt;=$T110),$W110,IF(AND($S110&lt;&gt;"",EDATE($D110,Milestones!$AA$117)&gt;=$S110),$V110,$U110)))=Milestones!$AB$117),UPPER(TEXT(EDATE($D110,Milestones!$AA$117),"dd mmm yy"))&amp;" "&amp;Milestones!$AB$117&amp;" "&amp;Milestones!$AC$117&amp;";  ","")&amp;IF(AND(EDATE($D110,Milestones!$AA$118)&lt;=AsOfDate,IF($R110=0,$X110,IF(AND($T110&lt;&gt;"",EDATE($D110,Milestones!$AA$118)&gt;=$T110),$W110,IF(AND($S110&lt;&gt;"",EDATE($D110,Milestones!$AA$118)&gt;=$S110),$V110,$U110)))=Milestones!$AB$118),UPPER(TEXT(EDATE($D110,Milestones!$AA$118),"dd mmm yy"))&amp;" "&amp;Milestones!$AB$118&amp;" "&amp;Milestones!$AC$118&amp;";  ","")&amp;IF(AND(EDATE($D110,Milestones!$AA$119)&lt;=AsOfDate,IF($R110=0,$X110,IF(AND($T110&lt;&gt;"",EDATE($D110,Milestones!$AA$119)&gt;=$T110),$W110,IF(AND($S110&lt;&gt;"",EDATE($D110,Milestones!$AA$119)&gt;=$S110),$V110,$U110)))=Milestones!$AB$119),UPPER(TEXT(EDATE($D110,Milestones!$AA$119),"dd mmm yy"))&amp;" "&amp;Milestones!$AB$119&amp;" "&amp;Milestones!$AC$119&amp;";  ",""))</f>
        <v/>
      </c>
      <c r="N110" s="0" t="str">
        <f aca="false">IF(OR($A110="",$D110=""),"",IF(AND(EDATE($D110,Milestones!$AA$120)&lt;=AsOfDate,IF($R110=0,$X110,IF(AND($T110&lt;&gt;"",EDATE($D110,Milestones!$AA$120)&gt;=$T110),$W110,IF(AND($S110&lt;&gt;"",EDATE($D110,Milestones!$AA$120)&gt;=$S110),$V110,$U110)))=Milestones!$AB$120),UPPER(TEXT(EDATE($D110,Milestones!$AA$120),"dd mmm yy"))&amp;" "&amp;Milestones!$AB$120&amp;" "&amp;Milestones!$AC$120&amp;";  ","")&amp;IF(AND(EDATE($D110,Milestones!$AA$121)&lt;=AsOfDate,IF($R110=0,$X110,IF(AND($T110&lt;&gt;"",EDATE($D110,Milestones!$AA$121)&gt;=$T110),$W110,IF(AND($S110&lt;&gt;"",EDATE($D110,Milestones!$AA$121)&gt;=$S110),$V110,$U110)))=Milestones!$AB$121),UPPER(TEXT(EDATE($D110,Milestones!$AA$121),"dd mmm yy"))&amp;" "&amp;Milestones!$AB$121&amp;" "&amp;Milestones!$AC$121&amp;";  ","")&amp;IF(AND(EDATE($D110,Milestones!$AA$122)&lt;=AsOfDate,IF($R110=0,$X110,IF(AND($T110&lt;&gt;"",EDATE($D110,Milestones!$AA$122)&gt;=$T110),$W110,IF(AND($S110&lt;&gt;"",EDATE($D110,Milestones!$AA$122)&gt;=$S110),$V110,$U110)))=Milestones!$AB$122),UPPER(TEXT(EDATE($D110,Milestones!$AA$122),"dd mmm yy"))&amp;" "&amp;Milestones!$AB$122&amp;" "&amp;Milestones!$AC$122&amp;";  ","")&amp;IF(AND(EDATE($D110,Milestones!$AA$123)&lt;=AsOfDate,IF($R110=0,$X110,IF(AND($T110&lt;&gt;"",EDATE($D110,Milestones!$AA$123)&gt;=$T110),$W110,IF(AND($S110&lt;&gt;"",EDATE($D110,Milestones!$AA$123)&gt;=$S110),$V110,$U110)))=Milestones!$AB$123),UPPER(TEXT(EDATE($D110,Milestones!$AA$123),"dd mmm yy"))&amp;" "&amp;Milestones!$AB$123&amp;" "&amp;Milestones!$AC$123&amp;";  ","")&amp;IF(AND(EDATE($D110,Milestones!$AA$124)&lt;=AsOfDate,IF($R110=0,$X110,IF(AND($T110&lt;&gt;"",EDATE($D110,Milestones!$AA$124)&gt;=$T110),$W110,IF(AND($S110&lt;&gt;"",EDATE($D110,Milestones!$AA$124)&gt;=$S110),$V110,$U110)))=Milestones!$AB$124),UPPER(TEXT(EDATE($D110,Milestones!$AA$124),"dd mmm yy"))&amp;" "&amp;Milestones!$AB$124&amp;" "&amp;Milestones!$AC$124&amp;";  ","")&amp;IF(AND(EDATE($D110,Milestones!$AA$125)&lt;=AsOfDate,IF($R110=0,$X110,IF(AND($T110&lt;&gt;"",EDATE($D110,Milestones!$AA$125)&gt;=$T110),$W110,IF(AND($S110&lt;&gt;"",EDATE($D110,Milestones!$AA$125)&gt;=$S110),$V110,$U110)))=Milestones!$AB$125),UPPER(TEXT(EDATE($D110,Milestones!$AA$125),"dd mmm yy"))&amp;" "&amp;Milestones!$AB$125&amp;" "&amp;Milestones!$AC$125&amp;";  ","")&amp;IF(AND(EDATE($D110,Milestones!$AA$126)&lt;=AsOfDate,IF($R110=0,$X110,IF(AND($T110&lt;&gt;"",EDATE($D110,Milestones!$AA$126)&gt;=$T110),$W110,IF(AND($S110&lt;&gt;"",EDATE($D110,Milestones!$AA$126)&gt;=$S110),$V110,$U110)))=Milestones!$AB$126),UPPER(TEXT(EDATE($D110,Milestones!$AA$126),"dd mmm yy"))&amp;" "&amp;Milestones!$AB$126&amp;" "&amp;Milestones!$AC$126&amp;";  ","")&amp;IF(AND(EDATE($D110,Milestones!$AA$127)&lt;=AsOfDate,IF($R110=0,$X110,IF(AND($T110&lt;&gt;"",EDATE($D110,Milestones!$AA$127)&gt;=$T110),$W110,IF(AND($S110&lt;&gt;"",EDATE($D110,Milestones!$AA$127)&gt;=$S110),$V110,$U110)))=Milestones!$AB$127),UPPER(TEXT(EDATE($D110,Milestones!$AA$127),"dd mmm yy"))&amp;" "&amp;Milestones!$AB$127&amp;" "&amp;Milestones!$AC$127&amp;";  ","")&amp;IF(AND(EDATE($D110,Milestones!$AA$128)&lt;=AsOfDate,IF($R110=0,$X110,IF(AND($T110&lt;&gt;"",EDATE($D110,Milestones!$AA$128)&gt;=$T110),$W110,IF(AND($S110&lt;&gt;"",EDATE($D110,Milestones!$AA$128)&gt;=$S110),$V110,$U110)))=Milestones!$AB$128),UPPER(TEXT(EDATE($D110,Milestones!$AA$128),"dd mmm yy"))&amp;" "&amp;Milestones!$AB$128&amp;" "&amp;Milestones!$AC$128&amp;";  ","")&amp;IF(AND(EDATE($D110,Milestones!$AA$129)&lt;=AsOfDate,IF($R110=0,$X110,IF(AND($T110&lt;&gt;"",EDATE($D110,Milestones!$AA$129)&gt;=$T110),$W110,IF(AND($S110&lt;&gt;"",EDATE($D110,Milestones!$AA$129)&gt;=$S110),$V110,$U110)))=Milestones!$AB$129),UPPER(TEXT(EDATE($D110,Milestones!$AA$129),"dd mmm yy"))&amp;" "&amp;Milestones!$AB$129&amp;" "&amp;Milestones!$AC$129&amp;";  ","")&amp;IF(AND(EDATE($D110,Milestones!$AA$130)&lt;=AsOfDate,IF($R110=0,$X110,IF(AND($T110&lt;&gt;"",EDATE($D110,Milestones!$AA$130)&gt;=$T110),$W110,IF(AND($S110&lt;&gt;"",EDATE($D110,Milestones!$AA$130)&gt;=$S110),$V110,$U110)))=Milestones!$AB$130),UPPER(TEXT(EDATE($D110,Milestones!$AA$130),"dd mmm yy"))&amp;" "&amp;Milestones!$AB$130&amp;" "&amp;Milestones!$AC$130&amp;";  ","")&amp;IF(AND(EDATE($D110,Milestones!$AA$131)&lt;=AsOfDate,IF($R110=0,$X110,IF(AND($T110&lt;&gt;"",EDATE($D110,Milestones!$AA$131)&gt;=$T110),$W110,IF(AND($S110&lt;&gt;"",EDATE($D110,Milestones!$AA$131)&gt;=$S110),$V110,$U110)))=Milestones!$AB$131),UPPER(TEXT(EDATE($D110,Milestones!$AA$131),"dd mmm yy"))&amp;" "&amp;Milestones!$AB$131&amp;" "&amp;Milestones!$AC$131&amp;";  ","")&amp;IF(AND(EDATE($D110,Milestones!$AA$132)&lt;=AsOfDate,IF($R110=0,$X110,IF(AND($T110&lt;&gt;"",EDATE($D110,Milestones!$AA$132)&gt;=$T110),$W110,IF(AND($S110&lt;&gt;"",EDATE($D110,Milestones!$AA$132)&gt;=$S110),$V110,$U110)))=Milestones!$AB$132),UPPER(TEXT(EDATE($D110,Milestones!$AA$132),"dd mmm yy"))&amp;" "&amp;Milestones!$AB$132&amp;" "&amp;Milestones!$AC$132&amp;";  ","")&amp;IF(AND(EDATE($D110,Milestones!$AA$133)&lt;=AsOfDate,IF($R110=0,$X110,IF(AND($T110&lt;&gt;"",EDATE($D110,Milestones!$AA$133)&gt;=$T110),$W110,IF(AND($S110&lt;&gt;"",EDATE($D110,Milestones!$AA$133)&gt;=$S110),$V110,$U110)))=Milestones!$AB$133),UPPER(TEXT(EDATE($D110,Milestones!$AA$133),"dd mmm yy"))&amp;" "&amp;Milestones!$AB$133&amp;" "&amp;Milestones!$AC$133&amp;";  ","")&amp;IF(AND(EDATE($D110,Milestones!$AA$134)&lt;=AsOfDate,IF($R110=0,$X110,IF(AND($T110&lt;&gt;"",EDATE($D110,Milestones!$AA$134)&gt;=$T110),$W110,IF(AND($S110&lt;&gt;"",EDATE($D110,Milestones!$AA$134)&gt;=$S110),$V110,$U110)))=Milestones!$AB$134),UPPER(TEXT(EDATE($D110,Milestones!$AA$134),"dd mmm yy"))&amp;" "&amp;Milestones!$AB$134&amp;" "&amp;Milestones!$AC$134&amp;";  ","")&amp;IF(AND(EDATE($D110,Milestones!$AA$135)&lt;=AsOfDate,IF($R110=0,$X110,IF(AND($T110&lt;&gt;"",EDATE($D110,Milestones!$AA$135)&gt;=$T110),$W110,IF(AND($S110&lt;&gt;"",EDATE($D110,Milestones!$AA$135)&gt;=$S110),$V110,$U110)))=Milestones!$AB$135),UPPER(TEXT(EDATE($D110,Milestones!$AA$135),"dd mmm yy"))&amp;" "&amp;Milestones!$AB$135&amp;" "&amp;Milestones!$AC$135&amp;";  ","")&amp;IF(AND(EDATE($D110,Milestones!$AA$136)&lt;=AsOfDate,IF($R110=0,$X110,IF(AND($T110&lt;&gt;"",EDATE($D110,Milestones!$AA$136)&gt;=$T110),$W110,IF(AND($S110&lt;&gt;"",EDATE($D110,Milestones!$AA$136)&gt;=$S110),$V110,$U110)))=Milestones!$AB$136),UPPER(TEXT(EDATE($D110,Milestones!$AA$136),"dd mmm yy"))&amp;" "&amp;Milestones!$AB$136&amp;" "&amp;Milestones!$AC$136&amp;";  ","")&amp;IF(AND(EDATE($D110,Milestones!$AA$137)&lt;=AsOfDate,IF($R110=0,$X110,IF(AND($T110&lt;&gt;"",EDATE($D110,Milestones!$AA$137)&gt;=$T110),$W110,IF(AND($S110&lt;&gt;"",EDATE($D110,Milestones!$AA$137)&gt;=$S110),$V110,$U110)))=Milestones!$AB$137),UPPER(TEXT(EDATE($D110,Milestones!$AA$137),"dd mmm yy"))&amp;" "&amp;Milestones!$AB$137&amp;" "&amp;Milestones!$AC$137&amp;";  ","")&amp;IF(AND(EDATE($D110,Milestones!$AA$138)&lt;=AsOfDate,IF($R110=0,$X110,IF(AND($T110&lt;&gt;"",EDATE($D110,Milestones!$AA$138)&gt;=$T110),$W110,IF(AND($S110&lt;&gt;"",EDATE($D110,Milestones!$AA$138)&gt;=$S110),$V110,$U110)))=Milestones!$AB$138),UPPER(TEXT(EDATE($D110,Milestones!$AA$138),"dd mmm yy"))&amp;" "&amp;Milestones!$AB$138&amp;" "&amp;Milestones!$AC$138&amp;";  ","")&amp;IF(AND(EDATE($D110,Milestones!$AA$139)&lt;=AsOfDate,IF($R110=0,$X110,IF(AND($T110&lt;&gt;"",EDATE($D110,Milestones!$AA$139)&gt;=$T110),$W110,IF(AND($S110&lt;&gt;"",EDATE($D110,Milestones!$AA$139)&gt;=$S110),$V110,$U110)))=Milestones!$AB$139),UPPER(TEXT(EDATE($D110,Milestones!$AA$139),"dd mmm yy"))&amp;" "&amp;Milestones!$AB$139&amp;" "&amp;Milestones!$AC$139&amp;";  ",""))</f>
        <v/>
      </c>
      <c r="O110" s="0" t="str">
        <f aca="false">IF(OR($A110="",$D110=""),"",IF(AND(EDATE($D110,Milestones!$AA$140)&lt;=AsOfDate,IF($R110=0,$X110,IF(AND($T110&lt;&gt;"",EDATE($D110,Milestones!$AA$140)&gt;=$T110),$W110,IF(AND($S110&lt;&gt;"",EDATE($D110,Milestones!$AA$140)&gt;=$S110),$V110,$U110)))=Milestones!$AB$140),UPPER(TEXT(EDATE($D110,Milestones!$AA$140),"dd mmm yy"))&amp;" "&amp;Milestones!$AB$140&amp;" "&amp;Milestones!$AC$140&amp;";  ","")&amp;IF(AND(EDATE($D110,Milestones!$AA$141)&lt;=AsOfDate,IF($R110=0,$X110,IF(AND($T110&lt;&gt;"",EDATE($D110,Milestones!$AA$141)&gt;=$T110),$W110,IF(AND($S110&lt;&gt;"",EDATE($D110,Milestones!$AA$141)&gt;=$S110),$V110,$U110)))=Milestones!$AB$141),UPPER(TEXT(EDATE($D110,Milestones!$AA$141),"dd mmm yy"))&amp;" "&amp;Milestones!$AB$141&amp;" "&amp;Milestones!$AC$141&amp;";  ","")&amp;IF(AND(EDATE($D110,Milestones!$AA$142)&lt;=AsOfDate,IF($R110=0,$X110,IF(AND($T110&lt;&gt;"",EDATE($D110,Milestones!$AA$142)&gt;=$T110),$W110,IF(AND($S110&lt;&gt;"",EDATE($D110,Milestones!$AA$142)&gt;=$S110),$V110,$U110)))=Milestones!$AB$142),UPPER(TEXT(EDATE($D110,Milestones!$AA$142),"dd mmm yy"))&amp;" "&amp;Milestones!$AB$142&amp;" "&amp;Milestones!$AC$142&amp;";  ","")&amp;IF(AND(EDATE($D110,Milestones!$AA$143)&lt;=AsOfDate,IF($R110=0,$X110,IF(AND($T110&lt;&gt;"",EDATE($D110,Milestones!$AA$143)&gt;=$T110),$W110,IF(AND($S110&lt;&gt;"",EDATE($D110,Milestones!$AA$143)&gt;=$S110),$V110,$U110)))=Milestones!$AB$143),UPPER(TEXT(EDATE($D110,Milestones!$AA$143),"dd mmm yy"))&amp;" "&amp;Milestones!$AB$143&amp;" "&amp;Milestones!$AC$143&amp;";  ","")&amp;IF(AND(EDATE($D110,Milestones!$AA$144)&lt;=AsOfDate,IF($R110=0,$X110,IF(AND($T110&lt;&gt;"",EDATE($D110,Milestones!$AA$144)&gt;=$T110),$W110,IF(AND($S110&lt;&gt;"",EDATE($D110,Milestones!$AA$144)&gt;=$S110),$V110,$U110)))=Milestones!$AB$144),UPPER(TEXT(EDATE($D110,Milestones!$AA$144),"dd mmm yy"))&amp;" "&amp;Milestones!$AB$144&amp;" "&amp;Milestones!$AC$144&amp;";  ","")&amp;IF(AND(EDATE($D110,Milestones!$AA$145)&lt;=AsOfDate,IF($R110=0,$X110,IF(AND($T110&lt;&gt;"",EDATE($D110,Milestones!$AA$145)&gt;=$T110),$W110,IF(AND($S110&lt;&gt;"",EDATE($D110,Milestones!$AA$145)&gt;=$S110),$V110,$U110)))=Milestones!$AB$145),UPPER(TEXT(EDATE($D110,Milestones!$AA$145),"dd mmm yy"))&amp;" "&amp;Milestones!$AB$145&amp;" "&amp;Milestones!$AC$145&amp;";  ","")&amp;IF(AND(EDATE($D110,Milestones!$AA$146)&lt;=AsOfDate,IF($R110=0,$X110,IF(AND($T110&lt;&gt;"",EDATE($D110,Milestones!$AA$146)&gt;=$T110),$W110,IF(AND($S110&lt;&gt;"",EDATE($D110,Milestones!$AA$146)&gt;=$S110),$V110,$U110)))=Milestones!$AB$146),UPPER(TEXT(EDATE($D110,Milestones!$AA$146),"dd mmm yy"))&amp;" "&amp;Milestones!$AB$146&amp;" "&amp;Milestones!$AC$146&amp;";  ","")&amp;IF(AND(EDATE($D110,Milestones!$AA$147)&lt;=AsOfDate,IF($R110=0,$X110,IF(AND($T110&lt;&gt;"",EDATE($D110,Milestones!$AA$147)&gt;=$T110),$W110,IF(AND($S110&lt;&gt;"",EDATE($D110,Milestones!$AA$147)&gt;=$S110),$V110,$U110)))=Milestones!$AB$147),UPPER(TEXT(EDATE($D110,Milestones!$AA$147),"dd mmm yy"))&amp;" "&amp;Milestones!$AB$147&amp;" "&amp;Milestones!$AC$147&amp;";  ","")&amp;IF(AND(EDATE($D110,Milestones!$AA$148)&lt;=AsOfDate,IF($R110=0,$X110,IF(AND($T110&lt;&gt;"",EDATE($D110,Milestones!$AA$148)&gt;=$T110),$W110,IF(AND($S110&lt;&gt;"",EDATE($D110,Milestones!$AA$148)&gt;=$S110),$V110,$U110)))=Milestones!$AB$148),UPPER(TEXT(EDATE($D110,Milestones!$AA$148),"dd mmm yy"))&amp;" "&amp;Milestones!$AB$148&amp;" "&amp;Milestones!$AC$148&amp;";  ","")&amp;IF(AND(EDATE($D110,Milestones!$AA$149)&lt;=AsOfDate,IF($R110=0,$X110,IF(AND($T110&lt;&gt;"",EDATE($D110,Milestones!$AA$149)&gt;=$T110),$W110,IF(AND($S110&lt;&gt;"",EDATE($D110,Milestones!$AA$149)&gt;=$S110),$V110,$U110)))=Milestones!$AB$149),UPPER(TEXT(EDATE($D110,Milestones!$AA$149),"dd mmm yy"))&amp;" "&amp;Milestones!$AB$149&amp;" "&amp;Milestones!$AC$149&amp;";  ","")&amp;IF(AND(EDATE($D110,Milestones!$AA$150)&lt;=AsOfDate,IF($R110=0,$X110,IF(AND($T110&lt;&gt;"",EDATE($D110,Milestones!$AA$150)&gt;=$T110),$W110,IF(AND($S110&lt;&gt;"",EDATE($D110,Milestones!$AA$150)&gt;=$S110),$V110,$U110)))=Milestones!$AB$150),UPPER(TEXT(EDATE($D110,Milestones!$AA$150),"dd mmm yy"))&amp;" "&amp;Milestones!$AB$150&amp;" "&amp;Milestones!$AC$150&amp;";  ","")&amp;IF(AND(EDATE($D110,Milestones!$AA$151)&lt;=AsOfDate,IF($R110=0,$X110,IF(AND($T110&lt;&gt;"",EDATE($D110,Milestones!$AA$151)&gt;=$T110),$W110,IF(AND($S110&lt;&gt;"",EDATE($D110,Milestones!$AA$151)&gt;=$S110),$V110,$U110)))=Milestones!$AB$151),UPPER(TEXT(EDATE($D110,Milestones!$AA$151),"dd mmm yy"))&amp;" "&amp;Milestones!$AB$151&amp;" "&amp;Milestones!$AC$151&amp;";  ","")&amp;IF(AND(EDATE($D110,Milestones!$AA$152)&lt;=AsOfDate,IF($R110=0,$X110,IF(AND($T110&lt;&gt;"",EDATE($D110,Milestones!$AA$152)&gt;=$T110),$W110,IF(AND($S110&lt;&gt;"",EDATE($D110,Milestones!$AA$152)&gt;=$S110),$V110,$U110)))=Milestones!$AB$152),UPPER(TEXT(EDATE($D110,Milestones!$AA$152),"dd mmm yy"))&amp;" "&amp;Milestones!$AB$152&amp;" "&amp;Milestones!$AC$152&amp;";  ","")&amp;IF(AND(EDATE($D110,Milestones!$AA$153)&lt;=AsOfDate,IF($R110=0,$X110,IF(AND($T110&lt;&gt;"",EDATE($D110,Milestones!$AA$153)&gt;=$T110),$W110,IF(AND($S110&lt;&gt;"",EDATE($D110,Milestones!$AA$153)&gt;=$S110),$V110,$U110)))=Milestones!$AB$153),UPPER(TEXT(EDATE($D110,Milestones!$AA$153),"dd mmm yy"))&amp;" "&amp;Milestones!$AB$153&amp;" "&amp;Milestones!$AC$153&amp;";  ","")&amp;IF(AND(EDATE($D110,Milestones!$AA$154)&lt;=AsOfDate,IF($R110=0,$X110,IF(AND($T110&lt;&gt;"",EDATE($D110,Milestones!$AA$154)&gt;=$T110),$W110,IF(AND($S110&lt;&gt;"",EDATE($D110,Milestones!$AA$154)&gt;=$S110),$V110,$U110)))=Milestones!$AB$154),UPPER(TEXT(EDATE($D110,Milestones!$AA$154),"dd mmm yy"))&amp;" "&amp;Milestones!$AB$154&amp;" "&amp;Milestones!$AC$154&amp;";  ","")&amp;IF(AND(EDATE($D110,Milestones!$AA$155)&lt;=AsOfDate,IF($R110=0,$X110,IF(AND($T110&lt;&gt;"",EDATE($D110,Milestones!$AA$155)&gt;=$T110),$W110,IF(AND($S110&lt;&gt;"",EDATE($D110,Milestones!$AA$155)&gt;=$S110),$V110,$U110)))=Milestones!$AB$155),UPPER(TEXT(EDATE($D110,Milestones!$AA$155),"dd mmm yy"))&amp;" "&amp;Milestones!$AB$155&amp;" "&amp;Milestones!$AC$155&amp;";  ","")&amp;IF(AND(EDATE($D110,Milestones!$AA$156)&lt;=AsOfDate,IF($R110=0,$X110,IF(AND($T110&lt;&gt;"",EDATE($D110,Milestones!$AA$156)&gt;=$T110),$W110,IF(AND($S110&lt;&gt;"",EDATE($D110,Milestones!$AA$156)&gt;=$S110),$V110,$U110)))=Milestones!$AB$156),UPPER(TEXT(EDATE($D110,Milestones!$AA$156),"dd mmm yy"))&amp;" "&amp;Milestones!$AB$156&amp;" "&amp;Milestones!$AC$156&amp;";  ","")&amp;IF(AND(EDATE($D110,Milestones!$AA$157)&lt;=AsOfDate,IF($R110=0,$X110,IF(AND($T110&lt;&gt;"",EDATE($D110,Milestones!$AA$157)&gt;=$T110),$W110,IF(AND($S110&lt;&gt;"",EDATE($D110,Milestones!$AA$157)&gt;=$S110),$V110,$U110)))=Milestones!$AB$157),UPPER(TEXT(EDATE($D110,Milestones!$AA$157),"dd mmm yy"))&amp;" "&amp;Milestones!$AB$157&amp;" "&amp;Milestones!$AC$157&amp;";  ","")&amp;IF(AND(EDATE($D110,Milestones!$AA$158)&lt;=AsOfDate,IF($R110=0,$X110,IF(AND($T110&lt;&gt;"",EDATE($D110,Milestones!$AA$158)&gt;=$T110),$W110,IF(AND($S110&lt;&gt;"",EDATE($D110,Milestones!$AA$158)&gt;=$S110),$V110,$U110)))=Milestones!$AB$158),UPPER(TEXT(EDATE($D110,Milestones!$AA$158),"dd mmm yy"))&amp;" "&amp;Milestones!$AB$158&amp;" "&amp;Milestones!$AC$158&amp;";  ","")&amp;IF(AND(EDATE($D110,Milestones!$AA$159)&lt;=AsOfDate,IF($R110=0,$X110,IF(AND($T110&lt;&gt;"",EDATE($D110,Milestones!$AA$159)&gt;=$T110),$W110,IF(AND($S110&lt;&gt;"",EDATE($D110,Milestones!$AA$159)&gt;=$S110),$V110,$U110)))=Milestones!$AB$159),UPPER(TEXT(EDATE($D110,Milestones!$AA$159),"dd mmm yy"))&amp;" "&amp;Milestones!$AB$159&amp;" "&amp;Milestones!$AC$159&amp;";  ",""))</f>
        <v/>
      </c>
      <c r="P110" s="0" t="str">
        <f aca="false">IF(OR($A110="",$D110=""),"",IF(AND(EDATE($D110,Milestones!$AA$160)&lt;=AsOfDate,IF($R110=0,$X110,IF(AND($T110&lt;&gt;"",EDATE($D110,Milestones!$AA$160)&gt;=$T110),$W110,IF(AND($S110&lt;&gt;"",EDATE($D110,Milestones!$AA$160)&gt;=$S110),$V110,$U110)))=Milestones!$AB$160),UPPER(TEXT(EDATE($D110,Milestones!$AA$160),"dd mmm yy"))&amp;" "&amp;Milestones!$AB$160&amp;" "&amp;Milestones!$AC$160&amp;";  ","")&amp;IF(AND(EDATE($D110,Milestones!$AA$161)&lt;=AsOfDate,IF($R110=0,$X110,IF(AND($T110&lt;&gt;"",EDATE($D110,Milestones!$AA$161)&gt;=$T110),$W110,IF(AND($S110&lt;&gt;"",EDATE($D110,Milestones!$AA$161)&gt;=$S110),$V110,$U110)))=Milestones!$AB$161),UPPER(TEXT(EDATE($D110,Milestones!$AA$161),"dd mmm yy"))&amp;" "&amp;Milestones!$AB$161&amp;" "&amp;Milestones!$AC$161&amp;";  ","")&amp;IF(AND(EDATE($D110,Milestones!$AA$162)&lt;=AsOfDate,IF($R110=0,$X110,IF(AND($T110&lt;&gt;"",EDATE($D110,Milestones!$AA$162)&gt;=$T110),$W110,IF(AND($S110&lt;&gt;"",EDATE($D110,Milestones!$AA$162)&gt;=$S110),$V110,$U110)))=Milestones!$AB$162),UPPER(TEXT(EDATE($D110,Milestones!$AA$162),"dd mmm yy"))&amp;" "&amp;Milestones!$AB$162&amp;" "&amp;Milestones!$AC$162&amp;";  ","")&amp;IF(AND(EDATE($D110,Milestones!$AA$163)&lt;=AsOfDate,IF($R110=0,$X110,IF(AND($T110&lt;&gt;"",EDATE($D110,Milestones!$AA$163)&gt;=$T110),$W110,IF(AND($S110&lt;&gt;"",EDATE($D110,Milestones!$AA$163)&gt;=$S110),$V110,$U110)))=Milestones!$AB$163),UPPER(TEXT(EDATE($D110,Milestones!$AA$163),"dd mmm yy"))&amp;" "&amp;Milestones!$AB$163&amp;" "&amp;Milestones!$AC$163&amp;";  ","")&amp;IF(AND(EDATE($D110,Milestones!$AA$164)&lt;=AsOfDate,IF($R110=0,$X110,IF(AND($T110&lt;&gt;"",EDATE($D110,Milestones!$AA$164)&gt;=$T110),$W110,IF(AND($S110&lt;&gt;"",EDATE($D110,Milestones!$AA$164)&gt;=$S110),$V110,$U110)))=Milestones!$AB$164),UPPER(TEXT(EDATE($D110,Milestones!$AA$164),"dd mmm yy"))&amp;" "&amp;Milestones!$AB$164&amp;" "&amp;Milestones!$AC$164&amp;";  ","")&amp;IF(AND(EDATE($D110,Milestones!$AA$165)&lt;=AsOfDate,IF($R110=0,$X110,IF(AND($T110&lt;&gt;"",EDATE($D110,Milestones!$AA$165)&gt;=$T110),$W110,IF(AND($S110&lt;&gt;"",EDATE($D110,Milestones!$AA$165)&gt;=$S110),$V110,$U110)))=Milestones!$AB$165),UPPER(TEXT(EDATE($D110,Milestones!$AA$165),"dd mmm yy"))&amp;" "&amp;Milestones!$AB$165&amp;" "&amp;Milestones!$AC$165&amp;";  ","")&amp;IF(AND(EDATE($D110,Milestones!$AA$166)&lt;=AsOfDate,IF($R110=0,$X110,IF(AND($T110&lt;&gt;"",EDATE($D110,Milestones!$AA$166)&gt;=$T110),$W110,IF(AND($S110&lt;&gt;"",EDATE($D110,Milestones!$AA$166)&gt;=$S110),$V110,$U110)))=Milestones!$AB$166),UPPER(TEXT(EDATE($D110,Milestones!$AA$166),"dd mmm yy"))&amp;" "&amp;Milestones!$AB$166&amp;" "&amp;Milestones!$AC$166&amp;";  ","")&amp;IF(AND(EDATE($D110,Milestones!$AA$167)&lt;=AsOfDate,IF($R110=0,$X110,IF(AND($T110&lt;&gt;"",EDATE($D110,Milestones!$AA$167)&gt;=$T110),$W110,IF(AND($S110&lt;&gt;"",EDATE($D110,Milestones!$AA$167)&gt;=$S110),$V110,$U110)))=Milestones!$AB$167),UPPER(TEXT(EDATE($D110,Milestones!$AA$167),"dd mmm yy"))&amp;" "&amp;Milestones!$AB$167&amp;" "&amp;Milestones!$AC$167&amp;";  ","")&amp;IF(AND(EDATE($D110,Milestones!$AA$168)&lt;=AsOfDate,IF($R110=0,$X110,IF(AND($T110&lt;&gt;"",EDATE($D110,Milestones!$AA$168)&gt;=$T110),$W110,IF(AND($S110&lt;&gt;"",EDATE($D110,Milestones!$AA$168)&gt;=$S110),$V110,$U110)))=Milestones!$AB$168),UPPER(TEXT(EDATE($D110,Milestones!$AA$168),"dd mmm yy"))&amp;" "&amp;Milestones!$AB$168&amp;" "&amp;Milestones!$AC$168&amp;";  ","")&amp;IF(AND(EDATE($D110,Milestones!$AA$169)&lt;=AsOfDate,IF($R110=0,$X110,IF(AND($T110&lt;&gt;"",EDATE($D110,Milestones!$AA$169)&gt;=$T110),$W110,IF(AND($S110&lt;&gt;"",EDATE($D110,Milestones!$AA$169)&gt;=$S110),$V110,$U110)))=Milestones!$AB$169),UPPER(TEXT(EDATE($D110,Milestones!$AA$169),"dd mmm yy"))&amp;" "&amp;Milestones!$AB$169&amp;" "&amp;Milestones!$AC$169&amp;";  ","")&amp;IF(AND(EDATE($D110,Milestones!$AA$170)&lt;=AsOfDate,IF($R110=0,$X110,IF(AND($T110&lt;&gt;"",EDATE($D110,Milestones!$AA$170)&gt;=$T110),$W110,IF(AND($S110&lt;&gt;"",EDATE($D110,Milestones!$AA$170)&gt;=$S110),$V110,$U110)))=Milestones!$AB$170),UPPER(TEXT(EDATE($D110,Milestones!$AA$170),"dd mmm yy"))&amp;" "&amp;Milestones!$AB$170&amp;" "&amp;Milestones!$AC$170&amp;";  ","")&amp;IF(AND(EDATE($D110,Milestones!$AA$171)&lt;=AsOfDate,IF($R110=0,$X110,IF(AND($T110&lt;&gt;"",EDATE($D110,Milestones!$AA$171)&gt;=$T110),$W110,IF(AND($S110&lt;&gt;"",EDATE($D110,Milestones!$AA$171)&gt;=$S110),$V110,$U110)))=Milestones!$AB$171),UPPER(TEXT(EDATE($D110,Milestones!$AA$171),"dd mmm yy"))&amp;" "&amp;Milestones!$AB$171&amp;" "&amp;Milestones!$AC$171&amp;";  ","")&amp;IF(AND(EDATE($D110,Milestones!$AA$172)&lt;=AsOfDate,IF($R110=0,$X110,IF(AND($T110&lt;&gt;"",EDATE($D110,Milestones!$AA$172)&gt;=$T110),$W110,IF(AND($S110&lt;&gt;"",EDATE($D110,Milestones!$AA$172)&gt;=$S110),$V110,$U110)))=Milestones!$AB$172),UPPER(TEXT(EDATE($D110,Milestones!$AA$172),"dd mmm yy"))&amp;" "&amp;Milestones!$AB$172&amp;" "&amp;Milestones!$AC$172&amp;";  ","")&amp;IF(AND(EDATE($D110,Milestones!$AA$173)&lt;=AsOfDate,IF($R110=0,$X110,IF(AND($T110&lt;&gt;"",EDATE($D110,Milestones!$AA$173)&gt;=$T110),$W110,IF(AND($S110&lt;&gt;"",EDATE($D110,Milestones!$AA$173)&gt;=$S110),$V110,$U110)))=Milestones!$AB$173),UPPER(TEXT(EDATE($D110,Milestones!$AA$173),"dd mmm yy"))&amp;" "&amp;Milestones!$AB$173&amp;" "&amp;Milestones!$AC$173&amp;";  ","")&amp;IF(AND(EDATE($D110,Milestones!$AA$174)&lt;=AsOfDate,IF($R110=0,$X110,IF(AND($T110&lt;&gt;"",EDATE($D110,Milestones!$AA$174)&gt;=$T110),$W110,IF(AND($S110&lt;&gt;"",EDATE($D110,Milestones!$AA$174)&gt;=$S110),$V110,$U110)))=Milestones!$AB$174),UPPER(TEXT(EDATE($D110,Milestones!$AA$174),"dd mmm yy"))&amp;" "&amp;Milestones!$AB$174&amp;" "&amp;Milestones!$AC$174&amp;";  ","")&amp;IF(AND(EDATE($D110,Milestones!$AA$175)&lt;=AsOfDate,IF($R110=0,$X110,IF(AND($T110&lt;&gt;"",EDATE($D110,Milestones!$AA$175)&gt;=$T110),$W110,IF(AND($S110&lt;&gt;"",EDATE($D110,Milestones!$AA$175)&gt;=$S110),$V110,$U110)))=Milestones!$AB$175),UPPER(TEXT(EDATE($D110,Milestones!$AA$175),"dd mmm yy"))&amp;" "&amp;Milestones!$AB$175&amp;" "&amp;Milestones!$AC$175&amp;";  ","")&amp;IF(AND(EDATE($D110,Milestones!$AA$176)&lt;=AsOfDate,IF($R110=0,$X110,IF(AND($T110&lt;&gt;"",EDATE($D110,Milestones!$AA$176)&gt;=$T110),$W110,IF(AND($S110&lt;&gt;"",EDATE($D110,Milestones!$AA$176)&gt;=$S110),$V110,$U110)))=Milestones!$AB$176),UPPER(TEXT(EDATE($D110,Milestones!$AA$176),"dd mmm yy"))&amp;" "&amp;Milestones!$AB$176&amp;" "&amp;Milestones!$AC$176&amp;";  ","")&amp;IF(AND(EDATE($D110,Milestones!$AA$177)&lt;=AsOfDate,IF($R110=0,$X110,IF(AND($T110&lt;&gt;"",EDATE($D110,Milestones!$AA$177)&gt;=$T110),$W110,IF(AND($S110&lt;&gt;"",EDATE($D110,Milestones!$AA$177)&gt;=$S110),$V110,$U110)))=Milestones!$AB$177),UPPER(TEXT(EDATE($D110,Milestones!$AA$177),"dd mmm yy"))&amp;" "&amp;Milestones!$AB$177&amp;" "&amp;Milestones!$AC$177&amp;";  ","")&amp;IF(AND(EDATE($D110,Milestones!$AA$178)&lt;=AsOfDate,IF($R110=0,$X110,IF(AND($T110&lt;&gt;"",EDATE($D110,Milestones!$AA$178)&gt;=$T110),$W110,IF(AND($S110&lt;&gt;"",EDATE($D110,Milestones!$AA$178)&gt;=$S110),$V110,$U110)))=Milestones!$AB$178),UPPER(TEXT(EDATE($D110,Milestones!$AA$178),"dd mmm yy"))&amp;" "&amp;Milestones!$AB$178&amp;" "&amp;Milestones!$AC$178&amp;";  ","")&amp;IF(AND(EDATE($D110,Milestones!$AA$179)&lt;=AsOfDate,IF($R110=0,$X110,IF(AND($T110&lt;&gt;"",EDATE($D110,Milestones!$AA$179)&gt;=$T110),$W110,IF(AND($S110&lt;&gt;"",EDATE($D110,Milestones!$AA$179)&gt;=$S110),$V110,$U110)))=Milestones!$AB$179),UPPER(TEXT(EDATE($D110,Milestones!$AA$179),"dd mmm yy"))&amp;" "&amp;Milestones!$AB$179&amp;" "&amp;Milestones!$AC$179&amp;";  ",""))</f>
        <v/>
      </c>
      <c r="Q110" s="0" t="str">
        <f aca="false">IF(OR($A110="",$D110=""),"",IF(AND(EDATE($D110,Milestones!$AA$180)&lt;=AsOfDate,IF($R110=0,$X110,IF(AND($T110&lt;&gt;"",EDATE($D110,Milestones!$AA$180)&gt;=$T110),$W110,IF(AND($S110&lt;&gt;"",EDATE($D110,Milestones!$AA$180)&gt;=$S110),$V110,$U110)))=Milestones!$AB$180),UPPER(TEXT(EDATE($D110,Milestones!$AA$180),"dd mmm yy"))&amp;" "&amp;Milestones!$AB$180&amp;" "&amp;Milestones!$AC$180&amp;";  ","")&amp;IF(AND(EDATE($D110,Milestones!$AA$181)&lt;=AsOfDate,IF($R110=0,$X110,IF(AND($T110&lt;&gt;"",EDATE($D110,Milestones!$AA$181)&gt;=$T110),$W110,IF(AND($S110&lt;&gt;"",EDATE($D110,Milestones!$AA$181)&gt;=$S110),$V110,$U110)))=Milestones!$AB$181),UPPER(TEXT(EDATE($D110,Milestones!$AA$181),"dd mmm yy"))&amp;" "&amp;Milestones!$AB$181&amp;" "&amp;Milestones!$AC$181&amp;";  ","")&amp;IF(AND(EDATE($D110,Milestones!$AA$182)&lt;=AsOfDate,IF($R110=0,$X110,IF(AND($T110&lt;&gt;"",EDATE($D110,Milestones!$AA$182)&gt;=$T110),$W110,IF(AND($S110&lt;&gt;"",EDATE($D110,Milestones!$AA$182)&gt;=$S110),$V110,$U110)))=Milestones!$AB$182),UPPER(TEXT(EDATE($D110,Milestones!$AA$182),"dd mmm yy"))&amp;" "&amp;Milestones!$AB$182&amp;" "&amp;Milestones!$AC$182&amp;";  ","")&amp;IF(AND(EDATE($D110,Milestones!$AA$183)&lt;=AsOfDate,IF($R110=0,$X110,IF(AND($T110&lt;&gt;"",EDATE($D110,Milestones!$AA$183)&gt;=$T110),$W110,IF(AND($S110&lt;&gt;"",EDATE($D110,Milestones!$AA$183)&gt;=$S110),$V110,$U110)))=Milestones!$AB$183),UPPER(TEXT(EDATE($D110,Milestones!$AA$183),"dd mmm yy"))&amp;" "&amp;Milestones!$AB$183&amp;" "&amp;Milestones!$AC$183&amp;";  ","")&amp;IF(AND(EDATE($D110,Milestones!$AA$184)&lt;=AsOfDate,IF($R110=0,$X110,IF(AND($T110&lt;&gt;"",EDATE($D110,Milestones!$AA$184)&gt;=$T110),$W110,IF(AND($S110&lt;&gt;"",EDATE($D110,Milestones!$AA$184)&gt;=$S110),$V110,$U110)))=Milestones!$AB$184),UPPER(TEXT(EDATE($D110,Milestones!$AA$184),"dd mmm yy"))&amp;" "&amp;Milestones!$AB$184&amp;" "&amp;Milestones!$AC$184&amp;";  ","")&amp;IF(AND(EDATE($D110,Milestones!$AA$185)&lt;=AsOfDate,IF($R110=0,$X110,IF(AND($T110&lt;&gt;"",EDATE($D110,Milestones!$AA$185)&gt;=$T110),$W110,IF(AND($S110&lt;&gt;"",EDATE($D110,Milestones!$AA$185)&gt;=$S110),$V110,$U110)))=Milestones!$AB$185),UPPER(TEXT(EDATE($D110,Milestones!$AA$185),"dd mmm yy"))&amp;" "&amp;Milestones!$AB$185&amp;" "&amp;Milestones!$AC$185&amp;";  ","")&amp;IF(AND(EDATE($D110,Milestones!$AA$186)&lt;=AsOfDate,IF($R110=0,$X110,IF(AND($T110&lt;&gt;"",EDATE($D110,Milestones!$AA$186)&gt;=$T110),$W110,IF(AND($S110&lt;&gt;"",EDATE($D110,Milestones!$AA$186)&gt;=$S110),$V110,$U110)))=Milestones!$AB$186),UPPER(TEXT(EDATE($D110,Milestones!$AA$186),"dd mmm yy"))&amp;" "&amp;Milestones!$AB$186&amp;" "&amp;Milestones!$AC$186&amp;";  ","")&amp;IF(AND(EDATE($D110,Milestones!$AA$187)&lt;=AsOfDate,IF($R110=0,$X110,IF(AND($T110&lt;&gt;"",EDATE($D110,Milestones!$AA$187)&gt;=$T110),$W110,IF(AND($S110&lt;&gt;"",EDATE($D110,Milestones!$AA$187)&gt;=$S110),$V110,$U110)))=Milestones!$AB$187),UPPER(TEXT(EDATE($D110,Milestones!$AA$187),"dd mmm yy"))&amp;" "&amp;Milestones!$AB$187&amp;" "&amp;Milestones!$AC$187&amp;";  ","")&amp;IF(AND(EDATE($D110,Milestones!$AA$188)&lt;=AsOfDate,IF($R110=0,$X110,IF(AND($T110&lt;&gt;"",EDATE($D110,Milestones!$AA$188)&gt;=$T110),$W110,IF(AND($S110&lt;&gt;"",EDATE($D110,Milestones!$AA$188)&gt;=$S110),$V110,$U110)))=Milestones!$AB$188),UPPER(TEXT(EDATE($D110,Milestones!$AA$188),"dd mmm yy"))&amp;" "&amp;Milestones!$AB$188&amp;" "&amp;Milestones!$AC$188&amp;";  ","")&amp;IF(AND(EDATE($D110,Milestones!$AA$189)&lt;=AsOfDate,IF($R110=0,$X110,IF(AND($T110&lt;&gt;"",EDATE($D110,Milestones!$AA$189)&gt;=$T110),$W110,IF(AND($S110&lt;&gt;"",EDATE($D110,Milestones!$AA$189)&gt;=$S110),$V110,$U110)))=Milestones!$AB$189),UPPER(TEXT(EDATE($D110,Milestones!$AA$189),"dd mmm yy"))&amp;" "&amp;Milestones!$AB$189&amp;" "&amp;Milestones!$AC$189&amp;";  ","")&amp;IF(AND(EDATE($D110,Milestones!$AA$190)&lt;=AsOfDate,IF($R110=0,$X110,IF(AND($T110&lt;&gt;"",EDATE($D110,Milestones!$AA$190)&gt;=$T110),$W110,IF(AND($S110&lt;&gt;"",EDATE($D110,Milestones!$AA$190)&gt;=$S110),$V110,$U110)))=Milestones!$AB$190),UPPER(TEXT(EDATE($D110,Milestones!$AA$190),"dd mmm yy"))&amp;" "&amp;Milestones!$AB$190&amp;" "&amp;Milestones!$AC$190&amp;";  ","")&amp;IF(AND(EDATE($D110,Milestones!$AA$191)&lt;=AsOfDate,IF($R110=0,$X110,IF(AND($T110&lt;&gt;"",EDATE($D110,Milestones!$AA$191)&gt;=$T110),$W110,IF(AND($S110&lt;&gt;"",EDATE($D110,Milestones!$AA$191)&gt;=$S110),$V110,$U110)))=Milestones!$AB$191),UPPER(TEXT(EDATE($D110,Milestones!$AA$191),"dd mmm yy"))&amp;" "&amp;Milestones!$AB$191&amp;" "&amp;Milestones!$AC$191&amp;";  ","")&amp;IF(AND(EDATE($D110,Milestones!$AA$192)&lt;=AsOfDate,IF($R110=0,$X110,IF(AND($T110&lt;&gt;"",EDATE($D110,Milestones!$AA$192)&gt;=$T110),$W110,IF(AND($S110&lt;&gt;"",EDATE($D110,Milestones!$AA$192)&gt;=$S110),$V110,$U110)))=Milestones!$AB$192),UPPER(TEXT(EDATE($D110,Milestones!$AA$192),"dd mmm yy"))&amp;" "&amp;Milestones!$AB$192&amp;" "&amp;Milestones!$AC$192&amp;";  ","")&amp;IF(AND(EDATE($D110,Milestones!$AA$193)&lt;=AsOfDate,IF($R110=0,$X110,IF(AND($T110&lt;&gt;"",EDATE($D110,Milestones!$AA$193)&gt;=$T110),$W110,IF(AND($S110&lt;&gt;"",EDATE($D110,Milestones!$AA$193)&gt;=$S110),$V110,$U110)))=Milestones!$AB$193),UPPER(TEXT(EDATE($D110,Milestones!$AA$193),"dd mmm yy"))&amp;" "&amp;Milestones!$AB$193&amp;" "&amp;Milestones!$AC$193&amp;";  ","")&amp;IF(AND(EDATE($D110,Milestones!$AA$194)&lt;=AsOfDate,IF($R110=0,$X110,IF(AND($T110&lt;&gt;"",EDATE($D110,Milestones!$AA$194)&gt;=$T110),$W110,IF(AND($S110&lt;&gt;"",EDATE($D110,Milestones!$AA$194)&gt;=$S110),$V110,$U110)))=Milestones!$AB$194),UPPER(TEXT(EDATE($D110,Milestones!$AA$194),"dd mmm yy"))&amp;" "&amp;Milestones!$AB$194&amp;" "&amp;Milestones!$AC$194&amp;";  ","")&amp;IF(AND(EDATE($D110,Milestones!$AA$195)&lt;=AsOfDate,IF($R110=0,$X110,IF(AND($T110&lt;&gt;"",EDATE($D110,Milestones!$AA$195)&gt;=$T110),$W110,IF(AND($S110&lt;&gt;"",EDATE($D110,Milestones!$AA$195)&gt;=$S110),$V110,$U110)))=Milestones!$AB$195),UPPER(TEXT(EDATE($D110,Milestones!$AA$195),"dd mmm yy"))&amp;" "&amp;Milestones!$AB$195&amp;" "&amp;Milestones!$AC$195&amp;";  ","")&amp;IF(AND(EDATE($D110,Milestones!$AA$196)&lt;=AsOfDate,IF($R110=0,$X110,IF(AND($T110&lt;&gt;"",EDATE($D110,Milestones!$AA$196)&gt;=$T110),$W110,IF(AND($S110&lt;&gt;"",EDATE($D110,Milestones!$AA$196)&gt;=$S110),$V110,$U110)))=Milestones!$AB$196),UPPER(TEXT(EDATE($D110,Milestones!$AA$196),"dd mmm yy"))&amp;" "&amp;Milestones!$AB$196&amp;" "&amp;Milestones!$AC$196&amp;";  ","")&amp;IF(AND(EDATE($D110,Milestones!$AA$197)&lt;=AsOfDate,IF($R110=0,$X110,IF(AND($T110&lt;&gt;"",EDATE($D110,Milestones!$AA$197)&gt;=$T110),$W110,IF(AND($S110&lt;&gt;"",EDATE($D110,Milestones!$AA$197)&gt;=$S110),$V110,$U110)))=Milestones!$AB$197),UPPER(TEXT(EDATE($D110,Milestones!$AA$197),"dd mmm yy"))&amp;" "&amp;Milestones!$AB$197&amp;" "&amp;Milestones!$AC$197&amp;";  ","")&amp;IF(AND(EDATE($D110,Milestones!$AA$198)&lt;=AsOfDate,IF($R110=0,$X110,IF(AND($T110&lt;&gt;"",EDATE($D110,Milestones!$AA$198)&gt;=$T110),$W110,IF(AND($S110&lt;&gt;"",EDATE($D110,Milestones!$AA$198)&gt;=$S110),$V110,$U110)))=Milestones!$AB$198),UPPER(TEXT(EDATE($D110,Milestones!$AA$198),"dd mmm yy"))&amp;" "&amp;Milestones!$AB$198&amp;" "&amp;Milestones!$AC$198&amp;";  ","")&amp;IF(AND(EDATE($D110,Milestones!$AA$199)&lt;=AsOfDate,IF($R110=0,$X110,IF(AND($T110&lt;&gt;"",EDATE($D110,Milestones!$AA$199)&gt;=$T110),$W110,IF(AND($S110&lt;&gt;"",EDATE($D110,Milestones!$AA$199)&gt;=$S110),$V110,$U110)))=Milestones!$AB$199),UPPER(TEXT(EDATE($D110,Milestones!$AA$199),"dd mmm yy"))&amp;" "&amp;Milestones!$AB$199&amp;" "&amp;Milestones!$AC$199&amp;";  ",""))</f>
        <v/>
      </c>
      <c r="R110" s="0" t="str">
        <f aca="false">IF(Staff!$A110="","",Staff!$AI110)</f>
        <v/>
      </c>
      <c r="S110" s="0" t="str">
        <f aca="false">IF(Staff!$A110="","",Staff!$AK110)</f>
        <v/>
      </c>
      <c r="T110" s="0" t="str">
        <f aca="false">IF(Staff!$A110="","",Staff!$AL110)</f>
        <v/>
      </c>
      <c r="U110" s="0" t="str">
        <f aca="false">IF(Staff!$A110="","",Staff!$AP110)</f>
        <v/>
      </c>
      <c r="V110" s="0" t="str">
        <f aca="false">IF(Staff!$A110="","",Staff!$AQ110)</f>
        <v/>
      </c>
      <c r="W110" s="0" t="str">
        <f aca="false">IF(Staff!$A110="","",Staff!$AR110)</f>
        <v/>
      </c>
      <c r="X110" s="0" t="str">
        <f aca="false">IF(Staff!$A110="","",Staff!$AS110)</f>
        <v/>
      </c>
    </row>
    <row r="111" customFormat="false" ht="15" hidden="false" customHeight="false" outlineLevel="0" collapsed="false">
      <c r="A111" s="19" t="str">
        <f aca="false">IF(Staff!$A111="","",Staff!$A111)</f>
        <v/>
      </c>
      <c r="B111" s="19" t="str">
        <f aca="false">IF(Staff!$A111="","",Staff!$B111)</f>
        <v/>
      </c>
      <c r="C111" s="19" t="str">
        <f aca="false">IF(Staff!$A111="","",Staff!$C111)</f>
        <v/>
      </c>
      <c r="D111" s="17" t="str">
        <f aca="false">IF(Staff!$A111="","",Staff!$AH111)</f>
        <v/>
      </c>
      <c r="E111" s="19" t="str">
        <f aca="false">IF(Staff!$A111="","",Staff!$O111)</f>
        <v/>
      </c>
      <c r="F111" s="19" t="str">
        <f aca="false">IF(E111="","",E111*HoursPerDay)</f>
        <v/>
      </c>
      <c r="G111" s="19" t="str">
        <f aca="false">IF(Staff!$A111="","",Staff!$AE111)</f>
        <v/>
      </c>
      <c r="H111" s="32" t="str">
        <f aca="false">IF($A111="","",I111&amp;J111&amp;K111&amp;L111&amp;M111&amp;N111&amp;O111&amp;P111&amp;Q111)</f>
        <v/>
      </c>
      <c r="I111" s="0" t="str">
        <f aca="false">IF(OR($A111="",$D111=""),"",IF(AND(EDATE($D111,Milestones!$AA$20)&lt;=AsOfDate,IF($R111=0,$X111,IF(AND($T111&lt;&gt;"",EDATE($D111,Milestones!$AA$20)&gt;=$T111),$W111,IF(AND($S111&lt;&gt;"",EDATE($D111,Milestones!$AA$20)&gt;=$S111),$V111,$U111)))=Milestones!$AB$20),UPPER(TEXT(EDATE($D111,Milestones!$AA$20),"dd mmm yy"))&amp;" "&amp;Milestones!$AB$20&amp;" "&amp;Milestones!$AC$20&amp;";  ","")&amp;IF(AND(EDATE($D111,Milestones!$AA$21)&lt;=AsOfDate,IF($R111=0,$X111,IF(AND($T111&lt;&gt;"",EDATE($D111,Milestones!$AA$21)&gt;=$T111),$W111,IF(AND($S111&lt;&gt;"",EDATE($D111,Milestones!$AA$21)&gt;=$S111),$V111,$U111)))=Milestones!$AB$21),UPPER(TEXT(EDATE($D111,Milestones!$AA$21),"dd mmm yy"))&amp;" "&amp;Milestones!$AB$21&amp;" "&amp;Milestones!$AC$21&amp;";  ","")&amp;IF(AND(EDATE($D111,Milestones!$AA$22)&lt;=AsOfDate,IF($R111=0,$X111,IF(AND($T111&lt;&gt;"",EDATE($D111,Milestones!$AA$22)&gt;=$T111),$W111,IF(AND($S111&lt;&gt;"",EDATE($D111,Milestones!$AA$22)&gt;=$S111),$V111,$U111)))=Milestones!$AB$22),UPPER(TEXT(EDATE($D111,Milestones!$AA$22),"dd mmm yy"))&amp;" "&amp;Milestones!$AB$22&amp;" "&amp;Milestones!$AC$22&amp;";  ","")&amp;IF(AND(EDATE($D111,Milestones!$AA$23)&lt;=AsOfDate,IF($R111=0,$X111,IF(AND($T111&lt;&gt;"",EDATE($D111,Milestones!$AA$23)&gt;=$T111),$W111,IF(AND($S111&lt;&gt;"",EDATE($D111,Milestones!$AA$23)&gt;=$S111),$V111,$U111)))=Milestones!$AB$23),UPPER(TEXT(EDATE($D111,Milestones!$AA$23),"dd mmm yy"))&amp;" "&amp;Milestones!$AB$23&amp;" "&amp;Milestones!$AC$23&amp;";  ","")&amp;IF(AND(EDATE($D111,Milestones!$AA$24)&lt;=AsOfDate,IF($R111=0,$X111,IF(AND($T111&lt;&gt;"",EDATE($D111,Milestones!$AA$24)&gt;=$T111),$W111,IF(AND($S111&lt;&gt;"",EDATE($D111,Milestones!$AA$24)&gt;=$S111),$V111,$U111)))=Milestones!$AB$24),UPPER(TEXT(EDATE($D111,Milestones!$AA$24),"dd mmm yy"))&amp;" "&amp;Milestones!$AB$24&amp;" "&amp;Milestones!$AC$24&amp;";  ","")&amp;IF(AND(EDATE($D111,Milestones!$AA$25)&lt;=AsOfDate,IF($R111=0,$X111,IF(AND($T111&lt;&gt;"",EDATE($D111,Milestones!$AA$25)&gt;=$T111),$W111,IF(AND($S111&lt;&gt;"",EDATE($D111,Milestones!$AA$25)&gt;=$S111),$V111,$U111)))=Milestones!$AB$25),UPPER(TEXT(EDATE($D111,Milestones!$AA$25),"dd mmm yy"))&amp;" "&amp;Milestones!$AB$25&amp;" "&amp;Milestones!$AC$25&amp;";  ","")&amp;IF(AND(EDATE($D111,Milestones!$AA$26)&lt;=AsOfDate,IF($R111=0,$X111,IF(AND($T111&lt;&gt;"",EDATE($D111,Milestones!$AA$26)&gt;=$T111),$W111,IF(AND($S111&lt;&gt;"",EDATE($D111,Milestones!$AA$26)&gt;=$S111),$V111,$U111)))=Milestones!$AB$26),UPPER(TEXT(EDATE($D111,Milestones!$AA$26),"dd mmm yy"))&amp;" "&amp;Milestones!$AB$26&amp;" "&amp;Milestones!$AC$26&amp;";  ","")&amp;IF(AND(EDATE($D111,Milestones!$AA$27)&lt;=AsOfDate,IF($R111=0,$X111,IF(AND($T111&lt;&gt;"",EDATE($D111,Milestones!$AA$27)&gt;=$T111),$W111,IF(AND($S111&lt;&gt;"",EDATE($D111,Milestones!$AA$27)&gt;=$S111),$V111,$U111)))=Milestones!$AB$27),UPPER(TEXT(EDATE($D111,Milestones!$AA$27),"dd mmm yy"))&amp;" "&amp;Milestones!$AB$27&amp;" "&amp;Milestones!$AC$27&amp;";  ","")&amp;IF(AND(EDATE($D111,Milestones!$AA$28)&lt;=AsOfDate,IF($R111=0,$X111,IF(AND($T111&lt;&gt;"",EDATE($D111,Milestones!$AA$28)&gt;=$T111),$W111,IF(AND($S111&lt;&gt;"",EDATE($D111,Milestones!$AA$28)&gt;=$S111),$V111,$U111)))=Milestones!$AB$28),UPPER(TEXT(EDATE($D111,Milestones!$AA$28),"dd mmm yy"))&amp;" "&amp;Milestones!$AB$28&amp;" "&amp;Milestones!$AC$28&amp;";  ","")&amp;IF(AND(EDATE($D111,Milestones!$AA$29)&lt;=AsOfDate,IF($R111=0,$X111,IF(AND($T111&lt;&gt;"",EDATE($D111,Milestones!$AA$29)&gt;=$T111),$W111,IF(AND($S111&lt;&gt;"",EDATE($D111,Milestones!$AA$29)&gt;=$S111),$V111,$U111)))=Milestones!$AB$29),UPPER(TEXT(EDATE($D111,Milestones!$AA$29),"dd mmm yy"))&amp;" "&amp;Milestones!$AB$29&amp;" "&amp;Milestones!$AC$29&amp;";  ","")&amp;IF(AND(EDATE($D111,Milestones!$AA$30)&lt;=AsOfDate,IF($R111=0,$X111,IF(AND($T111&lt;&gt;"",EDATE($D111,Milestones!$AA$30)&gt;=$T111),$W111,IF(AND($S111&lt;&gt;"",EDATE($D111,Milestones!$AA$30)&gt;=$S111),$V111,$U111)))=Milestones!$AB$30),UPPER(TEXT(EDATE($D111,Milestones!$AA$30),"dd mmm yy"))&amp;" "&amp;Milestones!$AB$30&amp;" "&amp;Milestones!$AC$30&amp;";  ","")&amp;IF(AND(EDATE($D111,Milestones!$AA$31)&lt;=AsOfDate,IF($R111=0,$X111,IF(AND($T111&lt;&gt;"",EDATE($D111,Milestones!$AA$31)&gt;=$T111),$W111,IF(AND($S111&lt;&gt;"",EDATE($D111,Milestones!$AA$31)&gt;=$S111),$V111,$U111)))=Milestones!$AB$31),UPPER(TEXT(EDATE($D111,Milestones!$AA$31),"dd mmm yy"))&amp;" "&amp;Milestones!$AB$31&amp;" "&amp;Milestones!$AC$31&amp;";  ","")&amp;IF(AND(EDATE($D111,Milestones!$AA$32)&lt;=AsOfDate,IF($R111=0,$X111,IF(AND($T111&lt;&gt;"",EDATE($D111,Milestones!$AA$32)&gt;=$T111),$W111,IF(AND($S111&lt;&gt;"",EDATE($D111,Milestones!$AA$32)&gt;=$S111),$V111,$U111)))=Milestones!$AB$32),UPPER(TEXT(EDATE($D111,Milestones!$AA$32),"dd mmm yy"))&amp;" "&amp;Milestones!$AB$32&amp;" "&amp;Milestones!$AC$32&amp;";  ","")&amp;IF(AND(EDATE($D111,Milestones!$AA$33)&lt;=AsOfDate,IF($R111=0,$X111,IF(AND($T111&lt;&gt;"",EDATE($D111,Milestones!$AA$33)&gt;=$T111),$W111,IF(AND($S111&lt;&gt;"",EDATE($D111,Milestones!$AA$33)&gt;=$S111),$V111,$U111)))=Milestones!$AB$33),UPPER(TEXT(EDATE($D111,Milestones!$AA$33),"dd mmm yy"))&amp;" "&amp;Milestones!$AB$33&amp;" "&amp;Milestones!$AC$33&amp;";  ","")&amp;IF(AND(EDATE($D111,Milestones!$AA$34)&lt;=AsOfDate,IF($R111=0,$X111,IF(AND($T111&lt;&gt;"",EDATE($D111,Milestones!$AA$34)&gt;=$T111),$W111,IF(AND($S111&lt;&gt;"",EDATE($D111,Milestones!$AA$34)&gt;=$S111),$V111,$U111)))=Milestones!$AB$34),UPPER(TEXT(EDATE($D111,Milestones!$AA$34),"dd mmm yy"))&amp;" "&amp;Milestones!$AB$34&amp;" "&amp;Milestones!$AC$34&amp;";  ","")&amp;IF(AND(EDATE($D111,Milestones!$AA$35)&lt;=AsOfDate,IF($R111=0,$X111,IF(AND($T111&lt;&gt;"",EDATE($D111,Milestones!$AA$35)&gt;=$T111),$W111,IF(AND($S111&lt;&gt;"",EDATE($D111,Milestones!$AA$35)&gt;=$S111),$V111,$U111)))=Milestones!$AB$35),UPPER(TEXT(EDATE($D111,Milestones!$AA$35),"dd mmm yy"))&amp;" "&amp;Milestones!$AB$35&amp;" "&amp;Milestones!$AC$35&amp;";  ","")&amp;IF(AND(EDATE($D111,Milestones!$AA$36)&lt;=AsOfDate,IF($R111=0,$X111,IF(AND($T111&lt;&gt;"",EDATE($D111,Milestones!$AA$36)&gt;=$T111),$W111,IF(AND($S111&lt;&gt;"",EDATE($D111,Milestones!$AA$36)&gt;=$S111),$V111,$U111)))=Milestones!$AB$36),UPPER(TEXT(EDATE($D111,Milestones!$AA$36),"dd mmm yy"))&amp;" "&amp;Milestones!$AB$36&amp;" "&amp;Milestones!$AC$36&amp;";  ","")&amp;IF(AND(EDATE($D111,Milestones!$AA$37)&lt;=AsOfDate,IF($R111=0,$X111,IF(AND($T111&lt;&gt;"",EDATE($D111,Milestones!$AA$37)&gt;=$T111),$W111,IF(AND($S111&lt;&gt;"",EDATE($D111,Milestones!$AA$37)&gt;=$S111),$V111,$U111)))=Milestones!$AB$37),UPPER(TEXT(EDATE($D111,Milestones!$AA$37),"dd mmm yy"))&amp;" "&amp;Milestones!$AB$37&amp;" "&amp;Milestones!$AC$37&amp;";  ","")&amp;IF(AND(EDATE($D111,Milestones!$AA$38)&lt;=AsOfDate,IF($R111=0,$X111,IF(AND($T111&lt;&gt;"",EDATE($D111,Milestones!$AA$38)&gt;=$T111),$W111,IF(AND($S111&lt;&gt;"",EDATE($D111,Milestones!$AA$38)&gt;=$S111),$V111,$U111)))=Milestones!$AB$38),UPPER(TEXT(EDATE($D111,Milestones!$AA$38),"dd mmm yy"))&amp;" "&amp;Milestones!$AB$38&amp;" "&amp;Milestones!$AC$38&amp;";  ","")&amp;IF(AND(EDATE($D111,Milestones!$AA$39)&lt;=AsOfDate,IF($R111=0,$X111,IF(AND($T111&lt;&gt;"",EDATE($D111,Milestones!$AA$39)&gt;=$T111),$W111,IF(AND($S111&lt;&gt;"",EDATE($D111,Milestones!$AA$39)&gt;=$S111),$V111,$U111)))=Milestones!$AB$39),UPPER(TEXT(EDATE($D111,Milestones!$AA$39),"dd mmm yy"))&amp;" "&amp;Milestones!$AB$39&amp;" "&amp;Milestones!$AC$39&amp;";  ",""))</f>
        <v/>
      </c>
      <c r="J111" s="0" t="str">
        <f aca="false">IF(OR($A111="",$D111=""),"",IF(AND(EDATE($D111,Milestones!$AA$40)&lt;=AsOfDate,IF($R111=0,$X111,IF(AND($T111&lt;&gt;"",EDATE($D111,Milestones!$AA$40)&gt;=$T111),$W111,IF(AND($S111&lt;&gt;"",EDATE($D111,Milestones!$AA$40)&gt;=$S111),$V111,$U111)))=Milestones!$AB$40),UPPER(TEXT(EDATE($D111,Milestones!$AA$40),"dd mmm yy"))&amp;" "&amp;Milestones!$AB$40&amp;" "&amp;Milestones!$AC$40&amp;";  ","")&amp;IF(AND(EDATE($D111,Milestones!$AA$41)&lt;=AsOfDate,IF($R111=0,$X111,IF(AND($T111&lt;&gt;"",EDATE($D111,Milestones!$AA$41)&gt;=$T111),$W111,IF(AND($S111&lt;&gt;"",EDATE($D111,Milestones!$AA$41)&gt;=$S111),$V111,$U111)))=Milestones!$AB$41),UPPER(TEXT(EDATE($D111,Milestones!$AA$41),"dd mmm yy"))&amp;" "&amp;Milestones!$AB$41&amp;" "&amp;Milestones!$AC$41&amp;";  ","")&amp;IF(AND(EDATE($D111,Milestones!$AA$42)&lt;=AsOfDate,IF($R111=0,$X111,IF(AND($T111&lt;&gt;"",EDATE($D111,Milestones!$AA$42)&gt;=$T111),$W111,IF(AND($S111&lt;&gt;"",EDATE($D111,Milestones!$AA$42)&gt;=$S111),$V111,$U111)))=Milestones!$AB$42),UPPER(TEXT(EDATE($D111,Milestones!$AA$42),"dd mmm yy"))&amp;" "&amp;Milestones!$AB$42&amp;" "&amp;Milestones!$AC$42&amp;";  ","")&amp;IF(AND(EDATE($D111,Milestones!$AA$43)&lt;=AsOfDate,IF($R111=0,$X111,IF(AND($T111&lt;&gt;"",EDATE($D111,Milestones!$AA$43)&gt;=$T111),$W111,IF(AND($S111&lt;&gt;"",EDATE($D111,Milestones!$AA$43)&gt;=$S111),$V111,$U111)))=Milestones!$AB$43),UPPER(TEXT(EDATE($D111,Milestones!$AA$43),"dd mmm yy"))&amp;" "&amp;Milestones!$AB$43&amp;" "&amp;Milestones!$AC$43&amp;";  ","")&amp;IF(AND(EDATE($D111,Milestones!$AA$44)&lt;=AsOfDate,IF($R111=0,$X111,IF(AND($T111&lt;&gt;"",EDATE($D111,Milestones!$AA$44)&gt;=$T111),$W111,IF(AND($S111&lt;&gt;"",EDATE($D111,Milestones!$AA$44)&gt;=$S111),$V111,$U111)))=Milestones!$AB$44),UPPER(TEXT(EDATE($D111,Milestones!$AA$44),"dd mmm yy"))&amp;" "&amp;Milestones!$AB$44&amp;" "&amp;Milestones!$AC$44&amp;";  ","")&amp;IF(AND(EDATE($D111,Milestones!$AA$45)&lt;=AsOfDate,IF($R111=0,$X111,IF(AND($T111&lt;&gt;"",EDATE($D111,Milestones!$AA$45)&gt;=$T111),$W111,IF(AND($S111&lt;&gt;"",EDATE($D111,Milestones!$AA$45)&gt;=$S111),$V111,$U111)))=Milestones!$AB$45),UPPER(TEXT(EDATE($D111,Milestones!$AA$45),"dd mmm yy"))&amp;" "&amp;Milestones!$AB$45&amp;" "&amp;Milestones!$AC$45&amp;";  ","")&amp;IF(AND(EDATE($D111,Milestones!$AA$46)&lt;=AsOfDate,IF($R111=0,$X111,IF(AND($T111&lt;&gt;"",EDATE($D111,Milestones!$AA$46)&gt;=$T111),$W111,IF(AND($S111&lt;&gt;"",EDATE($D111,Milestones!$AA$46)&gt;=$S111),$V111,$U111)))=Milestones!$AB$46),UPPER(TEXT(EDATE($D111,Milestones!$AA$46),"dd mmm yy"))&amp;" "&amp;Milestones!$AB$46&amp;" "&amp;Milestones!$AC$46&amp;";  ","")&amp;IF(AND(EDATE($D111,Milestones!$AA$47)&lt;=AsOfDate,IF($R111=0,$X111,IF(AND($T111&lt;&gt;"",EDATE($D111,Milestones!$AA$47)&gt;=$T111),$W111,IF(AND($S111&lt;&gt;"",EDATE($D111,Milestones!$AA$47)&gt;=$S111),$V111,$U111)))=Milestones!$AB$47),UPPER(TEXT(EDATE($D111,Milestones!$AA$47),"dd mmm yy"))&amp;" "&amp;Milestones!$AB$47&amp;" "&amp;Milestones!$AC$47&amp;";  ","")&amp;IF(AND(EDATE($D111,Milestones!$AA$48)&lt;=AsOfDate,IF($R111=0,$X111,IF(AND($T111&lt;&gt;"",EDATE($D111,Milestones!$AA$48)&gt;=$T111),$W111,IF(AND($S111&lt;&gt;"",EDATE($D111,Milestones!$AA$48)&gt;=$S111),$V111,$U111)))=Milestones!$AB$48),UPPER(TEXT(EDATE($D111,Milestones!$AA$48),"dd mmm yy"))&amp;" "&amp;Milestones!$AB$48&amp;" "&amp;Milestones!$AC$48&amp;";  ","")&amp;IF(AND(EDATE($D111,Milestones!$AA$49)&lt;=AsOfDate,IF($R111=0,$X111,IF(AND($T111&lt;&gt;"",EDATE($D111,Milestones!$AA$49)&gt;=$T111),$W111,IF(AND($S111&lt;&gt;"",EDATE($D111,Milestones!$AA$49)&gt;=$S111),$V111,$U111)))=Milestones!$AB$49),UPPER(TEXT(EDATE($D111,Milestones!$AA$49),"dd mmm yy"))&amp;" "&amp;Milestones!$AB$49&amp;" "&amp;Milestones!$AC$49&amp;";  ","")&amp;IF(AND(EDATE($D111,Milestones!$AA$50)&lt;=AsOfDate,IF($R111=0,$X111,IF(AND($T111&lt;&gt;"",EDATE($D111,Milestones!$AA$50)&gt;=$T111),$W111,IF(AND($S111&lt;&gt;"",EDATE($D111,Milestones!$AA$50)&gt;=$S111),$V111,$U111)))=Milestones!$AB$50),UPPER(TEXT(EDATE($D111,Milestones!$AA$50),"dd mmm yy"))&amp;" "&amp;Milestones!$AB$50&amp;" "&amp;Milestones!$AC$50&amp;";  ","")&amp;IF(AND(EDATE($D111,Milestones!$AA$51)&lt;=AsOfDate,IF($R111=0,$X111,IF(AND($T111&lt;&gt;"",EDATE($D111,Milestones!$AA$51)&gt;=$T111),$W111,IF(AND($S111&lt;&gt;"",EDATE($D111,Milestones!$AA$51)&gt;=$S111),$V111,$U111)))=Milestones!$AB$51),UPPER(TEXT(EDATE($D111,Milestones!$AA$51),"dd mmm yy"))&amp;" "&amp;Milestones!$AB$51&amp;" "&amp;Milestones!$AC$51&amp;";  ","")&amp;IF(AND(EDATE($D111,Milestones!$AA$52)&lt;=AsOfDate,IF($R111=0,$X111,IF(AND($T111&lt;&gt;"",EDATE($D111,Milestones!$AA$52)&gt;=$T111),$W111,IF(AND($S111&lt;&gt;"",EDATE($D111,Milestones!$AA$52)&gt;=$S111),$V111,$U111)))=Milestones!$AB$52),UPPER(TEXT(EDATE($D111,Milestones!$AA$52),"dd mmm yy"))&amp;" "&amp;Milestones!$AB$52&amp;" "&amp;Milestones!$AC$52&amp;";  ","")&amp;IF(AND(EDATE($D111,Milestones!$AA$53)&lt;=AsOfDate,IF($R111=0,$X111,IF(AND($T111&lt;&gt;"",EDATE($D111,Milestones!$AA$53)&gt;=$T111),$W111,IF(AND($S111&lt;&gt;"",EDATE($D111,Milestones!$AA$53)&gt;=$S111),$V111,$U111)))=Milestones!$AB$53),UPPER(TEXT(EDATE($D111,Milestones!$AA$53),"dd mmm yy"))&amp;" "&amp;Milestones!$AB$53&amp;" "&amp;Milestones!$AC$53&amp;";  ","")&amp;IF(AND(EDATE($D111,Milestones!$AA$54)&lt;=AsOfDate,IF($R111=0,$X111,IF(AND($T111&lt;&gt;"",EDATE($D111,Milestones!$AA$54)&gt;=$T111),$W111,IF(AND($S111&lt;&gt;"",EDATE($D111,Milestones!$AA$54)&gt;=$S111),$V111,$U111)))=Milestones!$AB$54),UPPER(TEXT(EDATE($D111,Milestones!$AA$54),"dd mmm yy"))&amp;" "&amp;Milestones!$AB$54&amp;" "&amp;Milestones!$AC$54&amp;";  ","")&amp;IF(AND(EDATE($D111,Milestones!$AA$55)&lt;=AsOfDate,IF($R111=0,$X111,IF(AND($T111&lt;&gt;"",EDATE($D111,Milestones!$AA$55)&gt;=$T111),$W111,IF(AND($S111&lt;&gt;"",EDATE($D111,Milestones!$AA$55)&gt;=$S111),$V111,$U111)))=Milestones!$AB$55),UPPER(TEXT(EDATE($D111,Milestones!$AA$55),"dd mmm yy"))&amp;" "&amp;Milestones!$AB$55&amp;" "&amp;Milestones!$AC$55&amp;";  ","")&amp;IF(AND(EDATE($D111,Milestones!$AA$56)&lt;=AsOfDate,IF($R111=0,$X111,IF(AND($T111&lt;&gt;"",EDATE($D111,Milestones!$AA$56)&gt;=$T111),$W111,IF(AND($S111&lt;&gt;"",EDATE($D111,Milestones!$AA$56)&gt;=$S111),$V111,$U111)))=Milestones!$AB$56),UPPER(TEXT(EDATE($D111,Milestones!$AA$56),"dd mmm yy"))&amp;" "&amp;Milestones!$AB$56&amp;" "&amp;Milestones!$AC$56&amp;";  ","")&amp;IF(AND(EDATE($D111,Milestones!$AA$57)&lt;=AsOfDate,IF($R111=0,$X111,IF(AND($T111&lt;&gt;"",EDATE($D111,Milestones!$AA$57)&gt;=$T111),$W111,IF(AND($S111&lt;&gt;"",EDATE($D111,Milestones!$AA$57)&gt;=$S111),$V111,$U111)))=Milestones!$AB$57),UPPER(TEXT(EDATE($D111,Milestones!$AA$57),"dd mmm yy"))&amp;" "&amp;Milestones!$AB$57&amp;" "&amp;Milestones!$AC$57&amp;";  ","")&amp;IF(AND(EDATE($D111,Milestones!$AA$58)&lt;=AsOfDate,IF($R111=0,$X111,IF(AND($T111&lt;&gt;"",EDATE($D111,Milestones!$AA$58)&gt;=$T111),$W111,IF(AND($S111&lt;&gt;"",EDATE($D111,Milestones!$AA$58)&gt;=$S111),$V111,$U111)))=Milestones!$AB$58),UPPER(TEXT(EDATE($D111,Milestones!$AA$58),"dd mmm yy"))&amp;" "&amp;Milestones!$AB$58&amp;" "&amp;Milestones!$AC$58&amp;";  ","")&amp;IF(AND(EDATE($D111,Milestones!$AA$59)&lt;=AsOfDate,IF($R111=0,$X111,IF(AND($T111&lt;&gt;"",EDATE($D111,Milestones!$AA$59)&gt;=$T111),$W111,IF(AND($S111&lt;&gt;"",EDATE($D111,Milestones!$AA$59)&gt;=$S111),$V111,$U111)))=Milestones!$AB$59),UPPER(TEXT(EDATE($D111,Milestones!$AA$59),"dd mmm yy"))&amp;" "&amp;Milestones!$AB$59&amp;" "&amp;Milestones!$AC$59&amp;";  ",""))</f>
        <v/>
      </c>
      <c r="K111" s="0" t="str">
        <f aca="false">IF(OR($A111="",$D111=""),"",IF(AND(EDATE($D111,Milestones!$AA$60)&lt;=AsOfDate,IF($R111=0,$X111,IF(AND($T111&lt;&gt;"",EDATE($D111,Milestones!$AA$60)&gt;=$T111),$W111,IF(AND($S111&lt;&gt;"",EDATE($D111,Milestones!$AA$60)&gt;=$S111),$V111,$U111)))=Milestones!$AB$60),UPPER(TEXT(EDATE($D111,Milestones!$AA$60),"dd mmm yy"))&amp;" "&amp;Milestones!$AB$60&amp;" "&amp;Milestones!$AC$60&amp;";  ","")&amp;IF(AND(EDATE($D111,Milestones!$AA$61)&lt;=AsOfDate,IF($R111=0,$X111,IF(AND($T111&lt;&gt;"",EDATE($D111,Milestones!$AA$61)&gt;=$T111),$W111,IF(AND($S111&lt;&gt;"",EDATE($D111,Milestones!$AA$61)&gt;=$S111),$V111,$U111)))=Milestones!$AB$61),UPPER(TEXT(EDATE($D111,Milestones!$AA$61),"dd mmm yy"))&amp;" "&amp;Milestones!$AB$61&amp;" "&amp;Milestones!$AC$61&amp;";  ","")&amp;IF(AND(EDATE($D111,Milestones!$AA$62)&lt;=AsOfDate,IF($R111=0,$X111,IF(AND($T111&lt;&gt;"",EDATE($D111,Milestones!$AA$62)&gt;=$T111),$W111,IF(AND($S111&lt;&gt;"",EDATE($D111,Milestones!$AA$62)&gt;=$S111),$V111,$U111)))=Milestones!$AB$62),UPPER(TEXT(EDATE($D111,Milestones!$AA$62),"dd mmm yy"))&amp;" "&amp;Milestones!$AB$62&amp;" "&amp;Milestones!$AC$62&amp;";  ","")&amp;IF(AND(EDATE($D111,Milestones!$AA$63)&lt;=AsOfDate,IF($R111=0,$X111,IF(AND($T111&lt;&gt;"",EDATE($D111,Milestones!$AA$63)&gt;=$T111),$W111,IF(AND($S111&lt;&gt;"",EDATE($D111,Milestones!$AA$63)&gt;=$S111),$V111,$U111)))=Milestones!$AB$63),UPPER(TEXT(EDATE($D111,Milestones!$AA$63),"dd mmm yy"))&amp;" "&amp;Milestones!$AB$63&amp;" "&amp;Milestones!$AC$63&amp;";  ","")&amp;IF(AND(EDATE($D111,Milestones!$AA$64)&lt;=AsOfDate,IF($R111=0,$X111,IF(AND($T111&lt;&gt;"",EDATE($D111,Milestones!$AA$64)&gt;=$T111),$W111,IF(AND($S111&lt;&gt;"",EDATE($D111,Milestones!$AA$64)&gt;=$S111),$V111,$U111)))=Milestones!$AB$64),UPPER(TEXT(EDATE($D111,Milestones!$AA$64),"dd mmm yy"))&amp;" "&amp;Milestones!$AB$64&amp;" "&amp;Milestones!$AC$64&amp;";  ","")&amp;IF(AND(EDATE($D111,Milestones!$AA$65)&lt;=AsOfDate,IF($R111=0,$X111,IF(AND($T111&lt;&gt;"",EDATE($D111,Milestones!$AA$65)&gt;=$T111),$W111,IF(AND($S111&lt;&gt;"",EDATE($D111,Milestones!$AA$65)&gt;=$S111),$V111,$U111)))=Milestones!$AB$65),UPPER(TEXT(EDATE($D111,Milestones!$AA$65),"dd mmm yy"))&amp;" "&amp;Milestones!$AB$65&amp;" "&amp;Milestones!$AC$65&amp;";  ","")&amp;IF(AND(EDATE($D111,Milestones!$AA$66)&lt;=AsOfDate,IF($R111=0,$X111,IF(AND($T111&lt;&gt;"",EDATE($D111,Milestones!$AA$66)&gt;=$T111),$W111,IF(AND($S111&lt;&gt;"",EDATE($D111,Milestones!$AA$66)&gt;=$S111),$V111,$U111)))=Milestones!$AB$66),UPPER(TEXT(EDATE($D111,Milestones!$AA$66),"dd mmm yy"))&amp;" "&amp;Milestones!$AB$66&amp;" "&amp;Milestones!$AC$66&amp;";  ","")&amp;IF(AND(EDATE($D111,Milestones!$AA$67)&lt;=AsOfDate,IF($R111=0,$X111,IF(AND($T111&lt;&gt;"",EDATE($D111,Milestones!$AA$67)&gt;=$T111),$W111,IF(AND($S111&lt;&gt;"",EDATE($D111,Milestones!$AA$67)&gt;=$S111),$V111,$U111)))=Milestones!$AB$67),UPPER(TEXT(EDATE($D111,Milestones!$AA$67),"dd mmm yy"))&amp;" "&amp;Milestones!$AB$67&amp;" "&amp;Milestones!$AC$67&amp;";  ","")&amp;IF(AND(EDATE($D111,Milestones!$AA$68)&lt;=AsOfDate,IF($R111=0,$X111,IF(AND($T111&lt;&gt;"",EDATE($D111,Milestones!$AA$68)&gt;=$T111),$W111,IF(AND($S111&lt;&gt;"",EDATE($D111,Milestones!$AA$68)&gt;=$S111),$V111,$U111)))=Milestones!$AB$68),UPPER(TEXT(EDATE($D111,Milestones!$AA$68),"dd mmm yy"))&amp;" "&amp;Milestones!$AB$68&amp;" "&amp;Milestones!$AC$68&amp;";  ","")&amp;IF(AND(EDATE($D111,Milestones!$AA$69)&lt;=AsOfDate,IF($R111=0,$X111,IF(AND($T111&lt;&gt;"",EDATE($D111,Milestones!$AA$69)&gt;=$T111),$W111,IF(AND($S111&lt;&gt;"",EDATE($D111,Milestones!$AA$69)&gt;=$S111),$V111,$U111)))=Milestones!$AB$69),UPPER(TEXT(EDATE($D111,Milestones!$AA$69),"dd mmm yy"))&amp;" "&amp;Milestones!$AB$69&amp;" "&amp;Milestones!$AC$69&amp;";  ","")&amp;IF(AND(EDATE($D111,Milestones!$AA$70)&lt;=AsOfDate,IF($R111=0,$X111,IF(AND($T111&lt;&gt;"",EDATE($D111,Milestones!$AA$70)&gt;=$T111),$W111,IF(AND($S111&lt;&gt;"",EDATE($D111,Milestones!$AA$70)&gt;=$S111),$V111,$U111)))=Milestones!$AB$70),UPPER(TEXT(EDATE($D111,Milestones!$AA$70),"dd mmm yy"))&amp;" "&amp;Milestones!$AB$70&amp;" "&amp;Milestones!$AC$70&amp;";  ","")&amp;IF(AND(EDATE($D111,Milestones!$AA$71)&lt;=AsOfDate,IF($R111=0,$X111,IF(AND($T111&lt;&gt;"",EDATE($D111,Milestones!$AA$71)&gt;=$T111),$W111,IF(AND($S111&lt;&gt;"",EDATE($D111,Milestones!$AA$71)&gt;=$S111),$V111,$U111)))=Milestones!$AB$71),UPPER(TEXT(EDATE($D111,Milestones!$AA$71),"dd mmm yy"))&amp;" "&amp;Milestones!$AB$71&amp;" "&amp;Milestones!$AC$71&amp;";  ","")&amp;IF(AND(EDATE($D111,Milestones!$AA$72)&lt;=AsOfDate,IF($R111=0,$X111,IF(AND($T111&lt;&gt;"",EDATE($D111,Milestones!$AA$72)&gt;=$T111),$W111,IF(AND($S111&lt;&gt;"",EDATE($D111,Milestones!$AA$72)&gt;=$S111),$V111,$U111)))=Milestones!$AB$72),UPPER(TEXT(EDATE($D111,Milestones!$AA$72),"dd mmm yy"))&amp;" "&amp;Milestones!$AB$72&amp;" "&amp;Milestones!$AC$72&amp;";  ","")&amp;IF(AND(EDATE($D111,Milestones!$AA$73)&lt;=AsOfDate,IF($R111=0,$X111,IF(AND($T111&lt;&gt;"",EDATE($D111,Milestones!$AA$73)&gt;=$T111),$W111,IF(AND($S111&lt;&gt;"",EDATE($D111,Milestones!$AA$73)&gt;=$S111),$V111,$U111)))=Milestones!$AB$73),UPPER(TEXT(EDATE($D111,Milestones!$AA$73),"dd mmm yy"))&amp;" "&amp;Milestones!$AB$73&amp;" "&amp;Milestones!$AC$73&amp;";  ","")&amp;IF(AND(EDATE($D111,Milestones!$AA$74)&lt;=AsOfDate,IF($R111=0,$X111,IF(AND($T111&lt;&gt;"",EDATE($D111,Milestones!$AA$74)&gt;=$T111),$W111,IF(AND($S111&lt;&gt;"",EDATE($D111,Milestones!$AA$74)&gt;=$S111),$V111,$U111)))=Milestones!$AB$74),UPPER(TEXT(EDATE($D111,Milestones!$AA$74),"dd mmm yy"))&amp;" "&amp;Milestones!$AB$74&amp;" "&amp;Milestones!$AC$74&amp;";  ","")&amp;IF(AND(EDATE($D111,Milestones!$AA$75)&lt;=AsOfDate,IF($R111=0,$X111,IF(AND($T111&lt;&gt;"",EDATE($D111,Milestones!$AA$75)&gt;=$T111),$W111,IF(AND($S111&lt;&gt;"",EDATE($D111,Milestones!$AA$75)&gt;=$S111),$V111,$U111)))=Milestones!$AB$75),UPPER(TEXT(EDATE($D111,Milestones!$AA$75),"dd mmm yy"))&amp;" "&amp;Milestones!$AB$75&amp;" "&amp;Milestones!$AC$75&amp;";  ","")&amp;IF(AND(EDATE($D111,Milestones!$AA$76)&lt;=AsOfDate,IF($R111=0,$X111,IF(AND($T111&lt;&gt;"",EDATE($D111,Milestones!$AA$76)&gt;=$T111),$W111,IF(AND($S111&lt;&gt;"",EDATE($D111,Milestones!$AA$76)&gt;=$S111),$V111,$U111)))=Milestones!$AB$76),UPPER(TEXT(EDATE($D111,Milestones!$AA$76),"dd mmm yy"))&amp;" "&amp;Milestones!$AB$76&amp;" "&amp;Milestones!$AC$76&amp;";  ","")&amp;IF(AND(EDATE($D111,Milestones!$AA$77)&lt;=AsOfDate,IF($R111=0,$X111,IF(AND($T111&lt;&gt;"",EDATE($D111,Milestones!$AA$77)&gt;=$T111),$W111,IF(AND($S111&lt;&gt;"",EDATE($D111,Milestones!$AA$77)&gt;=$S111),$V111,$U111)))=Milestones!$AB$77),UPPER(TEXT(EDATE($D111,Milestones!$AA$77),"dd mmm yy"))&amp;" "&amp;Milestones!$AB$77&amp;" "&amp;Milestones!$AC$77&amp;";  ","")&amp;IF(AND(EDATE($D111,Milestones!$AA$78)&lt;=AsOfDate,IF($R111=0,$X111,IF(AND($T111&lt;&gt;"",EDATE($D111,Milestones!$AA$78)&gt;=$T111),$W111,IF(AND($S111&lt;&gt;"",EDATE($D111,Milestones!$AA$78)&gt;=$S111),$V111,$U111)))=Milestones!$AB$78),UPPER(TEXT(EDATE($D111,Milestones!$AA$78),"dd mmm yy"))&amp;" "&amp;Milestones!$AB$78&amp;" "&amp;Milestones!$AC$78&amp;";  ","")&amp;IF(AND(EDATE($D111,Milestones!$AA$79)&lt;=AsOfDate,IF($R111=0,$X111,IF(AND($T111&lt;&gt;"",EDATE($D111,Milestones!$AA$79)&gt;=$T111),$W111,IF(AND($S111&lt;&gt;"",EDATE($D111,Milestones!$AA$79)&gt;=$S111),$V111,$U111)))=Milestones!$AB$79),UPPER(TEXT(EDATE($D111,Milestones!$AA$79),"dd mmm yy"))&amp;" "&amp;Milestones!$AB$79&amp;" "&amp;Milestones!$AC$79&amp;";  ",""))</f>
        <v/>
      </c>
      <c r="L111" s="0" t="str">
        <f aca="false">IF(OR($A111="",$D111=""),"",IF(AND(EDATE($D111,Milestones!$AA$80)&lt;=AsOfDate,IF($R111=0,$X111,IF(AND($T111&lt;&gt;"",EDATE($D111,Milestones!$AA$80)&gt;=$T111),$W111,IF(AND($S111&lt;&gt;"",EDATE($D111,Milestones!$AA$80)&gt;=$S111),$V111,$U111)))=Milestones!$AB$80),UPPER(TEXT(EDATE($D111,Milestones!$AA$80),"dd mmm yy"))&amp;" "&amp;Milestones!$AB$80&amp;" "&amp;Milestones!$AC$80&amp;";  ","")&amp;IF(AND(EDATE($D111,Milestones!$AA$81)&lt;=AsOfDate,IF($R111=0,$X111,IF(AND($T111&lt;&gt;"",EDATE($D111,Milestones!$AA$81)&gt;=$T111),$W111,IF(AND($S111&lt;&gt;"",EDATE($D111,Milestones!$AA$81)&gt;=$S111),$V111,$U111)))=Milestones!$AB$81),UPPER(TEXT(EDATE($D111,Milestones!$AA$81),"dd mmm yy"))&amp;" "&amp;Milestones!$AB$81&amp;" "&amp;Milestones!$AC$81&amp;";  ","")&amp;IF(AND(EDATE($D111,Milestones!$AA$82)&lt;=AsOfDate,IF($R111=0,$X111,IF(AND($T111&lt;&gt;"",EDATE($D111,Milestones!$AA$82)&gt;=$T111),$W111,IF(AND($S111&lt;&gt;"",EDATE($D111,Milestones!$AA$82)&gt;=$S111),$V111,$U111)))=Milestones!$AB$82),UPPER(TEXT(EDATE($D111,Milestones!$AA$82),"dd mmm yy"))&amp;" "&amp;Milestones!$AB$82&amp;" "&amp;Milestones!$AC$82&amp;";  ","")&amp;IF(AND(EDATE($D111,Milestones!$AA$83)&lt;=AsOfDate,IF($R111=0,$X111,IF(AND($T111&lt;&gt;"",EDATE($D111,Milestones!$AA$83)&gt;=$T111),$W111,IF(AND($S111&lt;&gt;"",EDATE($D111,Milestones!$AA$83)&gt;=$S111),$V111,$U111)))=Milestones!$AB$83),UPPER(TEXT(EDATE($D111,Milestones!$AA$83),"dd mmm yy"))&amp;" "&amp;Milestones!$AB$83&amp;" "&amp;Milestones!$AC$83&amp;";  ","")&amp;IF(AND(EDATE($D111,Milestones!$AA$84)&lt;=AsOfDate,IF($R111=0,$X111,IF(AND($T111&lt;&gt;"",EDATE($D111,Milestones!$AA$84)&gt;=$T111),$W111,IF(AND($S111&lt;&gt;"",EDATE($D111,Milestones!$AA$84)&gt;=$S111),$V111,$U111)))=Milestones!$AB$84),UPPER(TEXT(EDATE($D111,Milestones!$AA$84),"dd mmm yy"))&amp;" "&amp;Milestones!$AB$84&amp;" "&amp;Milestones!$AC$84&amp;";  ","")&amp;IF(AND(EDATE($D111,Milestones!$AA$85)&lt;=AsOfDate,IF($R111=0,$X111,IF(AND($T111&lt;&gt;"",EDATE($D111,Milestones!$AA$85)&gt;=$T111),$W111,IF(AND($S111&lt;&gt;"",EDATE($D111,Milestones!$AA$85)&gt;=$S111),$V111,$U111)))=Milestones!$AB$85),UPPER(TEXT(EDATE($D111,Milestones!$AA$85),"dd mmm yy"))&amp;" "&amp;Milestones!$AB$85&amp;" "&amp;Milestones!$AC$85&amp;";  ","")&amp;IF(AND(EDATE($D111,Milestones!$AA$86)&lt;=AsOfDate,IF($R111=0,$X111,IF(AND($T111&lt;&gt;"",EDATE($D111,Milestones!$AA$86)&gt;=$T111),$W111,IF(AND($S111&lt;&gt;"",EDATE($D111,Milestones!$AA$86)&gt;=$S111),$V111,$U111)))=Milestones!$AB$86),UPPER(TEXT(EDATE($D111,Milestones!$AA$86),"dd mmm yy"))&amp;" "&amp;Milestones!$AB$86&amp;" "&amp;Milestones!$AC$86&amp;";  ","")&amp;IF(AND(EDATE($D111,Milestones!$AA$87)&lt;=AsOfDate,IF($R111=0,$X111,IF(AND($T111&lt;&gt;"",EDATE($D111,Milestones!$AA$87)&gt;=$T111),$W111,IF(AND($S111&lt;&gt;"",EDATE($D111,Milestones!$AA$87)&gt;=$S111),$V111,$U111)))=Milestones!$AB$87),UPPER(TEXT(EDATE($D111,Milestones!$AA$87),"dd mmm yy"))&amp;" "&amp;Milestones!$AB$87&amp;" "&amp;Milestones!$AC$87&amp;";  ","")&amp;IF(AND(EDATE($D111,Milestones!$AA$88)&lt;=AsOfDate,IF($R111=0,$X111,IF(AND($T111&lt;&gt;"",EDATE($D111,Milestones!$AA$88)&gt;=$T111),$W111,IF(AND($S111&lt;&gt;"",EDATE($D111,Milestones!$AA$88)&gt;=$S111),$V111,$U111)))=Milestones!$AB$88),UPPER(TEXT(EDATE($D111,Milestones!$AA$88),"dd mmm yy"))&amp;" "&amp;Milestones!$AB$88&amp;" "&amp;Milestones!$AC$88&amp;";  ","")&amp;IF(AND(EDATE($D111,Milestones!$AA$89)&lt;=AsOfDate,IF($R111=0,$X111,IF(AND($T111&lt;&gt;"",EDATE($D111,Milestones!$AA$89)&gt;=$T111),$W111,IF(AND($S111&lt;&gt;"",EDATE($D111,Milestones!$AA$89)&gt;=$S111),$V111,$U111)))=Milestones!$AB$89),UPPER(TEXT(EDATE($D111,Milestones!$AA$89),"dd mmm yy"))&amp;" "&amp;Milestones!$AB$89&amp;" "&amp;Milestones!$AC$89&amp;";  ","")&amp;IF(AND(EDATE($D111,Milestones!$AA$90)&lt;=AsOfDate,IF($R111=0,$X111,IF(AND($T111&lt;&gt;"",EDATE($D111,Milestones!$AA$90)&gt;=$T111),$W111,IF(AND($S111&lt;&gt;"",EDATE($D111,Milestones!$AA$90)&gt;=$S111),$V111,$U111)))=Milestones!$AB$90),UPPER(TEXT(EDATE($D111,Milestones!$AA$90),"dd mmm yy"))&amp;" "&amp;Milestones!$AB$90&amp;" "&amp;Milestones!$AC$90&amp;";  ","")&amp;IF(AND(EDATE($D111,Milestones!$AA$91)&lt;=AsOfDate,IF($R111=0,$X111,IF(AND($T111&lt;&gt;"",EDATE($D111,Milestones!$AA$91)&gt;=$T111),$W111,IF(AND($S111&lt;&gt;"",EDATE($D111,Milestones!$AA$91)&gt;=$S111),$V111,$U111)))=Milestones!$AB$91),UPPER(TEXT(EDATE($D111,Milestones!$AA$91),"dd mmm yy"))&amp;" "&amp;Milestones!$AB$91&amp;" "&amp;Milestones!$AC$91&amp;";  ","")&amp;IF(AND(EDATE($D111,Milestones!$AA$92)&lt;=AsOfDate,IF($R111=0,$X111,IF(AND($T111&lt;&gt;"",EDATE($D111,Milestones!$AA$92)&gt;=$T111),$W111,IF(AND($S111&lt;&gt;"",EDATE($D111,Milestones!$AA$92)&gt;=$S111),$V111,$U111)))=Milestones!$AB$92),UPPER(TEXT(EDATE($D111,Milestones!$AA$92),"dd mmm yy"))&amp;" "&amp;Milestones!$AB$92&amp;" "&amp;Milestones!$AC$92&amp;";  ","")&amp;IF(AND(EDATE($D111,Milestones!$AA$93)&lt;=AsOfDate,IF($R111=0,$X111,IF(AND($T111&lt;&gt;"",EDATE($D111,Milestones!$AA$93)&gt;=$T111),$W111,IF(AND($S111&lt;&gt;"",EDATE($D111,Milestones!$AA$93)&gt;=$S111),$V111,$U111)))=Milestones!$AB$93),UPPER(TEXT(EDATE($D111,Milestones!$AA$93),"dd mmm yy"))&amp;" "&amp;Milestones!$AB$93&amp;" "&amp;Milestones!$AC$93&amp;";  ","")&amp;IF(AND(EDATE($D111,Milestones!$AA$94)&lt;=AsOfDate,IF($R111=0,$X111,IF(AND($T111&lt;&gt;"",EDATE($D111,Milestones!$AA$94)&gt;=$T111),$W111,IF(AND($S111&lt;&gt;"",EDATE($D111,Milestones!$AA$94)&gt;=$S111),$V111,$U111)))=Milestones!$AB$94),UPPER(TEXT(EDATE($D111,Milestones!$AA$94),"dd mmm yy"))&amp;" "&amp;Milestones!$AB$94&amp;" "&amp;Milestones!$AC$94&amp;";  ","")&amp;IF(AND(EDATE($D111,Milestones!$AA$95)&lt;=AsOfDate,IF($R111=0,$X111,IF(AND($T111&lt;&gt;"",EDATE($D111,Milestones!$AA$95)&gt;=$T111),$W111,IF(AND($S111&lt;&gt;"",EDATE($D111,Milestones!$AA$95)&gt;=$S111),$V111,$U111)))=Milestones!$AB$95),UPPER(TEXT(EDATE($D111,Milestones!$AA$95),"dd mmm yy"))&amp;" "&amp;Milestones!$AB$95&amp;" "&amp;Milestones!$AC$95&amp;";  ","")&amp;IF(AND(EDATE($D111,Milestones!$AA$96)&lt;=AsOfDate,IF($R111=0,$X111,IF(AND($T111&lt;&gt;"",EDATE($D111,Milestones!$AA$96)&gt;=$T111),$W111,IF(AND($S111&lt;&gt;"",EDATE($D111,Milestones!$AA$96)&gt;=$S111),$V111,$U111)))=Milestones!$AB$96),UPPER(TEXT(EDATE($D111,Milestones!$AA$96),"dd mmm yy"))&amp;" "&amp;Milestones!$AB$96&amp;" "&amp;Milestones!$AC$96&amp;";  ","")&amp;IF(AND(EDATE($D111,Milestones!$AA$97)&lt;=AsOfDate,IF($R111=0,$X111,IF(AND($T111&lt;&gt;"",EDATE($D111,Milestones!$AA$97)&gt;=$T111),$W111,IF(AND($S111&lt;&gt;"",EDATE($D111,Milestones!$AA$97)&gt;=$S111),$V111,$U111)))=Milestones!$AB$97),UPPER(TEXT(EDATE($D111,Milestones!$AA$97),"dd mmm yy"))&amp;" "&amp;Milestones!$AB$97&amp;" "&amp;Milestones!$AC$97&amp;";  ","")&amp;IF(AND(EDATE($D111,Milestones!$AA$98)&lt;=AsOfDate,IF($R111=0,$X111,IF(AND($T111&lt;&gt;"",EDATE($D111,Milestones!$AA$98)&gt;=$T111),$W111,IF(AND($S111&lt;&gt;"",EDATE($D111,Milestones!$AA$98)&gt;=$S111),$V111,$U111)))=Milestones!$AB$98),UPPER(TEXT(EDATE($D111,Milestones!$AA$98),"dd mmm yy"))&amp;" "&amp;Milestones!$AB$98&amp;" "&amp;Milestones!$AC$98&amp;";  ","")&amp;IF(AND(EDATE($D111,Milestones!$AA$99)&lt;=AsOfDate,IF($R111=0,$X111,IF(AND($T111&lt;&gt;"",EDATE($D111,Milestones!$AA$99)&gt;=$T111),$W111,IF(AND($S111&lt;&gt;"",EDATE($D111,Milestones!$AA$99)&gt;=$S111),$V111,$U111)))=Milestones!$AB$99),UPPER(TEXT(EDATE($D111,Milestones!$AA$99),"dd mmm yy"))&amp;" "&amp;Milestones!$AB$99&amp;" "&amp;Milestones!$AC$99&amp;";  ",""))</f>
        <v/>
      </c>
      <c r="M111" s="0" t="str">
        <f aca="false">IF(OR($A111="",$D111=""),"",IF(AND(EDATE($D111,Milestones!$AA$100)&lt;=AsOfDate,IF($R111=0,$X111,IF(AND($T111&lt;&gt;"",EDATE($D111,Milestones!$AA$100)&gt;=$T111),$W111,IF(AND($S111&lt;&gt;"",EDATE($D111,Milestones!$AA$100)&gt;=$S111),$V111,$U111)))=Milestones!$AB$100),UPPER(TEXT(EDATE($D111,Milestones!$AA$100),"dd mmm yy"))&amp;" "&amp;Milestones!$AB$100&amp;" "&amp;Milestones!$AC$100&amp;";  ","")&amp;IF(AND(EDATE($D111,Milestones!$AA$101)&lt;=AsOfDate,IF($R111=0,$X111,IF(AND($T111&lt;&gt;"",EDATE($D111,Milestones!$AA$101)&gt;=$T111),$W111,IF(AND($S111&lt;&gt;"",EDATE($D111,Milestones!$AA$101)&gt;=$S111),$V111,$U111)))=Milestones!$AB$101),UPPER(TEXT(EDATE($D111,Milestones!$AA$101),"dd mmm yy"))&amp;" "&amp;Milestones!$AB$101&amp;" "&amp;Milestones!$AC$101&amp;";  ","")&amp;IF(AND(EDATE($D111,Milestones!$AA$102)&lt;=AsOfDate,IF($R111=0,$X111,IF(AND($T111&lt;&gt;"",EDATE($D111,Milestones!$AA$102)&gt;=$T111),$W111,IF(AND($S111&lt;&gt;"",EDATE($D111,Milestones!$AA$102)&gt;=$S111),$V111,$U111)))=Milestones!$AB$102),UPPER(TEXT(EDATE($D111,Milestones!$AA$102),"dd mmm yy"))&amp;" "&amp;Milestones!$AB$102&amp;" "&amp;Milestones!$AC$102&amp;";  ","")&amp;IF(AND(EDATE($D111,Milestones!$AA$103)&lt;=AsOfDate,IF($R111=0,$X111,IF(AND($T111&lt;&gt;"",EDATE($D111,Milestones!$AA$103)&gt;=$T111),$W111,IF(AND($S111&lt;&gt;"",EDATE($D111,Milestones!$AA$103)&gt;=$S111),$V111,$U111)))=Milestones!$AB$103),UPPER(TEXT(EDATE($D111,Milestones!$AA$103),"dd mmm yy"))&amp;" "&amp;Milestones!$AB$103&amp;" "&amp;Milestones!$AC$103&amp;";  ","")&amp;IF(AND(EDATE($D111,Milestones!$AA$104)&lt;=AsOfDate,IF($R111=0,$X111,IF(AND($T111&lt;&gt;"",EDATE($D111,Milestones!$AA$104)&gt;=$T111),$W111,IF(AND($S111&lt;&gt;"",EDATE($D111,Milestones!$AA$104)&gt;=$S111),$V111,$U111)))=Milestones!$AB$104),UPPER(TEXT(EDATE($D111,Milestones!$AA$104),"dd mmm yy"))&amp;" "&amp;Milestones!$AB$104&amp;" "&amp;Milestones!$AC$104&amp;";  ","")&amp;IF(AND(EDATE($D111,Milestones!$AA$105)&lt;=AsOfDate,IF($R111=0,$X111,IF(AND($T111&lt;&gt;"",EDATE($D111,Milestones!$AA$105)&gt;=$T111),$W111,IF(AND($S111&lt;&gt;"",EDATE($D111,Milestones!$AA$105)&gt;=$S111),$V111,$U111)))=Milestones!$AB$105),UPPER(TEXT(EDATE($D111,Milestones!$AA$105),"dd mmm yy"))&amp;" "&amp;Milestones!$AB$105&amp;" "&amp;Milestones!$AC$105&amp;";  ","")&amp;IF(AND(EDATE($D111,Milestones!$AA$106)&lt;=AsOfDate,IF($R111=0,$X111,IF(AND($T111&lt;&gt;"",EDATE($D111,Milestones!$AA$106)&gt;=$T111),$W111,IF(AND($S111&lt;&gt;"",EDATE($D111,Milestones!$AA$106)&gt;=$S111),$V111,$U111)))=Milestones!$AB$106),UPPER(TEXT(EDATE($D111,Milestones!$AA$106),"dd mmm yy"))&amp;" "&amp;Milestones!$AB$106&amp;" "&amp;Milestones!$AC$106&amp;";  ","")&amp;IF(AND(EDATE($D111,Milestones!$AA$107)&lt;=AsOfDate,IF($R111=0,$X111,IF(AND($T111&lt;&gt;"",EDATE($D111,Milestones!$AA$107)&gt;=$T111),$W111,IF(AND($S111&lt;&gt;"",EDATE($D111,Milestones!$AA$107)&gt;=$S111),$V111,$U111)))=Milestones!$AB$107),UPPER(TEXT(EDATE($D111,Milestones!$AA$107),"dd mmm yy"))&amp;" "&amp;Milestones!$AB$107&amp;" "&amp;Milestones!$AC$107&amp;";  ","")&amp;IF(AND(EDATE($D111,Milestones!$AA$108)&lt;=AsOfDate,IF($R111=0,$X111,IF(AND($T111&lt;&gt;"",EDATE($D111,Milestones!$AA$108)&gt;=$T111),$W111,IF(AND($S111&lt;&gt;"",EDATE($D111,Milestones!$AA$108)&gt;=$S111),$V111,$U111)))=Milestones!$AB$108),UPPER(TEXT(EDATE($D111,Milestones!$AA$108),"dd mmm yy"))&amp;" "&amp;Milestones!$AB$108&amp;" "&amp;Milestones!$AC$108&amp;";  ","")&amp;IF(AND(EDATE($D111,Milestones!$AA$109)&lt;=AsOfDate,IF($R111=0,$X111,IF(AND($T111&lt;&gt;"",EDATE($D111,Milestones!$AA$109)&gt;=$T111),$W111,IF(AND($S111&lt;&gt;"",EDATE($D111,Milestones!$AA$109)&gt;=$S111),$V111,$U111)))=Milestones!$AB$109),UPPER(TEXT(EDATE($D111,Milestones!$AA$109),"dd mmm yy"))&amp;" "&amp;Milestones!$AB$109&amp;" "&amp;Milestones!$AC$109&amp;";  ","")&amp;IF(AND(EDATE($D111,Milestones!$AA$110)&lt;=AsOfDate,IF($R111=0,$X111,IF(AND($T111&lt;&gt;"",EDATE($D111,Milestones!$AA$110)&gt;=$T111),$W111,IF(AND($S111&lt;&gt;"",EDATE($D111,Milestones!$AA$110)&gt;=$S111),$V111,$U111)))=Milestones!$AB$110),UPPER(TEXT(EDATE($D111,Milestones!$AA$110),"dd mmm yy"))&amp;" "&amp;Milestones!$AB$110&amp;" "&amp;Milestones!$AC$110&amp;";  ","")&amp;IF(AND(EDATE($D111,Milestones!$AA$111)&lt;=AsOfDate,IF($R111=0,$X111,IF(AND($T111&lt;&gt;"",EDATE($D111,Milestones!$AA$111)&gt;=$T111),$W111,IF(AND($S111&lt;&gt;"",EDATE($D111,Milestones!$AA$111)&gt;=$S111),$V111,$U111)))=Milestones!$AB$111),UPPER(TEXT(EDATE($D111,Milestones!$AA$111),"dd mmm yy"))&amp;" "&amp;Milestones!$AB$111&amp;" "&amp;Milestones!$AC$111&amp;";  ","")&amp;IF(AND(EDATE($D111,Milestones!$AA$112)&lt;=AsOfDate,IF($R111=0,$X111,IF(AND($T111&lt;&gt;"",EDATE($D111,Milestones!$AA$112)&gt;=$T111),$W111,IF(AND($S111&lt;&gt;"",EDATE($D111,Milestones!$AA$112)&gt;=$S111),$V111,$U111)))=Milestones!$AB$112),UPPER(TEXT(EDATE($D111,Milestones!$AA$112),"dd mmm yy"))&amp;" "&amp;Milestones!$AB$112&amp;" "&amp;Milestones!$AC$112&amp;";  ","")&amp;IF(AND(EDATE($D111,Milestones!$AA$113)&lt;=AsOfDate,IF($R111=0,$X111,IF(AND($T111&lt;&gt;"",EDATE($D111,Milestones!$AA$113)&gt;=$T111),$W111,IF(AND($S111&lt;&gt;"",EDATE($D111,Milestones!$AA$113)&gt;=$S111),$V111,$U111)))=Milestones!$AB$113),UPPER(TEXT(EDATE($D111,Milestones!$AA$113),"dd mmm yy"))&amp;" "&amp;Milestones!$AB$113&amp;" "&amp;Milestones!$AC$113&amp;";  ","")&amp;IF(AND(EDATE($D111,Milestones!$AA$114)&lt;=AsOfDate,IF($R111=0,$X111,IF(AND($T111&lt;&gt;"",EDATE($D111,Milestones!$AA$114)&gt;=$T111),$W111,IF(AND($S111&lt;&gt;"",EDATE($D111,Milestones!$AA$114)&gt;=$S111),$V111,$U111)))=Milestones!$AB$114),UPPER(TEXT(EDATE($D111,Milestones!$AA$114),"dd mmm yy"))&amp;" "&amp;Milestones!$AB$114&amp;" "&amp;Milestones!$AC$114&amp;";  ","")&amp;IF(AND(EDATE($D111,Milestones!$AA$115)&lt;=AsOfDate,IF($R111=0,$X111,IF(AND($T111&lt;&gt;"",EDATE($D111,Milestones!$AA$115)&gt;=$T111),$W111,IF(AND($S111&lt;&gt;"",EDATE($D111,Milestones!$AA$115)&gt;=$S111),$V111,$U111)))=Milestones!$AB$115),UPPER(TEXT(EDATE($D111,Milestones!$AA$115),"dd mmm yy"))&amp;" "&amp;Milestones!$AB$115&amp;" "&amp;Milestones!$AC$115&amp;";  ","")&amp;IF(AND(EDATE($D111,Milestones!$AA$116)&lt;=AsOfDate,IF($R111=0,$X111,IF(AND($T111&lt;&gt;"",EDATE($D111,Milestones!$AA$116)&gt;=$T111),$W111,IF(AND($S111&lt;&gt;"",EDATE($D111,Milestones!$AA$116)&gt;=$S111),$V111,$U111)))=Milestones!$AB$116),UPPER(TEXT(EDATE($D111,Milestones!$AA$116),"dd mmm yy"))&amp;" "&amp;Milestones!$AB$116&amp;" "&amp;Milestones!$AC$116&amp;";  ","")&amp;IF(AND(EDATE($D111,Milestones!$AA$117)&lt;=AsOfDate,IF($R111=0,$X111,IF(AND($T111&lt;&gt;"",EDATE($D111,Milestones!$AA$117)&gt;=$T111),$W111,IF(AND($S111&lt;&gt;"",EDATE($D111,Milestones!$AA$117)&gt;=$S111),$V111,$U111)))=Milestones!$AB$117),UPPER(TEXT(EDATE($D111,Milestones!$AA$117),"dd mmm yy"))&amp;" "&amp;Milestones!$AB$117&amp;" "&amp;Milestones!$AC$117&amp;";  ","")&amp;IF(AND(EDATE($D111,Milestones!$AA$118)&lt;=AsOfDate,IF($R111=0,$X111,IF(AND($T111&lt;&gt;"",EDATE($D111,Milestones!$AA$118)&gt;=$T111),$W111,IF(AND($S111&lt;&gt;"",EDATE($D111,Milestones!$AA$118)&gt;=$S111),$V111,$U111)))=Milestones!$AB$118),UPPER(TEXT(EDATE($D111,Milestones!$AA$118),"dd mmm yy"))&amp;" "&amp;Milestones!$AB$118&amp;" "&amp;Milestones!$AC$118&amp;";  ","")&amp;IF(AND(EDATE($D111,Milestones!$AA$119)&lt;=AsOfDate,IF($R111=0,$X111,IF(AND($T111&lt;&gt;"",EDATE($D111,Milestones!$AA$119)&gt;=$T111),$W111,IF(AND($S111&lt;&gt;"",EDATE($D111,Milestones!$AA$119)&gt;=$S111),$V111,$U111)))=Milestones!$AB$119),UPPER(TEXT(EDATE($D111,Milestones!$AA$119),"dd mmm yy"))&amp;" "&amp;Milestones!$AB$119&amp;" "&amp;Milestones!$AC$119&amp;";  ",""))</f>
        <v/>
      </c>
      <c r="N111" s="0" t="str">
        <f aca="false">IF(OR($A111="",$D111=""),"",IF(AND(EDATE($D111,Milestones!$AA$120)&lt;=AsOfDate,IF($R111=0,$X111,IF(AND($T111&lt;&gt;"",EDATE($D111,Milestones!$AA$120)&gt;=$T111),$W111,IF(AND($S111&lt;&gt;"",EDATE($D111,Milestones!$AA$120)&gt;=$S111),$V111,$U111)))=Milestones!$AB$120),UPPER(TEXT(EDATE($D111,Milestones!$AA$120),"dd mmm yy"))&amp;" "&amp;Milestones!$AB$120&amp;" "&amp;Milestones!$AC$120&amp;";  ","")&amp;IF(AND(EDATE($D111,Milestones!$AA$121)&lt;=AsOfDate,IF($R111=0,$X111,IF(AND($T111&lt;&gt;"",EDATE($D111,Milestones!$AA$121)&gt;=$T111),$W111,IF(AND($S111&lt;&gt;"",EDATE($D111,Milestones!$AA$121)&gt;=$S111),$V111,$U111)))=Milestones!$AB$121),UPPER(TEXT(EDATE($D111,Milestones!$AA$121),"dd mmm yy"))&amp;" "&amp;Milestones!$AB$121&amp;" "&amp;Milestones!$AC$121&amp;";  ","")&amp;IF(AND(EDATE($D111,Milestones!$AA$122)&lt;=AsOfDate,IF($R111=0,$X111,IF(AND($T111&lt;&gt;"",EDATE($D111,Milestones!$AA$122)&gt;=$T111),$W111,IF(AND($S111&lt;&gt;"",EDATE($D111,Milestones!$AA$122)&gt;=$S111),$V111,$U111)))=Milestones!$AB$122),UPPER(TEXT(EDATE($D111,Milestones!$AA$122),"dd mmm yy"))&amp;" "&amp;Milestones!$AB$122&amp;" "&amp;Milestones!$AC$122&amp;";  ","")&amp;IF(AND(EDATE($D111,Milestones!$AA$123)&lt;=AsOfDate,IF($R111=0,$X111,IF(AND($T111&lt;&gt;"",EDATE($D111,Milestones!$AA$123)&gt;=$T111),$W111,IF(AND($S111&lt;&gt;"",EDATE($D111,Milestones!$AA$123)&gt;=$S111),$V111,$U111)))=Milestones!$AB$123),UPPER(TEXT(EDATE($D111,Milestones!$AA$123),"dd mmm yy"))&amp;" "&amp;Milestones!$AB$123&amp;" "&amp;Milestones!$AC$123&amp;";  ","")&amp;IF(AND(EDATE($D111,Milestones!$AA$124)&lt;=AsOfDate,IF($R111=0,$X111,IF(AND($T111&lt;&gt;"",EDATE($D111,Milestones!$AA$124)&gt;=$T111),$W111,IF(AND($S111&lt;&gt;"",EDATE($D111,Milestones!$AA$124)&gt;=$S111),$V111,$U111)))=Milestones!$AB$124),UPPER(TEXT(EDATE($D111,Milestones!$AA$124),"dd mmm yy"))&amp;" "&amp;Milestones!$AB$124&amp;" "&amp;Milestones!$AC$124&amp;";  ","")&amp;IF(AND(EDATE($D111,Milestones!$AA$125)&lt;=AsOfDate,IF($R111=0,$X111,IF(AND($T111&lt;&gt;"",EDATE($D111,Milestones!$AA$125)&gt;=$T111),$W111,IF(AND($S111&lt;&gt;"",EDATE($D111,Milestones!$AA$125)&gt;=$S111),$V111,$U111)))=Milestones!$AB$125),UPPER(TEXT(EDATE($D111,Milestones!$AA$125),"dd mmm yy"))&amp;" "&amp;Milestones!$AB$125&amp;" "&amp;Milestones!$AC$125&amp;";  ","")&amp;IF(AND(EDATE($D111,Milestones!$AA$126)&lt;=AsOfDate,IF($R111=0,$X111,IF(AND($T111&lt;&gt;"",EDATE($D111,Milestones!$AA$126)&gt;=$T111),$W111,IF(AND($S111&lt;&gt;"",EDATE($D111,Milestones!$AA$126)&gt;=$S111),$V111,$U111)))=Milestones!$AB$126),UPPER(TEXT(EDATE($D111,Milestones!$AA$126),"dd mmm yy"))&amp;" "&amp;Milestones!$AB$126&amp;" "&amp;Milestones!$AC$126&amp;";  ","")&amp;IF(AND(EDATE($D111,Milestones!$AA$127)&lt;=AsOfDate,IF($R111=0,$X111,IF(AND($T111&lt;&gt;"",EDATE($D111,Milestones!$AA$127)&gt;=$T111),$W111,IF(AND($S111&lt;&gt;"",EDATE($D111,Milestones!$AA$127)&gt;=$S111),$V111,$U111)))=Milestones!$AB$127),UPPER(TEXT(EDATE($D111,Milestones!$AA$127),"dd mmm yy"))&amp;" "&amp;Milestones!$AB$127&amp;" "&amp;Milestones!$AC$127&amp;";  ","")&amp;IF(AND(EDATE($D111,Milestones!$AA$128)&lt;=AsOfDate,IF($R111=0,$X111,IF(AND($T111&lt;&gt;"",EDATE($D111,Milestones!$AA$128)&gt;=$T111),$W111,IF(AND($S111&lt;&gt;"",EDATE($D111,Milestones!$AA$128)&gt;=$S111),$V111,$U111)))=Milestones!$AB$128),UPPER(TEXT(EDATE($D111,Milestones!$AA$128),"dd mmm yy"))&amp;" "&amp;Milestones!$AB$128&amp;" "&amp;Milestones!$AC$128&amp;";  ","")&amp;IF(AND(EDATE($D111,Milestones!$AA$129)&lt;=AsOfDate,IF($R111=0,$X111,IF(AND($T111&lt;&gt;"",EDATE($D111,Milestones!$AA$129)&gt;=$T111),$W111,IF(AND($S111&lt;&gt;"",EDATE($D111,Milestones!$AA$129)&gt;=$S111),$V111,$U111)))=Milestones!$AB$129),UPPER(TEXT(EDATE($D111,Milestones!$AA$129),"dd mmm yy"))&amp;" "&amp;Milestones!$AB$129&amp;" "&amp;Milestones!$AC$129&amp;";  ","")&amp;IF(AND(EDATE($D111,Milestones!$AA$130)&lt;=AsOfDate,IF($R111=0,$X111,IF(AND($T111&lt;&gt;"",EDATE($D111,Milestones!$AA$130)&gt;=$T111),$W111,IF(AND($S111&lt;&gt;"",EDATE($D111,Milestones!$AA$130)&gt;=$S111),$V111,$U111)))=Milestones!$AB$130),UPPER(TEXT(EDATE($D111,Milestones!$AA$130),"dd mmm yy"))&amp;" "&amp;Milestones!$AB$130&amp;" "&amp;Milestones!$AC$130&amp;";  ","")&amp;IF(AND(EDATE($D111,Milestones!$AA$131)&lt;=AsOfDate,IF($R111=0,$X111,IF(AND($T111&lt;&gt;"",EDATE($D111,Milestones!$AA$131)&gt;=$T111),$W111,IF(AND($S111&lt;&gt;"",EDATE($D111,Milestones!$AA$131)&gt;=$S111),$V111,$U111)))=Milestones!$AB$131),UPPER(TEXT(EDATE($D111,Milestones!$AA$131),"dd mmm yy"))&amp;" "&amp;Milestones!$AB$131&amp;" "&amp;Milestones!$AC$131&amp;";  ","")&amp;IF(AND(EDATE($D111,Milestones!$AA$132)&lt;=AsOfDate,IF($R111=0,$X111,IF(AND($T111&lt;&gt;"",EDATE($D111,Milestones!$AA$132)&gt;=$T111),$W111,IF(AND($S111&lt;&gt;"",EDATE($D111,Milestones!$AA$132)&gt;=$S111),$V111,$U111)))=Milestones!$AB$132),UPPER(TEXT(EDATE($D111,Milestones!$AA$132),"dd mmm yy"))&amp;" "&amp;Milestones!$AB$132&amp;" "&amp;Milestones!$AC$132&amp;";  ","")&amp;IF(AND(EDATE($D111,Milestones!$AA$133)&lt;=AsOfDate,IF($R111=0,$X111,IF(AND($T111&lt;&gt;"",EDATE($D111,Milestones!$AA$133)&gt;=$T111),$W111,IF(AND($S111&lt;&gt;"",EDATE($D111,Milestones!$AA$133)&gt;=$S111),$V111,$U111)))=Milestones!$AB$133),UPPER(TEXT(EDATE($D111,Milestones!$AA$133),"dd mmm yy"))&amp;" "&amp;Milestones!$AB$133&amp;" "&amp;Milestones!$AC$133&amp;";  ","")&amp;IF(AND(EDATE($D111,Milestones!$AA$134)&lt;=AsOfDate,IF($R111=0,$X111,IF(AND($T111&lt;&gt;"",EDATE($D111,Milestones!$AA$134)&gt;=$T111),$W111,IF(AND($S111&lt;&gt;"",EDATE($D111,Milestones!$AA$134)&gt;=$S111),$V111,$U111)))=Milestones!$AB$134),UPPER(TEXT(EDATE($D111,Milestones!$AA$134),"dd mmm yy"))&amp;" "&amp;Milestones!$AB$134&amp;" "&amp;Milestones!$AC$134&amp;";  ","")&amp;IF(AND(EDATE($D111,Milestones!$AA$135)&lt;=AsOfDate,IF($R111=0,$X111,IF(AND($T111&lt;&gt;"",EDATE($D111,Milestones!$AA$135)&gt;=$T111),$W111,IF(AND($S111&lt;&gt;"",EDATE($D111,Milestones!$AA$135)&gt;=$S111),$V111,$U111)))=Milestones!$AB$135),UPPER(TEXT(EDATE($D111,Milestones!$AA$135),"dd mmm yy"))&amp;" "&amp;Milestones!$AB$135&amp;" "&amp;Milestones!$AC$135&amp;";  ","")&amp;IF(AND(EDATE($D111,Milestones!$AA$136)&lt;=AsOfDate,IF($R111=0,$X111,IF(AND($T111&lt;&gt;"",EDATE($D111,Milestones!$AA$136)&gt;=$T111),$W111,IF(AND($S111&lt;&gt;"",EDATE($D111,Milestones!$AA$136)&gt;=$S111),$V111,$U111)))=Milestones!$AB$136),UPPER(TEXT(EDATE($D111,Milestones!$AA$136),"dd mmm yy"))&amp;" "&amp;Milestones!$AB$136&amp;" "&amp;Milestones!$AC$136&amp;";  ","")&amp;IF(AND(EDATE($D111,Milestones!$AA$137)&lt;=AsOfDate,IF($R111=0,$X111,IF(AND($T111&lt;&gt;"",EDATE($D111,Milestones!$AA$137)&gt;=$T111),$W111,IF(AND($S111&lt;&gt;"",EDATE($D111,Milestones!$AA$137)&gt;=$S111),$V111,$U111)))=Milestones!$AB$137),UPPER(TEXT(EDATE($D111,Milestones!$AA$137),"dd mmm yy"))&amp;" "&amp;Milestones!$AB$137&amp;" "&amp;Milestones!$AC$137&amp;";  ","")&amp;IF(AND(EDATE($D111,Milestones!$AA$138)&lt;=AsOfDate,IF($R111=0,$X111,IF(AND($T111&lt;&gt;"",EDATE($D111,Milestones!$AA$138)&gt;=$T111),$W111,IF(AND($S111&lt;&gt;"",EDATE($D111,Milestones!$AA$138)&gt;=$S111),$V111,$U111)))=Milestones!$AB$138),UPPER(TEXT(EDATE($D111,Milestones!$AA$138),"dd mmm yy"))&amp;" "&amp;Milestones!$AB$138&amp;" "&amp;Milestones!$AC$138&amp;";  ","")&amp;IF(AND(EDATE($D111,Milestones!$AA$139)&lt;=AsOfDate,IF($R111=0,$X111,IF(AND($T111&lt;&gt;"",EDATE($D111,Milestones!$AA$139)&gt;=$T111),$W111,IF(AND($S111&lt;&gt;"",EDATE($D111,Milestones!$AA$139)&gt;=$S111),$V111,$U111)))=Milestones!$AB$139),UPPER(TEXT(EDATE($D111,Milestones!$AA$139),"dd mmm yy"))&amp;" "&amp;Milestones!$AB$139&amp;" "&amp;Milestones!$AC$139&amp;";  ",""))</f>
        <v/>
      </c>
      <c r="O111" s="0" t="str">
        <f aca="false">IF(OR($A111="",$D111=""),"",IF(AND(EDATE($D111,Milestones!$AA$140)&lt;=AsOfDate,IF($R111=0,$X111,IF(AND($T111&lt;&gt;"",EDATE($D111,Milestones!$AA$140)&gt;=$T111),$W111,IF(AND($S111&lt;&gt;"",EDATE($D111,Milestones!$AA$140)&gt;=$S111),$V111,$U111)))=Milestones!$AB$140),UPPER(TEXT(EDATE($D111,Milestones!$AA$140),"dd mmm yy"))&amp;" "&amp;Milestones!$AB$140&amp;" "&amp;Milestones!$AC$140&amp;";  ","")&amp;IF(AND(EDATE($D111,Milestones!$AA$141)&lt;=AsOfDate,IF($R111=0,$X111,IF(AND($T111&lt;&gt;"",EDATE($D111,Milestones!$AA$141)&gt;=$T111),$W111,IF(AND($S111&lt;&gt;"",EDATE($D111,Milestones!$AA$141)&gt;=$S111),$V111,$U111)))=Milestones!$AB$141),UPPER(TEXT(EDATE($D111,Milestones!$AA$141),"dd mmm yy"))&amp;" "&amp;Milestones!$AB$141&amp;" "&amp;Milestones!$AC$141&amp;";  ","")&amp;IF(AND(EDATE($D111,Milestones!$AA$142)&lt;=AsOfDate,IF($R111=0,$X111,IF(AND($T111&lt;&gt;"",EDATE($D111,Milestones!$AA$142)&gt;=$T111),$W111,IF(AND($S111&lt;&gt;"",EDATE($D111,Milestones!$AA$142)&gt;=$S111),$V111,$U111)))=Milestones!$AB$142),UPPER(TEXT(EDATE($D111,Milestones!$AA$142),"dd mmm yy"))&amp;" "&amp;Milestones!$AB$142&amp;" "&amp;Milestones!$AC$142&amp;";  ","")&amp;IF(AND(EDATE($D111,Milestones!$AA$143)&lt;=AsOfDate,IF($R111=0,$X111,IF(AND($T111&lt;&gt;"",EDATE($D111,Milestones!$AA$143)&gt;=$T111),$W111,IF(AND($S111&lt;&gt;"",EDATE($D111,Milestones!$AA$143)&gt;=$S111),$V111,$U111)))=Milestones!$AB$143),UPPER(TEXT(EDATE($D111,Milestones!$AA$143),"dd mmm yy"))&amp;" "&amp;Milestones!$AB$143&amp;" "&amp;Milestones!$AC$143&amp;";  ","")&amp;IF(AND(EDATE($D111,Milestones!$AA$144)&lt;=AsOfDate,IF($R111=0,$X111,IF(AND($T111&lt;&gt;"",EDATE($D111,Milestones!$AA$144)&gt;=$T111),$W111,IF(AND($S111&lt;&gt;"",EDATE($D111,Milestones!$AA$144)&gt;=$S111),$V111,$U111)))=Milestones!$AB$144),UPPER(TEXT(EDATE($D111,Milestones!$AA$144),"dd mmm yy"))&amp;" "&amp;Milestones!$AB$144&amp;" "&amp;Milestones!$AC$144&amp;";  ","")&amp;IF(AND(EDATE($D111,Milestones!$AA$145)&lt;=AsOfDate,IF($R111=0,$X111,IF(AND($T111&lt;&gt;"",EDATE($D111,Milestones!$AA$145)&gt;=$T111),$W111,IF(AND($S111&lt;&gt;"",EDATE($D111,Milestones!$AA$145)&gt;=$S111),$V111,$U111)))=Milestones!$AB$145),UPPER(TEXT(EDATE($D111,Milestones!$AA$145),"dd mmm yy"))&amp;" "&amp;Milestones!$AB$145&amp;" "&amp;Milestones!$AC$145&amp;";  ","")&amp;IF(AND(EDATE($D111,Milestones!$AA$146)&lt;=AsOfDate,IF($R111=0,$X111,IF(AND($T111&lt;&gt;"",EDATE($D111,Milestones!$AA$146)&gt;=$T111),$W111,IF(AND($S111&lt;&gt;"",EDATE($D111,Milestones!$AA$146)&gt;=$S111),$V111,$U111)))=Milestones!$AB$146),UPPER(TEXT(EDATE($D111,Milestones!$AA$146),"dd mmm yy"))&amp;" "&amp;Milestones!$AB$146&amp;" "&amp;Milestones!$AC$146&amp;";  ","")&amp;IF(AND(EDATE($D111,Milestones!$AA$147)&lt;=AsOfDate,IF($R111=0,$X111,IF(AND($T111&lt;&gt;"",EDATE($D111,Milestones!$AA$147)&gt;=$T111),$W111,IF(AND($S111&lt;&gt;"",EDATE($D111,Milestones!$AA$147)&gt;=$S111),$V111,$U111)))=Milestones!$AB$147),UPPER(TEXT(EDATE($D111,Milestones!$AA$147),"dd mmm yy"))&amp;" "&amp;Milestones!$AB$147&amp;" "&amp;Milestones!$AC$147&amp;";  ","")&amp;IF(AND(EDATE($D111,Milestones!$AA$148)&lt;=AsOfDate,IF($R111=0,$X111,IF(AND($T111&lt;&gt;"",EDATE($D111,Milestones!$AA$148)&gt;=$T111),$W111,IF(AND($S111&lt;&gt;"",EDATE($D111,Milestones!$AA$148)&gt;=$S111),$V111,$U111)))=Milestones!$AB$148),UPPER(TEXT(EDATE($D111,Milestones!$AA$148),"dd mmm yy"))&amp;" "&amp;Milestones!$AB$148&amp;" "&amp;Milestones!$AC$148&amp;";  ","")&amp;IF(AND(EDATE($D111,Milestones!$AA$149)&lt;=AsOfDate,IF($R111=0,$X111,IF(AND($T111&lt;&gt;"",EDATE($D111,Milestones!$AA$149)&gt;=$T111),$W111,IF(AND($S111&lt;&gt;"",EDATE($D111,Milestones!$AA$149)&gt;=$S111),$V111,$U111)))=Milestones!$AB$149),UPPER(TEXT(EDATE($D111,Milestones!$AA$149),"dd mmm yy"))&amp;" "&amp;Milestones!$AB$149&amp;" "&amp;Milestones!$AC$149&amp;";  ","")&amp;IF(AND(EDATE($D111,Milestones!$AA$150)&lt;=AsOfDate,IF($R111=0,$X111,IF(AND($T111&lt;&gt;"",EDATE($D111,Milestones!$AA$150)&gt;=$T111),$W111,IF(AND($S111&lt;&gt;"",EDATE($D111,Milestones!$AA$150)&gt;=$S111),$V111,$U111)))=Milestones!$AB$150),UPPER(TEXT(EDATE($D111,Milestones!$AA$150),"dd mmm yy"))&amp;" "&amp;Milestones!$AB$150&amp;" "&amp;Milestones!$AC$150&amp;";  ","")&amp;IF(AND(EDATE($D111,Milestones!$AA$151)&lt;=AsOfDate,IF($R111=0,$X111,IF(AND($T111&lt;&gt;"",EDATE($D111,Milestones!$AA$151)&gt;=$T111),$W111,IF(AND($S111&lt;&gt;"",EDATE($D111,Milestones!$AA$151)&gt;=$S111),$V111,$U111)))=Milestones!$AB$151),UPPER(TEXT(EDATE($D111,Milestones!$AA$151),"dd mmm yy"))&amp;" "&amp;Milestones!$AB$151&amp;" "&amp;Milestones!$AC$151&amp;";  ","")&amp;IF(AND(EDATE($D111,Milestones!$AA$152)&lt;=AsOfDate,IF($R111=0,$X111,IF(AND($T111&lt;&gt;"",EDATE($D111,Milestones!$AA$152)&gt;=$T111),$W111,IF(AND($S111&lt;&gt;"",EDATE($D111,Milestones!$AA$152)&gt;=$S111),$V111,$U111)))=Milestones!$AB$152),UPPER(TEXT(EDATE($D111,Milestones!$AA$152),"dd mmm yy"))&amp;" "&amp;Milestones!$AB$152&amp;" "&amp;Milestones!$AC$152&amp;";  ","")&amp;IF(AND(EDATE($D111,Milestones!$AA$153)&lt;=AsOfDate,IF($R111=0,$X111,IF(AND($T111&lt;&gt;"",EDATE($D111,Milestones!$AA$153)&gt;=$T111),$W111,IF(AND($S111&lt;&gt;"",EDATE($D111,Milestones!$AA$153)&gt;=$S111),$V111,$U111)))=Milestones!$AB$153),UPPER(TEXT(EDATE($D111,Milestones!$AA$153),"dd mmm yy"))&amp;" "&amp;Milestones!$AB$153&amp;" "&amp;Milestones!$AC$153&amp;";  ","")&amp;IF(AND(EDATE($D111,Milestones!$AA$154)&lt;=AsOfDate,IF($R111=0,$X111,IF(AND($T111&lt;&gt;"",EDATE($D111,Milestones!$AA$154)&gt;=$T111),$W111,IF(AND($S111&lt;&gt;"",EDATE($D111,Milestones!$AA$154)&gt;=$S111),$V111,$U111)))=Milestones!$AB$154),UPPER(TEXT(EDATE($D111,Milestones!$AA$154),"dd mmm yy"))&amp;" "&amp;Milestones!$AB$154&amp;" "&amp;Milestones!$AC$154&amp;";  ","")&amp;IF(AND(EDATE($D111,Milestones!$AA$155)&lt;=AsOfDate,IF($R111=0,$X111,IF(AND($T111&lt;&gt;"",EDATE($D111,Milestones!$AA$155)&gt;=$T111),$W111,IF(AND($S111&lt;&gt;"",EDATE($D111,Milestones!$AA$155)&gt;=$S111),$V111,$U111)))=Milestones!$AB$155),UPPER(TEXT(EDATE($D111,Milestones!$AA$155),"dd mmm yy"))&amp;" "&amp;Milestones!$AB$155&amp;" "&amp;Milestones!$AC$155&amp;";  ","")&amp;IF(AND(EDATE($D111,Milestones!$AA$156)&lt;=AsOfDate,IF($R111=0,$X111,IF(AND($T111&lt;&gt;"",EDATE($D111,Milestones!$AA$156)&gt;=$T111),$W111,IF(AND($S111&lt;&gt;"",EDATE($D111,Milestones!$AA$156)&gt;=$S111),$V111,$U111)))=Milestones!$AB$156),UPPER(TEXT(EDATE($D111,Milestones!$AA$156),"dd mmm yy"))&amp;" "&amp;Milestones!$AB$156&amp;" "&amp;Milestones!$AC$156&amp;";  ","")&amp;IF(AND(EDATE($D111,Milestones!$AA$157)&lt;=AsOfDate,IF($R111=0,$X111,IF(AND($T111&lt;&gt;"",EDATE($D111,Milestones!$AA$157)&gt;=$T111),$W111,IF(AND($S111&lt;&gt;"",EDATE($D111,Milestones!$AA$157)&gt;=$S111),$V111,$U111)))=Milestones!$AB$157),UPPER(TEXT(EDATE($D111,Milestones!$AA$157),"dd mmm yy"))&amp;" "&amp;Milestones!$AB$157&amp;" "&amp;Milestones!$AC$157&amp;";  ","")&amp;IF(AND(EDATE($D111,Milestones!$AA$158)&lt;=AsOfDate,IF($R111=0,$X111,IF(AND($T111&lt;&gt;"",EDATE($D111,Milestones!$AA$158)&gt;=$T111),$W111,IF(AND($S111&lt;&gt;"",EDATE($D111,Milestones!$AA$158)&gt;=$S111),$V111,$U111)))=Milestones!$AB$158),UPPER(TEXT(EDATE($D111,Milestones!$AA$158),"dd mmm yy"))&amp;" "&amp;Milestones!$AB$158&amp;" "&amp;Milestones!$AC$158&amp;";  ","")&amp;IF(AND(EDATE($D111,Milestones!$AA$159)&lt;=AsOfDate,IF($R111=0,$X111,IF(AND($T111&lt;&gt;"",EDATE($D111,Milestones!$AA$159)&gt;=$T111),$W111,IF(AND($S111&lt;&gt;"",EDATE($D111,Milestones!$AA$159)&gt;=$S111),$V111,$U111)))=Milestones!$AB$159),UPPER(TEXT(EDATE($D111,Milestones!$AA$159),"dd mmm yy"))&amp;" "&amp;Milestones!$AB$159&amp;" "&amp;Milestones!$AC$159&amp;";  ",""))</f>
        <v/>
      </c>
      <c r="P111" s="0" t="str">
        <f aca="false">IF(OR($A111="",$D111=""),"",IF(AND(EDATE($D111,Milestones!$AA$160)&lt;=AsOfDate,IF($R111=0,$X111,IF(AND($T111&lt;&gt;"",EDATE($D111,Milestones!$AA$160)&gt;=$T111),$W111,IF(AND($S111&lt;&gt;"",EDATE($D111,Milestones!$AA$160)&gt;=$S111),$V111,$U111)))=Milestones!$AB$160),UPPER(TEXT(EDATE($D111,Milestones!$AA$160),"dd mmm yy"))&amp;" "&amp;Milestones!$AB$160&amp;" "&amp;Milestones!$AC$160&amp;";  ","")&amp;IF(AND(EDATE($D111,Milestones!$AA$161)&lt;=AsOfDate,IF($R111=0,$X111,IF(AND($T111&lt;&gt;"",EDATE($D111,Milestones!$AA$161)&gt;=$T111),$W111,IF(AND($S111&lt;&gt;"",EDATE($D111,Milestones!$AA$161)&gt;=$S111),$V111,$U111)))=Milestones!$AB$161),UPPER(TEXT(EDATE($D111,Milestones!$AA$161),"dd mmm yy"))&amp;" "&amp;Milestones!$AB$161&amp;" "&amp;Milestones!$AC$161&amp;";  ","")&amp;IF(AND(EDATE($D111,Milestones!$AA$162)&lt;=AsOfDate,IF($R111=0,$X111,IF(AND($T111&lt;&gt;"",EDATE($D111,Milestones!$AA$162)&gt;=$T111),$W111,IF(AND($S111&lt;&gt;"",EDATE($D111,Milestones!$AA$162)&gt;=$S111),$V111,$U111)))=Milestones!$AB$162),UPPER(TEXT(EDATE($D111,Milestones!$AA$162),"dd mmm yy"))&amp;" "&amp;Milestones!$AB$162&amp;" "&amp;Milestones!$AC$162&amp;";  ","")&amp;IF(AND(EDATE($D111,Milestones!$AA$163)&lt;=AsOfDate,IF($R111=0,$X111,IF(AND($T111&lt;&gt;"",EDATE($D111,Milestones!$AA$163)&gt;=$T111),$W111,IF(AND($S111&lt;&gt;"",EDATE($D111,Milestones!$AA$163)&gt;=$S111),$V111,$U111)))=Milestones!$AB$163),UPPER(TEXT(EDATE($D111,Milestones!$AA$163),"dd mmm yy"))&amp;" "&amp;Milestones!$AB$163&amp;" "&amp;Milestones!$AC$163&amp;";  ","")&amp;IF(AND(EDATE($D111,Milestones!$AA$164)&lt;=AsOfDate,IF($R111=0,$X111,IF(AND($T111&lt;&gt;"",EDATE($D111,Milestones!$AA$164)&gt;=$T111),$W111,IF(AND($S111&lt;&gt;"",EDATE($D111,Milestones!$AA$164)&gt;=$S111),$V111,$U111)))=Milestones!$AB$164),UPPER(TEXT(EDATE($D111,Milestones!$AA$164),"dd mmm yy"))&amp;" "&amp;Milestones!$AB$164&amp;" "&amp;Milestones!$AC$164&amp;";  ","")&amp;IF(AND(EDATE($D111,Milestones!$AA$165)&lt;=AsOfDate,IF($R111=0,$X111,IF(AND($T111&lt;&gt;"",EDATE($D111,Milestones!$AA$165)&gt;=$T111),$W111,IF(AND($S111&lt;&gt;"",EDATE($D111,Milestones!$AA$165)&gt;=$S111),$V111,$U111)))=Milestones!$AB$165),UPPER(TEXT(EDATE($D111,Milestones!$AA$165),"dd mmm yy"))&amp;" "&amp;Milestones!$AB$165&amp;" "&amp;Milestones!$AC$165&amp;";  ","")&amp;IF(AND(EDATE($D111,Milestones!$AA$166)&lt;=AsOfDate,IF($R111=0,$X111,IF(AND($T111&lt;&gt;"",EDATE($D111,Milestones!$AA$166)&gt;=$T111),$W111,IF(AND($S111&lt;&gt;"",EDATE($D111,Milestones!$AA$166)&gt;=$S111),$V111,$U111)))=Milestones!$AB$166),UPPER(TEXT(EDATE($D111,Milestones!$AA$166),"dd mmm yy"))&amp;" "&amp;Milestones!$AB$166&amp;" "&amp;Milestones!$AC$166&amp;";  ","")&amp;IF(AND(EDATE($D111,Milestones!$AA$167)&lt;=AsOfDate,IF($R111=0,$X111,IF(AND($T111&lt;&gt;"",EDATE($D111,Milestones!$AA$167)&gt;=$T111),$W111,IF(AND($S111&lt;&gt;"",EDATE($D111,Milestones!$AA$167)&gt;=$S111),$V111,$U111)))=Milestones!$AB$167),UPPER(TEXT(EDATE($D111,Milestones!$AA$167),"dd mmm yy"))&amp;" "&amp;Milestones!$AB$167&amp;" "&amp;Milestones!$AC$167&amp;";  ","")&amp;IF(AND(EDATE($D111,Milestones!$AA$168)&lt;=AsOfDate,IF($R111=0,$X111,IF(AND($T111&lt;&gt;"",EDATE($D111,Milestones!$AA$168)&gt;=$T111),$W111,IF(AND($S111&lt;&gt;"",EDATE($D111,Milestones!$AA$168)&gt;=$S111),$V111,$U111)))=Milestones!$AB$168),UPPER(TEXT(EDATE($D111,Milestones!$AA$168),"dd mmm yy"))&amp;" "&amp;Milestones!$AB$168&amp;" "&amp;Milestones!$AC$168&amp;";  ","")&amp;IF(AND(EDATE($D111,Milestones!$AA$169)&lt;=AsOfDate,IF($R111=0,$X111,IF(AND($T111&lt;&gt;"",EDATE($D111,Milestones!$AA$169)&gt;=$T111),$W111,IF(AND($S111&lt;&gt;"",EDATE($D111,Milestones!$AA$169)&gt;=$S111),$V111,$U111)))=Milestones!$AB$169),UPPER(TEXT(EDATE($D111,Milestones!$AA$169),"dd mmm yy"))&amp;" "&amp;Milestones!$AB$169&amp;" "&amp;Milestones!$AC$169&amp;";  ","")&amp;IF(AND(EDATE($D111,Milestones!$AA$170)&lt;=AsOfDate,IF($R111=0,$X111,IF(AND($T111&lt;&gt;"",EDATE($D111,Milestones!$AA$170)&gt;=$T111),$W111,IF(AND($S111&lt;&gt;"",EDATE($D111,Milestones!$AA$170)&gt;=$S111),$V111,$U111)))=Milestones!$AB$170),UPPER(TEXT(EDATE($D111,Milestones!$AA$170),"dd mmm yy"))&amp;" "&amp;Milestones!$AB$170&amp;" "&amp;Milestones!$AC$170&amp;";  ","")&amp;IF(AND(EDATE($D111,Milestones!$AA$171)&lt;=AsOfDate,IF($R111=0,$X111,IF(AND($T111&lt;&gt;"",EDATE($D111,Milestones!$AA$171)&gt;=$T111),$W111,IF(AND($S111&lt;&gt;"",EDATE($D111,Milestones!$AA$171)&gt;=$S111),$V111,$U111)))=Milestones!$AB$171),UPPER(TEXT(EDATE($D111,Milestones!$AA$171),"dd mmm yy"))&amp;" "&amp;Milestones!$AB$171&amp;" "&amp;Milestones!$AC$171&amp;";  ","")&amp;IF(AND(EDATE($D111,Milestones!$AA$172)&lt;=AsOfDate,IF($R111=0,$X111,IF(AND($T111&lt;&gt;"",EDATE($D111,Milestones!$AA$172)&gt;=$T111),$W111,IF(AND($S111&lt;&gt;"",EDATE($D111,Milestones!$AA$172)&gt;=$S111),$V111,$U111)))=Milestones!$AB$172),UPPER(TEXT(EDATE($D111,Milestones!$AA$172),"dd mmm yy"))&amp;" "&amp;Milestones!$AB$172&amp;" "&amp;Milestones!$AC$172&amp;";  ","")&amp;IF(AND(EDATE($D111,Milestones!$AA$173)&lt;=AsOfDate,IF($R111=0,$X111,IF(AND($T111&lt;&gt;"",EDATE($D111,Milestones!$AA$173)&gt;=$T111),$W111,IF(AND($S111&lt;&gt;"",EDATE($D111,Milestones!$AA$173)&gt;=$S111),$V111,$U111)))=Milestones!$AB$173),UPPER(TEXT(EDATE($D111,Milestones!$AA$173),"dd mmm yy"))&amp;" "&amp;Milestones!$AB$173&amp;" "&amp;Milestones!$AC$173&amp;";  ","")&amp;IF(AND(EDATE($D111,Milestones!$AA$174)&lt;=AsOfDate,IF($R111=0,$X111,IF(AND($T111&lt;&gt;"",EDATE($D111,Milestones!$AA$174)&gt;=$T111),$W111,IF(AND($S111&lt;&gt;"",EDATE($D111,Milestones!$AA$174)&gt;=$S111),$V111,$U111)))=Milestones!$AB$174),UPPER(TEXT(EDATE($D111,Milestones!$AA$174),"dd mmm yy"))&amp;" "&amp;Milestones!$AB$174&amp;" "&amp;Milestones!$AC$174&amp;";  ","")&amp;IF(AND(EDATE($D111,Milestones!$AA$175)&lt;=AsOfDate,IF($R111=0,$X111,IF(AND($T111&lt;&gt;"",EDATE($D111,Milestones!$AA$175)&gt;=$T111),$W111,IF(AND($S111&lt;&gt;"",EDATE($D111,Milestones!$AA$175)&gt;=$S111),$V111,$U111)))=Milestones!$AB$175),UPPER(TEXT(EDATE($D111,Milestones!$AA$175),"dd mmm yy"))&amp;" "&amp;Milestones!$AB$175&amp;" "&amp;Milestones!$AC$175&amp;";  ","")&amp;IF(AND(EDATE($D111,Milestones!$AA$176)&lt;=AsOfDate,IF($R111=0,$X111,IF(AND($T111&lt;&gt;"",EDATE($D111,Milestones!$AA$176)&gt;=$T111),$W111,IF(AND($S111&lt;&gt;"",EDATE($D111,Milestones!$AA$176)&gt;=$S111),$V111,$U111)))=Milestones!$AB$176),UPPER(TEXT(EDATE($D111,Milestones!$AA$176),"dd mmm yy"))&amp;" "&amp;Milestones!$AB$176&amp;" "&amp;Milestones!$AC$176&amp;";  ","")&amp;IF(AND(EDATE($D111,Milestones!$AA$177)&lt;=AsOfDate,IF($R111=0,$X111,IF(AND($T111&lt;&gt;"",EDATE($D111,Milestones!$AA$177)&gt;=$T111),$W111,IF(AND($S111&lt;&gt;"",EDATE($D111,Milestones!$AA$177)&gt;=$S111),$V111,$U111)))=Milestones!$AB$177),UPPER(TEXT(EDATE($D111,Milestones!$AA$177),"dd mmm yy"))&amp;" "&amp;Milestones!$AB$177&amp;" "&amp;Milestones!$AC$177&amp;";  ","")&amp;IF(AND(EDATE($D111,Milestones!$AA$178)&lt;=AsOfDate,IF($R111=0,$X111,IF(AND($T111&lt;&gt;"",EDATE($D111,Milestones!$AA$178)&gt;=$T111),$W111,IF(AND($S111&lt;&gt;"",EDATE($D111,Milestones!$AA$178)&gt;=$S111),$V111,$U111)))=Milestones!$AB$178),UPPER(TEXT(EDATE($D111,Milestones!$AA$178),"dd mmm yy"))&amp;" "&amp;Milestones!$AB$178&amp;" "&amp;Milestones!$AC$178&amp;";  ","")&amp;IF(AND(EDATE($D111,Milestones!$AA$179)&lt;=AsOfDate,IF($R111=0,$X111,IF(AND($T111&lt;&gt;"",EDATE($D111,Milestones!$AA$179)&gt;=$T111),$W111,IF(AND($S111&lt;&gt;"",EDATE($D111,Milestones!$AA$179)&gt;=$S111),$V111,$U111)))=Milestones!$AB$179),UPPER(TEXT(EDATE($D111,Milestones!$AA$179),"dd mmm yy"))&amp;" "&amp;Milestones!$AB$179&amp;" "&amp;Milestones!$AC$179&amp;";  ",""))</f>
        <v/>
      </c>
      <c r="Q111" s="0" t="str">
        <f aca="false">IF(OR($A111="",$D111=""),"",IF(AND(EDATE($D111,Milestones!$AA$180)&lt;=AsOfDate,IF($R111=0,$X111,IF(AND($T111&lt;&gt;"",EDATE($D111,Milestones!$AA$180)&gt;=$T111),$W111,IF(AND($S111&lt;&gt;"",EDATE($D111,Milestones!$AA$180)&gt;=$S111),$V111,$U111)))=Milestones!$AB$180),UPPER(TEXT(EDATE($D111,Milestones!$AA$180),"dd mmm yy"))&amp;" "&amp;Milestones!$AB$180&amp;" "&amp;Milestones!$AC$180&amp;";  ","")&amp;IF(AND(EDATE($D111,Milestones!$AA$181)&lt;=AsOfDate,IF($R111=0,$X111,IF(AND($T111&lt;&gt;"",EDATE($D111,Milestones!$AA$181)&gt;=$T111),$W111,IF(AND($S111&lt;&gt;"",EDATE($D111,Milestones!$AA$181)&gt;=$S111),$V111,$U111)))=Milestones!$AB$181),UPPER(TEXT(EDATE($D111,Milestones!$AA$181),"dd mmm yy"))&amp;" "&amp;Milestones!$AB$181&amp;" "&amp;Milestones!$AC$181&amp;";  ","")&amp;IF(AND(EDATE($D111,Milestones!$AA$182)&lt;=AsOfDate,IF($R111=0,$X111,IF(AND($T111&lt;&gt;"",EDATE($D111,Milestones!$AA$182)&gt;=$T111),$W111,IF(AND($S111&lt;&gt;"",EDATE($D111,Milestones!$AA$182)&gt;=$S111),$V111,$U111)))=Milestones!$AB$182),UPPER(TEXT(EDATE($D111,Milestones!$AA$182),"dd mmm yy"))&amp;" "&amp;Milestones!$AB$182&amp;" "&amp;Milestones!$AC$182&amp;";  ","")&amp;IF(AND(EDATE($D111,Milestones!$AA$183)&lt;=AsOfDate,IF($R111=0,$X111,IF(AND($T111&lt;&gt;"",EDATE($D111,Milestones!$AA$183)&gt;=$T111),$W111,IF(AND($S111&lt;&gt;"",EDATE($D111,Milestones!$AA$183)&gt;=$S111),$V111,$U111)))=Milestones!$AB$183),UPPER(TEXT(EDATE($D111,Milestones!$AA$183),"dd mmm yy"))&amp;" "&amp;Milestones!$AB$183&amp;" "&amp;Milestones!$AC$183&amp;";  ","")&amp;IF(AND(EDATE($D111,Milestones!$AA$184)&lt;=AsOfDate,IF($R111=0,$X111,IF(AND($T111&lt;&gt;"",EDATE($D111,Milestones!$AA$184)&gt;=$T111),$W111,IF(AND($S111&lt;&gt;"",EDATE($D111,Milestones!$AA$184)&gt;=$S111),$V111,$U111)))=Milestones!$AB$184),UPPER(TEXT(EDATE($D111,Milestones!$AA$184),"dd mmm yy"))&amp;" "&amp;Milestones!$AB$184&amp;" "&amp;Milestones!$AC$184&amp;";  ","")&amp;IF(AND(EDATE($D111,Milestones!$AA$185)&lt;=AsOfDate,IF($R111=0,$X111,IF(AND($T111&lt;&gt;"",EDATE($D111,Milestones!$AA$185)&gt;=$T111),$W111,IF(AND($S111&lt;&gt;"",EDATE($D111,Milestones!$AA$185)&gt;=$S111),$V111,$U111)))=Milestones!$AB$185),UPPER(TEXT(EDATE($D111,Milestones!$AA$185),"dd mmm yy"))&amp;" "&amp;Milestones!$AB$185&amp;" "&amp;Milestones!$AC$185&amp;";  ","")&amp;IF(AND(EDATE($D111,Milestones!$AA$186)&lt;=AsOfDate,IF($R111=0,$X111,IF(AND($T111&lt;&gt;"",EDATE($D111,Milestones!$AA$186)&gt;=$T111),$W111,IF(AND($S111&lt;&gt;"",EDATE($D111,Milestones!$AA$186)&gt;=$S111),$V111,$U111)))=Milestones!$AB$186),UPPER(TEXT(EDATE($D111,Milestones!$AA$186),"dd mmm yy"))&amp;" "&amp;Milestones!$AB$186&amp;" "&amp;Milestones!$AC$186&amp;";  ","")&amp;IF(AND(EDATE($D111,Milestones!$AA$187)&lt;=AsOfDate,IF($R111=0,$X111,IF(AND($T111&lt;&gt;"",EDATE($D111,Milestones!$AA$187)&gt;=$T111),$W111,IF(AND($S111&lt;&gt;"",EDATE($D111,Milestones!$AA$187)&gt;=$S111),$V111,$U111)))=Milestones!$AB$187),UPPER(TEXT(EDATE($D111,Milestones!$AA$187),"dd mmm yy"))&amp;" "&amp;Milestones!$AB$187&amp;" "&amp;Milestones!$AC$187&amp;";  ","")&amp;IF(AND(EDATE($D111,Milestones!$AA$188)&lt;=AsOfDate,IF($R111=0,$X111,IF(AND($T111&lt;&gt;"",EDATE($D111,Milestones!$AA$188)&gt;=$T111),$W111,IF(AND($S111&lt;&gt;"",EDATE($D111,Milestones!$AA$188)&gt;=$S111),$V111,$U111)))=Milestones!$AB$188),UPPER(TEXT(EDATE($D111,Milestones!$AA$188),"dd mmm yy"))&amp;" "&amp;Milestones!$AB$188&amp;" "&amp;Milestones!$AC$188&amp;";  ","")&amp;IF(AND(EDATE($D111,Milestones!$AA$189)&lt;=AsOfDate,IF($R111=0,$X111,IF(AND($T111&lt;&gt;"",EDATE($D111,Milestones!$AA$189)&gt;=$T111),$W111,IF(AND($S111&lt;&gt;"",EDATE($D111,Milestones!$AA$189)&gt;=$S111),$V111,$U111)))=Milestones!$AB$189),UPPER(TEXT(EDATE($D111,Milestones!$AA$189),"dd mmm yy"))&amp;" "&amp;Milestones!$AB$189&amp;" "&amp;Milestones!$AC$189&amp;";  ","")&amp;IF(AND(EDATE($D111,Milestones!$AA$190)&lt;=AsOfDate,IF($R111=0,$X111,IF(AND($T111&lt;&gt;"",EDATE($D111,Milestones!$AA$190)&gt;=$T111),$W111,IF(AND($S111&lt;&gt;"",EDATE($D111,Milestones!$AA$190)&gt;=$S111),$V111,$U111)))=Milestones!$AB$190),UPPER(TEXT(EDATE($D111,Milestones!$AA$190),"dd mmm yy"))&amp;" "&amp;Milestones!$AB$190&amp;" "&amp;Milestones!$AC$190&amp;";  ","")&amp;IF(AND(EDATE($D111,Milestones!$AA$191)&lt;=AsOfDate,IF($R111=0,$X111,IF(AND($T111&lt;&gt;"",EDATE($D111,Milestones!$AA$191)&gt;=$T111),$W111,IF(AND($S111&lt;&gt;"",EDATE($D111,Milestones!$AA$191)&gt;=$S111),$V111,$U111)))=Milestones!$AB$191),UPPER(TEXT(EDATE($D111,Milestones!$AA$191),"dd mmm yy"))&amp;" "&amp;Milestones!$AB$191&amp;" "&amp;Milestones!$AC$191&amp;";  ","")&amp;IF(AND(EDATE($D111,Milestones!$AA$192)&lt;=AsOfDate,IF($R111=0,$X111,IF(AND($T111&lt;&gt;"",EDATE($D111,Milestones!$AA$192)&gt;=$T111),$W111,IF(AND($S111&lt;&gt;"",EDATE($D111,Milestones!$AA$192)&gt;=$S111),$V111,$U111)))=Milestones!$AB$192),UPPER(TEXT(EDATE($D111,Milestones!$AA$192),"dd mmm yy"))&amp;" "&amp;Milestones!$AB$192&amp;" "&amp;Milestones!$AC$192&amp;";  ","")&amp;IF(AND(EDATE($D111,Milestones!$AA$193)&lt;=AsOfDate,IF($R111=0,$X111,IF(AND($T111&lt;&gt;"",EDATE($D111,Milestones!$AA$193)&gt;=$T111),$W111,IF(AND($S111&lt;&gt;"",EDATE($D111,Milestones!$AA$193)&gt;=$S111),$V111,$U111)))=Milestones!$AB$193),UPPER(TEXT(EDATE($D111,Milestones!$AA$193),"dd mmm yy"))&amp;" "&amp;Milestones!$AB$193&amp;" "&amp;Milestones!$AC$193&amp;";  ","")&amp;IF(AND(EDATE($D111,Milestones!$AA$194)&lt;=AsOfDate,IF($R111=0,$X111,IF(AND($T111&lt;&gt;"",EDATE($D111,Milestones!$AA$194)&gt;=$T111),$W111,IF(AND($S111&lt;&gt;"",EDATE($D111,Milestones!$AA$194)&gt;=$S111),$V111,$U111)))=Milestones!$AB$194),UPPER(TEXT(EDATE($D111,Milestones!$AA$194),"dd mmm yy"))&amp;" "&amp;Milestones!$AB$194&amp;" "&amp;Milestones!$AC$194&amp;";  ","")&amp;IF(AND(EDATE($D111,Milestones!$AA$195)&lt;=AsOfDate,IF($R111=0,$X111,IF(AND($T111&lt;&gt;"",EDATE($D111,Milestones!$AA$195)&gt;=$T111),$W111,IF(AND($S111&lt;&gt;"",EDATE($D111,Milestones!$AA$195)&gt;=$S111),$V111,$U111)))=Milestones!$AB$195),UPPER(TEXT(EDATE($D111,Milestones!$AA$195),"dd mmm yy"))&amp;" "&amp;Milestones!$AB$195&amp;" "&amp;Milestones!$AC$195&amp;";  ","")&amp;IF(AND(EDATE($D111,Milestones!$AA$196)&lt;=AsOfDate,IF($R111=0,$X111,IF(AND($T111&lt;&gt;"",EDATE($D111,Milestones!$AA$196)&gt;=$T111),$W111,IF(AND($S111&lt;&gt;"",EDATE($D111,Milestones!$AA$196)&gt;=$S111),$V111,$U111)))=Milestones!$AB$196),UPPER(TEXT(EDATE($D111,Milestones!$AA$196),"dd mmm yy"))&amp;" "&amp;Milestones!$AB$196&amp;" "&amp;Milestones!$AC$196&amp;";  ","")&amp;IF(AND(EDATE($D111,Milestones!$AA$197)&lt;=AsOfDate,IF($R111=0,$X111,IF(AND($T111&lt;&gt;"",EDATE($D111,Milestones!$AA$197)&gt;=$T111),$W111,IF(AND($S111&lt;&gt;"",EDATE($D111,Milestones!$AA$197)&gt;=$S111),$V111,$U111)))=Milestones!$AB$197),UPPER(TEXT(EDATE($D111,Milestones!$AA$197),"dd mmm yy"))&amp;" "&amp;Milestones!$AB$197&amp;" "&amp;Milestones!$AC$197&amp;";  ","")&amp;IF(AND(EDATE($D111,Milestones!$AA$198)&lt;=AsOfDate,IF($R111=0,$X111,IF(AND($T111&lt;&gt;"",EDATE($D111,Milestones!$AA$198)&gt;=$T111),$W111,IF(AND($S111&lt;&gt;"",EDATE($D111,Milestones!$AA$198)&gt;=$S111),$V111,$U111)))=Milestones!$AB$198),UPPER(TEXT(EDATE($D111,Milestones!$AA$198),"dd mmm yy"))&amp;" "&amp;Milestones!$AB$198&amp;" "&amp;Milestones!$AC$198&amp;";  ","")&amp;IF(AND(EDATE($D111,Milestones!$AA$199)&lt;=AsOfDate,IF($R111=0,$X111,IF(AND($T111&lt;&gt;"",EDATE($D111,Milestones!$AA$199)&gt;=$T111),$W111,IF(AND($S111&lt;&gt;"",EDATE($D111,Milestones!$AA$199)&gt;=$S111),$V111,$U111)))=Milestones!$AB$199),UPPER(TEXT(EDATE($D111,Milestones!$AA$199),"dd mmm yy"))&amp;" "&amp;Milestones!$AB$199&amp;" "&amp;Milestones!$AC$199&amp;";  ",""))</f>
        <v/>
      </c>
      <c r="R111" s="0" t="str">
        <f aca="false">IF(Staff!$A111="","",Staff!$AI111)</f>
        <v/>
      </c>
      <c r="S111" s="0" t="str">
        <f aca="false">IF(Staff!$A111="","",Staff!$AK111)</f>
        <v/>
      </c>
      <c r="T111" s="0" t="str">
        <f aca="false">IF(Staff!$A111="","",Staff!$AL111)</f>
        <v/>
      </c>
      <c r="U111" s="0" t="str">
        <f aca="false">IF(Staff!$A111="","",Staff!$AP111)</f>
        <v/>
      </c>
      <c r="V111" s="0" t="str">
        <f aca="false">IF(Staff!$A111="","",Staff!$AQ111)</f>
        <v/>
      </c>
      <c r="W111" s="0" t="str">
        <f aca="false">IF(Staff!$A111="","",Staff!$AR111)</f>
        <v/>
      </c>
      <c r="X111" s="0" t="str">
        <f aca="false">IF(Staff!$A111="","",Staff!$AS111)</f>
        <v/>
      </c>
    </row>
    <row r="112" customFormat="false" ht="15" hidden="false" customHeight="false" outlineLevel="0" collapsed="false">
      <c r="A112" s="19" t="str">
        <f aca="false">IF(Staff!$A112="","",Staff!$A112)</f>
        <v/>
      </c>
      <c r="B112" s="19" t="str">
        <f aca="false">IF(Staff!$A112="","",Staff!$B112)</f>
        <v/>
      </c>
      <c r="C112" s="19" t="str">
        <f aca="false">IF(Staff!$A112="","",Staff!$C112)</f>
        <v/>
      </c>
      <c r="D112" s="17" t="str">
        <f aca="false">IF(Staff!$A112="","",Staff!$AH112)</f>
        <v/>
      </c>
      <c r="E112" s="19" t="str">
        <f aca="false">IF(Staff!$A112="","",Staff!$O112)</f>
        <v/>
      </c>
      <c r="F112" s="19" t="str">
        <f aca="false">IF(E112="","",E112*HoursPerDay)</f>
        <v/>
      </c>
      <c r="G112" s="19" t="str">
        <f aca="false">IF(Staff!$A112="","",Staff!$AE112)</f>
        <v/>
      </c>
      <c r="H112" s="32" t="str">
        <f aca="false">IF($A112="","",I112&amp;J112&amp;K112&amp;L112&amp;M112&amp;N112&amp;O112&amp;P112&amp;Q112)</f>
        <v/>
      </c>
      <c r="I112" s="0" t="str">
        <f aca="false">IF(OR($A112="",$D112=""),"",IF(AND(EDATE($D112,Milestones!$AA$20)&lt;=AsOfDate,IF($R112=0,$X112,IF(AND($T112&lt;&gt;"",EDATE($D112,Milestones!$AA$20)&gt;=$T112),$W112,IF(AND($S112&lt;&gt;"",EDATE($D112,Milestones!$AA$20)&gt;=$S112),$V112,$U112)))=Milestones!$AB$20),UPPER(TEXT(EDATE($D112,Milestones!$AA$20),"dd mmm yy"))&amp;" "&amp;Milestones!$AB$20&amp;" "&amp;Milestones!$AC$20&amp;";  ","")&amp;IF(AND(EDATE($D112,Milestones!$AA$21)&lt;=AsOfDate,IF($R112=0,$X112,IF(AND($T112&lt;&gt;"",EDATE($D112,Milestones!$AA$21)&gt;=$T112),$W112,IF(AND($S112&lt;&gt;"",EDATE($D112,Milestones!$AA$21)&gt;=$S112),$V112,$U112)))=Milestones!$AB$21),UPPER(TEXT(EDATE($D112,Milestones!$AA$21),"dd mmm yy"))&amp;" "&amp;Milestones!$AB$21&amp;" "&amp;Milestones!$AC$21&amp;";  ","")&amp;IF(AND(EDATE($D112,Milestones!$AA$22)&lt;=AsOfDate,IF($R112=0,$X112,IF(AND($T112&lt;&gt;"",EDATE($D112,Milestones!$AA$22)&gt;=$T112),$W112,IF(AND($S112&lt;&gt;"",EDATE($D112,Milestones!$AA$22)&gt;=$S112),$V112,$U112)))=Milestones!$AB$22),UPPER(TEXT(EDATE($D112,Milestones!$AA$22),"dd mmm yy"))&amp;" "&amp;Milestones!$AB$22&amp;" "&amp;Milestones!$AC$22&amp;";  ","")&amp;IF(AND(EDATE($D112,Milestones!$AA$23)&lt;=AsOfDate,IF($R112=0,$X112,IF(AND($T112&lt;&gt;"",EDATE($D112,Milestones!$AA$23)&gt;=$T112),$W112,IF(AND($S112&lt;&gt;"",EDATE($D112,Milestones!$AA$23)&gt;=$S112),$V112,$U112)))=Milestones!$AB$23),UPPER(TEXT(EDATE($D112,Milestones!$AA$23),"dd mmm yy"))&amp;" "&amp;Milestones!$AB$23&amp;" "&amp;Milestones!$AC$23&amp;";  ","")&amp;IF(AND(EDATE($D112,Milestones!$AA$24)&lt;=AsOfDate,IF($R112=0,$X112,IF(AND($T112&lt;&gt;"",EDATE($D112,Milestones!$AA$24)&gt;=$T112),$W112,IF(AND($S112&lt;&gt;"",EDATE($D112,Milestones!$AA$24)&gt;=$S112),$V112,$U112)))=Milestones!$AB$24),UPPER(TEXT(EDATE($D112,Milestones!$AA$24),"dd mmm yy"))&amp;" "&amp;Milestones!$AB$24&amp;" "&amp;Milestones!$AC$24&amp;";  ","")&amp;IF(AND(EDATE($D112,Milestones!$AA$25)&lt;=AsOfDate,IF($R112=0,$X112,IF(AND($T112&lt;&gt;"",EDATE($D112,Milestones!$AA$25)&gt;=$T112),$W112,IF(AND($S112&lt;&gt;"",EDATE($D112,Milestones!$AA$25)&gt;=$S112),$V112,$U112)))=Milestones!$AB$25),UPPER(TEXT(EDATE($D112,Milestones!$AA$25),"dd mmm yy"))&amp;" "&amp;Milestones!$AB$25&amp;" "&amp;Milestones!$AC$25&amp;";  ","")&amp;IF(AND(EDATE($D112,Milestones!$AA$26)&lt;=AsOfDate,IF($R112=0,$X112,IF(AND($T112&lt;&gt;"",EDATE($D112,Milestones!$AA$26)&gt;=$T112),$W112,IF(AND($S112&lt;&gt;"",EDATE($D112,Milestones!$AA$26)&gt;=$S112),$V112,$U112)))=Milestones!$AB$26),UPPER(TEXT(EDATE($D112,Milestones!$AA$26),"dd mmm yy"))&amp;" "&amp;Milestones!$AB$26&amp;" "&amp;Milestones!$AC$26&amp;";  ","")&amp;IF(AND(EDATE($D112,Milestones!$AA$27)&lt;=AsOfDate,IF($R112=0,$X112,IF(AND($T112&lt;&gt;"",EDATE($D112,Milestones!$AA$27)&gt;=$T112),$W112,IF(AND($S112&lt;&gt;"",EDATE($D112,Milestones!$AA$27)&gt;=$S112),$V112,$U112)))=Milestones!$AB$27),UPPER(TEXT(EDATE($D112,Milestones!$AA$27),"dd mmm yy"))&amp;" "&amp;Milestones!$AB$27&amp;" "&amp;Milestones!$AC$27&amp;";  ","")&amp;IF(AND(EDATE($D112,Milestones!$AA$28)&lt;=AsOfDate,IF($R112=0,$X112,IF(AND($T112&lt;&gt;"",EDATE($D112,Milestones!$AA$28)&gt;=$T112),$W112,IF(AND($S112&lt;&gt;"",EDATE($D112,Milestones!$AA$28)&gt;=$S112),$V112,$U112)))=Milestones!$AB$28),UPPER(TEXT(EDATE($D112,Milestones!$AA$28),"dd mmm yy"))&amp;" "&amp;Milestones!$AB$28&amp;" "&amp;Milestones!$AC$28&amp;";  ","")&amp;IF(AND(EDATE($D112,Milestones!$AA$29)&lt;=AsOfDate,IF($R112=0,$X112,IF(AND($T112&lt;&gt;"",EDATE($D112,Milestones!$AA$29)&gt;=$T112),$W112,IF(AND($S112&lt;&gt;"",EDATE($D112,Milestones!$AA$29)&gt;=$S112),$V112,$U112)))=Milestones!$AB$29),UPPER(TEXT(EDATE($D112,Milestones!$AA$29),"dd mmm yy"))&amp;" "&amp;Milestones!$AB$29&amp;" "&amp;Milestones!$AC$29&amp;";  ","")&amp;IF(AND(EDATE($D112,Milestones!$AA$30)&lt;=AsOfDate,IF($R112=0,$X112,IF(AND($T112&lt;&gt;"",EDATE($D112,Milestones!$AA$30)&gt;=$T112),$W112,IF(AND($S112&lt;&gt;"",EDATE($D112,Milestones!$AA$30)&gt;=$S112),$V112,$U112)))=Milestones!$AB$30),UPPER(TEXT(EDATE($D112,Milestones!$AA$30),"dd mmm yy"))&amp;" "&amp;Milestones!$AB$30&amp;" "&amp;Milestones!$AC$30&amp;";  ","")&amp;IF(AND(EDATE($D112,Milestones!$AA$31)&lt;=AsOfDate,IF($R112=0,$X112,IF(AND($T112&lt;&gt;"",EDATE($D112,Milestones!$AA$31)&gt;=$T112),$W112,IF(AND($S112&lt;&gt;"",EDATE($D112,Milestones!$AA$31)&gt;=$S112),$V112,$U112)))=Milestones!$AB$31),UPPER(TEXT(EDATE($D112,Milestones!$AA$31),"dd mmm yy"))&amp;" "&amp;Milestones!$AB$31&amp;" "&amp;Milestones!$AC$31&amp;";  ","")&amp;IF(AND(EDATE($D112,Milestones!$AA$32)&lt;=AsOfDate,IF($R112=0,$X112,IF(AND($T112&lt;&gt;"",EDATE($D112,Milestones!$AA$32)&gt;=$T112),$W112,IF(AND($S112&lt;&gt;"",EDATE($D112,Milestones!$AA$32)&gt;=$S112),$V112,$U112)))=Milestones!$AB$32),UPPER(TEXT(EDATE($D112,Milestones!$AA$32),"dd mmm yy"))&amp;" "&amp;Milestones!$AB$32&amp;" "&amp;Milestones!$AC$32&amp;";  ","")&amp;IF(AND(EDATE($D112,Milestones!$AA$33)&lt;=AsOfDate,IF($R112=0,$X112,IF(AND($T112&lt;&gt;"",EDATE($D112,Milestones!$AA$33)&gt;=$T112),$W112,IF(AND($S112&lt;&gt;"",EDATE($D112,Milestones!$AA$33)&gt;=$S112),$V112,$U112)))=Milestones!$AB$33),UPPER(TEXT(EDATE($D112,Milestones!$AA$33),"dd mmm yy"))&amp;" "&amp;Milestones!$AB$33&amp;" "&amp;Milestones!$AC$33&amp;";  ","")&amp;IF(AND(EDATE($D112,Milestones!$AA$34)&lt;=AsOfDate,IF($R112=0,$X112,IF(AND($T112&lt;&gt;"",EDATE($D112,Milestones!$AA$34)&gt;=$T112),$W112,IF(AND($S112&lt;&gt;"",EDATE($D112,Milestones!$AA$34)&gt;=$S112),$V112,$U112)))=Milestones!$AB$34),UPPER(TEXT(EDATE($D112,Milestones!$AA$34),"dd mmm yy"))&amp;" "&amp;Milestones!$AB$34&amp;" "&amp;Milestones!$AC$34&amp;";  ","")&amp;IF(AND(EDATE($D112,Milestones!$AA$35)&lt;=AsOfDate,IF($R112=0,$X112,IF(AND($T112&lt;&gt;"",EDATE($D112,Milestones!$AA$35)&gt;=$T112),$W112,IF(AND($S112&lt;&gt;"",EDATE($D112,Milestones!$AA$35)&gt;=$S112),$V112,$U112)))=Milestones!$AB$35),UPPER(TEXT(EDATE($D112,Milestones!$AA$35),"dd mmm yy"))&amp;" "&amp;Milestones!$AB$35&amp;" "&amp;Milestones!$AC$35&amp;";  ","")&amp;IF(AND(EDATE($D112,Milestones!$AA$36)&lt;=AsOfDate,IF($R112=0,$X112,IF(AND($T112&lt;&gt;"",EDATE($D112,Milestones!$AA$36)&gt;=$T112),$W112,IF(AND($S112&lt;&gt;"",EDATE($D112,Milestones!$AA$36)&gt;=$S112),$V112,$U112)))=Milestones!$AB$36),UPPER(TEXT(EDATE($D112,Milestones!$AA$36),"dd mmm yy"))&amp;" "&amp;Milestones!$AB$36&amp;" "&amp;Milestones!$AC$36&amp;";  ","")&amp;IF(AND(EDATE($D112,Milestones!$AA$37)&lt;=AsOfDate,IF($R112=0,$X112,IF(AND($T112&lt;&gt;"",EDATE($D112,Milestones!$AA$37)&gt;=$T112),$W112,IF(AND($S112&lt;&gt;"",EDATE($D112,Milestones!$AA$37)&gt;=$S112),$V112,$U112)))=Milestones!$AB$37),UPPER(TEXT(EDATE($D112,Milestones!$AA$37),"dd mmm yy"))&amp;" "&amp;Milestones!$AB$37&amp;" "&amp;Milestones!$AC$37&amp;";  ","")&amp;IF(AND(EDATE($D112,Milestones!$AA$38)&lt;=AsOfDate,IF($R112=0,$X112,IF(AND($T112&lt;&gt;"",EDATE($D112,Milestones!$AA$38)&gt;=$T112),$W112,IF(AND($S112&lt;&gt;"",EDATE($D112,Milestones!$AA$38)&gt;=$S112),$V112,$U112)))=Milestones!$AB$38),UPPER(TEXT(EDATE($D112,Milestones!$AA$38),"dd mmm yy"))&amp;" "&amp;Milestones!$AB$38&amp;" "&amp;Milestones!$AC$38&amp;";  ","")&amp;IF(AND(EDATE($D112,Milestones!$AA$39)&lt;=AsOfDate,IF($R112=0,$X112,IF(AND($T112&lt;&gt;"",EDATE($D112,Milestones!$AA$39)&gt;=$T112),$W112,IF(AND($S112&lt;&gt;"",EDATE($D112,Milestones!$AA$39)&gt;=$S112),$V112,$U112)))=Milestones!$AB$39),UPPER(TEXT(EDATE($D112,Milestones!$AA$39),"dd mmm yy"))&amp;" "&amp;Milestones!$AB$39&amp;" "&amp;Milestones!$AC$39&amp;";  ",""))</f>
        <v/>
      </c>
      <c r="J112" s="0" t="str">
        <f aca="false">IF(OR($A112="",$D112=""),"",IF(AND(EDATE($D112,Milestones!$AA$40)&lt;=AsOfDate,IF($R112=0,$X112,IF(AND($T112&lt;&gt;"",EDATE($D112,Milestones!$AA$40)&gt;=$T112),$W112,IF(AND($S112&lt;&gt;"",EDATE($D112,Milestones!$AA$40)&gt;=$S112),$V112,$U112)))=Milestones!$AB$40),UPPER(TEXT(EDATE($D112,Milestones!$AA$40),"dd mmm yy"))&amp;" "&amp;Milestones!$AB$40&amp;" "&amp;Milestones!$AC$40&amp;";  ","")&amp;IF(AND(EDATE($D112,Milestones!$AA$41)&lt;=AsOfDate,IF($R112=0,$X112,IF(AND($T112&lt;&gt;"",EDATE($D112,Milestones!$AA$41)&gt;=$T112),$W112,IF(AND($S112&lt;&gt;"",EDATE($D112,Milestones!$AA$41)&gt;=$S112),$V112,$U112)))=Milestones!$AB$41),UPPER(TEXT(EDATE($D112,Milestones!$AA$41),"dd mmm yy"))&amp;" "&amp;Milestones!$AB$41&amp;" "&amp;Milestones!$AC$41&amp;";  ","")&amp;IF(AND(EDATE($D112,Milestones!$AA$42)&lt;=AsOfDate,IF($R112=0,$X112,IF(AND($T112&lt;&gt;"",EDATE($D112,Milestones!$AA$42)&gt;=$T112),$W112,IF(AND($S112&lt;&gt;"",EDATE($D112,Milestones!$AA$42)&gt;=$S112),$V112,$U112)))=Milestones!$AB$42),UPPER(TEXT(EDATE($D112,Milestones!$AA$42),"dd mmm yy"))&amp;" "&amp;Milestones!$AB$42&amp;" "&amp;Milestones!$AC$42&amp;";  ","")&amp;IF(AND(EDATE($D112,Milestones!$AA$43)&lt;=AsOfDate,IF($R112=0,$X112,IF(AND($T112&lt;&gt;"",EDATE($D112,Milestones!$AA$43)&gt;=$T112),$W112,IF(AND($S112&lt;&gt;"",EDATE($D112,Milestones!$AA$43)&gt;=$S112),$V112,$U112)))=Milestones!$AB$43),UPPER(TEXT(EDATE($D112,Milestones!$AA$43),"dd mmm yy"))&amp;" "&amp;Milestones!$AB$43&amp;" "&amp;Milestones!$AC$43&amp;";  ","")&amp;IF(AND(EDATE($D112,Milestones!$AA$44)&lt;=AsOfDate,IF($R112=0,$X112,IF(AND($T112&lt;&gt;"",EDATE($D112,Milestones!$AA$44)&gt;=$T112),$W112,IF(AND($S112&lt;&gt;"",EDATE($D112,Milestones!$AA$44)&gt;=$S112),$V112,$U112)))=Milestones!$AB$44),UPPER(TEXT(EDATE($D112,Milestones!$AA$44),"dd mmm yy"))&amp;" "&amp;Milestones!$AB$44&amp;" "&amp;Milestones!$AC$44&amp;";  ","")&amp;IF(AND(EDATE($D112,Milestones!$AA$45)&lt;=AsOfDate,IF($R112=0,$X112,IF(AND($T112&lt;&gt;"",EDATE($D112,Milestones!$AA$45)&gt;=$T112),$W112,IF(AND($S112&lt;&gt;"",EDATE($D112,Milestones!$AA$45)&gt;=$S112),$V112,$U112)))=Milestones!$AB$45),UPPER(TEXT(EDATE($D112,Milestones!$AA$45),"dd mmm yy"))&amp;" "&amp;Milestones!$AB$45&amp;" "&amp;Milestones!$AC$45&amp;";  ","")&amp;IF(AND(EDATE($D112,Milestones!$AA$46)&lt;=AsOfDate,IF($R112=0,$X112,IF(AND($T112&lt;&gt;"",EDATE($D112,Milestones!$AA$46)&gt;=$T112),$W112,IF(AND($S112&lt;&gt;"",EDATE($D112,Milestones!$AA$46)&gt;=$S112),$V112,$U112)))=Milestones!$AB$46),UPPER(TEXT(EDATE($D112,Milestones!$AA$46),"dd mmm yy"))&amp;" "&amp;Milestones!$AB$46&amp;" "&amp;Milestones!$AC$46&amp;";  ","")&amp;IF(AND(EDATE($D112,Milestones!$AA$47)&lt;=AsOfDate,IF($R112=0,$X112,IF(AND($T112&lt;&gt;"",EDATE($D112,Milestones!$AA$47)&gt;=$T112),$W112,IF(AND($S112&lt;&gt;"",EDATE($D112,Milestones!$AA$47)&gt;=$S112),$V112,$U112)))=Milestones!$AB$47),UPPER(TEXT(EDATE($D112,Milestones!$AA$47),"dd mmm yy"))&amp;" "&amp;Milestones!$AB$47&amp;" "&amp;Milestones!$AC$47&amp;";  ","")&amp;IF(AND(EDATE($D112,Milestones!$AA$48)&lt;=AsOfDate,IF($R112=0,$X112,IF(AND($T112&lt;&gt;"",EDATE($D112,Milestones!$AA$48)&gt;=$T112),$W112,IF(AND($S112&lt;&gt;"",EDATE($D112,Milestones!$AA$48)&gt;=$S112),$V112,$U112)))=Milestones!$AB$48),UPPER(TEXT(EDATE($D112,Milestones!$AA$48),"dd mmm yy"))&amp;" "&amp;Milestones!$AB$48&amp;" "&amp;Milestones!$AC$48&amp;";  ","")&amp;IF(AND(EDATE($D112,Milestones!$AA$49)&lt;=AsOfDate,IF($R112=0,$X112,IF(AND($T112&lt;&gt;"",EDATE($D112,Milestones!$AA$49)&gt;=$T112),$W112,IF(AND($S112&lt;&gt;"",EDATE($D112,Milestones!$AA$49)&gt;=$S112),$V112,$U112)))=Milestones!$AB$49),UPPER(TEXT(EDATE($D112,Milestones!$AA$49),"dd mmm yy"))&amp;" "&amp;Milestones!$AB$49&amp;" "&amp;Milestones!$AC$49&amp;";  ","")&amp;IF(AND(EDATE($D112,Milestones!$AA$50)&lt;=AsOfDate,IF($R112=0,$X112,IF(AND($T112&lt;&gt;"",EDATE($D112,Milestones!$AA$50)&gt;=$T112),$W112,IF(AND($S112&lt;&gt;"",EDATE($D112,Milestones!$AA$50)&gt;=$S112),$V112,$U112)))=Milestones!$AB$50),UPPER(TEXT(EDATE($D112,Milestones!$AA$50),"dd mmm yy"))&amp;" "&amp;Milestones!$AB$50&amp;" "&amp;Milestones!$AC$50&amp;";  ","")&amp;IF(AND(EDATE($D112,Milestones!$AA$51)&lt;=AsOfDate,IF($R112=0,$X112,IF(AND($T112&lt;&gt;"",EDATE($D112,Milestones!$AA$51)&gt;=$T112),$W112,IF(AND($S112&lt;&gt;"",EDATE($D112,Milestones!$AA$51)&gt;=$S112),$V112,$U112)))=Milestones!$AB$51),UPPER(TEXT(EDATE($D112,Milestones!$AA$51),"dd mmm yy"))&amp;" "&amp;Milestones!$AB$51&amp;" "&amp;Milestones!$AC$51&amp;";  ","")&amp;IF(AND(EDATE($D112,Milestones!$AA$52)&lt;=AsOfDate,IF($R112=0,$X112,IF(AND($T112&lt;&gt;"",EDATE($D112,Milestones!$AA$52)&gt;=$T112),$W112,IF(AND($S112&lt;&gt;"",EDATE($D112,Milestones!$AA$52)&gt;=$S112),$V112,$U112)))=Milestones!$AB$52),UPPER(TEXT(EDATE($D112,Milestones!$AA$52),"dd mmm yy"))&amp;" "&amp;Milestones!$AB$52&amp;" "&amp;Milestones!$AC$52&amp;";  ","")&amp;IF(AND(EDATE($D112,Milestones!$AA$53)&lt;=AsOfDate,IF($R112=0,$X112,IF(AND($T112&lt;&gt;"",EDATE($D112,Milestones!$AA$53)&gt;=$T112),$W112,IF(AND($S112&lt;&gt;"",EDATE($D112,Milestones!$AA$53)&gt;=$S112),$V112,$U112)))=Milestones!$AB$53),UPPER(TEXT(EDATE($D112,Milestones!$AA$53),"dd mmm yy"))&amp;" "&amp;Milestones!$AB$53&amp;" "&amp;Milestones!$AC$53&amp;";  ","")&amp;IF(AND(EDATE($D112,Milestones!$AA$54)&lt;=AsOfDate,IF($R112=0,$X112,IF(AND($T112&lt;&gt;"",EDATE($D112,Milestones!$AA$54)&gt;=$T112),$W112,IF(AND($S112&lt;&gt;"",EDATE($D112,Milestones!$AA$54)&gt;=$S112),$V112,$U112)))=Milestones!$AB$54),UPPER(TEXT(EDATE($D112,Milestones!$AA$54),"dd mmm yy"))&amp;" "&amp;Milestones!$AB$54&amp;" "&amp;Milestones!$AC$54&amp;";  ","")&amp;IF(AND(EDATE($D112,Milestones!$AA$55)&lt;=AsOfDate,IF($R112=0,$X112,IF(AND($T112&lt;&gt;"",EDATE($D112,Milestones!$AA$55)&gt;=$T112),$W112,IF(AND($S112&lt;&gt;"",EDATE($D112,Milestones!$AA$55)&gt;=$S112),$V112,$U112)))=Milestones!$AB$55),UPPER(TEXT(EDATE($D112,Milestones!$AA$55),"dd mmm yy"))&amp;" "&amp;Milestones!$AB$55&amp;" "&amp;Milestones!$AC$55&amp;";  ","")&amp;IF(AND(EDATE($D112,Milestones!$AA$56)&lt;=AsOfDate,IF($R112=0,$X112,IF(AND($T112&lt;&gt;"",EDATE($D112,Milestones!$AA$56)&gt;=$T112),$W112,IF(AND($S112&lt;&gt;"",EDATE($D112,Milestones!$AA$56)&gt;=$S112),$V112,$U112)))=Milestones!$AB$56),UPPER(TEXT(EDATE($D112,Milestones!$AA$56),"dd mmm yy"))&amp;" "&amp;Milestones!$AB$56&amp;" "&amp;Milestones!$AC$56&amp;";  ","")&amp;IF(AND(EDATE($D112,Milestones!$AA$57)&lt;=AsOfDate,IF($R112=0,$X112,IF(AND($T112&lt;&gt;"",EDATE($D112,Milestones!$AA$57)&gt;=$T112),$W112,IF(AND($S112&lt;&gt;"",EDATE($D112,Milestones!$AA$57)&gt;=$S112),$V112,$U112)))=Milestones!$AB$57),UPPER(TEXT(EDATE($D112,Milestones!$AA$57),"dd mmm yy"))&amp;" "&amp;Milestones!$AB$57&amp;" "&amp;Milestones!$AC$57&amp;";  ","")&amp;IF(AND(EDATE($D112,Milestones!$AA$58)&lt;=AsOfDate,IF($R112=0,$X112,IF(AND($T112&lt;&gt;"",EDATE($D112,Milestones!$AA$58)&gt;=$T112),$W112,IF(AND($S112&lt;&gt;"",EDATE($D112,Milestones!$AA$58)&gt;=$S112),$V112,$U112)))=Milestones!$AB$58),UPPER(TEXT(EDATE($D112,Milestones!$AA$58),"dd mmm yy"))&amp;" "&amp;Milestones!$AB$58&amp;" "&amp;Milestones!$AC$58&amp;";  ","")&amp;IF(AND(EDATE($D112,Milestones!$AA$59)&lt;=AsOfDate,IF($R112=0,$X112,IF(AND($T112&lt;&gt;"",EDATE($D112,Milestones!$AA$59)&gt;=$T112),$W112,IF(AND($S112&lt;&gt;"",EDATE($D112,Milestones!$AA$59)&gt;=$S112),$V112,$U112)))=Milestones!$AB$59),UPPER(TEXT(EDATE($D112,Milestones!$AA$59),"dd mmm yy"))&amp;" "&amp;Milestones!$AB$59&amp;" "&amp;Milestones!$AC$59&amp;";  ",""))</f>
        <v/>
      </c>
      <c r="K112" s="0" t="str">
        <f aca="false">IF(OR($A112="",$D112=""),"",IF(AND(EDATE($D112,Milestones!$AA$60)&lt;=AsOfDate,IF($R112=0,$X112,IF(AND($T112&lt;&gt;"",EDATE($D112,Milestones!$AA$60)&gt;=$T112),$W112,IF(AND($S112&lt;&gt;"",EDATE($D112,Milestones!$AA$60)&gt;=$S112),$V112,$U112)))=Milestones!$AB$60),UPPER(TEXT(EDATE($D112,Milestones!$AA$60),"dd mmm yy"))&amp;" "&amp;Milestones!$AB$60&amp;" "&amp;Milestones!$AC$60&amp;";  ","")&amp;IF(AND(EDATE($D112,Milestones!$AA$61)&lt;=AsOfDate,IF($R112=0,$X112,IF(AND($T112&lt;&gt;"",EDATE($D112,Milestones!$AA$61)&gt;=$T112),$W112,IF(AND($S112&lt;&gt;"",EDATE($D112,Milestones!$AA$61)&gt;=$S112),$V112,$U112)))=Milestones!$AB$61),UPPER(TEXT(EDATE($D112,Milestones!$AA$61),"dd mmm yy"))&amp;" "&amp;Milestones!$AB$61&amp;" "&amp;Milestones!$AC$61&amp;";  ","")&amp;IF(AND(EDATE($D112,Milestones!$AA$62)&lt;=AsOfDate,IF($R112=0,$X112,IF(AND($T112&lt;&gt;"",EDATE($D112,Milestones!$AA$62)&gt;=$T112),$W112,IF(AND($S112&lt;&gt;"",EDATE($D112,Milestones!$AA$62)&gt;=$S112),$V112,$U112)))=Milestones!$AB$62),UPPER(TEXT(EDATE($D112,Milestones!$AA$62),"dd mmm yy"))&amp;" "&amp;Milestones!$AB$62&amp;" "&amp;Milestones!$AC$62&amp;";  ","")&amp;IF(AND(EDATE($D112,Milestones!$AA$63)&lt;=AsOfDate,IF($R112=0,$X112,IF(AND($T112&lt;&gt;"",EDATE($D112,Milestones!$AA$63)&gt;=$T112),$W112,IF(AND($S112&lt;&gt;"",EDATE($D112,Milestones!$AA$63)&gt;=$S112),$V112,$U112)))=Milestones!$AB$63),UPPER(TEXT(EDATE($D112,Milestones!$AA$63),"dd mmm yy"))&amp;" "&amp;Milestones!$AB$63&amp;" "&amp;Milestones!$AC$63&amp;";  ","")&amp;IF(AND(EDATE($D112,Milestones!$AA$64)&lt;=AsOfDate,IF($R112=0,$X112,IF(AND($T112&lt;&gt;"",EDATE($D112,Milestones!$AA$64)&gt;=$T112),$W112,IF(AND($S112&lt;&gt;"",EDATE($D112,Milestones!$AA$64)&gt;=$S112),$V112,$U112)))=Milestones!$AB$64),UPPER(TEXT(EDATE($D112,Milestones!$AA$64),"dd mmm yy"))&amp;" "&amp;Milestones!$AB$64&amp;" "&amp;Milestones!$AC$64&amp;";  ","")&amp;IF(AND(EDATE($D112,Milestones!$AA$65)&lt;=AsOfDate,IF($R112=0,$X112,IF(AND($T112&lt;&gt;"",EDATE($D112,Milestones!$AA$65)&gt;=$T112),$W112,IF(AND($S112&lt;&gt;"",EDATE($D112,Milestones!$AA$65)&gt;=$S112),$V112,$U112)))=Milestones!$AB$65),UPPER(TEXT(EDATE($D112,Milestones!$AA$65),"dd mmm yy"))&amp;" "&amp;Milestones!$AB$65&amp;" "&amp;Milestones!$AC$65&amp;";  ","")&amp;IF(AND(EDATE($D112,Milestones!$AA$66)&lt;=AsOfDate,IF($R112=0,$X112,IF(AND($T112&lt;&gt;"",EDATE($D112,Milestones!$AA$66)&gt;=$T112),$W112,IF(AND($S112&lt;&gt;"",EDATE($D112,Milestones!$AA$66)&gt;=$S112),$V112,$U112)))=Milestones!$AB$66),UPPER(TEXT(EDATE($D112,Milestones!$AA$66),"dd mmm yy"))&amp;" "&amp;Milestones!$AB$66&amp;" "&amp;Milestones!$AC$66&amp;";  ","")&amp;IF(AND(EDATE($D112,Milestones!$AA$67)&lt;=AsOfDate,IF($R112=0,$X112,IF(AND($T112&lt;&gt;"",EDATE($D112,Milestones!$AA$67)&gt;=$T112),$W112,IF(AND($S112&lt;&gt;"",EDATE($D112,Milestones!$AA$67)&gt;=$S112),$V112,$U112)))=Milestones!$AB$67),UPPER(TEXT(EDATE($D112,Milestones!$AA$67),"dd mmm yy"))&amp;" "&amp;Milestones!$AB$67&amp;" "&amp;Milestones!$AC$67&amp;";  ","")&amp;IF(AND(EDATE($D112,Milestones!$AA$68)&lt;=AsOfDate,IF($R112=0,$X112,IF(AND($T112&lt;&gt;"",EDATE($D112,Milestones!$AA$68)&gt;=$T112),$W112,IF(AND($S112&lt;&gt;"",EDATE($D112,Milestones!$AA$68)&gt;=$S112),$V112,$U112)))=Milestones!$AB$68),UPPER(TEXT(EDATE($D112,Milestones!$AA$68),"dd mmm yy"))&amp;" "&amp;Milestones!$AB$68&amp;" "&amp;Milestones!$AC$68&amp;";  ","")&amp;IF(AND(EDATE($D112,Milestones!$AA$69)&lt;=AsOfDate,IF($R112=0,$X112,IF(AND($T112&lt;&gt;"",EDATE($D112,Milestones!$AA$69)&gt;=$T112),$W112,IF(AND($S112&lt;&gt;"",EDATE($D112,Milestones!$AA$69)&gt;=$S112),$V112,$U112)))=Milestones!$AB$69),UPPER(TEXT(EDATE($D112,Milestones!$AA$69),"dd mmm yy"))&amp;" "&amp;Milestones!$AB$69&amp;" "&amp;Milestones!$AC$69&amp;";  ","")&amp;IF(AND(EDATE($D112,Milestones!$AA$70)&lt;=AsOfDate,IF($R112=0,$X112,IF(AND($T112&lt;&gt;"",EDATE($D112,Milestones!$AA$70)&gt;=$T112),$W112,IF(AND($S112&lt;&gt;"",EDATE($D112,Milestones!$AA$70)&gt;=$S112),$V112,$U112)))=Milestones!$AB$70),UPPER(TEXT(EDATE($D112,Milestones!$AA$70),"dd mmm yy"))&amp;" "&amp;Milestones!$AB$70&amp;" "&amp;Milestones!$AC$70&amp;";  ","")&amp;IF(AND(EDATE($D112,Milestones!$AA$71)&lt;=AsOfDate,IF($R112=0,$X112,IF(AND($T112&lt;&gt;"",EDATE($D112,Milestones!$AA$71)&gt;=$T112),$W112,IF(AND($S112&lt;&gt;"",EDATE($D112,Milestones!$AA$71)&gt;=$S112),$V112,$U112)))=Milestones!$AB$71),UPPER(TEXT(EDATE($D112,Milestones!$AA$71),"dd mmm yy"))&amp;" "&amp;Milestones!$AB$71&amp;" "&amp;Milestones!$AC$71&amp;";  ","")&amp;IF(AND(EDATE($D112,Milestones!$AA$72)&lt;=AsOfDate,IF($R112=0,$X112,IF(AND($T112&lt;&gt;"",EDATE($D112,Milestones!$AA$72)&gt;=$T112),$W112,IF(AND($S112&lt;&gt;"",EDATE($D112,Milestones!$AA$72)&gt;=$S112),$V112,$U112)))=Milestones!$AB$72),UPPER(TEXT(EDATE($D112,Milestones!$AA$72),"dd mmm yy"))&amp;" "&amp;Milestones!$AB$72&amp;" "&amp;Milestones!$AC$72&amp;";  ","")&amp;IF(AND(EDATE($D112,Milestones!$AA$73)&lt;=AsOfDate,IF($R112=0,$X112,IF(AND($T112&lt;&gt;"",EDATE($D112,Milestones!$AA$73)&gt;=$T112),$W112,IF(AND($S112&lt;&gt;"",EDATE($D112,Milestones!$AA$73)&gt;=$S112),$V112,$U112)))=Milestones!$AB$73),UPPER(TEXT(EDATE($D112,Milestones!$AA$73),"dd mmm yy"))&amp;" "&amp;Milestones!$AB$73&amp;" "&amp;Milestones!$AC$73&amp;";  ","")&amp;IF(AND(EDATE($D112,Milestones!$AA$74)&lt;=AsOfDate,IF($R112=0,$X112,IF(AND($T112&lt;&gt;"",EDATE($D112,Milestones!$AA$74)&gt;=$T112),$W112,IF(AND($S112&lt;&gt;"",EDATE($D112,Milestones!$AA$74)&gt;=$S112),$V112,$U112)))=Milestones!$AB$74),UPPER(TEXT(EDATE($D112,Milestones!$AA$74),"dd mmm yy"))&amp;" "&amp;Milestones!$AB$74&amp;" "&amp;Milestones!$AC$74&amp;";  ","")&amp;IF(AND(EDATE($D112,Milestones!$AA$75)&lt;=AsOfDate,IF($R112=0,$X112,IF(AND($T112&lt;&gt;"",EDATE($D112,Milestones!$AA$75)&gt;=$T112),$W112,IF(AND($S112&lt;&gt;"",EDATE($D112,Milestones!$AA$75)&gt;=$S112),$V112,$U112)))=Milestones!$AB$75),UPPER(TEXT(EDATE($D112,Milestones!$AA$75),"dd mmm yy"))&amp;" "&amp;Milestones!$AB$75&amp;" "&amp;Milestones!$AC$75&amp;";  ","")&amp;IF(AND(EDATE($D112,Milestones!$AA$76)&lt;=AsOfDate,IF($R112=0,$X112,IF(AND($T112&lt;&gt;"",EDATE($D112,Milestones!$AA$76)&gt;=$T112),$W112,IF(AND($S112&lt;&gt;"",EDATE($D112,Milestones!$AA$76)&gt;=$S112),$V112,$U112)))=Milestones!$AB$76),UPPER(TEXT(EDATE($D112,Milestones!$AA$76),"dd mmm yy"))&amp;" "&amp;Milestones!$AB$76&amp;" "&amp;Milestones!$AC$76&amp;";  ","")&amp;IF(AND(EDATE($D112,Milestones!$AA$77)&lt;=AsOfDate,IF($R112=0,$X112,IF(AND($T112&lt;&gt;"",EDATE($D112,Milestones!$AA$77)&gt;=$T112),$W112,IF(AND($S112&lt;&gt;"",EDATE($D112,Milestones!$AA$77)&gt;=$S112),$V112,$U112)))=Milestones!$AB$77),UPPER(TEXT(EDATE($D112,Milestones!$AA$77),"dd mmm yy"))&amp;" "&amp;Milestones!$AB$77&amp;" "&amp;Milestones!$AC$77&amp;";  ","")&amp;IF(AND(EDATE($D112,Milestones!$AA$78)&lt;=AsOfDate,IF($R112=0,$X112,IF(AND($T112&lt;&gt;"",EDATE($D112,Milestones!$AA$78)&gt;=$T112),$W112,IF(AND($S112&lt;&gt;"",EDATE($D112,Milestones!$AA$78)&gt;=$S112),$V112,$U112)))=Milestones!$AB$78),UPPER(TEXT(EDATE($D112,Milestones!$AA$78),"dd mmm yy"))&amp;" "&amp;Milestones!$AB$78&amp;" "&amp;Milestones!$AC$78&amp;";  ","")&amp;IF(AND(EDATE($D112,Milestones!$AA$79)&lt;=AsOfDate,IF($R112=0,$X112,IF(AND($T112&lt;&gt;"",EDATE($D112,Milestones!$AA$79)&gt;=$T112),$W112,IF(AND($S112&lt;&gt;"",EDATE($D112,Milestones!$AA$79)&gt;=$S112),$V112,$U112)))=Milestones!$AB$79),UPPER(TEXT(EDATE($D112,Milestones!$AA$79),"dd mmm yy"))&amp;" "&amp;Milestones!$AB$79&amp;" "&amp;Milestones!$AC$79&amp;";  ",""))</f>
        <v/>
      </c>
      <c r="L112" s="0" t="str">
        <f aca="false">IF(OR($A112="",$D112=""),"",IF(AND(EDATE($D112,Milestones!$AA$80)&lt;=AsOfDate,IF($R112=0,$X112,IF(AND($T112&lt;&gt;"",EDATE($D112,Milestones!$AA$80)&gt;=$T112),$W112,IF(AND($S112&lt;&gt;"",EDATE($D112,Milestones!$AA$80)&gt;=$S112),$V112,$U112)))=Milestones!$AB$80),UPPER(TEXT(EDATE($D112,Milestones!$AA$80),"dd mmm yy"))&amp;" "&amp;Milestones!$AB$80&amp;" "&amp;Milestones!$AC$80&amp;";  ","")&amp;IF(AND(EDATE($D112,Milestones!$AA$81)&lt;=AsOfDate,IF($R112=0,$X112,IF(AND($T112&lt;&gt;"",EDATE($D112,Milestones!$AA$81)&gt;=$T112),$W112,IF(AND($S112&lt;&gt;"",EDATE($D112,Milestones!$AA$81)&gt;=$S112),$V112,$U112)))=Milestones!$AB$81),UPPER(TEXT(EDATE($D112,Milestones!$AA$81),"dd mmm yy"))&amp;" "&amp;Milestones!$AB$81&amp;" "&amp;Milestones!$AC$81&amp;";  ","")&amp;IF(AND(EDATE($D112,Milestones!$AA$82)&lt;=AsOfDate,IF($R112=0,$X112,IF(AND($T112&lt;&gt;"",EDATE($D112,Milestones!$AA$82)&gt;=$T112),$W112,IF(AND($S112&lt;&gt;"",EDATE($D112,Milestones!$AA$82)&gt;=$S112),$V112,$U112)))=Milestones!$AB$82),UPPER(TEXT(EDATE($D112,Milestones!$AA$82),"dd mmm yy"))&amp;" "&amp;Milestones!$AB$82&amp;" "&amp;Milestones!$AC$82&amp;";  ","")&amp;IF(AND(EDATE($D112,Milestones!$AA$83)&lt;=AsOfDate,IF($R112=0,$X112,IF(AND($T112&lt;&gt;"",EDATE($D112,Milestones!$AA$83)&gt;=$T112),$W112,IF(AND($S112&lt;&gt;"",EDATE($D112,Milestones!$AA$83)&gt;=$S112),$V112,$U112)))=Milestones!$AB$83),UPPER(TEXT(EDATE($D112,Milestones!$AA$83),"dd mmm yy"))&amp;" "&amp;Milestones!$AB$83&amp;" "&amp;Milestones!$AC$83&amp;";  ","")&amp;IF(AND(EDATE($D112,Milestones!$AA$84)&lt;=AsOfDate,IF($R112=0,$X112,IF(AND($T112&lt;&gt;"",EDATE($D112,Milestones!$AA$84)&gt;=$T112),$W112,IF(AND($S112&lt;&gt;"",EDATE($D112,Milestones!$AA$84)&gt;=$S112),$V112,$U112)))=Milestones!$AB$84),UPPER(TEXT(EDATE($D112,Milestones!$AA$84),"dd mmm yy"))&amp;" "&amp;Milestones!$AB$84&amp;" "&amp;Milestones!$AC$84&amp;";  ","")&amp;IF(AND(EDATE($D112,Milestones!$AA$85)&lt;=AsOfDate,IF($R112=0,$X112,IF(AND($T112&lt;&gt;"",EDATE($D112,Milestones!$AA$85)&gt;=$T112),$W112,IF(AND($S112&lt;&gt;"",EDATE($D112,Milestones!$AA$85)&gt;=$S112),$V112,$U112)))=Milestones!$AB$85),UPPER(TEXT(EDATE($D112,Milestones!$AA$85),"dd mmm yy"))&amp;" "&amp;Milestones!$AB$85&amp;" "&amp;Milestones!$AC$85&amp;";  ","")&amp;IF(AND(EDATE($D112,Milestones!$AA$86)&lt;=AsOfDate,IF($R112=0,$X112,IF(AND($T112&lt;&gt;"",EDATE($D112,Milestones!$AA$86)&gt;=$T112),$W112,IF(AND($S112&lt;&gt;"",EDATE($D112,Milestones!$AA$86)&gt;=$S112),$V112,$U112)))=Milestones!$AB$86),UPPER(TEXT(EDATE($D112,Milestones!$AA$86),"dd mmm yy"))&amp;" "&amp;Milestones!$AB$86&amp;" "&amp;Milestones!$AC$86&amp;";  ","")&amp;IF(AND(EDATE($D112,Milestones!$AA$87)&lt;=AsOfDate,IF($R112=0,$X112,IF(AND($T112&lt;&gt;"",EDATE($D112,Milestones!$AA$87)&gt;=$T112),$W112,IF(AND($S112&lt;&gt;"",EDATE($D112,Milestones!$AA$87)&gt;=$S112),$V112,$U112)))=Milestones!$AB$87),UPPER(TEXT(EDATE($D112,Milestones!$AA$87),"dd mmm yy"))&amp;" "&amp;Milestones!$AB$87&amp;" "&amp;Milestones!$AC$87&amp;";  ","")&amp;IF(AND(EDATE($D112,Milestones!$AA$88)&lt;=AsOfDate,IF($R112=0,$X112,IF(AND($T112&lt;&gt;"",EDATE($D112,Milestones!$AA$88)&gt;=$T112),$W112,IF(AND($S112&lt;&gt;"",EDATE($D112,Milestones!$AA$88)&gt;=$S112),$V112,$U112)))=Milestones!$AB$88),UPPER(TEXT(EDATE($D112,Milestones!$AA$88),"dd mmm yy"))&amp;" "&amp;Milestones!$AB$88&amp;" "&amp;Milestones!$AC$88&amp;";  ","")&amp;IF(AND(EDATE($D112,Milestones!$AA$89)&lt;=AsOfDate,IF($R112=0,$X112,IF(AND($T112&lt;&gt;"",EDATE($D112,Milestones!$AA$89)&gt;=$T112),$W112,IF(AND($S112&lt;&gt;"",EDATE($D112,Milestones!$AA$89)&gt;=$S112),$V112,$U112)))=Milestones!$AB$89),UPPER(TEXT(EDATE($D112,Milestones!$AA$89),"dd mmm yy"))&amp;" "&amp;Milestones!$AB$89&amp;" "&amp;Milestones!$AC$89&amp;";  ","")&amp;IF(AND(EDATE($D112,Milestones!$AA$90)&lt;=AsOfDate,IF($R112=0,$X112,IF(AND($T112&lt;&gt;"",EDATE($D112,Milestones!$AA$90)&gt;=$T112),$W112,IF(AND($S112&lt;&gt;"",EDATE($D112,Milestones!$AA$90)&gt;=$S112),$V112,$U112)))=Milestones!$AB$90),UPPER(TEXT(EDATE($D112,Milestones!$AA$90),"dd mmm yy"))&amp;" "&amp;Milestones!$AB$90&amp;" "&amp;Milestones!$AC$90&amp;";  ","")&amp;IF(AND(EDATE($D112,Milestones!$AA$91)&lt;=AsOfDate,IF($R112=0,$X112,IF(AND($T112&lt;&gt;"",EDATE($D112,Milestones!$AA$91)&gt;=$T112),$W112,IF(AND($S112&lt;&gt;"",EDATE($D112,Milestones!$AA$91)&gt;=$S112),$V112,$U112)))=Milestones!$AB$91),UPPER(TEXT(EDATE($D112,Milestones!$AA$91),"dd mmm yy"))&amp;" "&amp;Milestones!$AB$91&amp;" "&amp;Milestones!$AC$91&amp;";  ","")&amp;IF(AND(EDATE($D112,Milestones!$AA$92)&lt;=AsOfDate,IF($R112=0,$X112,IF(AND($T112&lt;&gt;"",EDATE($D112,Milestones!$AA$92)&gt;=$T112),$W112,IF(AND($S112&lt;&gt;"",EDATE($D112,Milestones!$AA$92)&gt;=$S112),$V112,$U112)))=Milestones!$AB$92),UPPER(TEXT(EDATE($D112,Milestones!$AA$92),"dd mmm yy"))&amp;" "&amp;Milestones!$AB$92&amp;" "&amp;Milestones!$AC$92&amp;";  ","")&amp;IF(AND(EDATE($D112,Milestones!$AA$93)&lt;=AsOfDate,IF($R112=0,$X112,IF(AND($T112&lt;&gt;"",EDATE($D112,Milestones!$AA$93)&gt;=$T112),$W112,IF(AND($S112&lt;&gt;"",EDATE($D112,Milestones!$AA$93)&gt;=$S112),$V112,$U112)))=Milestones!$AB$93),UPPER(TEXT(EDATE($D112,Milestones!$AA$93),"dd mmm yy"))&amp;" "&amp;Milestones!$AB$93&amp;" "&amp;Milestones!$AC$93&amp;";  ","")&amp;IF(AND(EDATE($D112,Milestones!$AA$94)&lt;=AsOfDate,IF($R112=0,$X112,IF(AND($T112&lt;&gt;"",EDATE($D112,Milestones!$AA$94)&gt;=$T112),$W112,IF(AND($S112&lt;&gt;"",EDATE($D112,Milestones!$AA$94)&gt;=$S112),$V112,$U112)))=Milestones!$AB$94),UPPER(TEXT(EDATE($D112,Milestones!$AA$94),"dd mmm yy"))&amp;" "&amp;Milestones!$AB$94&amp;" "&amp;Milestones!$AC$94&amp;";  ","")&amp;IF(AND(EDATE($D112,Milestones!$AA$95)&lt;=AsOfDate,IF($R112=0,$X112,IF(AND($T112&lt;&gt;"",EDATE($D112,Milestones!$AA$95)&gt;=$T112),$W112,IF(AND($S112&lt;&gt;"",EDATE($D112,Milestones!$AA$95)&gt;=$S112),$V112,$U112)))=Milestones!$AB$95),UPPER(TEXT(EDATE($D112,Milestones!$AA$95),"dd mmm yy"))&amp;" "&amp;Milestones!$AB$95&amp;" "&amp;Milestones!$AC$95&amp;";  ","")&amp;IF(AND(EDATE($D112,Milestones!$AA$96)&lt;=AsOfDate,IF($R112=0,$X112,IF(AND($T112&lt;&gt;"",EDATE($D112,Milestones!$AA$96)&gt;=$T112),$W112,IF(AND($S112&lt;&gt;"",EDATE($D112,Milestones!$AA$96)&gt;=$S112),$V112,$U112)))=Milestones!$AB$96),UPPER(TEXT(EDATE($D112,Milestones!$AA$96),"dd mmm yy"))&amp;" "&amp;Milestones!$AB$96&amp;" "&amp;Milestones!$AC$96&amp;";  ","")&amp;IF(AND(EDATE($D112,Milestones!$AA$97)&lt;=AsOfDate,IF($R112=0,$X112,IF(AND($T112&lt;&gt;"",EDATE($D112,Milestones!$AA$97)&gt;=$T112),$W112,IF(AND($S112&lt;&gt;"",EDATE($D112,Milestones!$AA$97)&gt;=$S112),$V112,$U112)))=Milestones!$AB$97),UPPER(TEXT(EDATE($D112,Milestones!$AA$97),"dd mmm yy"))&amp;" "&amp;Milestones!$AB$97&amp;" "&amp;Milestones!$AC$97&amp;";  ","")&amp;IF(AND(EDATE($D112,Milestones!$AA$98)&lt;=AsOfDate,IF($R112=0,$X112,IF(AND($T112&lt;&gt;"",EDATE($D112,Milestones!$AA$98)&gt;=$T112),$W112,IF(AND($S112&lt;&gt;"",EDATE($D112,Milestones!$AA$98)&gt;=$S112),$V112,$U112)))=Milestones!$AB$98),UPPER(TEXT(EDATE($D112,Milestones!$AA$98),"dd mmm yy"))&amp;" "&amp;Milestones!$AB$98&amp;" "&amp;Milestones!$AC$98&amp;";  ","")&amp;IF(AND(EDATE($D112,Milestones!$AA$99)&lt;=AsOfDate,IF($R112=0,$X112,IF(AND($T112&lt;&gt;"",EDATE($D112,Milestones!$AA$99)&gt;=$T112),$W112,IF(AND($S112&lt;&gt;"",EDATE($D112,Milestones!$AA$99)&gt;=$S112),$V112,$U112)))=Milestones!$AB$99),UPPER(TEXT(EDATE($D112,Milestones!$AA$99),"dd mmm yy"))&amp;" "&amp;Milestones!$AB$99&amp;" "&amp;Milestones!$AC$99&amp;";  ",""))</f>
        <v/>
      </c>
      <c r="M112" s="0" t="str">
        <f aca="false">IF(OR($A112="",$D112=""),"",IF(AND(EDATE($D112,Milestones!$AA$100)&lt;=AsOfDate,IF($R112=0,$X112,IF(AND($T112&lt;&gt;"",EDATE($D112,Milestones!$AA$100)&gt;=$T112),$W112,IF(AND($S112&lt;&gt;"",EDATE($D112,Milestones!$AA$100)&gt;=$S112),$V112,$U112)))=Milestones!$AB$100),UPPER(TEXT(EDATE($D112,Milestones!$AA$100),"dd mmm yy"))&amp;" "&amp;Milestones!$AB$100&amp;" "&amp;Milestones!$AC$100&amp;";  ","")&amp;IF(AND(EDATE($D112,Milestones!$AA$101)&lt;=AsOfDate,IF($R112=0,$X112,IF(AND($T112&lt;&gt;"",EDATE($D112,Milestones!$AA$101)&gt;=$T112),$W112,IF(AND($S112&lt;&gt;"",EDATE($D112,Milestones!$AA$101)&gt;=$S112),$V112,$U112)))=Milestones!$AB$101),UPPER(TEXT(EDATE($D112,Milestones!$AA$101),"dd mmm yy"))&amp;" "&amp;Milestones!$AB$101&amp;" "&amp;Milestones!$AC$101&amp;";  ","")&amp;IF(AND(EDATE($D112,Milestones!$AA$102)&lt;=AsOfDate,IF($R112=0,$X112,IF(AND($T112&lt;&gt;"",EDATE($D112,Milestones!$AA$102)&gt;=$T112),$W112,IF(AND($S112&lt;&gt;"",EDATE($D112,Milestones!$AA$102)&gt;=$S112),$V112,$U112)))=Milestones!$AB$102),UPPER(TEXT(EDATE($D112,Milestones!$AA$102),"dd mmm yy"))&amp;" "&amp;Milestones!$AB$102&amp;" "&amp;Milestones!$AC$102&amp;";  ","")&amp;IF(AND(EDATE($D112,Milestones!$AA$103)&lt;=AsOfDate,IF($R112=0,$X112,IF(AND($T112&lt;&gt;"",EDATE($D112,Milestones!$AA$103)&gt;=$T112),$W112,IF(AND($S112&lt;&gt;"",EDATE($D112,Milestones!$AA$103)&gt;=$S112),$V112,$U112)))=Milestones!$AB$103),UPPER(TEXT(EDATE($D112,Milestones!$AA$103),"dd mmm yy"))&amp;" "&amp;Milestones!$AB$103&amp;" "&amp;Milestones!$AC$103&amp;";  ","")&amp;IF(AND(EDATE($D112,Milestones!$AA$104)&lt;=AsOfDate,IF($R112=0,$X112,IF(AND($T112&lt;&gt;"",EDATE($D112,Milestones!$AA$104)&gt;=$T112),$W112,IF(AND($S112&lt;&gt;"",EDATE($D112,Milestones!$AA$104)&gt;=$S112),$V112,$U112)))=Milestones!$AB$104),UPPER(TEXT(EDATE($D112,Milestones!$AA$104),"dd mmm yy"))&amp;" "&amp;Milestones!$AB$104&amp;" "&amp;Milestones!$AC$104&amp;";  ","")&amp;IF(AND(EDATE($D112,Milestones!$AA$105)&lt;=AsOfDate,IF($R112=0,$X112,IF(AND($T112&lt;&gt;"",EDATE($D112,Milestones!$AA$105)&gt;=$T112),$W112,IF(AND($S112&lt;&gt;"",EDATE($D112,Milestones!$AA$105)&gt;=$S112),$V112,$U112)))=Milestones!$AB$105),UPPER(TEXT(EDATE($D112,Milestones!$AA$105),"dd mmm yy"))&amp;" "&amp;Milestones!$AB$105&amp;" "&amp;Milestones!$AC$105&amp;";  ","")&amp;IF(AND(EDATE($D112,Milestones!$AA$106)&lt;=AsOfDate,IF($R112=0,$X112,IF(AND($T112&lt;&gt;"",EDATE($D112,Milestones!$AA$106)&gt;=$T112),$W112,IF(AND($S112&lt;&gt;"",EDATE($D112,Milestones!$AA$106)&gt;=$S112),$V112,$U112)))=Milestones!$AB$106),UPPER(TEXT(EDATE($D112,Milestones!$AA$106),"dd mmm yy"))&amp;" "&amp;Milestones!$AB$106&amp;" "&amp;Milestones!$AC$106&amp;";  ","")&amp;IF(AND(EDATE($D112,Milestones!$AA$107)&lt;=AsOfDate,IF($R112=0,$X112,IF(AND($T112&lt;&gt;"",EDATE($D112,Milestones!$AA$107)&gt;=$T112),$W112,IF(AND($S112&lt;&gt;"",EDATE($D112,Milestones!$AA$107)&gt;=$S112),$V112,$U112)))=Milestones!$AB$107),UPPER(TEXT(EDATE($D112,Milestones!$AA$107),"dd mmm yy"))&amp;" "&amp;Milestones!$AB$107&amp;" "&amp;Milestones!$AC$107&amp;";  ","")&amp;IF(AND(EDATE($D112,Milestones!$AA$108)&lt;=AsOfDate,IF($R112=0,$X112,IF(AND($T112&lt;&gt;"",EDATE($D112,Milestones!$AA$108)&gt;=$T112),$W112,IF(AND($S112&lt;&gt;"",EDATE($D112,Milestones!$AA$108)&gt;=$S112),$V112,$U112)))=Milestones!$AB$108),UPPER(TEXT(EDATE($D112,Milestones!$AA$108),"dd mmm yy"))&amp;" "&amp;Milestones!$AB$108&amp;" "&amp;Milestones!$AC$108&amp;";  ","")&amp;IF(AND(EDATE($D112,Milestones!$AA$109)&lt;=AsOfDate,IF($R112=0,$X112,IF(AND($T112&lt;&gt;"",EDATE($D112,Milestones!$AA$109)&gt;=$T112),$W112,IF(AND($S112&lt;&gt;"",EDATE($D112,Milestones!$AA$109)&gt;=$S112),$V112,$U112)))=Milestones!$AB$109),UPPER(TEXT(EDATE($D112,Milestones!$AA$109),"dd mmm yy"))&amp;" "&amp;Milestones!$AB$109&amp;" "&amp;Milestones!$AC$109&amp;";  ","")&amp;IF(AND(EDATE($D112,Milestones!$AA$110)&lt;=AsOfDate,IF($R112=0,$X112,IF(AND($T112&lt;&gt;"",EDATE($D112,Milestones!$AA$110)&gt;=$T112),$W112,IF(AND($S112&lt;&gt;"",EDATE($D112,Milestones!$AA$110)&gt;=$S112),$V112,$U112)))=Milestones!$AB$110),UPPER(TEXT(EDATE($D112,Milestones!$AA$110),"dd mmm yy"))&amp;" "&amp;Milestones!$AB$110&amp;" "&amp;Milestones!$AC$110&amp;";  ","")&amp;IF(AND(EDATE($D112,Milestones!$AA$111)&lt;=AsOfDate,IF($R112=0,$X112,IF(AND($T112&lt;&gt;"",EDATE($D112,Milestones!$AA$111)&gt;=$T112),$W112,IF(AND($S112&lt;&gt;"",EDATE($D112,Milestones!$AA$111)&gt;=$S112),$V112,$U112)))=Milestones!$AB$111),UPPER(TEXT(EDATE($D112,Milestones!$AA$111),"dd mmm yy"))&amp;" "&amp;Milestones!$AB$111&amp;" "&amp;Milestones!$AC$111&amp;";  ","")&amp;IF(AND(EDATE($D112,Milestones!$AA$112)&lt;=AsOfDate,IF($R112=0,$X112,IF(AND($T112&lt;&gt;"",EDATE($D112,Milestones!$AA$112)&gt;=$T112),$W112,IF(AND($S112&lt;&gt;"",EDATE($D112,Milestones!$AA$112)&gt;=$S112),$V112,$U112)))=Milestones!$AB$112),UPPER(TEXT(EDATE($D112,Milestones!$AA$112),"dd mmm yy"))&amp;" "&amp;Milestones!$AB$112&amp;" "&amp;Milestones!$AC$112&amp;";  ","")&amp;IF(AND(EDATE($D112,Milestones!$AA$113)&lt;=AsOfDate,IF($R112=0,$X112,IF(AND($T112&lt;&gt;"",EDATE($D112,Milestones!$AA$113)&gt;=$T112),$W112,IF(AND($S112&lt;&gt;"",EDATE($D112,Milestones!$AA$113)&gt;=$S112),$V112,$U112)))=Milestones!$AB$113),UPPER(TEXT(EDATE($D112,Milestones!$AA$113),"dd mmm yy"))&amp;" "&amp;Milestones!$AB$113&amp;" "&amp;Milestones!$AC$113&amp;";  ","")&amp;IF(AND(EDATE($D112,Milestones!$AA$114)&lt;=AsOfDate,IF($R112=0,$X112,IF(AND($T112&lt;&gt;"",EDATE($D112,Milestones!$AA$114)&gt;=$T112),$W112,IF(AND($S112&lt;&gt;"",EDATE($D112,Milestones!$AA$114)&gt;=$S112),$V112,$U112)))=Milestones!$AB$114),UPPER(TEXT(EDATE($D112,Milestones!$AA$114),"dd mmm yy"))&amp;" "&amp;Milestones!$AB$114&amp;" "&amp;Milestones!$AC$114&amp;";  ","")&amp;IF(AND(EDATE($D112,Milestones!$AA$115)&lt;=AsOfDate,IF($R112=0,$X112,IF(AND($T112&lt;&gt;"",EDATE($D112,Milestones!$AA$115)&gt;=$T112),$W112,IF(AND($S112&lt;&gt;"",EDATE($D112,Milestones!$AA$115)&gt;=$S112),$V112,$U112)))=Milestones!$AB$115),UPPER(TEXT(EDATE($D112,Milestones!$AA$115),"dd mmm yy"))&amp;" "&amp;Milestones!$AB$115&amp;" "&amp;Milestones!$AC$115&amp;";  ","")&amp;IF(AND(EDATE($D112,Milestones!$AA$116)&lt;=AsOfDate,IF($R112=0,$X112,IF(AND($T112&lt;&gt;"",EDATE($D112,Milestones!$AA$116)&gt;=$T112),$W112,IF(AND($S112&lt;&gt;"",EDATE($D112,Milestones!$AA$116)&gt;=$S112),$V112,$U112)))=Milestones!$AB$116),UPPER(TEXT(EDATE($D112,Milestones!$AA$116),"dd mmm yy"))&amp;" "&amp;Milestones!$AB$116&amp;" "&amp;Milestones!$AC$116&amp;";  ","")&amp;IF(AND(EDATE($D112,Milestones!$AA$117)&lt;=AsOfDate,IF($R112=0,$X112,IF(AND($T112&lt;&gt;"",EDATE($D112,Milestones!$AA$117)&gt;=$T112),$W112,IF(AND($S112&lt;&gt;"",EDATE($D112,Milestones!$AA$117)&gt;=$S112),$V112,$U112)))=Milestones!$AB$117),UPPER(TEXT(EDATE($D112,Milestones!$AA$117),"dd mmm yy"))&amp;" "&amp;Milestones!$AB$117&amp;" "&amp;Milestones!$AC$117&amp;";  ","")&amp;IF(AND(EDATE($D112,Milestones!$AA$118)&lt;=AsOfDate,IF($R112=0,$X112,IF(AND($T112&lt;&gt;"",EDATE($D112,Milestones!$AA$118)&gt;=$T112),$W112,IF(AND($S112&lt;&gt;"",EDATE($D112,Milestones!$AA$118)&gt;=$S112),$V112,$U112)))=Milestones!$AB$118),UPPER(TEXT(EDATE($D112,Milestones!$AA$118),"dd mmm yy"))&amp;" "&amp;Milestones!$AB$118&amp;" "&amp;Milestones!$AC$118&amp;";  ","")&amp;IF(AND(EDATE($D112,Milestones!$AA$119)&lt;=AsOfDate,IF($R112=0,$X112,IF(AND($T112&lt;&gt;"",EDATE($D112,Milestones!$AA$119)&gt;=$T112),$W112,IF(AND($S112&lt;&gt;"",EDATE($D112,Milestones!$AA$119)&gt;=$S112),$V112,$U112)))=Milestones!$AB$119),UPPER(TEXT(EDATE($D112,Milestones!$AA$119),"dd mmm yy"))&amp;" "&amp;Milestones!$AB$119&amp;" "&amp;Milestones!$AC$119&amp;";  ",""))</f>
        <v/>
      </c>
      <c r="N112" s="0" t="str">
        <f aca="false">IF(OR($A112="",$D112=""),"",IF(AND(EDATE($D112,Milestones!$AA$120)&lt;=AsOfDate,IF($R112=0,$X112,IF(AND($T112&lt;&gt;"",EDATE($D112,Milestones!$AA$120)&gt;=$T112),$W112,IF(AND($S112&lt;&gt;"",EDATE($D112,Milestones!$AA$120)&gt;=$S112),$V112,$U112)))=Milestones!$AB$120),UPPER(TEXT(EDATE($D112,Milestones!$AA$120),"dd mmm yy"))&amp;" "&amp;Milestones!$AB$120&amp;" "&amp;Milestones!$AC$120&amp;";  ","")&amp;IF(AND(EDATE($D112,Milestones!$AA$121)&lt;=AsOfDate,IF($R112=0,$X112,IF(AND($T112&lt;&gt;"",EDATE($D112,Milestones!$AA$121)&gt;=$T112),$W112,IF(AND($S112&lt;&gt;"",EDATE($D112,Milestones!$AA$121)&gt;=$S112),$V112,$U112)))=Milestones!$AB$121),UPPER(TEXT(EDATE($D112,Milestones!$AA$121),"dd mmm yy"))&amp;" "&amp;Milestones!$AB$121&amp;" "&amp;Milestones!$AC$121&amp;";  ","")&amp;IF(AND(EDATE($D112,Milestones!$AA$122)&lt;=AsOfDate,IF($R112=0,$X112,IF(AND($T112&lt;&gt;"",EDATE($D112,Milestones!$AA$122)&gt;=$T112),$W112,IF(AND($S112&lt;&gt;"",EDATE($D112,Milestones!$AA$122)&gt;=$S112),$V112,$U112)))=Milestones!$AB$122),UPPER(TEXT(EDATE($D112,Milestones!$AA$122),"dd mmm yy"))&amp;" "&amp;Milestones!$AB$122&amp;" "&amp;Milestones!$AC$122&amp;";  ","")&amp;IF(AND(EDATE($D112,Milestones!$AA$123)&lt;=AsOfDate,IF($R112=0,$X112,IF(AND($T112&lt;&gt;"",EDATE($D112,Milestones!$AA$123)&gt;=$T112),$W112,IF(AND($S112&lt;&gt;"",EDATE($D112,Milestones!$AA$123)&gt;=$S112),$V112,$U112)))=Milestones!$AB$123),UPPER(TEXT(EDATE($D112,Milestones!$AA$123),"dd mmm yy"))&amp;" "&amp;Milestones!$AB$123&amp;" "&amp;Milestones!$AC$123&amp;";  ","")&amp;IF(AND(EDATE($D112,Milestones!$AA$124)&lt;=AsOfDate,IF($R112=0,$X112,IF(AND($T112&lt;&gt;"",EDATE($D112,Milestones!$AA$124)&gt;=$T112),$W112,IF(AND($S112&lt;&gt;"",EDATE($D112,Milestones!$AA$124)&gt;=$S112),$V112,$U112)))=Milestones!$AB$124),UPPER(TEXT(EDATE($D112,Milestones!$AA$124),"dd mmm yy"))&amp;" "&amp;Milestones!$AB$124&amp;" "&amp;Milestones!$AC$124&amp;";  ","")&amp;IF(AND(EDATE($D112,Milestones!$AA$125)&lt;=AsOfDate,IF($R112=0,$X112,IF(AND($T112&lt;&gt;"",EDATE($D112,Milestones!$AA$125)&gt;=$T112),$W112,IF(AND($S112&lt;&gt;"",EDATE($D112,Milestones!$AA$125)&gt;=$S112),$V112,$U112)))=Milestones!$AB$125),UPPER(TEXT(EDATE($D112,Milestones!$AA$125),"dd mmm yy"))&amp;" "&amp;Milestones!$AB$125&amp;" "&amp;Milestones!$AC$125&amp;";  ","")&amp;IF(AND(EDATE($D112,Milestones!$AA$126)&lt;=AsOfDate,IF($R112=0,$X112,IF(AND($T112&lt;&gt;"",EDATE($D112,Milestones!$AA$126)&gt;=$T112),$W112,IF(AND($S112&lt;&gt;"",EDATE($D112,Milestones!$AA$126)&gt;=$S112),$V112,$U112)))=Milestones!$AB$126),UPPER(TEXT(EDATE($D112,Milestones!$AA$126),"dd mmm yy"))&amp;" "&amp;Milestones!$AB$126&amp;" "&amp;Milestones!$AC$126&amp;";  ","")&amp;IF(AND(EDATE($D112,Milestones!$AA$127)&lt;=AsOfDate,IF($R112=0,$X112,IF(AND($T112&lt;&gt;"",EDATE($D112,Milestones!$AA$127)&gt;=$T112),$W112,IF(AND($S112&lt;&gt;"",EDATE($D112,Milestones!$AA$127)&gt;=$S112),$V112,$U112)))=Milestones!$AB$127),UPPER(TEXT(EDATE($D112,Milestones!$AA$127),"dd mmm yy"))&amp;" "&amp;Milestones!$AB$127&amp;" "&amp;Milestones!$AC$127&amp;";  ","")&amp;IF(AND(EDATE($D112,Milestones!$AA$128)&lt;=AsOfDate,IF($R112=0,$X112,IF(AND($T112&lt;&gt;"",EDATE($D112,Milestones!$AA$128)&gt;=$T112),$W112,IF(AND($S112&lt;&gt;"",EDATE($D112,Milestones!$AA$128)&gt;=$S112),$V112,$U112)))=Milestones!$AB$128),UPPER(TEXT(EDATE($D112,Milestones!$AA$128),"dd mmm yy"))&amp;" "&amp;Milestones!$AB$128&amp;" "&amp;Milestones!$AC$128&amp;";  ","")&amp;IF(AND(EDATE($D112,Milestones!$AA$129)&lt;=AsOfDate,IF($R112=0,$X112,IF(AND($T112&lt;&gt;"",EDATE($D112,Milestones!$AA$129)&gt;=$T112),$W112,IF(AND($S112&lt;&gt;"",EDATE($D112,Milestones!$AA$129)&gt;=$S112),$V112,$U112)))=Milestones!$AB$129),UPPER(TEXT(EDATE($D112,Milestones!$AA$129),"dd mmm yy"))&amp;" "&amp;Milestones!$AB$129&amp;" "&amp;Milestones!$AC$129&amp;";  ","")&amp;IF(AND(EDATE($D112,Milestones!$AA$130)&lt;=AsOfDate,IF($R112=0,$X112,IF(AND($T112&lt;&gt;"",EDATE($D112,Milestones!$AA$130)&gt;=$T112),$W112,IF(AND($S112&lt;&gt;"",EDATE($D112,Milestones!$AA$130)&gt;=$S112),$V112,$U112)))=Milestones!$AB$130),UPPER(TEXT(EDATE($D112,Milestones!$AA$130),"dd mmm yy"))&amp;" "&amp;Milestones!$AB$130&amp;" "&amp;Milestones!$AC$130&amp;";  ","")&amp;IF(AND(EDATE($D112,Milestones!$AA$131)&lt;=AsOfDate,IF($R112=0,$X112,IF(AND($T112&lt;&gt;"",EDATE($D112,Milestones!$AA$131)&gt;=$T112),$W112,IF(AND($S112&lt;&gt;"",EDATE($D112,Milestones!$AA$131)&gt;=$S112),$V112,$U112)))=Milestones!$AB$131),UPPER(TEXT(EDATE($D112,Milestones!$AA$131),"dd mmm yy"))&amp;" "&amp;Milestones!$AB$131&amp;" "&amp;Milestones!$AC$131&amp;";  ","")&amp;IF(AND(EDATE($D112,Milestones!$AA$132)&lt;=AsOfDate,IF($R112=0,$X112,IF(AND($T112&lt;&gt;"",EDATE($D112,Milestones!$AA$132)&gt;=$T112),$W112,IF(AND($S112&lt;&gt;"",EDATE($D112,Milestones!$AA$132)&gt;=$S112),$V112,$U112)))=Milestones!$AB$132),UPPER(TEXT(EDATE($D112,Milestones!$AA$132),"dd mmm yy"))&amp;" "&amp;Milestones!$AB$132&amp;" "&amp;Milestones!$AC$132&amp;";  ","")&amp;IF(AND(EDATE($D112,Milestones!$AA$133)&lt;=AsOfDate,IF($R112=0,$X112,IF(AND($T112&lt;&gt;"",EDATE($D112,Milestones!$AA$133)&gt;=$T112),$W112,IF(AND($S112&lt;&gt;"",EDATE($D112,Milestones!$AA$133)&gt;=$S112),$V112,$U112)))=Milestones!$AB$133),UPPER(TEXT(EDATE($D112,Milestones!$AA$133),"dd mmm yy"))&amp;" "&amp;Milestones!$AB$133&amp;" "&amp;Milestones!$AC$133&amp;";  ","")&amp;IF(AND(EDATE($D112,Milestones!$AA$134)&lt;=AsOfDate,IF($R112=0,$X112,IF(AND($T112&lt;&gt;"",EDATE($D112,Milestones!$AA$134)&gt;=$T112),$W112,IF(AND($S112&lt;&gt;"",EDATE($D112,Milestones!$AA$134)&gt;=$S112),$V112,$U112)))=Milestones!$AB$134),UPPER(TEXT(EDATE($D112,Milestones!$AA$134),"dd mmm yy"))&amp;" "&amp;Milestones!$AB$134&amp;" "&amp;Milestones!$AC$134&amp;";  ","")&amp;IF(AND(EDATE($D112,Milestones!$AA$135)&lt;=AsOfDate,IF($R112=0,$X112,IF(AND($T112&lt;&gt;"",EDATE($D112,Milestones!$AA$135)&gt;=$T112),$W112,IF(AND($S112&lt;&gt;"",EDATE($D112,Milestones!$AA$135)&gt;=$S112),$V112,$U112)))=Milestones!$AB$135),UPPER(TEXT(EDATE($D112,Milestones!$AA$135),"dd mmm yy"))&amp;" "&amp;Milestones!$AB$135&amp;" "&amp;Milestones!$AC$135&amp;";  ","")&amp;IF(AND(EDATE($D112,Milestones!$AA$136)&lt;=AsOfDate,IF($R112=0,$X112,IF(AND($T112&lt;&gt;"",EDATE($D112,Milestones!$AA$136)&gt;=$T112),$W112,IF(AND($S112&lt;&gt;"",EDATE($D112,Milestones!$AA$136)&gt;=$S112),$V112,$U112)))=Milestones!$AB$136),UPPER(TEXT(EDATE($D112,Milestones!$AA$136),"dd mmm yy"))&amp;" "&amp;Milestones!$AB$136&amp;" "&amp;Milestones!$AC$136&amp;";  ","")&amp;IF(AND(EDATE($D112,Milestones!$AA$137)&lt;=AsOfDate,IF($R112=0,$X112,IF(AND($T112&lt;&gt;"",EDATE($D112,Milestones!$AA$137)&gt;=$T112),$W112,IF(AND($S112&lt;&gt;"",EDATE($D112,Milestones!$AA$137)&gt;=$S112),$V112,$U112)))=Milestones!$AB$137),UPPER(TEXT(EDATE($D112,Milestones!$AA$137),"dd mmm yy"))&amp;" "&amp;Milestones!$AB$137&amp;" "&amp;Milestones!$AC$137&amp;";  ","")&amp;IF(AND(EDATE($D112,Milestones!$AA$138)&lt;=AsOfDate,IF($R112=0,$X112,IF(AND($T112&lt;&gt;"",EDATE($D112,Milestones!$AA$138)&gt;=$T112),$W112,IF(AND($S112&lt;&gt;"",EDATE($D112,Milestones!$AA$138)&gt;=$S112),$V112,$U112)))=Milestones!$AB$138),UPPER(TEXT(EDATE($D112,Milestones!$AA$138),"dd mmm yy"))&amp;" "&amp;Milestones!$AB$138&amp;" "&amp;Milestones!$AC$138&amp;";  ","")&amp;IF(AND(EDATE($D112,Milestones!$AA$139)&lt;=AsOfDate,IF($R112=0,$X112,IF(AND($T112&lt;&gt;"",EDATE($D112,Milestones!$AA$139)&gt;=$T112),$W112,IF(AND($S112&lt;&gt;"",EDATE($D112,Milestones!$AA$139)&gt;=$S112),$V112,$U112)))=Milestones!$AB$139),UPPER(TEXT(EDATE($D112,Milestones!$AA$139),"dd mmm yy"))&amp;" "&amp;Milestones!$AB$139&amp;" "&amp;Milestones!$AC$139&amp;";  ",""))</f>
        <v/>
      </c>
      <c r="O112" s="0" t="str">
        <f aca="false">IF(OR($A112="",$D112=""),"",IF(AND(EDATE($D112,Milestones!$AA$140)&lt;=AsOfDate,IF($R112=0,$X112,IF(AND($T112&lt;&gt;"",EDATE($D112,Milestones!$AA$140)&gt;=$T112),$W112,IF(AND($S112&lt;&gt;"",EDATE($D112,Milestones!$AA$140)&gt;=$S112),$V112,$U112)))=Milestones!$AB$140),UPPER(TEXT(EDATE($D112,Milestones!$AA$140),"dd mmm yy"))&amp;" "&amp;Milestones!$AB$140&amp;" "&amp;Milestones!$AC$140&amp;";  ","")&amp;IF(AND(EDATE($D112,Milestones!$AA$141)&lt;=AsOfDate,IF($R112=0,$X112,IF(AND($T112&lt;&gt;"",EDATE($D112,Milestones!$AA$141)&gt;=$T112),$W112,IF(AND($S112&lt;&gt;"",EDATE($D112,Milestones!$AA$141)&gt;=$S112),$V112,$U112)))=Milestones!$AB$141),UPPER(TEXT(EDATE($D112,Milestones!$AA$141),"dd mmm yy"))&amp;" "&amp;Milestones!$AB$141&amp;" "&amp;Milestones!$AC$141&amp;";  ","")&amp;IF(AND(EDATE($D112,Milestones!$AA$142)&lt;=AsOfDate,IF($R112=0,$X112,IF(AND($T112&lt;&gt;"",EDATE($D112,Milestones!$AA$142)&gt;=$T112),$W112,IF(AND($S112&lt;&gt;"",EDATE($D112,Milestones!$AA$142)&gt;=$S112),$V112,$U112)))=Milestones!$AB$142),UPPER(TEXT(EDATE($D112,Milestones!$AA$142),"dd mmm yy"))&amp;" "&amp;Milestones!$AB$142&amp;" "&amp;Milestones!$AC$142&amp;";  ","")&amp;IF(AND(EDATE($D112,Milestones!$AA$143)&lt;=AsOfDate,IF($R112=0,$X112,IF(AND($T112&lt;&gt;"",EDATE($D112,Milestones!$AA$143)&gt;=$T112),$W112,IF(AND($S112&lt;&gt;"",EDATE($D112,Milestones!$AA$143)&gt;=$S112),$V112,$U112)))=Milestones!$AB$143),UPPER(TEXT(EDATE($D112,Milestones!$AA$143),"dd mmm yy"))&amp;" "&amp;Milestones!$AB$143&amp;" "&amp;Milestones!$AC$143&amp;";  ","")&amp;IF(AND(EDATE($D112,Milestones!$AA$144)&lt;=AsOfDate,IF($R112=0,$X112,IF(AND($T112&lt;&gt;"",EDATE($D112,Milestones!$AA$144)&gt;=$T112),$W112,IF(AND($S112&lt;&gt;"",EDATE($D112,Milestones!$AA$144)&gt;=$S112),$V112,$U112)))=Milestones!$AB$144),UPPER(TEXT(EDATE($D112,Milestones!$AA$144),"dd mmm yy"))&amp;" "&amp;Milestones!$AB$144&amp;" "&amp;Milestones!$AC$144&amp;";  ","")&amp;IF(AND(EDATE($D112,Milestones!$AA$145)&lt;=AsOfDate,IF($R112=0,$X112,IF(AND($T112&lt;&gt;"",EDATE($D112,Milestones!$AA$145)&gt;=$T112),$W112,IF(AND($S112&lt;&gt;"",EDATE($D112,Milestones!$AA$145)&gt;=$S112),$V112,$U112)))=Milestones!$AB$145),UPPER(TEXT(EDATE($D112,Milestones!$AA$145),"dd mmm yy"))&amp;" "&amp;Milestones!$AB$145&amp;" "&amp;Milestones!$AC$145&amp;";  ","")&amp;IF(AND(EDATE($D112,Milestones!$AA$146)&lt;=AsOfDate,IF($R112=0,$X112,IF(AND($T112&lt;&gt;"",EDATE($D112,Milestones!$AA$146)&gt;=$T112),$W112,IF(AND($S112&lt;&gt;"",EDATE($D112,Milestones!$AA$146)&gt;=$S112),$V112,$U112)))=Milestones!$AB$146),UPPER(TEXT(EDATE($D112,Milestones!$AA$146),"dd mmm yy"))&amp;" "&amp;Milestones!$AB$146&amp;" "&amp;Milestones!$AC$146&amp;";  ","")&amp;IF(AND(EDATE($D112,Milestones!$AA$147)&lt;=AsOfDate,IF($R112=0,$X112,IF(AND($T112&lt;&gt;"",EDATE($D112,Milestones!$AA$147)&gt;=$T112),$W112,IF(AND($S112&lt;&gt;"",EDATE($D112,Milestones!$AA$147)&gt;=$S112),$V112,$U112)))=Milestones!$AB$147),UPPER(TEXT(EDATE($D112,Milestones!$AA$147),"dd mmm yy"))&amp;" "&amp;Milestones!$AB$147&amp;" "&amp;Milestones!$AC$147&amp;";  ","")&amp;IF(AND(EDATE($D112,Milestones!$AA$148)&lt;=AsOfDate,IF($R112=0,$X112,IF(AND($T112&lt;&gt;"",EDATE($D112,Milestones!$AA$148)&gt;=$T112),$W112,IF(AND($S112&lt;&gt;"",EDATE($D112,Milestones!$AA$148)&gt;=$S112),$V112,$U112)))=Milestones!$AB$148),UPPER(TEXT(EDATE($D112,Milestones!$AA$148),"dd mmm yy"))&amp;" "&amp;Milestones!$AB$148&amp;" "&amp;Milestones!$AC$148&amp;";  ","")&amp;IF(AND(EDATE($D112,Milestones!$AA$149)&lt;=AsOfDate,IF($R112=0,$X112,IF(AND($T112&lt;&gt;"",EDATE($D112,Milestones!$AA$149)&gt;=$T112),$W112,IF(AND($S112&lt;&gt;"",EDATE($D112,Milestones!$AA$149)&gt;=$S112),$V112,$U112)))=Milestones!$AB$149),UPPER(TEXT(EDATE($D112,Milestones!$AA$149),"dd mmm yy"))&amp;" "&amp;Milestones!$AB$149&amp;" "&amp;Milestones!$AC$149&amp;";  ","")&amp;IF(AND(EDATE($D112,Milestones!$AA$150)&lt;=AsOfDate,IF($R112=0,$X112,IF(AND($T112&lt;&gt;"",EDATE($D112,Milestones!$AA$150)&gt;=$T112),$W112,IF(AND($S112&lt;&gt;"",EDATE($D112,Milestones!$AA$150)&gt;=$S112),$V112,$U112)))=Milestones!$AB$150),UPPER(TEXT(EDATE($D112,Milestones!$AA$150),"dd mmm yy"))&amp;" "&amp;Milestones!$AB$150&amp;" "&amp;Milestones!$AC$150&amp;";  ","")&amp;IF(AND(EDATE($D112,Milestones!$AA$151)&lt;=AsOfDate,IF($R112=0,$X112,IF(AND($T112&lt;&gt;"",EDATE($D112,Milestones!$AA$151)&gt;=$T112),$W112,IF(AND($S112&lt;&gt;"",EDATE($D112,Milestones!$AA$151)&gt;=$S112),$V112,$U112)))=Milestones!$AB$151),UPPER(TEXT(EDATE($D112,Milestones!$AA$151),"dd mmm yy"))&amp;" "&amp;Milestones!$AB$151&amp;" "&amp;Milestones!$AC$151&amp;";  ","")&amp;IF(AND(EDATE($D112,Milestones!$AA$152)&lt;=AsOfDate,IF($R112=0,$X112,IF(AND($T112&lt;&gt;"",EDATE($D112,Milestones!$AA$152)&gt;=$T112),$W112,IF(AND($S112&lt;&gt;"",EDATE($D112,Milestones!$AA$152)&gt;=$S112),$V112,$U112)))=Milestones!$AB$152),UPPER(TEXT(EDATE($D112,Milestones!$AA$152),"dd mmm yy"))&amp;" "&amp;Milestones!$AB$152&amp;" "&amp;Milestones!$AC$152&amp;";  ","")&amp;IF(AND(EDATE($D112,Milestones!$AA$153)&lt;=AsOfDate,IF($R112=0,$X112,IF(AND($T112&lt;&gt;"",EDATE($D112,Milestones!$AA$153)&gt;=$T112),$W112,IF(AND($S112&lt;&gt;"",EDATE($D112,Milestones!$AA$153)&gt;=$S112),$V112,$U112)))=Milestones!$AB$153),UPPER(TEXT(EDATE($D112,Milestones!$AA$153),"dd mmm yy"))&amp;" "&amp;Milestones!$AB$153&amp;" "&amp;Milestones!$AC$153&amp;";  ","")&amp;IF(AND(EDATE($D112,Milestones!$AA$154)&lt;=AsOfDate,IF($R112=0,$X112,IF(AND($T112&lt;&gt;"",EDATE($D112,Milestones!$AA$154)&gt;=$T112),$W112,IF(AND($S112&lt;&gt;"",EDATE($D112,Milestones!$AA$154)&gt;=$S112),$V112,$U112)))=Milestones!$AB$154),UPPER(TEXT(EDATE($D112,Milestones!$AA$154),"dd mmm yy"))&amp;" "&amp;Milestones!$AB$154&amp;" "&amp;Milestones!$AC$154&amp;";  ","")&amp;IF(AND(EDATE($D112,Milestones!$AA$155)&lt;=AsOfDate,IF($R112=0,$X112,IF(AND($T112&lt;&gt;"",EDATE($D112,Milestones!$AA$155)&gt;=$T112),$W112,IF(AND($S112&lt;&gt;"",EDATE($D112,Milestones!$AA$155)&gt;=$S112),$V112,$U112)))=Milestones!$AB$155),UPPER(TEXT(EDATE($D112,Milestones!$AA$155),"dd mmm yy"))&amp;" "&amp;Milestones!$AB$155&amp;" "&amp;Milestones!$AC$155&amp;";  ","")&amp;IF(AND(EDATE($D112,Milestones!$AA$156)&lt;=AsOfDate,IF($R112=0,$X112,IF(AND($T112&lt;&gt;"",EDATE($D112,Milestones!$AA$156)&gt;=$T112),$W112,IF(AND($S112&lt;&gt;"",EDATE($D112,Milestones!$AA$156)&gt;=$S112),$V112,$U112)))=Milestones!$AB$156),UPPER(TEXT(EDATE($D112,Milestones!$AA$156),"dd mmm yy"))&amp;" "&amp;Milestones!$AB$156&amp;" "&amp;Milestones!$AC$156&amp;";  ","")&amp;IF(AND(EDATE($D112,Milestones!$AA$157)&lt;=AsOfDate,IF($R112=0,$X112,IF(AND($T112&lt;&gt;"",EDATE($D112,Milestones!$AA$157)&gt;=$T112),$W112,IF(AND($S112&lt;&gt;"",EDATE($D112,Milestones!$AA$157)&gt;=$S112),$V112,$U112)))=Milestones!$AB$157),UPPER(TEXT(EDATE($D112,Milestones!$AA$157),"dd mmm yy"))&amp;" "&amp;Milestones!$AB$157&amp;" "&amp;Milestones!$AC$157&amp;";  ","")&amp;IF(AND(EDATE($D112,Milestones!$AA$158)&lt;=AsOfDate,IF($R112=0,$X112,IF(AND($T112&lt;&gt;"",EDATE($D112,Milestones!$AA$158)&gt;=$T112),$W112,IF(AND($S112&lt;&gt;"",EDATE($D112,Milestones!$AA$158)&gt;=$S112),$V112,$U112)))=Milestones!$AB$158),UPPER(TEXT(EDATE($D112,Milestones!$AA$158),"dd mmm yy"))&amp;" "&amp;Milestones!$AB$158&amp;" "&amp;Milestones!$AC$158&amp;";  ","")&amp;IF(AND(EDATE($D112,Milestones!$AA$159)&lt;=AsOfDate,IF($R112=0,$X112,IF(AND($T112&lt;&gt;"",EDATE($D112,Milestones!$AA$159)&gt;=$T112),$W112,IF(AND($S112&lt;&gt;"",EDATE($D112,Milestones!$AA$159)&gt;=$S112),$V112,$U112)))=Milestones!$AB$159),UPPER(TEXT(EDATE($D112,Milestones!$AA$159),"dd mmm yy"))&amp;" "&amp;Milestones!$AB$159&amp;" "&amp;Milestones!$AC$159&amp;";  ",""))</f>
        <v/>
      </c>
      <c r="P112" s="0" t="str">
        <f aca="false">IF(OR($A112="",$D112=""),"",IF(AND(EDATE($D112,Milestones!$AA$160)&lt;=AsOfDate,IF($R112=0,$X112,IF(AND($T112&lt;&gt;"",EDATE($D112,Milestones!$AA$160)&gt;=$T112),$W112,IF(AND($S112&lt;&gt;"",EDATE($D112,Milestones!$AA$160)&gt;=$S112),$V112,$U112)))=Milestones!$AB$160),UPPER(TEXT(EDATE($D112,Milestones!$AA$160),"dd mmm yy"))&amp;" "&amp;Milestones!$AB$160&amp;" "&amp;Milestones!$AC$160&amp;";  ","")&amp;IF(AND(EDATE($D112,Milestones!$AA$161)&lt;=AsOfDate,IF($R112=0,$X112,IF(AND($T112&lt;&gt;"",EDATE($D112,Milestones!$AA$161)&gt;=$T112),$W112,IF(AND($S112&lt;&gt;"",EDATE($D112,Milestones!$AA$161)&gt;=$S112),$V112,$U112)))=Milestones!$AB$161),UPPER(TEXT(EDATE($D112,Milestones!$AA$161),"dd mmm yy"))&amp;" "&amp;Milestones!$AB$161&amp;" "&amp;Milestones!$AC$161&amp;";  ","")&amp;IF(AND(EDATE($D112,Milestones!$AA$162)&lt;=AsOfDate,IF($R112=0,$X112,IF(AND($T112&lt;&gt;"",EDATE($D112,Milestones!$AA$162)&gt;=$T112),$W112,IF(AND($S112&lt;&gt;"",EDATE($D112,Milestones!$AA$162)&gt;=$S112),$V112,$U112)))=Milestones!$AB$162),UPPER(TEXT(EDATE($D112,Milestones!$AA$162),"dd mmm yy"))&amp;" "&amp;Milestones!$AB$162&amp;" "&amp;Milestones!$AC$162&amp;";  ","")&amp;IF(AND(EDATE($D112,Milestones!$AA$163)&lt;=AsOfDate,IF($R112=0,$X112,IF(AND($T112&lt;&gt;"",EDATE($D112,Milestones!$AA$163)&gt;=$T112),$W112,IF(AND($S112&lt;&gt;"",EDATE($D112,Milestones!$AA$163)&gt;=$S112),$V112,$U112)))=Milestones!$AB$163),UPPER(TEXT(EDATE($D112,Milestones!$AA$163),"dd mmm yy"))&amp;" "&amp;Milestones!$AB$163&amp;" "&amp;Milestones!$AC$163&amp;";  ","")&amp;IF(AND(EDATE($D112,Milestones!$AA$164)&lt;=AsOfDate,IF($R112=0,$X112,IF(AND($T112&lt;&gt;"",EDATE($D112,Milestones!$AA$164)&gt;=$T112),$W112,IF(AND($S112&lt;&gt;"",EDATE($D112,Milestones!$AA$164)&gt;=$S112),$V112,$U112)))=Milestones!$AB$164),UPPER(TEXT(EDATE($D112,Milestones!$AA$164),"dd mmm yy"))&amp;" "&amp;Milestones!$AB$164&amp;" "&amp;Milestones!$AC$164&amp;";  ","")&amp;IF(AND(EDATE($D112,Milestones!$AA$165)&lt;=AsOfDate,IF($R112=0,$X112,IF(AND($T112&lt;&gt;"",EDATE($D112,Milestones!$AA$165)&gt;=$T112),$W112,IF(AND($S112&lt;&gt;"",EDATE($D112,Milestones!$AA$165)&gt;=$S112),$V112,$U112)))=Milestones!$AB$165),UPPER(TEXT(EDATE($D112,Milestones!$AA$165),"dd mmm yy"))&amp;" "&amp;Milestones!$AB$165&amp;" "&amp;Milestones!$AC$165&amp;";  ","")&amp;IF(AND(EDATE($D112,Milestones!$AA$166)&lt;=AsOfDate,IF($R112=0,$X112,IF(AND($T112&lt;&gt;"",EDATE($D112,Milestones!$AA$166)&gt;=$T112),$W112,IF(AND($S112&lt;&gt;"",EDATE($D112,Milestones!$AA$166)&gt;=$S112),$V112,$U112)))=Milestones!$AB$166),UPPER(TEXT(EDATE($D112,Milestones!$AA$166),"dd mmm yy"))&amp;" "&amp;Milestones!$AB$166&amp;" "&amp;Milestones!$AC$166&amp;";  ","")&amp;IF(AND(EDATE($D112,Milestones!$AA$167)&lt;=AsOfDate,IF($R112=0,$X112,IF(AND($T112&lt;&gt;"",EDATE($D112,Milestones!$AA$167)&gt;=$T112),$W112,IF(AND($S112&lt;&gt;"",EDATE($D112,Milestones!$AA$167)&gt;=$S112),$V112,$U112)))=Milestones!$AB$167),UPPER(TEXT(EDATE($D112,Milestones!$AA$167),"dd mmm yy"))&amp;" "&amp;Milestones!$AB$167&amp;" "&amp;Milestones!$AC$167&amp;";  ","")&amp;IF(AND(EDATE($D112,Milestones!$AA$168)&lt;=AsOfDate,IF($R112=0,$X112,IF(AND($T112&lt;&gt;"",EDATE($D112,Milestones!$AA$168)&gt;=$T112),$W112,IF(AND($S112&lt;&gt;"",EDATE($D112,Milestones!$AA$168)&gt;=$S112),$V112,$U112)))=Milestones!$AB$168),UPPER(TEXT(EDATE($D112,Milestones!$AA$168),"dd mmm yy"))&amp;" "&amp;Milestones!$AB$168&amp;" "&amp;Milestones!$AC$168&amp;";  ","")&amp;IF(AND(EDATE($D112,Milestones!$AA$169)&lt;=AsOfDate,IF($R112=0,$X112,IF(AND($T112&lt;&gt;"",EDATE($D112,Milestones!$AA$169)&gt;=$T112),$W112,IF(AND($S112&lt;&gt;"",EDATE($D112,Milestones!$AA$169)&gt;=$S112),$V112,$U112)))=Milestones!$AB$169),UPPER(TEXT(EDATE($D112,Milestones!$AA$169),"dd mmm yy"))&amp;" "&amp;Milestones!$AB$169&amp;" "&amp;Milestones!$AC$169&amp;";  ","")&amp;IF(AND(EDATE($D112,Milestones!$AA$170)&lt;=AsOfDate,IF($R112=0,$X112,IF(AND($T112&lt;&gt;"",EDATE($D112,Milestones!$AA$170)&gt;=$T112),$W112,IF(AND($S112&lt;&gt;"",EDATE($D112,Milestones!$AA$170)&gt;=$S112),$V112,$U112)))=Milestones!$AB$170),UPPER(TEXT(EDATE($D112,Milestones!$AA$170),"dd mmm yy"))&amp;" "&amp;Milestones!$AB$170&amp;" "&amp;Milestones!$AC$170&amp;";  ","")&amp;IF(AND(EDATE($D112,Milestones!$AA$171)&lt;=AsOfDate,IF($R112=0,$X112,IF(AND($T112&lt;&gt;"",EDATE($D112,Milestones!$AA$171)&gt;=$T112),$W112,IF(AND($S112&lt;&gt;"",EDATE($D112,Milestones!$AA$171)&gt;=$S112),$V112,$U112)))=Milestones!$AB$171),UPPER(TEXT(EDATE($D112,Milestones!$AA$171),"dd mmm yy"))&amp;" "&amp;Milestones!$AB$171&amp;" "&amp;Milestones!$AC$171&amp;";  ","")&amp;IF(AND(EDATE($D112,Milestones!$AA$172)&lt;=AsOfDate,IF($R112=0,$X112,IF(AND($T112&lt;&gt;"",EDATE($D112,Milestones!$AA$172)&gt;=$T112),$W112,IF(AND($S112&lt;&gt;"",EDATE($D112,Milestones!$AA$172)&gt;=$S112),$V112,$U112)))=Milestones!$AB$172),UPPER(TEXT(EDATE($D112,Milestones!$AA$172),"dd mmm yy"))&amp;" "&amp;Milestones!$AB$172&amp;" "&amp;Milestones!$AC$172&amp;";  ","")&amp;IF(AND(EDATE($D112,Milestones!$AA$173)&lt;=AsOfDate,IF($R112=0,$X112,IF(AND($T112&lt;&gt;"",EDATE($D112,Milestones!$AA$173)&gt;=$T112),$W112,IF(AND($S112&lt;&gt;"",EDATE($D112,Milestones!$AA$173)&gt;=$S112),$V112,$U112)))=Milestones!$AB$173),UPPER(TEXT(EDATE($D112,Milestones!$AA$173),"dd mmm yy"))&amp;" "&amp;Milestones!$AB$173&amp;" "&amp;Milestones!$AC$173&amp;";  ","")&amp;IF(AND(EDATE($D112,Milestones!$AA$174)&lt;=AsOfDate,IF($R112=0,$X112,IF(AND($T112&lt;&gt;"",EDATE($D112,Milestones!$AA$174)&gt;=$T112),$W112,IF(AND($S112&lt;&gt;"",EDATE($D112,Milestones!$AA$174)&gt;=$S112),$V112,$U112)))=Milestones!$AB$174),UPPER(TEXT(EDATE($D112,Milestones!$AA$174),"dd mmm yy"))&amp;" "&amp;Milestones!$AB$174&amp;" "&amp;Milestones!$AC$174&amp;";  ","")&amp;IF(AND(EDATE($D112,Milestones!$AA$175)&lt;=AsOfDate,IF($R112=0,$X112,IF(AND($T112&lt;&gt;"",EDATE($D112,Milestones!$AA$175)&gt;=$T112),$W112,IF(AND($S112&lt;&gt;"",EDATE($D112,Milestones!$AA$175)&gt;=$S112),$V112,$U112)))=Milestones!$AB$175),UPPER(TEXT(EDATE($D112,Milestones!$AA$175),"dd mmm yy"))&amp;" "&amp;Milestones!$AB$175&amp;" "&amp;Milestones!$AC$175&amp;";  ","")&amp;IF(AND(EDATE($D112,Milestones!$AA$176)&lt;=AsOfDate,IF($R112=0,$X112,IF(AND($T112&lt;&gt;"",EDATE($D112,Milestones!$AA$176)&gt;=$T112),$W112,IF(AND($S112&lt;&gt;"",EDATE($D112,Milestones!$AA$176)&gt;=$S112),$V112,$U112)))=Milestones!$AB$176),UPPER(TEXT(EDATE($D112,Milestones!$AA$176),"dd mmm yy"))&amp;" "&amp;Milestones!$AB$176&amp;" "&amp;Milestones!$AC$176&amp;";  ","")&amp;IF(AND(EDATE($D112,Milestones!$AA$177)&lt;=AsOfDate,IF($R112=0,$X112,IF(AND($T112&lt;&gt;"",EDATE($D112,Milestones!$AA$177)&gt;=$T112),$W112,IF(AND($S112&lt;&gt;"",EDATE($D112,Milestones!$AA$177)&gt;=$S112),$V112,$U112)))=Milestones!$AB$177),UPPER(TEXT(EDATE($D112,Milestones!$AA$177),"dd mmm yy"))&amp;" "&amp;Milestones!$AB$177&amp;" "&amp;Milestones!$AC$177&amp;";  ","")&amp;IF(AND(EDATE($D112,Milestones!$AA$178)&lt;=AsOfDate,IF($R112=0,$X112,IF(AND($T112&lt;&gt;"",EDATE($D112,Milestones!$AA$178)&gt;=$T112),$W112,IF(AND($S112&lt;&gt;"",EDATE($D112,Milestones!$AA$178)&gt;=$S112),$V112,$U112)))=Milestones!$AB$178),UPPER(TEXT(EDATE($D112,Milestones!$AA$178),"dd mmm yy"))&amp;" "&amp;Milestones!$AB$178&amp;" "&amp;Milestones!$AC$178&amp;";  ","")&amp;IF(AND(EDATE($D112,Milestones!$AA$179)&lt;=AsOfDate,IF($R112=0,$X112,IF(AND($T112&lt;&gt;"",EDATE($D112,Milestones!$AA$179)&gt;=$T112),$W112,IF(AND($S112&lt;&gt;"",EDATE($D112,Milestones!$AA$179)&gt;=$S112),$V112,$U112)))=Milestones!$AB$179),UPPER(TEXT(EDATE($D112,Milestones!$AA$179),"dd mmm yy"))&amp;" "&amp;Milestones!$AB$179&amp;" "&amp;Milestones!$AC$179&amp;";  ",""))</f>
        <v/>
      </c>
      <c r="Q112" s="0" t="str">
        <f aca="false">IF(OR($A112="",$D112=""),"",IF(AND(EDATE($D112,Milestones!$AA$180)&lt;=AsOfDate,IF($R112=0,$X112,IF(AND($T112&lt;&gt;"",EDATE($D112,Milestones!$AA$180)&gt;=$T112),$W112,IF(AND($S112&lt;&gt;"",EDATE($D112,Milestones!$AA$180)&gt;=$S112),$V112,$U112)))=Milestones!$AB$180),UPPER(TEXT(EDATE($D112,Milestones!$AA$180),"dd mmm yy"))&amp;" "&amp;Milestones!$AB$180&amp;" "&amp;Milestones!$AC$180&amp;";  ","")&amp;IF(AND(EDATE($D112,Milestones!$AA$181)&lt;=AsOfDate,IF($R112=0,$X112,IF(AND($T112&lt;&gt;"",EDATE($D112,Milestones!$AA$181)&gt;=$T112),$W112,IF(AND($S112&lt;&gt;"",EDATE($D112,Milestones!$AA$181)&gt;=$S112),$V112,$U112)))=Milestones!$AB$181),UPPER(TEXT(EDATE($D112,Milestones!$AA$181),"dd mmm yy"))&amp;" "&amp;Milestones!$AB$181&amp;" "&amp;Milestones!$AC$181&amp;";  ","")&amp;IF(AND(EDATE($D112,Milestones!$AA$182)&lt;=AsOfDate,IF($R112=0,$X112,IF(AND($T112&lt;&gt;"",EDATE($D112,Milestones!$AA$182)&gt;=$T112),$W112,IF(AND($S112&lt;&gt;"",EDATE($D112,Milestones!$AA$182)&gt;=$S112),$V112,$U112)))=Milestones!$AB$182),UPPER(TEXT(EDATE($D112,Milestones!$AA$182),"dd mmm yy"))&amp;" "&amp;Milestones!$AB$182&amp;" "&amp;Milestones!$AC$182&amp;";  ","")&amp;IF(AND(EDATE($D112,Milestones!$AA$183)&lt;=AsOfDate,IF($R112=0,$X112,IF(AND($T112&lt;&gt;"",EDATE($D112,Milestones!$AA$183)&gt;=$T112),$W112,IF(AND($S112&lt;&gt;"",EDATE($D112,Milestones!$AA$183)&gt;=$S112),$V112,$U112)))=Milestones!$AB$183),UPPER(TEXT(EDATE($D112,Milestones!$AA$183),"dd mmm yy"))&amp;" "&amp;Milestones!$AB$183&amp;" "&amp;Milestones!$AC$183&amp;";  ","")&amp;IF(AND(EDATE($D112,Milestones!$AA$184)&lt;=AsOfDate,IF($R112=0,$X112,IF(AND($T112&lt;&gt;"",EDATE($D112,Milestones!$AA$184)&gt;=$T112),$W112,IF(AND($S112&lt;&gt;"",EDATE($D112,Milestones!$AA$184)&gt;=$S112),$V112,$U112)))=Milestones!$AB$184),UPPER(TEXT(EDATE($D112,Milestones!$AA$184),"dd mmm yy"))&amp;" "&amp;Milestones!$AB$184&amp;" "&amp;Milestones!$AC$184&amp;";  ","")&amp;IF(AND(EDATE($D112,Milestones!$AA$185)&lt;=AsOfDate,IF($R112=0,$X112,IF(AND($T112&lt;&gt;"",EDATE($D112,Milestones!$AA$185)&gt;=$T112),$W112,IF(AND($S112&lt;&gt;"",EDATE($D112,Milestones!$AA$185)&gt;=$S112),$V112,$U112)))=Milestones!$AB$185),UPPER(TEXT(EDATE($D112,Milestones!$AA$185),"dd mmm yy"))&amp;" "&amp;Milestones!$AB$185&amp;" "&amp;Milestones!$AC$185&amp;";  ","")&amp;IF(AND(EDATE($D112,Milestones!$AA$186)&lt;=AsOfDate,IF($R112=0,$X112,IF(AND($T112&lt;&gt;"",EDATE($D112,Milestones!$AA$186)&gt;=$T112),$W112,IF(AND($S112&lt;&gt;"",EDATE($D112,Milestones!$AA$186)&gt;=$S112),$V112,$U112)))=Milestones!$AB$186),UPPER(TEXT(EDATE($D112,Milestones!$AA$186),"dd mmm yy"))&amp;" "&amp;Milestones!$AB$186&amp;" "&amp;Milestones!$AC$186&amp;";  ","")&amp;IF(AND(EDATE($D112,Milestones!$AA$187)&lt;=AsOfDate,IF($R112=0,$X112,IF(AND($T112&lt;&gt;"",EDATE($D112,Milestones!$AA$187)&gt;=$T112),$W112,IF(AND($S112&lt;&gt;"",EDATE($D112,Milestones!$AA$187)&gt;=$S112),$V112,$U112)))=Milestones!$AB$187),UPPER(TEXT(EDATE($D112,Milestones!$AA$187),"dd mmm yy"))&amp;" "&amp;Milestones!$AB$187&amp;" "&amp;Milestones!$AC$187&amp;";  ","")&amp;IF(AND(EDATE($D112,Milestones!$AA$188)&lt;=AsOfDate,IF($R112=0,$X112,IF(AND($T112&lt;&gt;"",EDATE($D112,Milestones!$AA$188)&gt;=$T112),$W112,IF(AND($S112&lt;&gt;"",EDATE($D112,Milestones!$AA$188)&gt;=$S112),$V112,$U112)))=Milestones!$AB$188),UPPER(TEXT(EDATE($D112,Milestones!$AA$188),"dd mmm yy"))&amp;" "&amp;Milestones!$AB$188&amp;" "&amp;Milestones!$AC$188&amp;";  ","")&amp;IF(AND(EDATE($D112,Milestones!$AA$189)&lt;=AsOfDate,IF($R112=0,$X112,IF(AND($T112&lt;&gt;"",EDATE($D112,Milestones!$AA$189)&gt;=$T112),$W112,IF(AND($S112&lt;&gt;"",EDATE($D112,Milestones!$AA$189)&gt;=$S112),$V112,$U112)))=Milestones!$AB$189),UPPER(TEXT(EDATE($D112,Milestones!$AA$189),"dd mmm yy"))&amp;" "&amp;Milestones!$AB$189&amp;" "&amp;Milestones!$AC$189&amp;";  ","")&amp;IF(AND(EDATE($D112,Milestones!$AA$190)&lt;=AsOfDate,IF($R112=0,$X112,IF(AND($T112&lt;&gt;"",EDATE($D112,Milestones!$AA$190)&gt;=$T112),$W112,IF(AND($S112&lt;&gt;"",EDATE($D112,Milestones!$AA$190)&gt;=$S112),$V112,$U112)))=Milestones!$AB$190),UPPER(TEXT(EDATE($D112,Milestones!$AA$190),"dd mmm yy"))&amp;" "&amp;Milestones!$AB$190&amp;" "&amp;Milestones!$AC$190&amp;";  ","")&amp;IF(AND(EDATE($D112,Milestones!$AA$191)&lt;=AsOfDate,IF($R112=0,$X112,IF(AND($T112&lt;&gt;"",EDATE($D112,Milestones!$AA$191)&gt;=$T112),$W112,IF(AND($S112&lt;&gt;"",EDATE($D112,Milestones!$AA$191)&gt;=$S112),$V112,$U112)))=Milestones!$AB$191),UPPER(TEXT(EDATE($D112,Milestones!$AA$191),"dd mmm yy"))&amp;" "&amp;Milestones!$AB$191&amp;" "&amp;Milestones!$AC$191&amp;";  ","")&amp;IF(AND(EDATE($D112,Milestones!$AA$192)&lt;=AsOfDate,IF($R112=0,$X112,IF(AND($T112&lt;&gt;"",EDATE($D112,Milestones!$AA$192)&gt;=$T112),$W112,IF(AND($S112&lt;&gt;"",EDATE($D112,Milestones!$AA$192)&gt;=$S112),$V112,$U112)))=Milestones!$AB$192),UPPER(TEXT(EDATE($D112,Milestones!$AA$192),"dd mmm yy"))&amp;" "&amp;Milestones!$AB$192&amp;" "&amp;Milestones!$AC$192&amp;";  ","")&amp;IF(AND(EDATE($D112,Milestones!$AA$193)&lt;=AsOfDate,IF($R112=0,$X112,IF(AND($T112&lt;&gt;"",EDATE($D112,Milestones!$AA$193)&gt;=$T112),$W112,IF(AND($S112&lt;&gt;"",EDATE($D112,Milestones!$AA$193)&gt;=$S112),$V112,$U112)))=Milestones!$AB$193),UPPER(TEXT(EDATE($D112,Milestones!$AA$193),"dd mmm yy"))&amp;" "&amp;Milestones!$AB$193&amp;" "&amp;Milestones!$AC$193&amp;";  ","")&amp;IF(AND(EDATE($D112,Milestones!$AA$194)&lt;=AsOfDate,IF($R112=0,$X112,IF(AND($T112&lt;&gt;"",EDATE($D112,Milestones!$AA$194)&gt;=$T112),$W112,IF(AND($S112&lt;&gt;"",EDATE($D112,Milestones!$AA$194)&gt;=$S112),$V112,$U112)))=Milestones!$AB$194),UPPER(TEXT(EDATE($D112,Milestones!$AA$194),"dd mmm yy"))&amp;" "&amp;Milestones!$AB$194&amp;" "&amp;Milestones!$AC$194&amp;";  ","")&amp;IF(AND(EDATE($D112,Milestones!$AA$195)&lt;=AsOfDate,IF($R112=0,$X112,IF(AND($T112&lt;&gt;"",EDATE($D112,Milestones!$AA$195)&gt;=$T112),$W112,IF(AND($S112&lt;&gt;"",EDATE($D112,Milestones!$AA$195)&gt;=$S112),$V112,$U112)))=Milestones!$AB$195),UPPER(TEXT(EDATE($D112,Milestones!$AA$195),"dd mmm yy"))&amp;" "&amp;Milestones!$AB$195&amp;" "&amp;Milestones!$AC$195&amp;";  ","")&amp;IF(AND(EDATE($D112,Milestones!$AA$196)&lt;=AsOfDate,IF($R112=0,$X112,IF(AND($T112&lt;&gt;"",EDATE($D112,Milestones!$AA$196)&gt;=$T112),$W112,IF(AND($S112&lt;&gt;"",EDATE($D112,Milestones!$AA$196)&gt;=$S112),$V112,$U112)))=Milestones!$AB$196),UPPER(TEXT(EDATE($D112,Milestones!$AA$196),"dd mmm yy"))&amp;" "&amp;Milestones!$AB$196&amp;" "&amp;Milestones!$AC$196&amp;";  ","")&amp;IF(AND(EDATE($D112,Milestones!$AA$197)&lt;=AsOfDate,IF($R112=0,$X112,IF(AND($T112&lt;&gt;"",EDATE($D112,Milestones!$AA$197)&gt;=$T112),$W112,IF(AND($S112&lt;&gt;"",EDATE($D112,Milestones!$AA$197)&gt;=$S112),$V112,$U112)))=Milestones!$AB$197),UPPER(TEXT(EDATE($D112,Milestones!$AA$197),"dd mmm yy"))&amp;" "&amp;Milestones!$AB$197&amp;" "&amp;Milestones!$AC$197&amp;";  ","")&amp;IF(AND(EDATE($D112,Milestones!$AA$198)&lt;=AsOfDate,IF($R112=0,$X112,IF(AND($T112&lt;&gt;"",EDATE($D112,Milestones!$AA$198)&gt;=$T112),$W112,IF(AND($S112&lt;&gt;"",EDATE($D112,Milestones!$AA$198)&gt;=$S112),$V112,$U112)))=Milestones!$AB$198),UPPER(TEXT(EDATE($D112,Milestones!$AA$198),"dd mmm yy"))&amp;" "&amp;Milestones!$AB$198&amp;" "&amp;Milestones!$AC$198&amp;";  ","")&amp;IF(AND(EDATE($D112,Milestones!$AA$199)&lt;=AsOfDate,IF($R112=0,$X112,IF(AND($T112&lt;&gt;"",EDATE($D112,Milestones!$AA$199)&gt;=$T112),$W112,IF(AND($S112&lt;&gt;"",EDATE($D112,Milestones!$AA$199)&gt;=$S112),$V112,$U112)))=Milestones!$AB$199),UPPER(TEXT(EDATE($D112,Milestones!$AA$199),"dd mmm yy"))&amp;" "&amp;Milestones!$AB$199&amp;" "&amp;Milestones!$AC$199&amp;";  ",""))</f>
        <v/>
      </c>
      <c r="R112" s="0" t="str">
        <f aca="false">IF(Staff!$A112="","",Staff!$AI112)</f>
        <v/>
      </c>
      <c r="S112" s="0" t="str">
        <f aca="false">IF(Staff!$A112="","",Staff!$AK112)</f>
        <v/>
      </c>
      <c r="T112" s="0" t="str">
        <f aca="false">IF(Staff!$A112="","",Staff!$AL112)</f>
        <v/>
      </c>
      <c r="U112" s="0" t="str">
        <f aca="false">IF(Staff!$A112="","",Staff!$AP112)</f>
        <v/>
      </c>
      <c r="V112" s="0" t="str">
        <f aca="false">IF(Staff!$A112="","",Staff!$AQ112)</f>
        <v/>
      </c>
      <c r="W112" s="0" t="str">
        <f aca="false">IF(Staff!$A112="","",Staff!$AR112)</f>
        <v/>
      </c>
      <c r="X112" s="0" t="str">
        <f aca="false">IF(Staff!$A112="","",Staff!$AS112)</f>
        <v/>
      </c>
    </row>
    <row r="113" customFormat="false" ht="15" hidden="false" customHeight="false" outlineLevel="0" collapsed="false">
      <c r="A113" s="19" t="str">
        <f aca="false">IF(Staff!$A113="","",Staff!$A113)</f>
        <v/>
      </c>
      <c r="B113" s="19" t="str">
        <f aca="false">IF(Staff!$A113="","",Staff!$B113)</f>
        <v/>
      </c>
      <c r="C113" s="19" t="str">
        <f aca="false">IF(Staff!$A113="","",Staff!$C113)</f>
        <v/>
      </c>
      <c r="D113" s="17" t="str">
        <f aca="false">IF(Staff!$A113="","",Staff!$AH113)</f>
        <v/>
      </c>
      <c r="E113" s="19" t="str">
        <f aca="false">IF(Staff!$A113="","",Staff!$O113)</f>
        <v/>
      </c>
      <c r="F113" s="19" t="str">
        <f aca="false">IF(E113="","",E113*HoursPerDay)</f>
        <v/>
      </c>
      <c r="G113" s="19" t="str">
        <f aca="false">IF(Staff!$A113="","",Staff!$AE113)</f>
        <v/>
      </c>
      <c r="H113" s="32" t="str">
        <f aca="false">IF($A113="","",I113&amp;J113&amp;K113&amp;L113&amp;M113&amp;N113&amp;O113&amp;P113&amp;Q113)</f>
        <v/>
      </c>
      <c r="I113" s="0" t="str">
        <f aca="false">IF(OR($A113="",$D113=""),"",IF(AND(EDATE($D113,Milestones!$AA$20)&lt;=AsOfDate,IF($R113=0,$X113,IF(AND($T113&lt;&gt;"",EDATE($D113,Milestones!$AA$20)&gt;=$T113),$W113,IF(AND($S113&lt;&gt;"",EDATE($D113,Milestones!$AA$20)&gt;=$S113),$V113,$U113)))=Milestones!$AB$20),UPPER(TEXT(EDATE($D113,Milestones!$AA$20),"dd mmm yy"))&amp;" "&amp;Milestones!$AB$20&amp;" "&amp;Milestones!$AC$20&amp;";  ","")&amp;IF(AND(EDATE($D113,Milestones!$AA$21)&lt;=AsOfDate,IF($R113=0,$X113,IF(AND($T113&lt;&gt;"",EDATE($D113,Milestones!$AA$21)&gt;=$T113),$W113,IF(AND($S113&lt;&gt;"",EDATE($D113,Milestones!$AA$21)&gt;=$S113),$V113,$U113)))=Milestones!$AB$21),UPPER(TEXT(EDATE($D113,Milestones!$AA$21),"dd mmm yy"))&amp;" "&amp;Milestones!$AB$21&amp;" "&amp;Milestones!$AC$21&amp;";  ","")&amp;IF(AND(EDATE($D113,Milestones!$AA$22)&lt;=AsOfDate,IF($R113=0,$X113,IF(AND($T113&lt;&gt;"",EDATE($D113,Milestones!$AA$22)&gt;=$T113),$W113,IF(AND($S113&lt;&gt;"",EDATE($D113,Milestones!$AA$22)&gt;=$S113),$V113,$U113)))=Milestones!$AB$22),UPPER(TEXT(EDATE($D113,Milestones!$AA$22),"dd mmm yy"))&amp;" "&amp;Milestones!$AB$22&amp;" "&amp;Milestones!$AC$22&amp;";  ","")&amp;IF(AND(EDATE($D113,Milestones!$AA$23)&lt;=AsOfDate,IF($R113=0,$X113,IF(AND($T113&lt;&gt;"",EDATE($D113,Milestones!$AA$23)&gt;=$T113),$W113,IF(AND($S113&lt;&gt;"",EDATE($D113,Milestones!$AA$23)&gt;=$S113),$V113,$U113)))=Milestones!$AB$23),UPPER(TEXT(EDATE($D113,Milestones!$AA$23),"dd mmm yy"))&amp;" "&amp;Milestones!$AB$23&amp;" "&amp;Milestones!$AC$23&amp;";  ","")&amp;IF(AND(EDATE($D113,Milestones!$AA$24)&lt;=AsOfDate,IF($R113=0,$X113,IF(AND($T113&lt;&gt;"",EDATE($D113,Milestones!$AA$24)&gt;=$T113),$W113,IF(AND($S113&lt;&gt;"",EDATE($D113,Milestones!$AA$24)&gt;=$S113),$V113,$U113)))=Milestones!$AB$24),UPPER(TEXT(EDATE($D113,Milestones!$AA$24),"dd mmm yy"))&amp;" "&amp;Milestones!$AB$24&amp;" "&amp;Milestones!$AC$24&amp;";  ","")&amp;IF(AND(EDATE($D113,Milestones!$AA$25)&lt;=AsOfDate,IF($R113=0,$X113,IF(AND($T113&lt;&gt;"",EDATE($D113,Milestones!$AA$25)&gt;=$T113),$W113,IF(AND($S113&lt;&gt;"",EDATE($D113,Milestones!$AA$25)&gt;=$S113),$V113,$U113)))=Milestones!$AB$25),UPPER(TEXT(EDATE($D113,Milestones!$AA$25),"dd mmm yy"))&amp;" "&amp;Milestones!$AB$25&amp;" "&amp;Milestones!$AC$25&amp;";  ","")&amp;IF(AND(EDATE($D113,Milestones!$AA$26)&lt;=AsOfDate,IF($R113=0,$X113,IF(AND($T113&lt;&gt;"",EDATE($D113,Milestones!$AA$26)&gt;=$T113),$W113,IF(AND($S113&lt;&gt;"",EDATE($D113,Milestones!$AA$26)&gt;=$S113),$V113,$U113)))=Milestones!$AB$26),UPPER(TEXT(EDATE($D113,Milestones!$AA$26),"dd mmm yy"))&amp;" "&amp;Milestones!$AB$26&amp;" "&amp;Milestones!$AC$26&amp;";  ","")&amp;IF(AND(EDATE($D113,Milestones!$AA$27)&lt;=AsOfDate,IF($R113=0,$X113,IF(AND($T113&lt;&gt;"",EDATE($D113,Milestones!$AA$27)&gt;=$T113),$W113,IF(AND($S113&lt;&gt;"",EDATE($D113,Milestones!$AA$27)&gt;=$S113),$V113,$U113)))=Milestones!$AB$27),UPPER(TEXT(EDATE($D113,Milestones!$AA$27),"dd mmm yy"))&amp;" "&amp;Milestones!$AB$27&amp;" "&amp;Milestones!$AC$27&amp;";  ","")&amp;IF(AND(EDATE($D113,Milestones!$AA$28)&lt;=AsOfDate,IF($R113=0,$X113,IF(AND($T113&lt;&gt;"",EDATE($D113,Milestones!$AA$28)&gt;=$T113),$W113,IF(AND($S113&lt;&gt;"",EDATE($D113,Milestones!$AA$28)&gt;=$S113),$V113,$U113)))=Milestones!$AB$28),UPPER(TEXT(EDATE($D113,Milestones!$AA$28),"dd mmm yy"))&amp;" "&amp;Milestones!$AB$28&amp;" "&amp;Milestones!$AC$28&amp;";  ","")&amp;IF(AND(EDATE($D113,Milestones!$AA$29)&lt;=AsOfDate,IF($R113=0,$X113,IF(AND($T113&lt;&gt;"",EDATE($D113,Milestones!$AA$29)&gt;=$T113),$W113,IF(AND($S113&lt;&gt;"",EDATE($D113,Milestones!$AA$29)&gt;=$S113),$V113,$U113)))=Milestones!$AB$29),UPPER(TEXT(EDATE($D113,Milestones!$AA$29),"dd mmm yy"))&amp;" "&amp;Milestones!$AB$29&amp;" "&amp;Milestones!$AC$29&amp;";  ","")&amp;IF(AND(EDATE($D113,Milestones!$AA$30)&lt;=AsOfDate,IF($R113=0,$X113,IF(AND($T113&lt;&gt;"",EDATE($D113,Milestones!$AA$30)&gt;=$T113),$W113,IF(AND($S113&lt;&gt;"",EDATE($D113,Milestones!$AA$30)&gt;=$S113),$V113,$U113)))=Milestones!$AB$30),UPPER(TEXT(EDATE($D113,Milestones!$AA$30),"dd mmm yy"))&amp;" "&amp;Milestones!$AB$30&amp;" "&amp;Milestones!$AC$30&amp;";  ","")&amp;IF(AND(EDATE($D113,Milestones!$AA$31)&lt;=AsOfDate,IF($R113=0,$X113,IF(AND($T113&lt;&gt;"",EDATE($D113,Milestones!$AA$31)&gt;=$T113),$W113,IF(AND($S113&lt;&gt;"",EDATE($D113,Milestones!$AA$31)&gt;=$S113),$V113,$U113)))=Milestones!$AB$31),UPPER(TEXT(EDATE($D113,Milestones!$AA$31),"dd mmm yy"))&amp;" "&amp;Milestones!$AB$31&amp;" "&amp;Milestones!$AC$31&amp;";  ","")&amp;IF(AND(EDATE($D113,Milestones!$AA$32)&lt;=AsOfDate,IF($R113=0,$X113,IF(AND($T113&lt;&gt;"",EDATE($D113,Milestones!$AA$32)&gt;=$T113),$W113,IF(AND($S113&lt;&gt;"",EDATE($D113,Milestones!$AA$32)&gt;=$S113),$V113,$U113)))=Milestones!$AB$32),UPPER(TEXT(EDATE($D113,Milestones!$AA$32),"dd mmm yy"))&amp;" "&amp;Milestones!$AB$32&amp;" "&amp;Milestones!$AC$32&amp;";  ","")&amp;IF(AND(EDATE($D113,Milestones!$AA$33)&lt;=AsOfDate,IF($R113=0,$X113,IF(AND($T113&lt;&gt;"",EDATE($D113,Milestones!$AA$33)&gt;=$T113),$W113,IF(AND($S113&lt;&gt;"",EDATE($D113,Milestones!$AA$33)&gt;=$S113),$V113,$U113)))=Milestones!$AB$33),UPPER(TEXT(EDATE($D113,Milestones!$AA$33),"dd mmm yy"))&amp;" "&amp;Milestones!$AB$33&amp;" "&amp;Milestones!$AC$33&amp;";  ","")&amp;IF(AND(EDATE($D113,Milestones!$AA$34)&lt;=AsOfDate,IF($R113=0,$X113,IF(AND($T113&lt;&gt;"",EDATE($D113,Milestones!$AA$34)&gt;=$T113),$W113,IF(AND($S113&lt;&gt;"",EDATE($D113,Milestones!$AA$34)&gt;=$S113),$V113,$U113)))=Milestones!$AB$34),UPPER(TEXT(EDATE($D113,Milestones!$AA$34),"dd mmm yy"))&amp;" "&amp;Milestones!$AB$34&amp;" "&amp;Milestones!$AC$34&amp;";  ","")&amp;IF(AND(EDATE($D113,Milestones!$AA$35)&lt;=AsOfDate,IF($R113=0,$X113,IF(AND($T113&lt;&gt;"",EDATE($D113,Milestones!$AA$35)&gt;=$T113),$W113,IF(AND($S113&lt;&gt;"",EDATE($D113,Milestones!$AA$35)&gt;=$S113),$V113,$U113)))=Milestones!$AB$35),UPPER(TEXT(EDATE($D113,Milestones!$AA$35),"dd mmm yy"))&amp;" "&amp;Milestones!$AB$35&amp;" "&amp;Milestones!$AC$35&amp;";  ","")&amp;IF(AND(EDATE($D113,Milestones!$AA$36)&lt;=AsOfDate,IF($R113=0,$X113,IF(AND($T113&lt;&gt;"",EDATE($D113,Milestones!$AA$36)&gt;=$T113),$W113,IF(AND($S113&lt;&gt;"",EDATE($D113,Milestones!$AA$36)&gt;=$S113),$V113,$U113)))=Milestones!$AB$36),UPPER(TEXT(EDATE($D113,Milestones!$AA$36),"dd mmm yy"))&amp;" "&amp;Milestones!$AB$36&amp;" "&amp;Milestones!$AC$36&amp;";  ","")&amp;IF(AND(EDATE($D113,Milestones!$AA$37)&lt;=AsOfDate,IF($R113=0,$X113,IF(AND($T113&lt;&gt;"",EDATE($D113,Milestones!$AA$37)&gt;=$T113),$W113,IF(AND($S113&lt;&gt;"",EDATE($D113,Milestones!$AA$37)&gt;=$S113),$V113,$U113)))=Milestones!$AB$37),UPPER(TEXT(EDATE($D113,Milestones!$AA$37),"dd mmm yy"))&amp;" "&amp;Milestones!$AB$37&amp;" "&amp;Milestones!$AC$37&amp;";  ","")&amp;IF(AND(EDATE($D113,Milestones!$AA$38)&lt;=AsOfDate,IF($R113=0,$X113,IF(AND($T113&lt;&gt;"",EDATE($D113,Milestones!$AA$38)&gt;=$T113),$W113,IF(AND($S113&lt;&gt;"",EDATE($D113,Milestones!$AA$38)&gt;=$S113),$V113,$U113)))=Milestones!$AB$38),UPPER(TEXT(EDATE($D113,Milestones!$AA$38),"dd mmm yy"))&amp;" "&amp;Milestones!$AB$38&amp;" "&amp;Milestones!$AC$38&amp;";  ","")&amp;IF(AND(EDATE($D113,Milestones!$AA$39)&lt;=AsOfDate,IF($R113=0,$X113,IF(AND($T113&lt;&gt;"",EDATE($D113,Milestones!$AA$39)&gt;=$T113),$W113,IF(AND($S113&lt;&gt;"",EDATE($D113,Milestones!$AA$39)&gt;=$S113),$V113,$U113)))=Milestones!$AB$39),UPPER(TEXT(EDATE($D113,Milestones!$AA$39),"dd mmm yy"))&amp;" "&amp;Milestones!$AB$39&amp;" "&amp;Milestones!$AC$39&amp;";  ",""))</f>
        <v/>
      </c>
      <c r="J113" s="0" t="str">
        <f aca="false">IF(OR($A113="",$D113=""),"",IF(AND(EDATE($D113,Milestones!$AA$40)&lt;=AsOfDate,IF($R113=0,$X113,IF(AND($T113&lt;&gt;"",EDATE($D113,Milestones!$AA$40)&gt;=$T113),$W113,IF(AND($S113&lt;&gt;"",EDATE($D113,Milestones!$AA$40)&gt;=$S113),$V113,$U113)))=Milestones!$AB$40),UPPER(TEXT(EDATE($D113,Milestones!$AA$40),"dd mmm yy"))&amp;" "&amp;Milestones!$AB$40&amp;" "&amp;Milestones!$AC$40&amp;";  ","")&amp;IF(AND(EDATE($D113,Milestones!$AA$41)&lt;=AsOfDate,IF($R113=0,$X113,IF(AND($T113&lt;&gt;"",EDATE($D113,Milestones!$AA$41)&gt;=$T113),$W113,IF(AND($S113&lt;&gt;"",EDATE($D113,Milestones!$AA$41)&gt;=$S113),$V113,$U113)))=Milestones!$AB$41),UPPER(TEXT(EDATE($D113,Milestones!$AA$41),"dd mmm yy"))&amp;" "&amp;Milestones!$AB$41&amp;" "&amp;Milestones!$AC$41&amp;";  ","")&amp;IF(AND(EDATE($D113,Milestones!$AA$42)&lt;=AsOfDate,IF($R113=0,$X113,IF(AND($T113&lt;&gt;"",EDATE($D113,Milestones!$AA$42)&gt;=$T113),$W113,IF(AND($S113&lt;&gt;"",EDATE($D113,Milestones!$AA$42)&gt;=$S113),$V113,$U113)))=Milestones!$AB$42),UPPER(TEXT(EDATE($D113,Milestones!$AA$42),"dd mmm yy"))&amp;" "&amp;Milestones!$AB$42&amp;" "&amp;Milestones!$AC$42&amp;";  ","")&amp;IF(AND(EDATE($D113,Milestones!$AA$43)&lt;=AsOfDate,IF($R113=0,$X113,IF(AND($T113&lt;&gt;"",EDATE($D113,Milestones!$AA$43)&gt;=$T113),$W113,IF(AND($S113&lt;&gt;"",EDATE($D113,Milestones!$AA$43)&gt;=$S113),$V113,$U113)))=Milestones!$AB$43),UPPER(TEXT(EDATE($D113,Milestones!$AA$43),"dd mmm yy"))&amp;" "&amp;Milestones!$AB$43&amp;" "&amp;Milestones!$AC$43&amp;";  ","")&amp;IF(AND(EDATE($D113,Milestones!$AA$44)&lt;=AsOfDate,IF($R113=0,$X113,IF(AND($T113&lt;&gt;"",EDATE($D113,Milestones!$AA$44)&gt;=$T113),$W113,IF(AND($S113&lt;&gt;"",EDATE($D113,Milestones!$AA$44)&gt;=$S113),$V113,$U113)))=Milestones!$AB$44),UPPER(TEXT(EDATE($D113,Milestones!$AA$44),"dd mmm yy"))&amp;" "&amp;Milestones!$AB$44&amp;" "&amp;Milestones!$AC$44&amp;";  ","")&amp;IF(AND(EDATE($D113,Milestones!$AA$45)&lt;=AsOfDate,IF($R113=0,$X113,IF(AND($T113&lt;&gt;"",EDATE($D113,Milestones!$AA$45)&gt;=$T113),$W113,IF(AND($S113&lt;&gt;"",EDATE($D113,Milestones!$AA$45)&gt;=$S113),$V113,$U113)))=Milestones!$AB$45),UPPER(TEXT(EDATE($D113,Milestones!$AA$45),"dd mmm yy"))&amp;" "&amp;Milestones!$AB$45&amp;" "&amp;Milestones!$AC$45&amp;";  ","")&amp;IF(AND(EDATE($D113,Milestones!$AA$46)&lt;=AsOfDate,IF($R113=0,$X113,IF(AND($T113&lt;&gt;"",EDATE($D113,Milestones!$AA$46)&gt;=$T113),$W113,IF(AND($S113&lt;&gt;"",EDATE($D113,Milestones!$AA$46)&gt;=$S113),$V113,$U113)))=Milestones!$AB$46),UPPER(TEXT(EDATE($D113,Milestones!$AA$46),"dd mmm yy"))&amp;" "&amp;Milestones!$AB$46&amp;" "&amp;Milestones!$AC$46&amp;";  ","")&amp;IF(AND(EDATE($D113,Milestones!$AA$47)&lt;=AsOfDate,IF($R113=0,$X113,IF(AND($T113&lt;&gt;"",EDATE($D113,Milestones!$AA$47)&gt;=$T113),$W113,IF(AND($S113&lt;&gt;"",EDATE($D113,Milestones!$AA$47)&gt;=$S113),$V113,$U113)))=Milestones!$AB$47),UPPER(TEXT(EDATE($D113,Milestones!$AA$47),"dd mmm yy"))&amp;" "&amp;Milestones!$AB$47&amp;" "&amp;Milestones!$AC$47&amp;";  ","")&amp;IF(AND(EDATE($D113,Milestones!$AA$48)&lt;=AsOfDate,IF($R113=0,$X113,IF(AND($T113&lt;&gt;"",EDATE($D113,Milestones!$AA$48)&gt;=$T113),$W113,IF(AND($S113&lt;&gt;"",EDATE($D113,Milestones!$AA$48)&gt;=$S113),$V113,$U113)))=Milestones!$AB$48),UPPER(TEXT(EDATE($D113,Milestones!$AA$48),"dd mmm yy"))&amp;" "&amp;Milestones!$AB$48&amp;" "&amp;Milestones!$AC$48&amp;";  ","")&amp;IF(AND(EDATE($D113,Milestones!$AA$49)&lt;=AsOfDate,IF($R113=0,$X113,IF(AND($T113&lt;&gt;"",EDATE($D113,Milestones!$AA$49)&gt;=$T113),$W113,IF(AND($S113&lt;&gt;"",EDATE($D113,Milestones!$AA$49)&gt;=$S113),$V113,$U113)))=Milestones!$AB$49),UPPER(TEXT(EDATE($D113,Milestones!$AA$49),"dd mmm yy"))&amp;" "&amp;Milestones!$AB$49&amp;" "&amp;Milestones!$AC$49&amp;";  ","")&amp;IF(AND(EDATE($D113,Milestones!$AA$50)&lt;=AsOfDate,IF($R113=0,$X113,IF(AND($T113&lt;&gt;"",EDATE($D113,Milestones!$AA$50)&gt;=$T113),$W113,IF(AND($S113&lt;&gt;"",EDATE($D113,Milestones!$AA$50)&gt;=$S113),$V113,$U113)))=Milestones!$AB$50),UPPER(TEXT(EDATE($D113,Milestones!$AA$50),"dd mmm yy"))&amp;" "&amp;Milestones!$AB$50&amp;" "&amp;Milestones!$AC$50&amp;";  ","")&amp;IF(AND(EDATE($D113,Milestones!$AA$51)&lt;=AsOfDate,IF($R113=0,$X113,IF(AND($T113&lt;&gt;"",EDATE($D113,Milestones!$AA$51)&gt;=$T113),$W113,IF(AND($S113&lt;&gt;"",EDATE($D113,Milestones!$AA$51)&gt;=$S113),$V113,$U113)))=Milestones!$AB$51),UPPER(TEXT(EDATE($D113,Milestones!$AA$51),"dd mmm yy"))&amp;" "&amp;Milestones!$AB$51&amp;" "&amp;Milestones!$AC$51&amp;";  ","")&amp;IF(AND(EDATE($D113,Milestones!$AA$52)&lt;=AsOfDate,IF($R113=0,$X113,IF(AND($T113&lt;&gt;"",EDATE($D113,Milestones!$AA$52)&gt;=$T113),$W113,IF(AND($S113&lt;&gt;"",EDATE($D113,Milestones!$AA$52)&gt;=$S113),$V113,$U113)))=Milestones!$AB$52),UPPER(TEXT(EDATE($D113,Milestones!$AA$52),"dd mmm yy"))&amp;" "&amp;Milestones!$AB$52&amp;" "&amp;Milestones!$AC$52&amp;";  ","")&amp;IF(AND(EDATE($D113,Milestones!$AA$53)&lt;=AsOfDate,IF($R113=0,$X113,IF(AND($T113&lt;&gt;"",EDATE($D113,Milestones!$AA$53)&gt;=$T113),$W113,IF(AND($S113&lt;&gt;"",EDATE($D113,Milestones!$AA$53)&gt;=$S113),$V113,$U113)))=Milestones!$AB$53),UPPER(TEXT(EDATE($D113,Milestones!$AA$53),"dd mmm yy"))&amp;" "&amp;Milestones!$AB$53&amp;" "&amp;Milestones!$AC$53&amp;";  ","")&amp;IF(AND(EDATE($D113,Milestones!$AA$54)&lt;=AsOfDate,IF($R113=0,$X113,IF(AND($T113&lt;&gt;"",EDATE($D113,Milestones!$AA$54)&gt;=$T113),$W113,IF(AND($S113&lt;&gt;"",EDATE($D113,Milestones!$AA$54)&gt;=$S113),$V113,$U113)))=Milestones!$AB$54),UPPER(TEXT(EDATE($D113,Milestones!$AA$54),"dd mmm yy"))&amp;" "&amp;Milestones!$AB$54&amp;" "&amp;Milestones!$AC$54&amp;";  ","")&amp;IF(AND(EDATE($D113,Milestones!$AA$55)&lt;=AsOfDate,IF($R113=0,$X113,IF(AND($T113&lt;&gt;"",EDATE($D113,Milestones!$AA$55)&gt;=$T113),$W113,IF(AND($S113&lt;&gt;"",EDATE($D113,Milestones!$AA$55)&gt;=$S113),$V113,$U113)))=Milestones!$AB$55),UPPER(TEXT(EDATE($D113,Milestones!$AA$55),"dd mmm yy"))&amp;" "&amp;Milestones!$AB$55&amp;" "&amp;Milestones!$AC$55&amp;";  ","")&amp;IF(AND(EDATE($D113,Milestones!$AA$56)&lt;=AsOfDate,IF($R113=0,$X113,IF(AND($T113&lt;&gt;"",EDATE($D113,Milestones!$AA$56)&gt;=$T113),$W113,IF(AND($S113&lt;&gt;"",EDATE($D113,Milestones!$AA$56)&gt;=$S113),$V113,$U113)))=Milestones!$AB$56),UPPER(TEXT(EDATE($D113,Milestones!$AA$56),"dd mmm yy"))&amp;" "&amp;Milestones!$AB$56&amp;" "&amp;Milestones!$AC$56&amp;";  ","")&amp;IF(AND(EDATE($D113,Milestones!$AA$57)&lt;=AsOfDate,IF($R113=0,$X113,IF(AND($T113&lt;&gt;"",EDATE($D113,Milestones!$AA$57)&gt;=$T113),$W113,IF(AND($S113&lt;&gt;"",EDATE($D113,Milestones!$AA$57)&gt;=$S113),$V113,$U113)))=Milestones!$AB$57),UPPER(TEXT(EDATE($D113,Milestones!$AA$57),"dd mmm yy"))&amp;" "&amp;Milestones!$AB$57&amp;" "&amp;Milestones!$AC$57&amp;";  ","")&amp;IF(AND(EDATE($D113,Milestones!$AA$58)&lt;=AsOfDate,IF($R113=0,$X113,IF(AND($T113&lt;&gt;"",EDATE($D113,Milestones!$AA$58)&gt;=$T113),$W113,IF(AND($S113&lt;&gt;"",EDATE($D113,Milestones!$AA$58)&gt;=$S113),$V113,$U113)))=Milestones!$AB$58),UPPER(TEXT(EDATE($D113,Milestones!$AA$58),"dd mmm yy"))&amp;" "&amp;Milestones!$AB$58&amp;" "&amp;Milestones!$AC$58&amp;";  ","")&amp;IF(AND(EDATE($D113,Milestones!$AA$59)&lt;=AsOfDate,IF($R113=0,$X113,IF(AND($T113&lt;&gt;"",EDATE($D113,Milestones!$AA$59)&gt;=$T113),$W113,IF(AND($S113&lt;&gt;"",EDATE($D113,Milestones!$AA$59)&gt;=$S113),$V113,$U113)))=Milestones!$AB$59),UPPER(TEXT(EDATE($D113,Milestones!$AA$59),"dd mmm yy"))&amp;" "&amp;Milestones!$AB$59&amp;" "&amp;Milestones!$AC$59&amp;";  ",""))</f>
        <v/>
      </c>
      <c r="K113" s="0" t="str">
        <f aca="false">IF(OR($A113="",$D113=""),"",IF(AND(EDATE($D113,Milestones!$AA$60)&lt;=AsOfDate,IF($R113=0,$X113,IF(AND($T113&lt;&gt;"",EDATE($D113,Milestones!$AA$60)&gt;=$T113),$W113,IF(AND($S113&lt;&gt;"",EDATE($D113,Milestones!$AA$60)&gt;=$S113),$V113,$U113)))=Milestones!$AB$60),UPPER(TEXT(EDATE($D113,Milestones!$AA$60),"dd mmm yy"))&amp;" "&amp;Milestones!$AB$60&amp;" "&amp;Milestones!$AC$60&amp;";  ","")&amp;IF(AND(EDATE($D113,Milestones!$AA$61)&lt;=AsOfDate,IF($R113=0,$X113,IF(AND($T113&lt;&gt;"",EDATE($D113,Milestones!$AA$61)&gt;=$T113),$W113,IF(AND($S113&lt;&gt;"",EDATE($D113,Milestones!$AA$61)&gt;=$S113),$V113,$U113)))=Milestones!$AB$61),UPPER(TEXT(EDATE($D113,Milestones!$AA$61),"dd mmm yy"))&amp;" "&amp;Milestones!$AB$61&amp;" "&amp;Milestones!$AC$61&amp;";  ","")&amp;IF(AND(EDATE($D113,Milestones!$AA$62)&lt;=AsOfDate,IF($R113=0,$X113,IF(AND($T113&lt;&gt;"",EDATE($D113,Milestones!$AA$62)&gt;=$T113),$W113,IF(AND($S113&lt;&gt;"",EDATE($D113,Milestones!$AA$62)&gt;=$S113),$V113,$U113)))=Milestones!$AB$62),UPPER(TEXT(EDATE($D113,Milestones!$AA$62),"dd mmm yy"))&amp;" "&amp;Milestones!$AB$62&amp;" "&amp;Milestones!$AC$62&amp;";  ","")&amp;IF(AND(EDATE($D113,Milestones!$AA$63)&lt;=AsOfDate,IF($R113=0,$X113,IF(AND($T113&lt;&gt;"",EDATE($D113,Milestones!$AA$63)&gt;=$T113),$W113,IF(AND($S113&lt;&gt;"",EDATE($D113,Milestones!$AA$63)&gt;=$S113),$V113,$U113)))=Milestones!$AB$63),UPPER(TEXT(EDATE($D113,Milestones!$AA$63),"dd mmm yy"))&amp;" "&amp;Milestones!$AB$63&amp;" "&amp;Milestones!$AC$63&amp;";  ","")&amp;IF(AND(EDATE($D113,Milestones!$AA$64)&lt;=AsOfDate,IF($R113=0,$X113,IF(AND($T113&lt;&gt;"",EDATE($D113,Milestones!$AA$64)&gt;=$T113),$W113,IF(AND($S113&lt;&gt;"",EDATE($D113,Milestones!$AA$64)&gt;=$S113),$V113,$U113)))=Milestones!$AB$64),UPPER(TEXT(EDATE($D113,Milestones!$AA$64),"dd mmm yy"))&amp;" "&amp;Milestones!$AB$64&amp;" "&amp;Milestones!$AC$64&amp;";  ","")&amp;IF(AND(EDATE($D113,Milestones!$AA$65)&lt;=AsOfDate,IF($R113=0,$X113,IF(AND($T113&lt;&gt;"",EDATE($D113,Milestones!$AA$65)&gt;=$T113),$W113,IF(AND($S113&lt;&gt;"",EDATE($D113,Milestones!$AA$65)&gt;=$S113),$V113,$U113)))=Milestones!$AB$65),UPPER(TEXT(EDATE($D113,Milestones!$AA$65),"dd mmm yy"))&amp;" "&amp;Milestones!$AB$65&amp;" "&amp;Milestones!$AC$65&amp;";  ","")&amp;IF(AND(EDATE($D113,Milestones!$AA$66)&lt;=AsOfDate,IF($R113=0,$X113,IF(AND($T113&lt;&gt;"",EDATE($D113,Milestones!$AA$66)&gt;=$T113),$W113,IF(AND($S113&lt;&gt;"",EDATE($D113,Milestones!$AA$66)&gt;=$S113),$V113,$U113)))=Milestones!$AB$66),UPPER(TEXT(EDATE($D113,Milestones!$AA$66),"dd mmm yy"))&amp;" "&amp;Milestones!$AB$66&amp;" "&amp;Milestones!$AC$66&amp;";  ","")&amp;IF(AND(EDATE($D113,Milestones!$AA$67)&lt;=AsOfDate,IF($R113=0,$X113,IF(AND($T113&lt;&gt;"",EDATE($D113,Milestones!$AA$67)&gt;=$T113),$W113,IF(AND($S113&lt;&gt;"",EDATE($D113,Milestones!$AA$67)&gt;=$S113),$V113,$U113)))=Milestones!$AB$67),UPPER(TEXT(EDATE($D113,Milestones!$AA$67),"dd mmm yy"))&amp;" "&amp;Milestones!$AB$67&amp;" "&amp;Milestones!$AC$67&amp;";  ","")&amp;IF(AND(EDATE($D113,Milestones!$AA$68)&lt;=AsOfDate,IF($R113=0,$X113,IF(AND($T113&lt;&gt;"",EDATE($D113,Milestones!$AA$68)&gt;=$T113),$W113,IF(AND($S113&lt;&gt;"",EDATE($D113,Milestones!$AA$68)&gt;=$S113),$V113,$U113)))=Milestones!$AB$68),UPPER(TEXT(EDATE($D113,Milestones!$AA$68),"dd mmm yy"))&amp;" "&amp;Milestones!$AB$68&amp;" "&amp;Milestones!$AC$68&amp;";  ","")&amp;IF(AND(EDATE($D113,Milestones!$AA$69)&lt;=AsOfDate,IF($R113=0,$X113,IF(AND($T113&lt;&gt;"",EDATE($D113,Milestones!$AA$69)&gt;=$T113),$W113,IF(AND($S113&lt;&gt;"",EDATE($D113,Milestones!$AA$69)&gt;=$S113),$V113,$U113)))=Milestones!$AB$69),UPPER(TEXT(EDATE($D113,Milestones!$AA$69),"dd mmm yy"))&amp;" "&amp;Milestones!$AB$69&amp;" "&amp;Milestones!$AC$69&amp;";  ","")&amp;IF(AND(EDATE($D113,Milestones!$AA$70)&lt;=AsOfDate,IF($R113=0,$X113,IF(AND($T113&lt;&gt;"",EDATE($D113,Milestones!$AA$70)&gt;=$T113),$W113,IF(AND($S113&lt;&gt;"",EDATE($D113,Milestones!$AA$70)&gt;=$S113),$V113,$U113)))=Milestones!$AB$70),UPPER(TEXT(EDATE($D113,Milestones!$AA$70),"dd mmm yy"))&amp;" "&amp;Milestones!$AB$70&amp;" "&amp;Milestones!$AC$70&amp;";  ","")&amp;IF(AND(EDATE($D113,Milestones!$AA$71)&lt;=AsOfDate,IF($R113=0,$X113,IF(AND($T113&lt;&gt;"",EDATE($D113,Milestones!$AA$71)&gt;=$T113),$W113,IF(AND($S113&lt;&gt;"",EDATE($D113,Milestones!$AA$71)&gt;=$S113),$V113,$U113)))=Milestones!$AB$71),UPPER(TEXT(EDATE($D113,Milestones!$AA$71),"dd mmm yy"))&amp;" "&amp;Milestones!$AB$71&amp;" "&amp;Milestones!$AC$71&amp;";  ","")&amp;IF(AND(EDATE($D113,Milestones!$AA$72)&lt;=AsOfDate,IF($R113=0,$X113,IF(AND($T113&lt;&gt;"",EDATE($D113,Milestones!$AA$72)&gt;=$T113),$W113,IF(AND($S113&lt;&gt;"",EDATE($D113,Milestones!$AA$72)&gt;=$S113),$V113,$U113)))=Milestones!$AB$72),UPPER(TEXT(EDATE($D113,Milestones!$AA$72),"dd mmm yy"))&amp;" "&amp;Milestones!$AB$72&amp;" "&amp;Milestones!$AC$72&amp;";  ","")&amp;IF(AND(EDATE($D113,Milestones!$AA$73)&lt;=AsOfDate,IF($R113=0,$X113,IF(AND($T113&lt;&gt;"",EDATE($D113,Milestones!$AA$73)&gt;=$T113),$W113,IF(AND($S113&lt;&gt;"",EDATE($D113,Milestones!$AA$73)&gt;=$S113),$V113,$U113)))=Milestones!$AB$73),UPPER(TEXT(EDATE($D113,Milestones!$AA$73),"dd mmm yy"))&amp;" "&amp;Milestones!$AB$73&amp;" "&amp;Milestones!$AC$73&amp;";  ","")&amp;IF(AND(EDATE($D113,Milestones!$AA$74)&lt;=AsOfDate,IF($R113=0,$X113,IF(AND($T113&lt;&gt;"",EDATE($D113,Milestones!$AA$74)&gt;=$T113),$W113,IF(AND($S113&lt;&gt;"",EDATE($D113,Milestones!$AA$74)&gt;=$S113),$V113,$U113)))=Milestones!$AB$74),UPPER(TEXT(EDATE($D113,Milestones!$AA$74),"dd mmm yy"))&amp;" "&amp;Milestones!$AB$74&amp;" "&amp;Milestones!$AC$74&amp;";  ","")&amp;IF(AND(EDATE($D113,Milestones!$AA$75)&lt;=AsOfDate,IF($R113=0,$X113,IF(AND($T113&lt;&gt;"",EDATE($D113,Milestones!$AA$75)&gt;=$T113),$W113,IF(AND($S113&lt;&gt;"",EDATE($D113,Milestones!$AA$75)&gt;=$S113),$V113,$U113)))=Milestones!$AB$75),UPPER(TEXT(EDATE($D113,Milestones!$AA$75),"dd mmm yy"))&amp;" "&amp;Milestones!$AB$75&amp;" "&amp;Milestones!$AC$75&amp;";  ","")&amp;IF(AND(EDATE($D113,Milestones!$AA$76)&lt;=AsOfDate,IF($R113=0,$X113,IF(AND($T113&lt;&gt;"",EDATE($D113,Milestones!$AA$76)&gt;=$T113),$W113,IF(AND($S113&lt;&gt;"",EDATE($D113,Milestones!$AA$76)&gt;=$S113),$V113,$U113)))=Milestones!$AB$76),UPPER(TEXT(EDATE($D113,Milestones!$AA$76),"dd mmm yy"))&amp;" "&amp;Milestones!$AB$76&amp;" "&amp;Milestones!$AC$76&amp;";  ","")&amp;IF(AND(EDATE($D113,Milestones!$AA$77)&lt;=AsOfDate,IF($R113=0,$X113,IF(AND($T113&lt;&gt;"",EDATE($D113,Milestones!$AA$77)&gt;=$T113),$W113,IF(AND($S113&lt;&gt;"",EDATE($D113,Milestones!$AA$77)&gt;=$S113),$V113,$U113)))=Milestones!$AB$77),UPPER(TEXT(EDATE($D113,Milestones!$AA$77),"dd mmm yy"))&amp;" "&amp;Milestones!$AB$77&amp;" "&amp;Milestones!$AC$77&amp;";  ","")&amp;IF(AND(EDATE($D113,Milestones!$AA$78)&lt;=AsOfDate,IF($R113=0,$X113,IF(AND($T113&lt;&gt;"",EDATE($D113,Milestones!$AA$78)&gt;=$T113),$W113,IF(AND($S113&lt;&gt;"",EDATE($D113,Milestones!$AA$78)&gt;=$S113),$V113,$U113)))=Milestones!$AB$78),UPPER(TEXT(EDATE($D113,Milestones!$AA$78),"dd mmm yy"))&amp;" "&amp;Milestones!$AB$78&amp;" "&amp;Milestones!$AC$78&amp;";  ","")&amp;IF(AND(EDATE($D113,Milestones!$AA$79)&lt;=AsOfDate,IF($R113=0,$X113,IF(AND($T113&lt;&gt;"",EDATE($D113,Milestones!$AA$79)&gt;=$T113),$W113,IF(AND($S113&lt;&gt;"",EDATE($D113,Milestones!$AA$79)&gt;=$S113),$V113,$U113)))=Milestones!$AB$79),UPPER(TEXT(EDATE($D113,Milestones!$AA$79),"dd mmm yy"))&amp;" "&amp;Milestones!$AB$79&amp;" "&amp;Milestones!$AC$79&amp;";  ",""))</f>
        <v/>
      </c>
      <c r="L113" s="0" t="str">
        <f aca="false">IF(OR($A113="",$D113=""),"",IF(AND(EDATE($D113,Milestones!$AA$80)&lt;=AsOfDate,IF($R113=0,$X113,IF(AND($T113&lt;&gt;"",EDATE($D113,Milestones!$AA$80)&gt;=$T113),$W113,IF(AND($S113&lt;&gt;"",EDATE($D113,Milestones!$AA$80)&gt;=$S113),$V113,$U113)))=Milestones!$AB$80),UPPER(TEXT(EDATE($D113,Milestones!$AA$80),"dd mmm yy"))&amp;" "&amp;Milestones!$AB$80&amp;" "&amp;Milestones!$AC$80&amp;";  ","")&amp;IF(AND(EDATE($D113,Milestones!$AA$81)&lt;=AsOfDate,IF($R113=0,$X113,IF(AND($T113&lt;&gt;"",EDATE($D113,Milestones!$AA$81)&gt;=$T113),$W113,IF(AND($S113&lt;&gt;"",EDATE($D113,Milestones!$AA$81)&gt;=$S113),$V113,$U113)))=Milestones!$AB$81),UPPER(TEXT(EDATE($D113,Milestones!$AA$81),"dd mmm yy"))&amp;" "&amp;Milestones!$AB$81&amp;" "&amp;Milestones!$AC$81&amp;";  ","")&amp;IF(AND(EDATE($D113,Milestones!$AA$82)&lt;=AsOfDate,IF($R113=0,$X113,IF(AND($T113&lt;&gt;"",EDATE($D113,Milestones!$AA$82)&gt;=$T113),$W113,IF(AND($S113&lt;&gt;"",EDATE($D113,Milestones!$AA$82)&gt;=$S113),$V113,$U113)))=Milestones!$AB$82),UPPER(TEXT(EDATE($D113,Milestones!$AA$82),"dd mmm yy"))&amp;" "&amp;Milestones!$AB$82&amp;" "&amp;Milestones!$AC$82&amp;";  ","")&amp;IF(AND(EDATE($D113,Milestones!$AA$83)&lt;=AsOfDate,IF($R113=0,$X113,IF(AND($T113&lt;&gt;"",EDATE($D113,Milestones!$AA$83)&gt;=$T113),$W113,IF(AND($S113&lt;&gt;"",EDATE($D113,Milestones!$AA$83)&gt;=$S113),$V113,$U113)))=Milestones!$AB$83),UPPER(TEXT(EDATE($D113,Milestones!$AA$83),"dd mmm yy"))&amp;" "&amp;Milestones!$AB$83&amp;" "&amp;Milestones!$AC$83&amp;";  ","")&amp;IF(AND(EDATE($D113,Milestones!$AA$84)&lt;=AsOfDate,IF($R113=0,$X113,IF(AND($T113&lt;&gt;"",EDATE($D113,Milestones!$AA$84)&gt;=$T113),$W113,IF(AND($S113&lt;&gt;"",EDATE($D113,Milestones!$AA$84)&gt;=$S113),$V113,$U113)))=Milestones!$AB$84),UPPER(TEXT(EDATE($D113,Milestones!$AA$84),"dd mmm yy"))&amp;" "&amp;Milestones!$AB$84&amp;" "&amp;Milestones!$AC$84&amp;";  ","")&amp;IF(AND(EDATE($D113,Milestones!$AA$85)&lt;=AsOfDate,IF($R113=0,$X113,IF(AND($T113&lt;&gt;"",EDATE($D113,Milestones!$AA$85)&gt;=$T113),$W113,IF(AND($S113&lt;&gt;"",EDATE($D113,Milestones!$AA$85)&gt;=$S113),$V113,$U113)))=Milestones!$AB$85),UPPER(TEXT(EDATE($D113,Milestones!$AA$85),"dd mmm yy"))&amp;" "&amp;Milestones!$AB$85&amp;" "&amp;Milestones!$AC$85&amp;";  ","")&amp;IF(AND(EDATE($D113,Milestones!$AA$86)&lt;=AsOfDate,IF($R113=0,$X113,IF(AND($T113&lt;&gt;"",EDATE($D113,Milestones!$AA$86)&gt;=$T113),$W113,IF(AND($S113&lt;&gt;"",EDATE($D113,Milestones!$AA$86)&gt;=$S113),$V113,$U113)))=Milestones!$AB$86),UPPER(TEXT(EDATE($D113,Milestones!$AA$86),"dd mmm yy"))&amp;" "&amp;Milestones!$AB$86&amp;" "&amp;Milestones!$AC$86&amp;";  ","")&amp;IF(AND(EDATE($D113,Milestones!$AA$87)&lt;=AsOfDate,IF($R113=0,$X113,IF(AND($T113&lt;&gt;"",EDATE($D113,Milestones!$AA$87)&gt;=$T113),$W113,IF(AND($S113&lt;&gt;"",EDATE($D113,Milestones!$AA$87)&gt;=$S113),$V113,$U113)))=Milestones!$AB$87),UPPER(TEXT(EDATE($D113,Milestones!$AA$87),"dd mmm yy"))&amp;" "&amp;Milestones!$AB$87&amp;" "&amp;Milestones!$AC$87&amp;";  ","")&amp;IF(AND(EDATE($D113,Milestones!$AA$88)&lt;=AsOfDate,IF($R113=0,$X113,IF(AND($T113&lt;&gt;"",EDATE($D113,Milestones!$AA$88)&gt;=$T113),$W113,IF(AND($S113&lt;&gt;"",EDATE($D113,Milestones!$AA$88)&gt;=$S113),$V113,$U113)))=Milestones!$AB$88),UPPER(TEXT(EDATE($D113,Milestones!$AA$88),"dd mmm yy"))&amp;" "&amp;Milestones!$AB$88&amp;" "&amp;Milestones!$AC$88&amp;";  ","")&amp;IF(AND(EDATE($D113,Milestones!$AA$89)&lt;=AsOfDate,IF($R113=0,$X113,IF(AND($T113&lt;&gt;"",EDATE($D113,Milestones!$AA$89)&gt;=$T113),$W113,IF(AND($S113&lt;&gt;"",EDATE($D113,Milestones!$AA$89)&gt;=$S113),$V113,$U113)))=Milestones!$AB$89),UPPER(TEXT(EDATE($D113,Milestones!$AA$89),"dd mmm yy"))&amp;" "&amp;Milestones!$AB$89&amp;" "&amp;Milestones!$AC$89&amp;";  ","")&amp;IF(AND(EDATE($D113,Milestones!$AA$90)&lt;=AsOfDate,IF($R113=0,$X113,IF(AND($T113&lt;&gt;"",EDATE($D113,Milestones!$AA$90)&gt;=$T113),$W113,IF(AND($S113&lt;&gt;"",EDATE($D113,Milestones!$AA$90)&gt;=$S113),$V113,$U113)))=Milestones!$AB$90),UPPER(TEXT(EDATE($D113,Milestones!$AA$90),"dd mmm yy"))&amp;" "&amp;Milestones!$AB$90&amp;" "&amp;Milestones!$AC$90&amp;";  ","")&amp;IF(AND(EDATE($D113,Milestones!$AA$91)&lt;=AsOfDate,IF($R113=0,$X113,IF(AND($T113&lt;&gt;"",EDATE($D113,Milestones!$AA$91)&gt;=$T113),$W113,IF(AND($S113&lt;&gt;"",EDATE($D113,Milestones!$AA$91)&gt;=$S113),$V113,$U113)))=Milestones!$AB$91),UPPER(TEXT(EDATE($D113,Milestones!$AA$91),"dd mmm yy"))&amp;" "&amp;Milestones!$AB$91&amp;" "&amp;Milestones!$AC$91&amp;";  ","")&amp;IF(AND(EDATE($D113,Milestones!$AA$92)&lt;=AsOfDate,IF($R113=0,$X113,IF(AND($T113&lt;&gt;"",EDATE($D113,Milestones!$AA$92)&gt;=$T113),$W113,IF(AND($S113&lt;&gt;"",EDATE($D113,Milestones!$AA$92)&gt;=$S113),$V113,$U113)))=Milestones!$AB$92),UPPER(TEXT(EDATE($D113,Milestones!$AA$92),"dd mmm yy"))&amp;" "&amp;Milestones!$AB$92&amp;" "&amp;Milestones!$AC$92&amp;";  ","")&amp;IF(AND(EDATE($D113,Milestones!$AA$93)&lt;=AsOfDate,IF($R113=0,$X113,IF(AND($T113&lt;&gt;"",EDATE($D113,Milestones!$AA$93)&gt;=$T113),$W113,IF(AND($S113&lt;&gt;"",EDATE($D113,Milestones!$AA$93)&gt;=$S113),$V113,$U113)))=Milestones!$AB$93),UPPER(TEXT(EDATE($D113,Milestones!$AA$93),"dd mmm yy"))&amp;" "&amp;Milestones!$AB$93&amp;" "&amp;Milestones!$AC$93&amp;";  ","")&amp;IF(AND(EDATE($D113,Milestones!$AA$94)&lt;=AsOfDate,IF($R113=0,$X113,IF(AND($T113&lt;&gt;"",EDATE($D113,Milestones!$AA$94)&gt;=$T113),$W113,IF(AND($S113&lt;&gt;"",EDATE($D113,Milestones!$AA$94)&gt;=$S113),$V113,$U113)))=Milestones!$AB$94),UPPER(TEXT(EDATE($D113,Milestones!$AA$94),"dd mmm yy"))&amp;" "&amp;Milestones!$AB$94&amp;" "&amp;Milestones!$AC$94&amp;";  ","")&amp;IF(AND(EDATE($D113,Milestones!$AA$95)&lt;=AsOfDate,IF($R113=0,$X113,IF(AND($T113&lt;&gt;"",EDATE($D113,Milestones!$AA$95)&gt;=$T113),$W113,IF(AND($S113&lt;&gt;"",EDATE($D113,Milestones!$AA$95)&gt;=$S113),$V113,$U113)))=Milestones!$AB$95),UPPER(TEXT(EDATE($D113,Milestones!$AA$95),"dd mmm yy"))&amp;" "&amp;Milestones!$AB$95&amp;" "&amp;Milestones!$AC$95&amp;";  ","")&amp;IF(AND(EDATE($D113,Milestones!$AA$96)&lt;=AsOfDate,IF($R113=0,$X113,IF(AND($T113&lt;&gt;"",EDATE($D113,Milestones!$AA$96)&gt;=$T113),$W113,IF(AND($S113&lt;&gt;"",EDATE($D113,Milestones!$AA$96)&gt;=$S113),$V113,$U113)))=Milestones!$AB$96),UPPER(TEXT(EDATE($D113,Milestones!$AA$96),"dd mmm yy"))&amp;" "&amp;Milestones!$AB$96&amp;" "&amp;Milestones!$AC$96&amp;";  ","")&amp;IF(AND(EDATE($D113,Milestones!$AA$97)&lt;=AsOfDate,IF($R113=0,$X113,IF(AND($T113&lt;&gt;"",EDATE($D113,Milestones!$AA$97)&gt;=$T113),$W113,IF(AND($S113&lt;&gt;"",EDATE($D113,Milestones!$AA$97)&gt;=$S113),$V113,$U113)))=Milestones!$AB$97),UPPER(TEXT(EDATE($D113,Milestones!$AA$97),"dd mmm yy"))&amp;" "&amp;Milestones!$AB$97&amp;" "&amp;Milestones!$AC$97&amp;";  ","")&amp;IF(AND(EDATE($D113,Milestones!$AA$98)&lt;=AsOfDate,IF($R113=0,$X113,IF(AND($T113&lt;&gt;"",EDATE($D113,Milestones!$AA$98)&gt;=$T113),$W113,IF(AND($S113&lt;&gt;"",EDATE($D113,Milestones!$AA$98)&gt;=$S113),$V113,$U113)))=Milestones!$AB$98),UPPER(TEXT(EDATE($D113,Milestones!$AA$98),"dd mmm yy"))&amp;" "&amp;Milestones!$AB$98&amp;" "&amp;Milestones!$AC$98&amp;";  ","")&amp;IF(AND(EDATE($D113,Milestones!$AA$99)&lt;=AsOfDate,IF($R113=0,$X113,IF(AND($T113&lt;&gt;"",EDATE($D113,Milestones!$AA$99)&gt;=$T113),$W113,IF(AND($S113&lt;&gt;"",EDATE($D113,Milestones!$AA$99)&gt;=$S113),$V113,$U113)))=Milestones!$AB$99),UPPER(TEXT(EDATE($D113,Milestones!$AA$99),"dd mmm yy"))&amp;" "&amp;Milestones!$AB$99&amp;" "&amp;Milestones!$AC$99&amp;";  ",""))</f>
        <v/>
      </c>
      <c r="M113" s="0" t="str">
        <f aca="false">IF(OR($A113="",$D113=""),"",IF(AND(EDATE($D113,Milestones!$AA$100)&lt;=AsOfDate,IF($R113=0,$X113,IF(AND($T113&lt;&gt;"",EDATE($D113,Milestones!$AA$100)&gt;=$T113),$W113,IF(AND($S113&lt;&gt;"",EDATE($D113,Milestones!$AA$100)&gt;=$S113),$V113,$U113)))=Milestones!$AB$100),UPPER(TEXT(EDATE($D113,Milestones!$AA$100),"dd mmm yy"))&amp;" "&amp;Milestones!$AB$100&amp;" "&amp;Milestones!$AC$100&amp;";  ","")&amp;IF(AND(EDATE($D113,Milestones!$AA$101)&lt;=AsOfDate,IF($R113=0,$X113,IF(AND($T113&lt;&gt;"",EDATE($D113,Milestones!$AA$101)&gt;=$T113),$W113,IF(AND($S113&lt;&gt;"",EDATE($D113,Milestones!$AA$101)&gt;=$S113),$V113,$U113)))=Milestones!$AB$101),UPPER(TEXT(EDATE($D113,Milestones!$AA$101),"dd mmm yy"))&amp;" "&amp;Milestones!$AB$101&amp;" "&amp;Milestones!$AC$101&amp;";  ","")&amp;IF(AND(EDATE($D113,Milestones!$AA$102)&lt;=AsOfDate,IF($R113=0,$X113,IF(AND($T113&lt;&gt;"",EDATE($D113,Milestones!$AA$102)&gt;=$T113),$W113,IF(AND($S113&lt;&gt;"",EDATE($D113,Milestones!$AA$102)&gt;=$S113),$V113,$U113)))=Milestones!$AB$102),UPPER(TEXT(EDATE($D113,Milestones!$AA$102),"dd mmm yy"))&amp;" "&amp;Milestones!$AB$102&amp;" "&amp;Milestones!$AC$102&amp;";  ","")&amp;IF(AND(EDATE($D113,Milestones!$AA$103)&lt;=AsOfDate,IF($R113=0,$X113,IF(AND($T113&lt;&gt;"",EDATE($D113,Milestones!$AA$103)&gt;=$T113),$W113,IF(AND($S113&lt;&gt;"",EDATE($D113,Milestones!$AA$103)&gt;=$S113),$V113,$U113)))=Milestones!$AB$103),UPPER(TEXT(EDATE($D113,Milestones!$AA$103),"dd mmm yy"))&amp;" "&amp;Milestones!$AB$103&amp;" "&amp;Milestones!$AC$103&amp;";  ","")&amp;IF(AND(EDATE($D113,Milestones!$AA$104)&lt;=AsOfDate,IF($R113=0,$X113,IF(AND($T113&lt;&gt;"",EDATE($D113,Milestones!$AA$104)&gt;=$T113),$W113,IF(AND($S113&lt;&gt;"",EDATE($D113,Milestones!$AA$104)&gt;=$S113),$V113,$U113)))=Milestones!$AB$104),UPPER(TEXT(EDATE($D113,Milestones!$AA$104),"dd mmm yy"))&amp;" "&amp;Milestones!$AB$104&amp;" "&amp;Milestones!$AC$104&amp;";  ","")&amp;IF(AND(EDATE($D113,Milestones!$AA$105)&lt;=AsOfDate,IF($R113=0,$X113,IF(AND($T113&lt;&gt;"",EDATE($D113,Milestones!$AA$105)&gt;=$T113),$W113,IF(AND($S113&lt;&gt;"",EDATE($D113,Milestones!$AA$105)&gt;=$S113),$V113,$U113)))=Milestones!$AB$105),UPPER(TEXT(EDATE($D113,Milestones!$AA$105),"dd mmm yy"))&amp;" "&amp;Milestones!$AB$105&amp;" "&amp;Milestones!$AC$105&amp;";  ","")&amp;IF(AND(EDATE($D113,Milestones!$AA$106)&lt;=AsOfDate,IF($R113=0,$X113,IF(AND($T113&lt;&gt;"",EDATE($D113,Milestones!$AA$106)&gt;=$T113),$W113,IF(AND($S113&lt;&gt;"",EDATE($D113,Milestones!$AA$106)&gt;=$S113),$V113,$U113)))=Milestones!$AB$106),UPPER(TEXT(EDATE($D113,Milestones!$AA$106),"dd mmm yy"))&amp;" "&amp;Milestones!$AB$106&amp;" "&amp;Milestones!$AC$106&amp;";  ","")&amp;IF(AND(EDATE($D113,Milestones!$AA$107)&lt;=AsOfDate,IF($R113=0,$X113,IF(AND($T113&lt;&gt;"",EDATE($D113,Milestones!$AA$107)&gt;=$T113),$W113,IF(AND($S113&lt;&gt;"",EDATE($D113,Milestones!$AA$107)&gt;=$S113),$V113,$U113)))=Milestones!$AB$107),UPPER(TEXT(EDATE($D113,Milestones!$AA$107),"dd mmm yy"))&amp;" "&amp;Milestones!$AB$107&amp;" "&amp;Milestones!$AC$107&amp;";  ","")&amp;IF(AND(EDATE($D113,Milestones!$AA$108)&lt;=AsOfDate,IF($R113=0,$X113,IF(AND($T113&lt;&gt;"",EDATE($D113,Milestones!$AA$108)&gt;=$T113),$W113,IF(AND($S113&lt;&gt;"",EDATE($D113,Milestones!$AA$108)&gt;=$S113),$V113,$U113)))=Milestones!$AB$108),UPPER(TEXT(EDATE($D113,Milestones!$AA$108),"dd mmm yy"))&amp;" "&amp;Milestones!$AB$108&amp;" "&amp;Milestones!$AC$108&amp;";  ","")&amp;IF(AND(EDATE($D113,Milestones!$AA$109)&lt;=AsOfDate,IF($R113=0,$X113,IF(AND($T113&lt;&gt;"",EDATE($D113,Milestones!$AA$109)&gt;=$T113),$W113,IF(AND($S113&lt;&gt;"",EDATE($D113,Milestones!$AA$109)&gt;=$S113),$V113,$U113)))=Milestones!$AB$109),UPPER(TEXT(EDATE($D113,Milestones!$AA$109),"dd mmm yy"))&amp;" "&amp;Milestones!$AB$109&amp;" "&amp;Milestones!$AC$109&amp;";  ","")&amp;IF(AND(EDATE($D113,Milestones!$AA$110)&lt;=AsOfDate,IF($R113=0,$X113,IF(AND($T113&lt;&gt;"",EDATE($D113,Milestones!$AA$110)&gt;=$T113),$W113,IF(AND($S113&lt;&gt;"",EDATE($D113,Milestones!$AA$110)&gt;=$S113),$V113,$U113)))=Milestones!$AB$110),UPPER(TEXT(EDATE($D113,Milestones!$AA$110),"dd mmm yy"))&amp;" "&amp;Milestones!$AB$110&amp;" "&amp;Milestones!$AC$110&amp;";  ","")&amp;IF(AND(EDATE($D113,Milestones!$AA$111)&lt;=AsOfDate,IF($R113=0,$X113,IF(AND($T113&lt;&gt;"",EDATE($D113,Milestones!$AA$111)&gt;=$T113),$W113,IF(AND($S113&lt;&gt;"",EDATE($D113,Milestones!$AA$111)&gt;=$S113),$V113,$U113)))=Milestones!$AB$111),UPPER(TEXT(EDATE($D113,Milestones!$AA$111),"dd mmm yy"))&amp;" "&amp;Milestones!$AB$111&amp;" "&amp;Milestones!$AC$111&amp;";  ","")&amp;IF(AND(EDATE($D113,Milestones!$AA$112)&lt;=AsOfDate,IF($R113=0,$X113,IF(AND($T113&lt;&gt;"",EDATE($D113,Milestones!$AA$112)&gt;=$T113),$W113,IF(AND($S113&lt;&gt;"",EDATE($D113,Milestones!$AA$112)&gt;=$S113),$V113,$U113)))=Milestones!$AB$112),UPPER(TEXT(EDATE($D113,Milestones!$AA$112),"dd mmm yy"))&amp;" "&amp;Milestones!$AB$112&amp;" "&amp;Milestones!$AC$112&amp;";  ","")&amp;IF(AND(EDATE($D113,Milestones!$AA$113)&lt;=AsOfDate,IF($R113=0,$X113,IF(AND($T113&lt;&gt;"",EDATE($D113,Milestones!$AA$113)&gt;=$T113),$W113,IF(AND($S113&lt;&gt;"",EDATE($D113,Milestones!$AA$113)&gt;=$S113),$V113,$U113)))=Milestones!$AB$113),UPPER(TEXT(EDATE($D113,Milestones!$AA$113),"dd mmm yy"))&amp;" "&amp;Milestones!$AB$113&amp;" "&amp;Milestones!$AC$113&amp;";  ","")&amp;IF(AND(EDATE($D113,Milestones!$AA$114)&lt;=AsOfDate,IF($R113=0,$X113,IF(AND($T113&lt;&gt;"",EDATE($D113,Milestones!$AA$114)&gt;=$T113),$W113,IF(AND($S113&lt;&gt;"",EDATE($D113,Milestones!$AA$114)&gt;=$S113),$V113,$U113)))=Milestones!$AB$114),UPPER(TEXT(EDATE($D113,Milestones!$AA$114),"dd mmm yy"))&amp;" "&amp;Milestones!$AB$114&amp;" "&amp;Milestones!$AC$114&amp;";  ","")&amp;IF(AND(EDATE($D113,Milestones!$AA$115)&lt;=AsOfDate,IF($R113=0,$X113,IF(AND($T113&lt;&gt;"",EDATE($D113,Milestones!$AA$115)&gt;=$T113),$W113,IF(AND($S113&lt;&gt;"",EDATE($D113,Milestones!$AA$115)&gt;=$S113),$V113,$U113)))=Milestones!$AB$115),UPPER(TEXT(EDATE($D113,Milestones!$AA$115),"dd mmm yy"))&amp;" "&amp;Milestones!$AB$115&amp;" "&amp;Milestones!$AC$115&amp;";  ","")&amp;IF(AND(EDATE($D113,Milestones!$AA$116)&lt;=AsOfDate,IF($R113=0,$X113,IF(AND($T113&lt;&gt;"",EDATE($D113,Milestones!$AA$116)&gt;=$T113),$W113,IF(AND($S113&lt;&gt;"",EDATE($D113,Milestones!$AA$116)&gt;=$S113),$V113,$U113)))=Milestones!$AB$116),UPPER(TEXT(EDATE($D113,Milestones!$AA$116),"dd mmm yy"))&amp;" "&amp;Milestones!$AB$116&amp;" "&amp;Milestones!$AC$116&amp;";  ","")&amp;IF(AND(EDATE($D113,Milestones!$AA$117)&lt;=AsOfDate,IF($R113=0,$X113,IF(AND($T113&lt;&gt;"",EDATE($D113,Milestones!$AA$117)&gt;=$T113),$W113,IF(AND($S113&lt;&gt;"",EDATE($D113,Milestones!$AA$117)&gt;=$S113),$V113,$U113)))=Milestones!$AB$117),UPPER(TEXT(EDATE($D113,Milestones!$AA$117),"dd mmm yy"))&amp;" "&amp;Milestones!$AB$117&amp;" "&amp;Milestones!$AC$117&amp;";  ","")&amp;IF(AND(EDATE($D113,Milestones!$AA$118)&lt;=AsOfDate,IF($R113=0,$X113,IF(AND($T113&lt;&gt;"",EDATE($D113,Milestones!$AA$118)&gt;=$T113),$W113,IF(AND($S113&lt;&gt;"",EDATE($D113,Milestones!$AA$118)&gt;=$S113),$V113,$U113)))=Milestones!$AB$118),UPPER(TEXT(EDATE($D113,Milestones!$AA$118),"dd mmm yy"))&amp;" "&amp;Milestones!$AB$118&amp;" "&amp;Milestones!$AC$118&amp;";  ","")&amp;IF(AND(EDATE($D113,Milestones!$AA$119)&lt;=AsOfDate,IF($R113=0,$X113,IF(AND($T113&lt;&gt;"",EDATE($D113,Milestones!$AA$119)&gt;=$T113),$W113,IF(AND($S113&lt;&gt;"",EDATE($D113,Milestones!$AA$119)&gt;=$S113),$V113,$U113)))=Milestones!$AB$119),UPPER(TEXT(EDATE($D113,Milestones!$AA$119),"dd mmm yy"))&amp;" "&amp;Milestones!$AB$119&amp;" "&amp;Milestones!$AC$119&amp;";  ",""))</f>
        <v/>
      </c>
      <c r="N113" s="0" t="str">
        <f aca="false">IF(OR($A113="",$D113=""),"",IF(AND(EDATE($D113,Milestones!$AA$120)&lt;=AsOfDate,IF($R113=0,$X113,IF(AND($T113&lt;&gt;"",EDATE($D113,Milestones!$AA$120)&gt;=$T113),$W113,IF(AND($S113&lt;&gt;"",EDATE($D113,Milestones!$AA$120)&gt;=$S113),$V113,$U113)))=Milestones!$AB$120),UPPER(TEXT(EDATE($D113,Milestones!$AA$120),"dd mmm yy"))&amp;" "&amp;Milestones!$AB$120&amp;" "&amp;Milestones!$AC$120&amp;";  ","")&amp;IF(AND(EDATE($D113,Milestones!$AA$121)&lt;=AsOfDate,IF($R113=0,$X113,IF(AND($T113&lt;&gt;"",EDATE($D113,Milestones!$AA$121)&gt;=$T113),$W113,IF(AND($S113&lt;&gt;"",EDATE($D113,Milestones!$AA$121)&gt;=$S113),$V113,$U113)))=Milestones!$AB$121),UPPER(TEXT(EDATE($D113,Milestones!$AA$121),"dd mmm yy"))&amp;" "&amp;Milestones!$AB$121&amp;" "&amp;Milestones!$AC$121&amp;";  ","")&amp;IF(AND(EDATE($D113,Milestones!$AA$122)&lt;=AsOfDate,IF($R113=0,$X113,IF(AND($T113&lt;&gt;"",EDATE($D113,Milestones!$AA$122)&gt;=$T113),$W113,IF(AND($S113&lt;&gt;"",EDATE($D113,Milestones!$AA$122)&gt;=$S113),$V113,$U113)))=Milestones!$AB$122),UPPER(TEXT(EDATE($D113,Milestones!$AA$122),"dd mmm yy"))&amp;" "&amp;Milestones!$AB$122&amp;" "&amp;Milestones!$AC$122&amp;";  ","")&amp;IF(AND(EDATE($D113,Milestones!$AA$123)&lt;=AsOfDate,IF($R113=0,$X113,IF(AND($T113&lt;&gt;"",EDATE($D113,Milestones!$AA$123)&gt;=$T113),$W113,IF(AND($S113&lt;&gt;"",EDATE($D113,Milestones!$AA$123)&gt;=$S113),$V113,$U113)))=Milestones!$AB$123),UPPER(TEXT(EDATE($D113,Milestones!$AA$123),"dd mmm yy"))&amp;" "&amp;Milestones!$AB$123&amp;" "&amp;Milestones!$AC$123&amp;";  ","")&amp;IF(AND(EDATE($D113,Milestones!$AA$124)&lt;=AsOfDate,IF($R113=0,$X113,IF(AND($T113&lt;&gt;"",EDATE($D113,Milestones!$AA$124)&gt;=$T113),$W113,IF(AND($S113&lt;&gt;"",EDATE($D113,Milestones!$AA$124)&gt;=$S113),$V113,$U113)))=Milestones!$AB$124),UPPER(TEXT(EDATE($D113,Milestones!$AA$124),"dd mmm yy"))&amp;" "&amp;Milestones!$AB$124&amp;" "&amp;Milestones!$AC$124&amp;";  ","")&amp;IF(AND(EDATE($D113,Milestones!$AA$125)&lt;=AsOfDate,IF($R113=0,$X113,IF(AND($T113&lt;&gt;"",EDATE($D113,Milestones!$AA$125)&gt;=$T113),$W113,IF(AND($S113&lt;&gt;"",EDATE($D113,Milestones!$AA$125)&gt;=$S113),$V113,$U113)))=Milestones!$AB$125),UPPER(TEXT(EDATE($D113,Milestones!$AA$125),"dd mmm yy"))&amp;" "&amp;Milestones!$AB$125&amp;" "&amp;Milestones!$AC$125&amp;";  ","")&amp;IF(AND(EDATE($D113,Milestones!$AA$126)&lt;=AsOfDate,IF($R113=0,$X113,IF(AND($T113&lt;&gt;"",EDATE($D113,Milestones!$AA$126)&gt;=$T113),$W113,IF(AND($S113&lt;&gt;"",EDATE($D113,Milestones!$AA$126)&gt;=$S113),$V113,$U113)))=Milestones!$AB$126),UPPER(TEXT(EDATE($D113,Milestones!$AA$126),"dd mmm yy"))&amp;" "&amp;Milestones!$AB$126&amp;" "&amp;Milestones!$AC$126&amp;";  ","")&amp;IF(AND(EDATE($D113,Milestones!$AA$127)&lt;=AsOfDate,IF($R113=0,$X113,IF(AND($T113&lt;&gt;"",EDATE($D113,Milestones!$AA$127)&gt;=$T113),$W113,IF(AND($S113&lt;&gt;"",EDATE($D113,Milestones!$AA$127)&gt;=$S113),$V113,$U113)))=Milestones!$AB$127),UPPER(TEXT(EDATE($D113,Milestones!$AA$127),"dd mmm yy"))&amp;" "&amp;Milestones!$AB$127&amp;" "&amp;Milestones!$AC$127&amp;";  ","")&amp;IF(AND(EDATE($D113,Milestones!$AA$128)&lt;=AsOfDate,IF($R113=0,$X113,IF(AND($T113&lt;&gt;"",EDATE($D113,Milestones!$AA$128)&gt;=$T113),$W113,IF(AND($S113&lt;&gt;"",EDATE($D113,Milestones!$AA$128)&gt;=$S113),$V113,$U113)))=Milestones!$AB$128),UPPER(TEXT(EDATE($D113,Milestones!$AA$128),"dd mmm yy"))&amp;" "&amp;Milestones!$AB$128&amp;" "&amp;Milestones!$AC$128&amp;";  ","")&amp;IF(AND(EDATE($D113,Milestones!$AA$129)&lt;=AsOfDate,IF($R113=0,$X113,IF(AND($T113&lt;&gt;"",EDATE($D113,Milestones!$AA$129)&gt;=$T113),$W113,IF(AND($S113&lt;&gt;"",EDATE($D113,Milestones!$AA$129)&gt;=$S113),$V113,$U113)))=Milestones!$AB$129),UPPER(TEXT(EDATE($D113,Milestones!$AA$129),"dd mmm yy"))&amp;" "&amp;Milestones!$AB$129&amp;" "&amp;Milestones!$AC$129&amp;";  ","")&amp;IF(AND(EDATE($D113,Milestones!$AA$130)&lt;=AsOfDate,IF($R113=0,$X113,IF(AND($T113&lt;&gt;"",EDATE($D113,Milestones!$AA$130)&gt;=$T113),$W113,IF(AND($S113&lt;&gt;"",EDATE($D113,Milestones!$AA$130)&gt;=$S113),$V113,$U113)))=Milestones!$AB$130),UPPER(TEXT(EDATE($D113,Milestones!$AA$130),"dd mmm yy"))&amp;" "&amp;Milestones!$AB$130&amp;" "&amp;Milestones!$AC$130&amp;";  ","")&amp;IF(AND(EDATE($D113,Milestones!$AA$131)&lt;=AsOfDate,IF($R113=0,$X113,IF(AND($T113&lt;&gt;"",EDATE($D113,Milestones!$AA$131)&gt;=$T113),$W113,IF(AND($S113&lt;&gt;"",EDATE($D113,Milestones!$AA$131)&gt;=$S113),$V113,$U113)))=Milestones!$AB$131),UPPER(TEXT(EDATE($D113,Milestones!$AA$131),"dd mmm yy"))&amp;" "&amp;Milestones!$AB$131&amp;" "&amp;Milestones!$AC$131&amp;";  ","")&amp;IF(AND(EDATE($D113,Milestones!$AA$132)&lt;=AsOfDate,IF($R113=0,$X113,IF(AND($T113&lt;&gt;"",EDATE($D113,Milestones!$AA$132)&gt;=$T113),$W113,IF(AND($S113&lt;&gt;"",EDATE($D113,Milestones!$AA$132)&gt;=$S113),$V113,$U113)))=Milestones!$AB$132),UPPER(TEXT(EDATE($D113,Milestones!$AA$132),"dd mmm yy"))&amp;" "&amp;Milestones!$AB$132&amp;" "&amp;Milestones!$AC$132&amp;";  ","")&amp;IF(AND(EDATE($D113,Milestones!$AA$133)&lt;=AsOfDate,IF($R113=0,$X113,IF(AND($T113&lt;&gt;"",EDATE($D113,Milestones!$AA$133)&gt;=$T113),$W113,IF(AND($S113&lt;&gt;"",EDATE($D113,Milestones!$AA$133)&gt;=$S113),$V113,$U113)))=Milestones!$AB$133),UPPER(TEXT(EDATE($D113,Milestones!$AA$133),"dd mmm yy"))&amp;" "&amp;Milestones!$AB$133&amp;" "&amp;Milestones!$AC$133&amp;";  ","")&amp;IF(AND(EDATE($D113,Milestones!$AA$134)&lt;=AsOfDate,IF($R113=0,$X113,IF(AND($T113&lt;&gt;"",EDATE($D113,Milestones!$AA$134)&gt;=$T113),$W113,IF(AND($S113&lt;&gt;"",EDATE($D113,Milestones!$AA$134)&gt;=$S113),$V113,$U113)))=Milestones!$AB$134),UPPER(TEXT(EDATE($D113,Milestones!$AA$134),"dd mmm yy"))&amp;" "&amp;Milestones!$AB$134&amp;" "&amp;Milestones!$AC$134&amp;";  ","")&amp;IF(AND(EDATE($D113,Milestones!$AA$135)&lt;=AsOfDate,IF($R113=0,$X113,IF(AND($T113&lt;&gt;"",EDATE($D113,Milestones!$AA$135)&gt;=$T113),$W113,IF(AND($S113&lt;&gt;"",EDATE($D113,Milestones!$AA$135)&gt;=$S113),$V113,$U113)))=Milestones!$AB$135),UPPER(TEXT(EDATE($D113,Milestones!$AA$135),"dd mmm yy"))&amp;" "&amp;Milestones!$AB$135&amp;" "&amp;Milestones!$AC$135&amp;";  ","")&amp;IF(AND(EDATE($D113,Milestones!$AA$136)&lt;=AsOfDate,IF($R113=0,$X113,IF(AND($T113&lt;&gt;"",EDATE($D113,Milestones!$AA$136)&gt;=$T113),$W113,IF(AND($S113&lt;&gt;"",EDATE($D113,Milestones!$AA$136)&gt;=$S113),$V113,$U113)))=Milestones!$AB$136),UPPER(TEXT(EDATE($D113,Milestones!$AA$136),"dd mmm yy"))&amp;" "&amp;Milestones!$AB$136&amp;" "&amp;Milestones!$AC$136&amp;";  ","")&amp;IF(AND(EDATE($D113,Milestones!$AA$137)&lt;=AsOfDate,IF($R113=0,$X113,IF(AND($T113&lt;&gt;"",EDATE($D113,Milestones!$AA$137)&gt;=$T113),$W113,IF(AND($S113&lt;&gt;"",EDATE($D113,Milestones!$AA$137)&gt;=$S113),$V113,$U113)))=Milestones!$AB$137),UPPER(TEXT(EDATE($D113,Milestones!$AA$137),"dd mmm yy"))&amp;" "&amp;Milestones!$AB$137&amp;" "&amp;Milestones!$AC$137&amp;";  ","")&amp;IF(AND(EDATE($D113,Milestones!$AA$138)&lt;=AsOfDate,IF($R113=0,$X113,IF(AND($T113&lt;&gt;"",EDATE($D113,Milestones!$AA$138)&gt;=$T113),$W113,IF(AND($S113&lt;&gt;"",EDATE($D113,Milestones!$AA$138)&gt;=$S113),$V113,$U113)))=Milestones!$AB$138),UPPER(TEXT(EDATE($D113,Milestones!$AA$138),"dd mmm yy"))&amp;" "&amp;Milestones!$AB$138&amp;" "&amp;Milestones!$AC$138&amp;";  ","")&amp;IF(AND(EDATE($D113,Milestones!$AA$139)&lt;=AsOfDate,IF($R113=0,$X113,IF(AND($T113&lt;&gt;"",EDATE($D113,Milestones!$AA$139)&gt;=$T113),$W113,IF(AND($S113&lt;&gt;"",EDATE($D113,Milestones!$AA$139)&gt;=$S113),$V113,$U113)))=Milestones!$AB$139),UPPER(TEXT(EDATE($D113,Milestones!$AA$139),"dd mmm yy"))&amp;" "&amp;Milestones!$AB$139&amp;" "&amp;Milestones!$AC$139&amp;";  ",""))</f>
        <v/>
      </c>
      <c r="O113" s="0" t="str">
        <f aca="false">IF(OR($A113="",$D113=""),"",IF(AND(EDATE($D113,Milestones!$AA$140)&lt;=AsOfDate,IF($R113=0,$X113,IF(AND($T113&lt;&gt;"",EDATE($D113,Milestones!$AA$140)&gt;=$T113),$W113,IF(AND($S113&lt;&gt;"",EDATE($D113,Milestones!$AA$140)&gt;=$S113),$V113,$U113)))=Milestones!$AB$140),UPPER(TEXT(EDATE($D113,Milestones!$AA$140),"dd mmm yy"))&amp;" "&amp;Milestones!$AB$140&amp;" "&amp;Milestones!$AC$140&amp;";  ","")&amp;IF(AND(EDATE($D113,Milestones!$AA$141)&lt;=AsOfDate,IF($R113=0,$X113,IF(AND($T113&lt;&gt;"",EDATE($D113,Milestones!$AA$141)&gt;=$T113),$W113,IF(AND($S113&lt;&gt;"",EDATE($D113,Milestones!$AA$141)&gt;=$S113),$V113,$U113)))=Milestones!$AB$141),UPPER(TEXT(EDATE($D113,Milestones!$AA$141),"dd mmm yy"))&amp;" "&amp;Milestones!$AB$141&amp;" "&amp;Milestones!$AC$141&amp;";  ","")&amp;IF(AND(EDATE($D113,Milestones!$AA$142)&lt;=AsOfDate,IF($R113=0,$X113,IF(AND($T113&lt;&gt;"",EDATE($D113,Milestones!$AA$142)&gt;=$T113),$W113,IF(AND($S113&lt;&gt;"",EDATE($D113,Milestones!$AA$142)&gt;=$S113),$V113,$U113)))=Milestones!$AB$142),UPPER(TEXT(EDATE($D113,Milestones!$AA$142),"dd mmm yy"))&amp;" "&amp;Milestones!$AB$142&amp;" "&amp;Milestones!$AC$142&amp;";  ","")&amp;IF(AND(EDATE($D113,Milestones!$AA$143)&lt;=AsOfDate,IF($R113=0,$X113,IF(AND($T113&lt;&gt;"",EDATE($D113,Milestones!$AA$143)&gt;=$T113),$W113,IF(AND($S113&lt;&gt;"",EDATE($D113,Milestones!$AA$143)&gt;=$S113),$V113,$U113)))=Milestones!$AB$143),UPPER(TEXT(EDATE($D113,Milestones!$AA$143),"dd mmm yy"))&amp;" "&amp;Milestones!$AB$143&amp;" "&amp;Milestones!$AC$143&amp;";  ","")&amp;IF(AND(EDATE($D113,Milestones!$AA$144)&lt;=AsOfDate,IF($R113=0,$X113,IF(AND($T113&lt;&gt;"",EDATE($D113,Milestones!$AA$144)&gt;=$T113),$W113,IF(AND($S113&lt;&gt;"",EDATE($D113,Milestones!$AA$144)&gt;=$S113),$V113,$U113)))=Milestones!$AB$144),UPPER(TEXT(EDATE($D113,Milestones!$AA$144),"dd mmm yy"))&amp;" "&amp;Milestones!$AB$144&amp;" "&amp;Milestones!$AC$144&amp;";  ","")&amp;IF(AND(EDATE($D113,Milestones!$AA$145)&lt;=AsOfDate,IF($R113=0,$X113,IF(AND($T113&lt;&gt;"",EDATE($D113,Milestones!$AA$145)&gt;=$T113),$W113,IF(AND($S113&lt;&gt;"",EDATE($D113,Milestones!$AA$145)&gt;=$S113),$V113,$U113)))=Milestones!$AB$145),UPPER(TEXT(EDATE($D113,Milestones!$AA$145),"dd mmm yy"))&amp;" "&amp;Milestones!$AB$145&amp;" "&amp;Milestones!$AC$145&amp;";  ","")&amp;IF(AND(EDATE($D113,Milestones!$AA$146)&lt;=AsOfDate,IF($R113=0,$X113,IF(AND($T113&lt;&gt;"",EDATE($D113,Milestones!$AA$146)&gt;=$T113),$W113,IF(AND($S113&lt;&gt;"",EDATE($D113,Milestones!$AA$146)&gt;=$S113),$V113,$U113)))=Milestones!$AB$146),UPPER(TEXT(EDATE($D113,Milestones!$AA$146),"dd mmm yy"))&amp;" "&amp;Milestones!$AB$146&amp;" "&amp;Milestones!$AC$146&amp;";  ","")&amp;IF(AND(EDATE($D113,Milestones!$AA$147)&lt;=AsOfDate,IF($R113=0,$X113,IF(AND($T113&lt;&gt;"",EDATE($D113,Milestones!$AA$147)&gt;=$T113),$W113,IF(AND($S113&lt;&gt;"",EDATE($D113,Milestones!$AA$147)&gt;=$S113),$V113,$U113)))=Milestones!$AB$147),UPPER(TEXT(EDATE($D113,Milestones!$AA$147),"dd mmm yy"))&amp;" "&amp;Milestones!$AB$147&amp;" "&amp;Milestones!$AC$147&amp;";  ","")&amp;IF(AND(EDATE($D113,Milestones!$AA$148)&lt;=AsOfDate,IF($R113=0,$X113,IF(AND($T113&lt;&gt;"",EDATE($D113,Milestones!$AA$148)&gt;=$T113),$W113,IF(AND($S113&lt;&gt;"",EDATE($D113,Milestones!$AA$148)&gt;=$S113),$V113,$U113)))=Milestones!$AB$148),UPPER(TEXT(EDATE($D113,Milestones!$AA$148),"dd mmm yy"))&amp;" "&amp;Milestones!$AB$148&amp;" "&amp;Milestones!$AC$148&amp;";  ","")&amp;IF(AND(EDATE($D113,Milestones!$AA$149)&lt;=AsOfDate,IF($R113=0,$X113,IF(AND($T113&lt;&gt;"",EDATE($D113,Milestones!$AA$149)&gt;=$T113),$W113,IF(AND($S113&lt;&gt;"",EDATE($D113,Milestones!$AA$149)&gt;=$S113),$V113,$U113)))=Milestones!$AB$149),UPPER(TEXT(EDATE($D113,Milestones!$AA$149),"dd mmm yy"))&amp;" "&amp;Milestones!$AB$149&amp;" "&amp;Milestones!$AC$149&amp;";  ","")&amp;IF(AND(EDATE($D113,Milestones!$AA$150)&lt;=AsOfDate,IF($R113=0,$X113,IF(AND($T113&lt;&gt;"",EDATE($D113,Milestones!$AA$150)&gt;=$T113),$W113,IF(AND($S113&lt;&gt;"",EDATE($D113,Milestones!$AA$150)&gt;=$S113),$V113,$U113)))=Milestones!$AB$150),UPPER(TEXT(EDATE($D113,Milestones!$AA$150),"dd mmm yy"))&amp;" "&amp;Milestones!$AB$150&amp;" "&amp;Milestones!$AC$150&amp;";  ","")&amp;IF(AND(EDATE($D113,Milestones!$AA$151)&lt;=AsOfDate,IF($R113=0,$X113,IF(AND($T113&lt;&gt;"",EDATE($D113,Milestones!$AA$151)&gt;=$T113),$W113,IF(AND($S113&lt;&gt;"",EDATE($D113,Milestones!$AA$151)&gt;=$S113),$V113,$U113)))=Milestones!$AB$151),UPPER(TEXT(EDATE($D113,Milestones!$AA$151),"dd mmm yy"))&amp;" "&amp;Milestones!$AB$151&amp;" "&amp;Milestones!$AC$151&amp;";  ","")&amp;IF(AND(EDATE($D113,Milestones!$AA$152)&lt;=AsOfDate,IF($R113=0,$X113,IF(AND($T113&lt;&gt;"",EDATE($D113,Milestones!$AA$152)&gt;=$T113),$W113,IF(AND($S113&lt;&gt;"",EDATE($D113,Milestones!$AA$152)&gt;=$S113),$V113,$U113)))=Milestones!$AB$152),UPPER(TEXT(EDATE($D113,Milestones!$AA$152),"dd mmm yy"))&amp;" "&amp;Milestones!$AB$152&amp;" "&amp;Milestones!$AC$152&amp;";  ","")&amp;IF(AND(EDATE($D113,Milestones!$AA$153)&lt;=AsOfDate,IF($R113=0,$X113,IF(AND($T113&lt;&gt;"",EDATE($D113,Milestones!$AA$153)&gt;=$T113),$W113,IF(AND($S113&lt;&gt;"",EDATE($D113,Milestones!$AA$153)&gt;=$S113),$V113,$U113)))=Milestones!$AB$153),UPPER(TEXT(EDATE($D113,Milestones!$AA$153),"dd mmm yy"))&amp;" "&amp;Milestones!$AB$153&amp;" "&amp;Milestones!$AC$153&amp;";  ","")&amp;IF(AND(EDATE($D113,Milestones!$AA$154)&lt;=AsOfDate,IF($R113=0,$X113,IF(AND($T113&lt;&gt;"",EDATE($D113,Milestones!$AA$154)&gt;=$T113),$W113,IF(AND($S113&lt;&gt;"",EDATE($D113,Milestones!$AA$154)&gt;=$S113),$V113,$U113)))=Milestones!$AB$154),UPPER(TEXT(EDATE($D113,Milestones!$AA$154),"dd mmm yy"))&amp;" "&amp;Milestones!$AB$154&amp;" "&amp;Milestones!$AC$154&amp;";  ","")&amp;IF(AND(EDATE($D113,Milestones!$AA$155)&lt;=AsOfDate,IF($R113=0,$X113,IF(AND($T113&lt;&gt;"",EDATE($D113,Milestones!$AA$155)&gt;=$T113),$W113,IF(AND($S113&lt;&gt;"",EDATE($D113,Milestones!$AA$155)&gt;=$S113),$V113,$U113)))=Milestones!$AB$155),UPPER(TEXT(EDATE($D113,Milestones!$AA$155),"dd mmm yy"))&amp;" "&amp;Milestones!$AB$155&amp;" "&amp;Milestones!$AC$155&amp;";  ","")&amp;IF(AND(EDATE($D113,Milestones!$AA$156)&lt;=AsOfDate,IF($R113=0,$X113,IF(AND($T113&lt;&gt;"",EDATE($D113,Milestones!$AA$156)&gt;=$T113),$W113,IF(AND($S113&lt;&gt;"",EDATE($D113,Milestones!$AA$156)&gt;=$S113),$V113,$U113)))=Milestones!$AB$156),UPPER(TEXT(EDATE($D113,Milestones!$AA$156),"dd mmm yy"))&amp;" "&amp;Milestones!$AB$156&amp;" "&amp;Milestones!$AC$156&amp;";  ","")&amp;IF(AND(EDATE($D113,Milestones!$AA$157)&lt;=AsOfDate,IF($R113=0,$X113,IF(AND($T113&lt;&gt;"",EDATE($D113,Milestones!$AA$157)&gt;=$T113),$W113,IF(AND($S113&lt;&gt;"",EDATE($D113,Milestones!$AA$157)&gt;=$S113),$V113,$U113)))=Milestones!$AB$157),UPPER(TEXT(EDATE($D113,Milestones!$AA$157),"dd mmm yy"))&amp;" "&amp;Milestones!$AB$157&amp;" "&amp;Milestones!$AC$157&amp;";  ","")&amp;IF(AND(EDATE($D113,Milestones!$AA$158)&lt;=AsOfDate,IF($R113=0,$X113,IF(AND($T113&lt;&gt;"",EDATE($D113,Milestones!$AA$158)&gt;=$T113),$W113,IF(AND($S113&lt;&gt;"",EDATE($D113,Milestones!$AA$158)&gt;=$S113),$V113,$U113)))=Milestones!$AB$158),UPPER(TEXT(EDATE($D113,Milestones!$AA$158),"dd mmm yy"))&amp;" "&amp;Milestones!$AB$158&amp;" "&amp;Milestones!$AC$158&amp;";  ","")&amp;IF(AND(EDATE($D113,Milestones!$AA$159)&lt;=AsOfDate,IF($R113=0,$X113,IF(AND($T113&lt;&gt;"",EDATE($D113,Milestones!$AA$159)&gt;=$T113),$W113,IF(AND($S113&lt;&gt;"",EDATE($D113,Milestones!$AA$159)&gt;=$S113),$V113,$U113)))=Milestones!$AB$159),UPPER(TEXT(EDATE($D113,Milestones!$AA$159),"dd mmm yy"))&amp;" "&amp;Milestones!$AB$159&amp;" "&amp;Milestones!$AC$159&amp;";  ",""))</f>
        <v/>
      </c>
      <c r="P113" s="0" t="str">
        <f aca="false">IF(OR($A113="",$D113=""),"",IF(AND(EDATE($D113,Milestones!$AA$160)&lt;=AsOfDate,IF($R113=0,$X113,IF(AND($T113&lt;&gt;"",EDATE($D113,Milestones!$AA$160)&gt;=$T113),$W113,IF(AND($S113&lt;&gt;"",EDATE($D113,Milestones!$AA$160)&gt;=$S113),$V113,$U113)))=Milestones!$AB$160),UPPER(TEXT(EDATE($D113,Milestones!$AA$160),"dd mmm yy"))&amp;" "&amp;Milestones!$AB$160&amp;" "&amp;Milestones!$AC$160&amp;";  ","")&amp;IF(AND(EDATE($D113,Milestones!$AA$161)&lt;=AsOfDate,IF($R113=0,$X113,IF(AND($T113&lt;&gt;"",EDATE($D113,Milestones!$AA$161)&gt;=$T113),$W113,IF(AND($S113&lt;&gt;"",EDATE($D113,Milestones!$AA$161)&gt;=$S113),$V113,$U113)))=Milestones!$AB$161),UPPER(TEXT(EDATE($D113,Milestones!$AA$161),"dd mmm yy"))&amp;" "&amp;Milestones!$AB$161&amp;" "&amp;Milestones!$AC$161&amp;";  ","")&amp;IF(AND(EDATE($D113,Milestones!$AA$162)&lt;=AsOfDate,IF($R113=0,$X113,IF(AND($T113&lt;&gt;"",EDATE($D113,Milestones!$AA$162)&gt;=$T113),$W113,IF(AND($S113&lt;&gt;"",EDATE($D113,Milestones!$AA$162)&gt;=$S113),$V113,$U113)))=Milestones!$AB$162),UPPER(TEXT(EDATE($D113,Milestones!$AA$162),"dd mmm yy"))&amp;" "&amp;Milestones!$AB$162&amp;" "&amp;Milestones!$AC$162&amp;";  ","")&amp;IF(AND(EDATE($D113,Milestones!$AA$163)&lt;=AsOfDate,IF($R113=0,$X113,IF(AND($T113&lt;&gt;"",EDATE($D113,Milestones!$AA$163)&gt;=$T113),$W113,IF(AND($S113&lt;&gt;"",EDATE($D113,Milestones!$AA$163)&gt;=$S113),$V113,$U113)))=Milestones!$AB$163),UPPER(TEXT(EDATE($D113,Milestones!$AA$163),"dd mmm yy"))&amp;" "&amp;Milestones!$AB$163&amp;" "&amp;Milestones!$AC$163&amp;";  ","")&amp;IF(AND(EDATE($D113,Milestones!$AA$164)&lt;=AsOfDate,IF($R113=0,$X113,IF(AND($T113&lt;&gt;"",EDATE($D113,Milestones!$AA$164)&gt;=$T113),$W113,IF(AND($S113&lt;&gt;"",EDATE($D113,Milestones!$AA$164)&gt;=$S113),$V113,$U113)))=Milestones!$AB$164),UPPER(TEXT(EDATE($D113,Milestones!$AA$164),"dd mmm yy"))&amp;" "&amp;Milestones!$AB$164&amp;" "&amp;Milestones!$AC$164&amp;";  ","")&amp;IF(AND(EDATE($D113,Milestones!$AA$165)&lt;=AsOfDate,IF($R113=0,$X113,IF(AND($T113&lt;&gt;"",EDATE($D113,Milestones!$AA$165)&gt;=$T113),$W113,IF(AND($S113&lt;&gt;"",EDATE($D113,Milestones!$AA$165)&gt;=$S113),$V113,$U113)))=Milestones!$AB$165),UPPER(TEXT(EDATE($D113,Milestones!$AA$165),"dd mmm yy"))&amp;" "&amp;Milestones!$AB$165&amp;" "&amp;Milestones!$AC$165&amp;";  ","")&amp;IF(AND(EDATE($D113,Milestones!$AA$166)&lt;=AsOfDate,IF($R113=0,$X113,IF(AND($T113&lt;&gt;"",EDATE($D113,Milestones!$AA$166)&gt;=$T113),$W113,IF(AND($S113&lt;&gt;"",EDATE($D113,Milestones!$AA$166)&gt;=$S113),$V113,$U113)))=Milestones!$AB$166),UPPER(TEXT(EDATE($D113,Milestones!$AA$166),"dd mmm yy"))&amp;" "&amp;Milestones!$AB$166&amp;" "&amp;Milestones!$AC$166&amp;";  ","")&amp;IF(AND(EDATE($D113,Milestones!$AA$167)&lt;=AsOfDate,IF($R113=0,$X113,IF(AND($T113&lt;&gt;"",EDATE($D113,Milestones!$AA$167)&gt;=$T113),$W113,IF(AND($S113&lt;&gt;"",EDATE($D113,Milestones!$AA$167)&gt;=$S113),$V113,$U113)))=Milestones!$AB$167),UPPER(TEXT(EDATE($D113,Milestones!$AA$167),"dd mmm yy"))&amp;" "&amp;Milestones!$AB$167&amp;" "&amp;Milestones!$AC$167&amp;";  ","")&amp;IF(AND(EDATE($D113,Milestones!$AA$168)&lt;=AsOfDate,IF($R113=0,$X113,IF(AND($T113&lt;&gt;"",EDATE($D113,Milestones!$AA$168)&gt;=$T113),$W113,IF(AND($S113&lt;&gt;"",EDATE($D113,Milestones!$AA$168)&gt;=$S113),$V113,$U113)))=Milestones!$AB$168),UPPER(TEXT(EDATE($D113,Milestones!$AA$168),"dd mmm yy"))&amp;" "&amp;Milestones!$AB$168&amp;" "&amp;Milestones!$AC$168&amp;";  ","")&amp;IF(AND(EDATE($D113,Milestones!$AA$169)&lt;=AsOfDate,IF($R113=0,$X113,IF(AND($T113&lt;&gt;"",EDATE($D113,Milestones!$AA$169)&gt;=$T113),$W113,IF(AND($S113&lt;&gt;"",EDATE($D113,Milestones!$AA$169)&gt;=$S113),$V113,$U113)))=Milestones!$AB$169),UPPER(TEXT(EDATE($D113,Milestones!$AA$169),"dd mmm yy"))&amp;" "&amp;Milestones!$AB$169&amp;" "&amp;Milestones!$AC$169&amp;";  ","")&amp;IF(AND(EDATE($D113,Milestones!$AA$170)&lt;=AsOfDate,IF($R113=0,$X113,IF(AND($T113&lt;&gt;"",EDATE($D113,Milestones!$AA$170)&gt;=$T113),$W113,IF(AND($S113&lt;&gt;"",EDATE($D113,Milestones!$AA$170)&gt;=$S113),$V113,$U113)))=Milestones!$AB$170),UPPER(TEXT(EDATE($D113,Milestones!$AA$170),"dd mmm yy"))&amp;" "&amp;Milestones!$AB$170&amp;" "&amp;Milestones!$AC$170&amp;";  ","")&amp;IF(AND(EDATE($D113,Milestones!$AA$171)&lt;=AsOfDate,IF($R113=0,$X113,IF(AND($T113&lt;&gt;"",EDATE($D113,Milestones!$AA$171)&gt;=$T113),$W113,IF(AND($S113&lt;&gt;"",EDATE($D113,Milestones!$AA$171)&gt;=$S113),$V113,$U113)))=Milestones!$AB$171),UPPER(TEXT(EDATE($D113,Milestones!$AA$171),"dd mmm yy"))&amp;" "&amp;Milestones!$AB$171&amp;" "&amp;Milestones!$AC$171&amp;";  ","")&amp;IF(AND(EDATE($D113,Milestones!$AA$172)&lt;=AsOfDate,IF($R113=0,$X113,IF(AND($T113&lt;&gt;"",EDATE($D113,Milestones!$AA$172)&gt;=$T113),$W113,IF(AND($S113&lt;&gt;"",EDATE($D113,Milestones!$AA$172)&gt;=$S113),$V113,$U113)))=Milestones!$AB$172),UPPER(TEXT(EDATE($D113,Milestones!$AA$172),"dd mmm yy"))&amp;" "&amp;Milestones!$AB$172&amp;" "&amp;Milestones!$AC$172&amp;";  ","")&amp;IF(AND(EDATE($D113,Milestones!$AA$173)&lt;=AsOfDate,IF($R113=0,$X113,IF(AND($T113&lt;&gt;"",EDATE($D113,Milestones!$AA$173)&gt;=$T113),$W113,IF(AND($S113&lt;&gt;"",EDATE($D113,Milestones!$AA$173)&gt;=$S113),$V113,$U113)))=Milestones!$AB$173),UPPER(TEXT(EDATE($D113,Milestones!$AA$173),"dd mmm yy"))&amp;" "&amp;Milestones!$AB$173&amp;" "&amp;Milestones!$AC$173&amp;";  ","")&amp;IF(AND(EDATE($D113,Milestones!$AA$174)&lt;=AsOfDate,IF($R113=0,$X113,IF(AND($T113&lt;&gt;"",EDATE($D113,Milestones!$AA$174)&gt;=$T113),$W113,IF(AND($S113&lt;&gt;"",EDATE($D113,Milestones!$AA$174)&gt;=$S113),$V113,$U113)))=Milestones!$AB$174),UPPER(TEXT(EDATE($D113,Milestones!$AA$174),"dd mmm yy"))&amp;" "&amp;Milestones!$AB$174&amp;" "&amp;Milestones!$AC$174&amp;";  ","")&amp;IF(AND(EDATE($D113,Milestones!$AA$175)&lt;=AsOfDate,IF($R113=0,$X113,IF(AND($T113&lt;&gt;"",EDATE($D113,Milestones!$AA$175)&gt;=$T113),$W113,IF(AND($S113&lt;&gt;"",EDATE($D113,Milestones!$AA$175)&gt;=$S113),$V113,$U113)))=Milestones!$AB$175),UPPER(TEXT(EDATE($D113,Milestones!$AA$175),"dd mmm yy"))&amp;" "&amp;Milestones!$AB$175&amp;" "&amp;Milestones!$AC$175&amp;";  ","")&amp;IF(AND(EDATE($D113,Milestones!$AA$176)&lt;=AsOfDate,IF($R113=0,$X113,IF(AND($T113&lt;&gt;"",EDATE($D113,Milestones!$AA$176)&gt;=$T113),$W113,IF(AND($S113&lt;&gt;"",EDATE($D113,Milestones!$AA$176)&gt;=$S113),$V113,$U113)))=Milestones!$AB$176),UPPER(TEXT(EDATE($D113,Milestones!$AA$176),"dd mmm yy"))&amp;" "&amp;Milestones!$AB$176&amp;" "&amp;Milestones!$AC$176&amp;";  ","")&amp;IF(AND(EDATE($D113,Milestones!$AA$177)&lt;=AsOfDate,IF($R113=0,$X113,IF(AND($T113&lt;&gt;"",EDATE($D113,Milestones!$AA$177)&gt;=$T113),$W113,IF(AND($S113&lt;&gt;"",EDATE($D113,Milestones!$AA$177)&gt;=$S113),$V113,$U113)))=Milestones!$AB$177),UPPER(TEXT(EDATE($D113,Milestones!$AA$177),"dd mmm yy"))&amp;" "&amp;Milestones!$AB$177&amp;" "&amp;Milestones!$AC$177&amp;";  ","")&amp;IF(AND(EDATE($D113,Milestones!$AA$178)&lt;=AsOfDate,IF($R113=0,$X113,IF(AND($T113&lt;&gt;"",EDATE($D113,Milestones!$AA$178)&gt;=$T113),$W113,IF(AND($S113&lt;&gt;"",EDATE($D113,Milestones!$AA$178)&gt;=$S113),$V113,$U113)))=Milestones!$AB$178),UPPER(TEXT(EDATE($D113,Milestones!$AA$178),"dd mmm yy"))&amp;" "&amp;Milestones!$AB$178&amp;" "&amp;Milestones!$AC$178&amp;";  ","")&amp;IF(AND(EDATE($D113,Milestones!$AA$179)&lt;=AsOfDate,IF($R113=0,$X113,IF(AND($T113&lt;&gt;"",EDATE($D113,Milestones!$AA$179)&gt;=$T113),$W113,IF(AND($S113&lt;&gt;"",EDATE($D113,Milestones!$AA$179)&gt;=$S113),$V113,$U113)))=Milestones!$AB$179),UPPER(TEXT(EDATE($D113,Milestones!$AA$179),"dd mmm yy"))&amp;" "&amp;Milestones!$AB$179&amp;" "&amp;Milestones!$AC$179&amp;";  ",""))</f>
        <v/>
      </c>
      <c r="Q113" s="0" t="str">
        <f aca="false">IF(OR($A113="",$D113=""),"",IF(AND(EDATE($D113,Milestones!$AA$180)&lt;=AsOfDate,IF($R113=0,$X113,IF(AND($T113&lt;&gt;"",EDATE($D113,Milestones!$AA$180)&gt;=$T113),$W113,IF(AND($S113&lt;&gt;"",EDATE($D113,Milestones!$AA$180)&gt;=$S113),$V113,$U113)))=Milestones!$AB$180),UPPER(TEXT(EDATE($D113,Milestones!$AA$180),"dd mmm yy"))&amp;" "&amp;Milestones!$AB$180&amp;" "&amp;Milestones!$AC$180&amp;";  ","")&amp;IF(AND(EDATE($D113,Milestones!$AA$181)&lt;=AsOfDate,IF($R113=0,$X113,IF(AND($T113&lt;&gt;"",EDATE($D113,Milestones!$AA$181)&gt;=$T113),$W113,IF(AND($S113&lt;&gt;"",EDATE($D113,Milestones!$AA$181)&gt;=$S113),$V113,$U113)))=Milestones!$AB$181),UPPER(TEXT(EDATE($D113,Milestones!$AA$181),"dd mmm yy"))&amp;" "&amp;Milestones!$AB$181&amp;" "&amp;Milestones!$AC$181&amp;";  ","")&amp;IF(AND(EDATE($D113,Milestones!$AA$182)&lt;=AsOfDate,IF($R113=0,$X113,IF(AND($T113&lt;&gt;"",EDATE($D113,Milestones!$AA$182)&gt;=$T113),$W113,IF(AND($S113&lt;&gt;"",EDATE($D113,Milestones!$AA$182)&gt;=$S113),$V113,$U113)))=Milestones!$AB$182),UPPER(TEXT(EDATE($D113,Milestones!$AA$182),"dd mmm yy"))&amp;" "&amp;Milestones!$AB$182&amp;" "&amp;Milestones!$AC$182&amp;";  ","")&amp;IF(AND(EDATE($D113,Milestones!$AA$183)&lt;=AsOfDate,IF($R113=0,$X113,IF(AND($T113&lt;&gt;"",EDATE($D113,Milestones!$AA$183)&gt;=$T113),$W113,IF(AND($S113&lt;&gt;"",EDATE($D113,Milestones!$AA$183)&gt;=$S113),$V113,$U113)))=Milestones!$AB$183),UPPER(TEXT(EDATE($D113,Milestones!$AA$183),"dd mmm yy"))&amp;" "&amp;Milestones!$AB$183&amp;" "&amp;Milestones!$AC$183&amp;";  ","")&amp;IF(AND(EDATE($D113,Milestones!$AA$184)&lt;=AsOfDate,IF($R113=0,$X113,IF(AND($T113&lt;&gt;"",EDATE($D113,Milestones!$AA$184)&gt;=$T113),$W113,IF(AND($S113&lt;&gt;"",EDATE($D113,Milestones!$AA$184)&gt;=$S113),$V113,$U113)))=Milestones!$AB$184),UPPER(TEXT(EDATE($D113,Milestones!$AA$184),"dd mmm yy"))&amp;" "&amp;Milestones!$AB$184&amp;" "&amp;Milestones!$AC$184&amp;";  ","")&amp;IF(AND(EDATE($D113,Milestones!$AA$185)&lt;=AsOfDate,IF($R113=0,$X113,IF(AND($T113&lt;&gt;"",EDATE($D113,Milestones!$AA$185)&gt;=$T113),$W113,IF(AND($S113&lt;&gt;"",EDATE($D113,Milestones!$AA$185)&gt;=$S113),$V113,$U113)))=Milestones!$AB$185),UPPER(TEXT(EDATE($D113,Milestones!$AA$185),"dd mmm yy"))&amp;" "&amp;Milestones!$AB$185&amp;" "&amp;Milestones!$AC$185&amp;";  ","")&amp;IF(AND(EDATE($D113,Milestones!$AA$186)&lt;=AsOfDate,IF($R113=0,$X113,IF(AND($T113&lt;&gt;"",EDATE($D113,Milestones!$AA$186)&gt;=$T113),$W113,IF(AND($S113&lt;&gt;"",EDATE($D113,Milestones!$AA$186)&gt;=$S113),$V113,$U113)))=Milestones!$AB$186),UPPER(TEXT(EDATE($D113,Milestones!$AA$186),"dd mmm yy"))&amp;" "&amp;Milestones!$AB$186&amp;" "&amp;Milestones!$AC$186&amp;";  ","")&amp;IF(AND(EDATE($D113,Milestones!$AA$187)&lt;=AsOfDate,IF($R113=0,$X113,IF(AND($T113&lt;&gt;"",EDATE($D113,Milestones!$AA$187)&gt;=$T113),$W113,IF(AND($S113&lt;&gt;"",EDATE($D113,Milestones!$AA$187)&gt;=$S113),$V113,$U113)))=Milestones!$AB$187),UPPER(TEXT(EDATE($D113,Milestones!$AA$187),"dd mmm yy"))&amp;" "&amp;Milestones!$AB$187&amp;" "&amp;Milestones!$AC$187&amp;";  ","")&amp;IF(AND(EDATE($D113,Milestones!$AA$188)&lt;=AsOfDate,IF($R113=0,$X113,IF(AND($T113&lt;&gt;"",EDATE($D113,Milestones!$AA$188)&gt;=$T113),$W113,IF(AND($S113&lt;&gt;"",EDATE($D113,Milestones!$AA$188)&gt;=$S113),$V113,$U113)))=Milestones!$AB$188),UPPER(TEXT(EDATE($D113,Milestones!$AA$188),"dd mmm yy"))&amp;" "&amp;Milestones!$AB$188&amp;" "&amp;Milestones!$AC$188&amp;";  ","")&amp;IF(AND(EDATE($D113,Milestones!$AA$189)&lt;=AsOfDate,IF($R113=0,$X113,IF(AND($T113&lt;&gt;"",EDATE($D113,Milestones!$AA$189)&gt;=$T113),$W113,IF(AND($S113&lt;&gt;"",EDATE($D113,Milestones!$AA$189)&gt;=$S113),$V113,$U113)))=Milestones!$AB$189),UPPER(TEXT(EDATE($D113,Milestones!$AA$189),"dd mmm yy"))&amp;" "&amp;Milestones!$AB$189&amp;" "&amp;Milestones!$AC$189&amp;";  ","")&amp;IF(AND(EDATE($D113,Milestones!$AA$190)&lt;=AsOfDate,IF($R113=0,$X113,IF(AND($T113&lt;&gt;"",EDATE($D113,Milestones!$AA$190)&gt;=$T113),$W113,IF(AND($S113&lt;&gt;"",EDATE($D113,Milestones!$AA$190)&gt;=$S113),$V113,$U113)))=Milestones!$AB$190),UPPER(TEXT(EDATE($D113,Milestones!$AA$190),"dd mmm yy"))&amp;" "&amp;Milestones!$AB$190&amp;" "&amp;Milestones!$AC$190&amp;";  ","")&amp;IF(AND(EDATE($D113,Milestones!$AA$191)&lt;=AsOfDate,IF($R113=0,$X113,IF(AND($T113&lt;&gt;"",EDATE($D113,Milestones!$AA$191)&gt;=$T113),$W113,IF(AND($S113&lt;&gt;"",EDATE($D113,Milestones!$AA$191)&gt;=$S113),$V113,$U113)))=Milestones!$AB$191),UPPER(TEXT(EDATE($D113,Milestones!$AA$191),"dd mmm yy"))&amp;" "&amp;Milestones!$AB$191&amp;" "&amp;Milestones!$AC$191&amp;";  ","")&amp;IF(AND(EDATE($D113,Milestones!$AA$192)&lt;=AsOfDate,IF($R113=0,$X113,IF(AND($T113&lt;&gt;"",EDATE($D113,Milestones!$AA$192)&gt;=$T113),$W113,IF(AND($S113&lt;&gt;"",EDATE($D113,Milestones!$AA$192)&gt;=$S113),$V113,$U113)))=Milestones!$AB$192),UPPER(TEXT(EDATE($D113,Milestones!$AA$192),"dd mmm yy"))&amp;" "&amp;Milestones!$AB$192&amp;" "&amp;Milestones!$AC$192&amp;";  ","")&amp;IF(AND(EDATE($D113,Milestones!$AA$193)&lt;=AsOfDate,IF($R113=0,$X113,IF(AND($T113&lt;&gt;"",EDATE($D113,Milestones!$AA$193)&gt;=$T113),$W113,IF(AND($S113&lt;&gt;"",EDATE($D113,Milestones!$AA$193)&gt;=$S113),$V113,$U113)))=Milestones!$AB$193),UPPER(TEXT(EDATE($D113,Milestones!$AA$193),"dd mmm yy"))&amp;" "&amp;Milestones!$AB$193&amp;" "&amp;Milestones!$AC$193&amp;";  ","")&amp;IF(AND(EDATE($D113,Milestones!$AA$194)&lt;=AsOfDate,IF($R113=0,$X113,IF(AND($T113&lt;&gt;"",EDATE($D113,Milestones!$AA$194)&gt;=$T113),$W113,IF(AND($S113&lt;&gt;"",EDATE($D113,Milestones!$AA$194)&gt;=$S113),$V113,$U113)))=Milestones!$AB$194),UPPER(TEXT(EDATE($D113,Milestones!$AA$194),"dd mmm yy"))&amp;" "&amp;Milestones!$AB$194&amp;" "&amp;Milestones!$AC$194&amp;";  ","")&amp;IF(AND(EDATE($D113,Milestones!$AA$195)&lt;=AsOfDate,IF($R113=0,$X113,IF(AND($T113&lt;&gt;"",EDATE($D113,Milestones!$AA$195)&gt;=$T113),$W113,IF(AND($S113&lt;&gt;"",EDATE($D113,Milestones!$AA$195)&gt;=$S113),$V113,$U113)))=Milestones!$AB$195),UPPER(TEXT(EDATE($D113,Milestones!$AA$195),"dd mmm yy"))&amp;" "&amp;Milestones!$AB$195&amp;" "&amp;Milestones!$AC$195&amp;";  ","")&amp;IF(AND(EDATE($D113,Milestones!$AA$196)&lt;=AsOfDate,IF($R113=0,$X113,IF(AND($T113&lt;&gt;"",EDATE($D113,Milestones!$AA$196)&gt;=$T113),$W113,IF(AND($S113&lt;&gt;"",EDATE($D113,Milestones!$AA$196)&gt;=$S113),$V113,$U113)))=Milestones!$AB$196),UPPER(TEXT(EDATE($D113,Milestones!$AA$196),"dd mmm yy"))&amp;" "&amp;Milestones!$AB$196&amp;" "&amp;Milestones!$AC$196&amp;";  ","")&amp;IF(AND(EDATE($D113,Milestones!$AA$197)&lt;=AsOfDate,IF($R113=0,$X113,IF(AND($T113&lt;&gt;"",EDATE($D113,Milestones!$AA$197)&gt;=$T113),$W113,IF(AND($S113&lt;&gt;"",EDATE($D113,Milestones!$AA$197)&gt;=$S113),$V113,$U113)))=Milestones!$AB$197),UPPER(TEXT(EDATE($D113,Milestones!$AA$197),"dd mmm yy"))&amp;" "&amp;Milestones!$AB$197&amp;" "&amp;Milestones!$AC$197&amp;";  ","")&amp;IF(AND(EDATE($D113,Milestones!$AA$198)&lt;=AsOfDate,IF($R113=0,$X113,IF(AND($T113&lt;&gt;"",EDATE($D113,Milestones!$AA$198)&gt;=$T113),$W113,IF(AND($S113&lt;&gt;"",EDATE($D113,Milestones!$AA$198)&gt;=$S113),$V113,$U113)))=Milestones!$AB$198),UPPER(TEXT(EDATE($D113,Milestones!$AA$198),"dd mmm yy"))&amp;" "&amp;Milestones!$AB$198&amp;" "&amp;Milestones!$AC$198&amp;";  ","")&amp;IF(AND(EDATE($D113,Milestones!$AA$199)&lt;=AsOfDate,IF($R113=0,$X113,IF(AND($T113&lt;&gt;"",EDATE($D113,Milestones!$AA$199)&gt;=$T113),$W113,IF(AND($S113&lt;&gt;"",EDATE($D113,Milestones!$AA$199)&gt;=$S113),$V113,$U113)))=Milestones!$AB$199),UPPER(TEXT(EDATE($D113,Milestones!$AA$199),"dd mmm yy"))&amp;" "&amp;Milestones!$AB$199&amp;" "&amp;Milestones!$AC$199&amp;";  ",""))</f>
        <v/>
      </c>
      <c r="R113" s="0" t="str">
        <f aca="false">IF(Staff!$A113="","",Staff!$AI113)</f>
        <v/>
      </c>
      <c r="S113" s="0" t="str">
        <f aca="false">IF(Staff!$A113="","",Staff!$AK113)</f>
        <v/>
      </c>
      <c r="T113" s="0" t="str">
        <f aca="false">IF(Staff!$A113="","",Staff!$AL113)</f>
        <v/>
      </c>
      <c r="U113" s="0" t="str">
        <f aca="false">IF(Staff!$A113="","",Staff!$AP113)</f>
        <v/>
      </c>
      <c r="V113" s="0" t="str">
        <f aca="false">IF(Staff!$A113="","",Staff!$AQ113)</f>
        <v/>
      </c>
      <c r="W113" s="0" t="str">
        <f aca="false">IF(Staff!$A113="","",Staff!$AR113)</f>
        <v/>
      </c>
      <c r="X113" s="0" t="str">
        <f aca="false">IF(Staff!$A113="","",Staff!$AS113)</f>
        <v/>
      </c>
    </row>
    <row r="114" customFormat="false" ht="15" hidden="false" customHeight="false" outlineLevel="0" collapsed="false">
      <c r="A114" s="19" t="str">
        <f aca="false">IF(Staff!$A114="","",Staff!$A114)</f>
        <v/>
      </c>
      <c r="B114" s="19" t="str">
        <f aca="false">IF(Staff!$A114="","",Staff!$B114)</f>
        <v/>
      </c>
      <c r="C114" s="19" t="str">
        <f aca="false">IF(Staff!$A114="","",Staff!$C114)</f>
        <v/>
      </c>
      <c r="D114" s="17" t="str">
        <f aca="false">IF(Staff!$A114="","",Staff!$AH114)</f>
        <v/>
      </c>
      <c r="E114" s="19" t="str">
        <f aca="false">IF(Staff!$A114="","",Staff!$O114)</f>
        <v/>
      </c>
      <c r="F114" s="19" t="str">
        <f aca="false">IF(E114="","",E114*HoursPerDay)</f>
        <v/>
      </c>
      <c r="G114" s="19" t="str">
        <f aca="false">IF(Staff!$A114="","",Staff!$AE114)</f>
        <v/>
      </c>
      <c r="H114" s="32" t="str">
        <f aca="false">IF($A114="","",I114&amp;J114&amp;K114&amp;L114&amp;M114&amp;N114&amp;O114&amp;P114&amp;Q114)</f>
        <v/>
      </c>
      <c r="I114" s="0" t="str">
        <f aca="false">IF(OR($A114="",$D114=""),"",IF(AND(EDATE($D114,Milestones!$AA$20)&lt;=AsOfDate,IF($R114=0,$X114,IF(AND($T114&lt;&gt;"",EDATE($D114,Milestones!$AA$20)&gt;=$T114),$W114,IF(AND($S114&lt;&gt;"",EDATE($D114,Milestones!$AA$20)&gt;=$S114),$V114,$U114)))=Milestones!$AB$20),UPPER(TEXT(EDATE($D114,Milestones!$AA$20),"dd mmm yy"))&amp;" "&amp;Milestones!$AB$20&amp;" "&amp;Milestones!$AC$20&amp;";  ","")&amp;IF(AND(EDATE($D114,Milestones!$AA$21)&lt;=AsOfDate,IF($R114=0,$X114,IF(AND($T114&lt;&gt;"",EDATE($D114,Milestones!$AA$21)&gt;=$T114),$W114,IF(AND($S114&lt;&gt;"",EDATE($D114,Milestones!$AA$21)&gt;=$S114),$V114,$U114)))=Milestones!$AB$21),UPPER(TEXT(EDATE($D114,Milestones!$AA$21),"dd mmm yy"))&amp;" "&amp;Milestones!$AB$21&amp;" "&amp;Milestones!$AC$21&amp;";  ","")&amp;IF(AND(EDATE($D114,Milestones!$AA$22)&lt;=AsOfDate,IF($R114=0,$X114,IF(AND($T114&lt;&gt;"",EDATE($D114,Milestones!$AA$22)&gt;=$T114),$W114,IF(AND($S114&lt;&gt;"",EDATE($D114,Milestones!$AA$22)&gt;=$S114),$V114,$U114)))=Milestones!$AB$22),UPPER(TEXT(EDATE($D114,Milestones!$AA$22),"dd mmm yy"))&amp;" "&amp;Milestones!$AB$22&amp;" "&amp;Milestones!$AC$22&amp;";  ","")&amp;IF(AND(EDATE($D114,Milestones!$AA$23)&lt;=AsOfDate,IF($R114=0,$X114,IF(AND($T114&lt;&gt;"",EDATE($D114,Milestones!$AA$23)&gt;=$T114),$W114,IF(AND($S114&lt;&gt;"",EDATE($D114,Milestones!$AA$23)&gt;=$S114),$V114,$U114)))=Milestones!$AB$23),UPPER(TEXT(EDATE($D114,Milestones!$AA$23),"dd mmm yy"))&amp;" "&amp;Milestones!$AB$23&amp;" "&amp;Milestones!$AC$23&amp;";  ","")&amp;IF(AND(EDATE($D114,Milestones!$AA$24)&lt;=AsOfDate,IF($R114=0,$X114,IF(AND($T114&lt;&gt;"",EDATE($D114,Milestones!$AA$24)&gt;=$T114),$W114,IF(AND($S114&lt;&gt;"",EDATE($D114,Milestones!$AA$24)&gt;=$S114),$V114,$U114)))=Milestones!$AB$24),UPPER(TEXT(EDATE($D114,Milestones!$AA$24),"dd mmm yy"))&amp;" "&amp;Milestones!$AB$24&amp;" "&amp;Milestones!$AC$24&amp;";  ","")&amp;IF(AND(EDATE($D114,Milestones!$AA$25)&lt;=AsOfDate,IF($R114=0,$X114,IF(AND($T114&lt;&gt;"",EDATE($D114,Milestones!$AA$25)&gt;=$T114),$W114,IF(AND($S114&lt;&gt;"",EDATE($D114,Milestones!$AA$25)&gt;=$S114),$V114,$U114)))=Milestones!$AB$25),UPPER(TEXT(EDATE($D114,Milestones!$AA$25),"dd mmm yy"))&amp;" "&amp;Milestones!$AB$25&amp;" "&amp;Milestones!$AC$25&amp;";  ","")&amp;IF(AND(EDATE($D114,Milestones!$AA$26)&lt;=AsOfDate,IF($R114=0,$X114,IF(AND($T114&lt;&gt;"",EDATE($D114,Milestones!$AA$26)&gt;=$T114),$W114,IF(AND($S114&lt;&gt;"",EDATE($D114,Milestones!$AA$26)&gt;=$S114),$V114,$U114)))=Milestones!$AB$26),UPPER(TEXT(EDATE($D114,Milestones!$AA$26),"dd mmm yy"))&amp;" "&amp;Milestones!$AB$26&amp;" "&amp;Milestones!$AC$26&amp;";  ","")&amp;IF(AND(EDATE($D114,Milestones!$AA$27)&lt;=AsOfDate,IF($R114=0,$X114,IF(AND($T114&lt;&gt;"",EDATE($D114,Milestones!$AA$27)&gt;=$T114),$W114,IF(AND($S114&lt;&gt;"",EDATE($D114,Milestones!$AA$27)&gt;=$S114),$V114,$U114)))=Milestones!$AB$27),UPPER(TEXT(EDATE($D114,Milestones!$AA$27),"dd mmm yy"))&amp;" "&amp;Milestones!$AB$27&amp;" "&amp;Milestones!$AC$27&amp;";  ","")&amp;IF(AND(EDATE($D114,Milestones!$AA$28)&lt;=AsOfDate,IF($R114=0,$X114,IF(AND($T114&lt;&gt;"",EDATE($D114,Milestones!$AA$28)&gt;=$T114),$W114,IF(AND($S114&lt;&gt;"",EDATE($D114,Milestones!$AA$28)&gt;=$S114),$V114,$U114)))=Milestones!$AB$28),UPPER(TEXT(EDATE($D114,Milestones!$AA$28),"dd mmm yy"))&amp;" "&amp;Milestones!$AB$28&amp;" "&amp;Milestones!$AC$28&amp;";  ","")&amp;IF(AND(EDATE($D114,Milestones!$AA$29)&lt;=AsOfDate,IF($R114=0,$X114,IF(AND($T114&lt;&gt;"",EDATE($D114,Milestones!$AA$29)&gt;=$T114),$W114,IF(AND($S114&lt;&gt;"",EDATE($D114,Milestones!$AA$29)&gt;=$S114),$V114,$U114)))=Milestones!$AB$29),UPPER(TEXT(EDATE($D114,Milestones!$AA$29),"dd mmm yy"))&amp;" "&amp;Milestones!$AB$29&amp;" "&amp;Milestones!$AC$29&amp;";  ","")&amp;IF(AND(EDATE($D114,Milestones!$AA$30)&lt;=AsOfDate,IF($R114=0,$X114,IF(AND($T114&lt;&gt;"",EDATE($D114,Milestones!$AA$30)&gt;=$T114),$W114,IF(AND($S114&lt;&gt;"",EDATE($D114,Milestones!$AA$30)&gt;=$S114),$V114,$U114)))=Milestones!$AB$30),UPPER(TEXT(EDATE($D114,Milestones!$AA$30),"dd mmm yy"))&amp;" "&amp;Milestones!$AB$30&amp;" "&amp;Milestones!$AC$30&amp;";  ","")&amp;IF(AND(EDATE($D114,Milestones!$AA$31)&lt;=AsOfDate,IF($R114=0,$X114,IF(AND($T114&lt;&gt;"",EDATE($D114,Milestones!$AA$31)&gt;=$T114),$W114,IF(AND($S114&lt;&gt;"",EDATE($D114,Milestones!$AA$31)&gt;=$S114),$V114,$U114)))=Milestones!$AB$31),UPPER(TEXT(EDATE($D114,Milestones!$AA$31),"dd mmm yy"))&amp;" "&amp;Milestones!$AB$31&amp;" "&amp;Milestones!$AC$31&amp;";  ","")&amp;IF(AND(EDATE($D114,Milestones!$AA$32)&lt;=AsOfDate,IF($R114=0,$X114,IF(AND($T114&lt;&gt;"",EDATE($D114,Milestones!$AA$32)&gt;=$T114),$W114,IF(AND($S114&lt;&gt;"",EDATE($D114,Milestones!$AA$32)&gt;=$S114),$V114,$U114)))=Milestones!$AB$32),UPPER(TEXT(EDATE($D114,Milestones!$AA$32),"dd mmm yy"))&amp;" "&amp;Milestones!$AB$32&amp;" "&amp;Milestones!$AC$32&amp;";  ","")&amp;IF(AND(EDATE($D114,Milestones!$AA$33)&lt;=AsOfDate,IF($R114=0,$X114,IF(AND($T114&lt;&gt;"",EDATE($D114,Milestones!$AA$33)&gt;=$T114),$W114,IF(AND($S114&lt;&gt;"",EDATE($D114,Milestones!$AA$33)&gt;=$S114),$V114,$U114)))=Milestones!$AB$33),UPPER(TEXT(EDATE($D114,Milestones!$AA$33),"dd mmm yy"))&amp;" "&amp;Milestones!$AB$33&amp;" "&amp;Milestones!$AC$33&amp;";  ","")&amp;IF(AND(EDATE($D114,Milestones!$AA$34)&lt;=AsOfDate,IF($R114=0,$X114,IF(AND($T114&lt;&gt;"",EDATE($D114,Milestones!$AA$34)&gt;=$T114),$W114,IF(AND($S114&lt;&gt;"",EDATE($D114,Milestones!$AA$34)&gt;=$S114),$V114,$U114)))=Milestones!$AB$34),UPPER(TEXT(EDATE($D114,Milestones!$AA$34),"dd mmm yy"))&amp;" "&amp;Milestones!$AB$34&amp;" "&amp;Milestones!$AC$34&amp;";  ","")&amp;IF(AND(EDATE($D114,Milestones!$AA$35)&lt;=AsOfDate,IF($R114=0,$X114,IF(AND($T114&lt;&gt;"",EDATE($D114,Milestones!$AA$35)&gt;=$T114),$W114,IF(AND($S114&lt;&gt;"",EDATE($D114,Milestones!$AA$35)&gt;=$S114),$V114,$U114)))=Milestones!$AB$35),UPPER(TEXT(EDATE($D114,Milestones!$AA$35),"dd mmm yy"))&amp;" "&amp;Milestones!$AB$35&amp;" "&amp;Milestones!$AC$35&amp;";  ","")&amp;IF(AND(EDATE($D114,Milestones!$AA$36)&lt;=AsOfDate,IF($R114=0,$X114,IF(AND($T114&lt;&gt;"",EDATE($D114,Milestones!$AA$36)&gt;=$T114),$W114,IF(AND($S114&lt;&gt;"",EDATE($D114,Milestones!$AA$36)&gt;=$S114),$V114,$U114)))=Milestones!$AB$36),UPPER(TEXT(EDATE($D114,Milestones!$AA$36),"dd mmm yy"))&amp;" "&amp;Milestones!$AB$36&amp;" "&amp;Milestones!$AC$36&amp;";  ","")&amp;IF(AND(EDATE($D114,Milestones!$AA$37)&lt;=AsOfDate,IF($R114=0,$X114,IF(AND($T114&lt;&gt;"",EDATE($D114,Milestones!$AA$37)&gt;=$T114),$W114,IF(AND($S114&lt;&gt;"",EDATE($D114,Milestones!$AA$37)&gt;=$S114),$V114,$U114)))=Milestones!$AB$37),UPPER(TEXT(EDATE($D114,Milestones!$AA$37),"dd mmm yy"))&amp;" "&amp;Milestones!$AB$37&amp;" "&amp;Milestones!$AC$37&amp;";  ","")&amp;IF(AND(EDATE($D114,Milestones!$AA$38)&lt;=AsOfDate,IF($R114=0,$X114,IF(AND($T114&lt;&gt;"",EDATE($D114,Milestones!$AA$38)&gt;=$T114),$W114,IF(AND($S114&lt;&gt;"",EDATE($D114,Milestones!$AA$38)&gt;=$S114),$V114,$U114)))=Milestones!$AB$38),UPPER(TEXT(EDATE($D114,Milestones!$AA$38),"dd mmm yy"))&amp;" "&amp;Milestones!$AB$38&amp;" "&amp;Milestones!$AC$38&amp;";  ","")&amp;IF(AND(EDATE($D114,Milestones!$AA$39)&lt;=AsOfDate,IF($R114=0,$X114,IF(AND($T114&lt;&gt;"",EDATE($D114,Milestones!$AA$39)&gt;=$T114),$W114,IF(AND($S114&lt;&gt;"",EDATE($D114,Milestones!$AA$39)&gt;=$S114),$V114,$U114)))=Milestones!$AB$39),UPPER(TEXT(EDATE($D114,Milestones!$AA$39),"dd mmm yy"))&amp;" "&amp;Milestones!$AB$39&amp;" "&amp;Milestones!$AC$39&amp;";  ",""))</f>
        <v/>
      </c>
      <c r="J114" s="0" t="str">
        <f aca="false">IF(OR($A114="",$D114=""),"",IF(AND(EDATE($D114,Milestones!$AA$40)&lt;=AsOfDate,IF($R114=0,$X114,IF(AND($T114&lt;&gt;"",EDATE($D114,Milestones!$AA$40)&gt;=$T114),$W114,IF(AND($S114&lt;&gt;"",EDATE($D114,Milestones!$AA$40)&gt;=$S114),$V114,$U114)))=Milestones!$AB$40),UPPER(TEXT(EDATE($D114,Milestones!$AA$40),"dd mmm yy"))&amp;" "&amp;Milestones!$AB$40&amp;" "&amp;Milestones!$AC$40&amp;";  ","")&amp;IF(AND(EDATE($D114,Milestones!$AA$41)&lt;=AsOfDate,IF($R114=0,$X114,IF(AND($T114&lt;&gt;"",EDATE($D114,Milestones!$AA$41)&gt;=$T114),$W114,IF(AND($S114&lt;&gt;"",EDATE($D114,Milestones!$AA$41)&gt;=$S114),$V114,$U114)))=Milestones!$AB$41),UPPER(TEXT(EDATE($D114,Milestones!$AA$41),"dd mmm yy"))&amp;" "&amp;Milestones!$AB$41&amp;" "&amp;Milestones!$AC$41&amp;";  ","")&amp;IF(AND(EDATE($D114,Milestones!$AA$42)&lt;=AsOfDate,IF($R114=0,$X114,IF(AND($T114&lt;&gt;"",EDATE($D114,Milestones!$AA$42)&gt;=$T114),$W114,IF(AND($S114&lt;&gt;"",EDATE($D114,Milestones!$AA$42)&gt;=$S114),$V114,$U114)))=Milestones!$AB$42),UPPER(TEXT(EDATE($D114,Milestones!$AA$42),"dd mmm yy"))&amp;" "&amp;Milestones!$AB$42&amp;" "&amp;Milestones!$AC$42&amp;";  ","")&amp;IF(AND(EDATE($D114,Milestones!$AA$43)&lt;=AsOfDate,IF($R114=0,$X114,IF(AND($T114&lt;&gt;"",EDATE($D114,Milestones!$AA$43)&gt;=$T114),$W114,IF(AND($S114&lt;&gt;"",EDATE($D114,Milestones!$AA$43)&gt;=$S114),$V114,$U114)))=Milestones!$AB$43),UPPER(TEXT(EDATE($D114,Milestones!$AA$43),"dd mmm yy"))&amp;" "&amp;Milestones!$AB$43&amp;" "&amp;Milestones!$AC$43&amp;";  ","")&amp;IF(AND(EDATE($D114,Milestones!$AA$44)&lt;=AsOfDate,IF($R114=0,$X114,IF(AND($T114&lt;&gt;"",EDATE($D114,Milestones!$AA$44)&gt;=$T114),$W114,IF(AND($S114&lt;&gt;"",EDATE($D114,Milestones!$AA$44)&gt;=$S114),$V114,$U114)))=Milestones!$AB$44),UPPER(TEXT(EDATE($D114,Milestones!$AA$44),"dd mmm yy"))&amp;" "&amp;Milestones!$AB$44&amp;" "&amp;Milestones!$AC$44&amp;";  ","")&amp;IF(AND(EDATE($D114,Milestones!$AA$45)&lt;=AsOfDate,IF($R114=0,$X114,IF(AND($T114&lt;&gt;"",EDATE($D114,Milestones!$AA$45)&gt;=$T114),$W114,IF(AND($S114&lt;&gt;"",EDATE($D114,Milestones!$AA$45)&gt;=$S114),$V114,$U114)))=Milestones!$AB$45),UPPER(TEXT(EDATE($D114,Milestones!$AA$45),"dd mmm yy"))&amp;" "&amp;Milestones!$AB$45&amp;" "&amp;Milestones!$AC$45&amp;";  ","")&amp;IF(AND(EDATE($D114,Milestones!$AA$46)&lt;=AsOfDate,IF($R114=0,$X114,IF(AND($T114&lt;&gt;"",EDATE($D114,Milestones!$AA$46)&gt;=$T114),$W114,IF(AND($S114&lt;&gt;"",EDATE($D114,Milestones!$AA$46)&gt;=$S114),$V114,$U114)))=Milestones!$AB$46),UPPER(TEXT(EDATE($D114,Milestones!$AA$46),"dd mmm yy"))&amp;" "&amp;Milestones!$AB$46&amp;" "&amp;Milestones!$AC$46&amp;";  ","")&amp;IF(AND(EDATE($D114,Milestones!$AA$47)&lt;=AsOfDate,IF($R114=0,$X114,IF(AND($T114&lt;&gt;"",EDATE($D114,Milestones!$AA$47)&gt;=$T114),$W114,IF(AND($S114&lt;&gt;"",EDATE($D114,Milestones!$AA$47)&gt;=$S114),$V114,$U114)))=Milestones!$AB$47),UPPER(TEXT(EDATE($D114,Milestones!$AA$47),"dd mmm yy"))&amp;" "&amp;Milestones!$AB$47&amp;" "&amp;Milestones!$AC$47&amp;";  ","")&amp;IF(AND(EDATE($D114,Milestones!$AA$48)&lt;=AsOfDate,IF($R114=0,$X114,IF(AND($T114&lt;&gt;"",EDATE($D114,Milestones!$AA$48)&gt;=$T114),$W114,IF(AND($S114&lt;&gt;"",EDATE($D114,Milestones!$AA$48)&gt;=$S114),$V114,$U114)))=Milestones!$AB$48),UPPER(TEXT(EDATE($D114,Milestones!$AA$48),"dd mmm yy"))&amp;" "&amp;Milestones!$AB$48&amp;" "&amp;Milestones!$AC$48&amp;";  ","")&amp;IF(AND(EDATE($D114,Milestones!$AA$49)&lt;=AsOfDate,IF($R114=0,$X114,IF(AND($T114&lt;&gt;"",EDATE($D114,Milestones!$AA$49)&gt;=$T114),$W114,IF(AND($S114&lt;&gt;"",EDATE($D114,Milestones!$AA$49)&gt;=$S114),$V114,$U114)))=Milestones!$AB$49),UPPER(TEXT(EDATE($D114,Milestones!$AA$49),"dd mmm yy"))&amp;" "&amp;Milestones!$AB$49&amp;" "&amp;Milestones!$AC$49&amp;";  ","")&amp;IF(AND(EDATE($D114,Milestones!$AA$50)&lt;=AsOfDate,IF($R114=0,$X114,IF(AND($T114&lt;&gt;"",EDATE($D114,Milestones!$AA$50)&gt;=$T114),$W114,IF(AND($S114&lt;&gt;"",EDATE($D114,Milestones!$AA$50)&gt;=$S114),$V114,$U114)))=Milestones!$AB$50),UPPER(TEXT(EDATE($D114,Milestones!$AA$50),"dd mmm yy"))&amp;" "&amp;Milestones!$AB$50&amp;" "&amp;Milestones!$AC$50&amp;";  ","")&amp;IF(AND(EDATE($D114,Milestones!$AA$51)&lt;=AsOfDate,IF($R114=0,$X114,IF(AND($T114&lt;&gt;"",EDATE($D114,Milestones!$AA$51)&gt;=$T114),$W114,IF(AND($S114&lt;&gt;"",EDATE($D114,Milestones!$AA$51)&gt;=$S114),$V114,$U114)))=Milestones!$AB$51),UPPER(TEXT(EDATE($D114,Milestones!$AA$51),"dd mmm yy"))&amp;" "&amp;Milestones!$AB$51&amp;" "&amp;Milestones!$AC$51&amp;";  ","")&amp;IF(AND(EDATE($D114,Milestones!$AA$52)&lt;=AsOfDate,IF($R114=0,$X114,IF(AND($T114&lt;&gt;"",EDATE($D114,Milestones!$AA$52)&gt;=$T114),$W114,IF(AND($S114&lt;&gt;"",EDATE($D114,Milestones!$AA$52)&gt;=$S114),$V114,$U114)))=Milestones!$AB$52),UPPER(TEXT(EDATE($D114,Milestones!$AA$52),"dd mmm yy"))&amp;" "&amp;Milestones!$AB$52&amp;" "&amp;Milestones!$AC$52&amp;";  ","")&amp;IF(AND(EDATE($D114,Milestones!$AA$53)&lt;=AsOfDate,IF($R114=0,$X114,IF(AND($T114&lt;&gt;"",EDATE($D114,Milestones!$AA$53)&gt;=$T114),$W114,IF(AND($S114&lt;&gt;"",EDATE($D114,Milestones!$AA$53)&gt;=$S114),$V114,$U114)))=Milestones!$AB$53),UPPER(TEXT(EDATE($D114,Milestones!$AA$53),"dd mmm yy"))&amp;" "&amp;Milestones!$AB$53&amp;" "&amp;Milestones!$AC$53&amp;";  ","")&amp;IF(AND(EDATE($D114,Milestones!$AA$54)&lt;=AsOfDate,IF($R114=0,$X114,IF(AND($T114&lt;&gt;"",EDATE($D114,Milestones!$AA$54)&gt;=$T114),$W114,IF(AND($S114&lt;&gt;"",EDATE($D114,Milestones!$AA$54)&gt;=$S114),$V114,$U114)))=Milestones!$AB$54),UPPER(TEXT(EDATE($D114,Milestones!$AA$54),"dd mmm yy"))&amp;" "&amp;Milestones!$AB$54&amp;" "&amp;Milestones!$AC$54&amp;";  ","")&amp;IF(AND(EDATE($D114,Milestones!$AA$55)&lt;=AsOfDate,IF($R114=0,$X114,IF(AND($T114&lt;&gt;"",EDATE($D114,Milestones!$AA$55)&gt;=$T114),$W114,IF(AND($S114&lt;&gt;"",EDATE($D114,Milestones!$AA$55)&gt;=$S114),$V114,$U114)))=Milestones!$AB$55),UPPER(TEXT(EDATE($D114,Milestones!$AA$55),"dd mmm yy"))&amp;" "&amp;Milestones!$AB$55&amp;" "&amp;Milestones!$AC$55&amp;";  ","")&amp;IF(AND(EDATE($D114,Milestones!$AA$56)&lt;=AsOfDate,IF($R114=0,$X114,IF(AND($T114&lt;&gt;"",EDATE($D114,Milestones!$AA$56)&gt;=$T114),$W114,IF(AND($S114&lt;&gt;"",EDATE($D114,Milestones!$AA$56)&gt;=$S114),$V114,$U114)))=Milestones!$AB$56),UPPER(TEXT(EDATE($D114,Milestones!$AA$56),"dd mmm yy"))&amp;" "&amp;Milestones!$AB$56&amp;" "&amp;Milestones!$AC$56&amp;";  ","")&amp;IF(AND(EDATE($D114,Milestones!$AA$57)&lt;=AsOfDate,IF($R114=0,$X114,IF(AND($T114&lt;&gt;"",EDATE($D114,Milestones!$AA$57)&gt;=$T114),$W114,IF(AND($S114&lt;&gt;"",EDATE($D114,Milestones!$AA$57)&gt;=$S114),$V114,$U114)))=Milestones!$AB$57),UPPER(TEXT(EDATE($D114,Milestones!$AA$57),"dd mmm yy"))&amp;" "&amp;Milestones!$AB$57&amp;" "&amp;Milestones!$AC$57&amp;";  ","")&amp;IF(AND(EDATE($D114,Milestones!$AA$58)&lt;=AsOfDate,IF($R114=0,$X114,IF(AND($T114&lt;&gt;"",EDATE($D114,Milestones!$AA$58)&gt;=$T114),$W114,IF(AND($S114&lt;&gt;"",EDATE($D114,Milestones!$AA$58)&gt;=$S114),$V114,$U114)))=Milestones!$AB$58),UPPER(TEXT(EDATE($D114,Milestones!$AA$58),"dd mmm yy"))&amp;" "&amp;Milestones!$AB$58&amp;" "&amp;Milestones!$AC$58&amp;";  ","")&amp;IF(AND(EDATE($D114,Milestones!$AA$59)&lt;=AsOfDate,IF($R114=0,$X114,IF(AND($T114&lt;&gt;"",EDATE($D114,Milestones!$AA$59)&gt;=$T114),$W114,IF(AND($S114&lt;&gt;"",EDATE($D114,Milestones!$AA$59)&gt;=$S114),$V114,$U114)))=Milestones!$AB$59),UPPER(TEXT(EDATE($D114,Milestones!$AA$59),"dd mmm yy"))&amp;" "&amp;Milestones!$AB$59&amp;" "&amp;Milestones!$AC$59&amp;";  ",""))</f>
        <v/>
      </c>
      <c r="K114" s="0" t="str">
        <f aca="false">IF(OR($A114="",$D114=""),"",IF(AND(EDATE($D114,Milestones!$AA$60)&lt;=AsOfDate,IF($R114=0,$X114,IF(AND($T114&lt;&gt;"",EDATE($D114,Milestones!$AA$60)&gt;=$T114),$W114,IF(AND($S114&lt;&gt;"",EDATE($D114,Milestones!$AA$60)&gt;=$S114),$V114,$U114)))=Milestones!$AB$60),UPPER(TEXT(EDATE($D114,Milestones!$AA$60),"dd mmm yy"))&amp;" "&amp;Milestones!$AB$60&amp;" "&amp;Milestones!$AC$60&amp;";  ","")&amp;IF(AND(EDATE($D114,Milestones!$AA$61)&lt;=AsOfDate,IF($R114=0,$X114,IF(AND($T114&lt;&gt;"",EDATE($D114,Milestones!$AA$61)&gt;=$T114),$W114,IF(AND($S114&lt;&gt;"",EDATE($D114,Milestones!$AA$61)&gt;=$S114),$V114,$U114)))=Milestones!$AB$61),UPPER(TEXT(EDATE($D114,Milestones!$AA$61),"dd mmm yy"))&amp;" "&amp;Milestones!$AB$61&amp;" "&amp;Milestones!$AC$61&amp;";  ","")&amp;IF(AND(EDATE($D114,Milestones!$AA$62)&lt;=AsOfDate,IF($R114=0,$X114,IF(AND($T114&lt;&gt;"",EDATE($D114,Milestones!$AA$62)&gt;=$T114),$W114,IF(AND($S114&lt;&gt;"",EDATE($D114,Milestones!$AA$62)&gt;=$S114),$V114,$U114)))=Milestones!$AB$62),UPPER(TEXT(EDATE($D114,Milestones!$AA$62),"dd mmm yy"))&amp;" "&amp;Milestones!$AB$62&amp;" "&amp;Milestones!$AC$62&amp;";  ","")&amp;IF(AND(EDATE($D114,Milestones!$AA$63)&lt;=AsOfDate,IF($R114=0,$X114,IF(AND($T114&lt;&gt;"",EDATE($D114,Milestones!$AA$63)&gt;=$T114),$W114,IF(AND($S114&lt;&gt;"",EDATE($D114,Milestones!$AA$63)&gt;=$S114),$V114,$U114)))=Milestones!$AB$63),UPPER(TEXT(EDATE($D114,Milestones!$AA$63),"dd mmm yy"))&amp;" "&amp;Milestones!$AB$63&amp;" "&amp;Milestones!$AC$63&amp;";  ","")&amp;IF(AND(EDATE($D114,Milestones!$AA$64)&lt;=AsOfDate,IF($R114=0,$X114,IF(AND($T114&lt;&gt;"",EDATE($D114,Milestones!$AA$64)&gt;=$T114),$W114,IF(AND($S114&lt;&gt;"",EDATE($D114,Milestones!$AA$64)&gt;=$S114),$V114,$U114)))=Milestones!$AB$64),UPPER(TEXT(EDATE($D114,Milestones!$AA$64),"dd mmm yy"))&amp;" "&amp;Milestones!$AB$64&amp;" "&amp;Milestones!$AC$64&amp;";  ","")&amp;IF(AND(EDATE($D114,Milestones!$AA$65)&lt;=AsOfDate,IF($R114=0,$X114,IF(AND($T114&lt;&gt;"",EDATE($D114,Milestones!$AA$65)&gt;=$T114),$W114,IF(AND($S114&lt;&gt;"",EDATE($D114,Milestones!$AA$65)&gt;=$S114),$V114,$U114)))=Milestones!$AB$65),UPPER(TEXT(EDATE($D114,Milestones!$AA$65),"dd mmm yy"))&amp;" "&amp;Milestones!$AB$65&amp;" "&amp;Milestones!$AC$65&amp;";  ","")&amp;IF(AND(EDATE($D114,Milestones!$AA$66)&lt;=AsOfDate,IF($R114=0,$X114,IF(AND($T114&lt;&gt;"",EDATE($D114,Milestones!$AA$66)&gt;=$T114),$W114,IF(AND($S114&lt;&gt;"",EDATE($D114,Milestones!$AA$66)&gt;=$S114),$V114,$U114)))=Milestones!$AB$66),UPPER(TEXT(EDATE($D114,Milestones!$AA$66),"dd mmm yy"))&amp;" "&amp;Milestones!$AB$66&amp;" "&amp;Milestones!$AC$66&amp;";  ","")&amp;IF(AND(EDATE($D114,Milestones!$AA$67)&lt;=AsOfDate,IF($R114=0,$X114,IF(AND($T114&lt;&gt;"",EDATE($D114,Milestones!$AA$67)&gt;=$T114),$W114,IF(AND($S114&lt;&gt;"",EDATE($D114,Milestones!$AA$67)&gt;=$S114),$V114,$U114)))=Milestones!$AB$67),UPPER(TEXT(EDATE($D114,Milestones!$AA$67),"dd mmm yy"))&amp;" "&amp;Milestones!$AB$67&amp;" "&amp;Milestones!$AC$67&amp;";  ","")&amp;IF(AND(EDATE($D114,Milestones!$AA$68)&lt;=AsOfDate,IF($R114=0,$X114,IF(AND($T114&lt;&gt;"",EDATE($D114,Milestones!$AA$68)&gt;=$T114),$W114,IF(AND($S114&lt;&gt;"",EDATE($D114,Milestones!$AA$68)&gt;=$S114),$V114,$U114)))=Milestones!$AB$68),UPPER(TEXT(EDATE($D114,Milestones!$AA$68),"dd mmm yy"))&amp;" "&amp;Milestones!$AB$68&amp;" "&amp;Milestones!$AC$68&amp;";  ","")&amp;IF(AND(EDATE($D114,Milestones!$AA$69)&lt;=AsOfDate,IF($R114=0,$X114,IF(AND($T114&lt;&gt;"",EDATE($D114,Milestones!$AA$69)&gt;=$T114),$W114,IF(AND($S114&lt;&gt;"",EDATE($D114,Milestones!$AA$69)&gt;=$S114),$V114,$U114)))=Milestones!$AB$69),UPPER(TEXT(EDATE($D114,Milestones!$AA$69),"dd mmm yy"))&amp;" "&amp;Milestones!$AB$69&amp;" "&amp;Milestones!$AC$69&amp;";  ","")&amp;IF(AND(EDATE($D114,Milestones!$AA$70)&lt;=AsOfDate,IF($R114=0,$X114,IF(AND($T114&lt;&gt;"",EDATE($D114,Milestones!$AA$70)&gt;=$T114),$W114,IF(AND($S114&lt;&gt;"",EDATE($D114,Milestones!$AA$70)&gt;=$S114),$V114,$U114)))=Milestones!$AB$70),UPPER(TEXT(EDATE($D114,Milestones!$AA$70),"dd mmm yy"))&amp;" "&amp;Milestones!$AB$70&amp;" "&amp;Milestones!$AC$70&amp;";  ","")&amp;IF(AND(EDATE($D114,Milestones!$AA$71)&lt;=AsOfDate,IF($R114=0,$X114,IF(AND($T114&lt;&gt;"",EDATE($D114,Milestones!$AA$71)&gt;=$T114),$W114,IF(AND($S114&lt;&gt;"",EDATE($D114,Milestones!$AA$71)&gt;=$S114),$V114,$U114)))=Milestones!$AB$71),UPPER(TEXT(EDATE($D114,Milestones!$AA$71),"dd mmm yy"))&amp;" "&amp;Milestones!$AB$71&amp;" "&amp;Milestones!$AC$71&amp;";  ","")&amp;IF(AND(EDATE($D114,Milestones!$AA$72)&lt;=AsOfDate,IF($R114=0,$X114,IF(AND($T114&lt;&gt;"",EDATE($D114,Milestones!$AA$72)&gt;=$T114),$W114,IF(AND($S114&lt;&gt;"",EDATE($D114,Milestones!$AA$72)&gt;=$S114),$V114,$U114)))=Milestones!$AB$72),UPPER(TEXT(EDATE($D114,Milestones!$AA$72),"dd mmm yy"))&amp;" "&amp;Milestones!$AB$72&amp;" "&amp;Milestones!$AC$72&amp;";  ","")&amp;IF(AND(EDATE($D114,Milestones!$AA$73)&lt;=AsOfDate,IF($R114=0,$X114,IF(AND($T114&lt;&gt;"",EDATE($D114,Milestones!$AA$73)&gt;=$T114),$W114,IF(AND($S114&lt;&gt;"",EDATE($D114,Milestones!$AA$73)&gt;=$S114),$V114,$U114)))=Milestones!$AB$73),UPPER(TEXT(EDATE($D114,Milestones!$AA$73),"dd mmm yy"))&amp;" "&amp;Milestones!$AB$73&amp;" "&amp;Milestones!$AC$73&amp;";  ","")&amp;IF(AND(EDATE($D114,Milestones!$AA$74)&lt;=AsOfDate,IF($R114=0,$X114,IF(AND($T114&lt;&gt;"",EDATE($D114,Milestones!$AA$74)&gt;=$T114),$W114,IF(AND($S114&lt;&gt;"",EDATE($D114,Milestones!$AA$74)&gt;=$S114),$V114,$U114)))=Milestones!$AB$74),UPPER(TEXT(EDATE($D114,Milestones!$AA$74),"dd mmm yy"))&amp;" "&amp;Milestones!$AB$74&amp;" "&amp;Milestones!$AC$74&amp;";  ","")&amp;IF(AND(EDATE($D114,Milestones!$AA$75)&lt;=AsOfDate,IF($R114=0,$X114,IF(AND($T114&lt;&gt;"",EDATE($D114,Milestones!$AA$75)&gt;=$T114),$W114,IF(AND($S114&lt;&gt;"",EDATE($D114,Milestones!$AA$75)&gt;=$S114),$V114,$U114)))=Milestones!$AB$75),UPPER(TEXT(EDATE($D114,Milestones!$AA$75),"dd mmm yy"))&amp;" "&amp;Milestones!$AB$75&amp;" "&amp;Milestones!$AC$75&amp;";  ","")&amp;IF(AND(EDATE($D114,Milestones!$AA$76)&lt;=AsOfDate,IF($R114=0,$X114,IF(AND($T114&lt;&gt;"",EDATE($D114,Milestones!$AA$76)&gt;=$T114),$W114,IF(AND($S114&lt;&gt;"",EDATE($D114,Milestones!$AA$76)&gt;=$S114),$V114,$U114)))=Milestones!$AB$76),UPPER(TEXT(EDATE($D114,Milestones!$AA$76),"dd mmm yy"))&amp;" "&amp;Milestones!$AB$76&amp;" "&amp;Milestones!$AC$76&amp;";  ","")&amp;IF(AND(EDATE($D114,Milestones!$AA$77)&lt;=AsOfDate,IF($R114=0,$X114,IF(AND($T114&lt;&gt;"",EDATE($D114,Milestones!$AA$77)&gt;=$T114),$W114,IF(AND($S114&lt;&gt;"",EDATE($D114,Milestones!$AA$77)&gt;=$S114),$V114,$U114)))=Milestones!$AB$77),UPPER(TEXT(EDATE($D114,Milestones!$AA$77),"dd mmm yy"))&amp;" "&amp;Milestones!$AB$77&amp;" "&amp;Milestones!$AC$77&amp;";  ","")&amp;IF(AND(EDATE($D114,Milestones!$AA$78)&lt;=AsOfDate,IF($R114=0,$X114,IF(AND($T114&lt;&gt;"",EDATE($D114,Milestones!$AA$78)&gt;=$T114),$W114,IF(AND($S114&lt;&gt;"",EDATE($D114,Milestones!$AA$78)&gt;=$S114),$V114,$U114)))=Milestones!$AB$78),UPPER(TEXT(EDATE($D114,Milestones!$AA$78),"dd mmm yy"))&amp;" "&amp;Milestones!$AB$78&amp;" "&amp;Milestones!$AC$78&amp;";  ","")&amp;IF(AND(EDATE($D114,Milestones!$AA$79)&lt;=AsOfDate,IF($R114=0,$X114,IF(AND($T114&lt;&gt;"",EDATE($D114,Milestones!$AA$79)&gt;=$T114),$W114,IF(AND($S114&lt;&gt;"",EDATE($D114,Milestones!$AA$79)&gt;=$S114),$V114,$U114)))=Milestones!$AB$79),UPPER(TEXT(EDATE($D114,Milestones!$AA$79),"dd mmm yy"))&amp;" "&amp;Milestones!$AB$79&amp;" "&amp;Milestones!$AC$79&amp;";  ",""))</f>
        <v/>
      </c>
      <c r="L114" s="0" t="str">
        <f aca="false">IF(OR($A114="",$D114=""),"",IF(AND(EDATE($D114,Milestones!$AA$80)&lt;=AsOfDate,IF($R114=0,$X114,IF(AND($T114&lt;&gt;"",EDATE($D114,Milestones!$AA$80)&gt;=$T114),$W114,IF(AND($S114&lt;&gt;"",EDATE($D114,Milestones!$AA$80)&gt;=$S114),$V114,$U114)))=Milestones!$AB$80),UPPER(TEXT(EDATE($D114,Milestones!$AA$80),"dd mmm yy"))&amp;" "&amp;Milestones!$AB$80&amp;" "&amp;Milestones!$AC$80&amp;";  ","")&amp;IF(AND(EDATE($D114,Milestones!$AA$81)&lt;=AsOfDate,IF($R114=0,$X114,IF(AND($T114&lt;&gt;"",EDATE($D114,Milestones!$AA$81)&gt;=$T114),$W114,IF(AND($S114&lt;&gt;"",EDATE($D114,Milestones!$AA$81)&gt;=$S114),$V114,$U114)))=Milestones!$AB$81),UPPER(TEXT(EDATE($D114,Milestones!$AA$81),"dd mmm yy"))&amp;" "&amp;Milestones!$AB$81&amp;" "&amp;Milestones!$AC$81&amp;";  ","")&amp;IF(AND(EDATE($D114,Milestones!$AA$82)&lt;=AsOfDate,IF($R114=0,$X114,IF(AND($T114&lt;&gt;"",EDATE($D114,Milestones!$AA$82)&gt;=$T114),$W114,IF(AND($S114&lt;&gt;"",EDATE($D114,Milestones!$AA$82)&gt;=$S114),$V114,$U114)))=Milestones!$AB$82),UPPER(TEXT(EDATE($D114,Milestones!$AA$82),"dd mmm yy"))&amp;" "&amp;Milestones!$AB$82&amp;" "&amp;Milestones!$AC$82&amp;";  ","")&amp;IF(AND(EDATE($D114,Milestones!$AA$83)&lt;=AsOfDate,IF($R114=0,$X114,IF(AND($T114&lt;&gt;"",EDATE($D114,Milestones!$AA$83)&gt;=$T114),$W114,IF(AND($S114&lt;&gt;"",EDATE($D114,Milestones!$AA$83)&gt;=$S114),$V114,$U114)))=Milestones!$AB$83),UPPER(TEXT(EDATE($D114,Milestones!$AA$83),"dd mmm yy"))&amp;" "&amp;Milestones!$AB$83&amp;" "&amp;Milestones!$AC$83&amp;";  ","")&amp;IF(AND(EDATE($D114,Milestones!$AA$84)&lt;=AsOfDate,IF($R114=0,$X114,IF(AND($T114&lt;&gt;"",EDATE($D114,Milestones!$AA$84)&gt;=$T114),$W114,IF(AND($S114&lt;&gt;"",EDATE($D114,Milestones!$AA$84)&gt;=$S114),$V114,$U114)))=Milestones!$AB$84),UPPER(TEXT(EDATE($D114,Milestones!$AA$84),"dd mmm yy"))&amp;" "&amp;Milestones!$AB$84&amp;" "&amp;Milestones!$AC$84&amp;";  ","")&amp;IF(AND(EDATE($D114,Milestones!$AA$85)&lt;=AsOfDate,IF($R114=0,$X114,IF(AND($T114&lt;&gt;"",EDATE($D114,Milestones!$AA$85)&gt;=$T114),$W114,IF(AND($S114&lt;&gt;"",EDATE($D114,Milestones!$AA$85)&gt;=$S114),$V114,$U114)))=Milestones!$AB$85),UPPER(TEXT(EDATE($D114,Milestones!$AA$85),"dd mmm yy"))&amp;" "&amp;Milestones!$AB$85&amp;" "&amp;Milestones!$AC$85&amp;";  ","")&amp;IF(AND(EDATE($D114,Milestones!$AA$86)&lt;=AsOfDate,IF($R114=0,$X114,IF(AND($T114&lt;&gt;"",EDATE($D114,Milestones!$AA$86)&gt;=$T114),$W114,IF(AND($S114&lt;&gt;"",EDATE($D114,Milestones!$AA$86)&gt;=$S114),$V114,$U114)))=Milestones!$AB$86),UPPER(TEXT(EDATE($D114,Milestones!$AA$86),"dd mmm yy"))&amp;" "&amp;Milestones!$AB$86&amp;" "&amp;Milestones!$AC$86&amp;";  ","")&amp;IF(AND(EDATE($D114,Milestones!$AA$87)&lt;=AsOfDate,IF($R114=0,$X114,IF(AND($T114&lt;&gt;"",EDATE($D114,Milestones!$AA$87)&gt;=$T114),$W114,IF(AND($S114&lt;&gt;"",EDATE($D114,Milestones!$AA$87)&gt;=$S114),$V114,$U114)))=Milestones!$AB$87),UPPER(TEXT(EDATE($D114,Milestones!$AA$87),"dd mmm yy"))&amp;" "&amp;Milestones!$AB$87&amp;" "&amp;Milestones!$AC$87&amp;";  ","")&amp;IF(AND(EDATE($D114,Milestones!$AA$88)&lt;=AsOfDate,IF($R114=0,$X114,IF(AND($T114&lt;&gt;"",EDATE($D114,Milestones!$AA$88)&gt;=$T114),$W114,IF(AND($S114&lt;&gt;"",EDATE($D114,Milestones!$AA$88)&gt;=$S114),$V114,$U114)))=Milestones!$AB$88),UPPER(TEXT(EDATE($D114,Milestones!$AA$88),"dd mmm yy"))&amp;" "&amp;Milestones!$AB$88&amp;" "&amp;Milestones!$AC$88&amp;";  ","")&amp;IF(AND(EDATE($D114,Milestones!$AA$89)&lt;=AsOfDate,IF($R114=0,$X114,IF(AND($T114&lt;&gt;"",EDATE($D114,Milestones!$AA$89)&gt;=$T114),$W114,IF(AND($S114&lt;&gt;"",EDATE($D114,Milestones!$AA$89)&gt;=$S114),$V114,$U114)))=Milestones!$AB$89),UPPER(TEXT(EDATE($D114,Milestones!$AA$89),"dd mmm yy"))&amp;" "&amp;Milestones!$AB$89&amp;" "&amp;Milestones!$AC$89&amp;";  ","")&amp;IF(AND(EDATE($D114,Milestones!$AA$90)&lt;=AsOfDate,IF($R114=0,$X114,IF(AND($T114&lt;&gt;"",EDATE($D114,Milestones!$AA$90)&gt;=$T114),$W114,IF(AND($S114&lt;&gt;"",EDATE($D114,Milestones!$AA$90)&gt;=$S114),$V114,$U114)))=Milestones!$AB$90),UPPER(TEXT(EDATE($D114,Milestones!$AA$90),"dd mmm yy"))&amp;" "&amp;Milestones!$AB$90&amp;" "&amp;Milestones!$AC$90&amp;";  ","")&amp;IF(AND(EDATE($D114,Milestones!$AA$91)&lt;=AsOfDate,IF($R114=0,$X114,IF(AND($T114&lt;&gt;"",EDATE($D114,Milestones!$AA$91)&gt;=$T114),$W114,IF(AND($S114&lt;&gt;"",EDATE($D114,Milestones!$AA$91)&gt;=$S114),$V114,$U114)))=Milestones!$AB$91),UPPER(TEXT(EDATE($D114,Milestones!$AA$91),"dd mmm yy"))&amp;" "&amp;Milestones!$AB$91&amp;" "&amp;Milestones!$AC$91&amp;";  ","")&amp;IF(AND(EDATE($D114,Milestones!$AA$92)&lt;=AsOfDate,IF($R114=0,$X114,IF(AND($T114&lt;&gt;"",EDATE($D114,Milestones!$AA$92)&gt;=$T114),$W114,IF(AND($S114&lt;&gt;"",EDATE($D114,Milestones!$AA$92)&gt;=$S114),$V114,$U114)))=Milestones!$AB$92),UPPER(TEXT(EDATE($D114,Milestones!$AA$92),"dd mmm yy"))&amp;" "&amp;Milestones!$AB$92&amp;" "&amp;Milestones!$AC$92&amp;";  ","")&amp;IF(AND(EDATE($D114,Milestones!$AA$93)&lt;=AsOfDate,IF($R114=0,$X114,IF(AND($T114&lt;&gt;"",EDATE($D114,Milestones!$AA$93)&gt;=$T114),$W114,IF(AND($S114&lt;&gt;"",EDATE($D114,Milestones!$AA$93)&gt;=$S114),$V114,$U114)))=Milestones!$AB$93),UPPER(TEXT(EDATE($D114,Milestones!$AA$93),"dd mmm yy"))&amp;" "&amp;Milestones!$AB$93&amp;" "&amp;Milestones!$AC$93&amp;";  ","")&amp;IF(AND(EDATE($D114,Milestones!$AA$94)&lt;=AsOfDate,IF($R114=0,$X114,IF(AND($T114&lt;&gt;"",EDATE($D114,Milestones!$AA$94)&gt;=$T114),$W114,IF(AND($S114&lt;&gt;"",EDATE($D114,Milestones!$AA$94)&gt;=$S114),$V114,$U114)))=Milestones!$AB$94),UPPER(TEXT(EDATE($D114,Milestones!$AA$94),"dd mmm yy"))&amp;" "&amp;Milestones!$AB$94&amp;" "&amp;Milestones!$AC$94&amp;";  ","")&amp;IF(AND(EDATE($D114,Milestones!$AA$95)&lt;=AsOfDate,IF($R114=0,$X114,IF(AND($T114&lt;&gt;"",EDATE($D114,Milestones!$AA$95)&gt;=$T114),$W114,IF(AND($S114&lt;&gt;"",EDATE($D114,Milestones!$AA$95)&gt;=$S114),$V114,$U114)))=Milestones!$AB$95),UPPER(TEXT(EDATE($D114,Milestones!$AA$95),"dd mmm yy"))&amp;" "&amp;Milestones!$AB$95&amp;" "&amp;Milestones!$AC$95&amp;";  ","")&amp;IF(AND(EDATE($D114,Milestones!$AA$96)&lt;=AsOfDate,IF($R114=0,$X114,IF(AND($T114&lt;&gt;"",EDATE($D114,Milestones!$AA$96)&gt;=$T114),$W114,IF(AND($S114&lt;&gt;"",EDATE($D114,Milestones!$AA$96)&gt;=$S114),$V114,$U114)))=Milestones!$AB$96),UPPER(TEXT(EDATE($D114,Milestones!$AA$96),"dd mmm yy"))&amp;" "&amp;Milestones!$AB$96&amp;" "&amp;Milestones!$AC$96&amp;";  ","")&amp;IF(AND(EDATE($D114,Milestones!$AA$97)&lt;=AsOfDate,IF($R114=0,$X114,IF(AND($T114&lt;&gt;"",EDATE($D114,Milestones!$AA$97)&gt;=$T114),$W114,IF(AND($S114&lt;&gt;"",EDATE($D114,Milestones!$AA$97)&gt;=$S114),$V114,$U114)))=Milestones!$AB$97),UPPER(TEXT(EDATE($D114,Milestones!$AA$97),"dd mmm yy"))&amp;" "&amp;Milestones!$AB$97&amp;" "&amp;Milestones!$AC$97&amp;";  ","")&amp;IF(AND(EDATE($D114,Milestones!$AA$98)&lt;=AsOfDate,IF($R114=0,$X114,IF(AND($T114&lt;&gt;"",EDATE($D114,Milestones!$AA$98)&gt;=$T114),$W114,IF(AND($S114&lt;&gt;"",EDATE($D114,Milestones!$AA$98)&gt;=$S114),$V114,$U114)))=Milestones!$AB$98),UPPER(TEXT(EDATE($D114,Milestones!$AA$98),"dd mmm yy"))&amp;" "&amp;Milestones!$AB$98&amp;" "&amp;Milestones!$AC$98&amp;";  ","")&amp;IF(AND(EDATE($D114,Milestones!$AA$99)&lt;=AsOfDate,IF($R114=0,$X114,IF(AND($T114&lt;&gt;"",EDATE($D114,Milestones!$AA$99)&gt;=$T114),$W114,IF(AND($S114&lt;&gt;"",EDATE($D114,Milestones!$AA$99)&gt;=$S114),$V114,$U114)))=Milestones!$AB$99),UPPER(TEXT(EDATE($D114,Milestones!$AA$99),"dd mmm yy"))&amp;" "&amp;Milestones!$AB$99&amp;" "&amp;Milestones!$AC$99&amp;";  ",""))</f>
        <v/>
      </c>
      <c r="M114" s="0" t="str">
        <f aca="false">IF(OR($A114="",$D114=""),"",IF(AND(EDATE($D114,Milestones!$AA$100)&lt;=AsOfDate,IF($R114=0,$X114,IF(AND($T114&lt;&gt;"",EDATE($D114,Milestones!$AA$100)&gt;=$T114),$W114,IF(AND($S114&lt;&gt;"",EDATE($D114,Milestones!$AA$100)&gt;=$S114),$V114,$U114)))=Milestones!$AB$100),UPPER(TEXT(EDATE($D114,Milestones!$AA$100),"dd mmm yy"))&amp;" "&amp;Milestones!$AB$100&amp;" "&amp;Milestones!$AC$100&amp;";  ","")&amp;IF(AND(EDATE($D114,Milestones!$AA$101)&lt;=AsOfDate,IF($R114=0,$X114,IF(AND($T114&lt;&gt;"",EDATE($D114,Milestones!$AA$101)&gt;=$T114),$W114,IF(AND($S114&lt;&gt;"",EDATE($D114,Milestones!$AA$101)&gt;=$S114),$V114,$U114)))=Milestones!$AB$101),UPPER(TEXT(EDATE($D114,Milestones!$AA$101),"dd mmm yy"))&amp;" "&amp;Milestones!$AB$101&amp;" "&amp;Milestones!$AC$101&amp;";  ","")&amp;IF(AND(EDATE($D114,Milestones!$AA$102)&lt;=AsOfDate,IF($R114=0,$X114,IF(AND($T114&lt;&gt;"",EDATE($D114,Milestones!$AA$102)&gt;=$T114),$W114,IF(AND($S114&lt;&gt;"",EDATE($D114,Milestones!$AA$102)&gt;=$S114),$V114,$U114)))=Milestones!$AB$102),UPPER(TEXT(EDATE($D114,Milestones!$AA$102),"dd mmm yy"))&amp;" "&amp;Milestones!$AB$102&amp;" "&amp;Milestones!$AC$102&amp;";  ","")&amp;IF(AND(EDATE($D114,Milestones!$AA$103)&lt;=AsOfDate,IF($R114=0,$X114,IF(AND($T114&lt;&gt;"",EDATE($D114,Milestones!$AA$103)&gt;=$T114),$W114,IF(AND($S114&lt;&gt;"",EDATE($D114,Milestones!$AA$103)&gt;=$S114),$V114,$U114)))=Milestones!$AB$103),UPPER(TEXT(EDATE($D114,Milestones!$AA$103),"dd mmm yy"))&amp;" "&amp;Milestones!$AB$103&amp;" "&amp;Milestones!$AC$103&amp;";  ","")&amp;IF(AND(EDATE($D114,Milestones!$AA$104)&lt;=AsOfDate,IF($R114=0,$X114,IF(AND($T114&lt;&gt;"",EDATE($D114,Milestones!$AA$104)&gt;=$T114),$W114,IF(AND($S114&lt;&gt;"",EDATE($D114,Milestones!$AA$104)&gt;=$S114),$V114,$U114)))=Milestones!$AB$104),UPPER(TEXT(EDATE($D114,Milestones!$AA$104),"dd mmm yy"))&amp;" "&amp;Milestones!$AB$104&amp;" "&amp;Milestones!$AC$104&amp;";  ","")&amp;IF(AND(EDATE($D114,Milestones!$AA$105)&lt;=AsOfDate,IF($R114=0,$X114,IF(AND($T114&lt;&gt;"",EDATE($D114,Milestones!$AA$105)&gt;=$T114),$W114,IF(AND($S114&lt;&gt;"",EDATE($D114,Milestones!$AA$105)&gt;=$S114),$V114,$U114)))=Milestones!$AB$105),UPPER(TEXT(EDATE($D114,Milestones!$AA$105),"dd mmm yy"))&amp;" "&amp;Milestones!$AB$105&amp;" "&amp;Milestones!$AC$105&amp;";  ","")&amp;IF(AND(EDATE($D114,Milestones!$AA$106)&lt;=AsOfDate,IF($R114=0,$X114,IF(AND($T114&lt;&gt;"",EDATE($D114,Milestones!$AA$106)&gt;=$T114),$W114,IF(AND($S114&lt;&gt;"",EDATE($D114,Milestones!$AA$106)&gt;=$S114),$V114,$U114)))=Milestones!$AB$106),UPPER(TEXT(EDATE($D114,Milestones!$AA$106),"dd mmm yy"))&amp;" "&amp;Milestones!$AB$106&amp;" "&amp;Milestones!$AC$106&amp;";  ","")&amp;IF(AND(EDATE($D114,Milestones!$AA$107)&lt;=AsOfDate,IF($R114=0,$X114,IF(AND($T114&lt;&gt;"",EDATE($D114,Milestones!$AA$107)&gt;=$T114),$W114,IF(AND($S114&lt;&gt;"",EDATE($D114,Milestones!$AA$107)&gt;=$S114),$V114,$U114)))=Milestones!$AB$107),UPPER(TEXT(EDATE($D114,Milestones!$AA$107),"dd mmm yy"))&amp;" "&amp;Milestones!$AB$107&amp;" "&amp;Milestones!$AC$107&amp;";  ","")&amp;IF(AND(EDATE($D114,Milestones!$AA$108)&lt;=AsOfDate,IF($R114=0,$X114,IF(AND($T114&lt;&gt;"",EDATE($D114,Milestones!$AA$108)&gt;=$T114),$W114,IF(AND($S114&lt;&gt;"",EDATE($D114,Milestones!$AA$108)&gt;=$S114),$V114,$U114)))=Milestones!$AB$108),UPPER(TEXT(EDATE($D114,Milestones!$AA$108),"dd mmm yy"))&amp;" "&amp;Milestones!$AB$108&amp;" "&amp;Milestones!$AC$108&amp;";  ","")&amp;IF(AND(EDATE($D114,Milestones!$AA$109)&lt;=AsOfDate,IF($R114=0,$X114,IF(AND($T114&lt;&gt;"",EDATE($D114,Milestones!$AA$109)&gt;=$T114),$W114,IF(AND($S114&lt;&gt;"",EDATE($D114,Milestones!$AA$109)&gt;=$S114),$V114,$U114)))=Milestones!$AB$109),UPPER(TEXT(EDATE($D114,Milestones!$AA$109),"dd mmm yy"))&amp;" "&amp;Milestones!$AB$109&amp;" "&amp;Milestones!$AC$109&amp;";  ","")&amp;IF(AND(EDATE($D114,Milestones!$AA$110)&lt;=AsOfDate,IF($R114=0,$X114,IF(AND($T114&lt;&gt;"",EDATE($D114,Milestones!$AA$110)&gt;=$T114),$W114,IF(AND($S114&lt;&gt;"",EDATE($D114,Milestones!$AA$110)&gt;=$S114),$V114,$U114)))=Milestones!$AB$110),UPPER(TEXT(EDATE($D114,Milestones!$AA$110),"dd mmm yy"))&amp;" "&amp;Milestones!$AB$110&amp;" "&amp;Milestones!$AC$110&amp;";  ","")&amp;IF(AND(EDATE($D114,Milestones!$AA$111)&lt;=AsOfDate,IF($R114=0,$X114,IF(AND($T114&lt;&gt;"",EDATE($D114,Milestones!$AA$111)&gt;=$T114),$W114,IF(AND($S114&lt;&gt;"",EDATE($D114,Milestones!$AA$111)&gt;=$S114),$V114,$U114)))=Milestones!$AB$111),UPPER(TEXT(EDATE($D114,Milestones!$AA$111),"dd mmm yy"))&amp;" "&amp;Milestones!$AB$111&amp;" "&amp;Milestones!$AC$111&amp;";  ","")&amp;IF(AND(EDATE($D114,Milestones!$AA$112)&lt;=AsOfDate,IF($R114=0,$X114,IF(AND($T114&lt;&gt;"",EDATE($D114,Milestones!$AA$112)&gt;=$T114),$W114,IF(AND($S114&lt;&gt;"",EDATE($D114,Milestones!$AA$112)&gt;=$S114),$V114,$U114)))=Milestones!$AB$112),UPPER(TEXT(EDATE($D114,Milestones!$AA$112),"dd mmm yy"))&amp;" "&amp;Milestones!$AB$112&amp;" "&amp;Milestones!$AC$112&amp;";  ","")&amp;IF(AND(EDATE($D114,Milestones!$AA$113)&lt;=AsOfDate,IF($R114=0,$X114,IF(AND($T114&lt;&gt;"",EDATE($D114,Milestones!$AA$113)&gt;=$T114),$W114,IF(AND($S114&lt;&gt;"",EDATE($D114,Milestones!$AA$113)&gt;=$S114),$V114,$U114)))=Milestones!$AB$113),UPPER(TEXT(EDATE($D114,Milestones!$AA$113),"dd mmm yy"))&amp;" "&amp;Milestones!$AB$113&amp;" "&amp;Milestones!$AC$113&amp;";  ","")&amp;IF(AND(EDATE($D114,Milestones!$AA$114)&lt;=AsOfDate,IF($R114=0,$X114,IF(AND($T114&lt;&gt;"",EDATE($D114,Milestones!$AA$114)&gt;=$T114),$W114,IF(AND($S114&lt;&gt;"",EDATE($D114,Milestones!$AA$114)&gt;=$S114),$V114,$U114)))=Milestones!$AB$114),UPPER(TEXT(EDATE($D114,Milestones!$AA$114),"dd mmm yy"))&amp;" "&amp;Milestones!$AB$114&amp;" "&amp;Milestones!$AC$114&amp;";  ","")&amp;IF(AND(EDATE($D114,Milestones!$AA$115)&lt;=AsOfDate,IF($R114=0,$X114,IF(AND($T114&lt;&gt;"",EDATE($D114,Milestones!$AA$115)&gt;=$T114),$W114,IF(AND($S114&lt;&gt;"",EDATE($D114,Milestones!$AA$115)&gt;=$S114),$V114,$U114)))=Milestones!$AB$115),UPPER(TEXT(EDATE($D114,Milestones!$AA$115),"dd mmm yy"))&amp;" "&amp;Milestones!$AB$115&amp;" "&amp;Milestones!$AC$115&amp;";  ","")&amp;IF(AND(EDATE($D114,Milestones!$AA$116)&lt;=AsOfDate,IF($R114=0,$X114,IF(AND($T114&lt;&gt;"",EDATE($D114,Milestones!$AA$116)&gt;=$T114),$W114,IF(AND($S114&lt;&gt;"",EDATE($D114,Milestones!$AA$116)&gt;=$S114),$V114,$U114)))=Milestones!$AB$116),UPPER(TEXT(EDATE($D114,Milestones!$AA$116),"dd mmm yy"))&amp;" "&amp;Milestones!$AB$116&amp;" "&amp;Milestones!$AC$116&amp;";  ","")&amp;IF(AND(EDATE($D114,Milestones!$AA$117)&lt;=AsOfDate,IF($R114=0,$X114,IF(AND($T114&lt;&gt;"",EDATE($D114,Milestones!$AA$117)&gt;=$T114),$W114,IF(AND($S114&lt;&gt;"",EDATE($D114,Milestones!$AA$117)&gt;=$S114),$V114,$U114)))=Milestones!$AB$117),UPPER(TEXT(EDATE($D114,Milestones!$AA$117),"dd mmm yy"))&amp;" "&amp;Milestones!$AB$117&amp;" "&amp;Milestones!$AC$117&amp;";  ","")&amp;IF(AND(EDATE($D114,Milestones!$AA$118)&lt;=AsOfDate,IF($R114=0,$X114,IF(AND($T114&lt;&gt;"",EDATE($D114,Milestones!$AA$118)&gt;=$T114),$W114,IF(AND($S114&lt;&gt;"",EDATE($D114,Milestones!$AA$118)&gt;=$S114),$V114,$U114)))=Milestones!$AB$118),UPPER(TEXT(EDATE($D114,Milestones!$AA$118),"dd mmm yy"))&amp;" "&amp;Milestones!$AB$118&amp;" "&amp;Milestones!$AC$118&amp;";  ","")&amp;IF(AND(EDATE($D114,Milestones!$AA$119)&lt;=AsOfDate,IF($R114=0,$X114,IF(AND($T114&lt;&gt;"",EDATE($D114,Milestones!$AA$119)&gt;=$T114),$W114,IF(AND($S114&lt;&gt;"",EDATE($D114,Milestones!$AA$119)&gt;=$S114),$V114,$U114)))=Milestones!$AB$119),UPPER(TEXT(EDATE($D114,Milestones!$AA$119),"dd mmm yy"))&amp;" "&amp;Milestones!$AB$119&amp;" "&amp;Milestones!$AC$119&amp;";  ",""))</f>
        <v/>
      </c>
      <c r="N114" s="0" t="str">
        <f aca="false">IF(OR($A114="",$D114=""),"",IF(AND(EDATE($D114,Milestones!$AA$120)&lt;=AsOfDate,IF($R114=0,$X114,IF(AND($T114&lt;&gt;"",EDATE($D114,Milestones!$AA$120)&gt;=$T114),$W114,IF(AND($S114&lt;&gt;"",EDATE($D114,Milestones!$AA$120)&gt;=$S114),$V114,$U114)))=Milestones!$AB$120),UPPER(TEXT(EDATE($D114,Milestones!$AA$120),"dd mmm yy"))&amp;" "&amp;Milestones!$AB$120&amp;" "&amp;Milestones!$AC$120&amp;";  ","")&amp;IF(AND(EDATE($D114,Milestones!$AA$121)&lt;=AsOfDate,IF($R114=0,$X114,IF(AND($T114&lt;&gt;"",EDATE($D114,Milestones!$AA$121)&gt;=$T114),$W114,IF(AND($S114&lt;&gt;"",EDATE($D114,Milestones!$AA$121)&gt;=$S114),$V114,$U114)))=Milestones!$AB$121),UPPER(TEXT(EDATE($D114,Milestones!$AA$121),"dd mmm yy"))&amp;" "&amp;Milestones!$AB$121&amp;" "&amp;Milestones!$AC$121&amp;";  ","")&amp;IF(AND(EDATE($D114,Milestones!$AA$122)&lt;=AsOfDate,IF($R114=0,$X114,IF(AND($T114&lt;&gt;"",EDATE($D114,Milestones!$AA$122)&gt;=$T114),$W114,IF(AND($S114&lt;&gt;"",EDATE($D114,Milestones!$AA$122)&gt;=$S114),$V114,$U114)))=Milestones!$AB$122),UPPER(TEXT(EDATE($D114,Milestones!$AA$122),"dd mmm yy"))&amp;" "&amp;Milestones!$AB$122&amp;" "&amp;Milestones!$AC$122&amp;";  ","")&amp;IF(AND(EDATE($D114,Milestones!$AA$123)&lt;=AsOfDate,IF($R114=0,$X114,IF(AND($T114&lt;&gt;"",EDATE($D114,Milestones!$AA$123)&gt;=$T114),$W114,IF(AND($S114&lt;&gt;"",EDATE($D114,Milestones!$AA$123)&gt;=$S114),$V114,$U114)))=Milestones!$AB$123),UPPER(TEXT(EDATE($D114,Milestones!$AA$123),"dd mmm yy"))&amp;" "&amp;Milestones!$AB$123&amp;" "&amp;Milestones!$AC$123&amp;";  ","")&amp;IF(AND(EDATE($D114,Milestones!$AA$124)&lt;=AsOfDate,IF($R114=0,$X114,IF(AND($T114&lt;&gt;"",EDATE($D114,Milestones!$AA$124)&gt;=$T114),$W114,IF(AND($S114&lt;&gt;"",EDATE($D114,Milestones!$AA$124)&gt;=$S114),$V114,$U114)))=Milestones!$AB$124),UPPER(TEXT(EDATE($D114,Milestones!$AA$124),"dd mmm yy"))&amp;" "&amp;Milestones!$AB$124&amp;" "&amp;Milestones!$AC$124&amp;";  ","")&amp;IF(AND(EDATE($D114,Milestones!$AA$125)&lt;=AsOfDate,IF($R114=0,$X114,IF(AND($T114&lt;&gt;"",EDATE($D114,Milestones!$AA$125)&gt;=$T114),$W114,IF(AND($S114&lt;&gt;"",EDATE($D114,Milestones!$AA$125)&gt;=$S114),$V114,$U114)))=Milestones!$AB$125),UPPER(TEXT(EDATE($D114,Milestones!$AA$125),"dd mmm yy"))&amp;" "&amp;Milestones!$AB$125&amp;" "&amp;Milestones!$AC$125&amp;";  ","")&amp;IF(AND(EDATE($D114,Milestones!$AA$126)&lt;=AsOfDate,IF($R114=0,$X114,IF(AND($T114&lt;&gt;"",EDATE($D114,Milestones!$AA$126)&gt;=$T114),$W114,IF(AND($S114&lt;&gt;"",EDATE($D114,Milestones!$AA$126)&gt;=$S114),$V114,$U114)))=Milestones!$AB$126),UPPER(TEXT(EDATE($D114,Milestones!$AA$126),"dd mmm yy"))&amp;" "&amp;Milestones!$AB$126&amp;" "&amp;Milestones!$AC$126&amp;";  ","")&amp;IF(AND(EDATE($D114,Milestones!$AA$127)&lt;=AsOfDate,IF($R114=0,$X114,IF(AND($T114&lt;&gt;"",EDATE($D114,Milestones!$AA$127)&gt;=$T114),$W114,IF(AND($S114&lt;&gt;"",EDATE($D114,Milestones!$AA$127)&gt;=$S114),$V114,$U114)))=Milestones!$AB$127),UPPER(TEXT(EDATE($D114,Milestones!$AA$127),"dd mmm yy"))&amp;" "&amp;Milestones!$AB$127&amp;" "&amp;Milestones!$AC$127&amp;";  ","")&amp;IF(AND(EDATE($D114,Milestones!$AA$128)&lt;=AsOfDate,IF($R114=0,$X114,IF(AND($T114&lt;&gt;"",EDATE($D114,Milestones!$AA$128)&gt;=$T114),$W114,IF(AND($S114&lt;&gt;"",EDATE($D114,Milestones!$AA$128)&gt;=$S114),$V114,$U114)))=Milestones!$AB$128),UPPER(TEXT(EDATE($D114,Milestones!$AA$128),"dd mmm yy"))&amp;" "&amp;Milestones!$AB$128&amp;" "&amp;Milestones!$AC$128&amp;";  ","")&amp;IF(AND(EDATE($D114,Milestones!$AA$129)&lt;=AsOfDate,IF($R114=0,$X114,IF(AND($T114&lt;&gt;"",EDATE($D114,Milestones!$AA$129)&gt;=$T114),$W114,IF(AND($S114&lt;&gt;"",EDATE($D114,Milestones!$AA$129)&gt;=$S114),$V114,$U114)))=Milestones!$AB$129),UPPER(TEXT(EDATE($D114,Milestones!$AA$129),"dd mmm yy"))&amp;" "&amp;Milestones!$AB$129&amp;" "&amp;Milestones!$AC$129&amp;";  ","")&amp;IF(AND(EDATE($D114,Milestones!$AA$130)&lt;=AsOfDate,IF($R114=0,$X114,IF(AND($T114&lt;&gt;"",EDATE($D114,Milestones!$AA$130)&gt;=$T114),$W114,IF(AND($S114&lt;&gt;"",EDATE($D114,Milestones!$AA$130)&gt;=$S114),$V114,$U114)))=Milestones!$AB$130),UPPER(TEXT(EDATE($D114,Milestones!$AA$130),"dd mmm yy"))&amp;" "&amp;Milestones!$AB$130&amp;" "&amp;Milestones!$AC$130&amp;";  ","")&amp;IF(AND(EDATE($D114,Milestones!$AA$131)&lt;=AsOfDate,IF($R114=0,$X114,IF(AND($T114&lt;&gt;"",EDATE($D114,Milestones!$AA$131)&gt;=$T114),$W114,IF(AND($S114&lt;&gt;"",EDATE($D114,Milestones!$AA$131)&gt;=$S114),$V114,$U114)))=Milestones!$AB$131),UPPER(TEXT(EDATE($D114,Milestones!$AA$131),"dd mmm yy"))&amp;" "&amp;Milestones!$AB$131&amp;" "&amp;Milestones!$AC$131&amp;";  ","")&amp;IF(AND(EDATE($D114,Milestones!$AA$132)&lt;=AsOfDate,IF($R114=0,$X114,IF(AND($T114&lt;&gt;"",EDATE($D114,Milestones!$AA$132)&gt;=$T114),$W114,IF(AND($S114&lt;&gt;"",EDATE($D114,Milestones!$AA$132)&gt;=$S114),$V114,$U114)))=Milestones!$AB$132),UPPER(TEXT(EDATE($D114,Milestones!$AA$132),"dd mmm yy"))&amp;" "&amp;Milestones!$AB$132&amp;" "&amp;Milestones!$AC$132&amp;";  ","")&amp;IF(AND(EDATE($D114,Milestones!$AA$133)&lt;=AsOfDate,IF($R114=0,$X114,IF(AND($T114&lt;&gt;"",EDATE($D114,Milestones!$AA$133)&gt;=$T114),$W114,IF(AND($S114&lt;&gt;"",EDATE($D114,Milestones!$AA$133)&gt;=$S114),$V114,$U114)))=Milestones!$AB$133),UPPER(TEXT(EDATE($D114,Milestones!$AA$133),"dd mmm yy"))&amp;" "&amp;Milestones!$AB$133&amp;" "&amp;Milestones!$AC$133&amp;";  ","")&amp;IF(AND(EDATE($D114,Milestones!$AA$134)&lt;=AsOfDate,IF($R114=0,$X114,IF(AND($T114&lt;&gt;"",EDATE($D114,Milestones!$AA$134)&gt;=$T114),$W114,IF(AND($S114&lt;&gt;"",EDATE($D114,Milestones!$AA$134)&gt;=$S114),$V114,$U114)))=Milestones!$AB$134),UPPER(TEXT(EDATE($D114,Milestones!$AA$134),"dd mmm yy"))&amp;" "&amp;Milestones!$AB$134&amp;" "&amp;Milestones!$AC$134&amp;";  ","")&amp;IF(AND(EDATE($D114,Milestones!$AA$135)&lt;=AsOfDate,IF($R114=0,$X114,IF(AND($T114&lt;&gt;"",EDATE($D114,Milestones!$AA$135)&gt;=$T114),$W114,IF(AND($S114&lt;&gt;"",EDATE($D114,Milestones!$AA$135)&gt;=$S114),$V114,$U114)))=Milestones!$AB$135),UPPER(TEXT(EDATE($D114,Milestones!$AA$135),"dd mmm yy"))&amp;" "&amp;Milestones!$AB$135&amp;" "&amp;Milestones!$AC$135&amp;";  ","")&amp;IF(AND(EDATE($D114,Milestones!$AA$136)&lt;=AsOfDate,IF($R114=0,$X114,IF(AND($T114&lt;&gt;"",EDATE($D114,Milestones!$AA$136)&gt;=$T114),$W114,IF(AND($S114&lt;&gt;"",EDATE($D114,Milestones!$AA$136)&gt;=$S114),$V114,$U114)))=Milestones!$AB$136),UPPER(TEXT(EDATE($D114,Milestones!$AA$136),"dd mmm yy"))&amp;" "&amp;Milestones!$AB$136&amp;" "&amp;Milestones!$AC$136&amp;";  ","")&amp;IF(AND(EDATE($D114,Milestones!$AA$137)&lt;=AsOfDate,IF($R114=0,$X114,IF(AND($T114&lt;&gt;"",EDATE($D114,Milestones!$AA$137)&gt;=$T114),$W114,IF(AND($S114&lt;&gt;"",EDATE($D114,Milestones!$AA$137)&gt;=$S114),$V114,$U114)))=Milestones!$AB$137),UPPER(TEXT(EDATE($D114,Milestones!$AA$137),"dd mmm yy"))&amp;" "&amp;Milestones!$AB$137&amp;" "&amp;Milestones!$AC$137&amp;";  ","")&amp;IF(AND(EDATE($D114,Milestones!$AA$138)&lt;=AsOfDate,IF($R114=0,$X114,IF(AND($T114&lt;&gt;"",EDATE($D114,Milestones!$AA$138)&gt;=$T114),$W114,IF(AND($S114&lt;&gt;"",EDATE($D114,Milestones!$AA$138)&gt;=$S114),$V114,$U114)))=Milestones!$AB$138),UPPER(TEXT(EDATE($D114,Milestones!$AA$138),"dd mmm yy"))&amp;" "&amp;Milestones!$AB$138&amp;" "&amp;Milestones!$AC$138&amp;";  ","")&amp;IF(AND(EDATE($D114,Milestones!$AA$139)&lt;=AsOfDate,IF($R114=0,$X114,IF(AND($T114&lt;&gt;"",EDATE($D114,Milestones!$AA$139)&gt;=$T114),$W114,IF(AND($S114&lt;&gt;"",EDATE($D114,Milestones!$AA$139)&gt;=$S114),$V114,$U114)))=Milestones!$AB$139),UPPER(TEXT(EDATE($D114,Milestones!$AA$139),"dd mmm yy"))&amp;" "&amp;Milestones!$AB$139&amp;" "&amp;Milestones!$AC$139&amp;";  ",""))</f>
        <v/>
      </c>
      <c r="O114" s="0" t="str">
        <f aca="false">IF(OR($A114="",$D114=""),"",IF(AND(EDATE($D114,Milestones!$AA$140)&lt;=AsOfDate,IF($R114=0,$X114,IF(AND($T114&lt;&gt;"",EDATE($D114,Milestones!$AA$140)&gt;=$T114),$W114,IF(AND($S114&lt;&gt;"",EDATE($D114,Milestones!$AA$140)&gt;=$S114),$V114,$U114)))=Milestones!$AB$140),UPPER(TEXT(EDATE($D114,Milestones!$AA$140),"dd mmm yy"))&amp;" "&amp;Milestones!$AB$140&amp;" "&amp;Milestones!$AC$140&amp;";  ","")&amp;IF(AND(EDATE($D114,Milestones!$AA$141)&lt;=AsOfDate,IF($R114=0,$X114,IF(AND($T114&lt;&gt;"",EDATE($D114,Milestones!$AA$141)&gt;=$T114),$W114,IF(AND($S114&lt;&gt;"",EDATE($D114,Milestones!$AA$141)&gt;=$S114),$V114,$U114)))=Milestones!$AB$141),UPPER(TEXT(EDATE($D114,Milestones!$AA$141),"dd mmm yy"))&amp;" "&amp;Milestones!$AB$141&amp;" "&amp;Milestones!$AC$141&amp;";  ","")&amp;IF(AND(EDATE($D114,Milestones!$AA$142)&lt;=AsOfDate,IF($R114=0,$X114,IF(AND($T114&lt;&gt;"",EDATE($D114,Milestones!$AA$142)&gt;=$T114),$W114,IF(AND($S114&lt;&gt;"",EDATE($D114,Milestones!$AA$142)&gt;=$S114),$V114,$U114)))=Milestones!$AB$142),UPPER(TEXT(EDATE($D114,Milestones!$AA$142),"dd mmm yy"))&amp;" "&amp;Milestones!$AB$142&amp;" "&amp;Milestones!$AC$142&amp;";  ","")&amp;IF(AND(EDATE($D114,Milestones!$AA$143)&lt;=AsOfDate,IF($R114=0,$X114,IF(AND($T114&lt;&gt;"",EDATE($D114,Milestones!$AA$143)&gt;=$T114),$W114,IF(AND($S114&lt;&gt;"",EDATE($D114,Milestones!$AA$143)&gt;=$S114),$V114,$U114)))=Milestones!$AB$143),UPPER(TEXT(EDATE($D114,Milestones!$AA$143),"dd mmm yy"))&amp;" "&amp;Milestones!$AB$143&amp;" "&amp;Milestones!$AC$143&amp;";  ","")&amp;IF(AND(EDATE($D114,Milestones!$AA$144)&lt;=AsOfDate,IF($R114=0,$X114,IF(AND($T114&lt;&gt;"",EDATE($D114,Milestones!$AA$144)&gt;=$T114),$W114,IF(AND($S114&lt;&gt;"",EDATE($D114,Milestones!$AA$144)&gt;=$S114),$V114,$U114)))=Milestones!$AB$144),UPPER(TEXT(EDATE($D114,Milestones!$AA$144),"dd mmm yy"))&amp;" "&amp;Milestones!$AB$144&amp;" "&amp;Milestones!$AC$144&amp;";  ","")&amp;IF(AND(EDATE($D114,Milestones!$AA$145)&lt;=AsOfDate,IF($R114=0,$X114,IF(AND($T114&lt;&gt;"",EDATE($D114,Milestones!$AA$145)&gt;=$T114),$W114,IF(AND($S114&lt;&gt;"",EDATE($D114,Milestones!$AA$145)&gt;=$S114),$V114,$U114)))=Milestones!$AB$145),UPPER(TEXT(EDATE($D114,Milestones!$AA$145),"dd mmm yy"))&amp;" "&amp;Milestones!$AB$145&amp;" "&amp;Milestones!$AC$145&amp;";  ","")&amp;IF(AND(EDATE($D114,Milestones!$AA$146)&lt;=AsOfDate,IF($R114=0,$X114,IF(AND($T114&lt;&gt;"",EDATE($D114,Milestones!$AA$146)&gt;=$T114),$W114,IF(AND($S114&lt;&gt;"",EDATE($D114,Milestones!$AA$146)&gt;=$S114),$V114,$U114)))=Milestones!$AB$146),UPPER(TEXT(EDATE($D114,Milestones!$AA$146),"dd mmm yy"))&amp;" "&amp;Milestones!$AB$146&amp;" "&amp;Milestones!$AC$146&amp;";  ","")&amp;IF(AND(EDATE($D114,Milestones!$AA$147)&lt;=AsOfDate,IF($R114=0,$X114,IF(AND($T114&lt;&gt;"",EDATE($D114,Milestones!$AA$147)&gt;=$T114),$W114,IF(AND($S114&lt;&gt;"",EDATE($D114,Milestones!$AA$147)&gt;=$S114),$V114,$U114)))=Milestones!$AB$147),UPPER(TEXT(EDATE($D114,Milestones!$AA$147),"dd mmm yy"))&amp;" "&amp;Milestones!$AB$147&amp;" "&amp;Milestones!$AC$147&amp;";  ","")&amp;IF(AND(EDATE($D114,Milestones!$AA$148)&lt;=AsOfDate,IF($R114=0,$X114,IF(AND($T114&lt;&gt;"",EDATE($D114,Milestones!$AA$148)&gt;=$T114),$W114,IF(AND($S114&lt;&gt;"",EDATE($D114,Milestones!$AA$148)&gt;=$S114),$V114,$U114)))=Milestones!$AB$148),UPPER(TEXT(EDATE($D114,Milestones!$AA$148),"dd mmm yy"))&amp;" "&amp;Milestones!$AB$148&amp;" "&amp;Milestones!$AC$148&amp;";  ","")&amp;IF(AND(EDATE($D114,Milestones!$AA$149)&lt;=AsOfDate,IF($R114=0,$X114,IF(AND($T114&lt;&gt;"",EDATE($D114,Milestones!$AA$149)&gt;=$T114),$W114,IF(AND($S114&lt;&gt;"",EDATE($D114,Milestones!$AA$149)&gt;=$S114),$V114,$U114)))=Milestones!$AB$149),UPPER(TEXT(EDATE($D114,Milestones!$AA$149),"dd mmm yy"))&amp;" "&amp;Milestones!$AB$149&amp;" "&amp;Milestones!$AC$149&amp;";  ","")&amp;IF(AND(EDATE($D114,Milestones!$AA$150)&lt;=AsOfDate,IF($R114=0,$X114,IF(AND($T114&lt;&gt;"",EDATE($D114,Milestones!$AA$150)&gt;=$T114),$W114,IF(AND($S114&lt;&gt;"",EDATE($D114,Milestones!$AA$150)&gt;=$S114),$V114,$U114)))=Milestones!$AB$150),UPPER(TEXT(EDATE($D114,Milestones!$AA$150),"dd mmm yy"))&amp;" "&amp;Milestones!$AB$150&amp;" "&amp;Milestones!$AC$150&amp;";  ","")&amp;IF(AND(EDATE($D114,Milestones!$AA$151)&lt;=AsOfDate,IF($R114=0,$X114,IF(AND($T114&lt;&gt;"",EDATE($D114,Milestones!$AA$151)&gt;=$T114),$W114,IF(AND($S114&lt;&gt;"",EDATE($D114,Milestones!$AA$151)&gt;=$S114),$V114,$U114)))=Milestones!$AB$151),UPPER(TEXT(EDATE($D114,Milestones!$AA$151),"dd mmm yy"))&amp;" "&amp;Milestones!$AB$151&amp;" "&amp;Milestones!$AC$151&amp;";  ","")&amp;IF(AND(EDATE($D114,Milestones!$AA$152)&lt;=AsOfDate,IF($R114=0,$X114,IF(AND($T114&lt;&gt;"",EDATE($D114,Milestones!$AA$152)&gt;=$T114),$W114,IF(AND($S114&lt;&gt;"",EDATE($D114,Milestones!$AA$152)&gt;=$S114),$V114,$U114)))=Milestones!$AB$152),UPPER(TEXT(EDATE($D114,Milestones!$AA$152),"dd mmm yy"))&amp;" "&amp;Milestones!$AB$152&amp;" "&amp;Milestones!$AC$152&amp;";  ","")&amp;IF(AND(EDATE($D114,Milestones!$AA$153)&lt;=AsOfDate,IF($R114=0,$X114,IF(AND($T114&lt;&gt;"",EDATE($D114,Milestones!$AA$153)&gt;=$T114),$W114,IF(AND($S114&lt;&gt;"",EDATE($D114,Milestones!$AA$153)&gt;=$S114),$V114,$U114)))=Milestones!$AB$153),UPPER(TEXT(EDATE($D114,Milestones!$AA$153),"dd mmm yy"))&amp;" "&amp;Milestones!$AB$153&amp;" "&amp;Milestones!$AC$153&amp;";  ","")&amp;IF(AND(EDATE($D114,Milestones!$AA$154)&lt;=AsOfDate,IF($R114=0,$X114,IF(AND($T114&lt;&gt;"",EDATE($D114,Milestones!$AA$154)&gt;=$T114),$W114,IF(AND($S114&lt;&gt;"",EDATE($D114,Milestones!$AA$154)&gt;=$S114),$V114,$U114)))=Milestones!$AB$154),UPPER(TEXT(EDATE($D114,Milestones!$AA$154),"dd mmm yy"))&amp;" "&amp;Milestones!$AB$154&amp;" "&amp;Milestones!$AC$154&amp;";  ","")&amp;IF(AND(EDATE($D114,Milestones!$AA$155)&lt;=AsOfDate,IF($R114=0,$X114,IF(AND($T114&lt;&gt;"",EDATE($D114,Milestones!$AA$155)&gt;=$T114),$W114,IF(AND($S114&lt;&gt;"",EDATE($D114,Milestones!$AA$155)&gt;=$S114),$V114,$U114)))=Milestones!$AB$155),UPPER(TEXT(EDATE($D114,Milestones!$AA$155),"dd mmm yy"))&amp;" "&amp;Milestones!$AB$155&amp;" "&amp;Milestones!$AC$155&amp;";  ","")&amp;IF(AND(EDATE($D114,Milestones!$AA$156)&lt;=AsOfDate,IF($R114=0,$X114,IF(AND($T114&lt;&gt;"",EDATE($D114,Milestones!$AA$156)&gt;=$T114),$W114,IF(AND($S114&lt;&gt;"",EDATE($D114,Milestones!$AA$156)&gt;=$S114),$V114,$U114)))=Milestones!$AB$156),UPPER(TEXT(EDATE($D114,Milestones!$AA$156),"dd mmm yy"))&amp;" "&amp;Milestones!$AB$156&amp;" "&amp;Milestones!$AC$156&amp;";  ","")&amp;IF(AND(EDATE($D114,Milestones!$AA$157)&lt;=AsOfDate,IF($R114=0,$X114,IF(AND($T114&lt;&gt;"",EDATE($D114,Milestones!$AA$157)&gt;=$T114),$W114,IF(AND($S114&lt;&gt;"",EDATE($D114,Milestones!$AA$157)&gt;=$S114),$V114,$U114)))=Milestones!$AB$157),UPPER(TEXT(EDATE($D114,Milestones!$AA$157),"dd mmm yy"))&amp;" "&amp;Milestones!$AB$157&amp;" "&amp;Milestones!$AC$157&amp;";  ","")&amp;IF(AND(EDATE($D114,Milestones!$AA$158)&lt;=AsOfDate,IF($R114=0,$X114,IF(AND($T114&lt;&gt;"",EDATE($D114,Milestones!$AA$158)&gt;=$T114),$W114,IF(AND($S114&lt;&gt;"",EDATE($D114,Milestones!$AA$158)&gt;=$S114),$V114,$U114)))=Milestones!$AB$158),UPPER(TEXT(EDATE($D114,Milestones!$AA$158),"dd mmm yy"))&amp;" "&amp;Milestones!$AB$158&amp;" "&amp;Milestones!$AC$158&amp;";  ","")&amp;IF(AND(EDATE($D114,Milestones!$AA$159)&lt;=AsOfDate,IF($R114=0,$X114,IF(AND($T114&lt;&gt;"",EDATE($D114,Milestones!$AA$159)&gt;=$T114),$W114,IF(AND($S114&lt;&gt;"",EDATE($D114,Milestones!$AA$159)&gt;=$S114),$V114,$U114)))=Milestones!$AB$159),UPPER(TEXT(EDATE($D114,Milestones!$AA$159),"dd mmm yy"))&amp;" "&amp;Milestones!$AB$159&amp;" "&amp;Milestones!$AC$159&amp;";  ",""))</f>
        <v/>
      </c>
      <c r="P114" s="0" t="str">
        <f aca="false">IF(OR($A114="",$D114=""),"",IF(AND(EDATE($D114,Milestones!$AA$160)&lt;=AsOfDate,IF($R114=0,$X114,IF(AND($T114&lt;&gt;"",EDATE($D114,Milestones!$AA$160)&gt;=$T114),$W114,IF(AND($S114&lt;&gt;"",EDATE($D114,Milestones!$AA$160)&gt;=$S114),$V114,$U114)))=Milestones!$AB$160),UPPER(TEXT(EDATE($D114,Milestones!$AA$160),"dd mmm yy"))&amp;" "&amp;Milestones!$AB$160&amp;" "&amp;Milestones!$AC$160&amp;";  ","")&amp;IF(AND(EDATE($D114,Milestones!$AA$161)&lt;=AsOfDate,IF($R114=0,$X114,IF(AND($T114&lt;&gt;"",EDATE($D114,Milestones!$AA$161)&gt;=$T114),$W114,IF(AND($S114&lt;&gt;"",EDATE($D114,Milestones!$AA$161)&gt;=$S114),$V114,$U114)))=Milestones!$AB$161),UPPER(TEXT(EDATE($D114,Milestones!$AA$161),"dd mmm yy"))&amp;" "&amp;Milestones!$AB$161&amp;" "&amp;Milestones!$AC$161&amp;";  ","")&amp;IF(AND(EDATE($D114,Milestones!$AA$162)&lt;=AsOfDate,IF($R114=0,$X114,IF(AND($T114&lt;&gt;"",EDATE($D114,Milestones!$AA$162)&gt;=$T114),$W114,IF(AND($S114&lt;&gt;"",EDATE($D114,Milestones!$AA$162)&gt;=$S114),$V114,$U114)))=Milestones!$AB$162),UPPER(TEXT(EDATE($D114,Milestones!$AA$162),"dd mmm yy"))&amp;" "&amp;Milestones!$AB$162&amp;" "&amp;Milestones!$AC$162&amp;";  ","")&amp;IF(AND(EDATE($D114,Milestones!$AA$163)&lt;=AsOfDate,IF($R114=0,$X114,IF(AND($T114&lt;&gt;"",EDATE($D114,Milestones!$AA$163)&gt;=$T114),$W114,IF(AND($S114&lt;&gt;"",EDATE($D114,Milestones!$AA$163)&gt;=$S114),$V114,$U114)))=Milestones!$AB$163),UPPER(TEXT(EDATE($D114,Milestones!$AA$163),"dd mmm yy"))&amp;" "&amp;Milestones!$AB$163&amp;" "&amp;Milestones!$AC$163&amp;";  ","")&amp;IF(AND(EDATE($D114,Milestones!$AA$164)&lt;=AsOfDate,IF($R114=0,$X114,IF(AND($T114&lt;&gt;"",EDATE($D114,Milestones!$AA$164)&gt;=$T114),$W114,IF(AND($S114&lt;&gt;"",EDATE($D114,Milestones!$AA$164)&gt;=$S114),$V114,$U114)))=Milestones!$AB$164),UPPER(TEXT(EDATE($D114,Milestones!$AA$164),"dd mmm yy"))&amp;" "&amp;Milestones!$AB$164&amp;" "&amp;Milestones!$AC$164&amp;";  ","")&amp;IF(AND(EDATE($D114,Milestones!$AA$165)&lt;=AsOfDate,IF($R114=0,$X114,IF(AND($T114&lt;&gt;"",EDATE($D114,Milestones!$AA$165)&gt;=$T114),$W114,IF(AND($S114&lt;&gt;"",EDATE($D114,Milestones!$AA$165)&gt;=$S114),$V114,$U114)))=Milestones!$AB$165),UPPER(TEXT(EDATE($D114,Milestones!$AA$165),"dd mmm yy"))&amp;" "&amp;Milestones!$AB$165&amp;" "&amp;Milestones!$AC$165&amp;";  ","")&amp;IF(AND(EDATE($D114,Milestones!$AA$166)&lt;=AsOfDate,IF($R114=0,$X114,IF(AND($T114&lt;&gt;"",EDATE($D114,Milestones!$AA$166)&gt;=$T114),$W114,IF(AND($S114&lt;&gt;"",EDATE($D114,Milestones!$AA$166)&gt;=$S114),$V114,$U114)))=Milestones!$AB$166),UPPER(TEXT(EDATE($D114,Milestones!$AA$166),"dd mmm yy"))&amp;" "&amp;Milestones!$AB$166&amp;" "&amp;Milestones!$AC$166&amp;";  ","")&amp;IF(AND(EDATE($D114,Milestones!$AA$167)&lt;=AsOfDate,IF($R114=0,$X114,IF(AND($T114&lt;&gt;"",EDATE($D114,Milestones!$AA$167)&gt;=$T114),$W114,IF(AND($S114&lt;&gt;"",EDATE($D114,Milestones!$AA$167)&gt;=$S114),$V114,$U114)))=Milestones!$AB$167),UPPER(TEXT(EDATE($D114,Milestones!$AA$167),"dd mmm yy"))&amp;" "&amp;Milestones!$AB$167&amp;" "&amp;Milestones!$AC$167&amp;";  ","")&amp;IF(AND(EDATE($D114,Milestones!$AA$168)&lt;=AsOfDate,IF($R114=0,$X114,IF(AND($T114&lt;&gt;"",EDATE($D114,Milestones!$AA$168)&gt;=$T114),$W114,IF(AND($S114&lt;&gt;"",EDATE($D114,Milestones!$AA$168)&gt;=$S114),$V114,$U114)))=Milestones!$AB$168),UPPER(TEXT(EDATE($D114,Milestones!$AA$168),"dd mmm yy"))&amp;" "&amp;Milestones!$AB$168&amp;" "&amp;Milestones!$AC$168&amp;";  ","")&amp;IF(AND(EDATE($D114,Milestones!$AA$169)&lt;=AsOfDate,IF($R114=0,$X114,IF(AND($T114&lt;&gt;"",EDATE($D114,Milestones!$AA$169)&gt;=$T114),$W114,IF(AND($S114&lt;&gt;"",EDATE($D114,Milestones!$AA$169)&gt;=$S114),$V114,$U114)))=Milestones!$AB$169),UPPER(TEXT(EDATE($D114,Milestones!$AA$169),"dd mmm yy"))&amp;" "&amp;Milestones!$AB$169&amp;" "&amp;Milestones!$AC$169&amp;";  ","")&amp;IF(AND(EDATE($D114,Milestones!$AA$170)&lt;=AsOfDate,IF($R114=0,$X114,IF(AND($T114&lt;&gt;"",EDATE($D114,Milestones!$AA$170)&gt;=$T114),$W114,IF(AND($S114&lt;&gt;"",EDATE($D114,Milestones!$AA$170)&gt;=$S114),$V114,$U114)))=Milestones!$AB$170),UPPER(TEXT(EDATE($D114,Milestones!$AA$170),"dd mmm yy"))&amp;" "&amp;Milestones!$AB$170&amp;" "&amp;Milestones!$AC$170&amp;";  ","")&amp;IF(AND(EDATE($D114,Milestones!$AA$171)&lt;=AsOfDate,IF($R114=0,$X114,IF(AND($T114&lt;&gt;"",EDATE($D114,Milestones!$AA$171)&gt;=$T114),$W114,IF(AND($S114&lt;&gt;"",EDATE($D114,Milestones!$AA$171)&gt;=$S114),$V114,$U114)))=Milestones!$AB$171),UPPER(TEXT(EDATE($D114,Milestones!$AA$171),"dd mmm yy"))&amp;" "&amp;Milestones!$AB$171&amp;" "&amp;Milestones!$AC$171&amp;";  ","")&amp;IF(AND(EDATE($D114,Milestones!$AA$172)&lt;=AsOfDate,IF($R114=0,$X114,IF(AND($T114&lt;&gt;"",EDATE($D114,Milestones!$AA$172)&gt;=$T114),$W114,IF(AND($S114&lt;&gt;"",EDATE($D114,Milestones!$AA$172)&gt;=$S114),$V114,$U114)))=Milestones!$AB$172),UPPER(TEXT(EDATE($D114,Milestones!$AA$172),"dd mmm yy"))&amp;" "&amp;Milestones!$AB$172&amp;" "&amp;Milestones!$AC$172&amp;";  ","")&amp;IF(AND(EDATE($D114,Milestones!$AA$173)&lt;=AsOfDate,IF($R114=0,$X114,IF(AND($T114&lt;&gt;"",EDATE($D114,Milestones!$AA$173)&gt;=$T114),$W114,IF(AND($S114&lt;&gt;"",EDATE($D114,Milestones!$AA$173)&gt;=$S114),$V114,$U114)))=Milestones!$AB$173),UPPER(TEXT(EDATE($D114,Milestones!$AA$173),"dd mmm yy"))&amp;" "&amp;Milestones!$AB$173&amp;" "&amp;Milestones!$AC$173&amp;";  ","")&amp;IF(AND(EDATE($D114,Milestones!$AA$174)&lt;=AsOfDate,IF($R114=0,$X114,IF(AND($T114&lt;&gt;"",EDATE($D114,Milestones!$AA$174)&gt;=$T114),$W114,IF(AND($S114&lt;&gt;"",EDATE($D114,Milestones!$AA$174)&gt;=$S114),$V114,$U114)))=Milestones!$AB$174),UPPER(TEXT(EDATE($D114,Milestones!$AA$174),"dd mmm yy"))&amp;" "&amp;Milestones!$AB$174&amp;" "&amp;Milestones!$AC$174&amp;";  ","")&amp;IF(AND(EDATE($D114,Milestones!$AA$175)&lt;=AsOfDate,IF($R114=0,$X114,IF(AND($T114&lt;&gt;"",EDATE($D114,Milestones!$AA$175)&gt;=$T114),$W114,IF(AND($S114&lt;&gt;"",EDATE($D114,Milestones!$AA$175)&gt;=$S114),$V114,$U114)))=Milestones!$AB$175),UPPER(TEXT(EDATE($D114,Milestones!$AA$175),"dd mmm yy"))&amp;" "&amp;Milestones!$AB$175&amp;" "&amp;Milestones!$AC$175&amp;";  ","")&amp;IF(AND(EDATE($D114,Milestones!$AA$176)&lt;=AsOfDate,IF($R114=0,$X114,IF(AND($T114&lt;&gt;"",EDATE($D114,Milestones!$AA$176)&gt;=$T114),$W114,IF(AND($S114&lt;&gt;"",EDATE($D114,Milestones!$AA$176)&gt;=$S114),$V114,$U114)))=Milestones!$AB$176),UPPER(TEXT(EDATE($D114,Milestones!$AA$176),"dd mmm yy"))&amp;" "&amp;Milestones!$AB$176&amp;" "&amp;Milestones!$AC$176&amp;";  ","")&amp;IF(AND(EDATE($D114,Milestones!$AA$177)&lt;=AsOfDate,IF($R114=0,$X114,IF(AND($T114&lt;&gt;"",EDATE($D114,Milestones!$AA$177)&gt;=$T114),$W114,IF(AND($S114&lt;&gt;"",EDATE($D114,Milestones!$AA$177)&gt;=$S114),$V114,$U114)))=Milestones!$AB$177),UPPER(TEXT(EDATE($D114,Milestones!$AA$177),"dd mmm yy"))&amp;" "&amp;Milestones!$AB$177&amp;" "&amp;Milestones!$AC$177&amp;";  ","")&amp;IF(AND(EDATE($D114,Milestones!$AA$178)&lt;=AsOfDate,IF($R114=0,$X114,IF(AND($T114&lt;&gt;"",EDATE($D114,Milestones!$AA$178)&gt;=$T114),$W114,IF(AND($S114&lt;&gt;"",EDATE($D114,Milestones!$AA$178)&gt;=$S114),$V114,$U114)))=Milestones!$AB$178),UPPER(TEXT(EDATE($D114,Milestones!$AA$178),"dd mmm yy"))&amp;" "&amp;Milestones!$AB$178&amp;" "&amp;Milestones!$AC$178&amp;";  ","")&amp;IF(AND(EDATE($D114,Milestones!$AA$179)&lt;=AsOfDate,IF($R114=0,$X114,IF(AND($T114&lt;&gt;"",EDATE($D114,Milestones!$AA$179)&gt;=$T114),$W114,IF(AND($S114&lt;&gt;"",EDATE($D114,Milestones!$AA$179)&gt;=$S114),$V114,$U114)))=Milestones!$AB$179),UPPER(TEXT(EDATE($D114,Milestones!$AA$179),"dd mmm yy"))&amp;" "&amp;Milestones!$AB$179&amp;" "&amp;Milestones!$AC$179&amp;";  ",""))</f>
        <v/>
      </c>
      <c r="Q114" s="0" t="str">
        <f aca="false">IF(OR($A114="",$D114=""),"",IF(AND(EDATE($D114,Milestones!$AA$180)&lt;=AsOfDate,IF($R114=0,$X114,IF(AND($T114&lt;&gt;"",EDATE($D114,Milestones!$AA$180)&gt;=$T114),$W114,IF(AND($S114&lt;&gt;"",EDATE($D114,Milestones!$AA$180)&gt;=$S114),$V114,$U114)))=Milestones!$AB$180),UPPER(TEXT(EDATE($D114,Milestones!$AA$180),"dd mmm yy"))&amp;" "&amp;Milestones!$AB$180&amp;" "&amp;Milestones!$AC$180&amp;";  ","")&amp;IF(AND(EDATE($D114,Milestones!$AA$181)&lt;=AsOfDate,IF($R114=0,$X114,IF(AND($T114&lt;&gt;"",EDATE($D114,Milestones!$AA$181)&gt;=$T114),$W114,IF(AND($S114&lt;&gt;"",EDATE($D114,Milestones!$AA$181)&gt;=$S114),$V114,$U114)))=Milestones!$AB$181),UPPER(TEXT(EDATE($D114,Milestones!$AA$181),"dd mmm yy"))&amp;" "&amp;Milestones!$AB$181&amp;" "&amp;Milestones!$AC$181&amp;";  ","")&amp;IF(AND(EDATE($D114,Milestones!$AA$182)&lt;=AsOfDate,IF($R114=0,$X114,IF(AND($T114&lt;&gt;"",EDATE($D114,Milestones!$AA$182)&gt;=$T114),$W114,IF(AND($S114&lt;&gt;"",EDATE($D114,Milestones!$AA$182)&gt;=$S114),$V114,$U114)))=Milestones!$AB$182),UPPER(TEXT(EDATE($D114,Milestones!$AA$182),"dd mmm yy"))&amp;" "&amp;Milestones!$AB$182&amp;" "&amp;Milestones!$AC$182&amp;";  ","")&amp;IF(AND(EDATE($D114,Milestones!$AA$183)&lt;=AsOfDate,IF($R114=0,$X114,IF(AND($T114&lt;&gt;"",EDATE($D114,Milestones!$AA$183)&gt;=$T114),$W114,IF(AND($S114&lt;&gt;"",EDATE($D114,Milestones!$AA$183)&gt;=$S114),$V114,$U114)))=Milestones!$AB$183),UPPER(TEXT(EDATE($D114,Milestones!$AA$183),"dd mmm yy"))&amp;" "&amp;Milestones!$AB$183&amp;" "&amp;Milestones!$AC$183&amp;";  ","")&amp;IF(AND(EDATE($D114,Milestones!$AA$184)&lt;=AsOfDate,IF($R114=0,$X114,IF(AND($T114&lt;&gt;"",EDATE($D114,Milestones!$AA$184)&gt;=$T114),$W114,IF(AND($S114&lt;&gt;"",EDATE($D114,Milestones!$AA$184)&gt;=$S114),$V114,$U114)))=Milestones!$AB$184),UPPER(TEXT(EDATE($D114,Milestones!$AA$184),"dd mmm yy"))&amp;" "&amp;Milestones!$AB$184&amp;" "&amp;Milestones!$AC$184&amp;";  ","")&amp;IF(AND(EDATE($D114,Milestones!$AA$185)&lt;=AsOfDate,IF($R114=0,$X114,IF(AND($T114&lt;&gt;"",EDATE($D114,Milestones!$AA$185)&gt;=$T114),$W114,IF(AND($S114&lt;&gt;"",EDATE($D114,Milestones!$AA$185)&gt;=$S114),$V114,$U114)))=Milestones!$AB$185),UPPER(TEXT(EDATE($D114,Milestones!$AA$185),"dd mmm yy"))&amp;" "&amp;Milestones!$AB$185&amp;" "&amp;Milestones!$AC$185&amp;";  ","")&amp;IF(AND(EDATE($D114,Milestones!$AA$186)&lt;=AsOfDate,IF($R114=0,$X114,IF(AND($T114&lt;&gt;"",EDATE($D114,Milestones!$AA$186)&gt;=$T114),$W114,IF(AND($S114&lt;&gt;"",EDATE($D114,Milestones!$AA$186)&gt;=$S114),$V114,$U114)))=Milestones!$AB$186),UPPER(TEXT(EDATE($D114,Milestones!$AA$186),"dd mmm yy"))&amp;" "&amp;Milestones!$AB$186&amp;" "&amp;Milestones!$AC$186&amp;";  ","")&amp;IF(AND(EDATE($D114,Milestones!$AA$187)&lt;=AsOfDate,IF($R114=0,$X114,IF(AND($T114&lt;&gt;"",EDATE($D114,Milestones!$AA$187)&gt;=$T114),$W114,IF(AND($S114&lt;&gt;"",EDATE($D114,Milestones!$AA$187)&gt;=$S114),$V114,$U114)))=Milestones!$AB$187),UPPER(TEXT(EDATE($D114,Milestones!$AA$187),"dd mmm yy"))&amp;" "&amp;Milestones!$AB$187&amp;" "&amp;Milestones!$AC$187&amp;";  ","")&amp;IF(AND(EDATE($D114,Milestones!$AA$188)&lt;=AsOfDate,IF($R114=0,$X114,IF(AND($T114&lt;&gt;"",EDATE($D114,Milestones!$AA$188)&gt;=$T114),$W114,IF(AND($S114&lt;&gt;"",EDATE($D114,Milestones!$AA$188)&gt;=$S114),$V114,$U114)))=Milestones!$AB$188),UPPER(TEXT(EDATE($D114,Milestones!$AA$188),"dd mmm yy"))&amp;" "&amp;Milestones!$AB$188&amp;" "&amp;Milestones!$AC$188&amp;";  ","")&amp;IF(AND(EDATE($D114,Milestones!$AA$189)&lt;=AsOfDate,IF($R114=0,$X114,IF(AND($T114&lt;&gt;"",EDATE($D114,Milestones!$AA$189)&gt;=$T114),$W114,IF(AND($S114&lt;&gt;"",EDATE($D114,Milestones!$AA$189)&gt;=$S114),$V114,$U114)))=Milestones!$AB$189),UPPER(TEXT(EDATE($D114,Milestones!$AA$189),"dd mmm yy"))&amp;" "&amp;Milestones!$AB$189&amp;" "&amp;Milestones!$AC$189&amp;";  ","")&amp;IF(AND(EDATE($D114,Milestones!$AA$190)&lt;=AsOfDate,IF($R114=0,$X114,IF(AND($T114&lt;&gt;"",EDATE($D114,Milestones!$AA$190)&gt;=$T114),$W114,IF(AND($S114&lt;&gt;"",EDATE($D114,Milestones!$AA$190)&gt;=$S114),$V114,$U114)))=Milestones!$AB$190),UPPER(TEXT(EDATE($D114,Milestones!$AA$190),"dd mmm yy"))&amp;" "&amp;Milestones!$AB$190&amp;" "&amp;Milestones!$AC$190&amp;";  ","")&amp;IF(AND(EDATE($D114,Milestones!$AA$191)&lt;=AsOfDate,IF($R114=0,$X114,IF(AND($T114&lt;&gt;"",EDATE($D114,Milestones!$AA$191)&gt;=$T114),$W114,IF(AND($S114&lt;&gt;"",EDATE($D114,Milestones!$AA$191)&gt;=$S114),$V114,$U114)))=Milestones!$AB$191),UPPER(TEXT(EDATE($D114,Milestones!$AA$191),"dd mmm yy"))&amp;" "&amp;Milestones!$AB$191&amp;" "&amp;Milestones!$AC$191&amp;";  ","")&amp;IF(AND(EDATE($D114,Milestones!$AA$192)&lt;=AsOfDate,IF($R114=0,$X114,IF(AND($T114&lt;&gt;"",EDATE($D114,Milestones!$AA$192)&gt;=$T114),$W114,IF(AND($S114&lt;&gt;"",EDATE($D114,Milestones!$AA$192)&gt;=$S114),$V114,$U114)))=Milestones!$AB$192),UPPER(TEXT(EDATE($D114,Milestones!$AA$192),"dd mmm yy"))&amp;" "&amp;Milestones!$AB$192&amp;" "&amp;Milestones!$AC$192&amp;";  ","")&amp;IF(AND(EDATE($D114,Milestones!$AA$193)&lt;=AsOfDate,IF($R114=0,$X114,IF(AND($T114&lt;&gt;"",EDATE($D114,Milestones!$AA$193)&gt;=$T114),$W114,IF(AND($S114&lt;&gt;"",EDATE($D114,Milestones!$AA$193)&gt;=$S114),$V114,$U114)))=Milestones!$AB$193),UPPER(TEXT(EDATE($D114,Milestones!$AA$193),"dd mmm yy"))&amp;" "&amp;Milestones!$AB$193&amp;" "&amp;Milestones!$AC$193&amp;";  ","")&amp;IF(AND(EDATE($D114,Milestones!$AA$194)&lt;=AsOfDate,IF($R114=0,$X114,IF(AND($T114&lt;&gt;"",EDATE($D114,Milestones!$AA$194)&gt;=$T114),$W114,IF(AND($S114&lt;&gt;"",EDATE($D114,Milestones!$AA$194)&gt;=$S114),$V114,$U114)))=Milestones!$AB$194),UPPER(TEXT(EDATE($D114,Milestones!$AA$194),"dd mmm yy"))&amp;" "&amp;Milestones!$AB$194&amp;" "&amp;Milestones!$AC$194&amp;";  ","")&amp;IF(AND(EDATE($D114,Milestones!$AA$195)&lt;=AsOfDate,IF($R114=0,$X114,IF(AND($T114&lt;&gt;"",EDATE($D114,Milestones!$AA$195)&gt;=$T114),$W114,IF(AND($S114&lt;&gt;"",EDATE($D114,Milestones!$AA$195)&gt;=$S114),$V114,$U114)))=Milestones!$AB$195),UPPER(TEXT(EDATE($D114,Milestones!$AA$195),"dd mmm yy"))&amp;" "&amp;Milestones!$AB$195&amp;" "&amp;Milestones!$AC$195&amp;";  ","")&amp;IF(AND(EDATE($D114,Milestones!$AA$196)&lt;=AsOfDate,IF($R114=0,$X114,IF(AND($T114&lt;&gt;"",EDATE($D114,Milestones!$AA$196)&gt;=$T114),$W114,IF(AND($S114&lt;&gt;"",EDATE($D114,Milestones!$AA$196)&gt;=$S114),$V114,$U114)))=Milestones!$AB$196),UPPER(TEXT(EDATE($D114,Milestones!$AA$196),"dd mmm yy"))&amp;" "&amp;Milestones!$AB$196&amp;" "&amp;Milestones!$AC$196&amp;";  ","")&amp;IF(AND(EDATE($D114,Milestones!$AA$197)&lt;=AsOfDate,IF($R114=0,$X114,IF(AND($T114&lt;&gt;"",EDATE($D114,Milestones!$AA$197)&gt;=$T114),$W114,IF(AND($S114&lt;&gt;"",EDATE($D114,Milestones!$AA$197)&gt;=$S114),$V114,$U114)))=Milestones!$AB$197),UPPER(TEXT(EDATE($D114,Milestones!$AA$197),"dd mmm yy"))&amp;" "&amp;Milestones!$AB$197&amp;" "&amp;Milestones!$AC$197&amp;";  ","")&amp;IF(AND(EDATE($D114,Milestones!$AA$198)&lt;=AsOfDate,IF($R114=0,$X114,IF(AND($T114&lt;&gt;"",EDATE($D114,Milestones!$AA$198)&gt;=$T114),$W114,IF(AND($S114&lt;&gt;"",EDATE($D114,Milestones!$AA$198)&gt;=$S114),$V114,$U114)))=Milestones!$AB$198),UPPER(TEXT(EDATE($D114,Milestones!$AA$198),"dd mmm yy"))&amp;" "&amp;Milestones!$AB$198&amp;" "&amp;Milestones!$AC$198&amp;";  ","")&amp;IF(AND(EDATE($D114,Milestones!$AA$199)&lt;=AsOfDate,IF($R114=0,$X114,IF(AND($T114&lt;&gt;"",EDATE($D114,Milestones!$AA$199)&gt;=$T114),$W114,IF(AND($S114&lt;&gt;"",EDATE($D114,Milestones!$AA$199)&gt;=$S114),$V114,$U114)))=Milestones!$AB$199),UPPER(TEXT(EDATE($D114,Milestones!$AA$199),"dd mmm yy"))&amp;" "&amp;Milestones!$AB$199&amp;" "&amp;Milestones!$AC$199&amp;";  ",""))</f>
        <v/>
      </c>
      <c r="R114" s="0" t="str">
        <f aca="false">IF(Staff!$A114="","",Staff!$AI114)</f>
        <v/>
      </c>
      <c r="S114" s="0" t="str">
        <f aca="false">IF(Staff!$A114="","",Staff!$AK114)</f>
        <v/>
      </c>
      <c r="T114" s="0" t="str">
        <f aca="false">IF(Staff!$A114="","",Staff!$AL114)</f>
        <v/>
      </c>
      <c r="U114" s="0" t="str">
        <f aca="false">IF(Staff!$A114="","",Staff!$AP114)</f>
        <v/>
      </c>
      <c r="V114" s="0" t="str">
        <f aca="false">IF(Staff!$A114="","",Staff!$AQ114)</f>
        <v/>
      </c>
      <c r="W114" s="0" t="str">
        <f aca="false">IF(Staff!$A114="","",Staff!$AR114)</f>
        <v/>
      </c>
      <c r="X114" s="0" t="str">
        <f aca="false">IF(Staff!$A114="","",Staff!$AS114)</f>
        <v/>
      </c>
    </row>
    <row r="115" customFormat="false" ht="15" hidden="false" customHeight="false" outlineLevel="0" collapsed="false">
      <c r="A115" s="19" t="str">
        <f aca="false">IF(Staff!$A115="","",Staff!$A115)</f>
        <v/>
      </c>
      <c r="B115" s="19" t="str">
        <f aca="false">IF(Staff!$A115="","",Staff!$B115)</f>
        <v/>
      </c>
      <c r="C115" s="19" t="str">
        <f aca="false">IF(Staff!$A115="","",Staff!$C115)</f>
        <v/>
      </c>
      <c r="D115" s="17" t="str">
        <f aca="false">IF(Staff!$A115="","",Staff!$AH115)</f>
        <v/>
      </c>
      <c r="E115" s="19" t="str">
        <f aca="false">IF(Staff!$A115="","",Staff!$O115)</f>
        <v/>
      </c>
      <c r="F115" s="19" t="str">
        <f aca="false">IF(E115="","",E115*HoursPerDay)</f>
        <v/>
      </c>
      <c r="G115" s="19" t="str">
        <f aca="false">IF(Staff!$A115="","",Staff!$AE115)</f>
        <v/>
      </c>
      <c r="H115" s="32" t="str">
        <f aca="false">IF($A115="","",I115&amp;J115&amp;K115&amp;L115&amp;M115&amp;N115&amp;O115&amp;P115&amp;Q115)</f>
        <v/>
      </c>
      <c r="I115" s="0" t="str">
        <f aca="false">IF(OR($A115="",$D115=""),"",IF(AND(EDATE($D115,Milestones!$AA$20)&lt;=AsOfDate,IF($R115=0,$X115,IF(AND($T115&lt;&gt;"",EDATE($D115,Milestones!$AA$20)&gt;=$T115),$W115,IF(AND($S115&lt;&gt;"",EDATE($D115,Milestones!$AA$20)&gt;=$S115),$V115,$U115)))=Milestones!$AB$20),UPPER(TEXT(EDATE($D115,Milestones!$AA$20),"dd mmm yy"))&amp;" "&amp;Milestones!$AB$20&amp;" "&amp;Milestones!$AC$20&amp;";  ","")&amp;IF(AND(EDATE($D115,Milestones!$AA$21)&lt;=AsOfDate,IF($R115=0,$X115,IF(AND($T115&lt;&gt;"",EDATE($D115,Milestones!$AA$21)&gt;=$T115),$W115,IF(AND($S115&lt;&gt;"",EDATE($D115,Milestones!$AA$21)&gt;=$S115),$V115,$U115)))=Milestones!$AB$21),UPPER(TEXT(EDATE($D115,Milestones!$AA$21),"dd mmm yy"))&amp;" "&amp;Milestones!$AB$21&amp;" "&amp;Milestones!$AC$21&amp;";  ","")&amp;IF(AND(EDATE($D115,Milestones!$AA$22)&lt;=AsOfDate,IF($R115=0,$X115,IF(AND($T115&lt;&gt;"",EDATE($D115,Milestones!$AA$22)&gt;=$T115),$W115,IF(AND($S115&lt;&gt;"",EDATE($D115,Milestones!$AA$22)&gt;=$S115),$V115,$U115)))=Milestones!$AB$22),UPPER(TEXT(EDATE($D115,Milestones!$AA$22),"dd mmm yy"))&amp;" "&amp;Milestones!$AB$22&amp;" "&amp;Milestones!$AC$22&amp;";  ","")&amp;IF(AND(EDATE($D115,Milestones!$AA$23)&lt;=AsOfDate,IF($R115=0,$X115,IF(AND($T115&lt;&gt;"",EDATE($D115,Milestones!$AA$23)&gt;=$T115),$W115,IF(AND($S115&lt;&gt;"",EDATE($D115,Milestones!$AA$23)&gt;=$S115),$V115,$U115)))=Milestones!$AB$23),UPPER(TEXT(EDATE($D115,Milestones!$AA$23),"dd mmm yy"))&amp;" "&amp;Milestones!$AB$23&amp;" "&amp;Milestones!$AC$23&amp;";  ","")&amp;IF(AND(EDATE($D115,Milestones!$AA$24)&lt;=AsOfDate,IF($R115=0,$X115,IF(AND($T115&lt;&gt;"",EDATE($D115,Milestones!$AA$24)&gt;=$T115),$W115,IF(AND($S115&lt;&gt;"",EDATE($D115,Milestones!$AA$24)&gt;=$S115),$V115,$U115)))=Milestones!$AB$24),UPPER(TEXT(EDATE($D115,Milestones!$AA$24),"dd mmm yy"))&amp;" "&amp;Milestones!$AB$24&amp;" "&amp;Milestones!$AC$24&amp;";  ","")&amp;IF(AND(EDATE($D115,Milestones!$AA$25)&lt;=AsOfDate,IF($R115=0,$X115,IF(AND($T115&lt;&gt;"",EDATE($D115,Milestones!$AA$25)&gt;=$T115),$W115,IF(AND($S115&lt;&gt;"",EDATE($D115,Milestones!$AA$25)&gt;=$S115),$V115,$U115)))=Milestones!$AB$25),UPPER(TEXT(EDATE($D115,Milestones!$AA$25),"dd mmm yy"))&amp;" "&amp;Milestones!$AB$25&amp;" "&amp;Milestones!$AC$25&amp;";  ","")&amp;IF(AND(EDATE($D115,Milestones!$AA$26)&lt;=AsOfDate,IF($R115=0,$X115,IF(AND($T115&lt;&gt;"",EDATE($D115,Milestones!$AA$26)&gt;=$T115),$W115,IF(AND($S115&lt;&gt;"",EDATE($D115,Milestones!$AA$26)&gt;=$S115),$V115,$U115)))=Milestones!$AB$26),UPPER(TEXT(EDATE($D115,Milestones!$AA$26),"dd mmm yy"))&amp;" "&amp;Milestones!$AB$26&amp;" "&amp;Milestones!$AC$26&amp;";  ","")&amp;IF(AND(EDATE($D115,Milestones!$AA$27)&lt;=AsOfDate,IF($R115=0,$X115,IF(AND($T115&lt;&gt;"",EDATE($D115,Milestones!$AA$27)&gt;=$T115),$W115,IF(AND($S115&lt;&gt;"",EDATE($D115,Milestones!$AA$27)&gt;=$S115),$V115,$U115)))=Milestones!$AB$27),UPPER(TEXT(EDATE($D115,Milestones!$AA$27),"dd mmm yy"))&amp;" "&amp;Milestones!$AB$27&amp;" "&amp;Milestones!$AC$27&amp;";  ","")&amp;IF(AND(EDATE($D115,Milestones!$AA$28)&lt;=AsOfDate,IF($R115=0,$X115,IF(AND($T115&lt;&gt;"",EDATE($D115,Milestones!$AA$28)&gt;=$T115),$W115,IF(AND($S115&lt;&gt;"",EDATE($D115,Milestones!$AA$28)&gt;=$S115),$V115,$U115)))=Milestones!$AB$28),UPPER(TEXT(EDATE($D115,Milestones!$AA$28),"dd mmm yy"))&amp;" "&amp;Milestones!$AB$28&amp;" "&amp;Milestones!$AC$28&amp;";  ","")&amp;IF(AND(EDATE($D115,Milestones!$AA$29)&lt;=AsOfDate,IF($R115=0,$X115,IF(AND($T115&lt;&gt;"",EDATE($D115,Milestones!$AA$29)&gt;=$T115),$W115,IF(AND($S115&lt;&gt;"",EDATE($D115,Milestones!$AA$29)&gt;=$S115),$V115,$U115)))=Milestones!$AB$29),UPPER(TEXT(EDATE($D115,Milestones!$AA$29),"dd mmm yy"))&amp;" "&amp;Milestones!$AB$29&amp;" "&amp;Milestones!$AC$29&amp;";  ","")&amp;IF(AND(EDATE($D115,Milestones!$AA$30)&lt;=AsOfDate,IF($R115=0,$X115,IF(AND($T115&lt;&gt;"",EDATE($D115,Milestones!$AA$30)&gt;=$T115),$W115,IF(AND($S115&lt;&gt;"",EDATE($D115,Milestones!$AA$30)&gt;=$S115),$V115,$U115)))=Milestones!$AB$30),UPPER(TEXT(EDATE($D115,Milestones!$AA$30),"dd mmm yy"))&amp;" "&amp;Milestones!$AB$30&amp;" "&amp;Milestones!$AC$30&amp;";  ","")&amp;IF(AND(EDATE($D115,Milestones!$AA$31)&lt;=AsOfDate,IF($R115=0,$X115,IF(AND($T115&lt;&gt;"",EDATE($D115,Milestones!$AA$31)&gt;=$T115),$W115,IF(AND($S115&lt;&gt;"",EDATE($D115,Milestones!$AA$31)&gt;=$S115),$V115,$U115)))=Milestones!$AB$31),UPPER(TEXT(EDATE($D115,Milestones!$AA$31),"dd mmm yy"))&amp;" "&amp;Milestones!$AB$31&amp;" "&amp;Milestones!$AC$31&amp;";  ","")&amp;IF(AND(EDATE($D115,Milestones!$AA$32)&lt;=AsOfDate,IF($R115=0,$X115,IF(AND($T115&lt;&gt;"",EDATE($D115,Milestones!$AA$32)&gt;=$T115),$W115,IF(AND($S115&lt;&gt;"",EDATE($D115,Milestones!$AA$32)&gt;=$S115),$V115,$U115)))=Milestones!$AB$32),UPPER(TEXT(EDATE($D115,Milestones!$AA$32),"dd mmm yy"))&amp;" "&amp;Milestones!$AB$32&amp;" "&amp;Milestones!$AC$32&amp;";  ","")&amp;IF(AND(EDATE($D115,Milestones!$AA$33)&lt;=AsOfDate,IF($R115=0,$X115,IF(AND($T115&lt;&gt;"",EDATE($D115,Milestones!$AA$33)&gt;=$T115),$W115,IF(AND($S115&lt;&gt;"",EDATE($D115,Milestones!$AA$33)&gt;=$S115),$V115,$U115)))=Milestones!$AB$33),UPPER(TEXT(EDATE($D115,Milestones!$AA$33),"dd mmm yy"))&amp;" "&amp;Milestones!$AB$33&amp;" "&amp;Milestones!$AC$33&amp;";  ","")&amp;IF(AND(EDATE($D115,Milestones!$AA$34)&lt;=AsOfDate,IF($R115=0,$X115,IF(AND($T115&lt;&gt;"",EDATE($D115,Milestones!$AA$34)&gt;=$T115),$W115,IF(AND($S115&lt;&gt;"",EDATE($D115,Milestones!$AA$34)&gt;=$S115),$V115,$U115)))=Milestones!$AB$34),UPPER(TEXT(EDATE($D115,Milestones!$AA$34),"dd mmm yy"))&amp;" "&amp;Milestones!$AB$34&amp;" "&amp;Milestones!$AC$34&amp;";  ","")&amp;IF(AND(EDATE($D115,Milestones!$AA$35)&lt;=AsOfDate,IF($R115=0,$X115,IF(AND($T115&lt;&gt;"",EDATE($D115,Milestones!$AA$35)&gt;=$T115),$W115,IF(AND($S115&lt;&gt;"",EDATE($D115,Milestones!$AA$35)&gt;=$S115),$V115,$U115)))=Milestones!$AB$35),UPPER(TEXT(EDATE($D115,Milestones!$AA$35),"dd mmm yy"))&amp;" "&amp;Milestones!$AB$35&amp;" "&amp;Milestones!$AC$35&amp;";  ","")&amp;IF(AND(EDATE($D115,Milestones!$AA$36)&lt;=AsOfDate,IF($R115=0,$X115,IF(AND($T115&lt;&gt;"",EDATE($D115,Milestones!$AA$36)&gt;=$T115),$W115,IF(AND($S115&lt;&gt;"",EDATE($D115,Milestones!$AA$36)&gt;=$S115),$V115,$U115)))=Milestones!$AB$36),UPPER(TEXT(EDATE($D115,Milestones!$AA$36),"dd mmm yy"))&amp;" "&amp;Milestones!$AB$36&amp;" "&amp;Milestones!$AC$36&amp;";  ","")&amp;IF(AND(EDATE($D115,Milestones!$AA$37)&lt;=AsOfDate,IF($R115=0,$X115,IF(AND($T115&lt;&gt;"",EDATE($D115,Milestones!$AA$37)&gt;=$T115),$W115,IF(AND($S115&lt;&gt;"",EDATE($D115,Milestones!$AA$37)&gt;=$S115),$V115,$U115)))=Milestones!$AB$37),UPPER(TEXT(EDATE($D115,Milestones!$AA$37),"dd mmm yy"))&amp;" "&amp;Milestones!$AB$37&amp;" "&amp;Milestones!$AC$37&amp;";  ","")&amp;IF(AND(EDATE($D115,Milestones!$AA$38)&lt;=AsOfDate,IF($R115=0,$X115,IF(AND($T115&lt;&gt;"",EDATE($D115,Milestones!$AA$38)&gt;=$T115),$W115,IF(AND($S115&lt;&gt;"",EDATE($D115,Milestones!$AA$38)&gt;=$S115),$V115,$U115)))=Milestones!$AB$38),UPPER(TEXT(EDATE($D115,Milestones!$AA$38),"dd mmm yy"))&amp;" "&amp;Milestones!$AB$38&amp;" "&amp;Milestones!$AC$38&amp;";  ","")&amp;IF(AND(EDATE($D115,Milestones!$AA$39)&lt;=AsOfDate,IF($R115=0,$X115,IF(AND($T115&lt;&gt;"",EDATE($D115,Milestones!$AA$39)&gt;=$T115),$W115,IF(AND($S115&lt;&gt;"",EDATE($D115,Milestones!$AA$39)&gt;=$S115),$V115,$U115)))=Milestones!$AB$39),UPPER(TEXT(EDATE($D115,Milestones!$AA$39),"dd mmm yy"))&amp;" "&amp;Milestones!$AB$39&amp;" "&amp;Milestones!$AC$39&amp;";  ",""))</f>
        <v/>
      </c>
      <c r="J115" s="0" t="str">
        <f aca="false">IF(OR($A115="",$D115=""),"",IF(AND(EDATE($D115,Milestones!$AA$40)&lt;=AsOfDate,IF($R115=0,$X115,IF(AND($T115&lt;&gt;"",EDATE($D115,Milestones!$AA$40)&gt;=$T115),$W115,IF(AND($S115&lt;&gt;"",EDATE($D115,Milestones!$AA$40)&gt;=$S115),$V115,$U115)))=Milestones!$AB$40),UPPER(TEXT(EDATE($D115,Milestones!$AA$40),"dd mmm yy"))&amp;" "&amp;Milestones!$AB$40&amp;" "&amp;Milestones!$AC$40&amp;";  ","")&amp;IF(AND(EDATE($D115,Milestones!$AA$41)&lt;=AsOfDate,IF($R115=0,$X115,IF(AND($T115&lt;&gt;"",EDATE($D115,Milestones!$AA$41)&gt;=$T115),$W115,IF(AND($S115&lt;&gt;"",EDATE($D115,Milestones!$AA$41)&gt;=$S115),$V115,$U115)))=Milestones!$AB$41),UPPER(TEXT(EDATE($D115,Milestones!$AA$41),"dd mmm yy"))&amp;" "&amp;Milestones!$AB$41&amp;" "&amp;Milestones!$AC$41&amp;";  ","")&amp;IF(AND(EDATE($D115,Milestones!$AA$42)&lt;=AsOfDate,IF($R115=0,$X115,IF(AND($T115&lt;&gt;"",EDATE($D115,Milestones!$AA$42)&gt;=$T115),$W115,IF(AND($S115&lt;&gt;"",EDATE($D115,Milestones!$AA$42)&gt;=$S115),$V115,$U115)))=Milestones!$AB$42),UPPER(TEXT(EDATE($D115,Milestones!$AA$42),"dd mmm yy"))&amp;" "&amp;Milestones!$AB$42&amp;" "&amp;Milestones!$AC$42&amp;";  ","")&amp;IF(AND(EDATE($D115,Milestones!$AA$43)&lt;=AsOfDate,IF($R115=0,$X115,IF(AND($T115&lt;&gt;"",EDATE($D115,Milestones!$AA$43)&gt;=$T115),$W115,IF(AND($S115&lt;&gt;"",EDATE($D115,Milestones!$AA$43)&gt;=$S115),$V115,$U115)))=Milestones!$AB$43),UPPER(TEXT(EDATE($D115,Milestones!$AA$43),"dd mmm yy"))&amp;" "&amp;Milestones!$AB$43&amp;" "&amp;Milestones!$AC$43&amp;";  ","")&amp;IF(AND(EDATE($D115,Milestones!$AA$44)&lt;=AsOfDate,IF($R115=0,$X115,IF(AND($T115&lt;&gt;"",EDATE($D115,Milestones!$AA$44)&gt;=$T115),$W115,IF(AND($S115&lt;&gt;"",EDATE($D115,Milestones!$AA$44)&gt;=$S115),$V115,$U115)))=Milestones!$AB$44),UPPER(TEXT(EDATE($D115,Milestones!$AA$44),"dd mmm yy"))&amp;" "&amp;Milestones!$AB$44&amp;" "&amp;Milestones!$AC$44&amp;";  ","")&amp;IF(AND(EDATE($D115,Milestones!$AA$45)&lt;=AsOfDate,IF($R115=0,$X115,IF(AND($T115&lt;&gt;"",EDATE($D115,Milestones!$AA$45)&gt;=$T115),$W115,IF(AND($S115&lt;&gt;"",EDATE($D115,Milestones!$AA$45)&gt;=$S115),$V115,$U115)))=Milestones!$AB$45),UPPER(TEXT(EDATE($D115,Milestones!$AA$45),"dd mmm yy"))&amp;" "&amp;Milestones!$AB$45&amp;" "&amp;Milestones!$AC$45&amp;";  ","")&amp;IF(AND(EDATE($D115,Milestones!$AA$46)&lt;=AsOfDate,IF($R115=0,$X115,IF(AND($T115&lt;&gt;"",EDATE($D115,Milestones!$AA$46)&gt;=$T115),$W115,IF(AND($S115&lt;&gt;"",EDATE($D115,Milestones!$AA$46)&gt;=$S115),$V115,$U115)))=Milestones!$AB$46),UPPER(TEXT(EDATE($D115,Milestones!$AA$46),"dd mmm yy"))&amp;" "&amp;Milestones!$AB$46&amp;" "&amp;Milestones!$AC$46&amp;";  ","")&amp;IF(AND(EDATE($D115,Milestones!$AA$47)&lt;=AsOfDate,IF($R115=0,$X115,IF(AND($T115&lt;&gt;"",EDATE($D115,Milestones!$AA$47)&gt;=$T115),$W115,IF(AND($S115&lt;&gt;"",EDATE($D115,Milestones!$AA$47)&gt;=$S115),$V115,$U115)))=Milestones!$AB$47),UPPER(TEXT(EDATE($D115,Milestones!$AA$47),"dd mmm yy"))&amp;" "&amp;Milestones!$AB$47&amp;" "&amp;Milestones!$AC$47&amp;";  ","")&amp;IF(AND(EDATE($D115,Milestones!$AA$48)&lt;=AsOfDate,IF($R115=0,$X115,IF(AND($T115&lt;&gt;"",EDATE($D115,Milestones!$AA$48)&gt;=$T115),$W115,IF(AND($S115&lt;&gt;"",EDATE($D115,Milestones!$AA$48)&gt;=$S115),$V115,$U115)))=Milestones!$AB$48),UPPER(TEXT(EDATE($D115,Milestones!$AA$48),"dd mmm yy"))&amp;" "&amp;Milestones!$AB$48&amp;" "&amp;Milestones!$AC$48&amp;";  ","")&amp;IF(AND(EDATE($D115,Milestones!$AA$49)&lt;=AsOfDate,IF($R115=0,$X115,IF(AND($T115&lt;&gt;"",EDATE($D115,Milestones!$AA$49)&gt;=$T115),$W115,IF(AND($S115&lt;&gt;"",EDATE($D115,Milestones!$AA$49)&gt;=$S115),$V115,$U115)))=Milestones!$AB$49),UPPER(TEXT(EDATE($D115,Milestones!$AA$49),"dd mmm yy"))&amp;" "&amp;Milestones!$AB$49&amp;" "&amp;Milestones!$AC$49&amp;";  ","")&amp;IF(AND(EDATE($D115,Milestones!$AA$50)&lt;=AsOfDate,IF($R115=0,$X115,IF(AND($T115&lt;&gt;"",EDATE($D115,Milestones!$AA$50)&gt;=$T115),$W115,IF(AND($S115&lt;&gt;"",EDATE($D115,Milestones!$AA$50)&gt;=$S115),$V115,$U115)))=Milestones!$AB$50),UPPER(TEXT(EDATE($D115,Milestones!$AA$50),"dd mmm yy"))&amp;" "&amp;Milestones!$AB$50&amp;" "&amp;Milestones!$AC$50&amp;";  ","")&amp;IF(AND(EDATE($D115,Milestones!$AA$51)&lt;=AsOfDate,IF($R115=0,$X115,IF(AND($T115&lt;&gt;"",EDATE($D115,Milestones!$AA$51)&gt;=$T115),$W115,IF(AND($S115&lt;&gt;"",EDATE($D115,Milestones!$AA$51)&gt;=$S115),$V115,$U115)))=Milestones!$AB$51),UPPER(TEXT(EDATE($D115,Milestones!$AA$51),"dd mmm yy"))&amp;" "&amp;Milestones!$AB$51&amp;" "&amp;Milestones!$AC$51&amp;";  ","")&amp;IF(AND(EDATE($D115,Milestones!$AA$52)&lt;=AsOfDate,IF($R115=0,$X115,IF(AND($T115&lt;&gt;"",EDATE($D115,Milestones!$AA$52)&gt;=$T115),$W115,IF(AND($S115&lt;&gt;"",EDATE($D115,Milestones!$AA$52)&gt;=$S115),$V115,$U115)))=Milestones!$AB$52),UPPER(TEXT(EDATE($D115,Milestones!$AA$52),"dd mmm yy"))&amp;" "&amp;Milestones!$AB$52&amp;" "&amp;Milestones!$AC$52&amp;";  ","")&amp;IF(AND(EDATE($D115,Milestones!$AA$53)&lt;=AsOfDate,IF($R115=0,$X115,IF(AND($T115&lt;&gt;"",EDATE($D115,Milestones!$AA$53)&gt;=$T115),$W115,IF(AND($S115&lt;&gt;"",EDATE($D115,Milestones!$AA$53)&gt;=$S115),$V115,$U115)))=Milestones!$AB$53),UPPER(TEXT(EDATE($D115,Milestones!$AA$53),"dd mmm yy"))&amp;" "&amp;Milestones!$AB$53&amp;" "&amp;Milestones!$AC$53&amp;";  ","")&amp;IF(AND(EDATE($D115,Milestones!$AA$54)&lt;=AsOfDate,IF($R115=0,$X115,IF(AND($T115&lt;&gt;"",EDATE($D115,Milestones!$AA$54)&gt;=$T115),$W115,IF(AND($S115&lt;&gt;"",EDATE($D115,Milestones!$AA$54)&gt;=$S115),$V115,$U115)))=Milestones!$AB$54),UPPER(TEXT(EDATE($D115,Milestones!$AA$54),"dd mmm yy"))&amp;" "&amp;Milestones!$AB$54&amp;" "&amp;Milestones!$AC$54&amp;";  ","")&amp;IF(AND(EDATE($D115,Milestones!$AA$55)&lt;=AsOfDate,IF($R115=0,$X115,IF(AND($T115&lt;&gt;"",EDATE($D115,Milestones!$AA$55)&gt;=$T115),$W115,IF(AND($S115&lt;&gt;"",EDATE($D115,Milestones!$AA$55)&gt;=$S115),$V115,$U115)))=Milestones!$AB$55),UPPER(TEXT(EDATE($D115,Milestones!$AA$55),"dd mmm yy"))&amp;" "&amp;Milestones!$AB$55&amp;" "&amp;Milestones!$AC$55&amp;";  ","")&amp;IF(AND(EDATE($D115,Milestones!$AA$56)&lt;=AsOfDate,IF($R115=0,$X115,IF(AND($T115&lt;&gt;"",EDATE($D115,Milestones!$AA$56)&gt;=$T115),$W115,IF(AND($S115&lt;&gt;"",EDATE($D115,Milestones!$AA$56)&gt;=$S115),$V115,$U115)))=Milestones!$AB$56),UPPER(TEXT(EDATE($D115,Milestones!$AA$56),"dd mmm yy"))&amp;" "&amp;Milestones!$AB$56&amp;" "&amp;Milestones!$AC$56&amp;";  ","")&amp;IF(AND(EDATE($D115,Milestones!$AA$57)&lt;=AsOfDate,IF($R115=0,$X115,IF(AND($T115&lt;&gt;"",EDATE($D115,Milestones!$AA$57)&gt;=$T115),$W115,IF(AND($S115&lt;&gt;"",EDATE($D115,Milestones!$AA$57)&gt;=$S115),$V115,$U115)))=Milestones!$AB$57),UPPER(TEXT(EDATE($D115,Milestones!$AA$57),"dd mmm yy"))&amp;" "&amp;Milestones!$AB$57&amp;" "&amp;Milestones!$AC$57&amp;";  ","")&amp;IF(AND(EDATE($D115,Milestones!$AA$58)&lt;=AsOfDate,IF($R115=0,$X115,IF(AND($T115&lt;&gt;"",EDATE($D115,Milestones!$AA$58)&gt;=$T115),$W115,IF(AND($S115&lt;&gt;"",EDATE($D115,Milestones!$AA$58)&gt;=$S115),$V115,$U115)))=Milestones!$AB$58),UPPER(TEXT(EDATE($D115,Milestones!$AA$58),"dd mmm yy"))&amp;" "&amp;Milestones!$AB$58&amp;" "&amp;Milestones!$AC$58&amp;";  ","")&amp;IF(AND(EDATE($D115,Milestones!$AA$59)&lt;=AsOfDate,IF($R115=0,$X115,IF(AND($T115&lt;&gt;"",EDATE($D115,Milestones!$AA$59)&gt;=$T115),$W115,IF(AND($S115&lt;&gt;"",EDATE($D115,Milestones!$AA$59)&gt;=$S115),$V115,$U115)))=Milestones!$AB$59),UPPER(TEXT(EDATE($D115,Milestones!$AA$59),"dd mmm yy"))&amp;" "&amp;Milestones!$AB$59&amp;" "&amp;Milestones!$AC$59&amp;";  ",""))</f>
        <v/>
      </c>
      <c r="K115" s="0" t="str">
        <f aca="false">IF(OR($A115="",$D115=""),"",IF(AND(EDATE($D115,Milestones!$AA$60)&lt;=AsOfDate,IF($R115=0,$X115,IF(AND($T115&lt;&gt;"",EDATE($D115,Milestones!$AA$60)&gt;=$T115),$W115,IF(AND($S115&lt;&gt;"",EDATE($D115,Milestones!$AA$60)&gt;=$S115),$V115,$U115)))=Milestones!$AB$60),UPPER(TEXT(EDATE($D115,Milestones!$AA$60),"dd mmm yy"))&amp;" "&amp;Milestones!$AB$60&amp;" "&amp;Milestones!$AC$60&amp;";  ","")&amp;IF(AND(EDATE($D115,Milestones!$AA$61)&lt;=AsOfDate,IF($R115=0,$X115,IF(AND($T115&lt;&gt;"",EDATE($D115,Milestones!$AA$61)&gt;=$T115),$W115,IF(AND($S115&lt;&gt;"",EDATE($D115,Milestones!$AA$61)&gt;=$S115),$V115,$U115)))=Milestones!$AB$61),UPPER(TEXT(EDATE($D115,Milestones!$AA$61),"dd mmm yy"))&amp;" "&amp;Milestones!$AB$61&amp;" "&amp;Milestones!$AC$61&amp;";  ","")&amp;IF(AND(EDATE($D115,Milestones!$AA$62)&lt;=AsOfDate,IF($R115=0,$X115,IF(AND($T115&lt;&gt;"",EDATE($D115,Milestones!$AA$62)&gt;=$T115),$W115,IF(AND($S115&lt;&gt;"",EDATE($D115,Milestones!$AA$62)&gt;=$S115),$V115,$U115)))=Milestones!$AB$62),UPPER(TEXT(EDATE($D115,Milestones!$AA$62),"dd mmm yy"))&amp;" "&amp;Milestones!$AB$62&amp;" "&amp;Milestones!$AC$62&amp;";  ","")&amp;IF(AND(EDATE($D115,Milestones!$AA$63)&lt;=AsOfDate,IF($R115=0,$X115,IF(AND($T115&lt;&gt;"",EDATE($D115,Milestones!$AA$63)&gt;=$T115),$W115,IF(AND($S115&lt;&gt;"",EDATE($D115,Milestones!$AA$63)&gt;=$S115),$V115,$U115)))=Milestones!$AB$63),UPPER(TEXT(EDATE($D115,Milestones!$AA$63),"dd mmm yy"))&amp;" "&amp;Milestones!$AB$63&amp;" "&amp;Milestones!$AC$63&amp;";  ","")&amp;IF(AND(EDATE($D115,Milestones!$AA$64)&lt;=AsOfDate,IF($R115=0,$X115,IF(AND($T115&lt;&gt;"",EDATE($D115,Milestones!$AA$64)&gt;=$T115),$W115,IF(AND($S115&lt;&gt;"",EDATE($D115,Milestones!$AA$64)&gt;=$S115),$V115,$U115)))=Milestones!$AB$64),UPPER(TEXT(EDATE($D115,Milestones!$AA$64),"dd mmm yy"))&amp;" "&amp;Milestones!$AB$64&amp;" "&amp;Milestones!$AC$64&amp;";  ","")&amp;IF(AND(EDATE($D115,Milestones!$AA$65)&lt;=AsOfDate,IF($R115=0,$X115,IF(AND($T115&lt;&gt;"",EDATE($D115,Milestones!$AA$65)&gt;=$T115),$W115,IF(AND($S115&lt;&gt;"",EDATE($D115,Milestones!$AA$65)&gt;=$S115),$V115,$U115)))=Milestones!$AB$65),UPPER(TEXT(EDATE($D115,Milestones!$AA$65),"dd mmm yy"))&amp;" "&amp;Milestones!$AB$65&amp;" "&amp;Milestones!$AC$65&amp;";  ","")&amp;IF(AND(EDATE($D115,Milestones!$AA$66)&lt;=AsOfDate,IF($R115=0,$X115,IF(AND($T115&lt;&gt;"",EDATE($D115,Milestones!$AA$66)&gt;=$T115),$W115,IF(AND($S115&lt;&gt;"",EDATE($D115,Milestones!$AA$66)&gt;=$S115),$V115,$U115)))=Milestones!$AB$66),UPPER(TEXT(EDATE($D115,Milestones!$AA$66),"dd mmm yy"))&amp;" "&amp;Milestones!$AB$66&amp;" "&amp;Milestones!$AC$66&amp;";  ","")&amp;IF(AND(EDATE($D115,Milestones!$AA$67)&lt;=AsOfDate,IF($R115=0,$X115,IF(AND($T115&lt;&gt;"",EDATE($D115,Milestones!$AA$67)&gt;=$T115),$W115,IF(AND($S115&lt;&gt;"",EDATE($D115,Milestones!$AA$67)&gt;=$S115),$V115,$U115)))=Milestones!$AB$67),UPPER(TEXT(EDATE($D115,Milestones!$AA$67),"dd mmm yy"))&amp;" "&amp;Milestones!$AB$67&amp;" "&amp;Milestones!$AC$67&amp;";  ","")&amp;IF(AND(EDATE($D115,Milestones!$AA$68)&lt;=AsOfDate,IF($R115=0,$X115,IF(AND($T115&lt;&gt;"",EDATE($D115,Milestones!$AA$68)&gt;=$T115),$W115,IF(AND($S115&lt;&gt;"",EDATE($D115,Milestones!$AA$68)&gt;=$S115),$V115,$U115)))=Milestones!$AB$68),UPPER(TEXT(EDATE($D115,Milestones!$AA$68),"dd mmm yy"))&amp;" "&amp;Milestones!$AB$68&amp;" "&amp;Milestones!$AC$68&amp;";  ","")&amp;IF(AND(EDATE($D115,Milestones!$AA$69)&lt;=AsOfDate,IF($R115=0,$X115,IF(AND($T115&lt;&gt;"",EDATE($D115,Milestones!$AA$69)&gt;=$T115),$W115,IF(AND($S115&lt;&gt;"",EDATE($D115,Milestones!$AA$69)&gt;=$S115),$V115,$U115)))=Milestones!$AB$69),UPPER(TEXT(EDATE($D115,Milestones!$AA$69),"dd mmm yy"))&amp;" "&amp;Milestones!$AB$69&amp;" "&amp;Milestones!$AC$69&amp;";  ","")&amp;IF(AND(EDATE($D115,Milestones!$AA$70)&lt;=AsOfDate,IF($R115=0,$X115,IF(AND($T115&lt;&gt;"",EDATE($D115,Milestones!$AA$70)&gt;=$T115),$W115,IF(AND($S115&lt;&gt;"",EDATE($D115,Milestones!$AA$70)&gt;=$S115),$V115,$U115)))=Milestones!$AB$70),UPPER(TEXT(EDATE($D115,Milestones!$AA$70),"dd mmm yy"))&amp;" "&amp;Milestones!$AB$70&amp;" "&amp;Milestones!$AC$70&amp;";  ","")&amp;IF(AND(EDATE($D115,Milestones!$AA$71)&lt;=AsOfDate,IF($R115=0,$X115,IF(AND($T115&lt;&gt;"",EDATE($D115,Milestones!$AA$71)&gt;=$T115),$W115,IF(AND($S115&lt;&gt;"",EDATE($D115,Milestones!$AA$71)&gt;=$S115),$V115,$U115)))=Milestones!$AB$71),UPPER(TEXT(EDATE($D115,Milestones!$AA$71),"dd mmm yy"))&amp;" "&amp;Milestones!$AB$71&amp;" "&amp;Milestones!$AC$71&amp;";  ","")&amp;IF(AND(EDATE($D115,Milestones!$AA$72)&lt;=AsOfDate,IF($R115=0,$X115,IF(AND($T115&lt;&gt;"",EDATE($D115,Milestones!$AA$72)&gt;=$T115),$W115,IF(AND($S115&lt;&gt;"",EDATE($D115,Milestones!$AA$72)&gt;=$S115),$V115,$U115)))=Milestones!$AB$72),UPPER(TEXT(EDATE($D115,Milestones!$AA$72),"dd mmm yy"))&amp;" "&amp;Milestones!$AB$72&amp;" "&amp;Milestones!$AC$72&amp;";  ","")&amp;IF(AND(EDATE($D115,Milestones!$AA$73)&lt;=AsOfDate,IF($R115=0,$X115,IF(AND($T115&lt;&gt;"",EDATE($D115,Milestones!$AA$73)&gt;=$T115),$W115,IF(AND($S115&lt;&gt;"",EDATE($D115,Milestones!$AA$73)&gt;=$S115),$V115,$U115)))=Milestones!$AB$73),UPPER(TEXT(EDATE($D115,Milestones!$AA$73),"dd mmm yy"))&amp;" "&amp;Milestones!$AB$73&amp;" "&amp;Milestones!$AC$73&amp;";  ","")&amp;IF(AND(EDATE($D115,Milestones!$AA$74)&lt;=AsOfDate,IF($R115=0,$X115,IF(AND($T115&lt;&gt;"",EDATE($D115,Milestones!$AA$74)&gt;=$T115),$W115,IF(AND($S115&lt;&gt;"",EDATE($D115,Milestones!$AA$74)&gt;=$S115),$V115,$U115)))=Milestones!$AB$74),UPPER(TEXT(EDATE($D115,Milestones!$AA$74),"dd mmm yy"))&amp;" "&amp;Milestones!$AB$74&amp;" "&amp;Milestones!$AC$74&amp;";  ","")&amp;IF(AND(EDATE($D115,Milestones!$AA$75)&lt;=AsOfDate,IF($R115=0,$X115,IF(AND($T115&lt;&gt;"",EDATE($D115,Milestones!$AA$75)&gt;=$T115),$W115,IF(AND($S115&lt;&gt;"",EDATE($D115,Milestones!$AA$75)&gt;=$S115),$V115,$U115)))=Milestones!$AB$75),UPPER(TEXT(EDATE($D115,Milestones!$AA$75),"dd mmm yy"))&amp;" "&amp;Milestones!$AB$75&amp;" "&amp;Milestones!$AC$75&amp;";  ","")&amp;IF(AND(EDATE($D115,Milestones!$AA$76)&lt;=AsOfDate,IF($R115=0,$X115,IF(AND($T115&lt;&gt;"",EDATE($D115,Milestones!$AA$76)&gt;=$T115),$W115,IF(AND($S115&lt;&gt;"",EDATE($D115,Milestones!$AA$76)&gt;=$S115),$V115,$U115)))=Milestones!$AB$76),UPPER(TEXT(EDATE($D115,Milestones!$AA$76),"dd mmm yy"))&amp;" "&amp;Milestones!$AB$76&amp;" "&amp;Milestones!$AC$76&amp;";  ","")&amp;IF(AND(EDATE($D115,Milestones!$AA$77)&lt;=AsOfDate,IF($R115=0,$X115,IF(AND($T115&lt;&gt;"",EDATE($D115,Milestones!$AA$77)&gt;=$T115),$W115,IF(AND($S115&lt;&gt;"",EDATE($D115,Milestones!$AA$77)&gt;=$S115),$V115,$U115)))=Milestones!$AB$77),UPPER(TEXT(EDATE($D115,Milestones!$AA$77),"dd mmm yy"))&amp;" "&amp;Milestones!$AB$77&amp;" "&amp;Milestones!$AC$77&amp;";  ","")&amp;IF(AND(EDATE($D115,Milestones!$AA$78)&lt;=AsOfDate,IF($R115=0,$X115,IF(AND($T115&lt;&gt;"",EDATE($D115,Milestones!$AA$78)&gt;=$T115),$W115,IF(AND($S115&lt;&gt;"",EDATE($D115,Milestones!$AA$78)&gt;=$S115),$V115,$U115)))=Milestones!$AB$78),UPPER(TEXT(EDATE($D115,Milestones!$AA$78),"dd mmm yy"))&amp;" "&amp;Milestones!$AB$78&amp;" "&amp;Milestones!$AC$78&amp;";  ","")&amp;IF(AND(EDATE($D115,Milestones!$AA$79)&lt;=AsOfDate,IF($R115=0,$X115,IF(AND($T115&lt;&gt;"",EDATE($D115,Milestones!$AA$79)&gt;=$T115),$W115,IF(AND($S115&lt;&gt;"",EDATE($D115,Milestones!$AA$79)&gt;=$S115),$V115,$U115)))=Milestones!$AB$79),UPPER(TEXT(EDATE($D115,Milestones!$AA$79),"dd mmm yy"))&amp;" "&amp;Milestones!$AB$79&amp;" "&amp;Milestones!$AC$79&amp;";  ",""))</f>
        <v/>
      </c>
      <c r="L115" s="0" t="str">
        <f aca="false">IF(OR($A115="",$D115=""),"",IF(AND(EDATE($D115,Milestones!$AA$80)&lt;=AsOfDate,IF($R115=0,$X115,IF(AND($T115&lt;&gt;"",EDATE($D115,Milestones!$AA$80)&gt;=$T115),$W115,IF(AND($S115&lt;&gt;"",EDATE($D115,Milestones!$AA$80)&gt;=$S115),$V115,$U115)))=Milestones!$AB$80),UPPER(TEXT(EDATE($D115,Milestones!$AA$80),"dd mmm yy"))&amp;" "&amp;Milestones!$AB$80&amp;" "&amp;Milestones!$AC$80&amp;";  ","")&amp;IF(AND(EDATE($D115,Milestones!$AA$81)&lt;=AsOfDate,IF($R115=0,$X115,IF(AND($T115&lt;&gt;"",EDATE($D115,Milestones!$AA$81)&gt;=$T115),$W115,IF(AND($S115&lt;&gt;"",EDATE($D115,Milestones!$AA$81)&gt;=$S115),$V115,$U115)))=Milestones!$AB$81),UPPER(TEXT(EDATE($D115,Milestones!$AA$81),"dd mmm yy"))&amp;" "&amp;Milestones!$AB$81&amp;" "&amp;Milestones!$AC$81&amp;";  ","")&amp;IF(AND(EDATE($D115,Milestones!$AA$82)&lt;=AsOfDate,IF($R115=0,$X115,IF(AND($T115&lt;&gt;"",EDATE($D115,Milestones!$AA$82)&gt;=$T115),$W115,IF(AND($S115&lt;&gt;"",EDATE($D115,Milestones!$AA$82)&gt;=$S115),$V115,$U115)))=Milestones!$AB$82),UPPER(TEXT(EDATE($D115,Milestones!$AA$82),"dd mmm yy"))&amp;" "&amp;Milestones!$AB$82&amp;" "&amp;Milestones!$AC$82&amp;";  ","")&amp;IF(AND(EDATE($D115,Milestones!$AA$83)&lt;=AsOfDate,IF($R115=0,$X115,IF(AND($T115&lt;&gt;"",EDATE($D115,Milestones!$AA$83)&gt;=$T115),$W115,IF(AND($S115&lt;&gt;"",EDATE($D115,Milestones!$AA$83)&gt;=$S115),$V115,$U115)))=Milestones!$AB$83),UPPER(TEXT(EDATE($D115,Milestones!$AA$83),"dd mmm yy"))&amp;" "&amp;Milestones!$AB$83&amp;" "&amp;Milestones!$AC$83&amp;";  ","")&amp;IF(AND(EDATE($D115,Milestones!$AA$84)&lt;=AsOfDate,IF($R115=0,$X115,IF(AND($T115&lt;&gt;"",EDATE($D115,Milestones!$AA$84)&gt;=$T115),$W115,IF(AND($S115&lt;&gt;"",EDATE($D115,Milestones!$AA$84)&gt;=$S115),$V115,$U115)))=Milestones!$AB$84),UPPER(TEXT(EDATE($D115,Milestones!$AA$84),"dd mmm yy"))&amp;" "&amp;Milestones!$AB$84&amp;" "&amp;Milestones!$AC$84&amp;";  ","")&amp;IF(AND(EDATE($D115,Milestones!$AA$85)&lt;=AsOfDate,IF($R115=0,$X115,IF(AND($T115&lt;&gt;"",EDATE($D115,Milestones!$AA$85)&gt;=$T115),$W115,IF(AND($S115&lt;&gt;"",EDATE($D115,Milestones!$AA$85)&gt;=$S115),$V115,$U115)))=Milestones!$AB$85),UPPER(TEXT(EDATE($D115,Milestones!$AA$85),"dd mmm yy"))&amp;" "&amp;Milestones!$AB$85&amp;" "&amp;Milestones!$AC$85&amp;";  ","")&amp;IF(AND(EDATE($D115,Milestones!$AA$86)&lt;=AsOfDate,IF($R115=0,$X115,IF(AND($T115&lt;&gt;"",EDATE($D115,Milestones!$AA$86)&gt;=$T115),$W115,IF(AND($S115&lt;&gt;"",EDATE($D115,Milestones!$AA$86)&gt;=$S115),$V115,$U115)))=Milestones!$AB$86),UPPER(TEXT(EDATE($D115,Milestones!$AA$86),"dd mmm yy"))&amp;" "&amp;Milestones!$AB$86&amp;" "&amp;Milestones!$AC$86&amp;";  ","")&amp;IF(AND(EDATE($D115,Milestones!$AA$87)&lt;=AsOfDate,IF($R115=0,$X115,IF(AND($T115&lt;&gt;"",EDATE($D115,Milestones!$AA$87)&gt;=$T115),$W115,IF(AND($S115&lt;&gt;"",EDATE($D115,Milestones!$AA$87)&gt;=$S115),$V115,$U115)))=Milestones!$AB$87),UPPER(TEXT(EDATE($D115,Milestones!$AA$87),"dd mmm yy"))&amp;" "&amp;Milestones!$AB$87&amp;" "&amp;Milestones!$AC$87&amp;";  ","")&amp;IF(AND(EDATE($D115,Milestones!$AA$88)&lt;=AsOfDate,IF($R115=0,$X115,IF(AND($T115&lt;&gt;"",EDATE($D115,Milestones!$AA$88)&gt;=$T115),$W115,IF(AND($S115&lt;&gt;"",EDATE($D115,Milestones!$AA$88)&gt;=$S115),$V115,$U115)))=Milestones!$AB$88),UPPER(TEXT(EDATE($D115,Milestones!$AA$88),"dd mmm yy"))&amp;" "&amp;Milestones!$AB$88&amp;" "&amp;Milestones!$AC$88&amp;";  ","")&amp;IF(AND(EDATE($D115,Milestones!$AA$89)&lt;=AsOfDate,IF($R115=0,$X115,IF(AND($T115&lt;&gt;"",EDATE($D115,Milestones!$AA$89)&gt;=$T115),$W115,IF(AND($S115&lt;&gt;"",EDATE($D115,Milestones!$AA$89)&gt;=$S115),$V115,$U115)))=Milestones!$AB$89),UPPER(TEXT(EDATE($D115,Milestones!$AA$89),"dd mmm yy"))&amp;" "&amp;Milestones!$AB$89&amp;" "&amp;Milestones!$AC$89&amp;";  ","")&amp;IF(AND(EDATE($D115,Milestones!$AA$90)&lt;=AsOfDate,IF($R115=0,$X115,IF(AND($T115&lt;&gt;"",EDATE($D115,Milestones!$AA$90)&gt;=$T115),$W115,IF(AND($S115&lt;&gt;"",EDATE($D115,Milestones!$AA$90)&gt;=$S115),$V115,$U115)))=Milestones!$AB$90),UPPER(TEXT(EDATE($D115,Milestones!$AA$90),"dd mmm yy"))&amp;" "&amp;Milestones!$AB$90&amp;" "&amp;Milestones!$AC$90&amp;";  ","")&amp;IF(AND(EDATE($D115,Milestones!$AA$91)&lt;=AsOfDate,IF($R115=0,$X115,IF(AND($T115&lt;&gt;"",EDATE($D115,Milestones!$AA$91)&gt;=$T115),$W115,IF(AND($S115&lt;&gt;"",EDATE($D115,Milestones!$AA$91)&gt;=$S115),$V115,$U115)))=Milestones!$AB$91),UPPER(TEXT(EDATE($D115,Milestones!$AA$91),"dd mmm yy"))&amp;" "&amp;Milestones!$AB$91&amp;" "&amp;Milestones!$AC$91&amp;";  ","")&amp;IF(AND(EDATE($D115,Milestones!$AA$92)&lt;=AsOfDate,IF($R115=0,$X115,IF(AND($T115&lt;&gt;"",EDATE($D115,Milestones!$AA$92)&gt;=$T115),$W115,IF(AND($S115&lt;&gt;"",EDATE($D115,Milestones!$AA$92)&gt;=$S115),$V115,$U115)))=Milestones!$AB$92),UPPER(TEXT(EDATE($D115,Milestones!$AA$92),"dd mmm yy"))&amp;" "&amp;Milestones!$AB$92&amp;" "&amp;Milestones!$AC$92&amp;";  ","")&amp;IF(AND(EDATE($D115,Milestones!$AA$93)&lt;=AsOfDate,IF($R115=0,$X115,IF(AND($T115&lt;&gt;"",EDATE($D115,Milestones!$AA$93)&gt;=$T115),$W115,IF(AND($S115&lt;&gt;"",EDATE($D115,Milestones!$AA$93)&gt;=$S115),$V115,$U115)))=Milestones!$AB$93),UPPER(TEXT(EDATE($D115,Milestones!$AA$93),"dd mmm yy"))&amp;" "&amp;Milestones!$AB$93&amp;" "&amp;Milestones!$AC$93&amp;";  ","")&amp;IF(AND(EDATE($D115,Milestones!$AA$94)&lt;=AsOfDate,IF($R115=0,$X115,IF(AND($T115&lt;&gt;"",EDATE($D115,Milestones!$AA$94)&gt;=$T115),$W115,IF(AND($S115&lt;&gt;"",EDATE($D115,Milestones!$AA$94)&gt;=$S115),$V115,$U115)))=Milestones!$AB$94),UPPER(TEXT(EDATE($D115,Milestones!$AA$94),"dd mmm yy"))&amp;" "&amp;Milestones!$AB$94&amp;" "&amp;Milestones!$AC$94&amp;";  ","")&amp;IF(AND(EDATE($D115,Milestones!$AA$95)&lt;=AsOfDate,IF($R115=0,$X115,IF(AND($T115&lt;&gt;"",EDATE($D115,Milestones!$AA$95)&gt;=$T115),$W115,IF(AND($S115&lt;&gt;"",EDATE($D115,Milestones!$AA$95)&gt;=$S115),$V115,$U115)))=Milestones!$AB$95),UPPER(TEXT(EDATE($D115,Milestones!$AA$95),"dd mmm yy"))&amp;" "&amp;Milestones!$AB$95&amp;" "&amp;Milestones!$AC$95&amp;";  ","")&amp;IF(AND(EDATE($D115,Milestones!$AA$96)&lt;=AsOfDate,IF($R115=0,$X115,IF(AND($T115&lt;&gt;"",EDATE($D115,Milestones!$AA$96)&gt;=$T115),$W115,IF(AND($S115&lt;&gt;"",EDATE($D115,Milestones!$AA$96)&gt;=$S115),$V115,$U115)))=Milestones!$AB$96),UPPER(TEXT(EDATE($D115,Milestones!$AA$96),"dd mmm yy"))&amp;" "&amp;Milestones!$AB$96&amp;" "&amp;Milestones!$AC$96&amp;";  ","")&amp;IF(AND(EDATE($D115,Milestones!$AA$97)&lt;=AsOfDate,IF($R115=0,$X115,IF(AND($T115&lt;&gt;"",EDATE($D115,Milestones!$AA$97)&gt;=$T115),$W115,IF(AND($S115&lt;&gt;"",EDATE($D115,Milestones!$AA$97)&gt;=$S115),$V115,$U115)))=Milestones!$AB$97),UPPER(TEXT(EDATE($D115,Milestones!$AA$97),"dd mmm yy"))&amp;" "&amp;Milestones!$AB$97&amp;" "&amp;Milestones!$AC$97&amp;";  ","")&amp;IF(AND(EDATE($D115,Milestones!$AA$98)&lt;=AsOfDate,IF($R115=0,$X115,IF(AND($T115&lt;&gt;"",EDATE($D115,Milestones!$AA$98)&gt;=$T115),$W115,IF(AND($S115&lt;&gt;"",EDATE($D115,Milestones!$AA$98)&gt;=$S115),$V115,$U115)))=Milestones!$AB$98),UPPER(TEXT(EDATE($D115,Milestones!$AA$98),"dd mmm yy"))&amp;" "&amp;Milestones!$AB$98&amp;" "&amp;Milestones!$AC$98&amp;";  ","")&amp;IF(AND(EDATE($D115,Milestones!$AA$99)&lt;=AsOfDate,IF($R115=0,$X115,IF(AND($T115&lt;&gt;"",EDATE($D115,Milestones!$AA$99)&gt;=$T115),$W115,IF(AND($S115&lt;&gt;"",EDATE($D115,Milestones!$AA$99)&gt;=$S115),$V115,$U115)))=Milestones!$AB$99),UPPER(TEXT(EDATE($D115,Milestones!$AA$99),"dd mmm yy"))&amp;" "&amp;Milestones!$AB$99&amp;" "&amp;Milestones!$AC$99&amp;";  ",""))</f>
        <v/>
      </c>
      <c r="M115" s="0" t="str">
        <f aca="false">IF(OR($A115="",$D115=""),"",IF(AND(EDATE($D115,Milestones!$AA$100)&lt;=AsOfDate,IF($R115=0,$X115,IF(AND($T115&lt;&gt;"",EDATE($D115,Milestones!$AA$100)&gt;=$T115),$W115,IF(AND($S115&lt;&gt;"",EDATE($D115,Milestones!$AA$100)&gt;=$S115),$V115,$U115)))=Milestones!$AB$100),UPPER(TEXT(EDATE($D115,Milestones!$AA$100),"dd mmm yy"))&amp;" "&amp;Milestones!$AB$100&amp;" "&amp;Milestones!$AC$100&amp;";  ","")&amp;IF(AND(EDATE($D115,Milestones!$AA$101)&lt;=AsOfDate,IF($R115=0,$X115,IF(AND($T115&lt;&gt;"",EDATE($D115,Milestones!$AA$101)&gt;=$T115),$W115,IF(AND($S115&lt;&gt;"",EDATE($D115,Milestones!$AA$101)&gt;=$S115),$V115,$U115)))=Milestones!$AB$101),UPPER(TEXT(EDATE($D115,Milestones!$AA$101),"dd mmm yy"))&amp;" "&amp;Milestones!$AB$101&amp;" "&amp;Milestones!$AC$101&amp;";  ","")&amp;IF(AND(EDATE($D115,Milestones!$AA$102)&lt;=AsOfDate,IF($R115=0,$X115,IF(AND($T115&lt;&gt;"",EDATE($D115,Milestones!$AA$102)&gt;=$T115),$W115,IF(AND($S115&lt;&gt;"",EDATE($D115,Milestones!$AA$102)&gt;=$S115),$V115,$U115)))=Milestones!$AB$102),UPPER(TEXT(EDATE($D115,Milestones!$AA$102),"dd mmm yy"))&amp;" "&amp;Milestones!$AB$102&amp;" "&amp;Milestones!$AC$102&amp;";  ","")&amp;IF(AND(EDATE($D115,Milestones!$AA$103)&lt;=AsOfDate,IF($R115=0,$X115,IF(AND($T115&lt;&gt;"",EDATE($D115,Milestones!$AA$103)&gt;=$T115),$W115,IF(AND($S115&lt;&gt;"",EDATE($D115,Milestones!$AA$103)&gt;=$S115),$V115,$U115)))=Milestones!$AB$103),UPPER(TEXT(EDATE($D115,Milestones!$AA$103),"dd mmm yy"))&amp;" "&amp;Milestones!$AB$103&amp;" "&amp;Milestones!$AC$103&amp;";  ","")&amp;IF(AND(EDATE($D115,Milestones!$AA$104)&lt;=AsOfDate,IF($R115=0,$X115,IF(AND($T115&lt;&gt;"",EDATE($D115,Milestones!$AA$104)&gt;=$T115),$W115,IF(AND($S115&lt;&gt;"",EDATE($D115,Milestones!$AA$104)&gt;=$S115),$V115,$U115)))=Milestones!$AB$104),UPPER(TEXT(EDATE($D115,Milestones!$AA$104),"dd mmm yy"))&amp;" "&amp;Milestones!$AB$104&amp;" "&amp;Milestones!$AC$104&amp;";  ","")&amp;IF(AND(EDATE($D115,Milestones!$AA$105)&lt;=AsOfDate,IF($R115=0,$X115,IF(AND($T115&lt;&gt;"",EDATE($D115,Milestones!$AA$105)&gt;=$T115),$W115,IF(AND($S115&lt;&gt;"",EDATE($D115,Milestones!$AA$105)&gt;=$S115),$V115,$U115)))=Milestones!$AB$105),UPPER(TEXT(EDATE($D115,Milestones!$AA$105),"dd mmm yy"))&amp;" "&amp;Milestones!$AB$105&amp;" "&amp;Milestones!$AC$105&amp;";  ","")&amp;IF(AND(EDATE($D115,Milestones!$AA$106)&lt;=AsOfDate,IF($R115=0,$X115,IF(AND($T115&lt;&gt;"",EDATE($D115,Milestones!$AA$106)&gt;=$T115),$W115,IF(AND($S115&lt;&gt;"",EDATE($D115,Milestones!$AA$106)&gt;=$S115),$V115,$U115)))=Milestones!$AB$106),UPPER(TEXT(EDATE($D115,Milestones!$AA$106),"dd mmm yy"))&amp;" "&amp;Milestones!$AB$106&amp;" "&amp;Milestones!$AC$106&amp;";  ","")&amp;IF(AND(EDATE($D115,Milestones!$AA$107)&lt;=AsOfDate,IF($R115=0,$X115,IF(AND($T115&lt;&gt;"",EDATE($D115,Milestones!$AA$107)&gt;=$T115),$W115,IF(AND($S115&lt;&gt;"",EDATE($D115,Milestones!$AA$107)&gt;=$S115),$V115,$U115)))=Milestones!$AB$107),UPPER(TEXT(EDATE($D115,Milestones!$AA$107),"dd mmm yy"))&amp;" "&amp;Milestones!$AB$107&amp;" "&amp;Milestones!$AC$107&amp;";  ","")&amp;IF(AND(EDATE($D115,Milestones!$AA$108)&lt;=AsOfDate,IF($R115=0,$X115,IF(AND($T115&lt;&gt;"",EDATE($D115,Milestones!$AA$108)&gt;=$T115),$W115,IF(AND($S115&lt;&gt;"",EDATE($D115,Milestones!$AA$108)&gt;=$S115),$V115,$U115)))=Milestones!$AB$108),UPPER(TEXT(EDATE($D115,Milestones!$AA$108),"dd mmm yy"))&amp;" "&amp;Milestones!$AB$108&amp;" "&amp;Milestones!$AC$108&amp;";  ","")&amp;IF(AND(EDATE($D115,Milestones!$AA$109)&lt;=AsOfDate,IF($R115=0,$X115,IF(AND($T115&lt;&gt;"",EDATE($D115,Milestones!$AA$109)&gt;=$T115),$W115,IF(AND($S115&lt;&gt;"",EDATE($D115,Milestones!$AA$109)&gt;=$S115),$V115,$U115)))=Milestones!$AB$109),UPPER(TEXT(EDATE($D115,Milestones!$AA$109),"dd mmm yy"))&amp;" "&amp;Milestones!$AB$109&amp;" "&amp;Milestones!$AC$109&amp;";  ","")&amp;IF(AND(EDATE($D115,Milestones!$AA$110)&lt;=AsOfDate,IF($R115=0,$X115,IF(AND($T115&lt;&gt;"",EDATE($D115,Milestones!$AA$110)&gt;=$T115),$W115,IF(AND($S115&lt;&gt;"",EDATE($D115,Milestones!$AA$110)&gt;=$S115),$V115,$U115)))=Milestones!$AB$110),UPPER(TEXT(EDATE($D115,Milestones!$AA$110),"dd mmm yy"))&amp;" "&amp;Milestones!$AB$110&amp;" "&amp;Milestones!$AC$110&amp;";  ","")&amp;IF(AND(EDATE($D115,Milestones!$AA$111)&lt;=AsOfDate,IF($R115=0,$X115,IF(AND($T115&lt;&gt;"",EDATE($D115,Milestones!$AA$111)&gt;=$T115),$W115,IF(AND($S115&lt;&gt;"",EDATE($D115,Milestones!$AA$111)&gt;=$S115),$V115,$U115)))=Milestones!$AB$111),UPPER(TEXT(EDATE($D115,Milestones!$AA$111),"dd mmm yy"))&amp;" "&amp;Milestones!$AB$111&amp;" "&amp;Milestones!$AC$111&amp;";  ","")&amp;IF(AND(EDATE($D115,Milestones!$AA$112)&lt;=AsOfDate,IF($R115=0,$X115,IF(AND($T115&lt;&gt;"",EDATE($D115,Milestones!$AA$112)&gt;=$T115),$W115,IF(AND($S115&lt;&gt;"",EDATE($D115,Milestones!$AA$112)&gt;=$S115),$V115,$U115)))=Milestones!$AB$112),UPPER(TEXT(EDATE($D115,Milestones!$AA$112),"dd mmm yy"))&amp;" "&amp;Milestones!$AB$112&amp;" "&amp;Milestones!$AC$112&amp;";  ","")&amp;IF(AND(EDATE($D115,Milestones!$AA$113)&lt;=AsOfDate,IF($R115=0,$X115,IF(AND($T115&lt;&gt;"",EDATE($D115,Milestones!$AA$113)&gt;=$T115),$W115,IF(AND($S115&lt;&gt;"",EDATE($D115,Milestones!$AA$113)&gt;=$S115),$V115,$U115)))=Milestones!$AB$113),UPPER(TEXT(EDATE($D115,Milestones!$AA$113),"dd mmm yy"))&amp;" "&amp;Milestones!$AB$113&amp;" "&amp;Milestones!$AC$113&amp;";  ","")&amp;IF(AND(EDATE($D115,Milestones!$AA$114)&lt;=AsOfDate,IF($R115=0,$X115,IF(AND($T115&lt;&gt;"",EDATE($D115,Milestones!$AA$114)&gt;=$T115),$W115,IF(AND($S115&lt;&gt;"",EDATE($D115,Milestones!$AA$114)&gt;=$S115),$V115,$U115)))=Milestones!$AB$114),UPPER(TEXT(EDATE($D115,Milestones!$AA$114),"dd mmm yy"))&amp;" "&amp;Milestones!$AB$114&amp;" "&amp;Milestones!$AC$114&amp;";  ","")&amp;IF(AND(EDATE($D115,Milestones!$AA$115)&lt;=AsOfDate,IF($R115=0,$X115,IF(AND($T115&lt;&gt;"",EDATE($D115,Milestones!$AA$115)&gt;=$T115),$W115,IF(AND($S115&lt;&gt;"",EDATE($D115,Milestones!$AA$115)&gt;=$S115),$V115,$U115)))=Milestones!$AB$115),UPPER(TEXT(EDATE($D115,Milestones!$AA$115),"dd mmm yy"))&amp;" "&amp;Milestones!$AB$115&amp;" "&amp;Milestones!$AC$115&amp;";  ","")&amp;IF(AND(EDATE($D115,Milestones!$AA$116)&lt;=AsOfDate,IF($R115=0,$X115,IF(AND($T115&lt;&gt;"",EDATE($D115,Milestones!$AA$116)&gt;=$T115),$W115,IF(AND($S115&lt;&gt;"",EDATE($D115,Milestones!$AA$116)&gt;=$S115),$V115,$U115)))=Milestones!$AB$116),UPPER(TEXT(EDATE($D115,Milestones!$AA$116),"dd mmm yy"))&amp;" "&amp;Milestones!$AB$116&amp;" "&amp;Milestones!$AC$116&amp;";  ","")&amp;IF(AND(EDATE($D115,Milestones!$AA$117)&lt;=AsOfDate,IF($R115=0,$X115,IF(AND($T115&lt;&gt;"",EDATE($D115,Milestones!$AA$117)&gt;=$T115),$W115,IF(AND($S115&lt;&gt;"",EDATE($D115,Milestones!$AA$117)&gt;=$S115),$V115,$U115)))=Milestones!$AB$117),UPPER(TEXT(EDATE($D115,Milestones!$AA$117),"dd mmm yy"))&amp;" "&amp;Milestones!$AB$117&amp;" "&amp;Milestones!$AC$117&amp;";  ","")&amp;IF(AND(EDATE($D115,Milestones!$AA$118)&lt;=AsOfDate,IF($R115=0,$X115,IF(AND($T115&lt;&gt;"",EDATE($D115,Milestones!$AA$118)&gt;=$T115),$W115,IF(AND($S115&lt;&gt;"",EDATE($D115,Milestones!$AA$118)&gt;=$S115),$V115,$U115)))=Milestones!$AB$118),UPPER(TEXT(EDATE($D115,Milestones!$AA$118),"dd mmm yy"))&amp;" "&amp;Milestones!$AB$118&amp;" "&amp;Milestones!$AC$118&amp;";  ","")&amp;IF(AND(EDATE($D115,Milestones!$AA$119)&lt;=AsOfDate,IF($R115=0,$X115,IF(AND($T115&lt;&gt;"",EDATE($D115,Milestones!$AA$119)&gt;=$T115),$W115,IF(AND($S115&lt;&gt;"",EDATE($D115,Milestones!$AA$119)&gt;=$S115),$V115,$U115)))=Milestones!$AB$119),UPPER(TEXT(EDATE($D115,Milestones!$AA$119),"dd mmm yy"))&amp;" "&amp;Milestones!$AB$119&amp;" "&amp;Milestones!$AC$119&amp;";  ",""))</f>
        <v/>
      </c>
      <c r="N115" s="0" t="str">
        <f aca="false">IF(OR($A115="",$D115=""),"",IF(AND(EDATE($D115,Milestones!$AA$120)&lt;=AsOfDate,IF($R115=0,$X115,IF(AND($T115&lt;&gt;"",EDATE($D115,Milestones!$AA$120)&gt;=$T115),$W115,IF(AND($S115&lt;&gt;"",EDATE($D115,Milestones!$AA$120)&gt;=$S115),$V115,$U115)))=Milestones!$AB$120),UPPER(TEXT(EDATE($D115,Milestones!$AA$120),"dd mmm yy"))&amp;" "&amp;Milestones!$AB$120&amp;" "&amp;Milestones!$AC$120&amp;";  ","")&amp;IF(AND(EDATE($D115,Milestones!$AA$121)&lt;=AsOfDate,IF($R115=0,$X115,IF(AND($T115&lt;&gt;"",EDATE($D115,Milestones!$AA$121)&gt;=$T115),$W115,IF(AND($S115&lt;&gt;"",EDATE($D115,Milestones!$AA$121)&gt;=$S115),$V115,$U115)))=Milestones!$AB$121),UPPER(TEXT(EDATE($D115,Milestones!$AA$121),"dd mmm yy"))&amp;" "&amp;Milestones!$AB$121&amp;" "&amp;Milestones!$AC$121&amp;";  ","")&amp;IF(AND(EDATE($D115,Milestones!$AA$122)&lt;=AsOfDate,IF($R115=0,$X115,IF(AND($T115&lt;&gt;"",EDATE($D115,Milestones!$AA$122)&gt;=$T115),$W115,IF(AND($S115&lt;&gt;"",EDATE($D115,Milestones!$AA$122)&gt;=$S115),$V115,$U115)))=Milestones!$AB$122),UPPER(TEXT(EDATE($D115,Milestones!$AA$122),"dd mmm yy"))&amp;" "&amp;Milestones!$AB$122&amp;" "&amp;Milestones!$AC$122&amp;";  ","")&amp;IF(AND(EDATE($D115,Milestones!$AA$123)&lt;=AsOfDate,IF($R115=0,$X115,IF(AND($T115&lt;&gt;"",EDATE($D115,Milestones!$AA$123)&gt;=$T115),$W115,IF(AND($S115&lt;&gt;"",EDATE($D115,Milestones!$AA$123)&gt;=$S115),$V115,$U115)))=Milestones!$AB$123),UPPER(TEXT(EDATE($D115,Milestones!$AA$123),"dd mmm yy"))&amp;" "&amp;Milestones!$AB$123&amp;" "&amp;Milestones!$AC$123&amp;";  ","")&amp;IF(AND(EDATE($D115,Milestones!$AA$124)&lt;=AsOfDate,IF($R115=0,$X115,IF(AND($T115&lt;&gt;"",EDATE($D115,Milestones!$AA$124)&gt;=$T115),$W115,IF(AND($S115&lt;&gt;"",EDATE($D115,Milestones!$AA$124)&gt;=$S115),$V115,$U115)))=Milestones!$AB$124),UPPER(TEXT(EDATE($D115,Milestones!$AA$124),"dd mmm yy"))&amp;" "&amp;Milestones!$AB$124&amp;" "&amp;Milestones!$AC$124&amp;";  ","")&amp;IF(AND(EDATE($D115,Milestones!$AA$125)&lt;=AsOfDate,IF($R115=0,$X115,IF(AND($T115&lt;&gt;"",EDATE($D115,Milestones!$AA$125)&gt;=$T115),$W115,IF(AND($S115&lt;&gt;"",EDATE($D115,Milestones!$AA$125)&gt;=$S115),$V115,$U115)))=Milestones!$AB$125),UPPER(TEXT(EDATE($D115,Milestones!$AA$125),"dd mmm yy"))&amp;" "&amp;Milestones!$AB$125&amp;" "&amp;Milestones!$AC$125&amp;";  ","")&amp;IF(AND(EDATE($D115,Milestones!$AA$126)&lt;=AsOfDate,IF($R115=0,$X115,IF(AND($T115&lt;&gt;"",EDATE($D115,Milestones!$AA$126)&gt;=$T115),$W115,IF(AND($S115&lt;&gt;"",EDATE($D115,Milestones!$AA$126)&gt;=$S115),$V115,$U115)))=Milestones!$AB$126),UPPER(TEXT(EDATE($D115,Milestones!$AA$126),"dd mmm yy"))&amp;" "&amp;Milestones!$AB$126&amp;" "&amp;Milestones!$AC$126&amp;";  ","")&amp;IF(AND(EDATE($D115,Milestones!$AA$127)&lt;=AsOfDate,IF($R115=0,$X115,IF(AND($T115&lt;&gt;"",EDATE($D115,Milestones!$AA$127)&gt;=$T115),$W115,IF(AND($S115&lt;&gt;"",EDATE($D115,Milestones!$AA$127)&gt;=$S115),$V115,$U115)))=Milestones!$AB$127),UPPER(TEXT(EDATE($D115,Milestones!$AA$127),"dd mmm yy"))&amp;" "&amp;Milestones!$AB$127&amp;" "&amp;Milestones!$AC$127&amp;";  ","")&amp;IF(AND(EDATE($D115,Milestones!$AA$128)&lt;=AsOfDate,IF($R115=0,$X115,IF(AND($T115&lt;&gt;"",EDATE($D115,Milestones!$AA$128)&gt;=$T115),$W115,IF(AND($S115&lt;&gt;"",EDATE($D115,Milestones!$AA$128)&gt;=$S115),$V115,$U115)))=Milestones!$AB$128),UPPER(TEXT(EDATE($D115,Milestones!$AA$128),"dd mmm yy"))&amp;" "&amp;Milestones!$AB$128&amp;" "&amp;Milestones!$AC$128&amp;";  ","")&amp;IF(AND(EDATE($D115,Milestones!$AA$129)&lt;=AsOfDate,IF($R115=0,$X115,IF(AND($T115&lt;&gt;"",EDATE($D115,Milestones!$AA$129)&gt;=$T115),$W115,IF(AND($S115&lt;&gt;"",EDATE($D115,Milestones!$AA$129)&gt;=$S115),$V115,$U115)))=Milestones!$AB$129),UPPER(TEXT(EDATE($D115,Milestones!$AA$129),"dd mmm yy"))&amp;" "&amp;Milestones!$AB$129&amp;" "&amp;Milestones!$AC$129&amp;";  ","")&amp;IF(AND(EDATE($D115,Milestones!$AA$130)&lt;=AsOfDate,IF($R115=0,$X115,IF(AND($T115&lt;&gt;"",EDATE($D115,Milestones!$AA$130)&gt;=$T115),$W115,IF(AND($S115&lt;&gt;"",EDATE($D115,Milestones!$AA$130)&gt;=$S115),$V115,$U115)))=Milestones!$AB$130),UPPER(TEXT(EDATE($D115,Milestones!$AA$130),"dd mmm yy"))&amp;" "&amp;Milestones!$AB$130&amp;" "&amp;Milestones!$AC$130&amp;";  ","")&amp;IF(AND(EDATE($D115,Milestones!$AA$131)&lt;=AsOfDate,IF($R115=0,$X115,IF(AND($T115&lt;&gt;"",EDATE($D115,Milestones!$AA$131)&gt;=$T115),$W115,IF(AND($S115&lt;&gt;"",EDATE($D115,Milestones!$AA$131)&gt;=$S115),$V115,$U115)))=Milestones!$AB$131),UPPER(TEXT(EDATE($D115,Milestones!$AA$131),"dd mmm yy"))&amp;" "&amp;Milestones!$AB$131&amp;" "&amp;Milestones!$AC$131&amp;";  ","")&amp;IF(AND(EDATE($D115,Milestones!$AA$132)&lt;=AsOfDate,IF($R115=0,$X115,IF(AND($T115&lt;&gt;"",EDATE($D115,Milestones!$AA$132)&gt;=$T115),$W115,IF(AND($S115&lt;&gt;"",EDATE($D115,Milestones!$AA$132)&gt;=$S115),$V115,$U115)))=Milestones!$AB$132),UPPER(TEXT(EDATE($D115,Milestones!$AA$132),"dd mmm yy"))&amp;" "&amp;Milestones!$AB$132&amp;" "&amp;Milestones!$AC$132&amp;";  ","")&amp;IF(AND(EDATE($D115,Milestones!$AA$133)&lt;=AsOfDate,IF($R115=0,$X115,IF(AND($T115&lt;&gt;"",EDATE($D115,Milestones!$AA$133)&gt;=$T115),$W115,IF(AND($S115&lt;&gt;"",EDATE($D115,Milestones!$AA$133)&gt;=$S115),$V115,$U115)))=Milestones!$AB$133),UPPER(TEXT(EDATE($D115,Milestones!$AA$133),"dd mmm yy"))&amp;" "&amp;Milestones!$AB$133&amp;" "&amp;Milestones!$AC$133&amp;";  ","")&amp;IF(AND(EDATE($D115,Milestones!$AA$134)&lt;=AsOfDate,IF($R115=0,$X115,IF(AND($T115&lt;&gt;"",EDATE($D115,Milestones!$AA$134)&gt;=$T115),$W115,IF(AND($S115&lt;&gt;"",EDATE($D115,Milestones!$AA$134)&gt;=$S115),$V115,$U115)))=Milestones!$AB$134),UPPER(TEXT(EDATE($D115,Milestones!$AA$134),"dd mmm yy"))&amp;" "&amp;Milestones!$AB$134&amp;" "&amp;Milestones!$AC$134&amp;";  ","")&amp;IF(AND(EDATE($D115,Milestones!$AA$135)&lt;=AsOfDate,IF($R115=0,$X115,IF(AND($T115&lt;&gt;"",EDATE($D115,Milestones!$AA$135)&gt;=$T115),$W115,IF(AND($S115&lt;&gt;"",EDATE($D115,Milestones!$AA$135)&gt;=$S115),$V115,$U115)))=Milestones!$AB$135),UPPER(TEXT(EDATE($D115,Milestones!$AA$135),"dd mmm yy"))&amp;" "&amp;Milestones!$AB$135&amp;" "&amp;Milestones!$AC$135&amp;";  ","")&amp;IF(AND(EDATE($D115,Milestones!$AA$136)&lt;=AsOfDate,IF($R115=0,$X115,IF(AND($T115&lt;&gt;"",EDATE($D115,Milestones!$AA$136)&gt;=$T115),$W115,IF(AND($S115&lt;&gt;"",EDATE($D115,Milestones!$AA$136)&gt;=$S115),$V115,$U115)))=Milestones!$AB$136),UPPER(TEXT(EDATE($D115,Milestones!$AA$136),"dd mmm yy"))&amp;" "&amp;Milestones!$AB$136&amp;" "&amp;Milestones!$AC$136&amp;";  ","")&amp;IF(AND(EDATE($D115,Milestones!$AA$137)&lt;=AsOfDate,IF($R115=0,$X115,IF(AND($T115&lt;&gt;"",EDATE($D115,Milestones!$AA$137)&gt;=$T115),$W115,IF(AND($S115&lt;&gt;"",EDATE($D115,Milestones!$AA$137)&gt;=$S115),$V115,$U115)))=Milestones!$AB$137),UPPER(TEXT(EDATE($D115,Milestones!$AA$137),"dd mmm yy"))&amp;" "&amp;Milestones!$AB$137&amp;" "&amp;Milestones!$AC$137&amp;";  ","")&amp;IF(AND(EDATE($D115,Milestones!$AA$138)&lt;=AsOfDate,IF($R115=0,$X115,IF(AND($T115&lt;&gt;"",EDATE($D115,Milestones!$AA$138)&gt;=$T115),$W115,IF(AND($S115&lt;&gt;"",EDATE($D115,Milestones!$AA$138)&gt;=$S115),$V115,$U115)))=Milestones!$AB$138),UPPER(TEXT(EDATE($D115,Milestones!$AA$138),"dd mmm yy"))&amp;" "&amp;Milestones!$AB$138&amp;" "&amp;Milestones!$AC$138&amp;";  ","")&amp;IF(AND(EDATE($D115,Milestones!$AA$139)&lt;=AsOfDate,IF($R115=0,$X115,IF(AND($T115&lt;&gt;"",EDATE($D115,Milestones!$AA$139)&gt;=$T115),$W115,IF(AND($S115&lt;&gt;"",EDATE($D115,Milestones!$AA$139)&gt;=$S115),$V115,$U115)))=Milestones!$AB$139),UPPER(TEXT(EDATE($D115,Milestones!$AA$139),"dd mmm yy"))&amp;" "&amp;Milestones!$AB$139&amp;" "&amp;Milestones!$AC$139&amp;";  ",""))</f>
        <v/>
      </c>
      <c r="O115" s="0" t="str">
        <f aca="false">IF(OR($A115="",$D115=""),"",IF(AND(EDATE($D115,Milestones!$AA$140)&lt;=AsOfDate,IF($R115=0,$X115,IF(AND($T115&lt;&gt;"",EDATE($D115,Milestones!$AA$140)&gt;=$T115),$W115,IF(AND($S115&lt;&gt;"",EDATE($D115,Milestones!$AA$140)&gt;=$S115),$V115,$U115)))=Milestones!$AB$140),UPPER(TEXT(EDATE($D115,Milestones!$AA$140),"dd mmm yy"))&amp;" "&amp;Milestones!$AB$140&amp;" "&amp;Milestones!$AC$140&amp;";  ","")&amp;IF(AND(EDATE($D115,Milestones!$AA$141)&lt;=AsOfDate,IF($R115=0,$X115,IF(AND($T115&lt;&gt;"",EDATE($D115,Milestones!$AA$141)&gt;=$T115),$W115,IF(AND($S115&lt;&gt;"",EDATE($D115,Milestones!$AA$141)&gt;=$S115),$V115,$U115)))=Milestones!$AB$141),UPPER(TEXT(EDATE($D115,Milestones!$AA$141),"dd mmm yy"))&amp;" "&amp;Milestones!$AB$141&amp;" "&amp;Milestones!$AC$141&amp;";  ","")&amp;IF(AND(EDATE($D115,Milestones!$AA$142)&lt;=AsOfDate,IF($R115=0,$X115,IF(AND($T115&lt;&gt;"",EDATE($D115,Milestones!$AA$142)&gt;=$T115),$W115,IF(AND($S115&lt;&gt;"",EDATE($D115,Milestones!$AA$142)&gt;=$S115),$V115,$U115)))=Milestones!$AB$142),UPPER(TEXT(EDATE($D115,Milestones!$AA$142),"dd mmm yy"))&amp;" "&amp;Milestones!$AB$142&amp;" "&amp;Milestones!$AC$142&amp;";  ","")&amp;IF(AND(EDATE($D115,Milestones!$AA$143)&lt;=AsOfDate,IF($R115=0,$X115,IF(AND($T115&lt;&gt;"",EDATE($D115,Milestones!$AA$143)&gt;=$T115),$W115,IF(AND($S115&lt;&gt;"",EDATE($D115,Milestones!$AA$143)&gt;=$S115),$V115,$U115)))=Milestones!$AB$143),UPPER(TEXT(EDATE($D115,Milestones!$AA$143),"dd mmm yy"))&amp;" "&amp;Milestones!$AB$143&amp;" "&amp;Milestones!$AC$143&amp;";  ","")&amp;IF(AND(EDATE($D115,Milestones!$AA$144)&lt;=AsOfDate,IF($R115=0,$X115,IF(AND($T115&lt;&gt;"",EDATE($D115,Milestones!$AA$144)&gt;=$T115),$W115,IF(AND($S115&lt;&gt;"",EDATE($D115,Milestones!$AA$144)&gt;=$S115),$V115,$U115)))=Milestones!$AB$144),UPPER(TEXT(EDATE($D115,Milestones!$AA$144),"dd mmm yy"))&amp;" "&amp;Milestones!$AB$144&amp;" "&amp;Milestones!$AC$144&amp;";  ","")&amp;IF(AND(EDATE($D115,Milestones!$AA$145)&lt;=AsOfDate,IF($R115=0,$X115,IF(AND($T115&lt;&gt;"",EDATE($D115,Milestones!$AA$145)&gt;=$T115),$W115,IF(AND($S115&lt;&gt;"",EDATE($D115,Milestones!$AA$145)&gt;=$S115),$V115,$U115)))=Milestones!$AB$145),UPPER(TEXT(EDATE($D115,Milestones!$AA$145),"dd mmm yy"))&amp;" "&amp;Milestones!$AB$145&amp;" "&amp;Milestones!$AC$145&amp;";  ","")&amp;IF(AND(EDATE($D115,Milestones!$AA$146)&lt;=AsOfDate,IF($R115=0,$X115,IF(AND($T115&lt;&gt;"",EDATE($D115,Milestones!$AA$146)&gt;=$T115),$W115,IF(AND($S115&lt;&gt;"",EDATE($D115,Milestones!$AA$146)&gt;=$S115),$V115,$U115)))=Milestones!$AB$146),UPPER(TEXT(EDATE($D115,Milestones!$AA$146),"dd mmm yy"))&amp;" "&amp;Milestones!$AB$146&amp;" "&amp;Milestones!$AC$146&amp;";  ","")&amp;IF(AND(EDATE($D115,Milestones!$AA$147)&lt;=AsOfDate,IF($R115=0,$X115,IF(AND($T115&lt;&gt;"",EDATE($D115,Milestones!$AA$147)&gt;=$T115),$W115,IF(AND($S115&lt;&gt;"",EDATE($D115,Milestones!$AA$147)&gt;=$S115),$V115,$U115)))=Milestones!$AB$147),UPPER(TEXT(EDATE($D115,Milestones!$AA$147),"dd mmm yy"))&amp;" "&amp;Milestones!$AB$147&amp;" "&amp;Milestones!$AC$147&amp;";  ","")&amp;IF(AND(EDATE($D115,Milestones!$AA$148)&lt;=AsOfDate,IF($R115=0,$X115,IF(AND($T115&lt;&gt;"",EDATE($D115,Milestones!$AA$148)&gt;=$T115),$W115,IF(AND($S115&lt;&gt;"",EDATE($D115,Milestones!$AA$148)&gt;=$S115),$V115,$U115)))=Milestones!$AB$148),UPPER(TEXT(EDATE($D115,Milestones!$AA$148),"dd mmm yy"))&amp;" "&amp;Milestones!$AB$148&amp;" "&amp;Milestones!$AC$148&amp;";  ","")&amp;IF(AND(EDATE($D115,Milestones!$AA$149)&lt;=AsOfDate,IF($R115=0,$X115,IF(AND($T115&lt;&gt;"",EDATE($D115,Milestones!$AA$149)&gt;=$T115),$W115,IF(AND($S115&lt;&gt;"",EDATE($D115,Milestones!$AA$149)&gt;=$S115),$V115,$U115)))=Milestones!$AB$149),UPPER(TEXT(EDATE($D115,Milestones!$AA$149),"dd mmm yy"))&amp;" "&amp;Milestones!$AB$149&amp;" "&amp;Milestones!$AC$149&amp;";  ","")&amp;IF(AND(EDATE($D115,Milestones!$AA$150)&lt;=AsOfDate,IF($R115=0,$X115,IF(AND($T115&lt;&gt;"",EDATE($D115,Milestones!$AA$150)&gt;=$T115),$W115,IF(AND($S115&lt;&gt;"",EDATE($D115,Milestones!$AA$150)&gt;=$S115),$V115,$U115)))=Milestones!$AB$150),UPPER(TEXT(EDATE($D115,Milestones!$AA$150),"dd mmm yy"))&amp;" "&amp;Milestones!$AB$150&amp;" "&amp;Milestones!$AC$150&amp;";  ","")&amp;IF(AND(EDATE($D115,Milestones!$AA$151)&lt;=AsOfDate,IF($R115=0,$X115,IF(AND($T115&lt;&gt;"",EDATE($D115,Milestones!$AA$151)&gt;=$T115),$W115,IF(AND($S115&lt;&gt;"",EDATE($D115,Milestones!$AA$151)&gt;=$S115),$V115,$U115)))=Milestones!$AB$151),UPPER(TEXT(EDATE($D115,Milestones!$AA$151),"dd mmm yy"))&amp;" "&amp;Milestones!$AB$151&amp;" "&amp;Milestones!$AC$151&amp;";  ","")&amp;IF(AND(EDATE($D115,Milestones!$AA$152)&lt;=AsOfDate,IF($R115=0,$X115,IF(AND($T115&lt;&gt;"",EDATE($D115,Milestones!$AA$152)&gt;=$T115),$W115,IF(AND($S115&lt;&gt;"",EDATE($D115,Milestones!$AA$152)&gt;=$S115),$V115,$U115)))=Milestones!$AB$152),UPPER(TEXT(EDATE($D115,Milestones!$AA$152),"dd mmm yy"))&amp;" "&amp;Milestones!$AB$152&amp;" "&amp;Milestones!$AC$152&amp;";  ","")&amp;IF(AND(EDATE($D115,Milestones!$AA$153)&lt;=AsOfDate,IF($R115=0,$X115,IF(AND($T115&lt;&gt;"",EDATE($D115,Milestones!$AA$153)&gt;=$T115),$W115,IF(AND($S115&lt;&gt;"",EDATE($D115,Milestones!$AA$153)&gt;=$S115),$V115,$U115)))=Milestones!$AB$153),UPPER(TEXT(EDATE($D115,Milestones!$AA$153),"dd mmm yy"))&amp;" "&amp;Milestones!$AB$153&amp;" "&amp;Milestones!$AC$153&amp;";  ","")&amp;IF(AND(EDATE($D115,Milestones!$AA$154)&lt;=AsOfDate,IF($R115=0,$X115,IF(AND($T115&lt;&gt;"",EDATE($D115,Milestones!$AA$154)&gt;=$T115),$W115,IF(AND($S115&lt;&gt;"",EDATE($D115,Milestones!$AA$154)&gt;=$S115),$V115,$U115)))=Milestones!$AB$154),UPPER(TEXT(EDATE($D115,Milestones!$AA$154),"dd mmm yy"))&amp;" "&amp;Milestones!$AB$154&amp;" "&amp;Milestones!$AC$154&amp;";  ","")&amp;IF(AND(EDATE($D115,Milestones!$AA$155)&lt;=AsOfDate,IF($R115=0,$X115,IF(AND($T115&lt;&gt;"",EDATE($D115,Milestones!$AA$155)&gt;=$T115),$W115,IF(AND($S115&lt;&gt;"",EDATE($D115,Milestones!$AA$155)&gt;=$S115),$V115,$U115)))=Milestones!$AB$155),UPPER(TEXT(EDATE($D115,Milestones!$AA$155),"dd mmm yy"))&amp;" "&amp;Milestones!$AB$155&amp;" "&amp;Milestones!$AC$155&amp;";  ","")&amp;IF(AND(EDATE($D115,Milestones!$AA$156)&lt;=AsOfDate,IF($R115=0,$X115,IF(AND($T115&lt;&gt;"",EDATE($D115,Milestones!$AA$156)&gt;=$T115),$W115,IF(AND($S115&lt;&gt;"",EDATE($D115,Milestones!$AA$156)&gt;=$S115),$V115,$U115)))=Milestones!$AB$156),UPPER(TEXT(EDATE($D115,Milestones!$AA$156),"dd mmm yy"))&amp;" "&amp;Milestones!$AB$156&amp;" "&amp;Milestones!$AC$156&amp;";  ","")&amp;IF(AND(EDATE($D115,Milestones!$AA$157)&lt;=AsOfDate,IF($R115=0,$X115,IF(AND($T115&lt;&gt;"",EDATE($D115,Milestones!$AA$157)&gt;=$T115),$W115,IF(AND($S115&lt;&gt;"",EDATE($D115,Milestones!$AA$157)&gt;=$S115),$V115,$U115)))=Milestones!$AB$157),UPPER(TEXT(EDATE($D115,Milestones!$AA$157),"dd mmm yy"))&amp;" "&amp;Milestones!$AB$157&amp;" "&amp;Milestones!$AC$157&amp;";  ","")&amp;IF(AND(EDATE($D115,Milestones!$AA$158)&lt;=AsOfDate,IF($R115=0,$X115,IF(AND($T115&lt;&gt;"",EDATE($D115,Milestones!$AA$158)&gt;=$T115),$W115,IF(AND($S115&lt;&gt;"",EDATE($D115,Milestones!$AA$158)&gt;=$S115),$V115,$U115)))=Milestones!$AB$158),UPPER(TEXT(EDATE($D115,Milestones!$AA$158),"dd mmm yy"))&amp;" "&amp;Milestones!$AB$158&amp;" "&amp;Milestones!$AC$158&amp;";  ","")&amp;IF(AND(EDATE($D115,Milestones!$AA$159)&lt;=AsOfDate,IF($R115=0,$X115,IF(AND($T115&lt;&gt;"",EDATE($D115,Milestones!$AA$159)&gt;=$T115),$W115,IF(AND($S115&lt;&gt;"",EDATE($D115,Milestones!$AA$159)&gt;=$S115),$V115,$U115)))=Milestones!$AB$159),UPPER(TEXT(EDATE($D115,Milestones!$AA$159),"dd mmm yy"))&amp;" "&amp;Milestones!$AB$159&amp;" "&amp;Milestones!$AC$159&amp;";  ",""))</f>
        <v/>
      </c>
      <c r="P115" s="0" t="str">
        <f aca="false">IF(OR($A115="",$D115=""),"",IF(AND(EDATE($D115,Milestones!$AA$160)&lt;=AsOfDate,IF($R115=0,$X115,IF(AND($T115&lt;&gt;"",EDATE($D115,Milestones!$AA$160)&gt;=$T115),$W115,IF(AND($S115&lt;&gt;"",EDATE($D115,Milestones!$AA$160)&gt;=$S115),$V115,$U115)))=Milestones!$AB$160),UPPER(TEXT(EDATE($D115,Milestones!$AA$160),"dd mmm yy"))&amp;" "&amp;Milestones!$AB$160&amp;" "&amp;Milestones!$AC$160&amp;";  ","")&amp;IF(AND(EDATE($D115,Milestones!$AA$161)&lt;=AsOfDate,IF($R115=0,$X115,IF(AND($T115&lt;&gt;"",EDATE($D115,Milestones!$AA$161)&gt;=$T115),$W115,IF(AND($S115&lt;&gt;"",EDATE($D115,Milestones!$AA$161)&gt;=$S115),$V115,$U115)))=Milestones!$AB$161),UPPER(TEXT(EDATE($D115,Milestones!$AA$161),"dd mmm yy"))&amp;" "&amp;Milestones!$AB$161&amp;" "&amp;Milestones!$AC$161&amp;";  ","")&amp;IF(AND(EDATE($D115,Milestones!$AA$162)&lt;=AsOfDate,IF($R115=0,$X115,IF(AND($T115&lt;&gt;"",EDATE($D115,Milestones!$AA$162)&gt;=$T115),$W115,IF(AND($S115&lt;&gt;"",EDATE($D115,Milestones!$AA$162)&gt;=$S115),$V115,$U115)))=Milestones!$AB$162),UPPER(TEXT(EDATE($D115,Milestones!$AA$162),"dd mmm yy"))&amp;" "&amp;Milestones!$AB$162&amp;" "&amp;Milestones!$AC$162&amp;";  ","")&amp;IF(AND(EDATE($D115,Milestones!$AA$163)&lt;=AsOfDate,IF($R115=0,$X115,IF(AND($T115&lt;&gt;"",EDATE($D115,Milestones!$AA$163)&gt;=$T115),$W115,IF(AND($S115&lt;&gt;"",EDATE($D115,Milestones!$AA$163)&gt;=$S115),$V115,$U115)))=Milestones!$AB$163),UPPER(TEXT(EDATE($D115,Milestones!$AA$163),"dd mmm yy"))&amp;" "&amp;Milestones!$AB$163&amp;" "&amp;Milestones!$AC$163&amp;";  ","")&amp;IF(AND(EDATE($D115,Milestones!$AA$164)&lt;=AsOfDate,IF($R115=0,$X115,IF(AND($T115&lt;&gt;"",EDATE($D115,Milestones!$AA$164)&gt;=$T115),$W115,IF(AND($S115&lt;&gt;"",EDATE($D115,Milestones!$AA$164)&gt;=$S115),$V115,$U115)))=Milestones!$AB$164),UPPER(TEXT(EDATE($D115,Milestones!$AA$164),"dd mmm yy"))&amp;" "&amp;Milestones!$AB$164&amp;" "&amp;Milestones!$AC$164&amp;";  ","")&amp;IF(AND(EDATE($D115,Milestones!$AA$165)&lt;=AsOfDate,IF($R115=0,$X115,IF(AND($T115&lt;&gt;"",EDATE($D115,Milestones!$AA$165)&gt;=$T115),$W115,IF(AND($S115&lt;&gt;"",EDATE($D115,Milestones!$AA$165)&gt;=$S115),$V115,$U115)))=Milestones!$AB$165),UPPER(TEXT(EDATE($D115,Milestones!$AA$165),"dd mmm yy"))&amp;" "&amp;Milestones!$AB$165&amp;" "&amp;Milestones!$AC$165&amp;";  ","")&amp;IF(AND(EDATE($D115,Milestones!$AA$166)&lt;=AsOfDate,IF($R115=0,$X115,IF(AND($T115&lt;&gt;"",EDATE($D115,Milestones!$AA$166)&gt;=$T115),$W115,IF(AND($S115&lt;&gt;"",EDATE($D115,Milestones!$AA$166)&gt;=$S115),$V115,$U115)))=Milestones!$AB$166),UPPER(TEXT(EDATE($D115,Milestones!$AA$166),"dd mmm yy"))&amp;" "&amp;Milestones!$AB$166&amp;" "&amp;Milestones!$AC$166&amp;";  ","")&amp;IF(AND(EDATE($D115,Milestones!$AA$167)&lt;=AsOfDate,IF($R115=0,$X115,IF(AND($T115&lt;&gt;"",EDATE($D115,Milestones!$AA$167)&gt;=$T115),$W115,IF(AND($S115&lt;&gt;"",EDATE($D115,Milestones!$AA$167)&gt;=$S115),$V115,$U115)))=Milestones!$AB$167),UPPER(TEXT(EDATE($D115,Milestones!$AA$167),"dd mmm yy"))&amp;" "&amp;Milestones!$AB$167&amp;" "&amp;Milestones!$AC$167&amp;";  ","")&amp;IF(AND(EDATE($D115,Milestones!$AA$168)&lt;=AsOfDate,IF($R115=0,$X115,IF(AND($T115&lt;&gt;"",EDATE($D115,Milestones!$AA$168)&gt;=$T115),$W115,IF(AND($S115&lt;&gt;"",EDATE($D115,Milestones!$AA$168)&gt;=$S115),$V115,$U115)))=Milestones!$AB$168),UPPER(TEXT(EDATE($D115,Milestones!$AA$168),"dd mmm yy"))&amp;" "&amp;Milestones!$AB$168&amp;" "&amp;Milestones!$AC$168&amp;";  ","")&amp;IF(AND(EDATE($D115,Milestones!$AA$169)&lt;=AsOfDate,IF($R115=0,$X115,IF(AND($T115&lt;&gt;"",EDATE($D115,Milestones!$AA$169)&gt;=$T115),$W115,IF(AND($S115&lt;&gt;"",EDATE($D115,Milestones!$AA$169)&gt;=$S115),$V115,$U115)))=Milestones!$AB$169),UPPER(TEXT(EDATE($D115,Milestones!$AA$169),"dd mmm yy"))&amp;" "&amp;Milestones!$AB$169&amp;" "&amp;Milestones!$AC$169&amp;";  ","")&amp;IF(AND(EDATE($D115,Milestones!$AA$170)&lt;=AsOfDate,IF($R115=0,$X115,IF(AND($T115&lt;&gt;"",EDATE($D115,Milestones!$AA$170)&gt;=$T115),$W115,IF(AND($S115&lt;&gt;"",EDATE($D115,Milestones!$AA$170)&gt;=$S115),$V115,$U115)))=Milestones!$AB$170),UPPER(TEXT(EDATE($D115,Milestones!$AA$170),"dd mmm yy"))&amp;" "&amp;Milestones!$AB$170&amp;" "&amp;Milestones!$AC$170&amp;";  ","")&amp;IF(AND(EDATE($D115,Milestones!$AA$171)&lt;=AsOfDate,IF($R115=0,$X115,IF(AND($T115&lt;&gt;"",EDATE($D115,Milestones!$AA$171)&gt;=$T115),$W115,IF(AND($S115&lt;&gt;"",EDATE($D115,Milestones!$AA$171)&gt;=$S115),$V115,$U115)))=Milestones!$AB$171),UPPER(TEXT(EDATE($D115,Milestones!$AA$171),"dd mmm yy"))&amp;" "&amp;Milestones!$AB$171&amp;" "&amp;Milestones!$AC$171&amp;";  ","")&amp;IF(AND(EDATE($D115,Milestones!$AA$172)&lt;=AsOfDate,IF($R115=0,$X115,IF(AND($T115&lt;&gt;"",EDATE($D115,Milestones!$AA$172)&gt;=$T115),$W115,IF(AND($S115&lt;&gt;"",EDATE($D115,Milestones!$AA$172)&gt;=$S115),$V115,$U115)))=Milestones!$AB$172),UPPER(TEXT(EDATE($D115,Milestones!$AA$172),"dd mmm yy"))&amp;" "&amp;Milestones!$AB$172&amp;" "&amp;Milestones!$AC$172&amp;";  ","")&amp;IF(AND(EDATE($D115,Milestones!$AA$173)&lt;=AsOfDate,IF($R115=0,$X115,IF(AND($T115&lt;&gt;"",EDATE($D115,Milestones!$AA$173)&gt;=$T115),$W115,IF(AND($S115&lt;&gt;"",EDATE($D115,Milestones!$AA$173)&gt;=$S115),$V115,$U115)))=Milestones!$AB$173),UPPER(TEXT(EDATE($D115,Milestones!$AA$173),"dd mmm yy"))&amp;" "&amp;Milestones!$AB$173&amp;" "&amp;Milestones!$AC$173&amp;";  ","")&amp;IF(AND(EDATE($D115,Milestones!$AA$174)&lt;=AsOfDate,IF($R115=0,$X115,IF(AND($T115&lt;&gt;"",EDATE($D115,Milestones!$AA$174)&gt;=$T115),$W115,IF(AND($S115&lt;&gt;"",EDATE($D115,Milestones!$AA$174)&gt;=$S115),$V115,$U115)))=Milestones!$AB$174),UPPER(TEXT(EDATE($D115,Milestones!$AA$174),"dd mmm yy"))&amp;" "&amp;Milestones!$AB$174&amp;" "&amp;Milestones!$AC$174&amp;";  ","")&amp;IF(AND(EDATE($D115,Milestones!$AA$175)&lt;=AsOfDate,IF($R115=0,$X115,IF(AND($T115&lt;&gt;"",EDATE($D115,Milestones!$AA$175)&gt;=$T115),$W115,IF(AND($S115&lt;&gt;"",EDATE($D115,Milestones!$AA$175)&gt;=$S115),$V115,$U115)))=Milestones!$AB$175),UPPER(TEXT(EDATE($D115,Milestones!$AA$175),"dd mmm yy"))&amp;" "&amp;Milestones!$AB$175&amp;" "&amp;Milestones!$AC$175&amp;";  ","")&amp;IF(AND(EDATE($D115,Milestones!$AA$176)&lt;=AsOfDate,IF($R115=0,$X115,IF(AND($T115&lt;&gt;"",EDATE($D115,Milestones!$AA$176)&gt;=$T115),$W115,IF(AND($S115&lt;&gt;"",EDATE($D115,Milestones!$AA$176)&gt;=$S115),$V115,$U115)))=Milestones!$AB$176),UPPER(TEXT(EDATE($D115,Milestones!$AA$176),"dd mmm yy"))&amp;" "&amp;Milestones!$AB$176&amp;" "&amp;Milestones!$AC$176&amp;";  ","")&amp;IF(AND(EDATE($D115,Milestones!$AA$177)&lt;=AsOfDate,IF($R115=0,$X115,IF(AND($T115&lt;&gt;"",EDATE($D115,Milestones!$AA$177)&gt;=$T115),$W115,IF(AND($S115&lt;&gt;"",EDATE($D115,Milestones!$AA$177)&gt;=$S115),$V115,$U115)))=Milestones!$AB$177),UPPER(TEXT(EDATE($D115,Milestones!$AA$177),"dd mmm yy"))&amp;" "&amp;Milestones!$AB$177&amp;" "&amp;Milestones!$AC$177&amp;";  ","")&amp;IF(AND(EDATE($D115,Milestones!$AA$178)&lt;=AsOfDate,IF($R115=0,$X115,IF(AND($T115&lt;&gt;"",EDATE($D115,Milestones!$AA$178)&gt;=$T115),$W115,IF(AND($S115&lt;&gt;"",EDATE($D115,Milestones!$AA$178)&gt;=$S115),$V115,$U115)))=Milestones!$AB$178),UPPER(TEXT(EDATE($D115,Milestones!$AA$178),"dd mmm yy"))&amp;" "&amp;Milestones!$AB$178&amp;" "&amp;Milestones!$AC$178&amp;";  ","")&amp;IF(AND(EDATE($D115,Milestones!$AA$179)&lt;=AsOfDate,IF($R115=0,$X115,IF(AND($T115&lt;&gt;"",EDATE($D115,Milestones!$AA$179)&gt;=$T115),$W115,IF(AND($S115&lt;&gt;"",EDATE($D115,Milestones!$AA$179)&gt;=$S115),$V115,$U115)))=Milestones!$AB$179),UPPER(TEXT(EDATE($D115,Milestones!$AA$179),"dd mmm yy"))&amp;" "&amp;Milestones!$AB$179&amp;" "&amp;Milestones!$AC$179&amp;";  ",""))</f>
        <v/>
      </c>
      <c r="Q115" s="0" t="str">
        <f aca="false">IF(OR($A115="",$D115=""),"",IF(AND(EDATE($D115,Milestones!$AA$180)&lt;=AsOfDate,IF($R115=0,$X115,IF(AND($T115&lt;&gt;"",EDATE($D115,Milestones!$AA$180)&gt;=$T115),$W115,IF(AND($S115&lt;&gt;"",EDATE($D115,Milestones!$AA$180)&gt;=$S115),$V115,$U115)))=Milestones!$AB$180),UPPER(TEXT(EDATE($D115,Milestones!$AA$180),"dd mmm yy"))&amp;" "&amp;Milestones!$AB$180&amp;" "&amp;Milestones!$AC$180&amp;";  ","")&amp;IF(AND(EDATE($D115,Milestones!$AA$181)&lt;=AsOfDate,IF($R115=0,$X115,IF(AND($T115&lt;&gt;"",EDATE($D115,Milestones!$AA$181)&gt;=$T115),$W115,IF(AND($S115&lt;&gt;"",EDATE($D115,Milestones!$AA$181)&gt;=$S115),$V115,$U115)))=Milestones!$AB$181),UPPER(TEXT(EDATE($D115,Milestones!$AA$181),"dd mmm yy"))&amp;" "&amp;Milestones!$AB$181&amp;" "&amp;Milestones!$AC$181&amp;";  ","")&amp;IF(AND(EDATE($D115,Milestones!$AA$182)&lt;=AsOfDate,IF($R115=0,$X115,IF(AND($T115&lt;&gt;"",EDATE($D115,Milestones!$AA$182)&gt;=$T115),$W115,IF(AND($S115&lt;&gt;"",EDATE($D115,Milestones!$AA$182)&gt;=$S115),$V115,$U115)))=Milestones!$AB$182),UPPER(TEXT(EDATE($D115,Milestones!$AA$182),"dd mmm yy"))&amp;" "&amp;Milestones!$AB$182&amp;" "&amp;Milestones!$AC$182&amp;";  ","")&amp;IF(AND(EDATE($D115,Milestones!$AA$183)&lt;=AsOfDate,IF($R115=0,$X115,IF(AND($T115&lt;&gt;"",EDATE($D115,Milestones!$AA$183)&gt;=$T115),$W115,IF(AND($S115&lt;&gt;"",EDATE($D115,Milestones!$AA$183)&gt;=$S115),$V115,$U115)))=Milestones!$AB$183),UPPER(TEXT(EDATE($D115,Milestones!$AA$183),"dd mmm yy"))&amp;" "&amp;Milestones!$AB$183&amp;" "&amp;Milestones!$AC$183&amp;";  ","")&amp;IF(AND(EDATE($D115,Milestones!$AA$184)&lt;=AsOfDate,IF($R115=0,$X115,IF(AND($T115&lt;&gt;"",EDATE($D115,Milestones!$AA$184)&gt;=$T115),$W115,IF(AND($S115&lt;&gt;"",EDATE($D115,Milestones!$AA$184)&gt;=$S115),$V115,$U115)))=Milestones!$AB$184),UPPER(TEXT(EDATE($D115,Milestones!$AA$184),"dd mmm yy"))&amp;" "&amp;Milestones!$AB$184&amp;" "&amp;Milestones!$AC$184&amp;";  ","")&amp;IF(AND(EDATE($D115,Milestones!$AA$185)&lt;=AsOfDate,IF($R115=0,$X115,IF(AND($T115&lt;&gt;"",EDATE($D115,Milestones!$AA$185)&gt;=$T115),$W115,IF(AND($S115&lt;&gt;"",EDATE($D115,Milestones!$AA$185)&gt;=$S115),$V115,$U115)))=Milestones!$AB$185),UPPER(TEXT(EDATE($D115,Milestones!$AA$185),"dd mmm yy"))&amp;" "&amp;Milestones!$AB$185&amp;" "&amp;Milestones!$AC$185&amp;";  ","")&amp;IF(AND(EDATE($D115,Milestones!$AA$186)&lt;=AsOfDate,IF($R115=0,$X115,IF(AND($T115&lt;&gt;"",EDATE($D115,Milestones!$AA$186)&gt;=$T115),$W115,IF(AND($S115&lt;&gt;"",EDATE($D115,Milestones!$AA$186)&gt;=$S115),$V115,$U115)))=Milestones!$AB$186),UPPER(TEXT(EDATE($D115,Milestones!$AA$186),"dd mmm yy"))&amp;" "&amp;Milestones!$AB$186&amp;" "&amp;Milestones!$AC$186&amp;";  ","")&amp;IF(AND(EDATE($D115,Milestones!$AA$187)&lt;=AsOfDate,IF($R115=0,$X115,IF(AND($T115&lt;&gt;"",EDATE($D115,Milestones!$AA$187)&gt;=$T115),$W115,IF(AND($S115&lt;&gt;"",EDATE($D115,Milestones!$AA$187)&gt;=$S115),$V115,$U115)))=Milestones!$AB$187),UPPER(TEXT(EDATE($D115,Milestones!$AA$187),"dd mmm yy"))&amp;" "&amp;Milestones!$AB$187&amp;" "&amp;Milestones!$AC$187&amp;";  ","")&amp;IF(AND(EDATE($D115,Milestones!$AA$188)&lt;=AsOfDate,IF($R115=0,$X115,IF(AND($T115&lt;&gt;"",EDATE($D115,Milestones!$AA$188)&gt;=$T115),$W115,IF(AND($S115&lt;&gt;"",EDATE($D115,Milestones!$AA$188)&gt;=$S115),$V115,$U115)))=Milestones!$AB$188),UPPER(TEXT(EDATE($D115,Milestones!$AA$188),"dd mmm yy"))&amp;" "&amp;Milestones!$AB$188&amp;" "&amp;Milestones!$AC$188&amp;";  ","")&amp;IF(AND(EDATE($D115,Milestones!$AA$189)&lt;=AsOfDate,IF($R115=0,$X115,IF(AND($T115&lt;&gt;"",EDATE($D115,Milestones!$AA$189)&gt;=$T115),$W115,IF(AND($S115&lt;&gt;"",EDATE($D115,Milestones!$AA$189)&gt;=$S115),$V115,$U115)))=Milestones!$AB$189),UPPER(TEXT(EDATE($D115,Milestones!$AA$189),"dd mmm yy"))&amp;" "&amp;Milestones!$AB$189&amp;" "&amp;Milestones!$AC$189&amp;";  ","")&amp;IF(AND(EDATE($D115,Milestones!$AA$190)&lt;=AsOfDate,IF($R115=0,$X115,IF(AND($T115&lt;&gt;"",EDATE($D115,Milestones!$AA$190)&gt;=$T115),$W115,IF(AND($S115&lt;&gt;"",EDATE($D115,Milestones!$AA$190)&gt;=$S115),$V115,$U115)))=Milestones!$AB$190),UPPER(TEXT(EDATE($D115,Milestones!$AA$190),"dd mmm yy"))&amp;" "&amp;Milestones!$AB$190&amp;" "&amp;Milestones!$AC$190&amp;";  ","")&amp;IF(AND(EDATE($D115,Milestones!$AA$191)&lt;=AsOfDate,IF($R115=0,$X115,IF(AND($T115&lt;&gt;"",EDATE($D115,Milestones!$AA$191)&gt;=$T115),$W115,IF(AND($S115&lt;&gt;"",EDATE($D115,Milestones!$AA$191)&gt;=$S115),$V115,$U115)))=Milestones!$AB$191),UPPER(TEXT(EDATE($D115,Milestones!$AA$191),"dd mmm yy"))&amp;" "&amp;Milestones!$AB$191&amp;" "&amp;Milestones!$AC$191&amp;";  ","")&amp;IF(AND(EDATE($D115,Milestones!$AA$192)&lt;=AsOfDate,IF($R115=0,$X115,IF(AND($T115&lt;&gt;"",EDATE($D115,Milestones!$AA$192)&gt;=$T115),$W115,IF(AND($S115&lt;&gt;"",EDATE($D115,Milestones!$AA$192)&gt;=$S115),$V115,$U115)))=Milestones!$AB$192),UPPER(TEXT(EDATE($D115,Milestones!$AA$192),"dd mmm yy"))&amp;" "&amp;Milestones!$AB$192&amp;" "&amp;Milestones!$AC$192&amp;";  ","")&amp;IF(AND(EDATE($D115,Milestones!$AA$193)&lt;=AsOfDate,IF($R115=0,$X115,IF(AND($T115&lt;&gt;"",EDATE($D115,Milestones!$AA$193)&gt;=$T115),$W115,IF(AND($S115&lt;&gt;"",EDATE($D115,Milestones!$AA$193)&gt;=$S115),$V115,$U115)))=Milestones!$AB$193),UPPER(TEXT(EDATE($D115,Milestones!$AA$193),"dd mmm yy"))&amp;" "&amp;Milestones!$AB$193&amp;" "&amp;Milestones!$AC$193&amp;";  ","")&amp;IF(AND(EDATE($D115,Milestones!$AA$194)&lt;=AsOfDate,IF($R115=0,$X115,IF(AND($T115&lt;&gt;"",EDATE($D115,Milestones!$AA$194)&gt;=$T115),$W115,IF(AND($S115&lt;&gt;"",EDATE($D115,Milestones!$AA$194)&gt;=$S115),$V115,$U115)))=Milestones!$AB$194),UPPER(TEXT(EDATE($D115,Milestones!$AA$194),"dd mmm yy"))&amp;" "&amp;Milestones!$AB$194&amp;" "&amp;Milestones!$AC$194&amp;";  ","")&amp;IF(AND(EDATE($D115,Milestones!$AA$195)&lt;=AsOfDate,IF($R115=0,$X115,IF(AND($T115&lt;&gt;"",EDATE($D115,Milestones!$AA$195)&gt;=$T115),$W115,IF(AND($S115&lt;&gt;"",EDATE($D115,Milestones!$AA$195)&gt;=$S115),$V115,$U115)))=Milestones!$AB$195),UPPER(TEXT(EDATE($D115,Milestones!$AA$195),"dd mmm yy"))&amp;" "&amp;Milestones!$AB$195&amp;" "&amp;Milestones!$AC$195&amp;";  ","")&amp;IF(AND(EDATE($D115,Milestones!$AA$196)&lt;=AsOfDate,IF($R115=0,$X115,IF(AND($T115&lt;&gt;"",EDATE($D115,Milestones!$AA$196)&gt;=$T115),$W115,IF(AND($S115&lt;&gt;"",EDATE($D115,Milestones!$AA$196)&gt;=$S115),$V115,$U115)))=Milestones!$AB$196),UPPER(TEXT(EDATE($D115,Milestones!$AA$196),"dd mmm yy"))&amp;" "&amp;Milestones!$AB$196&amp;" "&amp;Milestones!$AC$196&amp;";  ","")&amp;IF(AND(EDATE($D115,Milestones!$AA$197)&lt;=AsOfDate,IF($R115=0,$X115,IF(AND($T115&lt;&gt;"",EDATE($D115,Milestones!$AA$197)&gt;=$T115),$W115,IF(AND($S115&lt;&gt;"",EDATE($D115,Milestones!$AA$197)&gt;=$S115),$V115,$U115)))=Milestones!$AB$197),UPPER(TEXT(EDATE($D115,Milestones!$AA$197),"dd mmm yy"))&amp;" "&amp;Milestones!$AB$197&amp;" "&amp;Milestones!$AC$197&amp;";  ","")&amp;IF(AND(EDATE($D115,Milestones!$AA$198)&lt;=AsOfDate,IF($R115=0,$X115,IF(AND($T115&lt;&gt;"",EDATE($D115,Milestones!$AA$198)&gt;=$T115),$W115,IF(AND($S115&lt;&gt;"",EDATE($D115,Milestones!$AA$198)&gt;=$S115),$V115,$U115)))=Milestones!$AB$198),UPPER(TEXT(EDATE($D115,Milestones!$AA$198),"dd mmm yy"))&amp;" "&amp;Milestones!$AB$198&amp;" "&amp;Milestones!$AC$198&amp;";  ","")&amp;IF(AND(EDATE($D115,Milestones!$AA$199)&lt;=AsOfDate,IF($R115=0,$X115,IF(AND($T115&lt;&gt;"",EDATE($D115,Milestones!$AA$199)&gt;=$T115),$W115,IF(AND($S115&lt;&gt;"",EDATE($D115,Milestones!$AA$199)&gt;=$S115),$V115,$U115)))=Milestones!$AB$199),UPPER(TEXT(EDATE($D115,Milestones!$AA$199),"dd mmm yy"))&amp;" "&amp;Milestones!$AB$199&amp;" "&amp;Milestones!$AC$199&amp;";  ",""))</f>
        <v/>
      </c>
      <c r="R115" s="0" t="str">
        <f aca="false">IF(Staff!$A115="","",Staff!$AI115)</f>
        <v/>
      </c>
      <c r="S115" s="0" t="str">
        <f aca="false">IF(Staff!$A115="","",Staff!$AK115)</f>
        <v/>
      </c>
      <c r="T115" s="0" t="str">
        <f aca="false">IF(Staff!$A115="","",Staff!$AL115)</f>
        <v/>
      </c>
      <c r="U115" s="0" t="str">
        <f aca="false">IF(Staff!$A115="","",Staff!$AP115)</f>
        <v/>
      </c>
      <c r="V115" s="0" t="str">
        <f aca="false">IF(Staff!$A115="","",Staff!$AQ115)</f>
        <v/>
      </c>
      <c r="W115" s="0" t="str">
        <f aca="false">IF(Staff!$A115="","",Staff!$AR115)</f>
        <v/>
      </c>
      <c r="X115" s="0" t="str">
        <f aca="false">IF(Staff!$A115="","",Staff!$AS115)</f>
        <v/>
      </c>
    </row>
    <row r="116" customFormat="false" ht="15" hidden="false" customHeight="false" outlineLevel="0" collapsed="false">
      <c r="A116" s="19" t="str">
        <f aca="false">IF(Staff!$A116="","",Staff!$A116)</f>
        <v/>
      </c>
      <c r="B116" s="19" t="str">
        <f aca="false">IF(Staff!$A116="","",Staff!$B116)</f>
        <v/>
      </c>
      <c r="C116" s="19" t="str">
        <f aca="false">IF(Staff!$A116="","",Staff!$C116)</f>
        <v/>
      </c>
      <c r="D116" s="17" t="str">
        <f aca="false">IF(Staff!$A116="","",Staff!$AH116)</f>
        <v/>
      </c>
      <c r="E116" s="19" t="str">
        <f aca="false">IF(Staff!$A116="","",Staff!$O116)</f>
        <v/>
      </c>
      <c r="F116" s="19" t="str">
        <f aca="false">IF(E116="","",E116*HoursPerDay)</f>
        <v/>
      </c>
      <c r="G116" s="19" t="str">
        <f aca="false">IF(Staff!$A116="","",Staff!$AE116)</f>
        <v/>
      </c>
      <c r="H116" s="32" t="str">
        <f aca="false">IF($A116="","",I116&amp;J116&amp;K116&amp;L116&amp;M116&amp;N116&amp;O116&amp;P116&amp;Q116)</f>
        <v/>
      </c>
      <c r="I116" s="0" t="str">
        <f aca="false">IF(OR($A116="",$D116=""),"",IF(AND(EDATE($D116,Milestones!$AA$20)&lt;=AsOfDate,IF($R116=0,$X116,IF(AND($T116&lt;&gt;"",EDATE($D116,Milestones!$AA$20)&gt;=$T116),$W116,IF(AND($S116&lt;&gt;"",EDATE($D116,Milestones!$AA$20)&gt;=$S116),$V116,$U116)))=Milestones!$AB$20),UPPER(TEXT(EDATE($D116,Milestones!$AA$20),"dd mmm yy"))&amp;" "&amp;Milestones!$AB$20&amp;" "&amp;Milestones!$AC$20&amp;";  ","")&amp;IF(AND(EDATE($D116,Milestones!$AA$21)&lt;=AsOfDate,IF($R116=0,$X116,IF(AND($T116&lt;&gt;"",EDATE($D116,Milestones!$AA$21)&gt;=$T116),$W116,IF(AND($S116&lt;&gt;"",EDATE($D116,Milestones!$AA$21)&gt;=$S116),$V116,$U116)))=Milestones!$AB$21),UPPER(TEXT(EDATE($D116,Milestones!$AA$21),"dd mmm yy"))&amp;" "&amp;Milestones!$AB$21&amp;" "&amp;Milestones!$AC$21&amp;";  ","")&amp;IF(AND(EDATE($D116,Milestones!$AA$22)&lt;=AsOfDate,IF($R116=0,$X116,IF(AND($T116&lt;&gt;"",EDATE($D116,Milestones!$AA$22)&gt;=$T116),$W116,IF(AND($S116&lt;&gt;"",EDATE($D116,Milestones!$AA$22)&gt;=$S116),$V116,$U116)))=Milestones!$AB$22),UPPER(TEXT(EDATE($D116,Milestones!$AA$22),"dd mmm yy"))&amp;" "&amp;Milestones!$AB$22&amp;" "&amp;Milestones!$AC$22&amp;";  ","")&amp;IF(AND(EDATE($D116,Milestones!$AA$23)&lt;=AsOfDate,IF($R116=0,$X116,IF(AND($T116&lt;&gt;"",EDATE($D116,Milestones!$AA$23)&gt;=$T116),$W116,IF(AND($S116&lt;&gt;"",EDATE($D116,Milestones!$AA$23)&gt;=$S116),$V116,$U116)))=Milestones!$AB$23),UPPER(TEXT(EDATE($D116,Milestones!$AA$23),"dd mmm yy"))&amp;" "&amp;Milestones!$AB$23&amp;" "&amp;Milestones!$AC$23&amp;";  ","")&amp;IF(AND(EDATE($D116,Milestones!$AA$24)&lt;=AsOfDate,IF($R116=0,$X116,IF(AND($T116&lt;&gt;"",EDATE($D116,Milestones!$AA$24)&gt;=$T116),$W116,IF(AND($S116&lt;&gt;"",EDATE($D116,Milestones!$AA$24)&gt;=$S116),$V116,$U116)))=Milestones!$AB$24),UPPER(TEXT(EDATE($D116,Milestones!$AA$24),"dd mmm yy"))&amp;" "&amp;Milestones!$AB$24&amp;" "&amp;Milestones!$AC$24&amp;";  ","")&amp;IF(AND(EDATE($D116,Milestones!$AA$25)&lt;=AsOfDate,IF($R116=0,$X116,IF(AND($T116&lt;&gt;"",EDATE($D116,Milestones!$AA$25)&gt;=$T116),$W116,IF(AND($S116&lt;&gt;"",EDATE($D116,Milestones!$AA$25)&gt;=$S116),$V116,$U116)))=Milestones!$AB$25),UPPER(TEXT(EDATE($D116,Milestones!$AA$25),"dd mmm yy"))&amp;" "&amp;Milestones!$AB$25&amp;" "&amp;Milestones!$AC$25&amp;";  ","")&amp;IF(AND(EDATE($D116,Milestones!$AA$26)&lt;=AsOfDate,IF($R116=0,$X116,IF(AND($T116&lt;&gt;"",EDATE($D116,Milestones!$AA$26)&gt;=$T116),$W116,IF(AND($S116&lt;&gt;"",EDATE($D116,Milestones!$AA$26)&gt;=$S116),$V116,$U116)))=Milestones!$AB$26),UPPER(TEXT(EDATE($D116,Milestones!$AA$26),"dd mmm yy"))&amp;" "&amp;Milestones!$AB$26&amp;" "&amp;Milestones!$AC$26&amp;";  ","")&amp;IF(AND(EDATE($D116,Milestones!$AA$27)&lt;=AsOfDate,IF($R116=0,$X116,IF(AND($T116&lt;&gt;"",EDATE($D116,Milestones!$AA$27)&gt;=$T116),$W116,IF(AND($S116&lt;&gt;"",EDATE($D116,Milestones!$AA$27)&gt;=$S116),$V116,$U116)))=Milestones!$AB$27),UPPER(TEXT(EDATE($D116,Milestones!$AA$27),"dd mmm yy"))&amp;" "&amp;Milestones!$AB$27&amp;" "&amp;Milestones!$AC$27&amp;";  ","")&amp;IF(AND(EDATE($D116,Milestones!$AA$28)&lt;=AsOfDate,IF($R116=0,$X116,IF(AND($T116&lt;&gt;"",EDATE($D116,Milestones!$AA$28)&gt;=$T116),$W116,IF(AND($S116&lt;&gt;"",EDATE($D116,Milestones!$AA$28)&gt;=$S116),$V116,$U116)))=Milestones!$AB$28),UPPER(TEXT(EDATE($D116,Milestones!$AA$28),"dd mmm yy"))&amp;" "&amp;Milestones!$AB$28&amp;" "&amp;Milestones!$AC$28&amp;";  ","")&amp;IF(AND(EDATE($D116,Milestones!$AA$29)&lt;=AsOfDate,IF($R116=0,$X116,IF(AND($T116&lt;&gt;"",EDATE($D116,Milestones!$AA$29)&gt;=$T116),$W116,IF(AND($S116&lt;&gt;"",EDATE($D116,Milestones!$AA$29)&gt;=$S116),$V116,$U116)))=Milestones!$AB$29),UPPER(TEXT(EDATE($D116,Milestones!$AA$29),"dd mmm yy"))&amp;" "&amp;Milestones!$AB$29&amp;" "&amp;Milestones!$AC$29&amp;";  ","")&amp;IF(AND(EDATE($D116,Milestones!$AA$30)&lt;=AsOfDate,IF($R116=0,$X116,IF(AND($T116&lt;&gt;"",EDATE($D116,Milestones!$AA$30)&gt;=$T116),$W116,IF(AND($S116&lt;&gt;"",EDATE($D116,Milestones!$AA$30)&gt;=$S116),$V116,$U116)))=Milestones!$AB$30),UPPER(TEXT(EDATE($D116,Milestones!$AA$30),"dd mmm yy"))&amp;" "&amp;Milestones!$AB$30&amp;" "&amp;Milestones!$AC$30&amp;";  ","")&amp;IF(AND(EDATE($D116,Milestones!$AA$31)&lt;=AsOfDate,IF($R116=0,$X116,IF(AND($T116&lt;&gt;"",EDATE($D116,Milestones!$AA$31)&gt;=$T116),$W116,IF(AND($S116&lt;&gt;"",EDATE($D116,Milestones!$AA$31)&gt;=$S116),$V116,$U116)))=Milestones!$AB$31),UPPER(TEXT(EDATE($D116,Milestones!$AA$31),"dd mmm yy"))&amp;" "&amp;Milestones!$AB$31&amp;" "&amp;Milestones!$AC$31&amp;";  ","")&amp;IF(AND(EDATE($D116,Milestones!$AA$32)&lt;=AsOfDate,IF($R116=0,$X116,IF(AND($T116&lt;&gt;"",EDATE($D116,Milestones!$AA$32)&gt;=$T116),$W116,IF(AND($S116&lt;&gt;"",EDATE($D116,Milestones!$AA$32)&gt;=$S116),$V116,$U116)))=Milestones!$AB$32),UPPER(TEXT(EDATE($D116,Milestones!$AA$32),"dd mmm yy"))&amp;" "&amp;Milestones!$AB$32&amp;" "&amp;Milestones!$AC$32&amp;";  ","")&amp;IF(AND(EDATE($D116,Milestones!$AA$33)&lt;=AsOfDate,IF($R116=0,$X116,IF(AND($T116&lt;&gt;"",EDATE($D116,Milestones!$AA$33)&gt;=$T116),$W116,IF(AND($S116&lt;&gt;"",EDATE($D116,Milestones!$AA$33)&gt;=$S116),$V116,$U116)))=Milestones!$AB$33),UPPER(TEXT(EDATE($D116,Milestones!$AA$33),"dd mmm yy"))&amp;" "&amp;Milestones!$AB$33&amp;" "&amp;Milestones!$AC$33&amp;";  ","")&amp;IF(AND(EDATE($D116,Milestones!$AA$34)&lt;=AsOfDate,IF($R116=0,$X116,IF(AND($T116&lt;&gt;"",EDATE($D116,Milestones!$AA$34)&gt;=$T116),$W116,IF(AND($S116&lt;&gt;"",EDATE($D116,Milestones!$AA$34)&gt;=$S116),$V116,$U116)))=Milestones!$AB$34),UPPER(TEXT(EDATE($D116,Milestones!$AA$34),"dd mmm yy"))&amp;" "&amp;Milestones!$AB$34&amp;" "&amp;Milestones!$AC$34&amp;";  ","")&amp;IF(AND(EDATE($D116,Milestones!$AA$35)&lt;=AsOfDate,IF($R116=0,$X116,IF(AND($T116&lt;&gt;"",EDATE($D116,Milestones!$AA$35)&gt;=$T116),$W116,IF(AND($S116&lt;&gt;"",EDATE($D116,Milestones!$AA$35)&gt;=$S116),$V116,$U116)))=Milestones!$AB$35),UPPER(TEXT(EDATE($D116,Milestones!$AA$35),"dd mmm yy"))&amp;" "&amp;Milestones!$AB$35&amp;" "&amp;Milestones!$AC$35&amp;";  ","")&amp;IF(AND(EDATE($D116,Milestones!$AA$36)&lt;=AsOfDate,IF($R116=0,$X116,IF(AND($T116&lt;&gt;"",EDATE($D116,Milestones!$AA$36)&gt;=$T116),$W116,IF(AND($S116&lt;&gt;"",EDATE($D116,Milestones!$AA$36)&gt;=$S116),$V116,$U116)))=Milestones!$AB$36),UPPER(TEXT(EDATE($D116,Milestones!$AA$36),"dd mmm yy"))&amp;" "&amp;Milestones!$AB$36&amp;" "&amp;Milestones!$AC$36&amp;";  ","")&amp;IF(AND(EDATE($D116,Milestones!$AA$37)&lt;=AsOfDate,IF($R116=0,$X116,IF(AND($T116&lt;&gt;"",EDATE($D116,Milestones!$AA$37)&gt;=$T116),$W116,IF(AND($S116&lt;&gt;"",EDATE($D116,Milestones!$AA$37)&gt;=$S116),$V116,$U116)))=Milestones!$AB$37),UPPER(TEXT(EDATE($D116,Milestones!$AA$37),"dd mmm yy"))&amp;" "&amp;Milestones!$AB$37&amp;" "&amp;Milestones!$AC$37&amp;";  ","")&amp;IF(AND(EDATE($D116,Milestones!$AA$38)&lt;=AsOfDate,IF($R116=0,$X116,IF(AND($T116&lt;&gt;"",EDATE($D116,Milestones!$AA$38)&gt;=$T116),$W116,IF(AND($S116&lt;&gt;"",EDATE($D116,Milestones!$AA$38)&gt;=$S116),$V116,$U116)))=Milestones!$AB$38),UPPER(TEXT(EDATE($D116,Milestones!$AA$38),"dd mmm yy"))&amp;" "&amp;Milestones!$AB$38&amp;" "&amp;Milestones!$AC$38&amp;";  ","")&amp;IF(AND(EDATE($D116,Milestones!$AA$39)&lt;=AsOfDate,IF($R116=0,$X116,IF(AND($T116&lt;&gt;"",EDATE($D116,Milestones!$AA$39)&gt;=$T116),$W116,IF(AND($S116&lt;&gt;"",EDATE($D116,Milestones!$AA$39)&gt;=$S116),$V116,$U116)))=Milestones!$AB$39),UPPER(TEXT(EDATE($D116,Milestones!$AA$39),"dd mmm yy"))&amp;" "&amp;Milestones!$AB$39&amp;" "&amp;Milestones!$AC$39&amp;";  ",""))</f>
        <v/>
      </c>
      <c r="J116" s="0" t="str">
        <f aca="false">IF(OR($A116="",$D116=""),"",IF(AND(EDATE($D116,Milestones!$AA$40)&lt;=AsOfDate,IF($R116=0,$X116,IF(AND($T116&lt;&gt;"",EDATE($D116,Milestones!$AA$40)&gt;=$T116),$W116,IF(AND($S116&lt;&gt;"",EDATE($D116,Milestones!$AA$40)&gt;=$S116),$V116,$U116)))=Milestones!$AB$40),UPPER(TEXT(EDATE($D116,Milestones!$AA$40),"dd mmm yy"))&amp;" "&amp;Milestones!$AB$40&amp;" "&amp;Milestones!$AC$40&amp;";  ","")&amp;IF(AND(EDATE($D116,Milestones!$AA$41)&lt;=AsOfDate,IF($R116=0,$X116,IF(AND($T116&lt;&gt;"",EDATE($D116,Milestones!$AA$41)&gt;=$T116),$W116,IF(AND($S116&lt;&gt;"",EDATE($D116,Milestones!$AA$41)&gt;=$S116),$V116,$U116)))=Milestones!$AB$41),UPPER(TEXT(EDATE($D116,Milestones!$AA$41),"dd mmm yy"))&amp;" "&amp;Milestones!$AB$41&amp;" "&amp;Milestones!$AC$41&amp;";  ","")&amp;IF(AND(EDATE($D116,Milestones!$AA$42)&lt;=AsOfDate,IF($R116=0,$X116,IF(AND($T116&lt;&gt;"",EDATE($D116,Milestones!$AA$42)&gt;=$T116),$W116,IF(AND($S116&lt;&gt;"",EDATE($D116,Milestones!$AA$42)&gt;=$S116),$V116,$U116)))=Milestones!$AB$42),UPPER(TEXT(EDATE($D116,Milestones!$AA$42),"dd mmm yy"))&amp;" "&amp;Milestones!$AB$42&amp;" "&amp;Milestones!$AC$42&amp;";  ","")&amp;IF(AND(EDATE($D116,Milestones!$AA$43)&lt;=AsOfDate,IF($R116=0,$X116,IF(AND($T116&lt;&gt;"",EDATE($D116,Milestones!$AA$43)&gt;=$T116),$W116,IF(AND($S116&lt;&gt;"",EDATE($D116,Milestones!$AA$43)&gt;=$S116),$V116,$U116)))=Milestones!$AB$43),UPPER(TEXT(EDATE($D116,Milestones!$AA$43),"dd mmm yy"))&amp;" "&amp;Milestones!$AB$43&amp;" "&amp;Milestones!$AC$43&amp;";  ","")&amp;IF(AND(EDATE($D116,Milestones!$AA$44)&lt;=AsOfDate,IF($R116=0,$X116,IF(AND($T116&lt;&gt;"",EDATE($D116,Milestones!$AA$44)&gt;=$T116),$W116,IF(AND($S116&lt;&gt;"",EDATE($D116,Milestones!$AA$44)&gt;=$S116),$V116,$U116)))=Milestones!$AB$44),UPPER(TEXT(EDATE($D116,Milestones!$AA$44),"dd mmm yy"))&amp;" "&amp;Milestones!$AB$44&amp;" "&amp;Milestones!$AC$44&amp;";  ","")&amp;IF(AND(EDATE($D116,Milestones!$AA$45)&lt;=AsOfDate,IF($R116=0,$X116,IF(AND($T116&lt;&gt;"",EDATE($D116,Milestones!$AA$45)&gt;=$T116),$W116,IF(AND($S116&lt;&gt;"",EDATE($D116,Milestones!$AA$45)&gt;=$S116),$V116,$U116)))=Milestones!$AB$45),UPPER(TEXT(EDATE($D116,Milestones!$AA$45),"dd mmm yy"))&amp;" "&amp;Milestones!$AB$45&amp;" "&amp;Milestones!$AC$45&amp;";  ","")&amp;IF(AND(EDATE($D116,Milestones!$AA$46)&lt;=AsOfDate,IF($R116=0,$X116,IF(AND($T116&lt;&gt;"",EDATE($D116,Milestones!$AA$46)&gt;=$T116),$W116,IF(AND($S116&lt;&gt;"",EDATE($D116,Milestones!$AA$46)&gt;=$S116),$V116,$U116)))=Milestones!$AB$46),UPPER(TEXT(EDATE($D116,Milestones!$AA$46),"dd mmm yy"))&amp;" "&amp;Milestones!$AB$46&amp;" "&amp;Milestones!$AC$46&amp;";  ","")&amp;IF(AND(EDATE($D116,Milestones!$AA$47)&lt;=AsOfDate,IF($R116=0,$X116,IF(AND($T116&lt;&gt;"",EDATE($D116,Milestones!$AA$47)&gt;=$T116),$W116,IF(AND($S116&lt;&gt;"",EDATE($D116,Milestones!$AA$47)&gt;=$S116),$V116,$U116)))=Milestones!$AB$47),UPPER(TEXT(EDATE($D116,Milestones!$AA$47),"dd mmm yy"))&amp;" "&amp;Milestones!$AB$47&amp;" "&amp;Milestones!$AC$47&amp;";  ","")&amp;IF(AND(EDATE($D116,Milestones!$AA$48)&lt;=AsOfDate,IF($R116=0,$X116,IF(AND($T116&lt;&gt;"",EDATE($D116,Milestones!$AA$48)&gt;=$T116),$W116,IF(AND($S116&lt;&gt;"",EDATE($D116,Milestones!$AA$48)&gt;=$S116),$V116,$U116)))=Milestones!$AB$48),UPPER(TEXT(EDATE($D116,Milestones!$AA$48),"dd mmm yy"))&amp;" "&amp;Milestones!$AB$48&amp;" "&amp;Milestones!$AC$48&amp;";  ","")&amp;IF(AND(EDATE($D116,Milestones!$AA$49)&lt;=AsOfDate,IF($R116=0,$X116,IF(AND($T116&lt;&gt;"",EDATE($D116,Milestones!$AA$49)&gt;=$T116),$W116,IF(AND($S116&lt;&gt;"",EDATE($D116,Milestones!$AA$49)&gt;=$S116),$V116,$U116)))=Milestones!$AB$49),UPPER(TEXT(EDATE($D116,Milestones!$AA$49),"dd mmm yy"))&amp;" "&amp;Milestones!$AB$49&amp;" "&amp;Milestones!$AC$49&amp;";  ","")&amp;IF(AND(EDATE($D116,Milestones!$AA$50)&lt;=AsOfDate,IF($R116=0,$X116,IF(AND($T116&lt;&gt;"",EDATE($D116,Milestones!$AA$50)&gt;=$T116),$W116,IF(AND($S116&lt;&gt;"",EDATE($D116,Milestones!$AA$50)&gt;=$S116),$V116,$U116)))=Milestones!$AB$50),UPPER(TEXT(EDATE($D116,Milestones!$AA$50),"dd mmm yy"))&amp;" "&amp;Milestones!$AB$50&amp;" "&amp;Milestones!$AC$50&amp;";  ","")&amp;IF(AND(EDATE($D116,Milestones!$AA$51)&lt;=AsOfDate,IF($R116=0,$X116,IF(AND($T116&lt;&gt;"",EDATE($D116,Milestones!$AA$51)&gt;=$T116),$W116,IF(AND($S116&lt;&gt;"",EDATE($D116,Milestones!$AA$51)&gt;=$S116),$V116,$U116)))=Milestones!$AB$51),UPPER(TEXT(EDATE($D116,Milestones!$AA$51),"dd mmm yy"))&amp;" "&amp;Milestones!$AB$51&amp;" "&amp;Milestones!$AC$51&amp;";  ","")&amp;IF(AND(EDATE($D116,Milestones!$AA$52)&lt;=AsOfDate,IF($R116=0,$X116,IF(AND($T116&lt;&gt;"",EDATE($D116,Milestones!$AA$52)&gt;=$T116),$W116,IF(AND($S116&lt;&gt;"",EDATE($D116,Milestones!$AA$52)&gt;=$S116),$V116,$U116)))=Milestones!$AB$52),UPPER(TEXT(EDATE($D116,Milestones!$AA$52),"dd mmm yy"))&amp;" "&amp;Milestones!$AB$52&amp;" "&amp;Milestones!$AC$52&amp;";  ","")&amp;IF(AND(EDATE($D116,Milestones!$AA$53)&lt;=AsOfDate,IF($R116=0,$X116,IF(AND($T116&lt;&gt;"",EDATE($D116,Milestones!$AA$53)&gt;=$T116),$W116,IF(AND($S116&lt;&gt;"",EDATE($D116,Milestones!$AA$53)&gt;=$S116),$V116,$U116)))=Milestones!$AB$53),UPPER(TEXT(EDATE($D116,Milestones!$AA$53),"dd mmm yy"))&amp;" "&amp;Milestones!$AB$53&amp;" "&amp;Milestones!$AC$53&amp;";  ","")&amp;IF(AND(EDATE($D116,Milestones!$AA$54)&lt;=AsOfDate,IF($R116=0,$X116,IF(AND($T116&lt;&gt;"",EDATE($D116,Milestones!$AA$54)&gt;=$T116),$W116,IF(AND($S116&lt;&gt;"",EDATE($D116,Milestones!$AA$54)&gt;=$S116),$V116,$U116)))=Milestones!$AB$54),UPPER(TEXT(EDATE($D116,Milestones!$AA$54),"dd mmm yy"))&amp;" "&amp;Milestones!$AB$54&amp;" "&amp;Milestones!$AC$54&amp;";  ","")&amp;IF(AND(EDATE($D116,Milestones!$AA$55)&lt;=AsOfDate,IF($R116=0,$X116,IF(AND($T116&lt;&gt;"",EDATE($D116,Milestones!$AA$55)&gt;=$T116),$W116,IF(AND($S116&lt;&gt;"",EDATE($D116,Milestones!$AA$55)&gt;=$S116),$V116,$U116)))=Milestones!$AB$55),UPPER(TEXT(EDATE($D116,Milestones!$AA$55),"dd mmm yy"))&amp;" "&amp;Milestones!$AB$55&amp;" "&amp;Milestones!$AC$55&amp;";  ","")&amp;IF(AND(EDATE($D116,Milestones!$AA$56)&lt;=AsOfDate,IF($R116=0,$X116,IF(AND($T116&lt;&gt;"",EDATE($D116,Milestones!$AA$56)&gt;=$T116),$W116,IF(AND($S116&lt;&gt;"",EDATE($D116,Milestones!$AA$56)&gt;=$S116),$V116,$U116)))=Milestones!$AB$56),UPPER(TEXT(EDATE($D116,Milestones!$AA$56),"dd mmm yy"))&amp;" "&amp;Milestones!$AB$56&amp;" "&amp;Milestones!$AC$56&amp;";  ","")&amp;IF(AND(EDATE($D116,Milestones!$AA$57)&lt;=AsOfDate,IF($R116=0,$X116,IF(AND($T116&lt;&gt;"",EDATE($D116,Milestones!$AA$57)&gt;=$T116),$W116,IF(AND($S116&lt;&gt;"",EDATE($D116,Milestones!$AA$57)&gt;=$S116),$V116,$U116)))=Milestones!$AB$57),UPPER(TEXT(EDATE($D116,Milestones!$AA$57),"dd mmm yy"))&amp;" "&amp;Milestones!$AB$57&amp;" "&amp;Milestones!$AC$57&amp;";  ","")&amp;IF(AND(EDATE($D116,Milestones!$AA$58)&lt;=AsOfDate,IF($R116=0,$X116,IF(AND($T116&lt;&gt;"",EDATE($D116,Milestones!$AA$58)&gt;=$T116),$W116,IF(AND($S116&lt;&gt;"",EDATE($D116,Milestones!$AA$58)&gt;=$S116),$V116,$U116)))=Milestones!$AB$58),UPPER(TEXT(EDATE($D116,Milestones!$AA$58),"dd mmm yy"))&amp;" "&amp;Milestones!$AB$58&amp;" "&amp;Milestones!$AC$58&amp;";  ","")&amp;IF(AND(EDATE($D116,Milestones!$AA$59)&lt;=AsOfDate,IF($R116=0,$X116,IF(AND($T116&lt;&gt;"",EDATE($D116,Milestones!$AA$59)&gt;=$T116),$W116,IF(AND($S116&lt;&gt;"",EDATE($D116,Milestones!$AA$59)&gt;=$S116),$V116,$U116)))=Milestones!$AB$59),UPPER(TEXT(EDATE($D116,Milestones!$AA$59),"dd mmm yy"))&amp;" "&amp;Milestones!$AB$59&amp;" "&amp;Milestones!$AC$59&amp;";  ",""))</f>
        <v/>
      </c>
      <c r="K116" s="0" t="str">
        <f aca="false">IF(OR($A116="",$D116=""),"",IF(AND(EDATE($D116,Milestones!$AA$60)&lt;=AsOfDate,IF($R116=0,$X116,IF(AND($T116&lt;&gt;"",EDATE($D116,Milestones!$AA$60)&gt;=$T116),$W116,IF(AND($S116&lt;&gt;"",EDATE($D116,Milestones!$AA$60)&gt;=$S116),$V116,$U116)))=Milestones!$AB$60),UPPER(TEXT(EDATE($D116,Milestones!$AA$60),"dd mmm yy"))&amp;" "&amp;Milestones!$AB$60&amp;" "&amp;Milestones!$AC$60&amp;";  ","")&amp;IF(AND(EDATE($D116,Milestones!$AA$61)&lt;=AsOfDate,IF($R116=0,$X116,IF(AND($T116&lt;&gt;"",EDATE($D116,Milestones!$AA$61)&gt;=$T116),$W116,IF(AND($S116&lt;&gt;"",EDATE($D116,Milestones!$AA$61)&gt;=$S116),$V116,$U116)))=Milestones!$AB$61),UPPER(TEXT(EDATE($D116,Milestones!$AA$61),"dd mmm yy"))&amp;" "&amp;Milestones!$AB$61&amp;" "&amp;Milestones!$AC$61&amp;";  ","")&amp;IF(AND(EDATE($D116,Milestones!$AA$62)&lt;=AsOfDate,IF($R116=0,$X116,IF(AND($T116&lt;&gt;"",EDATE($D116,Milestones!$AA$62)&gt;=$T116),$W116,IF(AND($S116&lt;&gt;"",EDATE($D116,Milestones!$AA$62)&gt;=$S116),$V116,$U116)))=Milestones!$AB$62),UPPER(TEXT(EDATE($D116,Milestones!$AA$62),"dd mmm yy"))&amp;" "&amp;Milestones!$AB$62&amp;" "&amp;Milestones!$AC$62&amp;";  ","")&amp;IF(AND(EDATE($D116,Milestones!$AA$63)&lt;=AsOfDate,IF($R116=0,$X116,IF(AND($T116&lt;&gt;"",EDATE($D116,Milestones!$AA$63)&gt;=$T116),$W116,IF(AND($S116&lt;&gt;"",EDATE($D116,Milestones!$AA$63)&gt;=$S116),$V116,$U116)))=Milestones!$AB$63),UPPER(TEXT(EDATE($D116,Milestones!$AA$63),"dd mmm yy"))&amp;" "&amp;Milestones!$AB$63&amp;" "&amp;Milestones!$AC$63&amp;";  ","")&amp;IF(AND(EDATE($D116,Milestones!$AA$64)&lt;=AsOfDate,IF($R116=0,$X116,IF(AND($T116&lt;&gt;"",EDATE($D116,Milestones!$AA$64)&gt;=$T116),$W116,IF(AND($S116&lt;&gt;"",EDATE($D116,Milestones!$AA$64)&gt;=$S116),$V116,$U116)))=Milestones!$AB$64),UPPER(TEXT(EDATE($D116,Milestones!$AA$64),"dd mmm yy"))&amp;" "&amp;Milestones!$AB$64&amp;" "&amp;Milestones!$AC$64&amp;";  ","")&amp;IF(AND(EDATE($D116,Milestones!$AA$65)&lt;=AsOfDate,IF($R116=0,$X116,IF(AND($T116&lt;&gt;"",EDATE($D116,Milestones!$AA$65)&gt;=$T116),$W116,IF(AND($S116&lt;&gt;"",EDATE($D116,Milestones!$AA$65)&gt;=$S116),$V116,$U116)))=Milestones!$AB$65),UPPER(TEXT(EDATE($D116,Milestones!$AA$65),"dd mmm yy"))&amp;" "&amp;Milestones!$AB$65&amp;" "&amp;Milestones!$AC$65&amp;";  ","")&amp;IF(AND(EDATE($D116,Milestones!$AA$66)&lt;=AsOfDate,IF($R116=0,$X116,IF(AND($T116&lt;&gt;"",EDATE($D116,Milestones!$AA$66)&gt;=$T116),$W116,IF(AND($S116&lt;&gt;"",EDATE($D116,Milestones!$AA$66)&gt;=$S116),$V116,$U116)))=Milestones!$AB$66),UPPER(TEXT(EDATE($D116,Milestones!$AA$66),"dd mmm yy"))&amp;" "&amp;Milestones!$AB$66&amp;" "&amp;Milestones!$AC$66&amp;";  ","")&amp;IF(AND(EDATE($D116,Milestones!$AA$67)&lt;=AsOfDate,IF($R116=0,$X116,IF(AND($T116&lt;&gt;"",EDATE($D116,Milestones!$AA$67)&gt;=$T116),$W116,IF(AND($S116&lt;&gt;"",EDATE($D116,Milestones!$AA$67)&gt;=$S116),$V116,$U116)))=Milestones!$AB$67),UPPER(TEXT(EDATE($D116,Milestones!$AA$67),"dd mmm yy"))&amp;" "&amp;Milestones!$AB$67&amp;" "&amp;Milestones!$AC$67&amp;";  ","")&amp;IF(AND(EDATE($D116,Milestones!$AA$68)&lt;=AsOfDate,IF($R116=0,$X116,IF(AND($T116&lt;&gt;"",EDATE($D116,Milestones!$AA$68)&gt;=$T116),$W116,IF(AND($S116&lt;&gt;"",EDATE($D116,Milestones!$AA$68)&gt;=$S116),$V116,$U116)))=Milestones!$AB$68),UPPER(TEXT(EDATE($D116,Milestones!$AA$68),"dd mmm yy"))&amp;" "&amp;Milestones!$AB$68&amp;" "&amp;Milestones!$AC$68&amp;";  ","")&amp;IF(AND(EDATE($D116,Milestones!$AA$69)&lt;=AsOfDate,IF($R116=0,$X116,IF(AND($T116&lt;&gt;"",EDATE($D116,Milestones!$AA$69)&gt;=$T116),$W116,IF(AND($S116&lt;&gt;"",EDATE($D116,Milestones!$AA$69)&gt;=$S116),$V116,$U116)))=Milestones!$AB$69),UPPER(TEXT(EDATE($D116,Milestones!$AA$69),"dd mmm yy"))&amp;" "&amp;Milestones!$AB$69&amp;" "&amp;Milestones!$AC$69&amp;";  ","")&amp;IF(AND(EDATE($D116,Milestones!$AA$70)&lt;=AsOfDate,IF($R116=0,$X116,IF(AND($T116&lt;&gt;"",EDATE($D116,Milestones!$AA$70)&gt;=$T116),$W116,IF(AND($S116&lt;&gt;"",EDATE($D116,Milestones!$AA$70)&gt;=$S116),$V116,$U116)))=Milestones!$AB$70),UPPER(TEXT(EDATE($D116,Milestones!$AA$70),"dd mmm yy"))&amp;" "&amp;Milestones!$AB$70&amp;" "&amp;Milestones!$AC$70&amp;";  ","")&amp;IF(AND(EDATE($D116,Milestones!$AA$71)&lt;=AsOfDate,IF($R116=0,$X116,IF(AND($T116&lt;&gt;"",EDATE($D116,Milestones!$AA$71)&gt;=$T116),$W116,IF(AND($S116&lt;&gt;"",EDATE($D116,Milestones!$AA$71)&gt;=$S116),$V116,$U116)))=Milestones!$AB$71),UPPER(TEXT(EDATE($D116,Milestones!$AA$71),"dd mmm yy"))&amp;" "&amp;Milestones!$AB$71&amp;" "&amp;Milestones!$AC$71&amp;";  ","")&amp;IF(AND(EDATE($D116,Milestones!$AA$72)&lt;=AsOfDate,IF($R116=0,$X116,IF(AND($T116&lt;&gt;"",EDATE($D116,Milestones!$AA$72)&gt;=$T116),$W116,IF(AND($S116&lt;&gt;"",EDATE($D116,Milestones!$AA$72)&gt;=$S116),$V116,$U116)))=Milestones!$AB$72),UPPER(TEXT(EDATE($D116,Milestones!$AA$72),"dd mmm yy"))&amp;" "&amp;Milestones!$AB$72&amp;" "&amp;Milestones!$AC$72&amp;";  ","")&amp;IF(AND(EDATE($D116,Milestones!$AA$73)&lt;=AsOfDate,IF($R116=0,$X116,IF(AND($T116&lt;&gt;"",EDATE($D116,Milestones!$AA$73)&gt;=$T116),$W116,IF(AND($S116&lt;&gt;"",EDATE($D116,Milestones!$AA$73)&gt;=$S116),$V116,$U116)))=Milestones!$AB$73),UPPER(TEXT(EDATE($D116,Milestones!$AA$73),"dd mmm yy"))&amp;" "&amp;Milestones!$AB$73&amp;" "&amp;Milestones!$AC$73&amp;";  ","")&amp;IF(AND(EDATE($D116,Milestones!$AA$74)&lt;=AsOfDate,IF($R116=0,$X116,IF(AND($T116&lt;&gt;"",EDATE($D116,Milestones!$AA$74)&gt;=$T116),$W116,IF(AND($S116&lt;&gt;"",EDATE($D116,Milestones!$AA$74)&gt;=$S116),$V116,$U116)))=Milestones!$AB$74),UPPER(TEXT(EDATE($D116,Milestones!$AA$74),"dd mmm yy"))&amp;" "&amp;Milestones!$AB$74&amp;" "&amp;Milestones!$AC$74&amp;";  ","")&amp;IF(AND(EDATE($D116,Milestones!$AA$75)&lt;=AsOfDate,IF($R116=0,$X116,IF(AND($T116&lt;&gt;"",EDATE($D116,Milestones!$AA$75)&gt;=$T116),$W116,IF(AND($S116&lt;&gt;"",EDATE($D116,Milestones!$AA$75)&gt;=$S116),$V116,$U116)))=Milestones!$AB$75),UPPER(TEXT(EDATE($D116,Milestones!$AA$75),"dd mmm yy"))&amp;" "&amp;Milestones!$AB$75&amp;" "&amp;Milestones!$AC$75&amp;";  ","")&amp;IF(AND(EDATE($D116,Milestones!$AA$76)&lt;=AsOfDate,IF($R116=0,$X116,IF(AND($T116&lt;&gt;"",EDATE($D116,Milestones!$AA$76)&gt;=$T116),$W116,IF(AND($S116&lt;&gt;"",EDATE($D116,Milestones!$AA$76)&gt;=$S116),$V116,$U116)))=Milestones!$AB$76),UPPER(TEXT(EDATE($D116,Milestones!$AA$76),"dd mmm yy"))&amp;" "&amp;Milestones!$AB$76&amp;" "&amp;Milestones!$AC$76&amp;";  ","")&amp;IF(AND(EDATE($D116,Milestones!$AA$77)&lt;=AsOfDate,IF($R116=0,$X116,IF(AND($T116&lt;&gt;"",EDATE($D116,Milestones!$AA$77)&gt;=$T116),$W116,IF(AND($S116&lt;&gt;"",EDATE($D116,Milestones!$AA$77)&gt;=$S116),$V116,$U116)))=Milestones!$AB$77),UPPER(TEXT(EDATE($D116,Milestones!$AA$77),"dd mmm yy"))&amp;" "&amp;Milestones!$AB$77&amp;" "&amp;Milestones!$AC$77&amp;";  ","")&amp;IF(AND(EDATE($D116,Milestones!$AA$78)&lt;=AsOfDate,IF($R116=0,$X116,IF(AND($T116&lt;&gt;"",EDATE($D116,Milestones!$AA$78)&gt;=$T116),$W116,IF(AND($S116&lt;&gt;"",EDATE($D116,Milestones!$AA$78)&gt;=$S116),$V116,$U116)))=Milestones!$AB$78),UPPER(TEXT(EDATE($D116,Milestones!$AA$78),"dd mmm yy"))&amp;" "&amp;Milestones!$AB$78&amp;" "&amp;Milestones!$AC$78&amp;";  ","")&amp;IF(AND(EDATE($D116,Milestones!$AA$79)&lt;=AsOfDate,IF($R116=0,$X116,IF(AND($T116&lt;&gt;"",EDATE($D116,Milestones!$AA$79)&gt;=$T116),$W116,IF(AND($S116&lt;&gt;"",EDATE($D116,Milestones!$AA$79)&gt;=$S116),$V116,$U116)))=Milestones!$AB$79),UPPER(TEXT(EDATE($D116,Milestones!$AA$79),"dd mmm yy"))&amp;" "&amp;Milestones!$AB$79&amp;" "&amp;Milestones!$AC$79&amp;";  ",""))</f>
        <v/>
      </c>
      <c r="L116" s="0" t="str">
        <f aca="false">IF(OR($A116="",$D116=""),"",IF(AND(EDATE($D116,Milestones!$AA$80)&lt;=AsOfDate,IF($R116=0,$X116,IF(AND($T116&lt;&gt;"",EDATE($D116,Milestones!$AA$80)&gt;=$T116),$W116,IF(AND($S116&lt;&gt;"",EDATE($D116,Milestones!$AA$80)&gt;=$S116),$V116,$U116)))=Milestones!$AB$80),UPPER(TEXT(EDATE($D116,Milestones!$AA$80),"dd mmm yy"))&amp;" "&amp;Milestones!$AB$80&amp;" "&amp;Milestones!$AC$80&amp;";  ","")&amp;IF(AND(EDATE($D116,Milestones!$AA$81)&lt;=AsOfDate,IF($R116=0,$X116,IF(AND($T116&lt;&gt;"",EDATE($D116,Milestones!$AA$81)&gt;=$T116),$W116,IF(AND($S116&lt;&gt;"",EDATE($D116,Milestones!$AA$81)&gt;=$S116),$V116,$U116)))=Milestones!$AB$81),UPPER(TEXT(EDATE($D116,Milestones!$AA$81),"dd mmm yy"))&amp;" "&amp;Milestones!$AB$81&amp;" "&amp;Milestones!$AC$81&amp;";  ","")&amp;IF(AND(EDATE($D116,Milestones!$AA$82)&lt;=AsOfDate,IF($R116=0,$X116,IF(AND($T116&lt;&gt;"",EDATE($D116,Milestones!$AA$82)&gt;=$T116),$W116,IF(AND($S116&lt;&gt;"",EDATE($D116,Milestones!$AA$82)&gt;=$S116),$V116,$U116)))=Milestones!$AB$82),UPPER(TEXT(EDATE($D116,Milestones!$AA$82),"dd mmm yy"))&amp;" "&amp;Milestones!$AB$82&amp;" "&amp;Milestones!$AC$82&amp;";  ","")&amp;IF(AND(EDATE($D116,Milestones!$AA$83)&lt;=AsOfDate,IF($R116=0,$X116,IF(AND($T116&lt;&gt;"",EDATE($D116,Milestones!$AA$83)&gt;=$T116),$W116,IF(AND($S116&lt;&gt;"",EDATE($D116,Milestones!$AA$83)&gt;=$S116),$V116,$U116)))=Milestones!$AB$83),UPPER(TEXT(EDATE($D116,Milestones!$AA$83),"dd mmm yy"))&amp;" "&amp;Milestones!$AB$83&amp;" "&amp;Milestones!$AC$83&amp;";  ","")&amp;IF(AND(EDATE($D116,Milestones!$AA$84)&lt;=AsOfDate,IF($R116=0,$X116,IF(AND($T116&lt;&gt;"",EDATE($D116,Milestones!$AA$84)&gt;=$T116),$W116,IF(AND($S116&lt;&gt;"",EDATE($D116,Milestones!$AA$84)&gt;=$S116),$V116,$U116)))=Milestones!$AB$84),UPPER(TEXT(EDATE($D116,Milestones!$AA$84),"dd mmm yy"))&amp;" "&amp;Milestones!$AB$84&amp;" "&amp;Milestones!$AC$84&amp;";  ","")&amp;IF(AND(EDATE($D116,Milestones!$AA$85)&lt;=AsOfDate,IF($R116=0,$X116,IF(AND($T116&lt;&gt;"",EDATE($D116,Milestones!$AA$85)&gt;=$T116),$W116,IF(AND($S116&lt;&gt;"",EDATE($D116,Milestones!$AA$85)&gt;=$S116),$V116,$U116)))=Milestones!$AB$85),UPPER(TEXT(EDATE($D116,Milestones!$AA$85),"dd mmm yy"))&amp;" "&amp;Milestones!$AB$85&amp;" "&amp;Milestones!$AC$85&amp;";  ","")&amp;IF(AND(EDATE($D116,Milestones!$AA$86)&lt;=AsOfDate,IF($R116=0,$X116,IF(AND($T116&lt;&gt;"",EDATE($D116,Milestones!$AA$86)&gt;=$T116),$W116,IF(AND($S116&lt;&gt;"",EDATE($D116,Milestones!$AA$86)&gt;=$S116),$V116,$U116)))=Milestones!$AB$86),UPPER(TEXT(EDATE($D116,Milestones!$AA$86),"dd mmm yy"))&amp;" "&amp;Milestones!$AB$86&amp;" "&amp;Milestones!$AC$86&amp;";  ","")&amp;IF(AND(EDATE($D116,Milestones!$AA$87)&lt;=AsOfDate,IF($R116=0,$X116,IF(AND($T116&lt;&gt;"",EDATE($D116,Milestones!$AA$87)&gt;=$T116),$W116,IF(AND($S116&lt;&gt;"",EDATE($D116,Milestones!$AA$87)&gt;=$S116),$V116,$U116)))=Milestones!$AB$87),UPPER(TEXT(EDATE($D116,Milestones!$AA$87),"dd mmm yy"))&amp;" "&amp;Milestones!$AB$87&amp;" "&amp;Milestones!$AC$87&amp;";  ","")&amp;IF(AND(EDATE($D116,Milestones!$AA$88)&lt;=AsOfDate,IF($R116=0,$X116,IF(AND($T116&lt;&gt;"",EDATE($D116,Milestones!$AA$88)&gt;=$T116),$W116,IF(AND($S116&lt;&gt;"",EDATE($D116,Milestones!$AA$88)&gt;=$S116),$V116,$U116)))=Milestones!$AB$88),UPPER(TEXT(EDATE($D116,Milestones!$AA$88),"dd mmm yy"))&amp;" "&amp;Milestones!$AB$88&amp;" "&amp;Milestones!$AC$88&amp;";  ","")&amp;IF(AND(EDATE($D116,Milestones!$AA$89)&lt;=AsOfDate,IF($R116=0,$X116,IF(AND($T116&lt;&gt;"",EDATE($D116,Milestones!$AA$89)&gt;=$T116),$W116,IF(AND($S116&lt;&gt;"",EDATE($D116,Milestones!$AA$89)&gt;=$S116),$V116,$U116)))=Milestones!$AB$89),UPPER(TEXT(EDATE($D116,Milestones!$AA$89),"dd mmm yy"))&amp;" "&amp;Milestones!$AB$89&amp;" "&amp;Milestones!$AC$89&amp;";  ","")&amp;IF(AND(EDATE($D116,Milestones!$AA$90)&lt;=AsOfDate,IF($R116=0,$X116,IF(AND($T116&lt;&gt;"",EDATE($D116,Milestones!$AA$90)&gt;=$T116),$W116,IF(AND($S116&lt;&gt;"",EDATE($D116,Milestones!$AA$90)&gt;=$S116),$V116,$U116)))=Milestones!$AB$90),UPPER(TEXT(EDATE($D116,Milestones!$AA$90),"dd mmm yy"))&amp;" "&amp;Milestones!$AB$90&amp;" "&amp;Milestones!$AC$90&amp;";  ","")&amp;IF(AND(EDATE($D116,Milestones!$AA$91)&lt;=AsOfDate,IF($R116=0,$X116,IF(AND($T116&lt;&gt;"",EDATE($D116,Milestones!$AA$91)&gt;=$T116),$W116,IF(AND($S116&lt;&gt;"",EDATE($D116,Milestones!$AA$91)&gt;=$S116),$V116,$U116)))=Milestones!$AB$91),UPPER(TEXT(EDATE($D116,Milestones!$AA$91),"dd mmm yy"))&amp;" "&amp;Milestones!$AB$91&amp;" "&amp;Milestones!$AC$91&amp;";  ","")&amp;IF(AND(EDATE($D116,Milestones!$AA$92)&lt;=AsOfDate,IF($R116=0,$X116,IF(AND($T116&lt;&gt;"",EDATE($D116,Milestones!$AA$92)&gt;=$T116),$W116,IF(AND($S116&lt;&gt;"",EDATE($D116,Milestones!$AA$92)&gt;=$S116),$V116,$U116)))=Milestones!$AB$92),UPPER(TEXT(EDATE($D116,Milestones!$AA$92),"dd mmm yy"))&amp;" "&amp;Milestones!$AB$92&amp;" "&amp;Milestones!$AC$92&amp;";  ","")&amp;IF(AND(EDATE($D116,Milestones!$AA$93)&lt;=AsOfDate,IF($R116=0,$X116,IF(AND($T116&lt;&gt;"",EDATE($D116,Milestones!$AA$93)&gt;=$T116),$W116,IF(AND($S116&lt;&gt;"",EDATE($D116,Milestones!$AA$93)&gt;=$S116),$V116,$U116)))=Milestones!$AB$93),UPPER(TEXT(EDATE($D116,Milestones!$AA$93),"dd mmm yy"))&amp;" "&amp;Milestones!$AB$93&amp;" "&amp;Milestones!$AC$93&amp;";  ","")&amp;IF(AND(EDATE($D116,Milestones!$AA$94)&lt;=AsOfDate,IF($R116=0,$X116,IF(AND($T116&lt;&gt;"",EDATE($D116,Milestones!$AA$94)&gt;=$T116),$W116,IF(AND($S116&lt;&gt;"",EDATE($D116,Milestones!$AA$94)&gt;=$S116),$V116,$U116)))=Milestones!$AB$94),UPPER(TEXT(EDATE($D116,Milestones!$AA$94),"dd mmm yy"))&amp;" "&amp;Milestones!$AB$94&amp;" "&amp;Milestones!$AC$94&amp;";  ","")&amp;IF(AND(EDATE($D116,Milestones!$AA$95)&lt;=AsOfDate,IF($R116=0,$X116,IF(AND($T116&lt;&gt;"",EDATE($D116,Milestones!$AA$95)&gt;=$T116),$W116,IF(AND($S116&lt;&gt;"",EDATE($D116,Milestones!$AA$95)&gt;=$S116),$V116,$U116)))=Milestones!$AB$95),UPPER(TEXT(EDATE($D116,Milestones!$AA$95),"dd mmm yy"))&amp;" "&amp;Milestones!$AB$95&amp;" "&amp;Milestones!$AC$95&amp;";  ","")&amp;IF(AND(EDATE($D116,Milestones!$AA$96)&lt;=AsOfDate,IF($R116=0,$X116,IF(AND($T116&lt;&gt;"",EDATE($D116,Milestones!$AA$96)&gt;=$T116),$W116,IF(AND($S116&lt;&gt;"",EDATE($D116,Milestones!$AA$96)&gt;=$S116),$V116,$U116)))=Milestones!$AB$96),UPPER(TEXT(EDATE($D116,Milestones!$AA$96),"dd mmm yy"))&amp;" "&amp;Milestones!$AB$96&amp;" "&amp;Milestones!$AC$96&amp;";  ","")&amp;IF(AND(EDATE($D116,Milestones!$AA$97)&lt;=AsOfDate,IF($R116=0,$X116,IF(AND($T116&lt;&gt;"",EDATE($D116,Milestones!$AA$97)&gt;=$T116),$W116,IF(AND($S116&lt;&gt;"",EDATE($D116,Milestones!$AA$97)&gt;=$S116),$V116,$U116)))=Milestones!$AB$97),UPPER(TEXT(EDATE($D116,Milestones!$AA$97),"dd mmm yy"))&amp;" "&amp;Milestones!$AB$97&amp;" "&amp;Milestones!$AC$97&amp;";  ","")&amp;IF(AND(EDATE($D116,Milestones!$AA$98)&lt;=AsOfDate,IF($R116=0,$X116,IF(AND($T116&lt;&gt;"",EDATE($D116,Milestones!$AA$98)&gt;=$T116),$W116,IF(AND($S116&lt;&gt;"",EDATE($D116,Milestones!$AA$98)&gt;=$S116),$V116,$U116)))=Milestones!$AB$98),UPPER(TEXT(EDATE($D116,Milestones!$AA$98),"dd mmm yy"))&amp;" "&amp;Milestones!$AB$98&amp;" "&amp;Milestones!$AC$98&amp;";  ","")&amp;IF(AND(EDATE($D116,Milestones!$AA$99)&lt;=AsOfDate,IF($R116=0,$X116,IF(AND($T116&lt;&gt;"",EDATE($D116,Milestones!$AA$99)&gt;=$T116),$W116,IF(AND($S116&lt;&gt;"",EDATE($D116,Milestones!$AA$99)&gt;=$S116),$V116,$U116)))=Milestones!$AB$99),UPPER(TEXT(EDATE($D116,Milestones!$AA$99),"dd mmm yy"))&amp;" "&amp;Milestones!$AB$99&amp;" "&amp;Milestones!$AC$99&amp;";  ",""))</f>
        <v/>
      </c>
      <c r="M116" s="0" t="str">
        <f aca="false">IF(OR($A116="",$D116=""),"",IF(AND(EDATE($D116,Milestones!$AA$100)&lt;=AsOfDate,IF($R116=0,$X116,IF(AND($T116&lt;&gt;"",EDATE($D116,Milestones!$AA$100)&gt;=$T116),$W116,IF(AND($S116&lt;&gt;"",EDATE($D116,Milestones!$AA$100)&gt;=$S116),$V116,$U116)))=Milestones!$AB$100),UPPER(TEXT(EDATE($D116,Milestones!$AA$100),"dd mmm yy"))&amp;" "&amp;Milestones!$AB$100&amp;" "&amp;Milestones!$AC$100&amp;";  ","")&amp;IF(AND(EDATE($D116,Milestones!$AA$101)&lt;=AsOfDate,IF($R116=0,$X116,IF(AND($T116&lt;&gt;"",EDATE($D116,Milestones!$AA$101)&gt;=$T116),$W116,IF(AND($S116&lt;&gt;"",EDATE($D116,Milestones!$AA$101)&gt;=$S116),$V116,$U116)))=Milestones!$AB$101),UPPER(TEXT(EDATE($D116,Milestones!$AA$101),"dd mmm yy"))&amp;" "&amp;Milestones!$AB$101&amp;" "&amp;Milestones!$AC$101&amp;";  ","")&amp;IF(AND(EDATE($D116,Milestones!$AA$102)&lt;=AsOfDate,IF($R116=0,$X116,IF(AND($T116&lt;&gt;"",EDATE($D116,Milestones!$AA$102)&gt;=$T116),$W116,IF(AND($S116&lt;&gt;"",EDATE($D116,Milestones!$AA$102)&gt;=$S116),$V116,$U116)))=Milestones!$AB$102),UPPER(TEXT(EDATE($D116,Milestones!$AA$102),"dd mmm yy"))&amp;" "&amp;Milestones!$AB$102&amp;" "&amp;Milestones!$AC$102&amp;";  ","")&amp;IF(AND(EDATE($D116,Milestones!$AA$103)&lt;=AsOfDate,IF($R116=0,$X116,IF(AND($T116&lt;&gt;"",EDATE($D116,Milestones!$AA$103)&gt;=$T116),$W116,IF(AND($S116&lt;&gt;"",EDATE($D116,Milestones!$AA$103)&gt;=$S116),$V116,$U116)))=Milestones!$AB$103),UPPER(TEXT(EDATE($D116,Milestones!$AA$103),"dd mmm yy"))&amp;" "&amp;Milestones!$AB$103&amp;" "&amp;Milestones!$AC$103&amp;";  ","")&amp;IF(AND(EDATE($D116,Milestones!$AA$104)&lt;=AsOfDate,IF($R116=0,$X116,IF(AND($T116&lt;&gt;"",EDATE($D116,Milestones!$AA$104)&gt;=$T116),$W116,IF(AND($S116&lt;&gt;"",EDATE($D116,Milestones!$AA$104)&gt;=$S116),$V116,$U116)))=Milestones!$AB$104),UPPER(TEXT(EDATE($D116,Milestones!$AA$104),"dd mmm yy"))&amp;" "&amp;Milestones!$AB$104&amp;" "&amp;Milestones!$AC$104&amp;";  ","")&amp;IF(AND(EDATE($D116,Milestones!$AA$105)&lt;=AsOfDate,IF($R116=0,$X116,IF(AND($T116&lt;&gt;"",EDATE($D116,Milestones!$AA$105)&gt;=$T116),$W116,IF(AND($S116&lt;&gt;"",EDATE($D116,Milestones!$AA$105)&gt;=$S116),$V116,$U116)))=Milestones!$AB$105),UPPER(TEXT(EDATE($D116,Milestones!$AA$105),"dd mmm yy"))&amp;" "&amp;Milestones!$AB$105&amp;" "&amp;Milestones!$AC$105&amp;";  ","")&amp;IF(AND(EDATE($D116,Milestones!$AA$106)&lt;=AsOfDate,IF($R116=0,$X116,IF(AND($T116&lt;&gt;"",EDATE($D116,Milestones!$AA$106)&gt;=$T116),$W116,IF(AND($S116&lt;&gt;"",EDATE($D116,Milestones!$AA$106)&gt;=$S116),$V116,$U116)))=Milestones!$AB$106),UPPER(TEXT(EDATE($D116,Milestones!$AA$106),"dd mmm yy"))&amp;" "&amp;Milestones!$AB$106&amp;" "&amp;Milestones!$AC$106&amp;";  ","")&amp;IF(AND(EDATE($D116,Milestones!$AA$107)&lt;=AsOfDate,IF($R116=0,$X116,IF(AND($T116&lt;&gt;"",EDATE($D116,Milestones!$AA$107)&gt;=$T116),$W116,IF(AND($S116&lt;&gt;"",EDATE($D116,Milestones!$AA$107)&gt;=$S116),$V116,$U116)))=Milestones!$AB$107),UPPER(TEXT(EDATE($D116,Milestones!$AA$107),"dd mmm yy"))&amp;" "&amp;Milestones!$AB$107&amp;" "&amp;Milestones!$AC$107&amp;";  ","")&amp;IF(AND(EDATE($D116,Milestones!$AA$108)&lt;=AsOfDate,IF($R116=0,$X116,IF(AND($T116&lt;&gt;"",EDATE($D116,Milestones!$AA$108)&gt;=$T116),$W116,IF(AND($S116&lt;&gt;"",EDATE($D116,Milestones!$AA$108)&gt;=$S116),$V116,$U116)))=Milestones!$AB$108),UPPER(TEXT(EDATE($D116,Milestones!$AA$108),"dd mmm yy"))&amp;" "&amp;Milestones!$AB$108&amp;" "&amp;Milestones!$AC$108&amp;";  ","")&amp;IF(AND(EDATE($D116,Milestones!$AA$109)&lt;=AsOfDate,IF($R116=0,$X116,IF(AND($T116&lt;&gt;"",EDATE($D116,Milestones!$AA$109)&gt;=$T116),$W116,IF(AND($S116&lt;&gt;"",EDATE($D116,Milestones!$AA$109)&gt;=$S116),$V116,$U116)))=Milestones!$AB$109),UPPER(TEXT(EDATE($D116,Milestones!$AA$109),"dd mmm yy"))&amp;" "&amp;Milestones!$AB$109&amp;" "&amp;Milestones!$AC$109&amp;";  ","")&amp;IF(AND(EDATE($D116,Milestones!$AA$110)&lt;=AsOfDate,IF($R116=0,$X116,IF(AND($T116&lt;&gt;"",EDATE($D116,Milestones!$AA$110)&gt;=$T116),$W116,IF(AND($S116&lt;&gt;"",EDATE($D116,Milestones!$AA$110)&gt;=$S116),$V116,$U116)))=Milestones!$AB$110),UPPER(TEXT(EDATE($D116,Milestones!$AA$110),"dd mmm yy"))&amp;" "&amp;Milestones!$AB$110&amp;" "&amp;Milestones!$AC$110&amp;";  ","")&amp;IF(AND(EDATE($D116,Milestones!$AA$111)&lt;=AsOfDate,IF($R116=0,$X116,IF(AND($T116&lt;&gt;"",EDATE($D116,Milestones!$AA$111)&gt;=$T116),$W116,IF(AND($S116&lt;&gt;"",EDATE($D116,Milestones!$AA$111)&gt;=$S116),$V116,$U116)))=Milestones!$AB$111),UPPER(TEXT(EDATE($D116,Milestones!$AA$111),"dd mmm yy"))&amp;" "&amp;Milestones!$AB$111&amp;" "&amp;Milestones!$AC$111&amp;";  ","")&amp;IF(AND(EDATE($D116,Milestones!$AA$112)&lt;=AsOfDate,IF($R116=0,$X116,IF(AND($T116&lt;&gt;"",EDATE($D116,Milestones!$AA$112)&gt;=$T116),$W116,IF(AND($S116&lt;&gt;"",EDATE($D116,Milestones!$AA$112)&gt;=$S116),$V116,$U116)))=Milestones!$AB$112),UPPER(TEXT(EDATE($D116,Milestones!$AA$112),"dd mmm yy"))&amp;" "&amp;Milestones!$AB$112&amp;" "&amp;Milestones!$AC$112&amp;";  ","")&amp;IF(AND(EDATE($D116,Milestones!$AA$113)&lt;=AsOfDate,IF($R116=0,$X116,IF(AND($T116&lt;&gt;"",EDATE($D116,Milestones!$AA$113)&gt;=$T116),$W116,IF(AND($S116&lt;&gt;"",EDATE($D116,Milestones!$AA$113)&gt;=$S116),$V116,$U116)))=Milestones!$AB$113),UPPER(TEXT(EDATE($D116,Milestones!$AA$113),"dd mmm yy"))&amp;" "&amp;Milestones!$AB$113&amp;" "&amp;Milestones!$AC$113&amp;";  ","")&amp;IF(AND(EDATE($D116,Milestones!$AA$114)&lt;=AsOfDate,IF($R116=0,$X116,IF(AND($T116&lt;&gt;"",EDATE($D116,Milestones!$AA$114)&gt;=$T116),$W116,IF(AND($S116&lt;&gt;"",EDATE($D116,Milestones!$AA$114)&gt;=$S116),$V116,$U116)))=Milestones!$AB$114),UPPER(TEXT(EDATE($D116,Milestones!$AA$114),"dd mmm yy"))&amp;" "&amp;Milestones!$AB$114&amp;" "&amp;Milestones!$AC$114&amp;";  ","")&amp;IF(AND(EDATE($D116,Milestones!$AA$115)&lt;=AsOfDate,IF($R116=0,$X116,IF(AND($T116&lt;&gt;"",EDATE($D116,Milestones!$AA$115)&gt;=$T116),$W116,IF(AND($S116&lt;&gt;"",EDATE($D116,Milestones!$AA$115)&gt;=$S116),$V116,$U116)))=Milestones!$AB$115),UPPER(TEXT(EDATE($D116,Milestones!$AA$115),"dd mmm yy"))&amp;" "&amp;Milestones!$AB$115&amp;" "&amp;Milestones!$AC$115&amp;";  ","")&amp;IF(AND(EDATE($D116,Milestones!$AA$116)&lt;=AsOfDate,IF($R116=0,$X116,IF(AND($T116&lt;&gt;"",EDATE($D116,Milestones!$AA$116)&gt;=$T116),$W116,IF(AND($S116&lt;&gt;"",EDATE($D116,Milestones!$AA$116)&gt;=$S116),$V116,$U116)))=Milestones!$AB$116),UPPER(TEXT(EDATE($D116,Milestones!$AA$116),"dd mmm yy"))&amp;" "&amp;Milestones!$AB$116&amp;" "&amp;Milestones!$AC$116&amp;";  ","")&amp;IF(AND(EDATE($D116,Milestones!$AA$117)&lt;=AsOfDate,IF($R116=0,$X116,IF(AND($T116&lt;&gt;"",EDATE($D116,Milestones!$AA$117)&gt;=$T116),$W116,IF(AND($S116&lt;&gt;"",EDATE($D116,Milestones!$AA$117)&gt;=$S116),$V116,$U116)))=Milestones!$AB$117),UPPER(TEXT(EDATE($D116,Milestones!$AA$117),"dd mmm yy"))&amp;" "&amp;Milestones!$AB$117&amp;" "&amp;Milestones!$AC$117&amp;";  ","")&amp;IF(AND(EDATE($D116,Milestones!$AA$118)&lt;=AsOfDate,IF($R116=0,$X116,IF(AND($T116&lt;&gt;"",EDATE($D116,Milestones!$AA$118)&gt;=$T116),$W116,IF(AND($S116&lt;&gt;"",EDATE($D116,Milestones!$AA$118)&gt;=$S116),$V116,$U116)))=Milestones!$AB$118),UPPER(TEXT(EDATE($D116,Milestones!$AA$118),"dd mmm yy"))&amp;" "&amp;Milestones!$AB$118&amp;" "&amp;Milestones!$AC$118&amp;";  ","")&amp;IF(AND(EDATE($D116,Milestones!$AA$119)&lt;=AsOfDate,IF($R116=0,$X116,IF(AND($T116&lt;&gt;"",EDATE($D116,Milestones!$AA$119)&gt;=$T116),$W116,IF(AND($S116&lt;&gt;"",EDATE($D116,Milestones!$AA$119)&gt;=$S116),$V116,$U116)))=Milestones!$AB$119),UPPER(TEXT(EDATE($D116,Milestones!$AA$119),"dd mmm yy"))&amp;" "&amp;Milestones!$AB$119&amp;" "&amp;Milestones!$AC$119&amp;";  ",""))</f>
        <v/>
      </c>
      <c r="N116" s="0" t="str">
        <f aca="false">IF(OR($A116="",$D116=""),"",IF(AND(EDATE($D116,Milestones!$AA$120)&lt;=AsOfDate,IF($R116=0,$X116,IF(AND($T116&lt;&gt;"",EDATE($D116,Milestones!$AA$120)&gt;=$T116),$W116,IF(AND($S116&lt;&gt;"",EDATE($D116,Milestones!$AA$120)&gt;=$S116),$V116,$U116)))=Milestones!$AB$120),UPPER(TEXT(EDATE($D116,Milestones!$AA$120),"dd mmm yy"))&amp;" "&amp;Milestones!$AB$120&amp;" "&amp;Milestones!$AC$120&amp;";  ","")&amp;IF(AND(EDATE($D116,Milestones!$AA$121)&lt;=AsOfDate,IF($R116=0,$X116,IF(AND($T116&lt;&gt;"",EDATE($D116,Milestones!$AA$121)&gt;=$T116),$W116,IF(AND($S116&lt;&gt;"",EDATE($D116,Milestones!$AA$121)&gt;=$S116),$V116,$U116)))=Milestones!$AB$121),UPPER(TEXT(EDATE($D116,Milestones!$AA$121),"dd mmm yy"))&amp;" "&amp;Milestones!$AB$121&amp;" "&amp;Milestones!$AC$121&amp;";  ","")&amp;IF(AND(EDATE($D116,Milestones!$AA$122)&lt;=AsOfDate,IF($R116=0,$X116,IF(AND($T116&lt;&gt;"",EDATE($D116,Milestones!$AA$122)&gt;=$T116),$W116,IF(AND($S116&lt;&gt;"",EDATE($D116,Milestones!$AA$122)&gt;=$S116),$V116,$U116)))=Milestones!$AB$122),UPPER(TEXT(EDATE($D116,Milestones!$AA$122),"dd mmm yy"))&amp;" "&amp;Milestones!$AB$122&amp;" "&amp;Milestones!$AC$122&amp;";  ","")&amp;IF(AND(EDATE($D116,Milestones!$AA$123)&lt;=AsOfDate,IF($R116=0,$X116,IF(AND($T116&lt;&gt;"",EDATE($D116,Milestones!$AA$123)&gt;=$T116),$W116,IF(AND($S116&lt;&gt;"",EDATE($D116,Milestones!$AA$123)&gt;=$S116),$V116,$U116)))=Milestones!$AB$123),UPPER(TEXT(EDATE($D116,Milestones!$AA$123),"dd mmm yy"))&amp;" "&amp;Milestones!$AB$123&amp;" "&amp;Milestones!$AC$123&amp;";  ","")&amp;IF(AND(EDATE($D116,Milestones!$AA$124)&lt;=AsOfDate,IF($R116=0,$X116,IF(AND($T116&lt;&gt;"",EDATE($D116,Milestones!$AA$124)&gt;=$T116),$W116,IF(AND($S116&lt;&gt;"",EDATE($D116,Milestones!$AA$124)&gt;=$S116),$V116,$U116)))=Milestones!$AB$124),UPPER(TEXT(EDATE($D116,Milestones!$AA$124),"dd mmm yy"))&amp;" "&amp;Milestones!$AB$124&amp;" "&amp;Milestones!$AC$124&amp;";  ","")&amp;IF(AND(EDATE($D116,Milestones!$AA$125)&lt;=AsOfDate,IF($R116=0,$X116,IF(AND($T116&lt;&gt;"",EDATE($D116,Milestones!$AA$125)&gt;=$T116),$W116,IF(AND($S116&lt;&gt;"",EDATE($D116,Milestones!$AA$125)&gt;=$S116),$V116,$U116)))=Milestones!$AB$125),UPPER(TEXT(EDATE($D116,Milestones!$AA$125),"dd mmm yy"))&amp;" "&amp;Milestones!$AB$125&amp;" "&amp;Milestones!$AC$125&amp;";  ","")&amp;IF(AND(EDATE($D116,Milestones!$AA$126)&lt;=AsOfDate,IF($R116=0,$X116,IF(AND($T116&lt;&gt;"",EDATE($D116,Milestones!$AA$126)&gt;=$T116),$W116,IF(AND($S116&lt;&gt;"",EDATE($D116,Milestones!$AA$126)&gt;=$S116),$V116,$U116)))=Milestones!$AB$126),UPPER(TEXT(EDATE($D116,Milestones!$AA$126),"dd mmm yy"))&amp;" "&amp;Milestones!$AB$126&amp;" "&amp;Milestones!$AC$126&amp;";  ","")&amp;IF(AND(EDATE($D116,Milestones!$AA$127)&lt;=AsOfDate,IF($R116=0,$X116,IF(AND($T116&lt;&gt;"",EDATE($D116,Milestones!$AA$127)&gt;=$T116),$W116,IF(AND($S116&lt;&gt;"",EDATE($D116,Milestones!$AA$127)&gt;=$S116),$V116,$U116)))=Milestones!$AB$127),UPPER(TEXT(EDATE($D116,Milestones!$AA$127),"dd mmm yy"))&amp;" "&amp;Milestones!$AB$127&amp;" "&amp;Milestones!$AC$127&amp;";  ","")&amp;IF(AND(EDATE($D116,Milestones!$AA$128)&lt;=AsOfDate,IF($R116=0,$X116,IF(AND($T116&lt;&gt;"",EDATE($D116,Milestones!$AA$128)&gt;=$T116),$W116,IF(AND($S116&lt;&gt;"",EDATE($D116,Milestones!$AA$128)&gt;=$S116),$V116,$U116)))=Milestones!$AB$128),UPPER(TEXT(EDATE($D116,Milestones!$AA$128),"dd mmm yy"))&amp;" "&amp;Milestones!$AB$128&amp;" "&amp;Milestones!$AC$128&amp;";  ","")&amp;IF(AND(EDATE($D116,Milestones!$AA$129)&lt;=AsOfDate,IF($R116=0,$X116,IF(AND($T116&lt;&gt;"",EDATE($D116,Milestones!$AA$129)&gt;=$T116),$W116,IF(AND($S116&lt;&gt;"",EDATE($D116,Milestones!$AA$129)&gt;=$S116),$V116,$U116)))=Milestones!$AB$129),UPPER(TEXT(EDATE($D116,Milestones!$AA$129),"dd mmm yy"))&amp;" "&amp;Milestones!$AB$129&amp;" "&amp;Milestones!$AC$129&amp;";  ","")&amp;IF(AND(EDATE($D116,Milestones!$AA$130)&lt;=AsOfDate,IF($R116=0,$X116,IF(AND($T116&lt;&gt;"",EDATE($D116,Milestones!$AA$130)&gt;=$T116),$W116,IF(AND($S116&lt;&gt;"",EDATE($D116,Milestones!$AA$130)&gt;=$S116),$V116,$U116)))=Milestones!$AB$130),UPPER(TEXT(EDATE($D116,Milestones!$AA$130),"dd mmm yy"))&amp;" "&amp;Milestones!$AB$130&amp;" "&amp;Milestones!$AC$130&amp;";  ","")&amp;IF(AND(EDATE($D116,Milestones!$AA$131)&lt;=AsOfDate,IF($R116=0,$X116,IF(AND($T116&lt;&gt;"",EDATE($D116,Milestones!$AA$131)&gt;=$T116),$W116,IF(AND($S116&lt;&gt;"",EDATE($D116,Milestones!$AA$131)&gt;=$S116),$V116,$U116)))=Milestones!$AB$131),UPPER(TEXT(EDATE($D116,Milestones!$AA$131),"dd mmm yy"))&amp;" "&amp;Milestones!$AB$131&amp;" "&amp;Milestones!$AC$131&amp;";  ","")&amp;IF(AND(EDATE($D116,Milestones!$AA$132)&lt;=AsOfDate,IF($R116=0,$X116,IF(AND($T116&lt;&gt;"",EDATE($D116,Milestones!$AA$132)&gt;=$T116),$W116,IF(AND($S116&lt;&gt;"",EDATE($D116,Milestones!$AA$132)&gt;=$S116),$V116,$U116)))=Milestones!$AB$132),UPPER(TEXT(EDATE($D116,Milestones!$AA$132),"dd mmm yy"))&amp;" "&amp;Milestones!$AB$132&amp;" "&amp;Milestones!$AC$132&amp;";  ","")&amp;IF(AND(EDATE($D116,Milestones!$AA$133)&lt;=AsOfDate,IF($R116=0,$X116,IF(AND($T116&lt;&gt;"",EDATE($D116,Milestones!$AA$133)&gt;=$T116),$W116,IF(AND($S116&lt;&gt;"",EDATE($D116,Milestones!$AA$133)&gt;=$S116),$V116,$U116)))=Milestones!$AB$133),UPPER(TEXT(EDATE($D116,Milestones!$AA$133),"dd mmm yy"))&amp;" "&amp;Milestones!$AB$133&amp;" "&amp;Milestones!$AC$133&amp;";  ","")&amp;IF(AND(EDATE($D116,Milestones!$AA$134)&lt;=AsOfDate,IF($R116=0,$X116,IF(AND($T116&lt;&gt;"",EDATE($D116,Milestones!$AA$134)&gt;=$T116),$W116,IF(AND($S116&lt;&gt;"",EDATE($D116,Milestones!$AA$134)&gt;=$S116),$V116,$U116)))=Milestones!$AB$134),UPPER(TEXT(EDATE($D116,Milestones!$AA$134),"dd mmm yy"))&amp;" "&amp;Milestones!$AB$134&amp;" "&amp;Milestones!$AC$134&amp;";  ","")&amp;IF(AND(EDATE($D116,Milestones!$AA$135)&lt;=AsOfDate,IF($R116=0,$X116,IF(AND($T116&lt;&gt;"",EDATE($D116,Milestones!$AA$135)&gt;=$T116),$W116,IF(AND($S116&lt;&gt;"",EDATE($D116,Milestones!$AA$135)&gt;=$S116),$V116,$U116)))=Milestones!$AB$135),UPPER(TEXT(EDATE($D116,Milestones!$AA$135),"dd mmm yy"))&amp;" "&amp;Milestones!$AB$135&amp;" "&amp;Milestones!$AC$135&amp;";  ","")&amp;IF(AND(EDATE($D116,Milestones!$AA$136)&lt;=AsOfDate,IF($R116=0,$X116,IF(AND($T116&lt;&gt;"",EDATE($D116,Milestones!$AA$136)&gt;=$T116),$W116,IF(AND($S116&lt;&gt;"",EDATE($D116,Milestones!$AA$136)&gt;=$S116),$V116,$U116)))=Milestones!$AB$136),UPPER(TEXT(EDATE($D116,Milestones!$AA$136),"dd mmm yy"))&amp;" "&amp;Milestones!$AB$136&amp;" "&amp;Milestones!$AC$136&amp;";  ","")&amp;IF(AND(EDATE($D116,Milestones!$AA$137)&lt;=AsOfDate,IF($R116=0,$X116,IF(AND($T116&lt;&gt;"",EDATE($D116,Milestones!$AA$137)&gt;=$T116),$W116,IF(AND($S116&lt;&gt;"",EDATE($D116,Milestones!$AA$137)&gt;=$S116),$V116,$U116)))=Milestones!$AB$137),UPPER(TEXT(EDATE($D116,Milestones!$AA$137),"dd mmm yy"))&amp;" "&amp;Milestones!$AB$137&amp;" "&amp;Milestones!$AC$137&amp;";  ","")&amp;IF(AND(EDATE($D116,Milestones!$AA$138)&lt;=AsOfDate,IF($R116=0,$X116,IF(AND($T116&lt;&gt;"",EDATE($D116,Milestones!$AA$138)&gt;=$T116),$W116,IF(AND($S116&lt;&gt;"",EDATE($D116,Milestones!$AA$138)&gt;=$S116),$V116,$U116)))=Milestones!$AB$138),UPPER(TEXT(EDATE($D116,Milestones!$AA$138),"dd mmm yy"))&amp;" "&amp;Milestones!$AB$138&amp;" "&amp;Milestones!$AC$138&amp;";  ","")&amp;IF(AND(EDATE($D116,Milestones!$AA$139)&lt;=AsOfDate,IF($R116=0,$X116,IF(AND($T116&lt;&gt;"",EDATE($D116,Milestones!$AA$139)&gt;=$T116),$W116,IF(AND($S116&lt;&gt;"",EDATE($D116,Milestones!$AA$139)&gt;=$S116),$V116,$U116)))=Milestones!$AB$139),UPPER(TEXT(EDATE($D116,Milestones!$AA$139),"dd mmm yy"))&amp;" "&amp;Milestones!$AB$139&amp;" "&amp;Milestones!$AC$139&amp;";  ",""))</f>
        <v/>
      </c>
      <c r="O116" s="0" t="str">
        <f aca="false">IF(OR($A116="",$D116=""),"",IF(AND(EDATE($D116,Milestones!$AA$140)&lt;=AsOfDate,IF($R116=0,$X116,IF(AND($T116&lt;&gt;"",EDATE($D116,Milestones!$AA$140)&gt;=$T116),$W116,IF(AND($S116&lt;&gt;"",EDATE($D116,Milestones!$AA$140)&gt;=$S116),$V116,$U116)))=Milestones!$AB$140),UPPER(TEXT(EDATE($D116,Milestones!$AA$140),"dd mmm yy"))&amp;" "&amp;Milestones!$AB$140&amp;" "&amp;Milestones!$AC$140&amp;";  ","")&amp;IF(AND(EDATE($D116,Milestones!$AA$141)&lt;=AsOfDate,IF($R116=0,$X116,IF(AND($T116&lt;&gt;"",EDATE($D116,Milestones!$AA$141)&gt;=$T116),$W116,IF(AND($S116&lt;&gt;"",EDATE($D116,Milestones!$AA$141)&gt;=$S116),$V116,$U116)))=Milestones!$AB$141),UPPER(TEXT(EDATE($D116,Milestones!$AA$141),"dd mmm yy"))&amp;" "&amp;Milestones!$AB$141&amp;" "&amp;Milestones!$AC$141&amp;";  ","")&amp;IF(AND(EDATE($D116,Milestones!$AA$142)&lt;=AsOfDate,IF($R116=0,$X116,IF(AND($T116&lt;&gt;"",EDATE($D116,Milestones!$AA$142)&gt;=$T116),$W116,IF(AND($S116&lt;&gt;"",EDATE($D116,Milestones!$AA$142)&gt;=$S116),$V116,$U116)))=Milestones!$AB$142),UPPER(TEXT(EDATE($D116,Milestones!$AA$142),"dd mmm yy"))&amp;" "&amp;Milestones!$AB$142&amp;" "&amp;Milestones!$AC$142&amp;";  ","")&amp;IF(AND(EDATE($D116,Milestones!$AA$143)&lt;=AsOfDate,IF($R116=0,$X116,IF(AND($T116&lt;&gt;"",EDATE($D116,Milestones!$AA$143)&gt;=$T116),$W116,IF(AND($S116&lt;&gt;"",EDATE($D116,Milestones!$AA$143)&gt;=$S116),$V116,$U116)))=Milestones!$AB$143),UPPER(TEXT(EDATE($D116,Milestones!$AA$143),"dd mmm yy"))&amp;" "&amp;Milestones!$AB$143&amp;" "&amp;Milestones!$AC$143&amp;";  ","")&amp;IF(AND(EDATE($D116,Milestones!$AA$144)&lt;=AsOfDate,IF($R116=0,$X116,IF(AND($T116&lt;&gt;"",EDATE($D116,Milestones!$AA$144)&gt;=$T116),$W116,IF(AND($S116&lt;&gt;"",EDATE($D116,Milestones!$AA$144)&gt;=$S116),$V116,$U116)))=Milestones!$AB$144),UPPER(TEXT(EDATE($D116,Milestones!$AA$144),"dd mmm yy"))&amp;" "&amp;Milestones!$AB$144&amp;" "&amp;Milestones!$AC$144&amp;";  ","")&amp;IF(AND(EDATE($D116,Milestones!$AA$145)&lt;=AsOfDate,IF($R116=0,$X116,IF(AND($T116&lt;&gt;"",EDATE($D116,Milestones!$AA$145)&gt;=$T116),$W116,IF(AND($S116&lt;&gt;"",EDATE($D116,Milestones!$AA$145)&gt;=$S116),$V116,$U116)))=Milestones!$AB$145),UPPER(TEXT(EDATE($D116,Milestones!$AA$145),"dd mmm yy"))&amp;" "&amp;Milestones!$AB$145&amp;" "&amp;Milestones!$AC$145&amp;";  ","")&amp;IF(AND(EDATE($D116,Milestones!$AA$146)&lt;=AsOfDate,IF($R116=0,$X116,IF(AND($T116&lt;&gt;"",EDATE($D116,Milestones!$AA$146)&gt;=$T116),$W116,IF(AND($S116&lt;&gt;"",EDATE($D116,Milestones!$AA$146)&gt;=$S116),$V116,$U116)))=Milestones!$AB$146),UPPER(TEXT(EDATE($D116,Milestones!$AA$146),"dd mmm yy"))&amp;" "&amp;Milestones!$AB$146&amp;" "&amp;Milestones!$AC$146&amp;";  ","")&amp;IF(AND(EDATE($D116,Milestones!$AA$147)&lt;=AsOfDate,IF($R116=0,$X116,IF(AND($T116&lt;&gt;"",EDATE($D116,Milestones!$AA$147)&gt;=$T116),$W116,IF(AND($S116&lt;&gt;"",EDATE($D116,Milestones!$AA$147)&gt;=$S116),$V116,$U116)))=Milestones!$AB$147),UPPER(TEXT(EDATE($D116,Milestones!$AA$147),"dd mmm yy"))&amp;" "&amp;Milestones!$AB$147&amp;" "&amp;Milestones!$AC$147&amp;";  ","")&amp;IF(AND(EDATE($D116,Milestones!$AA$148)&lt;=AsOfDate,IF($R116=0,$X116,IF(AND($T116&lt;&gt;"",EDATE($D116,Milestones!$AA$148)&gt;=$T116),$W116,IF(AND($S116&lt;&gt;"",EDATE($D116,Milestones!$AA$148)&gt;=$S116),$V116,$U116)))=Milestones!$AB$148),UPPER(TEXT(EDATE($D116,Milestones!$AA$148),"dd mmm yy"))&amp;" "&amp;Milestones!$AB$148&amp;" "&amp;Milestones!$AC$148&amp;";  ","")&amp;IF(AND(EDATE($D116,Milestones!$AA$149)&lt;=AsOfDate,IF($R116=0,$X116,IF(AND($T116&lt;&gt;"",EDATE($D116,Milestones!$AA$149)&gt;=$T116),$W116,IF(AND($S116&lt;&gt;"",EDATE($D116,Milestones!$AA$149)&gt;=$S116),$V116,$U116)))=Milestones!$AB$149),UPPER(TEXT(EDATE($D116,Milestones!$AA$149),"dd mmm yy"))&amp;" "&amp;Milestones!$AB$149&amp;" "&amp;Milestones!$AC$149&amp;";  ","")&amp;IF(AND(EDATE($D116,Milestones!$AA$150)&lt;=AsOfDate,IF($R116=0,$X116,IF(AND($T116&lt;&gt;"",EDATE($D116,Milestones!$AA$150)&gt;=$T116),$W116,IF(AND($S116&lt;&gt;"",EDATE($D116,Milestones!$AA$150)&gt;=$S116),$V116,$U116)))=Milestones!$AB$150),UPPER(TEXT(EDATE($D116,Milestones!$AA$150),"dd mmm yy"))&amp;" "&amp;Milestones!$AB$150&amp;" "&amp;Milestones!$AC$150&amp;";  ","")&amp;IF(AND(EDATE($D116,Milestones!$AA$151)&lt;=AsOfDate,IF($R116=0,$X116,IF(AND($T116&lt;&gt;"",EDATE($D116,Milestones!$AA$151)&gt;=$T116),$W116,IF(AND($S116&lt;&gt;"",EDATE($D116,Milestones!$AA$151)&gt;=$S116),$V116,$U116)))=Milestones!$AB$151),UPPER(TEXT(EDATE($D116,Milestones!$AA$151),"dd mmm yy"))&amp;" "&amp;Milestones!$AB$151&amp;" "&amp;Milestones!$AC$151&amp;";  ","")&amp;IF(AND(EDATE($D116,Milestones!$AA$152)&lt;=AsOfDate,IF($R116=0,$X116,IF(AND($T116&lt;&gt;"",EDATE($D116,Milestones!$AA$152)&gt;=$T116),$W116,IF(AND($S116&lt;&gt;"",EDATE($D116,Milestones!$AA$152)&gt;=$S116),$V116,$U116)))=Milestones!$AB$152),UPPER(TEXT(EDATE($D116,Milestones!$AA$152),"dd mmm yy"))&amp;" "&amp;Milestones!$AB$152&amp;" "&amp;Milestones!$AC$152&amp;";  ","")&amp;IF(AND(EDATE($D116,Milestones!$AA$153)&lt;=AsOfDate,IF($R116=0,$X116,IF(AND($T116&lt;&gt;"",EDATE($D116,Milestones!$AA$153)&gt;=$T116),$W116,IF(AND($S116&lt;&gt;"",EDATE($D116,Milestones!$AA$153)&gt;=$S116),$V116,$U116)))=Milestones!$AB$153),UPPER(TEXT(EDATE($D116,Milestones!$AA$153),"dd mmm yy"))&amp;" "&amp;Milestones!$AB$153&amp;" "&amp;Milestones!$AC$153&amp;";  ","")&amp;IF(AND(EDATE($D116,Milestones!$AA$154)&lt;=AsOfDate,IF($R116=0,$X116,IF(AND($T116&lt;&gt;"",EDATE($D116,Milestones!$AA$154)&gt;=$T116),$W116,IF(AND($S116&lt;&gt;"",EDATE($D116,Milestones!$AA$154)&gt;=$S116),$V116,$U116)))=Milestones!$AB$154),UPPER(TEXT(EDATE($D116,Milestones!$AA$154),"dd mmm yy"))&amp;" "&amp;Milestones!$AB$154&amp;" "&amp;Milestones!$AC$154&amp;";  ","")&amp;IF(AND(EDATE($D116,Milestones!$AA$155)&lt;=AsOfDate,IF($R116=0,$X116,IF(AND($T116&lt;&gt;"",EDATE($D116,Milestones!$AA$155)&gt;=$T116),$W116,IF(AND($S116&lt;&gt;"",EDATE($D116,Milestones!$AA$155)&gt;=$S116),$V116,$U116)))=Milestones!$AB$155),UPPER(TEXT(EDATE($D116,Milestones!$AA$155),"dd mmm yy"))&amp;" "&amp;Milestones!$AB$155&amp;" "&amp;Milestones!$AC$155&amp;";  ","")&amp;IF(AND(EDATE($D116,Milestones!$AA$156)&lt;=AsOfDate,IF($R116=0,$X116,IF(AND($T116&lt;&gt;"",EDATE($D116,Milestones!$AA$156)&gt;=$T116),$W116,IF(AND($S116&lt;&gt;"",EDATE($D116,Milestones!$AA$156)&gt;=$S116),$V116,$U116)))=Milestones!$AB$156),UPPER(TEXT(EDATE($D116,Milestones!$AA$156),"dd mmm yy"))&amp;" "&amp;Milestones!$AB$156&amp;" "&amp;Milestones!$AC$156&amp;";  ","")&amp;IF(AND(EDATE($D116,Milestones!$AA$157)&lt;=AsOfDate,IF($R116=0,$X116,IF(AND($T116&lt;&gt;"",EDATE($D116,Milestones!$AA$157)&gt;=$T116),$W116,IF(AND($S116&lt;&gt;"",EDATE($D116,Milestones!$AA$157)&gt;=$S116),$V116,$U116)))=Milestones!$AB$157),UPPER(TEXT(EDATE($D116,Milestones!$AA$157),"dd mmm yy"))&amp;" "&amp;Milestones!$AB$157&amp;" "&amp;Milestones!$AC$157&amp;";  ","")&amp;IF(AND(EDATE($D116,Milestones!$AA$158)&lt;=AsOfDate,IF($R116=0,$X116,IF(AND($T116&lt;&gt;"",EDATE($D116,Milestones!$AA$158)&gt;=$T116),$W116,IF(AND($S116&lt;&gt;"",EDATE($D116,Milestones!$AA$158)&gt;=$S116),$V116,$U116)))=Milestones!$AB$158),UPPER(TEXT(EDATE($D116,Milestones!$AA$158),"dd mmm yy"))&amp;" "&amp;Milestones!$AB$158&amp;" "&amp;Milestones!$AC$158&amp;";  ","")&amp;IF(AND(EDATE($D116,Milestones!$AA$159)&lt;=AsOfDate,IF($R116=0,$X116,IF(AND($T116&lt;&gt;"",EDATE($D116,Milestones!$AA$159)&gt;=$T116),$W116,IF(AND($S116&lt;&gt;"",EDATE($D116,Milestones!$AA$159)&gt;=$S116),$V116,$U116)))=Milestones!$AB$159),UPPER(TEXT(EDATE($D116,Milestones!$AA$159),"dd mmm yy"))&amp;" "&amp;Milestones!$AB$159&amp;" "&amp;Milestones!$AC$159&amp;";  ",""))</f>
        <v/>
      </c>
      <c r="P116" s="0" t="str">
        <f aca="false">IF(OR($A116="",$D116=""),"",IF(AND(EDATE($D116,Milestones!$AA$160)&lt;=AsOfDate,IF($R116=0,$X116,IF(AND($T116&lt;&gt;"",EDATE($D116,Milestones!$AA$160)&gt;=$T116),$W116,IF(AND($S116&lt;&gt;"",EDATE($D116,Milestones!$AA$160)&gt;=$S116),$V116,$U116)))=Milestones!$AB$160),UPPER(TEXT(EDATE($D116,Milestones!$AA$160),"dd mmm yy"))&amp;" "&amp;Milestones!$AB$160&amp;" "&amp;Milestones!$AC$160&amp;";  ","")&amp;IF(AND(EDATE($D116,Milestones!$AA$161)&lt;=AsOfDate,IF($R116=0,$X116,IF(AND($T116&lt;&gt;"",EDATE($D116,Milestones!$AA$161)&gt;=$T116),$W116,IF(AND($S116&lt;&gt;"",EDATE($D116,Milestones!$AA$161)&gt;=$S116),$V116,$U116)))=Milestones!$AB$161),UPPER(TEXT(EDATE($D116,Milestones!$AA$161),"dd mmm yy"))&amp;" "&amp;Milestones!$AB$161&amp;" "&amp;Milestones!$AC$161&amp;";  ","")&amp;IF(AND(EDATE($D116,Milestones!$AA$162)&lt;=AsOfDate,IF($R116=0,$X116,IF(AND($T116&lt;&gt;"",EDATE($D116,Milestones!$AA$162)&gt;=$T116),$W116,IF(AND($S116&lt;&gt;"",EDATE($D116,Milestones!$AA$162)&gt;=$S116),$V116,$U116)))=Milestones!$AB$162),UPPER(TEXT(EDATE($D116,Milestones!$AA$162),"dd mmm yy"))&amp;" "&amp;Milestones!$AB$162&amp;" "&amp;Milestones!$AC$162&amp;";  ","")&amp;IF(AND(EDATE($D116,Milestones!$AA$163)&lt;=AsOfDate,IF($R116=0,$X116,IF(AND($T116&lt;&gt;"",EDATE($D116,Milestones!$AA$163)&gt;=$T116),$W116,IF(AND($S116&lt;&gt;"",EDATE($D116,Milestones!$AA$163)&gt;=$S116),$V116,$U116)))=Milestones!$AB$163),UPPER(TEXT(EDATE($D116,Milestones!$AA$163),"dd mmm yy"))&amp;" "&amp;Milestones!$AB$163&amp;" "&amp;Milestones!$AC$163&amp;";  ","")&amp;IF(AND(EDATE($D116,Milestones!$AA$164)&lt;=AsOfDate,IF($R116=0,$X116,IF(AND($T116&lt;&gt;"",EDATE($D116,Milestones!$AA$164)&gt;=$T116),$W116,IF(AND($S116&lt;&gt;"",EDATE($D116,Milestones!$AA$164)&gt;=$S116),$V116,$U116)))=Milestones!$AB$164),UPPER(TEXT(EDATE($D116,Milestones!$AA$164),"dd mmm yy"))&amp;" "&amp;Milestones!$AB$164&amp;" "&amp;Milestones!$AC$164&amp;";  ","")&amp;IF(AND(EDATE($D116,Milestones!$AA$165)&lt;=AsOfDate,IF($R116=0,$X116,IF(AND($T116&lt;&gt;"",EDATE($D116,Milestones!$AA$165)&gt;=$T116),$W116,IF(AND($S116&lt;&gt;"",EDATE($D116,Milestones!$AA$165)&gt;=$S116),$V116,$U116)))=Milestones!$AB$165),UPPER(TEXT(EDATE($D116,Milestones!$AA$165),"dd mmm yy"))&amp;" "&amp;Milestones!$AB$165&amp;" "&amp;Milestones!$AC$165&amp;";  ","")&amp;IF(AND(EDATE($D116,Milestones!$AA$166)&lt;=AsOfDate,IF($R116=0,$X116,IF(AND($T116&lt;&gt;"",EDATE($D116,Milestones!$AA$166)&gt;=$T116),$W116,IF(AND($S116&lt;&gt;"",EDATE($D116,Milestones!$AA$166)&gt;=$S116),$V116,$U116)))=Milestones!$AB$166),UPPER(TEXT(EDATE($D116,Milestones!$AA$166),"dd mmm yy"))&amp;" "&amp;Milestones!$AB$166&amp;" "&amp;Milestones!$AC$166&amp;";  ","")&amp;IF(AND(EDATE($D116,Milestones!$AA$167)&lt;=AsOfDate,IF($R116=0,$X116,IF(AND($T116&lt;&gt;"",EDATE($D116,Milestones!$AA$167)&gt;=$T116),$W116,IF(AND($S116&lt;&gt;"",EDATE($D116,Milestones!$AA$167)&gt;=$S116),$V116,$U116)))=Milestones!$AB$167),UPPER(TEXT(EDATE($D116,Milestones!$AA$167),"dd mmm yy"))&amp;" "&amp;Milestones!$AB$167&amp;" "&amp;Milestones!$AC$167&amp;";  ","")&amp;IF(AND(EDATE($D116,Milestones!$AA$168)&lt;=AsOfDate,IF($R116=0,$X116,IF(AND($T116&lt;&gt;"",EDATE($D116,Milestones!$AA$168)&gt;=$T116),$W116,IF(AND($S116&lt;&gt;"",EDATE($D116,Milestones!$AA$168)&gt;=$S116),$V116,$U116)))=Milestones!$AB$168),UPPER(TEXT(EDATE($D116,Milestones!$AA$168),"dd mmm yy"))&amp;" "&amp;Milestones!$AB$168&amp;" "&amp;Milestones!$AC$168&amp;";  ","")&amp;IF(AND(EDATE($D116,Milestones!$AA$169)&lt;=AsOfDate,IF($R116=0,$X116,IF(AND($T116&lt;&gt;"",EDATE($D116,Milestones!$AA$169)&gt;=$T116),$W116,IF(AND($S116&lt;&gt;"",EDATE($D116,Milestones!$AA$169)&gt;=$S116),$V116,$U116)))=Milestones!$AB$169),UPPER(TEXT(EDATE($D116,Milestones!$AA$169),"dd mmm yy"))&amp;" "&amp;Milestones!$AB$169&amp;" "&amp;Milestones!$AC$169&amp;";  ","")&amp;IF(AND(EDATE($D116,Milestones!$AA$170)&lt;=AsOfDate,IF($R116=0,$X116,IF(AND($T116&lt;&gt;"",EDATE($D116,Milestones!$AA$170)&gt;=$T116),$W116,IF(AND($S116&lt;&gt;"",EDATE($D116,Milestones!$AA$170)&gt;=$S116),$V116,$U116)))=Milestones!$AB$170),UPPER(TEXT(EDATE($D116,Milestones!$AA$170),"dd mmm yy"))&amp;" "&amp;Milestones!$AB$170&amp;" "&amp;Milestones!$AC$170&amp;";  ","")&amp;IF(AND(EDATE($D116,Milestones!$AA$171)&lt;=AsOfDate,IF($R116=0,$X116,IF(AND($T116&lt;&gt;"",EDATE($D116,Milestones!$AA$171)&gt;=$T116),$W116,IF(AND($S116&lt;&gt;"",EDATE($D116,Milestones!$AA$171)&gt;=$S116),$V116,$U116)))=Milestones!$AB$171),UPPER(TEXT(EDATE($D116,Milestones!$AA$171),"dd mmm yy"))&amp;" "&amp;Milestones!$AB$171&amp;" "&amp;Milestones!$AC$171&amp;";  ","")&amp;IF(AND(EDATE($D116,Milestones!$AA$172)&lt;=AsOfDate,IF($R116=0,$X116,IF(AND($T116&lt;&gt;"",EDATE($D116,Milestones!$AA$172)&gt;=$T116),$W116,IF(AND($S116&lt;&gt;"",EDATE($D116,Milestones!$AA$172)&gt;=$S116),$V116,$U116)))=Milestones!$AB$172),UPPER(TEXT(EDATE($D116,Milestones!$AA$172),"dd mmm yy"))&amp;" "&amp;Milestones!$AB$172&amp;" "&amp;Milestones!$AC$172&amp;";  ","")&amp;IF(AND(EDATE($D116,Milestones!$AA$173)&lt;=AsOfDate,IF($R116=0,$X116,IF(AND($T116&lt;&gt;"",EDATE($D116,Milestones!$AA$173)&gt;=$T116),$W116,IF(AND($S116&lt;&gt;"",EDATE($D116,Milestones!$AA$173)&gt;=$S116),$V116,$U116)))=Milestones!$AB$173),UPPER(TEXT(EDATE($D116,Milestones!$AA$173),"dd mmm yy"))&amp;" "&amp;Milestones!$AB$173&amp;" "&amp;Milestones!$AC$173&amp;";  ","")&amp;IF(AND(EDATE($D116,Milestones!$AA$174)&lt;=AsOfDate,IF($R116=0,$X116,IF(AND($T116&lt;&gt;"",EDATE($D116,Milestones!$AA$174)&gt;=$T116),$W116,IF(AND($S116&lt;&gt;"",EDATE($D116,Milestones!$AA$174)&gt;=$S116),$V116,$U116)))=Milestones!$AB$174),UPPER(TEXT(EDATE($D116,Milestones!$AA$174),"dd mmm yy"))&amp;" "&amp;Milestones!$AB$174&amp;" "&amp;Milestones!$AC$174&amp;";  ","")&amp;IF(AND(EDATE($D116,Milestones!$AA$175)&lt;=AsOfDate,IF($R116=0,$X116,IF(AND($T116&lt;&gt;"",EDATE($D116,Milestones!$AA$175)&gt;=$T116),$W116,IF(AND($S116&lt;&gt;"",EDATE($D116,Milestones!$AA$175)&gt;=$S116),$V116,$U116)))=Milestones!$AB$175),UPPER(TEXT(EDATE($D116,Milestones!$AA$175),"dd mmm yy"))&amp;" "&amp;Milestones!$AB$175&amp;" "&amp;Milestones!$AC$175&amp;";  ","")&amp;IF(AND(EDATE($D116,Milestones!$AA$176)&lt;=AsOfDate,IF($R116=0,$X116,IF(AND($T116&lt;&gt;"",EDATE($D116,Milestones!$AA$176)&gt;=$T116),$W116,IF(AND($S116&lt;&gt;"",EDATE($D116,Milestones!$AA$176)&gt;=$S116),$V116,$U116)))=Milestones!$AB$176),UPPER(TEXT(EDATE($D116,Milestones!$AA$176),"dd mmm yy"))&amp;" "&amp;Milestones!$AB$176&amp;" "&amp;Milestones!$AC$176&amp;";  ","")&amp;IF(AND(EDATE($D116,Milestones!$AA$177)&lt;=AsOfDate,IF($R116=0,$X116,IF(AND($T116&lt;&gt;"",EDATE($D116,Milestones!$AA$177)&gt;=$T116),$W116,IF(AND($S116&lt;&gt;"",EDATE($D116,Milestones!$AA$177)&gt;=$S116),$V116,$U116)))=Milestones!$AB$177),UPPER(TEXT(EDATE($D116,Milestones!$AA$177),"dd mmm yy"))&amp;" "&amp;Milestones!$AB$177&amp;" "&amp;Milestones!$AC$177&amp;";  ","")&amp;IF(AND(EDATE($D116,Milestones!$AA$178)&lt;=AsOfDate,IF($R116=0,$X116,IF(AND($T116&lt;&gt;"",EDATE($D116,Milestones!$AA$178)&gt;=$T116),$W116,IF(AND($S116&lt;&gt;"",EDATE($D116,Milestones!$AA$178)&gt;=$S116),$V116,$U116)))=Milestones!$AB$178),UPPER(TEXT(EDATE($D116,Milestones!$AA$178),"dd mmm yy"))&amp;" "&amp;Milestones!$AB$178&amp;" "&amp;Milestones!$AC$178&amp;";  ","")&amp;IF(AND(EDATE($D116,Milestones!$AA$179)&lt;=AsOfDate,IF($R116=0,$X116,IF(AND($T116&lt;&gt;"",EDATE($D116,Milestones!$AA$179)&gt;=$T116),$W116,IF(AND($S116&lt;&gt;"",EDATE($D116,Milestones!$AA$179)&gt;=$S116),$V116,$U116)))=Milestones!$AB$179),UPPER(TEXT(EDATE($D116,Milestones!$AA$179),"dd mmm yy"))&amp;" "&amp;Milestones!$AB$179&amp;" "&amp;Milestones!$AC$179&amp;";  ",""))</f>
        <v/>
      </c>
      <c r="Q116" s="0" t="str">
        <f aca="false">IF(OR($A116="",$D116=""),"",IF(AND(EDATE($D116,Milestones!$AA$180)&lt;=AsOfDate,IF($R116=0,$X116,IF(AND($T116&lt;&gt;"",EDATE($D116,Milestones!$AA$180)&gt;=$T116),$W116,IF(AND($S116&lt;&gt;"",EDATE($D116,Milestones!$AA$180)&gt;=$S116),$V116,$U116)))=Milestones!$AB$180),UPPER(TEXT(EDATE($D116,Milestones!$AA$180),"dd mmm yy"))&amp;" "&amp;Milestones!$AB$180&amp;" "&amp;Milestones!$AC$180&amp;";  ","")&amp;IF(AND(EDATE($D116,Milestones!$AA$181)&lt;=AsOfDate,IF($R116=0,$X116,IF(AND($T116&lt;&gt;"",EDATE($D116,Milestones!$AA$181)&gt;=$T116),$W116,IF(AND($S116&lt;&gt;"",EDATE($D116,Milestones!$AA$181)&gt;=$S116),$V116,$U116)))=Milestones!$AB$181),UPPER(TEXT(EDATE($D116,Milestones!$AA$181),"dd mmm yy"))&amp;" "&amp;Milestones!$AB$181&amp;" "&amp;Milestones!$AC$181&amp;";  ","")&amp;IF(AND(EDATE($D116,Milestones!$AA$182)&lt;=AsOfDate,IF($R116=0,$X116,IF(AND($T116&lt;&gt;"",EDATE($D116,Milestones!$AA$182)&gt;=$T116),$W116,IF(AND($S116&lt;&gt;"",EDATE($D116,Milestones!$AA$182)&gt;=$S116),$V116,$U116)))=Milestones!$AB$182),UPPER(TEXT(EDATE($D116,Milestones!$AA$182),"dd mmm yy"))&amp;" "&amp;Milestones!$AB$182&amp;" "&amp;Milestones!$AC$182&amp;";  ","")&amp;IF(AND(EDATE($D116,Milestones!$AA$183)&lt;=AsOfDate,IF($R116=0,$X116,IF(AND($T116&lt;&gt;"",EDATE($D116,Milestones!$AA$183)&gt;=$T116),$W116,IF(AND($S116&lt;&gt;"",EDATE($D116,Milestones!$AA$183)&gt;=$S116),$V116,$U116)))=Milestones!$AB$183),UPPER(TEXT(EDATE($D116,Milestones!$AA$183),"dd mmm yy"))&amp;" "&amp;Milestones!$AB$183&amp;" "&amp;Milestones!$AC$183&amp;";  ","")&amp;IF(AND(EDATE($D116,Milestones!$AA$184)&lt;=AsOfDate,IF($R116=0,$X116,IF(AND($T116&lt;&gt;"",EDATE($D116,Milestones!$AA$184)&gt;=$T116),$W116,IF(AND($S116&lt;&gt;"",EDATE($D116,Milestones!$AA$184)&gt;=$S116),$V116,$U116)))=Milestones!$AB$184),UPPER(TEXT(EDATE($D116,Milestones!$AA$184),"dd mmm yy"))&amp;" "&amp;Milestones!$AB$184&amp;" "&amp;Milestones!$AC$184&amp;";  ","")&amp;IF(AND(EDATE($D116,Milestones!$AA$185)&lt;=AsOfDate,IF($R116=0,$X116,IF(AND($T116&lt;&gt;"",EDATE($D116,Milestones!$AA$185)&gt;=$T116),$W116,IF(AND($S116&lt;&gt;"",EDATE($D116,Milestones!$AA$185)&gt;=$S116),$V116,$U116)))=Milestones!$AB$185),UPPER(TEXT(EDATE($D116,Milestones!$AA$185),"dd mmm yy"))&amp;" "&amp;Milestones!$AB$185&amp;" "&amp;Milestones!$AC$185&amp;";  ","")&amp;IF(AND(EDATE($D116,Milestones!$AA$186)&lt;=AsOfDate,IF($R116=0,$X116,IF(AND($T116&lt;&gt;"",EDATE($D116,Milestones!$AA$186)&gt;=$T116),$W116,IF(AND($S116&lt;&gt;"",EDATE($D116,Milestones!$AA$186)&gt;=$S116),$V116,$U116)))=Milestones!$AB$186),UPPER(TEXT(EDATE($D116,Milestones!$AA$186),"dd mmm yy"))&amp;" "&amp;Milestones!$AB$186&amp;" "&amp;Milestones!$AC$186&amp;";  ","")&amp;IF(AND(EDATE($D116,Milestones!$AA$187)&lt;=AsOfDate,IF($R116=0,$X116,IF(AND($T116&lt;&gt;"",EDATE($D116,Milestones!$AA$187)&gt;=$T116),$W116,IF(AND($S116&lt;&gt;"",EDATE($D116,Milestones!$AA$187)&gt;=$S116),$V116,$U116)))=Milestones!$AB$187),UPPER(TEXT(EDATE($D116,Milestones!$AA$187),"dd mmm yy"))&amp;" "&amp;Milestones!$AB$187&amp;" "&amp;Milestones!$AC$187&amp;";  ","")&amp;IF(AND(EDATE($D116,Milestones!$AA$188)&lt;=AsOfDate,IF($R116=0,$X116,IF(AND($T116&lt;&gt;"",EDATE($D116,Milestones!$AA$188)&gt;=$T116),$W116,IF(AND($S116&lt;&gt;"",EDATE($D116,Milestones!$AA$188)&gt;=$S116),$V116,$U116)))=Milestones!$AB$188),UPPER(TEXT(EDATE($D116,Milestones!$AA$188),"dd mmm yy"))&amp;" "&amp;Milestones!$AB$188&amp;" "&amp;Milestones!$AC$188&amp;";  ","")&amp;IF(AND(EDATE($D116,Milestones!$AA$189)&lt;=AsOfDate,IF($R116=0,$X116,IF(AND($T116&lt;&gt;"",EDATE($D116,Milestones!$AA$189)&gt;=$T116),$W116,IF(AND($S116&lt;&gt;"",EDATE($D116,Milestones!$AA$189)&gt;=$S116),$V116,$U116)))=Milestones!$AB$189),UPPER(TEXT(EDATE($D116,Milestones!$AA$189),"dd mmm yy"))&amp;" "&amp;Milestones!$AB$189&amp;" "&amp;Milestones!$AC$189&amp;";  ","")&amp;IF(AND(EDATE($D116,Milestones!$AA$190)&lt;=AsOfDate,IF($R116=0,$X116,IF(AND($T116&lt;&gt;"",EDATE($D116,Milestones!$AA$190)&gt;=$T116),$W116,IF(AND($S116&lt;&gt;"",EDATE($D116,Milestones!$AA$190)&gt;=$S116),$V116,$U116)))=Milestones!$AB$190),UPPER(TEXT(EDATE($D116,Milestones!$AA$190),"dd mmm yy"))&amp;" "&amp;Milestones!$AB$190&amp;" "&amp;Milestones!$AC$190&amp;";  ","")&amp;IF(AND(EDATE($D116,Milestones!$AA$191)&lt;=AsOfDate,IF($R116=0,$X116,IF(AND($T116&lt;&gt;"",EDATE($D116,Milestones!$AA$191)&gt;=$T116),$W116,IF(AND($S116&lt;&gt;"",EDATE($D116,Milestones!$AA$191)&gt;=$S116),$V116,$U116)))=Milestones!$AB$191),UPPER(TEXT(EDATE($D116,Milestones!$AA$191),"dd mmm yy"))&amp;" "&amp;Milestones!$AB$191&amp;" "&amp;Milestones!$AC$191&amp;";  ","")&amp;IF(AND(EDATE($D116,Milestones!$AA$192)&lt;=AsOfDate,IF($R116=0,$X116,IF(AND($T116&lt;&gt;"",EDATE($D116,Milestones!$AA$192)&gt;=$T116),$W116,IF(AND($S116&lt;&gt;"",EDATE($D116,Milestones!$AA$192)&gt;=$S116),$V116,$U116)))=Milestones!$AB$192),UPPER(TEXT(EDATE($D116,Milestones!$AA$192),"dd mmm yy"))&amp;" "&amp;Milestones!$AB$192&amp;" "&amp;Milestones!$AC$192&amp;";  ","")&amp;IF(AND(EDATE($D116,Milestones!$AA$193)&lt;=AsOfDate,IF($R116=0,$X116,IF(AND($T116&lt;&gt;"",EDATE($D116,Milestones!$AA$193)&gt;=$T116),$W116,IF(AND($S116&lt;&gt;"",EDATE($D116,Milestones!$AA$193)&gt;=$S116),$V116,$U116)))=Milestones!$AB$193),UPPER(TEXT(EDATE($D116,Milestones!$AA$193),"dd mmm yy"))&amp;" "&amp;Milestones!$AB$193&amp;" "&amp;Milestones!$AC$193&amp;";  ","")&amp;IF(AND(EDATE($D116,Milestones!$AA$194)&lt;=AsOfDate,IF($R116=0,$X116,IF(AND($T116&lt;&gt;"",EDATE($D116,Milestones!$AA$194)&gt;=$T116),$W116,IF(AND($S116&lt;&gt;"",EDATE($D116,Milestones!$AA$194)&gt;=$S116),$V116,$U116)))=Milestones!$AB$194),UPPER(TEXT(EDATE($D116,Milestones!$AA$194),"dd mmm yy"))&amp;" "&amp;Milestones!$AB$194&amp;" "&amp;Milestones!$AC$194&amp;";  ","")&amp;IF(AND(EDATE($D116,Milestones!$AA$195)&lt;=AsOfDate,IF($R116=0,$X116,IF(AND($T116&lt;&gt;"",EDATE($D116,Milestones!$AA$195)&gt;=$T116),$W116,IF(AND($S116&lt;&gt;"",EDATE($D116,Milestones!$AA$195)&gt;=$S116),$V116,$U116)))=Milestones!$AB$195),UPPER(TEXT(EDATE($D116,Milestones!$AA$195),"dd mmm yy"))&amp;" "&amp;Milestones!$AB$195&amp;" "&amp;Milestones!$AC$195&amp;";  ","")&amp;IF(AND(EDATE($D116,Milestones!$AA$196)&lt;=AsOfDate,IF($R116=0,$X116,IF(AND($T116&lt;&gt;"",EDATE($D116,Milestones!$AA$196)&gt;=$T116),$W116,IF(AND($S116&lt;&gt;"",EDATE($D116,Milestones!$AA$196)&gt;=$S116),$V116,$U116)))=Milestones!$AB$196),UPPER(TEXT(EDATE($D116,Milestones!$AA$196),"dd mmm yy"))&amp;" "&amp;Milestones!$AB$196&amp;" "&amp;Milestones!$AC$196&amp;";  ","")&amp;IF(AND(EDATE($D116,Milestones!$AA$197)&lt;=AsOfDate,IF($R116=0,$X116,IF(AND($T116&lt;&gt;"",EDATE($D116,Milestones!$AA$197)&gt;=$T116),$W116,IF(AND($S116&lt;&gt;"",EDATE($D116,Milestones!$AA$197)&gt;=$S116),$V116,$U116)))=Milestones!$AB$197),UPPER(TEXT(EDATE($D116,Milestones!$AA$197),"dd mmm yy"))&amp;" "&amp;Milestones!$AB$197&amp;" "&amp;Milestones!$AC$197&amp;";  ","")&amp;IF(AND(EDATE($D116,Milestones!$AA$198)&lt;=AsOfDate,IF($R116=0,$X116,IF(AND($T116&lt;&gt;"",EDATE($D116,Milestones!$AA$198)&gt;=$T116),$W116,IF(AND($S116&lt;&gt;"",EDATE($D116,Milestones!$AA$198)&gt;=$S116),$V116,$U116)))=Milestones!$AB$198),UPPER(TEXT(EDATE($D116,Milestones!$AA$198),"dd mmm yy"))&amp;" "&amp;Milestones!$AB$198&amp;" "&amp;Milestones!$AC$198&amp;";  ","")&amp;IF(AND(EDATE($D116,Milestones!$AA$199)&lt;=AsOfDate,IF($R116=0,$X116,IF(AND($T116&lt;&gt;"",EDATE($D116,Milestones!$AA$199)&gt;=$T116),$W116,IF(AND($S116&lt;&gt;"",EDATE($D116,Milestones!$AA$199)&gt;=$S116),$V116,$U116)))=Milestones!$AB$199),UPPER(TEXT(EDATE($D116,Milestones!$AA$199),"dd mmm yy"))&amp;" "&amp;Milestones!$AB$199&amp;" "&amp;Milestones!$AC$199&amp;";  ",""))</f>
        <v/>
      </c>
      <c r="R116" s="0" t="str">
        <f aca="false">IF(Staff!$A116="","",Staff!$AI116)</f>
        <v/>
      </c>
      <c r="S116" s="0" t="str">
        <f aca="false">IF(Staff!$A116="","",Staff!$AK116)</f>
        <v/>
      </c>
      <c r="T116" s="0" t="str">
        <f aca="false">IF(Staff!$A116="","",Staff!$AL116)</f>
        <v/>
      </c>
      <c r="U116" s="0" t="str">
        <f aca="false">IF(Staff!$A116="","",Staff!$AP116)</f>
        <v/>
      </c>
      <c r="V116" s="0" t="str">
        <f aca="false">IF(Staff!$A116="","",Staff!$AQ116)</f>
        <v/>
      </c>
      <c r="W116" s="0" t="str">
        <f aca="false">IF(Staff!$A116="","",Staff!$AR116)</f>
        <v/>
      </c>
      <c r="X116" s="0" t="str">
        <f aca="false">IF(Staff!$A116="","",Staff!$AS116)</f>
        <v/>
      </c>
    </row>
    <row r="117" customFormat="false" ht="15" hidden="false" customHeight="false" outlineLevel="0" collapsed="false">
      <c r="A117" s="19" t="str">
        <f aca="false">IF(Staff!$A117="","",Staff!$A117)</f>
        <v/>
      </c>
      <c r="B117" s="19" t="str">
        <f aca="false">IF(Staff!$A117="","",Staff!$B117)</f>
        <v/>
      </c>
      <c r="C117" s="19" t="str">
        <f aca="false">IF(Staff!$A117="","",Staff!$C117)</f>
        <v/>
      </c>
      <c r="D117" s="17" t="str">
        <f aca="false">IF(Staff!$A117="","",Staff!$AH117)</f>
        <v/>
      </c>
      <c r="E117" s="19" t="str">
        <f aca="false">IF(Staff!$A117="","",Staff!$O117)</f>
        <v/>
      </c>
      <c r="F117" s="19" t="str">
        <f aca="false">IF(E117="","",E117*HoursPerDay)</f>
        <v/>
      </c>
      <c r="G117" s="19" t="str">
        <f aca="false">IF(Staff!$A117="","",Staff!$AE117)</f>
        <v/>
      </c>
      <c r="H117" s="32" t="str">
        <f aca="false">IF($A117="","",I117&amp;J117&amp;K117&amp;L117&amp;M117&amp;N117&amp;O117&amp;P117&amp;Q117)</f>
        <v/>
      </c>
      <c r="I117" s="0" t="str">
        <f aca="false">IF(OR($A117="",$D117=""),"",IF(AND(EDATE($D117,Milestones!$AA$20)&lt;=AsOfDate,IF($R117=0,$X117,IF(AND($T117&lt;&gt;"",EDATE($D117,Milestones!$AA$20)&gt;=$T117),$W117,IF(AND($S117&lt;&gt;"",EDATE($D117,Milestones!$AA$20)&gt;=$S117),$V117,$U117)))=Milestones!$AB$20),UPPER(TEXT(EDATE($D117,Milestones!$AA$20),"dd mmm yy"))&amp;" "&amp;Milestones!$AB$20&amp;" "&amp;Milestones!$AC$20&amp;";  ","")&amp;IF(AND(EDATE($D117,Milestones!$AA$21)&lt;=AsOfDate,IF($R117=0,$X117,IF(AND($T117&lt;&gt;"",EDATE($D117,Milestones!$AA$21)&gt;=$T117),$W117,IF(AND($S117&lt;&gt;"",EDATE($D117,Milestones!$AA$21)&gt;=$S117),$V117,$U117)))=Milestones!$AB$21),UPPER(TEXT(EDATE($D117,Milestones!$AA$21),"dd mmm yy"))&amp;" "&amp;Milestones!$AB$21&amp;" "&amp;Milestones!$AC$21&amp;";  ","")&amp;IF(AND(EDATE($D117,Milestones!$AA$22)&lt;=AsOfDate,IF($R117=0,$X117,IF(AND($T117&lt;&gt;"",EDATE($D117,Milestones!$AA$22)&gt;=$T117),$W117,IF(AND($S117&lt;&gt;"",EDATE($D117,Milestones!$AA$22)&gt;=$S117),$V117,$U117)))=Milestones!$AB$22),UPPER(TEXT(EDATE($D117,Milestones!$AA$22),"dd mmm yy"))&amp;" "&amp;Milestones!$AB$22&amp;" "&amp;Milestones!$AC$22&amp;";  ","")&amp;IF(AND(EDATE($D117,Milestones!$AA$23)&lt;=AsOfDate,IF($R117=0,$X117,IF(AND($T117&lt;&gt;"",EDATE($D117,Milestones!$AA$23)&gt;=$T117),$W117,IF(AND($S117&lt;&gt;"",EDATE($D117,Milestones!$AA$23)&gt;=$S117),$V117,$U117)))=Milestones!$AB$23),UPPER(TEXT(EDATE($D117,Milestones!$AA$23),"dd mmm yy"))&amp;" "&amp;Milestones!$AB$23&amp;" "&amp;Milestones!$AC$23&amp;";  ","")&amp;IF(AND(EDATE($D117,Milestones!$AA$24)&lt;=AsOfDate,IF($R117=0,$X117,IF(AND($T117&lt;&gt;"",EDATE($D117,Milestones!$AA$24)&gt;=$T117),$W117,IF(AND($S117&lt;&gt;"",EDATE($D117,Milestones!$AA$24)&gt;=$S117),$V117,$U117)))=Milestones!$AB$24),UPPER(TEXT(EDATE($D117,Milestones!$AA$24),"dd mmm yy"))&amp;" "&amp;Milestones!$AB$24&amp;" "&amp;Milestones!$AC$24&amp;";  ","")&amp;IF(AND(EDATE($D117,Milestones!$AA$25)&lt;=AsOfDate,IF($R117=0,$X117,IF(AND($T117&lt;&gt;"",EDATE($D117,Milestones!$AA$25)&gt;=$T117),$W117,IF(AND($S117&lt;&gt;"",EDATE($D117,Milestones!$AA$25)&gt;=$S117),$V117,$U117)))=Milestones!$AB$25),UPPER(TEXT(EDATE($D117,Milestones!$AA$25),"dd mmm yy"))&amp;" "&amp;Milestones!$AB$25&amp;" "&amp;Milestones!$AC$25&amp;";  ","")&amp;IF(AND(EDATE($D117,Milestones!$AA$26)&lt;=AsOfDate,IF($R117=0,$X117,IF(AND($T117&lt;&gt;"",EDATE($D117,Milestones!$AA$26)&gt;=$T117),$W117,IF(AND($S117&lt;&gt;"",EDATE($D117,Milestones!$AA$26)&gt;=$S117),$V117,$U117)))=Milestones!$AB$26),UPPER(TEXT(EDATE($D117,Milestones!$AA$26),"dd mmm yy"))&amp;" "&amp;Milestones!$AB$26&amp;" "&amp;Milestones!$AC$26&amp;";  ","")&amp;IF(AND(EDATE($D117,Milestones!$AA$27)&lt;=AsOfDate,IF($R117=0,$X117,IF(AND($T117&lt;&gt;"",EDATE($D117,Milestones!$AA$27)&gt;=$T117),$W117,IF(AND($S117&lt;&gt;"",EDATE($D117,Milestones!$AA$27)&gt;=$S117),$V117,$U117)))=Milestones!$AB$27),UPPER(TEXT(EDATE($D117,Milestones!$AA$27),"dd mmm yy"))&amp;" "&amp;Milestones!$AB$27&amp;" "&amp;Milestones!$AC$27&amp;";  ","")&amp;IF(AND(EDATE($D117,Milestones!$AA$28)&lt;=AsOfDate,IF($R117=0,$X117,IF(AND($T117&lt;&gt;"",EDATE($D117,Milestones!$AA$28)&gt;=$T117),$W117,IF(AND($S117&lt;&gt;"",EDATE($D117,Milestones!$AA$28)&gt;=$S117),$V117,$U117)))=Milestones!$AB$28),UPPER(TEXT(EDATE($D117,Milestones!$AA$28),"dd mmm yy"))&amp;" "&amp;Milestones!$AB$28&amp;" "&amp;Milestones!$AC$28&amp;";  ","")&amp;IF(AND(EDATE($D117,Milestones!$AA$29)&lt;=AsOfDate,IF($R117=0,$X117,IF(AND($T117&lt;&gt;"",EDATE($D117,Milestones!$AA$29)&gt;=$T117),$W117,IF(AND($S117&lt;&gt;"",EDATE($D117,Milestones!$AA$29)&gt;=$S117),$V117,$U117)))=Milestones!$AB$29),UPPER(TEXT(EDATE($D117,Milestones!$AA$29),"dd mmm yy"))&amp;" "&amp;Milestones!$AB$29&amp;" "&amp;Milestones!$AC$29&amp;";  ","")&amp;IF(AND(EDATE($D117,Milestones!$AA$30)&lt;=AsOfDate,IF($R117=0,$X117,IF(AND($T117&lt;&gt;"",EDATE($D117,Milestones!$AA$30)&gt;=$T117),$W117,IF(AND($S117&lt;&gt;"",EDATE($D117,Milestones!$AA$30)&gt;=$S117),$V117,$U117)))=Milestones!$AB$30),UPPER(TEXT(EDATE($D117,Milestones!$AA$30),"dd mmm yy"))&amp;" "&amp;Milestones!$AB$30&amp;" "&amp;Milestones!$AC$30&amp;";  ","")&amp;IF(AND(EDATE($D117,Milestones!$AA$31)&lt;=AsOfDate,IF($R117=0,$X117,IF(AND($T117&lt;&gt;"",EDATE($D117,Milestones!$AA$31)&gt;=$T117),$W117,IF(AND($S117&lt;&gt;"",EDATE($D117,Milestones!$AA$31)&gt;=$S117),$V117,$U117)))=Milestones!$AB$31),UPPER(TEXT(EDATE($D117,Milestones!$AA$31),"dd mmm yy"))&amp;" "&amp;Milestones!$AB$31&amp;" "&amp;Milestones!$AC$31&amp;";  ","")&amp;IF(AND(EDATE($D117,Milestones!$AA$32)&lt;=AsOfDate,IF($R117=0,$X117,IF(AND($T117&lt;&gt;"",EDATE($D117,Milestones!$AA$32)&gt;=$T117),$W117,IF(AND($S117&lt;&gt;"",EDATE($D117,Milestones!$AA$32)&gt;=$S117),$V117,$U117)))=Milestones!$AB$32),UPPER(TEXT(EDATE($D117,Milestones!$AA$32),"dd mmm yy"))&amp;" "&amp;Milestones!$AB$32&amp;" "&amp;Milestones!$AC$32&amp;";  ","")&amp;IF(AND(EDATE($D117,Milestones!$AA$33)&lt;=AsOfDate,IF($R117=0,$X117,IF(AND($T117&lt;&gt;"",EDATE($D117,Milestones!$AA$33)&gt;=$T117),$W117,IF(AND($S117&lt;&gt;"",EDATE($D117,Milestones!$AA$33)&gt;=$S117),$V117,$U117)))=Milestones!$AB$33),UPPER(TEXT(EDATE($D117,Milestones!$AA$33),"dd mmm yy"))&amp;" "&amp;Milestones!$AB$33&amp;" "&amp;Milestones!$AC$33&amp;";  ","")&amp;IF(AND(EDATE($D117,Milestones!$AA$34)&lt;=AsOfDate,IF($R117=0,$X117,IF(AND($T117&lt;&gt;"",EDATE($D117,Milestones!$AA$34)&gt;=$T117),$W117,IF(AND($S117&lt;&gt;"",EDATE($D117,Milestones!$AA$34)&gt;=$S117),$V117,$U117)))=Milestones!$AB$34),UPPER(TEXT(EDATE($D117,Milestones!$AA$34),"dd mmm yy"))&amp;" "&amp;Milestones!$AB$34&amp;" "&amp;Milestones!$AC$34&amp;";  ","")&amp;IF(AND(EDATE($D117,Milestones!$AA$35)&lt;=AsOfDate,IF($R117=0,$X117,IF(AND($T117&lt;&gt;"",EDATE($D117,Milestones!$AA$35)&gt;=$T117),$W117,IF(AND($S117&lt;&gt;"",EDATE($D117,Milestones!$AA$35)&gt;=$S117),$V117,$U117)))=Milestones!$AB$35),UPPER(TEXT(EDATE($D117,Milestones!$AA$35),"dd mmm yy"))&amp;" "&amp;Milestones!$AB$35&amp;" "&amp;Milestones!$AC$35&amp;";  ","")&amp;IF(AND(EDATE($D117,Milestones!$AA$36)&lt;=AsOfDate,IF($R117=0,$X117,IF(AND($T117&lt;&gt;"",EDATE($D117,Milestones!$AA$36)&gt;=$T117),$W117,IF(AND($S117&lt;&gt;"",EDATE($D117,Milestones!$AA$36)&gt;=$S117),$V117,$U117)))=Milestones!$AB$36),UPPER(TEXT(EDATE($D117,Milestones!$AA$36),"dd mmm yy"))&amp;" "&amp;Milestones!$AB$36&amp;" "&amp;Milestones!$AC$36&amp;";  ","")&amp;IF(AND(EDATE($D117,Milestones!$AA$37)&lt;=AsOfDate,IF($R117=0,$X117,IF(AND($T117&lt;&gt;"",EDATE($D117,Milestones!$AA$37)&gt;=$T117),$W117,IF(AND($S117&lt;&gt;"",EDATE($D117,Milestones!$AA$37)&gt;=$S117),$V117,$U117)))=Milestones!$AB$37),UPPER(TEXT(EDATE($D117,Milestones!$AA$37),"dd mmm yy"))&amp;" "&amp;Milestones!$AB$37&amp;" "&amp;Milestones!$AC$37&amp;";  ","")&amp;IF(AND(EDATE($D117,Milestones!$AA$38)&lt;=AsOfDate,IF($R117=0,$X117,IF(AND($T117&lt;&gt;"",EDATE($D117,Milestones!$AA$38)&gt;=$T117),$W117,IF(AND($S117&lt;&gt;"",EDATE($D117,Milestones!$AA$38)&gt;=$S117),$V117,$U117)))=Milestones!$AB$38),UPPER(TEXT(EDATE($D117,Milestones!$AA$38),"dd mmm yy"))&amp;" "&amp;Milestones!$AB$38&amp;" "&amp;Milestones!$AC$38&amp;";  ","")&amp;IF(AND(EDATE($D117,Milestones!$AA$39)&lt;=AsOfDate,IF($R117=0,$X117,IF(AND($T117&lt;&gt;"",EDATE($D117,Milestones!$AA$39)&gt;=$T117),$W117,IF(AND($S117&lt;&gt;"",EDATE($D117,Milestones!$AA$39)&gt;=$S117),$V117,$U117)))=Milestones!$AB$39),UPPER(TEXT(EDATE($D117,Milestones!$AA$39),"dd mmm yy"))&amp;" "&amp;Milestones!$AB$39&amp;" "&amp;Milestones!$AC$39&amp;";  ",""))</f>
        <v/>
      </c>
      <c r="J117" s="0" t="str">
        <f aca="false">IF(OR($A117="",$D117=""),"",IF(AND(EDATE($D117,Milestones!$AA$40)&lt;=AsOfDate,IF($R117=0,$X117,IF(AND($T117&lt;&gt;"",EDATE($D117,Milestones!$AA$40)&gt;=$T117),$W117,IF(AND($S117&lt;&gt;"",EDATE($D117,Milestones!$AA$40)&gt;=$S117),$V117,$U117)))=Milestones!$AB$40),UPPER(TEXT(EDATE($D117,Milestones!$AA$40),"dd mmm yy"))&amp;" "&amp;Milestones!$AB$40&amp;" "&amp;Milestones!$AC$40&amp;";  ","")&amp;IF(AND(EDATE($D117,Milestones!$AA$41)&lt;=AsOfDate,IF($R117=0,$X117,IF(AND($T117&lt;&gt;"",EDATE($D117,Milestones!$AA$41)&gt;=$T117),$W117,IF(AND($S117&lt;&gt;"",EDATE($D117,Milestones!$AA$41)&gt;=$S117),$V117,$U117)))=Milestones!$AB$41),UPPER(TEXT(EDATE($D117,Milestones!$AA$41),"dd mmm yy"))&amp;" "&amp;Milestones!$AB$41&amp;" "&amp;Milestones!$AC$41&amp;";  ","")&amp;IF(AND(EDATE($D117,Milestones!$AA$42)&lt;=AsOfDate,IF($R117=0,$X117,IF(AND($T117&lt;&gt;"",EDATE($D117,Milestones!$AA$42)&gt;=$T117),$W117,IF(AND($S117&lt;&gt;"",EDATE($D117,Milestones!$AA$42)&gt;=$S117),$V117,$U117)))=Milestones!$AB$42),UPPER(TEXT(EDATE($D117,Milestones!$AA$42),"dd mmm yy"))&amp;" "&amp;Milestones!$AB$42&amp;" "&amp;Milestones!$AC$42&amp;";  ","")&amp;IF(AND(EDATE($D117,Milestones!$AA$43)&lt;=AsOfDate,IF($R117=0,$X117,IF(AND($T117&lt;&gt;"",EDATE($D117,Milestones!$AA$43)&gt;=$T117),$W117,IF(AND($S117&lt;&gt;"",EDATE($D117,Milestones!$AA$43)&gt;=$S117),$V117,$U117)))=Milestones!$AB$43),UPPER(TEXT(EDATE($D117,Milestones!$AA$43),"dd mmm yy"))&amp;" "&amp;Milestones!$AB$43&amp;" "&amp;Milestones!$AC$43&amp;";  ","")&amp;IF(AND(EDATE($D117,Milestones!$AA$44)&lt;=AsOfDate,IF($R117=0,$X117,IF(AND($T117&lt;&gt;"",EDATE($D117,Milestones!$AA$44)&gt;=$T117),$W117,IF(AND($S117&lt;&gt;"",EDATE($D117,Milestones!$AA$44)&gt;=$S117),$V117,$U117)))=Milestones!$AB$44),UPPER(TEXT(EDATE($D117,Milestones!$AA$44),"dd mmm yy"))&amp;" "&amp;Milestones!$AB$44&amp;" "&amp;Milestones!$AC$44&amp;";  ","")&amp;IF(AND(EDATE($D117,Milestones!$AA$45)&lt;=AsOfDate,IF($R117=0,$X117,IF(AND($T117&lt;&gt;"",EDATE($D117,Milestones!$AA$45)&gt;=$T117),$W117,IF(AND($S117&lt;&gt;"",EDATE($D117,Milestones!$AA$45)&gt;=$S117),$V117,$U117)))=Milestones!$AB$45),UPPER(TEXT(EDATE($D117,Milestones!$AA$45),"dd mmm yy"))&amp;" "&amp;Milestones!$AB$45&amp;" "&amp;Milestones!$AC$45&amp;";  ","")&amp;IF(AND(EDATE($D117,Milestones!$AA$46)&lt;=AsOfDate,IF($R117=0,$X117,IF(AND($T117&lt;&gt;"",EDATE($D117,Milestones!$AA$46)&gt;=$T117),$W117,IF(AND($S117&lt;&gt;"",EDATE($D117,Milestones!$AA$46)&gt;=$S117),$V117,$U117)))=Milestones!$AB$46),UPPER(TEXT(EDATE($D117,Milestones!$AA$46),"dd mmm yy"))&amp;" "&amp;Milestones!$AB$46&amp;" "&amp;Milestones!$AC$46&amp;";  ","")&amp;IF(AND(EDATE($D117,Milestones!$AA$47)&lt;=AsOfDate,IF($R117=0,$X117,IF(AND($T117&lt;&gt;"",EDATE($D117,Milestones!$AA$47)&gt;=$T117),$W117,IF(AND($S117&lt;&gt;"",EDATE($D117,Milestones!$AA$47)&gt;=$S117),$V117,$U117)))=Milestones!$AB$47),UPPER(TEXT(EDATE($D117,Milestones!$AA$47),"dd mmm yy"))&amp;" "&amp;Milestones!$AB$47&amp;" "&amp;Milestones!$AC$47&amp;";  ","")&amp;IF(AND(EDATE($D117,Milestones!$AA$48)&lt;=AsOfDate,IF($R117=0,$X117,IF(AND($T117&lt;&gt;"",EDATE($D117,Milestones!$AA$48)&gt;=$T117),$W117,IF(AND($S117&lt;&gt;"",EDATE($D117,Milestones!$AA$48)&gt;=$S117),$V117,$U117)))=Milestones!$AB$48),UPPER(TEXT(EDATE($D117,Milestones!$AA$48),"dd mmm yy"))&amp;" "&amp;Milestones!$AB$48&amp;" "&amp;Milestones!$AC$48&amp;";  ","")&amp;IF(AND(EDATE($D117,Milestones!$AA$49)&lt;=AsOfDate,IF($R117=0,$X117,IF(AND($T117&lt;&gt;"",EDATE($D117,Milestones!$AA$49)&gt;=$T117),$W117,IF(AND($S117&lt;&gt;"",EDATE($D117,Milestones!$AA$49)&gt;=$S117),$V117,$U117)))=Milestones!$AB$49),UPPER(TEXT(EDATE($D117,Milestones!$AA$49),"dd mmm yy"))&amp;" "&amp;Milestones!$AB$49&amp;" "&amp;Milestones!$AC$49&amp;";  ","")&amp;IF(AND(EDATE($D117,Milestones!$AA$50)&lt;=AsOfDate,IF($R117=0,$X117,IF(AND($T117&lt;&gt;"",EDATE($D117,Milestones!$AA$50)&gt;=$T117),$W117,IF(AND($S117&lt;&gt;"",EDATE($D117,Milestones!$AA$50)&gt;=$S117),$V117,$U117)))=Milestones!$AB$50),UPPER(TEXT(EDATE($D117,Milestones!$AA$50),"dd mmm yy"))&amp;" "&amp;Milestones!$AB$50&amp;" "&amp;Milestones!$AC$50&amp;";  ","")&amp;IF(AND(EDATE($D117,Milestones!$AA$51)&lt;=AsOfDate,IF($R117=0,$X117,IF(AND($T117&lt;&gt;"",EDATE($D117,Milestones!$AA$51)&gt;=$T117),$W117,IF(AND($S117&lt;&gt;"",EDATE($D117,Milestones!$AA$51)&gt;=$S117),$V117,$U117)))=Milestones!$AB$51),UPPER(TEXT(EDATE($D117,Milestones!$AA$51),"dd mmm yy"))&amp;" "&amp;Milestones!$AB$51&amp;" "&amp;Milestones!$AC$51&amp;";  ","")&amp;IF(AND(EDATE($D117,Milestones!$AA$52)&lt;=AsOfDate,IF($R117=0,$X117,IF(AND($T117&lt;&gt;"",EDATE($D117,Milestones!$AA$52)&gt;=$T117),$W117,IF(AND($S117&lt;&gt;"",EDATE($D117,Milestones!$AA$52)&gt;=$S117),$V117,$U117)))=Milestones!$AB$52),UPPER(TEXT(EDATE($D117,Milestones!$AA$52),"dd mmm yy"))&amp;" "&amp;Milestones!$AB$52&amp;" "&amp;Milestones!$AC$52&amp;";  ","")&amp;IF(AND(EDATE($D117,Milestones!$AA$53)&lt;=AsOfDate,IF($R117=0,$X117,IF(AND($T117&lt;&gt;"",EDATE($D117,Milestones!$AA$53)&gt;=$T117),$W117,IF(AND($S117&lt;&gt;"",EDATE($D117,Milestones!$AA$53)&gt;=$S117),$V117,$U117)))=Milestones!$AB$53),UPPER(TEXT(EDATE($D117,Milestones!$AA$53),"dd mmm yy"))&amp;" "&amp;Milestones!$AB$53&amp;" "&amp;Milestones!$AC$53&amp;";  ","")&amp;IF(AND(EDATE($D117,Milestones!$AA$54)&lt;=AsOfDate,IF($R117=0,$X117,IF(AND($T117&lt;&gt;"",EDATE($D117,Milestones!$AA$54)&gt;=$T117),$W117,IF(AND($S117&lt;&gt;"",EDATE($D117,Milestones!$AA$54)&gt;=$S117),$V117,$U117)))=Milestones!$AB$54),UPPER(TEXT(EDATE($D117,Milestones!$AA$54),"dd mmm yy"))&amp;" "&amp;Milestones!$AB$54&amp;" "&amp;Milestones!$AC$54&amp;";  ","")&amp;IF(AND(EDATE($D117,Milestones!$AA$55)&lt;=AsOfDate,IF($R117=0,$X117,IF(AND($T117&lt;&gt;"",EDATE($D117,Milestones!$AA$55)&gt;=$T117),$W117,IF(AND($S117&lt;&gt;"",EDATE($D117,Milestones!$AA$55)&gt;=$S117),$V117,$U117)))=Milestones!$AB$55),UPPER(TEXT(EDATE($D117,Milestones!$AA$55),"dd mmm yy"))&amp;" "&amp;Milestones!$AB$55&amp;" "&amp;Milestones!$AC$55&amp;";  ","")&amp;IF(AND(EDATE($D117,Milestones!$AA$56)&lt;=AsOfDate,IF($R117=0,$X117,IF(AND($T117&lt;&gt;"",EDATE($D117,Milestones!$AA$56)&gt;=$T117),$W117,IF(AND($S117&lt;&gt;"",EDATE($D117,Milestones!$AA$56)&gt;=$S117),$V117,$U117)))=Milestones!$AB$56),UPPER(TEXT(EDATE($D117,Milestones!$AA$56),"dd mmm yy"))&amp;" "&amp;Milestones!$AB$56&amp;" "&amp;Milestones!$AC$56&amp;";  ","")&amp;IF(AND(EDATE($D117,Milestones!$AA$57)&lt;=AsOfDate,IF($R117=0,$X117,IF(AND($T117&lt;&gt;"",EDATE($D117,Milestones!$AA$57)&gt;=$T117),$W117,IF(AND($S117&lt;&gt;"",EDATE($D117,Milestones!$AA$57)&gt;=$S117),$V117,$U117)))=Milestones!$AB$57),UPPER(TEXT(EDATE($D117,Milestones!$AA$57),"dd mmm yy"))&amp;" "&amp;Milestones!$AB$57&amp;" "&amp;Milestones!$AC$57&amp;";  ","")&amp;IF(AND(EDATE($D117,Milestones!$AA$58)&lt;=AsOfDate,IF($R117=0,$X117,IF(AND($T117&lt;&gt;"",EDATE($D117,Milestones!$AA$58)&gt;=$T117),$W117,IF(AND($S117&lt;&gt;"",EDATE($D117,Milestones!$AA$58)&gt;=$S117),$V117,$U117)))=Milestones!$AB$58),UPPER(TEXT(EDATE($D117,Milestones!$AA$58),"dd mmm yy"))&amp;" "&amp;Milestones!$AB$58&amp;" "&amp;Milestones!$AC$58&amp;";  ","")&amp;IF(AND(EDATE($D117,Milestones!$AA$59)&lt;=AsOfDate,IF($R117=0,$X117,IF(AND($T117&lt;&gt;"",EDATE($D117,Milestones!$AA$59)&gt;=$T117),$W117,IF(AND($S117&lt;&gt;"",EDATE($D117,Milestones!$AA$59)&gt;=$S117),$V117,$U117)))=Milestones!$AB$59),UPPER(TEXT(EDATE($D117,Milestones!$AA$59),"dd mmm yy"))&amp;" "&amp;Milestones!$AB$59&amp;" "&amp;Milestones!$AC$59&amp;";  ",""))</f>
        <v/>
      </c>
      <c r="K117" s="0" t="str">
        <f aca="false">IF(OR($A117="",$D117=""),"",IF(AND(EDATE($D117,Milestones!$AA$60)&lt;=AsOfDate,IF($R117=0,$X117,IF(AND($T117&lt;&gt;"",EDATE($D117,Milestones!$AA$60)&gt;=$T117),$W117,IF(AND($S117&lt;&gt;"",EDATE($D117,Milestones!$AA$60)&gt;=$S117),$V117,$U117)))=Milestones!$AB$60),UPPER(TEXT(EDATE($D117,Milestones!$AA$60),"dd mmm yy"))&amp;" "&amp;Milestones!$AB$60&amp;" "&amp;Milestones!$AC$60&amp;";  ","")&amp;IF(AND(EDATE($D117,Milestones!$AA$61)&lt;=AsOfDate,IF($R117=0,$X117,IF(AND($T117&lt;&gt;"",EDATE($D117,Milestones!$AA$61)&gt;=$T117),$W117,IF(AND($S117&lt;&gt;"",EDATE($D117,Milestones!$AA$61)&gt;=$S117),$V117,$U117)))=Milestones!$AB$61),UPPER(TEXT(EDATE($D117,Milestones!$AA$61),"dd mmm yy"))&amp;" "&amp;Milestones!$AB$61&amp;" "&amp;Milestones!$AC$61&amp;";  ","")&amp;IF(AND(EDATE($D117,Milestones!$AA$62)&lt;=AsOfDate,IF($R117=0,$X117,IF(AND($T117&lt;&gt;"",EDATE($D117,Milestones!$AA$62)&gt;=$T117),$W117,IF(AND($S117&lt;&gt;"",EDATE($D117,Milestones!$AA$62)&gt;=$S117),$V117,$U117)))=Milestones!$AB$62),UPPER(TEXT(EDATE($D117,Milestones!$AA$62),"dd mmm yy"))&amp;" "&amp;Milestones!$AB$62&amp;" "&amp;Milestones!$AC$62&amp;";  ","")&amp;IF(AND(EDATE($D117,Milestones!$AA$63)&lt;=AsOfDate,IF($R117=0,$X117,IF(AND($T117&lt;&gt;"",EDATE($D117,Milestones!$AA$63)&gt;=$T117),$W117,IF(AND($S117&lt;&gt;"",EDATE($D117,Milestones!$AA$63)&gt;=$S117),$V117,$U117)))=Milestones!$AB$63),UPPER(TEXT(EDATE($D117,Milestones!$AA$63),"dd mmm yy"))&amp;" "&amp;Milestones!$AB$63&amp;" "&amp;Milestones!$AC$63&amp;";  ","")&amp;IF(AND(EDATE($D117,Milestones!$AA$64)&lt;=AsOfDate,IF($R117=0,$X117,IF(AND($T117&lt;&gt;"",EDATE($D117,Milestones!$AA$64)&gt;=$T117),$W117,IF(AND($S117&lt;&gt;"",EDATE($D117,Milestones!$AA$64)&gt;=$S117),$V117,$U117)))=Milestones!$AB$64),UPPER(TEXT(EDATE($D117,Milestones!$AA$64),"dd mmm yy"))&amp;" "&amp;Milestones!$AB$64&amp;" "&amp;Milestones!$AC$64&amp;";  ","")&amp;IF(AND(EDATE($D117,Milestones!$AA$65)&lt;=AsOfDate,IF($R117=0,$X117,IF(AND($T117&lt;&gt;"",EDATE($D117,Milestones!$AA$65)&gt;=$T117),$W117,IF(AND($S117&lt;&gt;"",EDATE($D117,Milestones!$AA$65)&gt;=$S117),$V117,$U117)))=Milestones!$AB$65),UPPER(TEXT(EDATE($D117,Milestones!$AA$65),"dd mmm yy"))&amp;" "&amp;Milestones!$AB$65&amp;" "&amp;Milestones!$AC$65&amp;";  ","")&amp;IF(AND(EDATE($D117,Milestones!$AA$66)&lt;=AsOfDate,IF($R117=0,$X117,IF(AND($T117&lt;&gt;"",EDATE($D117,Milestones!$AA$66)&gt;=$T117),$W117,IF(AND($S117&lt;&gt;"",EDATE($D117,Milestones!$AA$66)&gt;=$S117),$V117,$U117)))=Milestones!$AB$66),UPPER(TEXT(EDATE($D117,Milestones!$AA$66),"dd mmm yy"))&amp;" "&amp;Milestones!$AB$66&amp;" "&amp;Milestones!$AC$66&amp;";  ","")&amp;IF(AND(EDATE($D117,Milestones!$AA$67)&lt;=AsOfDate,IF($R117=0,$X117,IF(AND($T117&lt;&gt;"",EDATE($D117,Milestones!$AA$67)&gt;=$T117),$W117,IF(AND($S117&lt;&gt;"",EDATE($D117,Milestones!$AA$67)&gt;=$S117),$V117,$U117)))=Milestones!$AB$67),UPPER(TEXT(EDATE($D117,Milestones!$AA$67),"dd mmm yy"))&amp;" "&amp;Milestones!$AB$67&amp;" "&amp;Milestones!$AC$67&amp;";  ","")&amp;IF(AND(EDATE($D117,Milestones!$AA$68)&lt;=AsOfDate,IF($R117=0,$X117,IF(AND($T117&lt;&gt;"",EDATE($D117,Milestones!$AA$68)&gt;=$T117),$W117,IF(AND($S117&lt;&gt;"",EDATE($D117,Milestones!$AA$68)&gt;=$S117),$V117,$U117)))=Milestones!$AB$68),UPPER(TEXT(EDATE($D117,Milestones!$AA$68),"dd mmm yy"))&amp;" "&amp;Milestones!$AB$68&amp;" "&amp;Milestones!$AC$68&amp;";  ","")&amp;IF(AND(EDATE($D117,Milestones!$AA$69)&lt;=AsOfDate,IF($R117=0,$X117,IF(AND($T117&lt;&gt;"",EDATE($D117,Milestones!$AA$69)&gt;=$T117),$W117,IF(AND($S117&lt;&gt;"",EDATE($D117,Milestones!$AA$69)&gt;=$S117),$V117,$U117)))=Milestones!$AB$69),UPPER(TEXT(EDATE($D117,Milestones!$AA$69),"dd mmm yy"))&amp;" "&amp;Milestones!$AB$69&amp;" "&amp;Milestones!$AC$69&amp;";  ","")&amp;IF(AND(EDATE($D117,Milestones!$AA$70)&lt;=AsOfDate,IF($R117=0,$X117,IF(AND($T117&lt;&gt;"",EDATE($D117,Milestones!$AA$70)&gt;=$T117),$W117,IF(AND($S117&lt;&gt;"",EDATE($D117,Milestones!$AA$70)&gt;=$S117),$V117,$U117)))=Milestones!$AB$70),UPPER(TEXT(EDATE($D117,Milestones!$AA$70),"dd mmm yy"))&amp;" "&amp;Milestones!$AB$70&amp;" "&amp;Milestones!$AC$70&amp;";  ","")&amp;IF(AND(EDATE($D117,Milestones!$AA$71)&lt;=AsOfDate,IF($R117=0,$X117,IF(AND($T117&lt;&gt;"",EDATE($D117,Milestones!$AA$71)&gt;=$T117),$W117,IF(AND($S117&lt;&gt;"",EDATE($D117,Milestones!$AA$71)&gt;=$S117),$V117,$U117)))=Milestones!$AB$71),UPPER(TEXT(EDATE($D117,Milestones!$AA$71),"dd mmm yy"))&amp;" "&amp;Milestones!$AB$71&amp;" "&amp;Milestones!$AC$71&amp;";  ","")&amp;IF(AND(EDATE($D117,Milestones!$AA$72)&lt;=AsOfDate,IF($R117=0,$X117,IF(AND($T117&lt;&gt;"",EDATE($D117,Milestones!$AA$72)&gt;=$T117),$W117,IF(AND($S117&lt;&gt;"",EDATE($D117,Milestones!$AA$72)&gt;=$S117),$V117,$U117)))=Milestones!$AB$72),UPPER(TEXT(EDATE($D117,Milestones!$AA$72),"dd mmm yy"))&amp;" "&amp;Milestones!$AB$72&amp;" "&amp;Milestones!$AC$72&amp;";  ","")&amp;IF(AND(EDATE($D117,Milestones!$AA$73)&lt;=AsOfDate,IF($R117=0,$X117,IF(AND($T117&lt;&gt;"",EDATE($D117,Milestones!$AA$73)&gt;=$T117),$W117,IF(AND($S117&lt;&gt;"",EDATE($D117,Milestones!$AA$73)&gt;=$S117),$V117,$U117)))=Milestones!$AB$73),UPPER(TEXT(EDATE($D117,Milestones!$AA$73),"dd mmm yy"))&amp;" "&amp;Milestones!$AB$73&amp;" "&amp;Milestones!$AC$73&amp;";  ","")&amp;IF(AND(EDATE($D117,Milestones!$AA$74)&lt;=AsOfDate,IF($R117=0,$X117,IF(AND($T117&lt;&gt;"",EDATE($D117,Milestones!$AA$74)&gt;=$T117),$W117,IF(AND($S117&lt;&gt;"",EDATE($D117,Milestones!$AA$74)&gt;=$S117),$V117,$U117)))=Milestones!$AB$74),UPPER(TEXT(EDATE($D117,Milestones!$AA$74),"dd mmm yy"))&amp;" "&amp;Milestones!$AB$74&amp;" "&amp;Milestones!$AC$74&amp;";  ","")&amp;IF(AND(EDATE($D117,Milestones!$AA$75)&lt;=AsOfDate,IF($R117=0,$X117,IF(AND($T117&lt;&gt;"",EDATE($D117,Milestones!$AA$75)&gt;=$T117),$W117,IF(AND($S117&lt;&gt;"",EDATE($D117,Milestones!$AA$75)&gt;=$S117),$V117,$U117)))=Milestones!$AB$75),UPPER(TEXT(EDATE($D117,Milestones!$AA$75),"dd mmm yy"))&amp;" "&amp;Milestones!$AB$75&amp;" "&amp;Milestones!$AC$75&amp;";  ","")&amp;IF(AND(EDATE($D117,Milestones!$AA$76)&lt;=AsOfDate,IF($R117=0,$X117,IF(AND($T117&lt;&gt;"",EDATE($D117,Milestones!$AA$76)&gt;=$T117),$W117,IF(AND($S117&lt;&gt;"",EDATE($D117,Milestones!$AA$76)&gt;=$S117),$V117,$U117)))=Milestones!$AB$76),UPPER(TEXT(EDATE($D117,Milestones!$AA$76),"dd mmm yy"))&amp;" "&amp;Milestones!$AB$76&amp;" "&amp;Milestones!$AC$76&amp;";  ","")&amp;IF(AND(EDATE($D117,Milestones!$AA$77)&lt;=AsOfDate,IF($R117=0,$X117,IF(AND($T117&lt;&gt;"",EDATE($D117,Milestones!$AA$77)&gt;=$T117),$W117,IF(AND($S117&lt;&gt;"",EDATE($D117,Milestones!$AA$77)&gt;=$S117),$V117,$U117)))=Milestones!$AB$77),UPPER(TEXT(EDATE($D117,Milestones!$AA$77),"dd mmm yy"))&amp;" "&amp;Milestones!$AB$77&amp;" "&amp;Milestones!$AC$77&amp;";  ","")&amp;IF(AND(EDATE($D117,Milestones!$AA$78)&lt;=AsOfDate,IF($R117=0,$X117,IF(AND($T117&lt;&gt;"",EDATE($D117,Milestones!$AA$78)&gt;=$T117),$W117,IF(AND($S117&lt;&gt;"",EDATE($D117,Milestones!$AA$78)&gt;=$S117),$V117,$U117)))=Milestones!$AB$78),UPPER(TEXT(EDATE($D117,Milestones!$AA$78),"dd mmm yy"))&amp;" "&amp;Milestones!$AB$78&amp;" "&amp;Milestones!$AC$78&amp;";  ","")&amp;IF(AND(EDATE($D117,Milestones!$AA$79)&lt;=AsOfDate,IF($R117=0,$X117,IF(AND($T117&lt;&gt;"",EDATE($D117,Milestones!$AA$79)&gt;=$T117),$W117,IF(AND($S117&lt;&gt;"",EDATE($D117,Milestones!$AA$79)&gt;=$S117),$V117,$U117)))=Milestones!$AB$79),UPPER(TEXT(EDATE($D117,Milestones!$AA$79),"dd mmm yy"))&amp;" "&amp;Milestones!$AB$79&amp;" "&amp;Milestones!$AC$79&amp;";  ",""))</f>
        <v/>
      </c>
      <c r="L117" s="0" t="str">
        <f aca="false">IF(OR($A117="",$D117=""),"",IF(AND(EDATE($D117,Milestones!$AA$80)&lt;=AsOfDate,IF($R117=0,$X117,IF(AND($T117&lt;&gt;"",EDATE($D117,Milestones!$AA$80)&gt;=$T117),$W117,IF(AND($S117&lt;&gt;"",EDATE($D117,Milestones!$AA$80)&gt;=$S117),$V117,$U117)))=Milestones!$AB$80),UPPER(TEXT(EDATE($D117,Milestones!$AA$80),"dd mmm yy"))&amp;" "&amp;Milestones!$AB$80&amp;" "&amp;Milestones!$AC$80&amp;";  ","")&amp;IF(AND(EDATE($D117,Milestones!$AA$81)&lt;=AsOfDate,IF($R117=0,$X117,IF(AND($T117&lt;&gt;"",EDATE($D117,Milestones!$AA$81)&gt;=$T117),$W117,IF(AND($S117&lt;&gt;"",EDATE($D117,Milestones!$AA$81)&gt;=$S117),$V117,$U117)))=Milestones!$AB$81),UPPER(TEXT(EDATE($D117,Milestones!$AA$81),"dd mmm yy"))&amp;" "&amp;Milestones!$AB$81&amp;" "&amp;Milestones!$AC$81&amp;";  ","")&amp;IF(AND(EDATE($D117,Milestones!$AA$82)&lt;=AsOfDate,IF($R117=0,$X117,IF(AND($T117&lt;&gt;"",EDATE($D117,Milestones!$AA$82)&gt;=$T117),$W117,IF(AND($S117&lt;&gt;"",EDATE($D117,Milestones!$AA$82)&gt;=$S117),$V117,$U117)))=Milestones!$AB$82),UPPER(TEXT(EDATE($D117,Milestones!$AA$82),"dd mmm yy"))&amp;" "&amp;Milestones!$AB$82&amp;" "&amp;Milestones!$AC$82&amp;";  ","")&amp;IF(AND(EDATE($D117,Milestones!$AA$83)&lt;=AsOfDate,IF($R117=0,$X117,IF(AND($T117&lt;&gt;"",EDATE($D117,Milestones!$AA$83)&gt;=$T117),$W117,IF(AND($S117&lt;&gt;"",EDATE($D117,Milestones!$AA$83)&gt;=$S117),$V117,$U117)))=Milestones!$AB$83),UPPER(TEXT(EDATE($D117,Milestones!$AA$83),"dd mmm yy"))&amp;" "&amp;Milestones!$AB$83&amp;" "&amp;Milestones!$AC$83&amp;";  ","")&amp;IF(AND(EDATE($D117,Milestones!$AA$84)&lt;=AsOfDate,IF($R117=0,$X117,IF(AND($T117&lt;&gt;"",EDATE($D117,Milestones!$AA$84)&gt;=$T117),$W117,IF(AND($S117&lt;&gt;"",EDATE($D117,Milestones!$AA$84)&gt;=$S117),$V117,$U117)))=Milestones!$AB$84),UPPER(TEXT(EDATE($D117,Milestones!$AA$84),"dd mmm yy"))&amp;" "&amp;Milestones!$AB$84&amp;" "&amp;Milestones!$AC$84&amp;";  ","")&amp;IF(AND(EDATE($D117,Milestones!$AA$85)&lt;=AsOfDate,IF($R117=0,$X117,IF(AND($T117&lt;&gt;"",EDATE($D117,Milestones!$AA$85)&gt;=$T117),$W117,IF(AND($S117&lt;&gt;"",EDATE($D117,Milestones!$AA$85)&gt;=$S117),$V117,$U117)))=Milestones!$AB$85),UPPER(TEXT(EDATE($D117,Milestones!$AA$85),"dd mmm yy"))&amp;" "&amp;Milestones!$AB$85&amp;" "&amp;Milestones!$AC$85&amp;";  ","")&amp;IF(AND(EDATE($D117,Milestones!$AA$86)&lt;=AsOfDate,IF($R117=0,$X117,IF(AND($T117&lt;&gt;"",EDATE($D117,Milestones!$AA$86)&gt;=$T117),$W117,IF(AND($S117&lt;&gt;"",EDATE($D117,Milestones!$AA$86)&gt;=$S117),$V117,$U117)))=Milestones!$AB$86),UPPER(TEXT(EDATE($D117,Milestones!$AA$86),"dd mmm yy"))&amp;" "&amp;Milestones!$AB$86&amp;" "&amp;Milestones!$AC$86&amp;";  ","")&amp;IF(AND(EDATE($D117,Milestones!$AA$87)&lt;=AsOfDate,IF($R117=0,$X117,IF(AND($T117&lt;&gt;"",EDATE($D117,Milestones!$AA$87)&gt;=$T117),$W117,IF(AND($S117&lt;&gt;"",EDATE($D117,Milestones!$AA$87)&gt;=$S117),$V117,$U117)))=Milestones!$AB$87),UPPER(TEXT(EDATE($D117,Milestones!$AA$87),"dd mmm yy"))&amp;" "&amp;Milestones!$AB$87&amp;" "&amp;Milestones!$AC$87&amp;";  ","")&amp;IF(AND(EDATE($D117,Milestones!$AA$88)&lt;=AsOfDate,IF($R117=0,$X117,IF(AND($T117&lt;&gt;"",EDATE($D117,Milestones!$AA$88)&gt;=$T117),$W117,IF(AND($S117&lt;&gt;"",EDATE($D117,Milestones!$AA$88)&gt;=$S117),$V117,$U117)))=Milestones!$AB$88),UPPER(TEXT(EDATE($D117,Milestones!$AA$88),"dd mmm yy"))&amp;" "&amp;Milestones!$AB$88&amp;" "&amp;Milestones!$AC$88&amp;";  ","")&amp;IF(AND(EDATE($D117,Milestones!$AA$89)&lt;=AsOfDate,IF($R117=0,$X117,IF(AND($T117&lt;&gt;"",EDATE($D117,Milestones!$AA$89)&gt;=$T117),$W117,IF(AND($S117&lt;&gt;"",EDATE($D117,Milestones!$AA$89)&gt;=$S117),$V117,$U117)))=Milestones!$AB$89),UPPER(TEXT(EDATE($D117,Milestones!$AA$89),"dd mmm yy"))&amp;" "&amp;Milestones!$AB$89&amp;" "&amp;Milestones!$AC$89&amp;";  ","")&amp;IF(AND(EDATE($D117,Milestones!$AA$90)&lt;=AsOfDate,IF($R117=0,$X117,IF(AND($T117&lt;&gt;"",EDATE($D117,Milestones!$AA$90)&gt;=$T117),$W117,IF(AND($S117&lt;&gt;"",EDATE($D117,Milestones!$AA$90)&gt;=$S117),$V117,$U117)))=Milestones!$AB$90),UPPER(TEXT(EDATE($D117,Milestones!$AA$90),"dd mmm yy"))&amp;" "&amp;Milestones!$AB$90&amp;" "&amp;Milestones!$AC$90&amp;";  ","")&amp;IF(AND(EDATE($D117,Milestones!$AA$91)&lt;=AsOfDate,IF($R117=0,$X117,IF(AND($T117&lt;&gt;"",EDATE($D117,Milestones!$AA$91)&gt;=$T117),$W117,IF(AND($S117&lt;&gt;"",EDATE($D117,Milestones!$AA$91)&gt;=$S117),$V117,$U117)))=Milestones!$AB$91),UPPER(TEXT(EDATE($D117,Milestones!$AA$91),"dd mmm yy"))&amp;" "&amp;Milestones!$AB$91&amp;" "&amp;Milestones!$AC$91&amp;";  ","")&amp;IF(AND(EDATE($D117,Milestones!$AA$92)&lt;=AsOfDate,IF($R117=0,$X117,IF(AND($T117&lt;&gt;"",EDATE($D117,Milestones!$AA$92)&gt;=$T117),$W117,IF(AND($S117&lt;&gt;"",EDATE($D117,Milestones!$AA$92)&gt;=$S117),$V117,$U117)))=Milestones!$AB$92),UPPER(TEXT(EDATE($D117,Milestones!$AA$92),"dd mmm yy"))&amp;" "&amp;Milestones!$AB$92&amp;" "&amp;Milestones!$AC$92&amp;";  ","")&amp;IF(AND(EDATE($D117,Milestones!$AA$93)&lt;=AsOfDate,IF($R117=0,$X117,IF(AND($T117&lt;&gt;"",EDATE($D117,Milestones!$AA$93)&gt;=$T117),$W117,IF(AND($S117&lt;&gt;"",EDATE($D117,Milestones!$AA$93)&gt;=$S117),$V117,$U117)))=Milestones!$AB$93),UPPER(TEXT(EDATE($D117,Milestones!$AA$93),"dd mmm yy"))&amp;" "&amp;Milestones!$AB$93&amp;" "&amp;Milestones!$AC$93&amp;";  ","")&amp;IF(AND(EDATE($D117,Milestones!$AA$94)&lt;=AsOfDate,IF($R117=0,$X117,IF(AND($T117&lt;&gt;"",EDATE($D117,Milestones!$AA$94)&gt;=$T117),$W117,IF(AND($S117&lt;&gt;"",EDATE($D117,Milestones!$AA$94)&gt;=$S117),$V117,$U117)))=Milestones!$AB$94),UPPER(TEXT(EDATE($D117,Milestones!$AA$94),"dd mmm yy"))&amp;" "&amp;Milestones!$AB$94&amp;" "&amp;Milestones!$AC$94&amp;";  ","")&amp;IF(AND(EDATE($D117,Milestones!$AA$95)&lt;=AsOfDate,IF($R117=0,$X117,IF(AND($T117&lt;&gt;"",EDATE($D117,Milestones!$AA$95)&gt;=$T117),$W117,IF(AND($S117&lt;&gt;"",EDATE($D117,Milestones!$AA$95)&gt;=$S117),$V117,$U117)))=Milestones!$AB$95),UPPER(TEXT(EDATE($D117,Milestones!$AA$95),"dd mmm yy"))&amp;" "&amp;Milestones!$AB$95&amp;" "&amp;Milestones!$AC$95&amp;";  ","")&amp;IF(AND(EDATE($D117,Milestones!$AA$96)&lt;=AsOfDate,IF($R117=0,$X117,IF(AND($T117&lt;&gt;"",EDATE($D117,Milestones!$AA$96)&gt;=$T117),$W117,IF(AND($S117&lt;&gt;"",EDATE($D117,Milestones!$AA$96)&gt;=$S117),$V117,$U117)))=Milestones!$AB$96),UPPER(TEXT(EDATE($D117,Milestones!$AA$96),"dd mmm yy"))&amp;" "&amp;Milestones!$AB$96&amp;" "&amp;Milestones!$AC$96&amp;";  ","")&amp;IF(AND(EDATE($D117,Milestones!$AA$97)&lt;=AsOfDate,IF($R117=0,$X117,IF(AND($T117&lt;&gt;"",EDATE($D117,Milestones!$AA$97)&gt;=$T117),$W117,IF(AND($S117&lt;&gt;"",EDATE($D117,Milestones!$AA$97)&gt;=$S117),$V117,$U117)))=Milestones!$AB$97),UPPER(TEXT(EDATE($D117,Milestones!$AA$97),"dd mmm yy"))&amp;" "&amp;Milestones!$AB$97&amp;" "&amp;Milestones!$AC$97&amp;";  ","")&amp;IF(AND(EDATE($D117,Milestones!$AA$98)&lt;=AsOfDate,IF($R117=0,$X117,IF(AND($T117&lt;&gt;"",EDATE($D117,Milestones!$AA$98)&gt;=$T117),$W117,IF(AND($S117&lt;&gt;"",EDATE($D117,Milestones!$AA$98)&gt;=$S117),$V117,$U117)))=Milestones!$AB$98),UPPER(TEXT(EDATE($D117,Milestones!$AA$98),"dd mmm yy"))&amp;" "&amp;Milestones!$AB$98&amp;" "&amp;Milestones!$AC$98&amp;";  ","")&amp;IF(AND(EDATE($D117,Milestones!$AA$99)&lt;=AsOfDate,IF($R117=0,$X117,IF(AND($T117&lt;&gt;"",EDATE($D117,Milestones!$AA$99)&gt;=$T117),$W117,IF(AND($S117&lt;&gt;"",EDATE($D117,Milestones!$AA$99)&gt;=$S117),$V117,$U117)))=Milestones!$AB$99),UPPER(TEXT(EDATE($D117,Milestones!$AA$99),"dd mmm yy"))&amp;" "&amp;Milestones!$AB$99&amp;" "&amp;Milestones!$AC$99&amp;";  ",""))</f>
        <v/>
      </c>
      <c r="M117" s="0" t="str">
        <f aca="false">IF(OR($A117="",$D117=""),"",IF(AND(EDATE($D117,Milestones!$AA$100)&lt;=AsOfDate,IF($R117=0,$X117,IF(AND($T117&lt;&gt;"",EDATE($D117,Milestones!$AA$100)&gt;=$T117),$W117,IF(AND($S117&lt;&gt;"",EDATE($D117,Milestones!$AA$100)&gt;=$S117),$V117,$U117)))=Milestones!$AB$100),UPPER(TEXT(EDATE($D117,Milestones!$AA$100),"dd mmm yy"))&amp;" "&amp;Milestones!$AB$100&amp;" "&amp;Milestones!$AC$100&amp;";  ","")&amp;IF(AND(EDATE($D117,Milestones!$AA$101)&lt;=AsOfDate,IF($R117=0,$X117,IF(AND($T117&lt;&gt;"",EDATE($D117,Milestones!$AA$101)&gt;=$T117),$W117,IF(AND($S117&lt;&gt;"",EDATE($D117,Milestones!$AA$101)&gt;=$S117),$V117,$U117)))=Milestones!$AB$101),UPPER(TEXT(EDATE($D117,Milestones!$AA$101),"dd mmm yy"))&amp;" "&amp;Milestones!$AB$101&amp;" "&amp;Milestones!$AC$101&amp;";  ","")&amp;IF(AND(EDATE($D117,Milestones!$AA$102)&lt;=AsOfDate,IF($R117=0,$X117,IF(AND($T117&lt;&gt;"",EDATE($D117,Milestones!$AA$102)&gt;=$T117),$W117,IF(AND($S117&lt;&gt;"",EDATE($D117,Milestones!$AA$102)&gt;=$S117),$V117,$U117)))=Milestones!$AB$102),UPPER(TEXT(EDATE($D117,Milestones!$AA$102),"dd mmm yy"))&amp;" "&amp;Milestones!$AB$102&amp;" "&amp;Milestones!$AC$102&amp;";  ","")&amp;IF(AND(EDATE($D117,Milestones!$AA$103)&lt;=AsOfDate,IF($R117=0,$X117,IF(AND($T117&lt;&gt;"",EDATE($D117,Milestones!$AA$103)&gt;=$T117),$W117,IF(AND($S117&lt;&gt;"",EDATE($D117,Milestones!$AA$103)&gt;=$S117),$V117,$U117)))=Milestones!$AB$103),UPPER(TEXT(EDATE($D117,Milestones!$AA$103),"dd mmm yy"))&amp;" "&amp;Milestones!$AB$103&amp;" "&amp;Milestones!$AC$103&amp;";  ","")&amp;IF(AND(EDATE($D117,Milestones!$AA$104)&lt;=AsOfDate,IF($R117=0,$X117,IF(AND($T117&lt;&gt;"",EDATE($D117,Milestones!$AA$104)&gt;=$T117),$W117,IF(AND($S117&lt;&gt;"",EDATE($D117,Milestones!$AA$104)&gt;=$S117),$V117,$U117)))=Milestones!$AB$104),UPPER(TEXT(EDATE($D117,Milestones!$AA$104),"dd mmm yy"))&amp;" "&amp;Milestones!$AB$104&amp;" "&amp;Milestones!$AC$104&amp;";  ","")&amp;IF(AND(EDATE($D117,Milestones!$AA$105)&lt;=AsOfDate,IF($R117=0,$X117,IF(AND($T117&lt;&gt;"",EDATE($D117,Milestones!$AA$105)&gt;=$T117),$W117,IF(AND($S117&lt;&gt;"",EDATE($D117,Milestones!$AA$105)&gt;=$S117),$V117,$U117)))=Milestones!$AB$105),UPPER(TEXT(EDATE($D117,Milestones!$AA$105),"dd mmm yy"))&amp;" "&amp;Milestones!$AB$105&amp;" "&amp;Milestones!$AC$105&amp;";  ","")&amp;IF(AND(EDATE($D117,Milestones!$AA$106)&lt;=AsOfDate,IF($R117=0,$X117,IF(AND($T117&lt;&gt;"",EDATE($D117,Milestones!$AA$106)&gt;=$T117),$W117,IF(AND($S117&lt;&gt;"",EDATE($D117,Milestones!$AA$106)&gt;=$S117),$V117,$U117)))=Milestones!$AB$106),UPPER(TEXT(EDATE($D117,Milestones!$AA$106),"dd mmm yy"))&amp;" "&amp;Milestones!$AB$106&amp;" "&amp;Milestones!$AC$106&amp;";  ","")&amp;IF(AND(EDATE($D117,Milestones!$AA$107)&lt;=AsOfDate,IF($R117=0,$X117,IF(AND($T117&lt;&gt;"",EDATE($D117,Milestones!$AA$107)&gt;=$T117),$W117,IF(AND($S117&lt;&gt;"",EDATE($D117,Milestones!$AA$107)&gt;=$S117),$V117,$U117)))=Milestones!$AB$107),UPPER(TEXT(EDATE($D117,Milestones!$AA$107),"dd mmm yy"))&amp;" "&amp;Milestones!$AB$107&amp;" "&amp;Milestones!$AC$107&amp;";  ","")&amp;IF(AND(EDATE($D117,Milestones!$AA$108)&lt;=AsOfDate,IF($R117=0,$X117,IF(AND($T117&lt;&gt;"",EDATE($D117,Milestones!$AA$108)&gt;=$T117),$W117,IF(AND($S117&lt;&gt;"",EDATE($D117,Milestones!$AA$108)&gt;=$S117),$V117,$U117)))=Milestones!$AB$108),UPPER(TEXT(EDATE($D117,Milestones!$AA$108),"dd mmm yy"))&amp;" "&amp;Milestones!$AB$108&amp;" "&amp;Milestones!$AC$108&amp;";  ","")&amp;IF(AND(EDATE($D117,Milestones!$AA$109)&lt;=AsOfDate,IF($R117=0,$X117,IF(AND($T117&lt;&gt;"",EDATE($D117,Milestones!$AA$109)&gt;=$T117),$W117,IF(AND($S117&lt;&gt;"",EDATE($D117,Milestones!$AA$109)&gt;=$S117),$V117,$U117)))=Milestones!$AB$109),UPPER(TEXT(EDATE($D117,Milestones!$AA$109),"dd mmm yy"))&amp;" "&amp;Milestones!$AB$109&amp;" "&amp;Milestones!$AC$109&amp;";  ","")&amp;IF(AND(EDATE($D117,Milestones!$AA$110)&lt;=AsOfDate,IF($R117=0,$X117,IF(AND($T117&lt;&gt;"",EDATE($D117,Milestones!$AA$110)&gt;=$T117),$W117,IF(AND($S117&lt;&gt;"",EDATE($D117,Milestones!$AA$110)&gt;=$S117),$V117,$U117)))=Milestones!$AB$110),UPPER(TEXT(EDATE($D117,Milestones!$AA$110),"dd mmm yy"))&amp;" "&amp;Milestones!$AB$110&amp;" "&amp;Milestones!$AC$110&amp;";  ","")&amp;IF(AND(EDATE($D117,Milestones!$AA$111)&lt;=AsOfDate,IF($R117=0,$X117,IF(AND($T117&lt;&gt;"",EDATE($D117,Milestones!$AA$111)&gt;=$T117),$W117,IF(AND($S117&lt;&gt;"",EDATE($D117,Milestones!$AA$111)&gt;=$S117),$V117,$U117)))=Milestones!$AB$111),UPPER(TEXT(EDATE($D117,Milestones!$AA$111),"dd mmm yy"))&amp;" "&amp;Milestones!$AB$111&amp;" "&amp;Milestones!$AC$111&amp;";  ","")&amp;IF(AND(EDATE($D117,Milestones!$AA$112)&lt;=AsOfDate,IF($R117=0,$X117,IF(AND($T117&lt;&gt;"",EDATE($D117,Milestones!$AA$112)&gt;=$T117),$W117,IF(AND($S117&lt;&gt;"",EDATE($D117,Milestones!$AA$112)&gt;=$S117),$V117,$U117)))=Milestones!$AB$112),UPPER(TEXT(EDATE($D117,Milestones!$AA$112),"dd mmm yy"))&amp;" "&amp;Milestones!$AB$112&amp;" "&amp;Milestones!$AC$112&amp;";  ","")&amp;IF(AND(EDATE($D117,Milestones!$AA$113)&lt;=AsOfDate,IF($R117=0,$X117,IF(AND($T117&lt;&gt;"",EDATE($D117,Milestones!$AA$113)&gt;=$T117),$W117,IF(AND($S117&lt;&gt;"",EDATE($D117,Milestones!$AA$113)&gt;=$S117),$V117,$U117)))=Milestones!$AB$113),UPPER(TEXT(EDATE($D117,Milestones!$AA$113),"dd mmm yy"))&amp;" "&amp;Milestones!$AB$113&amp;" "&amp;Milestones!$AC$113&amp;";  ","")&amp;IF(AND(EDATE($D117,Milestones!$AA$114)&lt;=AsOfDate,IF($R117=0,$X117,IF(AND($T117&lt;&gt;"",EDATE($D117,Milestones!$AA$114)&gt;=$T117),$W117,IF(AND($S117&lt;&gt;"",EDATE($D117,Milestones!$AA$114)&gt;=$S117),$V117,$U117)))=Milestones!$AB$114),UPPER(TEXT(EDATE($D117,Milestones!$AA$114),"dd mmm yy"))&amp;" "&amp;Milestones!$AB$114&amp;" "&amp;Milestones!$AC$114&amp;";  ","")&amp;IF(AND(EDATE($D117,Milestones!$AA$115)&lt;=AsOfDate,IF($R117=0,$X117,IF(AND($T117&lt;&gt;"",EDATE($D117,Milestones!$AA$115)&gt;=$T117),$W117,IF(AND($S117&lt;&gt;"",EDATE($D117,Milestones!$AA$115)&gt;=$S117),$V117,$U117)))=Milestones!$AB$115),UPPER(TEXT(EDATE($D117,Milestones!$AA$115),"dd mmm yy"))&amp;" "&amp;Milestones!$AB$115&amp;" "&amp;Milestones!$AC$115&amp;";  ","")&amp;IF(AND(EDATE($D117,Milestones!$AA$116)&lt;=AsOfDate,IF($R117=0,$X117,IF(AND($T117&lt;&gt;"",EDATE($D117,Milestones!$AA$116)&gt;=$T117),$W117,IF(AND($S117&lt;&gt;"",EDATE($D117,Milestones!$AA$116)&gt;=$S117),$V117,$U117)))=Milestones!$AB$116),UPPER(TEXT(EDATE($D117,Milestones!$AA$116),"dd mmm yy"))&amp;" "&amp;Milestones!$AB$116&amp;" "&amp;Milestones!$AC$116&amp;";  ","")&amp;IF(AND(EDATE($D117,Milestones!$AA$117)&lt;=AsOfDate,IF($R117=0,$X117,IF(AND($T117&lt;&gt;"",EDATE($D117,Milestones!$AA$117)&gt;=$T117),$W117,IF(AND($S117&lt;&gt;"",EDATE($D117,Milestones!$AA$117)&gt;=$S117),$V117,$U117)))=Milestones!$AB$117),UPPER(TEXT(EDATE($D117,Milestones!$AA$117),"dd mmm yy"))&amp;" "&amp;Milestones!$AB$117&amp;" "&amp;Milestones!$AC$117&amp;";  ","")&amp;IF(AND(EDATE($D117,Milestones!$AA$118)&lt;=AsOfDate,IF($R117=0,$X117,IF(AND($T117&lt;&gt;"",EDATE($D117,Milestones!$AA$118)&gt;=$T117),$W117,IF(AND($S117&lt;&gt;"",EDATE($D117,Milestones!$AA$118)&gt;=$S117),$V117,$U117)))=Milestones!$AB$118),UPPER(TEXT(EDATE($D117,Milestones!$AA$118),"dd mmm yy"))&amp;" "&amp;Milestones!$AB$118&amp;" "&amp;Milestones!$AC$118&amp;";  ","")&amp;IF(AND(EDATE($D117,Milestones!$AA$119)&lt;=AsOfDate,IF($R117=0,$X117,IF(AND($T117&lt;&gt;"",EDATE($D117,Milestones!$AA$119)&gt;=$T117),$W117,IF(AND($S117&lt;&gt;"",EDATE($D117,Milestones!$AA$119)&gt;=$S117),$V117,$U117)))=Milestones!$AB$119),UPPER(TEXT(EDATE($D117,Milestones!$AA$119),"dd mmm yy"))&amp;" "&amp;Milestones!$AB$119&amp;" "&amp;Milestones!$AC$119&amp;";  ",""))</f>
        <v/>
      </c>
      <c r="N117" s="0" t="str">
        <f aca="false">IF(OR($A117="",$D117=""),"",IF(AND(EDATE($D117,Milestones!$AA$120)&lt;=AsOfDate,IF($R117=0,$X117,IF(AND($T117&lt;&gt;"",EDATE($D117,Milestones!$AA$120)&gt;=$T117),$W117,IF(AND($S117&lt;&gt;"",EDATE($D117,Milestones!$AA$120)&gt;=$S117),$V117,$U117)))=Milestones!$AB$120),UPPER(TEXT(EDATE($D117,Milestones!$AA$120),"dd mmm yy"))&amp;" "&amp;Milestones!$AB$120&amp;" "&amp;Milestones!$AC$120&amp;";  ","")&amp;IF(AND(EDATE($D117,Milestones!$AA$121)&lt;=AsOfDate,IF($R117=0,$X117,IF(AND($T117&lt;&gt;"",EDATE($D117,Milestones!$AA$121)&gt;=$T117),$W117,IF(AND($S117&lt;&gt;"",EDATE($D117,Milestones!$AA$121)&gt;=$S117),$V117,$U117)))=Milestones!$AB$121),UPPER(TEXT(EDATE($D117,Milestones!$AA$121),"dd mmm yy"))&amp;" "&amp;Milestones!$AB$121&amp;" "&amp;Milestones!$AC$121&amp;";  ","")&amp;IF(AND(EDATE($D117,Milestones!$AA$122)&lt;=AsOfDate,IF($R117=0,$X117,IF(AND($T117&lt;&gt;"",EDATE($D117,Milestones!$AA$122)&gt;=$T117),$W117,IF(AND($S117&lt;&gt;"",EDATE($D117,Milestones!$AA$122)&gt;=$S117),$V117,$U117)))=Milestones!$AB$122),UPPER(TEXT(EDATE($D117,Milestones!$AA$122),"dd mmm yy"))&amp;" "&amp;Milestones!$AB$122&amp;" "&amp;Milestones!$AC$122&amp;";  ","")&amp;IF(AND(EDATE($D117,Milestones!$AA$123)&lt;=AsOfDate,IF($R117=0,$X117,IF(AND($T117&lt;&gt;"",EDATE($D117,Milestones!$AA$123)&gt;=$T117),$W117,IF(AND($S117&lt;&gt;"",EDATE($D117,Milestones!$AA$123)&gt;=$S117),$V117,$U117)))=Milestones!$AB$123),UPPER(TEXT(EDATE($D117,Milestones!$AA$123),"dd mmm yy"))&amp;" "&amp;Milestones!$AB$123&amp;" "&amp;Milestones!$AC$123&amp;";  ","")&amp;IF(AND(EDATE($D117,Milestones!$AA$124)&lt;=AsOfDate,IF($R117=0,$X117,IF(AND($T117&lt;&gt;"",EDATE($D117,Milestones!$AA$124)&gt;=$T117),$W117,IF(AND($S117&lt;&gt;"",EDATE($D117,Milestones!$AA$124)&gt;=$S117),$V117,$U117)))=Milestones!$AB$124),UPPER(TEXT(EDATE($D117,Milestones!$AA$124),"dd mmm yy"))&amp;" "&amp;Milestones!$AB$124&amp;" "&amp;Milestones!$AC$124&amp;";  ","")&amp;IF(AND(EDATE($D117,Milestones!$AA$125)&lt;=AsOfDate,IF($R117=0,$X117,IF(AND($T117&lt;&gt;"",EDATE($D117,Milestones!$AA$125)&gt;=$T117),$W117,IF(AND($S117&lt;&gt;"",EDATE($D117,Milestones!$AA$125)&gt;=$S117),$V117,$U117)))=Milestones!$AB$125),UPPER(TEXT(EDATE($D117,Milestones!$AA$125),"dd mmm yy"))&amp;" "&amp;Milestones!$AB$125&amp;" "&amp;Milestones!$AC$125&amp;";  ","")&amp;IF(AND(EDATE($D117,Milestones!$AA$126)&lt;=AsOfDate,IF($R117=0,$X117,IF(AND($T117&lt;&gt;"",EDATE($D117,Milestones!$AA$126)&gt;=$T117),$W117,IF(AND($S117&lt;&gt;"",EDATE($D117,Milestones!$AA$126)&gt;=$S117),$V117,$U117)))=Milestones!$AB$126),UPPER(TEXT(EDATE($D117,Milestones!$AA$126),"dd mmm yy"))&amp;" "&amp;Milestones!$AB$126&amp;" "&amp;Milestones!$AC$126&amp;";  ","")&amp;IF(AND(EDATE($D117,Milestones!$AA$127)&lt;=AsOfDate,IF($R117=0,$X117,IF(AND($T117&lt;&gt;"",EDATE($D117,Milestones!$AA$127)&gt;=$T117),$W117,IF(AND($S117&lt;&gt;"",EDATE($D117,Milestones!$AA$127)&gt;=$S117),$V117,$U117)))=Milestones!$AB$127),UPPER(TEXT(EDATE($D117,Milestones!$AA$127),"dd mmm yy"))&amp;" "&amp;Milestones!$AB$127&amp;" "&amp;Milestones!$AC$127&amp;";  ","")&amp;IF(AND(EDATE($D117,Milestones!$AA$128)&lt;=AsOfDate,IF($R117=0,$X117,IF(AND($T117&lt;&gt;"",EDATE($D117,Milestones!$AA$128)&gt;=$T117),$W117,IF(AND($S117&lt;&gt;"",EDATE($D117,Milestones!$AA$128)&gt;=$S117),$V117,$U117)))=Milestones!$AB$128),UPPER(TEXT(EDATE($D117,Milestones!$AA$128),"dd mmm yy"))&amp;" "&amp;Milestones!$AB$128&amp;" "&amp;Milestones!$AC$128&amp;";  ","")&amp;IF(AND(EDATE($D117,Milestones!$AA$129)&lt;=AsOfDate,IF($R117=0,$X117,IF(AND($T117&lt;&gt;"",EDATE($D117,Milestones!$AA$129)&gt;=$T117),$W117,IF(AND($S117&lt;&gt;"",EDATE($D117,Milestones!$AA$129)&gt;=$S117),$V117,$U117)))=Milestones!$AB$129),UPPER(TEXT(EDATE($D117,Milestones!$AA$129),"dd mmm yy"))&amp;" "&amp;Milestones!$AB$129&amp;" "&amp;Milestones!$AC$129&amp;";  ","")&amp;IF(AND(EDATE($D117,Milestones!$AA$130)&lt;=AsOfDate,IF($R117=0,$X117,IF(AND($T117&lt;&gt;"",EDATE($D117,Milestones!$AA$130)&gt;=$T117),$W117,IF(AND($S117&lt;&gt;"",EDATE($D117,Milestones!$AA$130)&gt;=$S117),$V117,$U117)))=Milestones!$AB$130),UPPER(TEXT(EDATE($D117,Milestones!$AA$130),"dd mmm yy"))&amp;" "&amp;Milestones!$AB$130&amp;" "&amp;Milestones!$AC$130&amp;";  ","")&amp;IF(AND(EDATE($D117,Milestones!$AA$131)&lt;=AsOfDate,IF($R117=0,$X117,IF(AND($T117&lt;&gt;"",EDATE($D117,Milestones!$AA$131)&gt;=$T117),$W117,IF(AND($S117&lt;&gt;"",EDATE($D117,Milestones!$AA$131)&gt;=$S117),$V117,$U117)))=Milestones!$AB$131),UPPER(TEXT(EDATE($D117,Milestones!$AA$131),"dd mmm yy"))&amp;" "&amp;Milestones!$AB$131&amp;" "&amp;Milestones!$AC$131&amp;";  ","")&amp;IF(AND(EDATE($D117,Milestones!$AA$132)&lt;=AsOfDate,IF($R117=0,$X117,IF(AND($T117&lt;&gt;"",EDATE($D117,Milestones!$AA$132)&gt;=$T117),$W117,IF(AND($S117&lt;&gt;"",EDATE($D117,Milestones!$AA$132)&gt;=$S117),$V117,$U117)))=Milestones!$AB$132),UPPER(TEXT(EDATE($D117,Milestones!$AA$132),"dd mmm yy"))&amp;" "&amp;Milestones!$AB$132&amp;" "&amp;Milestones!$AC$132&amp;";  ","")&amp;IF(AND(EDATE($D117,Milestones!$AA$133)&lt;=AsOfDate,IF($R117=0,$X117,IF(AND($T117&lt;&gt;"",EDATE($D117,Milestones!$AA$133)&gt;=$T117),$W117,IF(AND($S117&lt;&gt;"",EDATE($D117,Milestones!$AA$133)&gt;=$S117),$V117,$U117)))=Milestones!$AB$133),UPPER(TEXT(EDATE($D117,Milestones!$AA$133),"dd mmm yy"))&amp;" "&amp;Milestones!$AB$133&amp;" "&amp;Milestones!$AC$133&amp;";  ","")&amp;IF(AND(EDATE($D117,Milestones!$AA$134)&lt;=AsOfDate,IF($R117=0,$X117,IF(AND($T117&lt;&gt;"",EDATE($D117,Milestones!$AA$134)&gt;=$T117),$W117,IF(AND($S117&lt;&gt;"",EDATE($D117,Milestones!$AA$134)&gt;=$S117),$V117,$U117)))=Milestones!$AB$134),UPPER(TEXT(EDATE($D117,Milestones!$AA$134),"dd mmm yy"))&amp;" "&amp;Milestones!$AB$134&amp;" "&amp;Milestones!$AC$134&amp;";  ","")&amp;IF(AND(EDATE($D117,Milestones!$AA$135)&lt;=AsOfDate,IF($R117=0,$X117,IF(AND($T117&lt;&gt;"",EDATE($D117,Milestones!$AA$135)&gt;=$T117),$W117,IF(AND($S117&lt;&gt;"",EDATE($D117,Milestones!$AA$135)&gt;=$S117),$V117,$U117)))=Milestones!$AB$135),UPPER(TEXT(EDATE($D117,Milestones!$AA$135),"dd mmm yy"))&amp;" "&amp;Milestones!$AB$135&amp;" "&amp;Milestones!$AC$135&amp;";  ","")&amp;IF(AND(EDATE($D117,Milestones!$AA$136)&lt;=AsOfDate,IF($R117=0,$X117,IF(AND($T117&lt;&gt;"",EDATE($D117,Milestones!$AA$136)&gt;=$T117),$W117,IF(AND($S117&lt;&gt;"",EDATE($D117,Milestones!$AA$136)&gt;=$S117),$V117,$U117)))=Milestones!$AB$136),UPPER(TEXT(EDATE($D117,Milestones!$AA$136),"dd mmm yy"))&amp;" "&amp;Milestones!$AB$136&amp;" "&amp;Milestones!$AC$136&amp;";  ","")&amp;IF(AND(EDATE($D117,Milestones!$AA$137)&lt;=AsOfDate,IF($R117=0,$X117,IF(AND($T117&lt;&gt;"",EDATE($D117,Milestones!$AA$137)&gt;=$T117),$W117,IF(AND($S117&lt;&gt;"",EDATE($D117,Milestones!$AA$137)&gt;=$S117),$V117,$U117)))=Milestones!$AB$137),UPPER(TEXT(EDATE($D117,Milestones!$AA$137),"dd mmm yy"))&amp;" "&amp;Milestones!$AB$137&amp;" "&amp;Milestones!$AC$137&amp;";  ","")&amp;IF(AND(EDATE($D117,Milestones!$AA$138)&lt;=AsOfDate,IF($R117=0,$X117,IF(AND($T117&lt;&gt;"",EDATE($D117,Milestones!$AA$138)&gt;=$T117),$W117,IF(AND($S117&lt;&gt;"",EDATE($D117,Milestones!$AA$138)&gt;=$S117),$V117,$U117)))=Milestones!$AB$138),UPPER(TEXT(EDATE($D117,Milestones!$AA$138),"dd mmm yy"))&amp;" "&amp;Milestones!$AB$138&amp;" "&amp;Milestones!$AC$138&amp;";  ","")&amp;IF(AND(EDATE($D117,Milestones!$AA$139)&lt;=AsOfDate,IF($R117=0,$X117,IF(AND($T117&lt;&gt;"",EDATE($D117,Milestones!$AA$139)&gt;=$T117),$W117,IF(AND($S117&lt;&gt;"",EDATE($D117,Milestones!$AA$139)&gt;=$S117),$V117,$U117)))=Milestones!$AB$139),UPPER(TEXT(EDATE($D117,Milestones!$AA$139),"dd mmm yy"))&amp;" "&amp;Milestones!$AB$139&amp;" "&amp;Milestones!$AC$139&amp;";  ",""))</f>
        <v/>
      </c>
      <c r="O117" s="0" t="str">
        <f aca="false">IF(OR($A117="",$D117=""),"",IF(AND(EDATE($D117,Milestones!$AA$140)&lt;=AsOfDate,IF($R117=0,$X117,IF(AND($T117&lt;&gt;"",EDATE($D117,Milestones!$AA$140)&gt;=$T117),$W117,IF(AND($S117&lt;&gt;"",EDATE($D117,Milestones!$AA$140)&gt;=$S117),$V117,$U117)))=Milestones!$AB$140),UPPER(TEXT(EDATE($D117,Milestones!$AA$140),"dd mmm yy"))&amp;" "&amp;Milestones!$AB$140&amp;" "&amp;Milestones!$AC$140&amp;";  ","")&amp;IF(AND(EDATE($D117,Milestones!$AA$141)&lt;=AsOfDate,IF($R117=0,$X117,IF(AND($T117&lt;&gt;"",EDATE($D117,Milestones!$AA$141)&gt;=$T117),$W117,IF(AND($S117&lt;&gt;"",EDATE($D117,Milestones!$AA$141)&gt;=$S117),$V117,$U117)))=Milestones!$AB$141),UPPER(TEXT(EDATE($D117,Milestones!$AA$141),"dd mmm yy"))&amp;" "&amp;Milestones!$AB$141&amp;" "&amp;Milestones!$AC$141&amp;";  ","")&amp;IF(AND(EDATE($D117,Milestones!$AA$142)&lt;=AsOfDate,IF($R117=0,$X117,IF(AND($T117&lt;&gt;"",EDATE($D117,Milestones!$AA$142)&gt;=$T117),$W117,IF(AND($S117&lt;&gt;"",EDATE($D117,Milestones!$AA$142)&gt;=$S117),$V117,$U117)))=Milestones!$AB$142),UPPER(TEXT(EDATE($D117,Milestones!$AA$142),"dd mmm yy"))&amp;" "&amp;Milestones!$AB$142&amp;" "&amp;Milestones!$AC$142&amp;";  ","")&amp;IF(AND(EDATE($D117,Milestones!$AA$143)&lt;=AsOfDate,IF($R117=0,$X117,IF(AND($T117&lt;&gt;"",EDATE($D117,Milestones!$AA$143)&gt;=$T117),$W117,IF(AND($S117&lt;&gt;"",EDATE($D117,Milestones!$AA$143)&gt;=$S117),$V117,$U117)))=Milestones!$AB$143),UPPER(TEXT(EDATE($D117,Milestones!$AA$143),"dd mmm yy"))&amp;" "&amp;Milestones!$AB$143&amp;" "&amp;Milestones!$AC$143&amp;";  ","")&amp;IF(AND(EDATE($D117,Milestones!$AA$144)&lt;=AsOfDate,IF($R117=0,$X117,IF(AND($T117&lt;&gt;"",EDATE($D117,Milestones!$AA$144)&gt;=$T117),$W117,IF(AND($S117&lt;&gt;"",EDATE($D117,Milestones!$AA$144)&gt;=$S117),$V117,$U117)))=Milestones!$AB$144),UPPER(TEXT(EDATE($D117,Milestones!$AA$144),"dd mmm yy"))&amp;" "&amp;Milestones!$AB$144&amp;" "&amp;Milestones!$AC$144&amp;";  ","")&amp;IF(AND(EDATE($D117,Milestones!$AA$145)&lt;=AsOfDate,IF($R117=0,$X117,IF(AND($T117&lt;&gt;"",EDATE($D117,Milestones!$AA$145)&gt;=$T117),$W117,IF(AND($S117&lt;&gt;"",EDATE($D117,Milestones!$AA$145)&gt;=$S117),$V117,$U117)))=Milestones!$AB$145),UPPER(TEXT(EDATE($D117,Milestones!$AA$145),"dd mmm yy"))&amp;" "&amp;Milestones!$AB$145&amp;" "&amp;Milestones!$AC$145&amp;";  ","")&amp;IF(AND(EDATE($D117,Milestones!$AA$146)&lt;=AsOfDate,IF($R117=0,$X117,IF(AND($T117&lt;&gt;"",EDATE($D117,Milestones!$AA$146)&gt;=$T117),$W117,IF(AND($S117&lt;&gt;"",EDATE($D117,Milestones!$AA$146)&gt;=$S117),$V117,$U117)))=Milestones!$AB$146),UPPER(TEXT(EDATE($D117,Milestones!$AA$146),"dd mmm yy"))&amp;" "&amp;Milestones!$AB$146&amp;" "&amp;Milestones!$AC$146&amp;";  ","")&amp;IF(AND(EDATE($D117,Milestones!$AA$147)&lt;=AsOfDate,IF($R117=0,$X117,IF(AND($T117&lt;&gt;"",EDATE($D117,Milestones!$AA$147)&gt;=$T117),$W117,IF(AND($S117&lt;&gt;"",EDATE($D117,Milestones!$AA$147)&gt;=$S117),$V117,$U117)))=Milestones!$AB$147),UPPER(TEXT(EDATE($D117,Milestones!$AA$147),"dd mmm yy"))&amp;" "&amp;Milestones!$AB$147&amp;" "&amp;Milestones!$AC$147&amp;";  ","")&amp;IF(AND(EDATE($D117,Milestones!$AA$148)&lt;=AsOfDate,IF($R117=0,$X117,IF(AND($T117&lt;&gt;"",EDATE($D117,Milestones!$AA$148)&gt;=$T117),$W117,IF(AND($S117&lt;&gt;"",EDATE($D117,Milestones!$AA$148)&gt;=$S117),$V117,$U117)))=Milestones!$AB$148),UPPER(TEXT(EDATE($D117,Milestones!$AA$148),"dd mmm yy"))&amp;" "&amp;Milestones!$AB$148&amp;" "&amp;Milestones!$AC$148&amp;";  ","")&amp;IF(AND(EDATE($D117,Milestones!$AA$149)&lt;=AsOfDate,IF($R117=0,$X117,IF(AND($T117&lt;&gt;"",EDATE($D117,Milestones!$AA$149)&gt;=$T117),$W117,IF(AND($S117&lt;&gt;"",EDATE($D117,Milestones!$AA$149)&gt;=$S117),$V117,$U117)))=Milestones!$AB$149),UPPER(TEXT(EDATE($D117,Milestones!$AA$149),"dd mmm yy"))&amp;" "&amp;Milestones!$AB$149&amp;" "&amp;Milestones!$AC$149&amp;";  ","")&amp;IF(AND(EDATE($D117,Milestones!$AA$150)&lt;=AsOfDate,IF($R117=0,$X117,IF(AND($T117&lt;&gt;"",EDATE($D117,Milestones!$AA$150)&gt;=$T117),$W117,IF(AND($S117&lt;&gt;"",EDATE($D117,Milestones!$AA$150)&gt;=$S117),$V117,$U117)))=Milestones!$AB$150),UPPER(TEXT(EDATE($D117,Milestones!$AA$150),"dd mmm yy"))&amp;" "&amp;Milestones!$AB$150&amp;" "&amp;Milestones!$AC$150&amp;";  ","")&amp;IF(AND(EDATE($D117,Milestones!$AA$151)&lt;=AsOfDate,IF($R117=0,$X117,IF(AND($T117&lt;&gt;"",EDATE($D117,Milestones!$AA$151)&gt;=$T117),$W117,IF(AND($S117&lt;&gt;"",EDATE($D117,Milestones!$AA$151)&gt;=$S117),$V117,$U117)))=Milestones!$AB$151),UPPER(TEXT(EDATE($D117,Milestones!$AA$151),"dd mmm yy"))&amp;" "&amp;Milestones!$AB$151&amp;" "&amp;Milestones!$AC$151&amp;";  ","")&amp;IF(AND(EDATE($D117,Milestones!$AA$152)&lt;=AsOfDate,IF($R117=0,$X117,IF(AND($T117&lt;&gt;"",EDATE($D117,Milestones!$AA$152)&gt;=$T117),$W117,IF(AND($S117&lt;&gt;"",EDATE($D117,Milestones!$AA$152)&gt;=$S117),$V117,$U117)))=Milestones!$AB$152),UPPER(TEXT(EDATE($D117,Milestones!$AA$152),"dd mmm yy"))&amp;" "&amp;Milestones!$AB$152&amp;" "&amp;Milestones!$AC$152&amp;";  ","")&amp;IF(AND(EDATE($D117,Milestones!$AA$153)&lt;=AsOfDate,IF($R117=0,$X117,IF(AND($T117&lt;&gt;"",EDATE($D117,Milestones!$AA$153)&gt;=$T117),$W117,IF(AND($S117&lt;&gt;"",EDATE($D117,Milestones!$AA$153)&gt;=$S117),$V117,$U117)))=Milestones!$AB$153),UPPER(TEXT(EDATE($D117,Milestones!$AA$153),"dd mmm yy"))&amp;" "&amp;Milestones!$AB$153&amp;" "&amp;Milestones!$AC$153&amp;";  ","")&amp;IF(AND(EDATE($D117,Milestones!$AA$154)&lt;=AsOfDate,IF($R117=0,$X117,IF(AND($T117&lt;&gt;"",EDATE($D117,Milestones!$AA$154)&gt;=$T117),$W117,IF(AND($S117&lt;&gt;"",EDATE($D117,Milestones!$AA$154)&gt;=$S117),$V117,$U117)))=Milestones!$AB$154),UPPER(TEXT(EDATE($D117,Milestones!$AA$154),"dd mmm yy"))&amp;" "&amp;Milestones!$AB$154&amp;" "&amp;Milestones!$AC$154&amp;";  ","")&amp;IF(AND(EDATE($D117,Milestones!$AA$155)&lt;=AsOfDate,IF($R117=0,$X117,IF(AND($T117&lt;&gt;"",EDATE($D117,Milestones!$AA$155)&gt;=$T117),$W117,IF(AND($S117&lt;&gt;"",EDATE($D117,Milestones!$AA$155)&gt;=$S117),$V117,$U117)))=Milestones!$AB$155),UPPER(TEXT(EDATE($D117,Milestones!$AA$155),"dd mmm yy"))&amp;" "&amp;Milestones!$AB$155&amp;" "&amp;Milestones!$AC$155&amp;";  ","")&amp;IF(AND(EDATE($D117,Milestones!$AA$156)&lt;=AsOfDate,IF($R117=0,$X117,IF(AND($T117&lt;&gt;"",EDATE($D117,Milestones!$AA$156)&gt;=$T117),$W117,IF(AND($S117&lt;&gt;"",EDATE($D117,Milestones!$AA$156)&gt;=$S117),$V117,$U117)))=Milestones!$AB$156),UPPER(TEXT(EDATE($D117,Milestones!$AA$156),"dd mmm yy"))&amp;" "&amp;Milestones!$AB$156&amp;" "&amp;Milestones!$AC$156&amp;";  ","")&amp;IF(AND(EDATE($D117,Milestones!$AA$157)&lt;=AsOfDate,IF($R117=0,$X117,IF(AND($T117&lt;&gt;"",EDATE($D117,Milestones!$AA$157)&gt;=$T117),$W117,IF(AND($S117&lt;&gt;"",EDATE($D117,Milestones!$AA$157)&gt;=$S117),$V117,$U117)))=Milestones!$AB$157),UPPER(TEXT(EDATE($D117,Milestones!$AA$157),"dd mmm yy"))&amp;" "&amp;Milestones!$AB$157&amp;" "&amp;Milestones!$AC$157&amp;";  ","")&amp;IF(AND(EDATE($D117,Milestones!$AA$158)&lt;=AsOfDate,IF($R117=0,$X117,IF(AND($T117&lt;&gt;"",EDATE($D117,Milestones!$AA$158)&gt;=$T117),$W117,IF(AND($S117&lt;&gt;"",EDATE($D117,Milestones!$AA$158)&gt;=$S117),$V117,$U117)))=Milestones!$AB$158),UPPER(TEXT(EDATE($D117,Milestones!$AA$158),"dd mmm yy"))&amp;" "&amp;Milestones!$AB$158&amp;" "&amp;Milestones!$AC$158&amp;";  ","")&amp;IF(AND(EDATE($D117,Milestones!$AA$159)&lt;=AsOfDate,IF($R117=0,$X117,IF(AND($T117&lt;&gt;"",EDATE($D117,Milestones!$AA$159)&gt;=$T117),$W117,IF(AND($S117&lt;&gt;"",EDATE($D117,Milestones!$AA$159)&gt;=$S117),$V117,$U117)))=Milestones!$AB$159),UPPER(TEXT(EDATE($D117,Milestones!$AA$159),"dd mmm yy"))&amp;" "&amp;Milestones!$AB$159&amp;" "&amp;Milestones!$AC$159&amp;";  ",""))</f>
        <v/>
      </c>
      <c r="P117" s="0" t="str">
        <f aca="false">IF(OR($A117="",$D117=""),"",IF(AND(EDATE($D117,Milestones!$AA$160)&lt;=AsOfDate,IF($R117=0,$X117,IF(AND($T117&lt;&gt;"",EDATE($D117,Milestones!$AA$160)&gt;=$T117),$W117,IF(AND($S117&lt;&gt;"",EDATE($D117,Milestones!$AA$160)&gt;=$S117),$V117,$U117)))=Milestones!$AB$160),UPPER(TEXT(EDATE($D117,Milestones!$AA$160),"dd mmm yy"))&amp;" "&amp;Milestones!$AB$160&amp;" "&amp;Milestones!$AC$160&amp;";  ","")&amp;IF(AND(EDATE($D117,Milestones!$AA$161)&lt;=AsOfDate,IF($R117=0,$X117,IF(AND($T117&lt;&gt;"",EDATE($D117,Milestones!$AA$161)&gt;=$T117),$W117,IF(AND($S117&lt;&gt;"",EDATE($D117,Milestones!$AA$161)&gt;=$S117),$V117,$U117)))=Milestones!$AB$161),UPPER(TEXT(EDATE($D117,Milestones!$AA$161),"dd mmm yy"))&amp;" "&amp;Milestones!$AB$161&amp;" "&amp;Milestones!$AC$161&amp;";  ","")&amp;IF(AND(EDATE($D117,Milestones!$AA$162)&lt;=AsOfDate,IF($R117=0,$X117,IF(AND($T117&lt;&gt;"",EDATE($D117,Milestones!$AA$162)&gt;=$T117),$W117,IF(AND($S117&lt;&gt;"",EDATE($D117,Milestones!$AA$162)&gt;=$S117),$V117,$U117)))=Milestones!$AB$162),UPPER(TEXT(EDATE($D117,Milestones!$AA$162),"dd mmm yy"))&amp;" "&amp;Milestones!$AB$162&amp;" "&amp;Milestones!$AC$162&amp;";  ","")&amp;IF(AND(EDATE($D117,Milestones!$AA$163)&lt;=AsOfDate,IF($R117=0,$X117,IF(AND($T117&lt;&gt;"",EDATE($D117,Milestones!$AA$163)&gt;=$T117),$W117,IF(AND($S117&lt;&gt;"",EDATE($D117,Milestones!$AA$163)&gt;=$S117),$V117,$U117)))=Milestones!$AB$163),UPPER(TEXT(EDATE($D117,Milestones!$AA$163),"dd mmm yy"))&amp;" "&amp;Milestones!$AB$163&amp;" "&amp;Milestones!$AC$163&amp;";  ","")&amp;IF(AND(EDATE($D117,Milestones!$AA$164)&lt;=AsOfDate,IF($R117=0,$X117,IF(AND($T117&lt;&gt;"",EDATE($D117,Milestones!$AA$164)&gt;=$T117),$W117,IF(AND($S117&lt;&gt;"",EDATE($D117,Milestones!$AA$164)&gt;=$S117),$V117,$U117)))=Milestones!$AB$164),UPPER(TEXT(EDATE($D117,Milestones!$AA$164),"dd mmm yy"))&amp;" "&amp;Milestones!$AB$164&amp;" "&amp;Milestones!$AC$164&amp;";  ","")&amp;IF(AND(EDATE($D117,Milestones!$AA$165)&lt;=AsOfDate,IF($R117=0,$X117,IF(AND($T117&lt;&gt;"",EDATE($D117,Milestones!$AA$165)&gt;=$T117),$W117,IF(AND($S117&lt;&gt;"",EDATE($D117,Milestones!$AA$165)&gt;=$S117),$V117,$U117)))=Milestones!$AB$165),UPPER(TEXT(EDATE($D117,Milestones!$AA$165),"dd mmm yy"))&amp;" "&amp;Milestones!$AB$165&amp;" "&amp;Milestones!$AC$165&amp;";  ","")&amp;IF(AND(EDATE($D117,Milestones!$AA$166)&lt;=AsOfDate,IF($R117=0,$X117,IF(AND($T117&lt;&gt;"",EDATE($D117,Milestones!$AA$166)&gt;=$T117),$W117,IF(AND($S117&lt;&gt;"",EDATE($D117,Milestones!$AA$166)&gt;=$S117),$V117,$U117)))=Milestones!$AB$166),UPPER(TEXT(EDATE($D117,Milestones!$AA$166),"dd mmm yy"))&amp;" "&amp;Milestones!$AB$166&amp;" "&amp;Milestones!$AC$166&amp;";  ","")&amp;IF(AND(EDATE($D117,Milestones!$AA$167)&lt;=AsOfDate,IF($R117=0,$X117,IF(AND($T117&lt;&gt;"",EDATE($D117,Milestones!$AA$167)&gt;=$T117),$W117,IF(AND($S117&lt;&gt;"",EDATE($D117,Milestones!$AA$167)&gt;=$S117),$V117,$U117)))=Milestones!$AB$167),UPPER(TEXT(EDATE($D117,Milestones!$AA$167),"dd mmm yy"))&amp;" "&amp;Milestones!$AB$167&amp;" "&amp;Milestones!$AC$167&amp;";  ","")&amp;IF(AND(EDATE($D117,Milestones!$AA$168)&lt;=AsOfDate,IF($R117=0,$X117,IF(AND($T117&lt;&gt;"",EDATE($D117,Milestones!$AA$168)&gt;=$T117),$W117,IF(AND($S117&lt;&gt;"",EDATE($D117,Milestones!$AA$168)&gt;=$S117),$V117,$U117)))=Milestones!$AB$168),UPPER(TEXT(EDATE($D117,Milestones!$AA$168),"dd mmm yy"))&amp;" "&amp;Milestones!$AB$168&amp;" "&amp;Milestones!$AC$168&amp;";  ","")&amp;IF(AND(EDATE($D117,Milestones!$AA$169)&lt;=AsOfDate,IF($R117=0,$X117,IF(AND($T117&lt;&gt;"",EDATE($D117,Milestones!$AA$169)&gt;=$T117),$W117,IF(AND($S117&lt;&gt;"",EDATE($D117,Milestones!$AA$169)&gt;=$S117),$V117,$U117)))=Milestones!$AB$169),UPPER(TEXT(EDATE($D117,Milestones!$AA$169),"dd mmm yy"))&amp;" "&amp;Milestones!$AB$169&amp;" "&amp;Milestones!$AC$169&amp;";  ","")&amp;IF(AND(EDATE($D117,Milestones!$AA$170)&lt;=AsOfDate,IF($R117=0,$X117,IF(AND($T117&lt;&gt;"",EDATE($D117,Milestones!$AA$170)&gt;=$T117),$W117,IF(AND($S117&lt;&gt;"",EDATE($D117,Milestones!$AA$170)&gt;=$S117),$V117,$U117)))=Milestones!$AB$170),UPPER(TEXT(EDATE($D117,Milestones!$AA$170),"dd mmm yy"))&amp;" "&amp;Milestones!$AB$170&amp;" "&amp;Milestones!$AC$170&amp;";  ","")&amp;IF(AND(EDATE($D117,Milestones!$AA$171)&lt;=AsOfDate,IF($R117=0,$X117,IF(AND($T117&lt;&gt;"",EDATE($D117,Milestones!$AA$171)&gt;=$T117),$W117,IF(AND($S117&lt;&gt;"",EDATE($D117,Milestones!$AA$171)&gt;=$S117),$V117,$U117)))=Milestones!$AB$171),UPPER(TEXT(EDATE($D117,Milestones!$AA$171),"dd mmm yy"))&amp;" "&amp;Milestones!$AB$171&amp;" "&amp;Milestones!$AC$171&amp;";  ","")&amp;IF(AND(EDATE($D117,Milestones!$AA$172)&lt;=AsOfDate,IF($R117=0,$X117,IF(AND($T117&lt;&gt;"",EDATE($D117,Milestones!$AA$172)&gt;=$T117),$W117,IF(AND($S117&lt;&gt;"",EDATE($D117,Milestones!$AA$172)&gt;=$S117),$V117,$U117)))=Milestones!$AB$172),UPPER(TEXT(EDATE($D117,Milestones!$AA$172),"dd mmm yy"))&amp;" "&amp;Milestones!$AB$172&amp;" "&amp;Milestones!$AC$172&amp;";  ","")&amp;IF(AND(EDATE($D117,Milestones!$AA$173)&lt;=AsOfDate,IF($R117=0,$X117,IF(AND($T117&lt;&gt;"",EDATE($D117,Milestones!$AA$173)&gt;=$T117),$W117,IF(AND($S117&lt;&gt;"",EDATE($D117,Milestones!$AA$173)&gt;=$S117),$V117,$U117)))=Milestones!$AB$173),UPPER(TEXT(EDATE($D117,Milestones!$AA$173),"dd mmm yy"))&amp;" "&amp;Milestones!$AB$173&amp;" "&amp;Milestones!$AC$173&amp;";  ","")&amp;IF(AND(EDATE($D117,Milestones!$AA$174)&lt;=AsOfDate,IF($R117=0,$X117,IF(AND($T117&lt;&gt;"",EDATE($D117,Milestones!$AA$174)&gt;=$T117),$W117,IF(AND($S117&lt;&gt;"",EDATE($D117,Milestones!$AA$174)&gt;=$S117),$V117,$U117)))=Milestones!$AB$174),UPPER(TEXT(EDATE($D117,Milestones!$AA$174),"dd mmm yy"))&amp;" "&amp;Milestones!$AB$174&amp;" "&amp;Milestones!$AC$174&amp;";  ","")&amp;IF(AND(EDATE($D117,Milestones!$AA$175)&lt;=AsOfDate,IF($R117=0,$X117,IF(AND($T117&lt;&gt;"",EDATE($D117,Milestones!$AA$175)&gt;=$T117),$W117,IF(AND($S117&lt;&gt;"",EDATE($D117,Milestones!$AA$175)&gt;=$S117),$V117,$U117)))=Milestones!$AB$175),UPPER(TEXT(EDATE($D117,Milestones!$AA$175),"dd mmm yy"))&amp;" "&amp;Milestones!$AB$175&amp;" "&amp;Milestones!$AC$175&amp;";  ","")&amp;IF(AND(EDATE($D117,Milestones!$AA$176)&lt;=AsOfDate,IF($R117=0,$X117,IF(AND($T117&lt;&gt;"",EDATE($D117,Milestones!$AA$176)&gt;=$T117),$W117,IF(AND($S117&lt;&gt;"",EDATE($D117,Milestones!$AA$176)&gt;=$S117),$V117,$U117)))=Milestones!$AB$176),UPPER(TEXT(EDATE($D117,Milestones!$AA$176),"dd mmm yy"))&amp;" "&amp;Milestones!$AB$176&amp;" "&amp;Milestones!$AC$176&amp;";  ","")&amp;IF(AND(EDATE($D117,Milestones!$AA$177)&lt;=AsOfDate,IF($R117=0,$X117,IF(AND($T117&lt;&gt;"",EDATE($D117,Milestones!$AA$177)&gt;=$T117),$W117,IF(AND($S117&lt;&gt;"",EDATE($D117,Milestones!$AA$177)&gt;=$S117),$V117,$U117)))=Milestones!$AB$177),UPPER(TEXT(EDATE($D117,Milestones!$AA$177),"dd mmm yy"))&amp;" "&amp;Milestones!$AB$177&amp;" "&amp;Milestones!$AC$177&amp;";  ","")&amp;IF(AND(EDATE($D117,Milestones!$AA$178)&lt;=AsOfDate,IF($R117=0,$X117,IF(AND($T117&lt;&gt;"",EDATE($D117,Milestones!$AA$178)&gt;=$T117),$W117,IF(AND($S117&lt;&gt;"",EDATE($D117,Milestones!$AA$178)&gt;=$S117),$V117,$U117)))=Milestones!$AB$178),UPPER(TEXT(EDATE($D117,Milestones!$AA$178),"dd mmm yy"))&amp;" "&amp;Milestones!$AB$178&amp;" "&amp;Milestones!$AC$178&amp;";  ","")&amp;IF(AND(EDATE($D117,Milestones!$AA$179)&lt;=AsOfDate,IF($R117=0,$X117,IF(AND($T117&lt;&gt;"",EDATE($D117,Milestones!$AA$179)&gt;=$T117),$W117,IF(AND($S117&lt;&gt;"",EDATE($D117,Milestones!$AA$179)&gt;=$S117),$V117,$U117)))=Milestones!$AB$179),UPPER(TEXT(EDATE($D117,Milestones!$AA$179),"dd mmm yy"))&amp;" "&amp;Milestones!$AB$179&amp;" "&amp;Milestones!$AC$179&amp;";  ",""))</f>
        <v/>
      </c>
      <c r="Q117" s="0" t="str">
        <f aca="false">IF(OR($A117="",$D117=""),"",IF(AND(EDATE($D117,Milestones!$AA$180)&lt;=AsOfDate,IF($R117=0,$X117,IF(AND($T117&lt;&gt;"",EDATE($D117,Milestones!$AA$180)&gt;=$T117),$W117,IF(AND($S117&lt;&gt;"",EDATE($D117,Milestones!$AA$180)&gt;=$S117),$V117,$U117)))=Milestones!$AB$180),UPPER(TEXT(EDATE($D117,Milestones!$AA$180),"dd mmm yy"))&amp;" "&amp;Milestones!$AB$180&amp;" "&amp;Milestones!$AC$180&amp;";  ","")&amp;IF(AND(EDATE($D117,Milestones!$AA$181)&lt;=AsOfDate,IF($R117=0,$X117,IF(AND($T117&lt;&gt;"",EDATE($D117,Milestones!$AA$181)&gt;=$T117),$W117,IF(AND($S117&lt;&gt;"",EDATE($D117,Milestones!$AA$181)&gt;=$S117),$V117,$U117)))=Milestones!$AB$181),UPPER(TEXT(EDATE($D117,Milestones!$AA$181),"dd mmm yy"))&amp;" "&amp;Milestones!$AB$181&amp;" "&amp;Milestones!$AC$181&amp;";  ","")&amp;IF(AND(EDATE($D117,Milestones!$AA$182)&lt;=AsOfDate,IF($R117=0,$X117,IF(AND($T117&lt;&gt;"",EDATE($D117,Milestones!$AA$182)&gt;=$T117),$W117,IF(AND($S117&lt;&gt;"",EDATE($D117,Milestones!$AA$182)&gt;=$S117),$V117,$U117)))=Milestones!$AB$182),UPPER(TEXT(EDATE($D117,Milestones!$AA$182),"dd mmm yy"))&amp;" "&amp;Milestones!$AB$182&amp;" "&amp;Milestones!$AC$182&amp;";  ","")&amp;IF(AND(EDATE($D117,Milestones!$AA$183)&lt;=AsOfDate,IF($R117=0,$X117,IF(AND($T117&lt;&gt;"",EDATE($D117,Milestones!$AA$183)&gt;=$T117),$W117,IF(AND($S117&lt;&gt;"",EDATE($D117,Milestones!$AA$183)&gt;=$S117),$V117,$U117)))=Milestones!$AB$183),UPPER(TEXT(EDATE($D117,Milestones!$AA$183),"dd mmm yy"))&amp;" "&amp;Milestones!$AB$183&amp;" "&amp;Milestones!$AC$183&amp;";  ","")&amp;IF(AND(EDATE($D117,Milestones!$AA$184)&lt;=AsOfDate,IF($R117=0,$X117,IF(AND($T117&lt;&gt;"",EDATE($D117,Milestones!$AA$184)&gt;=$T117),$W117,IF(AND($S117&lt;&gt;"",EDATE($D117,Milestones!$AA$184)&gt;=$S117),$V117,$U117)))=Milestones!$AB$184),UPPER(TEXT(EDATE($D117,Milestones!$AA$184),"dd mmm yy"))&amp;" "&amp;Milestones!$AB$184&amp;" "&amp;Milestones!$AC$184&amp;";  ","")&amp;IF(AND(EDATE($D117,Milestones!$AA$185)&lt;=AsOfDate,IF($R117=0,$X117,IF(AND($T117&lt;&gt;"",EDATE($D117,Milestones!$AA$185)&gt;=$T117),$W117,IF(AND($S117&lt;&gt;"",EDATE($D117,Milestones!$AA$185)&gt;=$S117),$V117,$U117)))=Milestones!$AB$185),UPPER(TEXT(EDATE($D117,Milestones!$AA$185),"dd mmm yy"))&amp;" "&amp;Milestones!$AB$185&amp;" "&amp;Milestones!$AC$185&amp;";  ","")&amp;IF(AND(EDATE($D117,Milestones!$AA$186)&lt;=AsOfDate,IF($R117=0,$X117,IF(AND($T117&lt;&gt;"",EDATE($D117,Milestones!$AA$186)&gt;=$T117),$W117,IF(AND($S117&lt;&gt;"",EDATE($D117,Milestones!$AA$186)&gt;=$S117),$V117,$U117)))=Milestones!$AB$186),UPPER(TEXT(EDATE($D117,Milestones!$AA$186),"dd mmm yy"))&amp;" "&amp;Milestones!$AB$186&amp;" "&amp;Milestones!$AC$186&amp;";  ","")&amp;IF(AND(EDATE($D117,Milestones!$AA$187)&lt;=AsOfDate,IF($R117=0,$X117,IF(AND($T117&lt;&gt;"",EDATE($D117,Milestones!$AA$187)&gt;=$T117),$W117,IF(AND($S117&lt;&gt;"",EDATE($D117,Milestones!$AA$187)&gt;=$S117),$V117,$U117)))=Milestones!$AB$187),UPPER(TEXT(EDATE($D117,Milestones!$AA$187),"dd mmm yy"))&amp;" "&amp;Milestones!$AB$187&amp;" "&amp;Milestones!$AC$187&amp;";  ","")&amp;IF(AND(EDATE($D117,Milestones!$AA$188)&lt;=AsOfDate,IF($R117=0,$X117,IF(AND($T117&lt;&gt;"",EDATE($D117,Milestones!$AA$188)&gt;=$T117),$W117,IF(AND($S117&lt;&gt;"",EDATE($D117,Milestones!$AA$188)&gt;=$S117),$V117,$U117)))=Milestones!$AB$188),UPPER(TEXT(EDATE($D117,Milestones!$AA$188),"dd mmm yy"))&amp;" "&amp;Milestones!$AB$188&amp;" "&amp;Milestones!$AC$188&amp;";  ","")&amp;IF(AND(EDATE($D117,Milestones!$AA$189)&lt;=AsOfDate,IF($R117=0,$X117,IF(AND($T117&lt;&gt;"",EDATE($D117,Milestones!$AA$189)&gt;=$T117),$W117,IF(AND($S117&lt;&gt;"",EDATE($D117,Milestones!$AA$189)&gt;=$S117),$V117,$U117)))=Milestones!$AB$189),UPPER(TEXT(EDATE($D117,Milestones!$AA$189),"dd mmm yy"))&amp;" "&amp;Milestones!$AB$189&amp;" "&amp;Milestones!$AC$189&amp;";  ","")&amp;IF(AND(EDATE($D117,Milestones!$AA$190)&lt;=AsOfDate,IF($R117=0,$X117,IF(AND($T117&lt;&gt;"",EDATE($D117,Milestones!$AA$190)&gt;=$T117),$W117,IF(AND($S117&lt;&gt;"",EDATE($D117,Milestones!$AA$190)&gt;=$S117),$V117,$U117)))=Milestones!$AB$190),UPPER(TEXT(EDATE($D117,Milestones!$AA$190),"dd mmm yy"))&amp;" "&amp;Milestones!$AB$190&amp;" "&amp;Milestones!$AC$190&amp;";  ","")&amp;IF(AND(EDATE($D117,Milestones!$AA$191)&lt;=AsOfDate,IF($R117=0,$X117,IF(AND($T117&lt;&gt;"",EDATE($D117,Milestones!$AA$191)&gt;=$T117),$W117,IF(AND($S117&lt;&gt;"",EDATE($D117,Milestones!$AA$191)&gt;=$S117),$V117,$U117)))=Milestones!$AB$191),UPPER(TEXT(EDATE($D117,Milestones!$AA$191),"dd mmm yy"))&amp;" "&amp;Milestones!$AB$191&amp;" "&amp;Milestones!$AC$191&amp;";  ","")&amp;IF(AND(EDATE($D117,Milestones!$AA$192)&lt;=AsOfDate,IF($R117=0,$X117,IF(AND($T117&lt;&gt;"",EDATE($D117,Milestones!$AA$192)&gt;=$T117),$W117,IF(AND($S117&lt;&gt;"",EDATE($D117,Milestones!$AA$192)&gt;=$S117),$V117,$U117)))=Milestones!$AB$192),UPPER(TEXT(EDATE($D117,Milestones!$AA$192),"dd mmm yy"))&amp;" "&amp;Milestones!$AB$192&amp;" "&amp;Milestones!$AC$192&amp;";  ","")&amp;IF(AND(EDATE($D117,Milestones!$AA$193)&lt;=AsOfDate,IF($R117=0,$X117,IF(AND($T117&lt;&gt;"",EDATE($D117,Milestones!$AA$193)&gt;=$T117),$W117,IF(AND($S117&lt;&gt;"",EDATE($D117,Milestones!$AA$193)&gt;=$S117),$V117,$U117)))=Milestones!$AB$193),UPPER(TEXT(EDATE($D117,Milestones!$AA$193),"dd mmm yy"))&amp;" "&amp;Milestones!$AB$193&amp;" "&amp;Milestones!$AC$193&amp;";  ","")&amp;IF(AND(EDATE($D117,Milestones!$AA$194)&lt;=AsOfDate,IF($R117=0,$X117,IF(AND($T117&lt;&gt;"",EDATE($D117,Milestones!$AA$194)&gt;=$T117),$W117,IF(AND($S117&lt;&gt;"",EDATE($D117,Milestones!$AA$194)&gt;=$S117),$V117,$U117)))=Milestones!$AB$194),UPPER(TEXT(EDATE($D117,Milestones!$AA$194),"dd mmm yy"))&amp;" "&amp;Milestones!$AB$194&amp;" "&amp;Milestones!$AC$194&amp;";  ","")&amp;IF(AND(EDATE($D117,Milestones!$AA$195)&lt;=AsOfDate,IF($R117=0,$X117,IF(AND($T117&lt;&gt;"",EDATE($D117,Milestones!$AA$195)&gt;=$T117),$W117,IF(AND($S117&lt;&gt;"",EDATE($D117,Milestones!$AA$195)&gt;=$S117),$V117,$U117)))=Milestones!$AB$195),UPPER(TEXT(EDATE($D117,Milestones!$AA$195),"dd mmm yy"))&amp;" "&amp;Milestones!$AB$195&amp;" "&amp;Milestones!$AC$195&amp;";  ","")&amp;IF(AND(EDATE($D117,Milestones!$AA$196)&lt;=AsOfDate,IF($R117=0,$X117,IF(AND($T117&lt;&gt;"",EDATE($D117,Milestones!$AA$196)&gt;=$T117),$W117,IF(AND($S117&lt;&gt;"",EDATE($D117,Milestones!$AA$196)&gt;=$S117),$V117,$U117)))=Milestones!$AB$196),UPPER(TEXT(EDATE($D117,Milestones!$AA$196),"dd mmm yy"))&amp;" "&amp;Milestones!$AB$196&amp;" "&amp;Milestones!$AC$196&amp;";  ","")&amp;IF(AND(EDATE($D117,Milestones!$AA$197)&lt;=AsOfDate,IF($R117=0,$X117,IF(AND($T117&lt;&gt;"",EDATE($D117,Milestones!$AA$197)&gt;=$T117),$W117,IF(AND($S117&lt;&gt;"",EDATE($D117,Milestones!$AA$197)&gt;=$S117),$V117,$U117)))=Milestones!$AB$197),UPPER(TEXT(EDATE($D117,Milestones!$AA$197),"dd mmm yy"))&amp;" "&amp;Milestones!$AB$197&amp;" "&amp;Milestones!$AC$197&amp;";  ","")&amp;IF(AND(EDATE($D117,Milestones!$AA$198)&lt;=AsOfDate,IF($R117=0,$X117,IF(AND($T117&lt;&gt;"",EDATE($D117,Milestones!$AA$198)&gt;=$T117),$W117,IF(AND($S117&lt;&gt;"",EDATE($D117,Milestones!$AA$198)&gt;=$S117),$V117,$U117)))=Milestones!$AB$198),UPPER(TEXT(EDATE($D117,Milestones!$AA$198),"dd mmm yy"))&amp;" "&amp;Milestones!$AB$198&amp;" "&amp;Milestones!$AC$198&amp;";  ","")&amp;IF(AND(EDATE($D117,Milestones!$AA$199)&lt;=AsOfDate,IF($R117=0,$X117,IF(AND($T117&lt;&gt;"",EDATE($D117,Milestones!$AA$199)&gt;=$T117),$W117,IF(AND($S117&lt;&gt;"",EDATE($D117,Milestones!$AA$199)&gt;=$S117),$V117,$U117)))=Milestones!$AB$199),UPPER(TEXT(EDATE($D117,Milestones!$AA$199),"dd mmm yy"))&amp;" "&amp;Milestones!$AB$199&amp;" "&amp;Milestones!$AC$199&amp;";  ",""))</f>
        <v/>
      </c>
      <c r="R117" s="0" t="str">
        <f aca="false">IF(Staff!$A117="","",Staff!$AI117)</f>
        <v/>
      </c>
      <c r="S117" s="0" t="str">
        <f aca="false">IF(Staff!$A117="","",Staff!$AK117)</f>
        <v/>
      </c>
      <c r="T117" s="0" t="str">
        <f aca="false">IF(Staff!$A117="","",Staff!$AL117)</f>
        <v/>
      </c>
      <c r="U117" s="0" t="str">
        <f aca="false">IF(Staff!$A117="","",Staff!$AP117)</f>
        <v/>
      </c>
      <c r="V117" s="0" t="str">
        <f aca="false">IF(Staff!$A117="","",Staff!$AQ117)</f>
        <v/>
      </c>
      <c r="W117" s="0" t="str">
        <f aca="false">IF(Staff!$A117="","",Staff!$AR117)</f>
        <v/>
      </c>
      <c r="X117" s="0" t="str">
        <f aca="false">IF(Staff!$A117="","",Staff!$AS117)</f>
        <v/>
      </c>
    </row>
    <row r="118" customFormat="false" ht="15" hidden="false" customHeight="false" outlineLevel="0" collapsed="false">
      <c r="A118" s="19" t="str">
        <f aca="false">IF(Staff!$A118="","",Staff!$A118)</f>
        <v/>
      </c>
      <c r="B118" s="19" t="str">
        <f aca="false">IF(Staff!$A118="","",Staff!$B118)</f>
        <v/>
      </c>
      <c r="C118" s="19" t="str">
        <f aca="false">IF(Staff!$A118="","",Staff!$C118)</f>
        <v/>
      </c>
      <c r="D118" s="17" t="str">
        <f aca="false">IF(Staff!$A118="","",Staff!$AH118)</f>
        <v/>
      </c>
      <c r="E118" s="19" t="str">
        <f aca="false">IF(Staff!$A118="","",Staff!$O118)</f>
        <v/>
      </c>
      <c r="F118" s="19" t="str">
        <f aca="false">IF(E118="","",E118*HoursPerDay)</f>
        <v/>
      </c>
      <c r="G118" s="19" t="str">
        <f aca="false">IF(Staff!$A118="","",Staff!$AE118)</f>
        <v/>
      </c>
      <c r="H118" s="32" t="str">
        <f aca="false">IF($A118="","",I118&amp;J118&amp;K118&amp;L118&amp;M118&amp;N118&amp;O118&amp;P118&amp;Q118)</f>
        <v/>
      </c>
      <c r="I118" s="0" t="str">
        <f aca="false">IF(OR($A118="",$D118=""),"",IF(AND(EDATE($D118,Milestones!$AA$20)&lt;=AsOfDate,IF($R118=0,$X118,IF(AND($T118&lt;&gt;"",EDATE($D118,Milestones!$AA$20)&gt;=$T118),$W118,IF(AND($S118&lt;&gt;"",EDATE($D118,Milestones!$AA$20)&gt;=$S118),$V118,$U118)))=Milestones!$AB$20),UPPER(TEXT(EDATE($D118,Milestones!$AA$20),"dd mmm yy"))&amp;" "&amp;Milestones!$AB$20&amp;" "&amp;Milestones!$AC$20&amp;";  ","")&amp;IF(AND(EDATE($D118,Milestones!$AA$21)&lt;=AsOfDate,IF($R118=0,$X118,IF(AND($T118&lt;&gt;"",EDATE($D118,Milestones!$AA$21)&gt;=$T118),$W118,IF(AND($S118&lt;&gt;"",EDATE($D118,Milestones!$AA$21)&gt;=$S118),$V118,$U118)))=Milestones!$AB$21),UPPER(TEXT(EDATE($D118,Milestones!$AA$21),"dd mmm yy"))&amp;" "&amp;Milestones!$AB$21&amp;" "&amp;Milestones!$AC$21&amp;";  ","")&amp;IF(AND(EDATE($D118,Milestones!$AA$22)&lt;=AsOfDate,IF($R118=0,$X118,IF(AND($T118&lt;&gt;"",EDATE($D118,Milestones!$AA$22)&gt;=$T118),$W118,IF(AND($S118&lt;&gt;"",EDATE($D118,Milestones!$AA$22)&gt;=$S118),$V118,$U118)))=Milestones!$AB$22),UPPER(TEXT(EDATE($D118,Milestones!$AA$22),"dd mmm yy"))&amp;" "&amp;Milestones!$AB$22&amp;" "&amp;Milestones!$AC$22&amp;";  ","")&amp;IF(AND(EDATE($D118,Milestones!$AA$23)&lt;=AsOfDate,IF($R118=0,$X118,IF(AND($T118&lt;&gt;"",EDATE($D118,Milestones!$AA$23)&gt;=$T118),$W118,IF(AND($S118&lt;&gt;"",EDATE($D118,Milestones!$AA$23)&gt;=$S118),$V118,$U118)))=Milestones!$AB$23),UPPER(TEXT(EDATE($D118,Milestones!$AA$23),"dd mmm yy"))&amp;" "&amp;Milestones!$AB$23&amp;" "&amp;Milestones!$AC$23&amp;";  ","")&amp;IF(AND(EDATE($D118,Milestones!$AA$24)&lt;=AsOfDate,IF($R118=0,$X118,IF(AND($T118&lt;&gt;"",EDATE($D118,Milestones!$AA$24)&gt;=$T118),$W118,IF(AND($S118&lt;&gt;"",EDATE($D118,Milestones!$AA$24)&gt;=$S118),$V118,$U118)))=Milestones!$AB$24),UPPER(TEXT(EDATE($D118,Milestones!$AA$24),"dd mmm yy"))&amp;" "&amp;Milestones!$AB$24&amp;" "&amp;Milestones!$AC$24&amp;";  ","")&amp;IF(AND(EDATE($D118,Milestones!$AA$25)&lt;=AsOfDate,IF($R118=0,$X118,IF(AND($T118&lt;&gt;"",EDATE($D118,Milestones!$AA$25)&gt;=$T118),$W118,IF(AND($S118&lt;&gt;"",EDATE($D118,Milestones!$AA$25)&gt;=$S118),$V118,$U118)))=Milestones!$AB$25),UPPER(TEXT(EDATE($D118,Milestones!$AA$25),"dd mmm yy"))&amp;" "&amp;Milestones!$AB$25&amp;" "&amp;Milestones!$AC$25&amp;";  ","")&amp;IF(AND(EDATE($D118,Milestones!$AA$26)&lt;=AsOfDate,IF($R118=0,$X118,IF(AND($T118&lt;&gt;"",EDATE($D118,Milestones!$AA$26)&gt;=$T118),$W118,IF(AND($S118&lt;&gt;"",EDATE($D118,Milestones!$AA$26)&gt;=$S118),$V118,$U118)))=Milestones!$AB$26),UPPER(TEXT(EDATE($D118,Milestones!$AA$26),"dd mmm yy"))&amp;" "&amp;Milestones!$AB$26&amp;" "&amp;Milestones!$AC$26&amp;";  ","")&amp;IF(AND(EDATE($D118,Milestones!$AA$27)&lt;=AsOfDate,IF($R118=0,$X118,IF(AND($T118&lt;&gt;"",EDATE($D118,Milestones!$AA$27)&gt;=$T118),$W118,IF(AND($S118&lt;&gt;"",EDATE($D118,Milestones!$AA$27)&gt;=$S118),$V118,$U118)))=Milestones!$AB$27),UPPER(TEXT(EDATE($D118,Milestones!$AA$27),"dd mmm yy"))&amp;" "&amp;Milestones!$AB$27&amp;" "&amp;Milestones!$AC$27&amp;";  ","")&amp;IF(AND(EDATE($D118,Milestones!$AA$28)&lt;=AsOfDate,IF($R118=0,$X118,IF(AND($T118&lt;&gt;"",EDATE($D118,Milestones!$AA$28)&gt;=$T118),$W118,IF(AND($S118&lt;&gt;"",EDATE($D118,Milestones!$AA$28)&gt;=$S118),$V118,$U118)))=Milestones!$AB$28),UPPER(TEXT(EDATE($D118,Milestones!$AA$28),"dd mmm yy"))&amp;" "&amp;Milestones!$AB$28&amp;" "&amp;Milestones!$AC$28&amp;";  ","")&amp;IF(AND(EDATE($D118,Milestones!$AA$29)&lt;=AsOfDate,IF($R118=0,$X118,IF(AND($T118&lt;&gt;"",EDATE($D118,Milestones!$AA$29)&gt;=$T118),$W118,IF(AND($S118&lt;&gt;"",EDATE($D118,Milestones!$AA$29)&gt;=$S118),$V118,$U118)))=Milestones!$AB$29),UPPER(TEXT(EDATE($D118,Milestones!$AA$29),"dd mmm yy"))&amp;" "&amp;Milestones!$AB$29&amp;" "&amp;Milestones!$AC$29&amp;";  ","")&amp;IF(AND(EDATE($D118,Milestones!$AA$30)&lt;=AsOfDate,IF($R118=0,$X118,IF(AND($T118&lt;&gt;"",EDATE($D118,Milestones!$AA$30)&gt;=$T118),$W118,IF(AND($S118&lt;&gt;"",EDATE($D118,Milestones!$AA$30)&gt;=$S118),$V118,$U118)))=Milestones!$AB$30),UPPER(TEXT(EDATE($D118,Milestones!$AA$30),"dd mmm yy"))&amp;" "&amp;Milestones!$AB$30&amp;" "&amp;Milestones!$AC$30&amp;";  ","")&amp;IF(AND(EDATE($D118,Milestones!$AA$31)&lt;=AsOfDate,IF($R118=0,$X118,IF(AND($T118&lt;&gt;"",EDATE($D118,Milestones!$AA$31)&gt;=$T118),$W118,IF(AND($S118&lt;&gt;"",EDATE($D118,Milestones!$AA$31)&gt;=$S118),$V118,$U118)))=Milestones!$AB$31),UPPER(TEXT(EDATE($D118,Milestones!$AA$31),"dd mmm yy"))&amp;" "&amp;Milestones!$AB$31&amp;" "&amp;Milestones!$AC$31&amp;";  ","")&amp;IF(AND(EDATE($D118,Milestones!$AA$32)&lt;=AsOfDate,IF($R118=0,$X118,IF(AND($T118&lt;&gt;"",EDATE($D118,Milestones!$AA$32)&gt;=$T118),$W118,IF(AND($S118&lt;&gt;"",EDATE($D118,Milestones!$AA$32)&gt;=$S118),$V118,$U118)))=Milestones!$AB$32),UPPER(TEXT(EDATE($D118,Milestones!$AA$32),"dd mmm yy"))&amp;" "&amp;Milestones!$AB$32&amp;" "&amp;Milestones!$AC$32&amp;";  ","")&amp;IF(AND(EDATE($D118,Milestones!$AA$33)&lt;=AsOfDate,IF($R118=0,$X118,IF(AND($T118&lt;&gt;"",EDATE($D118,Milestones!$AA$33)&gt;=$T118),$W118,IF(AND($S118&lt;&gt;"",EDATE($D118,Milestones!$AA$33)&gt;=$S118),$V118,$U118)))=Milestones!$AB$33),UPPER(TEXT(EDATE($D118,Milestones!$AA$33),"dd mmm yy"))&amp;" "&amp;Milestones!$AB$33&amp;" "&amp;Milestones!$AC$33&amp;";  ","")&amp;IF(AND(EDATE($D118,Milestones!$AA$34)&lt;=AsOfDate,IF($R118=0,$X118,IF(AND($T118&lt;&gt;"",EDATE($D118,Milestones!$AA$34)&gt;=$T118),$W118,IF(AND($S118&lt;&gt;"",EDATE($D118,Milestones!$AA$34)&gt;=$S118),$V118,$U118)))=Milestones!$AB$34),UPPER(TEXT(EDATE($D118,Milestones!$AA$34),"dd mmm yy"))&amp;" "&amp;Milestones!$AB$34&amp;" "&amp;Milestones!$AC$34&amp;";  ","")&amp;IF(AND(EDATE($D118,Milestones!$AA$35)&lt;=AsOfDate,IF($R118=0,$X118,IF(AND($T118&lt;&gt;"",EDATE($D118,Milestones!$AA$35)&gt;=$T118),$W118,IF(AND($S118&lt;&gt;"",EDATE($D118,Milestones!$AA$35)&gt;=$S118),$V118,$U118)))=Milestones!$AB$35),UPPER(TEXT(EDATE($D118,Milestones!$AA$35),"dd mmm yy"))&amp;" "&amp;Milestones!$AB$35&amp;" "&amp;Milestones!$AC$35&amp;";  ","")&amp;IF(AND(EDATE($D118,Milestones!$AA$36)&lt;=AsOfDate,IF($R118=0,$X118,IF(AND($T118&lt;&gt;"",EDATE($D118,Milestones!$AA$36)&gt;=$T118),$W118,IF(AND($S118&lt;&gt;"",EDATE($D118,Milestones!$AA$36)&gt;=$S118),$V118,$U118)))=Milestones!$AB$36),UPPER(TEXT(EDATE($D118,Milestones!$AA$36),"dd mmm yy"))&amp;" "&amp;Milestones!$AB$36&amp;" "&amp;Milestones!$AC$36&amp;";  ","")&amp;IF(AND(EDATE($D118,Milestones!$AA$37)&lt;=AsOfDate,IF($R118=0,$X118,IF(AND($T118&lt;&gt;"",EDATE($D118,Milestones!$AA$37)&gt;=$T118),$W118,IF(AND($S118&lt;&gt;"",EDATE($D118,Milestones!$AA$37)&gt;=$S118),$V118,$U118)))=Milestones!$AB$37),UPPER(TEXT(EDATE($D118,Milestones!$AA$37),"dd mmm yy"))&amp;" "&amp;Milestones!$AB$37&amp;" "&amp;Milestones!$AC$37&amp;";  ","")&amp;IF(AND(EDATE($D118,Milestones!$AA$38)&lt;=AsOfDate,IF($R118=0,$X118,IF(AND($T118&lt;&gt;"",EDATE($D118,Milestones!$AA$38)&gt;=$T118),$W118,IF(AND($S118&lt;&gt;"",EDATE($D118,Milestones!$AA$38)&gt;=$S118),$V118,$U118)))=Milestones!$AB$38),UPPER(TEXT(EDATE($D118,Milestones!$AA$38),"dd mmm yy"))&amp;" "&amp;Milestones!$AB$38&amp;" "&amp;Milestones!$AC$38&amp;";  ","")&amp;IF(AND(EDATE($D118,Milestones!$AA$39)&lt;=AsOfDate,IF($R118=0,$X118,IF(AND($T118&lt;&gt;"",EDATE($D118,Milestones!$AA$39)&gt;=$T118),$W118,IF(AND($S118&lt;&gt;"",EDATE($D118,Milestones!$AA$39)&gt;=$S118),$V118,$U118)))=Milestones!$AB$39),UPPER(TEXT(EDATE($D118,Milestones!$AA$39),"dd mmm yy"))&amp;" "&amp;Milestones!$AB$39&amp;" "&amp;Milestones!$AC$39&amp;";  ",""))</f>
        <v/>
      </c>
      <c r="J118" s="0" t="str">
        <f aca="false">IF(OR($A118="",$D118=""),"",IF(AND(EDATE($D118,Milestones!$AA$40)&lt;=AsOfDate,IF($R118=0,$X118,IF(AND($T118&lt;&gt;"",EDATE($D118,Milestones!$AA$40)&gt;=$T118),$W118,IF(AND($S118&lt;&gt;"",EDATE($D118,Milestones!$AA$40)&gt;=$S118),$V118,$U118)))=Milestones!$AB$40),UPPER(TEXT(EDATE($D118,Milestones!$AA$40),"dd mmm yy"))&amp;" "&amp;Milestones!$AB$40&amp;" "&amp;Milestones!$AC$40&amp;";  ","")&amp;IF(AND(EDATE($D118,Milestones!$AA$41)&lt;=AsOfDate,IF($R118=0,$X118,IF(AND($T118&lt;&gt;"",EDATE($D118,Milestones!$AA$41)&gt;=$T118),$W118,IF(AND($S118&lt;&gt;"",EDATE($D118,Milestones!$AA$41)&gt;=$S118),$V118,$U118)))=Milestones!$AB$41),UPPER(TEXT(EDATE($D118,Milestones!$AA$41),"dd mmm yy"))&amp;" "&amp;Milestones!$AB$41&amp;" "&amp;Milestones!$AC$41&amp;";  ","")&amp;IF(AND(EDATE($D118,Milestones!$AA$42)&lt;=AsOfDate,IF($R118=0,$X118,IF(AND($T118&lt;&gt;"",EDATE($D118,Milestones!$AA$42)&gt;=$T118),$W118,IF(AND($S118&lt;&gt;"",EDATE($D118,Milestones!$AA$42)&gt;=$S118),$V118,$U118)))=Milestones!$AB$42),UPPER(TEXT(EDATE($D118,Milestones!$AA$42),"dd mmm yy"))&amp;" "&amp;Milestones!$AB$42&amp;" "&amp;Milestones!$AC$42&amp;";  ","")&amp;IF(AND(EDATE($D118,Milestones!$AA$43)&lt;=AsOfDate,IF($R118=0,$X118,IF(AND($T118&lt;&gt;"",EDATE($D118,Milestones!$AA$43)&gt;=$T118),$W118,IF(AND($S118&lt;&gt;"",EDATE($D118,Milestones!$AA$43)&gt;=$S118),$V118,$U118)))=Milestones!$AB$43),UPPER(TEXT(EDATE($D118,Milestones!$AA$43),"dd mmm yy"))&amp;" "&amp;Milestones!$AB$43&amp;" "&amp;Milestones!$AC$43&amp;";  ","")&amp;IF(AND(EDATE($D118,Milestones!$AA$44)&lt;=AsOfDate,IF($R118=0,$X118,IF(AND($T118&lt;&gt;"",EDATE($D118,Milestones!$AA$44)&gt;=$T118),$W118,IF(AND($S118&lt;&gt;"",EDATE($D118,Milestones!$AA$44)&gt;=$S118),$V118,$U118)))=Milestones!$AB$44),UPPER(TEXT(EDATE($D118,Milestones!$AA$44),"dd mmm yy"))&amp;" "&amp;Milestones!$AB$44&amp;" "&amp;Milestones!$AC$44&amp;";  ","")&amp;IF(AND(EDATE($D118,Milestones!$AA$45)&lt;=AsOfDate,IF($R118=0,$X118,IF(AND($T118&lt;&gt;"",EDATE($D118,Milestones!$AA$45)&gt;=$T118),$W118,IF(AND($S118&lt;&gt;"",EDATE($D118,Milestones!$AA$45)&gt;=$S118),$V118,$U118)))=Milestones!$AB$45),UPPER(TEXT(EDATE($D118,Milestones!$AA$45),"dd mmm yy"))&amp;" "&amp;Milestones!$AB$45&amp;" "&amp;Milestones!$AC$45&amp;";  ","")&amp;IF(AND(EDATE($D118,Milestones!$AA$46)&lt;=AsOfDate,IF($R118=0,$X118,IF(AND($T118&lt;&gt;"",EDATE($D118,Milestones!$AA$46)&gt;=$T118),$W118,IF(AND($S118&lt;&gt;"",EDATE($D118,Milestones!$AA$46)&gt;=$S118),$V118,$U118)))=Milestones!$AB$46),UPPER(TEXT(EDATE($D118,Milestones!$AA$46),"dd mmm yy"))&amp;" "&amp;Milestones!$AB$46&amp;" "&amp;Milestones!$AC$46&amp;";  ","")&amp;IF(AND(EDATE($D118,Milestones!$AA$47)&lt;=AsOfDate,IF($R118=0,$X118,IF(AND($T118&lt;&gt;"",EDATE($D118,Milestones!$AA$47)&gt;=$T118),$W118,IF(AND($S118&lt;&gt;"",EDATE($D118,Milestones!$AA$47)&gt;=$S118),$V118,$U118)))=Milestones!$AB$47),UPPER(TEXT(EDATE($D118,Milestones!$AA$47),"dd mmm yy"))&amp;" "&amp;Milestones!$AB$47&amp;" "&amp;Milestones!$AC$47&amp;";  ","")&amp;IF(AND(EDATE($D118,Milestones!$AA$48)&lt;=AsOfDate,IF($R118=0,$X118,IF(AND($T118&lt;&gt;"",EDATE($D118,Milestones!$AA$48)&gt;=$T118),$W118,IF(AND($S118&lt;&gt;"",EDATE($D118,Milestones!$AA$48)&gt;=$S118),$V118,$U118)))=Milestones!$AB$48),UPPER(TEXT(EDATE($D118,Milestones!$AA$48),"dd mmm yy"))&amp;" "&amp;Milestones!$AB$48&amp;" "&amp;Milestones!$AC$48&amp;";  ","")&amp;IF(AND(EDATE($D118,Milestones!$AA$49)&lt;=AsOfDate,IF($R118=0,$X118,IF(AND($T118&lt;&gt;"",EDATE($D118,Milestones!$AA$49)&gt;=$T118),$W118,IF(AND($S118&lt;&gt;"",EDATE($D118,Milestones!$AA$49)&gt;=$S118),$V118,$U118)))=Milestones!$AB$49),UPPER(TEXT(EDATE($D118,Milestones!$AA$49),"dd mmm yy"))&amp;" "&amp;Milestones!$AB$49&amp;" "&amp;Milestones!$AC$49&amp;";  ","")&amp;IF(AND(EDATE($D118,Milestones!$AA$50)&lt;=AsOfDate,IF($R118=0,$X118,IF(AND($T118&lt;&gt;"",EDATE($D118,Milestones!$AA$50)&gt;=$T118),$W118,IF(AND($S118&lt;&gt;"",EDATE($D118,Milestones!$AA$50)&gt;=$S118),$V118,$U118)))=Milestones!$AB$50),UPPER(TEXT(EDATE($D118,Milestones!$AA$50),"dd mmm yy"))&amp;" "&amp;Milestones!$AB$50&amp;" "&amp;Milestones!$AC$50&amp;";  ","")&amp;IF(AND(EDATE($D118,Milestones!$AA$51)&lt;=AsOfDate,IF($R118=0,$X118,IF(AND($T118&lt;&gt;"",EDATE($D118,Milestones!$AA$51)&gt;=$T118),$W118,IF(AND($S118&lt;&gt;"",EDATE($D118,Milestones!$AA$51)&gt;=$S118),$V118,$U118)))=Milestones!$AB$51),UPPER(TEXT(EDATE($D118,Milestones!$AA$51),"dd mmm yy"))&amp;" "&amp;Milestones!$AB$51&amp;" "&amp;Milestones!$AC$51&amp;";  ","")&amp;IF(AND(EDATE($D118,Milestones!$AA$52)&lt;=AsOfDate,IF($R118=0,$X118,IF(AND($T118&lt;&gt;"",EDATE($D118,Milestones!$AA$52)&gt;=$T118),$W118,IF(AND($S118&lt;&gt;"",EDATE($D118,Milestones!$AA$52)&gt;=$S118),$V118,$U118)))=Milestones!$AB$52),UPPER(TEXT(EDATE($D118,Milestones!$AA$52),"dd mmm yy"))&amp;" "&amp;Milestones!$AB$52&amp;" "&amp;Milestones!$AC$52&amp;";  ","")&amp;IF(AND(EDATE($D118,Milestones!$AA$53)&lt;=AsOfDate,IF($R118=0,$X118,IF(AND($T118&lt;&gt;"",EDATE($D118,Milestones!$AA$53)&gt;=$T118),$W118,IF(AND($S118&lt;&gt;"",EDATE($D118,Milestones!$AA$53)&gt;=$S118),$V118,$U118)))=Milestones!$AB$53),UPPER(TEXT(EDATE($D118,Milestones!$AA$53),"dd mmm yy"))&amp;" "&amp;Milestones!$AB$53&amp;" "&amp;Milestones!$AC$53&amp;";  ","")&amp;IF(AND(EDATE($D118,Milestones!$AA$54)&lt;=AsOfDate,IF($R118=0,$X118,IF(AND($T118&lt;&gt;"",EDATE($D118,Milestones!$AA$54)&gt;=$T118),$W118,IF(AND($S118&lt;&gt;"",EDATE($D118,Milestones!$AA$54)&gt;=$S118),$V118,$U118)))=Milestones!$AB$54),UPPER(TEXT(EDATE($D118,Milestones!$AA$54),"dd mmm yy"))&amp;" "&amp;Milestones!$AB$54&amp;" "&amp;Milestones!$AC$54&amp;";  ","")&amp;IF(AND(EDATE($D118,Milestones!$AA$55)&lt;=AsOfDate,IF($R118=0,$X118,IF(AND($T118&lt;&gt;"",EDATE($D118,Milestones!$AA$55)&gt;=$T118),$W118,IF(AND($S118&lt;&gt;"",EDATE($D118,Milestones!$AA$55)&gt;=$S118),$V118,$U118)))=Milestones!$AB$55),UPPER(TEXT(EDATE($D118,Milestones!$AA$55),"dd mmm yy"))&amp;" "&amp;Milestones!$AB$55&amp;" "&amp;Milestones!$AC$55&amp;";  ","")&amp;IF(AND(EDATE($D118,Milestones!$AA$56)&lt;=AsOfDate,IF($R118=0,$X118,IF(AND($T118&lt;&gt;"",EDATE($D118,Milestones!$AA$56)&gt;=$T118),$W118,IF(AND($S118&lt;&gt;"",EDATE($D118,Milestones!$AA$56)&gt;=$S118),$V118,$U118)))=Milestones!$AB$56),UPPER(TEXT(EDATE($D118,Milestones!$AA$56),"dd mmm yy"))&amp;" "&amp;Milestones!$AB$56&amp;" "&amp;Milestones!$AC$56&amp;";  ","")&amp;IF(AND(EDATE($D118,Milestones!$AA$57)&lt;=AsOfDate,IF($R118=0,$X118,IF(AND($T118&lt;&gt;"",EDATE($D118,Milestones!$AA$57)&gt;=$T118),$W118,IF(AND($S118&lt;&gt;"",EDATE($D118,Milestones!$AA$57)&gt;=$S118),$V118,$U118)))=Milestones!$AB$57),UPPER(TEXT(EDATE($D118,Milestones!$AA$57),"dd mmm yy"))&amp;" "&amp;Milestones!$AB$57&amp;" "&amp;Milestones!$AC$57&amp;";  ","")&amp;IF(AND(EDATE($D118,Milestones!$AA$58)&lt;=AsOfDate,IF($R118=0,$X118,IF(AND($T118&lt;&gt;"",EDATE($D118,Milestones!$AA$58)&gt;=$T118),$W118,IF(AND($S118&lt;&gt;"",EDATE($D118,Milestones!$AA$58)&gt;=$S118),$V118,$U118)))=Milestones!$AB$58),UPPER(TEXT(EDATE($D118,Milestones!$AA$58),"dd mmm yy"))&amp;" "&amp;Milestones!$AB$58&amp;" "&amp;Milestones!$AC$58&amp;";  ","")&amp;IF(AND(EDATE($D118,Milestones!$AA$59)&lt;=AsOfDate,IF($R118=0,$X118,IF(AND($T118&lt;&gt;"",EDATE($D118,Milestones!$AA$59)&gt;=$T118),$W118,IF(AND($S118&lt;&gt;"",EDATE($D118,Milestones!$AA$59)&gt;=$S118),$V118,$U118)))=Milestones!$AB$59),UPPER(TEXT(EDATE($D118,Milestones!$AA$59),"dd mmm yy"))&amp;" "&amp;Milestones!$AB$59&amp;" "&amp;Milestones!$AC$59&amp;";  ",""))</f>
        <v/>
      </c>
      <c r="K118" s="0" t="str">
        <f aca="false">IF(OR($A118="",$D118=""),"",IF(AND(EDATE($D118,Milestones!$AA$60)&lt;=AsOfDate,IF($R118=0,$X118,IF(AND($T118&lt;&gt;"",EDATE($D118,Milestones!$AA$60)&gt;=$T118),$W118,IF(AND($S118&lt;&gt;"",EDATE($D118,Milestones!$AA$60)&gt;=$S118),$V118,$U118)))=Milestones!$AB$60),UPPER(TEXT(EDATE($D118,Milestones!$AA$60),"dd mmm yy"))&amp;" "&amp;Milestones!$AB$60&amp;" "&amp;Milestones!$AC$60&amp;";  ","")&amp;IF(AND(EDATE($D118,Milestones!$AA$61)&lt;=AsOfDate,IF($R118=0,$X118,IF(AND($T118&lt;&gt;"",EDATE($D118,Milestones!$AA$61)&gt;=$T118),$W118,IF(AND($S118&lt;&gt;"",EDATE($D118,Milestones!$AA$61)&gt;=$S118),$V118,$U118)))=Milestones!$AB$61),UPPER(TEXT(EDATE($D118,Milestones!$AA$61),"dd mmm yy"))&amp;" "&amp;Milestones!$AB$61&amp;" "&amp;Milestones!$AC$61&amp;";  ","")&amp;IF(AND(EDATE($D118,Milestones!$AA$62)&lt;=AsOfDate,IF($R118=0,$X118,IF(AND($T118&lt;&gt;"",EDATE($D118,Milestones!$AA$62)&gt;=$T118),$W118,IF(AND($S118&lt;&gt;"",EDATE($D118,Milestones!$AA$62)&gt;=$S118),$V118,$U118)))=Milestones!$AB$62),UPPER(TEXT(EDATE($D118,Milestones!$AA$62),"dd mmm yy"))&amp;" "&amp;Milestones!$AB$62&amp;" "&amp;Milestones!$AC$62&amp;";  ","")&amp;IF(AND(EDATE($D118,Milestones!$AA$63)&lt;=AsOfDate,IF($R118=0,$X118,IF(AND($T118&lt;&gt;"",EDATE($D118,Milestones!$AA$63)&gt;=$T118),$W118,IF(AND($S118&lt;&gt;"",EDATE($D118,Milestones!$AA$63)&gt;=$S118),$V118,$U118)))=Milestones!$AB$63),UPPER(TEXT(EDATE($D118,Milestones!$AA$63),"dd mmm yy"))&amp;" "&amp;Milestones!$AB$63&amp;" "&amp;Milestones!$AC$63&amp;";  ","")&amp;IF(AND(EDATE($D118,Milestones!$AA$64)&lt;=AsOfDate,IF($R118=0,$X118,IF(AND($T118&lt;&gt;"",EDATE($D118,Milestones!$AA$64)&gt;=$T118),$W118,IF(AND($S118&lt;&gt;"",EDATE($D118,Milestones!$AA$64)&gt;=$S118),$V118,$U118)))=Milestones!$AB$64),UPPER(TEXT(EDATE($D118,Milestones!$AA$64),"dd mmm yy"))&amp;" "&amp;Milestones!$AB$64&amp;" "&amp;Milestones!$AC$64&amp;";  ","")&amp;IF(AND(EDATE($D118,Milestones!$AA$65)&lt;=AsOfDate,IF($R118=0,$X118,IF(AND($T118&lt;&gt;"",EDATE($D118,Milestones!$AA$65)&gt;=$T118),$W118,IF(AND($S118&lt;&gt;"",EDATE($D118,Milestones!$AA$65)&gt;=$S118),$V118,$U118)))=Milestones!$AB$65),UPPER(TEXT(EDATE($D118,Milestones!$AA$65),"dd mmm yy"))&amp;" "&amp;Milestones!$AB$65&amp;" "&amp;Milestones!$AC$65&amp;";  ","")&amp;IF(AND(EDATE($D118,Milestones!$AA$66)&lt;=AsOfDate,IF($R118=0,$X118,IF(AND($T118&lt;&gt;"",EDATE($D118,Milestones!$AA$66)&gt;=$T118),$W118,IF(AND($S118&lt;&gt;"",EDATE($D118,Milestones!$AA$66)&gt;=$S118),$V118,$U118)))=Milestones!$AB$66),UPPER(TEXT(EDATE($D118,Milestones!$AA$66),"dd mmm yy"))&amp;" "&amp;Milestones!$AB$66&amp;" "&amp;Milestones!$AC$66&amp;";  ","")&amp;IF(AND(EDATE($D118,Milestones!$AA$67)&lt;=AsOfDate,IF($R118=0,$X118,IF(AND($T118&lt;&gt;"",EDATE($D118,Milestones!$AA$67)&gt;=$T118),$W118,IF(AND($S118&lt;&gt;"",EDATE($D118,Milestones!$AA$67)&gt;=$S118),$V118,$U118)))=Milestones!$AB$67),UPPER(TEXT(EDATE($D118,Milestones!$AA$67),"dd mmm yy"))&amp;" "&amp;Milestones!$AB$67&amp;" "&amp;Milestones!$AC$67&amp;";  ","")&amp;IF(AND(EDATE($D118,Milestones!$AA$68)&lt;=AsOfDate,IF($R118=0,$X118,IF(AND($T118&lt;&gt;"",EDATE($D118,Milestones!$AA$68)&gt;=$T118),$W118,IF(AND($S118&lt;&gt;"",EDATE($D118,Milestones!$AA$68)&gt;=$S118),$V118,$U118)))=Milestones!$AB$68),UPPER(TEXT(EDATE($D118,Milestones!$AA$68),"dd mmm yy"))&amp;" "&amp;Milestones!$AB$68&amp;" "&amp;Milestones!$AC$68&amp;";  ","")&amp;IF(AND(EDATE($D118,Milestones!$AA$69)&lt;=AsOfDate,IF($R118=0,$X118,IF(AND($T118&lt;&gt;"",EDATE($D118,Milestones!$AA$69)&gt;=$T118),$W118,IF(AND($S118&lt;&gt;"",EDATE($D118,Milestones!$AA$69)&gt;=$S118),$V118,$U118)))=Milestones!$AB$69),UPPER(TEXT(EDATE($D118,Milestones!$AA$69),"dd mmm yy"))&amp;" "&amp;Milestones!$AB$69&amp;" "&amp;Milestones!$AC$69&amp;";  ","")&amp;IF(AND(EDATE($D118,Milestones!$AA$70)&lt;=AsOfDate,IF($R118=0,$X118,IF(AND($T118&lt;&gt;"",EDATE($D118,Milestones!$AA$70)&gt;=$T118),$W118,IF(AND($S118&lt;&gt;"",EDATE($D118,Milestones!$AA$70)&gt;=$S118),$V118,$U118)))=Milestones!$AB$70),UPPER(TEXT(EDATE($D118,Milestones!$AA$70),"dd mmm yy"))&amp;" "&amp;Milestones!$AB$70&amp;" "&amp;Milestones!$AC$70&amp;";  ","")&amp;IF(AND(EDATE($D118,Milestones!$AA$71)&lt;=AsOfDate,IF($R118=0,$X118,IF(AND($T118&lt;&gt;"",EDATE($D118,Milestones!$AA$71)&gt;=$T118),$W118,IF(AND($S118&lt;&gt;"",EDATE($D118,Milestones!$AA$71)&gt;=$S118),$V118,$U118)))=Milestones!$AB$71),UPPER(TEXT(EDATE($D118,Milestones!$AA$71),"dd mmm yy"))&amp;" "&amp;Milestones!$AB$71&amp;" "&amp;Milestones!$AC$71&amp;";  ","")&amp;IF(AND(EDATE($D118,Milestones!$AA$72)&lt;=AsOfDate,IF($R118=0,$X118,IF(AND($T118&lt;&gt;"",EDATE($D118,Milestones!$AA$72)&gt;=$T118),$W118,IF(AND($S118&lt;&gt;"",EDATE($D118,Milestones!$AA$72)&gt;=$S118),$V118,$U118)))=Milestones!$AB$72),UPPER(TEXT(EDATE($D118,Milestones!$AA$72),"dd mmm yy"))&amp;" "&amp;Milestones!$AB$72&amp;" "&amp;Milestones!$AC$72&amp;";  ","")&amp;IF(AND(EDATE($D118,Milestones!$AA$73)&lt;=AsOfDate,IF($R118=0,$X118,IF(AND($T118&lt;&gt;"",EDATE($D118,Milestones!$AA$73)&gt;=$T118),$W118,IF(AND($S118&lt;&gt;"",EDATE($D118,Milestones!$AA$73)&gt;=$S118),$V118,$U118)))=Milestones!$AB$73),UPPER(TEXT(EDATE($D118,Milestones!$AA$73),"dd mmm yy"))&amp;" "&amp;Milestones!$AB$73&amp;" "&amp;Milestones!$AC$73&amp;";  ","")&amp;IF(AND(EDATE($D118,Milestones!$AA$74)&lt;=AsOfDate,IF($R118=0,$X118,IF(AND($T118&lt;&gt;"",EDATE($D118,Milestones!$AA$74)&gt;=$T118),$W118,IF(AND($S118&lt;&gt;"",EDATE($D118,Milestones!$AA$74)&gt;=$S118),$V118,$U118)))=Milestones!$AB$74),UPPER(TEXT(EDATE($D118,Milestones!$AA$74),"dd mmm yy"))&amp;" "&amp;Milestones!$AB$74&amp;" "&amp;Milestones!$AC$74&amp;";  ","")&amp;IF(AND(EDATE($D118,Milestones!$AA$75)&lt;=AsOfDate,IF($R118=0,$X118,IF(AND($T118&lt;&gt;"",EDATE($D118,Milestones!$AA$75)&gt;=$T118),$W118,IF(AND($S118&lt;&gt;"",EDATE($D118,Milestones!$AA$75)&gt;=$S118),$V118,$U118)))=Milestones!$AB$75),UPPER(TEXT(EDATE($D118,Milestones!$AA$75),"dd mmm yy"))&amp;" "&amp;Milestones!$AB$75&amp;" "&amp;Milestones!$AC$75&amp;";  ","")&amp;IF(AND(EDATE($D118,Milestones!$AA$76)&lt;=AsOfDate,IF($R118=0,$X118,IF(AND($T118&lt;&gt;"",EDATE($D118,Milestones!$AA$76)&gt;=$T118),$W118,IF(AND($S118&lt;&gt;"",EDATE($D118,Milestones!$AA$76)&gt;=$S118),$V118,$U118)))=Milestones!$AB$76),UPPER(TEXT(EDATE($D118,Milestones!$AA$76),"dd mmm yy"))&amp;" "&amp;Milestones!$AB$76&amp;" "&amp;Milestones!$AC$76&amp;";  ","")&amp;IF(AND(EDATE($D118,Milestones!$AA$77)&lt;=AsOfDate,IF($R118=0,$X118,IF(AND($T118&lt;&gt;"",EDATE($D118,Milestones!$AA$77)&gt;=$T118),$W118,IF(AND($S118&lt;&gt;"",EDATE($D118,Milestones!$AA$77)&gt;=$S118),$V118,$U118)))=Milestones!$AB$77),UPPER(TEXT(EDATE($D118,Milestones!$AA$77),"dd mmm yy"))&amp;" "&amp;Milestones!$AB$77&amp;" "&amp;Milestones!$AC$77&amp;";  ","")&amp;IF(AND(EDATE($D118,Milestones!$AA$78)&lt;=AsOfDate,IF($R118=0,$X118,IF(AND($T118&lt;&gt;"",EDATE($D118,Milestones!$AA$78)&gt;=$T118),$W118,IF(AND($S118&lt;&gt;"",EDATE($D118,Milestones!$AA$78)&gt;=$S118),$V118,$U118)))=Milestones!$AB$78),UPPER(TEXT(EDATE($D118,Milestones!$AA$78),"dd mmm yy"))&amp;" "&amp;Milestones!$AB$78&amp;" "&amp;Milestones!$AC$78&amp;";  ","")&amp;IF(AND(EDATE($D118,Milestones!$AA$79)&lt;=AsOfDate,IF($R118=0,$X118,IF(AND($T118&lt;&gt;"",EDATE($D118,Milestones!$AA$79)&gt;=$T118),$W118,IF(AND($S118&lt;&gt;"",EDATE($D118,Milestones!$AA$79)&gt;=$S118),$V118,$U118)))=Milestones!$AB$79),UPPER(TEXT(EDATE($D118,Milestones!$AA$79),"dd mmm yy"))&amp;" "&amp;Milestones!$AB$79&amp;" "&amp;Milestones!$AC$79&amp;";  ",""))</f>
        <v/>
      </c>
      <c r="L118" s="0" t="str">
        <f aca="false">IF(OR($A118="",$D118=""),"",IF(AND(EDATE($D118,Milestones!$AA$80)&lt;=AsOfDate,IF($R118=0,$X118,IF(AND($T118&lt;&gt;"",EDATE($D118,Milestones!$AA$80)&gt;=$T118),$W118,IF(AND($S118&lt;&gt;"",EDATE($D118,Milestones!$AA$80)&gt;=$S118),$V118,$U118)))=Milestones!$AB$80),UPPER(TEXT(EDATE($D118,Milestones!$AA$80),"dd mmm yy"))&amp;" "&amp;Milestones!$AB$80&amp;" "&amp;Milestones!$AC$80&amp;";  ","")&amp;IF(AND(EDATE($D118,Milestones!$AA$81)&lt;=AsOfDate,IF($R118=0,$X118,IF(AND($T118&lt;&gt;"",EDATE($D118,Milestones!$AA$81)&gt;=$T118),$W118,IF(AND($S118&lt;&gt;"",EDATE($D118,Milestones!$AA$81)&gt;=$S118),$V118,$U118)))=Milestones!$AB$81),UPPER(TEXT(EDATE($D118,Milestones!$AA$81),"dd mmm yy"))&amp;" "&amp;Milestones!$AB$81&amp;" "&amp;Milestones!$AC$81&amp;";  ","")&amp;IF(AND(EDATE($D118,Milestones!$AA$82)&lt;=AsOfDate,IF($R118=0,$X118,IF(AND($T118&lt;&gt;"",EDATE($D118,Milestones!$AA$82)&gt;=$T118),$W118,IF(AND($S118&lt;&gt;"",EDATE($D118,Milestones!$AA$82)&gt;=$S118),$V118,$U118)))=Milestones!$AB$82),UPPER(TEXT(EDATE($D118,Milestones!$AA$82),"dd mmm yy"))&amp;" "&amp;Milestones!$AB$82&amp;" "&amp;Milestones!$AC$82&amp;";  ","")&amp;IF(AND(EDATE($D118,Milestones!$AA$83)&lt;=AsOfDate,IF($R118=0,$X118,IF(AND($T118&lt;&gt;"",EDATE($D118,Milestones!$AA$83)&gt;=$T118),$W118,IF(AND($S118&lt;&gt;"",EDATE($D118,Milestones!$AA$83)&gt;=$S118),$V118,$U118)))=Milestones!$AB$83),UPPER(TEXT(EDATE($D118,Milestones!$AA$83),"dd mmm yy"))&amp;" "&amp;Milestones!$AB$83&amp;" "&amp;Milestones!$AC$83&amp;";  ","")&amp;IF(AND(EDATE($D118,Milestones!$AA$84)&lt;=AsOfDate,IF($R118=0,$X118,IF(AND($T118&lt;&gt;"",EDATE($D118,Milestones!$AA$84)&gt;=$T118),$W118,IF(AND($S118&lt;&gt;"",EDATE($D118,Milestones!$AA$84)&gt;=$S118),$V118,$U118)))=Milestones!$AB$84),UPPER(TEXT(EDATE($D118,Milestones!$AA$84),"dd mmm yy"))&amp;" "&amp;Milestones!$AB$84&amp;" "&amp;Milestones!$AC$84&amp;";  ","")&amp;IF(AND(EDATE($D118,Milestones!$AA$85)&lt;=AsOfDate,IF($R118=0,$X118,IF(AND($T118&lt;&gt;"",EDATE($D118,Milestones!$AA$85)&gt;=$T118),$W118,IF(AND($S118&lt;&gt;"",EDATE($D118,Milestones!$AA$85)&gt;=$S118),$V118,$U118)))=Milestones!$AB$85),UPPER(TEXT(EDATE($D118,Milestones!$AA$85),"dd mmm yy"))&amp;" "&amp;Milestones!$AB$85&amp;" "&amp;Milestones!$AC$85&amp;";  ","")&amp;IF(AND(EDATE($D118,Milestones!$AA$86)&lt;=AsOfDate,IF($R118=0,$X118,IF(AND($T118&lt;&gt;"",EDATE($D118,Milestones!$AA$86)&gt;=$T118),$W118,IF(AND($S118&lt;&gt;"",EDATE($D118,Milestones!$AA$86)&gt;=$S118),$V118,$U118)))=Milestones!$AB$86),UPPER(TEXT(EDATE($D118,Milestones!$AA$86),"dd mmm yy"))&amp;" "&amp;Milestones!$AB$86&amp;" "&amp;Milestones!$AC$86&amp;";  ","")&amp;IF(AND(EDATE($D118,Milestones!$AA$87)&lt;=AsOfDate,IF($R118=0,$X118,IF(AND($T118&lt;&gt;"",EDATE($D118,Milestones!$AA$87)&gt;=$T118),$W118,IF(AND($S118&lt;&gt;"",EDATE($D118,Milestones!$AA$87)&gt;=$S118),$V118,$U118)))=Milestones!$AB$87),UPPER(TEXT(EDATE($D118,Milestones!$AA$87),"dd mmm yy"))&amp;" "&amp;Milestones!$AB$87&amp;" "&amp;Milestones!$AC$87&amp;";  ","")&amp;IF(AND(EDATE($D118,Milestones!$AA$88)&lt;=AsOfDate,IF($R118=0,$X118,IF(AND($T118&lt;&gt;"",EDATE($D118,Milestones!$AA$88)&gt;=$T118),$W118,IF(AND($S118&lt;&gt;"",EDATE($D118,Milestones!$AA$88)&gt;=$S118),$V118,$U118)))=Milestones!$AB$88),UPPER(TEXT(EDATE($D118,Milestones!$AA$88),"dd mmm yy"))&amp;" "&amp;Milestones!$AB$88&amp;" "&amp;Milestones!$AC$88&amp;";  ","")&amp;IF(AND(EDATE($D118,Milestones!$AA$89)&lt;=AsOfDate,IF($R118=0,$X118,IF(AND($T118&lt;&gt;"",EDATE($D118,Milestones!$AA$89)&gt;=$T118),$W118,IF(AND($S118&lt;&gt;"",EDATE($D118,Milestones!$AA$89)&gt;=$S118),$V118,$U118)))=Milestones!$AB$89),UPPER(TEXT(EDATE($D118,Milestones!$AA$89),"dd mmm yy"))&amp;" "&amp;Milestones!$AB$89&amp;" "&amp;Milestones!$AC$89&amp;";  ","")&amp;IF(AND(EDATE($D118,Milestones!$AA$90)&lt;=AsOfDate,IF($R118=0,$X118,IF(AND($T118&lt;&gt;"",EDATE($D118,Milestones!$AA$90)&gt;=$T118),$W118,IF(AND($S118&lt;&gt;"",EDATE($D118,Milestones!$AA$90)&gt;=$S118),$V118,$U118)))=Milestones!$AB$90),UPPER(TEXT(EDATE($D118,Milestones!$AA$90),"dd mmm yy"))&amp;" "&amp;Milestones!$AB$90&amp;" "&amp;Milestones!$AC$90&amp;";  ","")&amp;IF(AND(EDATE($D118,Milestones!$AA$91)&lt;=AsOfDate,IF($R118=0,$X118,IF(AND($T118&lt;&gt;"",EDATE($D118,Milestones!$AA$91)&gt;=$T118),$W118,IF(AND($S118&lt;&gt;"",EDATE($D118,Milestones!$AA$91)&gt;=$S118),$V118,$U118)))=Milestones!$AB$91),UPPER(TEXT(EDATE($D118,Milestones!$AA$91),"dd mmm yy"))&amp;" "&amp;Milestones!$AB$91&amp;" "&amp;Milestones!$AC$91&amp;";  ","")&amp;IF(AND(EDATE($D118,Milestones!$AA$92)&lt;=AsOfDate,IF($R118=0,$X118,IF(AND($T118&lt;&gt;"",EDATE($D118,Milestones!$AA$92)&gt;=$T118),$W118,IF(AND($S118&lt;&gt;"",EDATE($D118,Milestones!$AA$92)&gt;=$S118),$V118,$U118)))=Milestones!$AB$92),UPPER(TEXT(EDATE($D118,Milestones!$AA$92),"dd mmm yy"))&amp;" "&amp;Milestones!$AB$92&amp;" "&amp;Milestones!$AC$92&amp;";  ","")&amp;IF(AND(EDATE($D118,Milestones!$AA$93)&lt;=AsOfDate,IF($R118=0,$X118,IF(AND($T118&lt;&gt;"",EDATE($D118,Milestones!$AA$93)&gt;=$T118),$W118,IF(AND($S118&lt;&gt;"",EDATE($D118,Milestones!$AA$93)&gt;=$S118),$V118,$U118)))=Milestones!$AB$93),UPPER(TEXT(EDATE($D118,Milestones!$AA$93),"dd mmm yy"))&amp;" "&amp;Milestones!$AB$93&amp;" "&amp;Milestones!$AC$93&amp;";  ","")&amp;IF(AND(EDATE($D118,Milestones!$AA$94)&lt;=AsOfDate,IF($R118=0,$X118,IF(AND($T118&lt;&gt;"",EDATE($D118,Milestones!$AA$94)&gt;=$T118),$W118,IF(AND($S118&lt;&gt;"",EDATE($D118,Milestones!$AA$94)&gt;=$S118),$V118,$U118)))=Milestones!$AB$94),UPPER(TEXT(EDATE($D118,Milestones!$AA$94),"dd mmm yy"))&amp;" "&amp;Milestones!$AB$94&amp;" "&amp;Milestones!$AC$94&amp;";  ","")&amp;IF(AND(EDATE($D118,Milestones!$AA$95)&lt;=AsOfDate,IF($R118=0,$X118,IF(AND($T118&lt;&gt;"",EDATE($D118,Milestones!$AA$95)&gt;=$T118),$W118,IF(AND($S118&lt;&gt;"",EDATE($D118,Milestones!$AA$95)&gt;=$S118),$V118,$U118)))=Milestones!$AB$95),UPPER(TEXT(EDATE($D118,Milestones!$AA$95),"dd mmm yy"))&amp;" "&amp;Milestones!$AB$95&amp;" "&amp;Milestones!$AC$95&amp;";  ","")&amp;IF(AND(EDATE($D118,Milestones!$AA$96)&lt;=AsOfDate,IF($R118=0,$X118,IF(AND($T118&lt;&gt;"",EDATE($D118,Milestones!$AA$96)&gt;=$T118),$W118,IF(AND($S118&lt;&gt;"",EDATE($D118,Milestones!$AA$96)&gt;=$S118),$V118,$U118)))=Milestones!$AB$96),UPPER(TEXT(EDATE($D118,Milestones!$AA$96),"dd mmm yy"))&amp;" "&amp;Milestones!$AB$96&amp;" "&amp;Milestones!$AC$96&amp;";  ","")&amp;IF(AND(EDATE($D118,Milestones!$AA$97)&lt;=AsOfDate,IF($R118=0,$X118,IF(AND($T118&lt;&gt;"",EDATE($D118,Milestones!$AA$97)&gt;=$T118),$W118,IF(AND($S118&lt;&gt;"",EDATE($D118,Milestones!$AA$97)&gt;=$S118),$V118,$U118)))=Milestones!$AB$97),UPPER(TEXT(EDATE($D118,Milestones!$AA$97),"dd mmm yy"))&amp;" "&amp;Milestones!$AB$97&amp;" "&amp;Milestones!$AC$97&amp;";  ","")&amp;IF(AND(EDATE($D118,Milestones!$AA$98)&lt;=AsOfDate,IF($R118=0,$X118,IF(AND($T118&lt;&gt;"",EDATE($D118,Milestones!$AA$98)&gt;=$T118),$W118,IF(AND($S118&lt;&gt;"",EDATE($D118,Milestones!$AA$98)&gt;=$S118),$V118,$U118)))=Milestones!$AB$98),UPPER(TEXT(EDATE($D118,Milestones!$AA$98),"dd mmm yy"))&amp;" "&amp;Milestones!$AB$98&amp;" "&amp;Milestones!$AC$98&amp;";  ","")&amp;IF(AND(EDATE($D118,Milestones!$AA$99)&lt;=AsOfDate,IF($R118=0,$X118,IF(AND($T118&lt;&gt;"",EDATE($D118,Milestones!$AA$99)&gt;=$T118),$W118,IF(AND($S118&lt;&gt;"",EDATE($D118,Milestones!$AA$99)&gt;=$S118),$V118,$U118)))=Milestones!$AB$99),UPPER(TEXT(EDATE($D118,Milestones!$AA$99),"dd mmm yy"))&amp;" "&amp;Milestones!$AB$99&amp;" "&amp;Milestones!$AC$99&amp;";  ",""))</f>
        <v/>
      </c>
      <c r="M118" s="0" t="str">
        <f aca="false">IF(OR($A118="",$D118=""),"",IF(AND(EDATE($D118,Milestones!$AA$100)&lt;=AsOfDate,IF($R118=0,$X118,IF(AND($T118&lt;&gt;"",EDATE($D118,Milestones!$AA$100)&gt;=$T118),$W118,IF(AND($S118&lt;&gt;"",EDATE($D118,Milestones!$AA$100)&gt;=$S118),$V118,$U118)))=Milestones!$AB$100),UPPER(TEXT(EDATE($D118,Milestones!$AA$100),"dd mmm yy"))&amp;" "&amp;Milestones!$AB$100&amp;" "&amp;Milestones!$AC$100&amp;";  ","")&amp;IF(AND(EDATE($D118,Milestones!$AA$101)&lt;=AsOfDate,IF($R118=0,$X118,IF(AND($T118&lt;&gt;"",EDATE($D118,Milestones!$AA$101)&gt;=$T118),$W118,IF(AND($S118&lt;&gt;"",EDATE($D118,Milestones!$AA$101)&gt;=$S118),$V118,$U118)))=Milestones!$AB$101),UPPER(TEXT(EDATE($D118,Milestones!$AA$101),"dd mmm yy"))&amp;" "&amp;Milestones!$AB$101&amp;" "&amp;Milestones!$AC$101&amp;";  ","")&amp;IF(AND(EDATE($D118,Milestones!$AA$102)&lt;=AsOfDate,IF($R118=0,$X118,IF(AND($T118&lt;&gt;"",EDATE($D118,Milestones!$AA$102)&gt;=$T118),$W118,IF(AND($S118&lt;&gt;"",EDATE($D118,Milestones!$AA$102)&gt;=$S118),$V118,$U118)))=Milestones!$AB$102),UPPER(TEXT(EDATE($D118,Milestones!$AA$102),"dd mmm yy"))&amp;" "&amp;Milestones!$AB$102&amp;" "&amp;Milestones!$AC$102&amp;";  ","")&amp;IF(AND(EDATE($D118,Milestones!$AA$103)&lt;=AsOfDate,IF($R118=0,$X118,IF(AND($T118&lt;&gt;"",EDATE($D118,Milestones!$AA$103)&gt;=$T118),$W118,IF(AND($S118&lt;&gt;"",EDATE($D118,Milestones!$AA$103)&gt;=$S118),$V118,$U118)))=Milestones!$AB$103),UPPER(TEXT(EDATE($D118,Milestones!$AA$103),"dd mmm yy"))&amp;" "&amp;Milestones!$AB$103&amp;" "&amp;Milestones!$AC$103&amp;";  ","")&amp;IF(AND(EDATE($D118,Milestones!$AA$104)&lt;=AsOfDate,IF($R118=0,$X118,IF(AND($T118&lt;&gt;"",EDATE($D118,Milestones!$AA$104)&gt;=$T118),$W118,IF(AND($S118&lt;&gt;"",EDATE($D118,Milestones!$AA$104)&gt;=$S118),$V118,$U118)))=Milestones!$AB$104),UPPER(TEXT(EDATE($D118,Milestones!$AA$104),"dd mmm yy"))&amp;" "&amp;Milestones!$AB$104&amp;" "&amp;Milestones!$AC$104&amp;";  ","")&amp;IF(AND(EDATE($D118,Milestones!$AA$105)&lt;=AsOfDate,IF($R118=0,$X118,IF(AND($T118&lt;&gt;"",EDATE($D118,Milestones!$AA$105)&gt;=$T118),$W118,IF(AND($S118&lt;&gt;"",EDATE($D118,Milestones!$AA$105)&gt;=$S118),$V118,$U118)))=Milestones!$AB$105),UPPER(TEXT(EDATE($D118,Milestones!$AA$105),"dd mmm yy"))&amp;" "&amp;Milestones!$AB$105&amp;" "&amp;Milestones!$AC$105&amp;";  ","")&amp;IF(AND(EDATE($D118,Milestones!$AA$106)&lt;=AsOfDate,IF($R118=0,$X118,IF(AND($T118&lt;&gt;"",EDATE($D118,Milestones!$AA$106)&gt;=$T118),$W118,IF(AND($S118&lt;&gt;"",EDATE($D118,Milestones!$AA$106)&gt;=$S118),$V118,$U118)))=Milestones!$AB$106),UPPER(TEXT(EDATE($D118,Milestones!$AA$106),"dd mmm yy"))&amp;" "&amp;Milestones!$AB$106&amp;" "&amp;Milestones!$AC$106&amp;";  ","")&amp;IF(AND(EDATE($D118,Milestones!$AA$107)&lt;=AsOfDate,IF($R118=0,$X118,IF(AND($T118&lt;&gt;"",EDATE($D118,Milestones!$AA$107)&gt;=$T118),$W118,IF(AND($S118&lt;&gt;"",EDATE($D118,Milestones!$AA$107)&gt;=$S118),$V118,$U118)))=Milestones!$AB$107),UPPER(TEXT(EDATE($D118,Milestones!$AA$107),"dd mmm yy"))&amp;" "&amp;Milestones!$AB$107&amp;" "&amp;Milestones!$AC$107&amp;";  ","")&amp;IF(AND(EDATE($D118,Milestones!$AA$108)&lt;=AsOfDate,IF($R118=0,$X118,IF(AND($T118&lt;&gt;"",EDATE($D118,Milestones!$AA$108)&gt;=$T118),$W118,IF(AND($S118&lt;&gt;"",EDATE($D118,Milestones!$AA$108)&gt;=$S118),$V118,$U118)))=Milestones!$AB$108),UPPER(TEXT(EDATE($D118,Milestones!$AA$108),"dd mmm yy"))&amp;" "&amp;Milestones!$AB$108&amp;" "&amp;Milestones!$AC$108&amp;";  ","")&amp;IF(AND(EDATE($D118,Milestones!$AA$109)&lt;=AsOfDate,IF($R118=0,$X118,IF(AND($T118&lt;&gt;"",EDATE($D118,Milestones!$AA$109)&gt;=$T118),$W118,IF(AND($S118&lt;&gt;"",EDATE($D118,Milestones!$AA$109)&gt;=$S118),$V118,$U118)))=Milestones!$AB$109),UPPER(TEXT(EDATE($D118,Milestones!$AA$109),"dd mmm yy"))&amp;" "&amp;Milestones!$AB$109&amp;" "&amp;Milestones!$AC$109&amp;";  ","")&amp;IF(AND(EDATE($D118,Milestones!$AA$110)&lt;=AsOfDate,IF($R118=0,$X118,IF(AND($T118&lt;&gt;"",EDATE($D118,Milestones!$AA$110)&gt;=$T118),$W118,IF(AND($S118&lt;&gt;"",EDATE($D118,Milestones!$AA$110)&gt;=$S118),$V118,$U118)))=Milestones!$AB$110),UPPER(TEXT(EDATE($D118,Milestones!$AA$110),"dd mmm yy"))&amp;" "&amp;Milestones!$AB$110&amp;" "&amp;Milestones!$AC$110&amp;";  ","")&amp;IF(AND(EDATE($D118,Milestones!$AA$111)&lt;=AsOfDate,IF($R118=0,$X118,IF(AND($T118&lt;&gt;"",EDATE($D118,Milestones!$AA$111)&gt;=$T118),$W118,IF(AND($S118&lt;&gt;"",EDATE($D118,Milestones!$AA$111)&gt;=$S118),$V118,$U118)))=Milestones!$AB$111),UPPER(TEXT(EDATE($D118,Milestones!$AA$111),"dd mmm yy"))&amp;" "&amp;Milestones!$AB$111&amp;" "&amp;Milestones!$AC$111&amp;";  ","")&amp;IF(AND(EDATE($D118,Milestones!$AA$112)&lt;=AsOfDate,IF($R118=0,$X118,IF(AND($T118&lt;&gt;"",EDATE($D118,Milestones!$AA$112)&gt;=$T118),$W118,IF(AND($S118&lt;&gt;"",EDATE($D118,Milestones!$AA$112)&gt;=$S118),$V118,$U118)))=Milestones!$AB$112),UPPER(TEXT(EDATE($D118,Milestones!$AA$112),"dd mmm yy"))&amp;" "&amp;Milestones!$AB$112&amp;" "&amp;Milestones!$AC$112&amp;";  ","")&amp;IF(AND(EDATE($D118,Milestones!$AA$113)&lt;=AsOfDate,IF($R118=0,$X118,IF(AND($T118&lt;&gt;"",EDATE($D118,Milestones!$AA$113)&gt;=$T118),$W118,IF(AND($S118&lt;&gt;"",EDATE($D118,Milestones!$AA$113)&gt;=$S118),$V118,$U118)))=Milestones!$AB$113),UPPER(TEXT(EDATE($D118,Milestones!$AA$113),"dd mmm yy"))&amp;" "&amp;Milestones!$AB$113&amp;" "&amp;Milestones!$AC$113&amp;";  ","")&amp;IF(AND(EDATE($D118,Milestones!$AA$114)&lt;=AsOfDate,IF($R118=0,$X118,IF(AND($T118&lt;&gt;"",EDATE($D118,Milestones!$AA$114)&gt;=$T118),$W118,IF(AND($S118&lt;&gt;"",EDATE($D118,Milestones!$AA$114)&gt;=$S118),$V118,$U118)))=Milestones!$AB$114),UPPER(TEXT(EDATE($D118,Milestones!$AA$114),"dd mmm yy"))&amp;" "&amp;Milestones!$AB$114&amp;" "&amp;Milestones!$AC$114&amp;";  ","")&amp;IF(AND(EDATE($D118,Milestones!$AA$115)&lt;=AsOfDate,IF($R118=0,$X118,IF(AND($T118&lt;&gt;"",EDATE($D118,Milestones!$AA$115)&gt;=$T118),$W118,IF(AND($S118&lt;&gt;"",EDATE($D118,Milestones!$AA$115)&gt;=$S118),$V118,$U118)))=Milestones!$AB$115),UPPER(TEXT(EDATE($D118,Milestones!$AA$115),"dd mmm yy"))&amp;" "&amp;Milestones!$AB$115&amp;" "&amp;Milestones!$AC$115&amp;";  ","")&amp;IF(AND(EDATE($D118,Milestones!$AA$116)&lt;=AsOfDate,IF($R118=0,$X118,IF(AND($T118&lt;&gt;"",EDATE($D118,Milestones!$AA$116)&gt;=$T118),$W118,IF(AND($S118&lt;&gt;"",EDATE($D118,Milestones!$AA$116)&gt;=$S118),$V118,$U118)))=Milestones!$AB$116),UPPER(TEXT(EDATE($D118,Milestones!$AA$116),"dd mmm yy"))&amp;" "&amp;Milestones!$AB$116&amp;" "&amp;Milestones!$AC$116&amp;";  ","")&amp;IF(AND(EDATE($D118,Milestones!$AA$117)&lt;=AsOfDate,IF($R118=0,$X118,IF(AND($T118&lt;&gt;"",EDATE($D118,Milestones!$AA$117)&gt;=$T118),$W118,IF(AND($S118&lt;&gt;"",EDATE($D118,Milestones!$AA$117)&gt;=$S118),$V118,$U118)))=Milestones!$AB$117),UPPER(TEXT(EDATE($D118,Milestones!$AA$117),"dd mmm yy"))&amp;" "&amp;Milestones!$AB$117&amp;" "&amp;Milestones!$AC$117&amp;";  ","")&amp;IF(AND(EDATE($D118,Milestones!$AA$118)&lt;=AsOfDate,IF($R118=0,$X118,IF(AND($T118&lt;&gt;"",EDATE($D118,Milestones!$AA$118)&gt;=$T118),$W118,IF(AND($S118&lt;&gt;"",EDATE($D118,Milestones!$AA$118)&gt;=$S118),$V118,$U118)))=Milestones!$AB$118),UPPER(TEXT(EDATE($D118,Milestones!$AA$118),"dd mmm yy"))&amp;" "&amp;Milestones!$AB$118&amp;" "&amp;Milestones!$AC$118&amp;";  ","")&amp;IF(AND(EDATE($D118,Milestones!$AA$119)&lt;=AsOfDate,IF($R118=0,$X118,IF(AND($T118&lt;&gt;"",EDATE($D118,Milestones!$AA$119)&gt;=$T118),$W118,IF(AND($S118&lt;&gt;"",EDATE($D118,Milestones!$AA$119)&gt;=$S118),$V118,$U118)))=Milestones!$AB$119),UPPER(TEXT(EDATE($D118,Milestones!$AA$119),"dd mmm yy"))&amp;" "&amp;Milestones!$AB$119&amp;" "&amp;Milestones!$AC$119&amp;";  ",""))</f>
        <v/>
      </c>
      <c r="N118" s="0" t="str">
        <f aca="false">IF(OR($A118="",$D118=""),"",IF(AND(EDATE($D118,Milestones!$AA$120)&lt;=AsOfDate,IF($R118=0,$X118,IF(AND($T118&lt;&gt;"",EDATE($D118,Milestones!$AA$120)&gt;=$T118),$W118,IF(AND($S118&lt;&gt;"",EDATE($D118,Milestones!$AA$120)&gt;=$S118),$V118,$U118)))=Milestones!$AB$120),UPPER(TEXT(EDATE($D118,Milestones!$AA$120),"dd mmm yy"))&amp;" "&amp;Milestones!$AB$120&amp;" "&amp;Milestones!$AC$120&amp;";  ","")&amp;IF(AND(EDATE($D118,Milestones!$AA$121)&lt;=AsOfDate,IF($R118=0,$X118,IF(AND($T118&lt;&gt;"",EDATE($D118,Milestones!$AA$121)&gt;=$T118),$W118,IF(AND($S118&lt;&gt;"",EDATE($D118,Milestones!$AA$121)&gt;=$S118),$V118,$U118)))=Milestones!$AB$121),UPPER(TEXT(EDATE($D118,Milestones!$AA$121),"dd mmm yy"))&amp;" "&amp;Milestones!$AB$121&amp;" "&amp;Milestones!$AC$121&amp;";  ","")&amp;IF(AND(EDATE($D118,Milestones!$AA$122)&lt;=AsOfDate,IF($R118=0,$X118,IF(AND($T118&lt;&gt;"",EDATE($D118,Milestones!$AA$122)&gt;=$T118),$W118,IF(AND($S118&lt;&gt;"",EDATE($D118,Milestones!$AA$122)&gt;=$S118),$V118,$U118)))=Milestones!$AB$122),UPPER(TEXT(EDATE($D118,Milestones!$AA$122),"dd mmm yy"))&amp;" "&amp;Milestones!$AB$122&amp;" "&amp;Milestones!$AC$122&amp;";  ","")&amp;IF(AND(EDATE($D118,Milestones!$AA$123)&lt;=AsOfDate,IF($R118=0,$X118,IF(AND($T118&lt;&gt;"",EDATE($D118,Milestones!$AA$123)&gt;=$T118),$W118,IF(AND($S118&lt;&gt;"",EDATE($D118,Milestones!$AA$123)&gt;=$S118),$V118,$U118)))=Milestones!$AB$123),UPPER(TEXT(EDATE($D118,Milestones!$AA$123),"dd mmm yy"))&amp;" "&amp;Milestones!$AB$123&amp;" "&amp;Milestones!$AC$123&amp;";  ","")&amp;IF(AND(EDATE($D118,Milestones!$AA$124)&lt;=AsOfDate,IF($R118=0,$X118,IF(AND($T118&lt;&gt;"",EDATE($D118,Milestones!$AA$124)&gt;=$T118),$W118,IF(AND($S118&lt;&gt;"",EDATE($D118,Milestones!$AA$124)&gt;=$S118),$V118,$U118)))=Milestones!$AB$124),UPPER(TEXT(EDATE($D118,Milestones!$AA$124),"dd mmm yy"))&amp;" "&amp;Milestones!$AB$124&amp;" "&amp;Milestones!$AC$124&amp;";  ","")&amp;IF(AND(EDATE($D118,Milestones!$AA$125)&lt;=AsOfDate,IF($R118=0,$X118,IF(AND($T118&lt;&gt;"",EDATE($D118,Milestones!$AA$125)&gt;=$T118),$W118,IF(AND($S118&lt;&gt;"",EDATE($D118,Milestones!$AA$125)&gt;=$S118),$V118,$U118)))=Milestones!$AB$125),UPPER(TEXT(EDATE($D118,Milestones!$AA$125),"dd mmm yy"))&amp;" "&amp;Milestones!$AB$125&amp;" "&amp;Milestones!$AC$125&amp;";  ","")&amp;IF(AND(EDATE($D118,Milestones!$AA$126)&lt;=AsOfDate,IF($R118=0,$X118,IF(AND($T118&lt;&gt;"",EDATE($D118,Milestones!$AA$126)&gt;=$T118),$W118,IF(AND($S118&lt;&gt;"",EDATE($D118,Milestones!$AA$126)&gt;=$S118),$V118,$U118)))=Milestones!$AB$126),UPPER(TEXT(EDATE($D118,Milestones!$AA$126),"dd mmm yy"))&amp;" "&amp;Milestones!$AB$126&amp;" "&amp;Milestones!$AC$126&amp;";  ","")&amp;IF(AND(EDATE($D118,Milestones!$AA$127)&lt;=AsOfDate,IF($R118=0,$X118,IF(AND($T118&lt;&gt;"",EDATE($D118,Milestones!$AA$127)&gt;=$T118),$W118,IF(AND($S118&lt;&gt;"",EDATE($D118,Milestones!$AA$127)&gt;=$S118),$V118,$U118)))=Milestones!$AB$127),UPPER(TEXT(EDATE($D118,Milestones!$AA$127),"dd mmm yy"))&amp;" "&amp;Milestones!$AB$127&amp;" "&amp;Milestones!$AC$127&amp;";  ","")&amp;IF(AND(EDATE($D118,Milestones!$AA$128)&lt;=AsOfDate,IF($R118=0,$X118,IF(AND($T118&lt;&gt;"",EDATE($D118,Milestones!$AA$128)&gt;=$T118),$W118,IF(AND($S118&lt;&gt;"",EDATE($D118,Milestones!$AA$128)&gt;=$S118),$V118,$U118)))=Milestones!$AB$128),UPPER(TEXT(EDATE($D118,Milestones!$AA$128),"dd mmm yy"))&amp;" "&amp;Milestones!$AB$128&amp;" "&amp;Milestones!$AC$128&amp;";  ","")&amp;IF(AND(EDATE($D118,Milestones!$AA$129)&lt;=AsOfDate,IF($R118=0,$X118,IF(AND($T118&lt;&gt;"",EDATE($D118,Milestones!$AA$129)&gt;=$T118),$W118,IF(AND($S118&lt;&gt;"",EDATE($D118,Milestones!$AA$129)&gt;=$S118),$V118,$U118)))=Milestones!$AB$129),UPPER(TEXT(EDATE($D118,Milestones!$AA$129),"dd mmm yy"))&amp;" "&amp;Milestones!$AB$129&amp;" "&amp;Milestones!$AC$129&amp;";  ","")&amp;IF(AND(EDATE($D118,Milestones!$AA$130)&lt;=AsOfDate,IF($R118=0,$X118,IF(AND($T118&lt;&gt;"",EDATE($D118,Milestones!$AA$130)&gt;=$T118),$W118,IF(AND($S118&lt;&gt;"",EDATE($D118,Milestones!$AA$130)&gt;=$S118),$V118,$U118)))=Milestones!$AB$130),UPPER(TEXT(EDATE($D118,Milestones!$AA$130),"dd mmm yy"))&amp;" "&amp;Milestones!$AB$130&amp;" "&amp;Milestones!$AC$130&amp;";  ","")&amp;IF(AND(EDATE($D118,Milestones!$AA$131)&lt;=AsOfDate,IF($R118=0,$X118,IF(AND($T118&lt;&gt;"",EDATE($D118,Milestones!$AA$131)&gt;=$T118),$W118,IF(AND($S118&lt;&gt;"",EDATE($D118,Milestones!$AA$131)&gt;=$S118),$V118,$U118)))=Milestones!$AB$131),UPPER(TEXT(EDATE($D118,Milestones!$AA$131),"dd mmm yy"))&amp;" "&amp;Milestones!$AB$131&amp;" "&amp;Milestones!$AC$131&amp;";  ","")&amp;IF(AND(EDATE($D118,Milestones!$AA$132)&lt;=AsOfDate,IF($R118=0,$X118,IF(AND($T118&lt;&gt;"",EDATE($D118,Milestones!$AA$132)&gt;=$T118),$W118,IF(AND($S118&lt;&gt;"",EDATE($D118,Milestones!$AA$132)&gt;=$S118),$V118,$U118)))=Milestones!$AB$132),UPPER(TEXT(EDATE($D118,Milestones!$AA$132),"dd mmm yy"))&amp;" "&amp;Milestones!$AB$132&amp;" "&amp;Milestones!$AC$132&amp;";  ","")&amp;IF(AND(EDATE($D118,Milestones!$AA$133)&lt;=AsOfDate,IF($R118=0,$X118,IF(AND($T118&lt;&gt;"",EDATE($D118,Milestones!$AA$133)&gt;=$T118),$W118,IF(AND($S118&lt;&gt;"",EDATE($D118,Milestones!$AA$133)&gt;=$S118),$V118,$U118)))=Milestones!$AB$133),UPPER(TEXT(EDATE($D118,Milestones!$AA$133),"dd mmm yy"))&amp;" "&amp;Milestones!$AB$133&amp;" "&amp;Milestones!$AC$133&amp;";  ","")&amp;IF(AND(EDATE($D118,Milestones!$AA$134)&lt;=AsOfDate,IF($R118=0,$X118,IF(AND($T118&lt;&gt;"",EDATE($D118,Milestones!$AA$134)&gt;=$T118),$W118,IF(AND($S118&lt;&gt;"",EDATE($D118,Milestones!$AA$134)&gt;=$S118),$V118,$U118)))=Milestones!$AB$134),UPPER(TEXT(EDATE($D118,Milestones!$AA$134),"dd mmm yy"))&amp;" "&amp;Milestones!$AB$134&amp;" "&amp;Milestones!$AC$134&amp;";  ","")&amp;IF(AND(EDATE($D118,Milestones!$AA$135)&lt;=AsOfDate,IF($R118=0,$X118,IF(AND($T118&lt;&gt;"",EDATE($D118,Milestones!$AA$135)&gt;=$T118),$W118,IF(AND($S118&lt;&gt;"",EDATE($D118,Milestones!$AA$135)&gt;=$S118),$V118,$U118)))=Milestones!$AB$135),UPPER(TEXT(EDATE($D118,Milestones!$AA$135),"dd mmm yy"))&amp;" "&amp;Milestones!$AB$135&amp;" "&amp;Milestones!$AC$135&amp;";  ","")&amp;IF(AND(EDATE($D118,Milestones!$AA$136)&lt;=AsOfDate,IF($R118=0,$X118,IF(AND($T118&lt;&gt;"",EDATE($D118,Milestones!$AA$136)&gt;=$T118),$W118,IF(AND($S118&lt;&gt;"",EDATE($D118,Milestones!$AA$136)&gt;=$S118),$V118,$U118)))=Milestones!$AB$136),UPPER(TEXT(EDATE($D118,Milestones!$AA$136),"dd mmm yy"))&amp;" "&amp;Milestones!$AB$136&amp;" "&amp;Milestones!$AC$136&amp;";  ","")&amp;IF(AND(EDATE($D118,Milestones!$AA$137)&lt;=AsOfDate,IF($R118=0,$X118,IF(AND($T118&lt;&gt;"",EDATE($D118,Milestones!$AA$137)&gt;=$T118),$W118,IF(AND($S118&lt;&gt;"",EDATE($D118,Milestones!$AA$137)&gt;=$S118),$V118,$U118)))=Milestones!$AB$137),UPPER(TEXT(EDATE($D118,Milestones!$AA$137),"dd mmm yy"))&amp;" "&amp;Milestones!$AB$137&amp;" "&amp;Milestones!$AC$137&amp;";  ","")&amp;IF(AND(EDATE($D118,Milestones!$AA$138)&lt;=AsOfDate,IF($R118=0,$X118,IF(AND($T118&lt;&gt;"",EDATE($D118,Milestones!$AA$138)&gt;=$T118),$W118,IF(AND($S118&lt;&gt;"",EDATE($D118,Milestones!$AA$138)&gt;=$S118),$V118,$U118)))=Milestones!$AB$138),UPPER(TEXT(EDATE($D118,Milestones!$AA$138),"dd mmm yy"))&amp;" "&amp;Milestones!$AB$138&amp;" "&amp;Milestones!$AC$138&amp;";  ","")&amp;IF(AND(EDATE($D118,Milestones!$AA$139)&lt;=AsOfDate,IF($R118=0,$X118,IF(AND($T118&lt;&gt;"",EDATE($D118,Milestones!$AA$139)&gt;=$T118),$W118,IF(AND($S118&lt;&gt;"",EDATE($D118,Milestones!$AA$139)&gt;=$S118),$V118,$U118)))=Milestones!$AB$139),UPPER(TEXT(EDATE($D118,Milestones!$AA$139),"dd mmm yy"))&amp;" "&amp;Milestones!$AB$139&amp;" "&amp;Milestones!$AC$139&amp;";  ",""))</f>
        <v/>
      </c>
      <c r="O118" s="0" t="str">
        <f aca="false">IF(OR($A118="",$D118=""),"",IF(AND(EDATE($D118,Milestones!$AA$140)&lt;=AsOfDate,IF($R118=0,$X118,IF(AND($T118&lt;&gt;"",EDATE($D118,Milestones!$AA$140)&gt;=$T118),$W118,IF(AND($S118&lt;&gt;"",EDATE($D118,Milestones!$AA$140)&gt;=$S118),$V118,$U118)))=Milestones!$AB$140),UPPER(TEXT(EDATE($D118,Milestones!$AA$140),"dd mmm yy"))&amp;" "&amp;Milestones!$AB$140&amp;" "&amp;Milestones!$AC$140&amp;";  ","")&amp;IF(AND(EDATE($D118,Milestones!$AA$141)&lt;=AsOfDate,IF($R118=0,$X118,IF(AND($T118&lt;&gt;"",EDATE($D118,Milestones!$AA$141)&gt;=$T118),$W118,IF(AND($S118&lt;&gt;"",EDATE($D118,Milestones!$AA$141)&gt;=$S118),$V118,$U118)))=Milestones!$AB$141),UPPER(TEXT(EDATE($D118,Milestones!$AA$141),"dd mmm yy"))&amp;" "&amp;Milestones!$AB$141&amp;" "&amp;Milestones!$AC$141&amp;";  ","")&amp;IF(AND(EDATE($D118,Milestones!$AA$142)&lt;=AsOfDate,IF($R118=0,$X118,IF(AND($T118&lt;&gt;"",EDATE($D118,Milestones!$AA$142)&gt;=$T118),$W118,IF(AND($S118&lt;&gt;"",EDATE($D118,Milestones!$AA$142)&gt;=$S118),$V118,$U118)))=Milestones!$AB$142),UPPER(TEXT(EDATE($D118,Milestones!$AA$142),"dd mmm yy"))&amp;" "&amp;Milestones!$AB$142&amp;" "&amp;Milestones!$AC$142&amp;";  ","")&amp;IF(AND(EDATE($D118,Milestones!$AA$143)&lt;=AsOfDate,IF($R118=0,$X118,IF(AND($T118&lt;&gt;"",EDATE($D118,Milestones!$AA$143)&gt;=$T118),$W118,IF(AND($S118&lt;&gt;"",EDATE($D118,Milestones!$AA$143)&gt;=$S118),$V118,$U118)))=Milestones!$AB$143),UPPER(TEXT(EDATE($D118,Milestones!$AA$143),"dd mmm yy"))&amp;" "&amp;Milestones!$AB$143&amp;" "&amp;Milestones!$AC$143&amp;";  ","")&amp;IF(AND(EDATE($D118,Milestones!$AA$144)&lt;=AsOfDate,IF($R118=0,$X118,IF(AND($T118&lt;&gt;"",EDATE($D118,Milestones!$AA$144)&gt;=$T118),$W118,IF(AND($S118&lt;&gt;"",EDATE($D118,Milestones!$AA$144)&gt;=$S118),$V118,$U118)))=Milestones!$AB$144),UPPER(TEXT(EDATE($D118,Milestones!$AA$144),"dd mmm yy"))&amp;" "&amp;Milestones!$AB$144&amp;" "&amp;Milestones!$AC$144&amp;";  ","")&amp;IF(AND(EDATE($D118,Milestones!$AA$145)&lt;=AsOfDate,IF($R118=0,$X118,IF(AND($T118&lt;&gt;"",EDATE($D118,Milestones!$AA$145)&gt;=$T118),$W118,IF(AND($S118&lt;&gt;"",EDATE($D118,Milestones!$AA$145)&gt;=$S118),$V118,$U118)))=Milestones!$AB$145),UPPER(TEXT(EDATE($D118,Milestones!$AA$145),"dd mmm yy"))&amp;" "&amp;Milestones!$AB$145&amp;" "&amp;Milestones!$AC$145&amp;";  ","")&amp;IF(AND(EDATE($D118,Milestones!$AA$146)&lt;=AsOfDate,IF($R118=0,$X118,IF(AND($T118&lt;&gt;"",EDATE($D118,Milestones!$AA$146)&gt;=$T118),$W118,IF(AND($S118&lt;&gt;"",EDATE($D118,Milestones!$AA$146)&gt;=$S118),$V118,$U118)))=Milestones!$AB$146),UPPER(TEXT(EDATE($D118,Milestones!$AA$146),"dd mmm yy"))&amp;" "&amp;Milestones!$AB$146&amp;" "&amp;Milestones!$AC$146&amp;";  ","")&amp;IF(AND(EDATE($D118,Milestones!$AA$147)&lt;=AsOfDate,IF($R118=0,$X118,IF(AND($T118&lt;&gt;"",EDATE($D118,Milestones!$AA$147)&gt;=$T118),$W118,IF(AND($S118&lt;&gt;"",EDATE($D118,Milestones!$AA$147)&gt;=$S118),$V118,$U118)))=Milestones!$AB$147),UPPER(TEXT(EDATE($D118,Milestones!$AA$147),"dd mmm yy"))&amp;" "&amp;Milestones!$AB$147&amp;" "&amp;Milestones!$AC$147&amp;";  ","")&amp;IF(AND(EDATE($D118,Milestones!$AA$148)&lt;=AsOfDate,IF($R118=0,$X118,IF(AND($T118&lt;&gt;"",EDATE($D118,Milestones!$AA$148)&gt;=$T118),$W118,IF(AND($S118&lt;&gt;"",EDATE($D118,Milestones!$AA$148)&gt;=$S118),$V118,$U118)))=Milestones!$AB$148),UPPER(TEXT(EDATE($D118,Milestones!$AA$148),"dd mmm yy"))&amp;" "&amp;Milestones!$AB$148&amp;" "&amp;Milestones!$AC$148&amp;";  ","")&amp;IF(AND(EDATE($D118,Milestones!$AA$149)&lt;=AsOfDate,IF($R118=0,$X118,IF(AND($T118&lt;&gt;"",EDATE($D118,Milestones!$AA$149)&gt;=$T118),$W118,IF(AND($S118&lt;&gt;"",EDATE($D118,Milestones!$AA$149)&gt;=$S118),$V118,$U118)))=Milestones!$AB$149),UPPER(TEXT(EDATE($D118,Milestones!$AA$149),"dd mmm yy"))&amp;" "&amp;Milestones!$AB$149&amp;" "&amp;Milestones!$AC$149&amp;";  ","")&amp;IF(AND(EDATE($D118,Milestones!$AA$150)&lt;=AsOfDate,IF($R118=0,$X118,IF(AND($T118&lt;&gt;"",EDATE($D118,Milestones!$AA$150)&gt;=$T118),$W118,IF(AND($S118&lt;&gt;"",EDATE($D118,Milestones!$AA$150)&gt;=$S118),$V118,$U118)))=Milestones!$AB$150),UPPER(TEXT(EDATE($D118,Milestones!$AA$150),"dd mmm yy"))&amp;" "&amp;Milestones!$AB$150&amp;" "&amp;Milestones!$AC$150&amp;";  ","")&amp;IF(AND(EDATE($D118,Milestones!$AA$151)&lt;=AsOfDate,IF($R118=0,$X118,IF(AND($T118&lt;&gt;"",EDATE($D118,Milestones!$AA$151)&gt;=$T118),$W118,IF(AND($S118&lt;&gt;"",EDATE($D118,Milestones!$AA$151)&gt;=$S118),$V118,$U118)))=Milestones!$AB$151),UPPER(TEXT(EDATE($D118,Milestones!$AA$151),"dd mmm yy"))&amp;" "&amp;Milestones!$AB$151&amp;" "&amp;Milestones!$AC$151&amp;";  ","")&amp;IF(AND(EDATE($D118,Milestones!$AA$152)&lt;=AsOfDate,IF($R118=0,$X118,IF(AND($T118&lt;&gt;"",EDATE($D118,Milestones!$AA$152)&gt;=$T118),$W118,IF(AND($S118&lt;&gt;"",EDATE($D118,Milestones!$AA$152)&gt;=$S118),$V118,$U118)))=Milestones!$AB$152),UPPER(TEXT(EDATE($D118,Milestones!$AA$152),"dd mmm yy"))&amp;" "&amp;Milestones!$AB$152&amp;" "&amp;Milestones!$AC$152&amp;";  ","")&amp;IF(AND(EDATE($D118,Milestones!$AA$153)&lt;=AsOfDate,IF($R118=0,$X118,IF(AND($T118&lt;&gt;"",EDATE($D118,Milestones!$AA$153)&gt;=$T118),$W118,IF(AND($S118&lt;&gt;"",EDATE($D118,Milestones!$AA$153)&gt;=$S118),$V118,$U118)))=Milestones!$AB$153),UPPER(TEXT(EDATE($D118,Milestones!$AA$153),"dd mmm yy"))&amp;" "&amp;Milestones!$AB$153&amp;" "&amp;Milestones!$AC$153&amp;";  ","")&amp;IF(AND(EDATE($D118,Milestones!$AA$154)&lt;=AsOfDate,IF($R118=0,$X118,IF(AND($T118&lt;&gt;"",EDATE($D118,Milestones!$AA$154)&gt;=$T118),$W118,IF(AND($S118&lt;&gt;"",EDATE($D118,Milestones!$AA$154)&gt;=$S118),$V118,$U118)))=Milestones!$AB$154),UPPER(TEXT(EDATE($D118,Milestones!$AA$154),"dd mmm yy"))&amp;" "&amp;Milestones!$AB$154&amp;" "&amp;Milestones!$AC$154&amp;";  ","")&amp;IF(AND(EDATE($D118,Milestones!$AA$155)&lt;=AsOfDate,IF($R118=0,$X118,IF(AND($T118&lt;&gt;"",EDATE($D118,Milestones!$AA$155)&gt;=$T118),$W118,IF(AND($S118&lt;&gt;"",EDATE($D118,Milestones!$AA$155)&gt;=$S118),$V118,$U118)))=Milestones!$AB$155),UPPER(TEXT(EDATE($D118,Milestones!$AA$155),"dd mmm yy"))&amp;" "&amp;Milestones!$AB$155&amp;" "&amp;Milestones!$AC$155&amp;";  ","")&amp;IF(AND(EDATE($D118,Milestones!$AA$156)&lt;=AsOfDate,IF($R118=0,$X118,IF(AND($T118&lt;&gt;"",EDATE($D118,Milestones!$AA$156)&gt;=$T118),$W118,IF(AND($S118&lt;&gt;"",EDATE($D118,Milestones!$AA$156)&gt;=$S118),$V118,$U118)))=Milestones!$AB$156),UPPER(TEXT(EDATE($D118,Milestones!$AA$156),"dd mmm yy"))&amp;" "&amp;Milestones!$AB$156&amp;" "&amp;Milestones!$AC$156&amp;";  ","")&amp;IF(AND(EDATE($D118,Milestones!$AA$157)&lt;=AsOfDate,IF($R118=0,$X118,IF(AND($T118&lt;&gt;"",EDATE($D118,Milestones!$AA$157)&gt;=$T118),$W118,IF(AND($S118&lt;&gt;"",EDATE($D118,Milestones!$AA$157)&gt;=$S118),$V118,$U118)))=Milestones!$AB$157),UPPER(TEXT(EDATE($D118,Milestones!$AA$157),"dd mmm yy"))&amp;" "&amp;Milestones!$AB$157&amp;" "&amp;Milestones!$AC$157&amp;";  ","")&amp;IF(AND(EDATE($D118,Milestones!$AA$158)&lt;=AsOfDate,IF($R118=0,$X118,IF(AND($T118&lt;&gt;"",EDATE($D118,Milestones!$AA$158)&gt;=$T118),$W118,IF(AND($S118&lt;&gt;"",EDATE($D118,Milestones!$AA$158)&gt;=$S118),$V118,$U118)))=Milestones!$AB$158),UPPER(TEXT(EDATE($D118,Milestones!$AA$158),"dd mmm yy"))&amp;" "&amp;Milestones!$AB$158&amp;" "&amp;Milestones!$AC$158&amp;";  ","")&amp;IF(AND(EDATE($D118,Milestones!$AA$159)&lt;=AsOfDate,IF($R118=0,$X118,IF(AND($T118&lt;&gt;"",EDATE($D118,Milestones!$AA$159)&gt;=$T118),$W118,IF(AND($S118&lt;&gt;"",EDATE($D118,Milestones!$AA$159)&gt;=$S118),$V118,$U118)))=Milestones!$AB$159),UPPER(TEXT(EDATE($D118,Milestones!$AA$159),"dd mmm yy"))&amp;" "&amp;Milestones!$AB$159&amp;" "&amp;Milestones!$AC$159&amp;";  ",""))</f>
        <v/>
      </c>
      <c r="P118" s="0" t="str">
        <f aca="false">IF(OR($A118="",$D118=""),"",IF(AND(EDATE($D118,Milestones!$AA$160)&lt;=AsOfDate,IF($R118=0,$X118,IF(AND($T118&lt;&gt;"",EDATE($D118,Milestones!$AA$160)&gt;=$T118),$W118,IF(AND($S118&lt;&gt;"",EDATE($D118,Milestones!$AA$160)&gt;=$S118),$V118,$U118)))=Milestones!$AB$160),UPPER(TEXT(EDATE($D118,Milestones!$AA$160),"dd mmm yy"))&amp;" "&amp;Milestones!$AB$160&amp;" "&amp;Milestones!$AC$160&amp;";  ","")&amp;IF(AND(EDATE($D118,Milestones!$AA$161)&lt;=AsOfDate,IF($R118=0,$X118,IF(AND($T118&lt;&gt;"",EDATE($D118,Milestones!$AA$161)&gt;=$T118),$W118,IF(AND($S118&lt;&gt;"",EDATE($D118,Milestones!$AA$161)&gt;=$S118),$V118,$U118)))=Milestones!$AB$161),UPPER(TEXT(EDATE($D118,Milestones!$AA$161),"dd mmm yy"))&amp;" "&amp;Milestones!$AB$161&amp;" "&amp;Milestones!$AC$161&amp;";  ","")&amp;IF(AND(EDATE($D118,Milestones!$AA$162)&lt;=AsOfDate,IF($R118=0,$X118,IF(AND($T118&lt;&gt;"",EDATE($D118,Milestones!$AA$162)&gt;=$T118),$W118,IF(AND($S118&lt;&gt;"",EDATE($D118,Milestones!$AA$162)&gt;=$S118),$V118,$U118)))=Milestones!$AB$162),UPPER(TEXT(EDATE($D118,Milestones!$AA$162),"dd mmm yy"))&amp;" "&amp;Milestones!$AB$162&amp;" "&amp;Milestones!$AC$162&amp;";  ","")&amp;IF(AND(EDATE($D118,Milestones!$AA$163)&lt;=AsOfDate,IF($R118=0,$X118,IF(AND($T118&lt;&gt;"",EDATE($D118,Milestones!$AA$163)&gt;=$T118),$W118,IF(AND($S118&lt;&gt;"",EDATE($D118,Milestones!$AA$163)&gt;=$S118),$V118,$U118)))=Milestones!$AB$163),UPPER(TEXT(EDATE($D118,Milestones!$AA$163),"dd mmm yy"))&amp;" "&amp;Milestones!$AB$163&amp;" "&amp;Milestones!$AC$163&amp;";  ","")&amp;IF(AND(EDATE($D118,Milestones!$AA$164)&lt;=AsOfDate,IF($R118=0,$X118,IF(AND($T118&lt;&gt;"",EDATE($D118,Milestones!$AA$164)&gt;=$T118),$W118,IF(AND($S118&lt;&gt;"",EDATE($D118,Milestones!$AA$164)&gt;=$S118),$V118,$U118)))=Milestones!$AB$164),UPPER(TEXT(EDATE($D118,Milestones!$AA$164),"dd mmm yy"))&amp;" "&amp;Milestones!$AB$164&amp;" "&amp;Milestones!$AC$164&amp;";  ","")&amp;IF(AND(EDATE($D118,Milestones!$AA$165)&lt;=AsOfDate,IF($R118=0,$X118,IF(AND($T118&lt;&gt;"",EDATE($D118,Milestones!$AA$165)&gt;=$T118),$W118,IF(AND($S118&lt;&gt;"",EDATE($D118,Milestones!$AA$165)&gt;=$S118),$V118,$U118)))=Milestones!$AB$165),UPPER(TEXT(EDATE($D118,Milestones!$AA$165),"dd mmm yy"))&amp;" "&amp;Milestones!$AB$165&amp;" "&amp;Milestones!$AC$165&amp;";  ","")&amp;IF(AND(EDATE($D118,Milestones!$AA$166)&lt;=AsOfDate,IF($R118=0,$X118,IF(AND($T118&lt;&gt;"",EDATE($D118,Milestones!$AA$166)&gt;=$T118),$W118,IF(AND($S118&lt;&gt;"",EDATE($D118,Milestones!$AA$166)&gt;=$S118),$V118,$U118)))=Milestones!$AB$166),UPPER(TEXT(EDATE($D118,Milestones!$AA$166),"dd mmm yy"))&amp;" "&amp;Milestones!$AB$166&amp;" "&amp;Milestones!$AC$166&amp;";  ","")&amp;IF(AND(EDATE($D118,Milestones!$AA$167)&lt;=AsOfDate,IF($R118=0,$X118,IF(AND($T118&lt;&gt;"",EDATE($D118,Milestones!$AA$167)&gt;=$T118),$W118,IF(AND($S118&lt;&gt;"",EDATE($D118,Milestones!$AA$167)&gt;=$S118),$V118,$U118)))=Milestones!$AB$167),UPPER(TEXT(EDATE($D118,Milestones!$AA$167),"dd mmm yy"))&amp;" "&amp;Milestones!$AB$167&amp;" "&amp;Milestones!$AC$167&amp;";  ","")&amp;IF(AND(EDATE($D118,Milestones!$AA$168)&lt;=AsOfDate,IF($R118=0,$X118,IF(AND($T118&lt;&gt;"",EDATE($D118,Milestones!$AA$168)&gt;=$T118),$W118,IF(AND($S118&lt;&gt;"",EDATE($D118,Milestones!$AA$168)&gt;=$S118),$V118,$U118)))=Milestones!$AB$168),UPPER(TEXT(EDATE($D118,Milestones!$AA$168),"dd mmm yy"))&amp;" "&amp;Milestones!$AB$168&amp;" "&amp;Milestones!$AC$168&amp;";  ","")&amp;IF(AND(EDATE($D118,Milestones!$AA$169)&lt;=AsOfDate,IF($R118=0,$X118,IF(AND($T118&lt;&gt;"",EDATE($D118,Milestones!$AA$169)&gt;=$T118),$W118,IF(AND($S118&lt;&gt;"",EDATE($D118,Milestones!$AA$169)&gt;=$S118),$V118,$U118)))=Milestones!$AB$169),UPPER(TEXT(EDATE($D118,Milestones!$AA$169),"dd mmm yy"))&amp;" "&amp;Milestones!$AB$169&amp;" "&amp;Milestones!$AC$169&amp;";  ","")&amp;IF(AND(EDATE($D118,Milestones!$AA$170)&lt;=AsOfDate,IF($R118=0,$X118,IF(AND($T118&lt;&gt;"",EDATE($D118,Milestones!$AA$170)&gt;=$T118),$W118,IF(AND($S118&lt;&gt;"",EDATE($D118,Milestones!$AA$170)&gt;=$S118),$V118,$U118)))=Milestones!$AB$170),UPPER(TEXT(EDATE($D118,Milestones!$AA$170),"dd mmm yy"))&amp;" "&amp;Milestones!$AB$170&amp;" "&amp;Milestones!$AC$170&amp;";  ","")&amp;IF(AND(EDATE($D118,Milestones!$AA$171)&lt;=AsOfDate,IF($R118=0,$X118,IF(AND($T118&lt;&gt;"",EDATE($D118,Milestones!$AA$171)&gt;=$T118),$W118,IF(AND($S118&lt;&gt;"",EDATE($D118,Milestones!$AA$171)&gt;=$S118),$V118,$U118)))=Milestones!$AB$171),UPPER(TEXT(EDATE($D118,Milestones!$AA$171),"dd mmm yy"))&amp;" "&amp;Milestones!$AB$171&amp;" "&amp;Milestones!$AC$171&amp;";  ","")&amp;IF(AND(EDATE($D118,Milestones!$AA$172)&lt;=AsOfDate,IF($R118=0,$X118,IF(AND($T118&lt;&gt;"",EDATE($D118,Milestones!$AA$172)&gt;=$T118),$W118,IF(AND($S118&lt;&gt;"",EDATE($D118,Milestones!$AA$172)&gt;=$S118),$V118,$U118)))=Milestones!$AB$172),UPPER(TEXT(EDATE($D118,Milestones!$AA$172),"dd mmm yy"))&amp;" "&amp;Milestones!$AB$172&amp;" "&amp;Milestones!$AC$172&amp;";  ","")&amp;IF(AND(EDATE($D118,Milestones!$AA$173)&lt;=AsOfDate,IF($R118=0,$X118,IF(AND($T118&lt;&gt;"",EDATE($D118,Milestones!$AA$173)&gt;=$T118),$W118,IF(AND($S118&lt;&gt;"",EDATE($D118,Milestones!$AA$173)&gt;=$S118),$V118,$U118)))=Milestones!$AB$173),UPPER(TEXT(EDATE($D118,Milestones!$AA$173),"dd mmm yy"))&amp;" "&amp;Milestones!$AB$173&amp;" "&amp;Milestones!$AC$173&amp;";  ","")&amp;IF(AND(EDATE($D118,Milestones!$AA$174)&lt;=AsOfDate,IF($R118=0,$X118,IF(AND($T118&lt;&gt;"",EDATE($D118,Milestones!$AA$174)&gt;=$T118),$W118,IF(AND($S118&lt;&gt;"",EDATE($D118,Milestones!$AA$174)&gt;=$S118),$V118,$U118)))=Milestones!$AB$174),UPPER(TEXT(EDATE($D118,Milestones!$AA$174),"dd mmm yy"))&amp;" "&amp;Milestones!$AB$174&amp;" "&amp;Milestones!$AC$174&amp;";  ","")&amp;IF(AND(EDATE($D118,Milestones!$AA$175)&lt;=AsOfDate,IF($R118=0,$X118,IF(AND($T118&lt;&gt;"",EDATE($D118,Milestones!$AA$175)&gt;=$T118),$W118,IF(AND($S118&lt;&gt;"",EDATE($D118,Milestones!$AA$175)&gt;=$S118),$V118,$U118)))=Milestones!$AB$175),UPPER(TEXT(EDATE($D118,Milestones!$AA$175),"dd mmm yy"))&amp;" "&amp;Milestones!$AB$175&amp;" "&amp;Milestones!$AC$175&amp;";  ","")&amp;IF(AND(EDATE($D118,Milestones!$AA$176)&lt;=AsOfDate,IF($R118=0,$X118,IF(AND($T118&lt;&gt;"",EDATE($D118,Milestones!$AA$176)&gt;=$T118),$W118,IF(AND($S118&lt;&gt;"",EDATE($D118,Milestones!$AA$176)&gt;=$S118),$V118,$U118)))=Milestones!$AB$176),UPPER(TEXT(EDATE($D118,Milestones!$AA$176),"dd mmm yy"))&amp;" "&amp;Milestones!$AB$176&amp;" "&amp;Milestones!$AC$176&amp;";  ","")&amp;IF(AND(EDATE($D118,Milestones!$AA$177)&lt;=AsOfDate,IF($R118=0,$X118,IF(AND($T118&lt;&gt;"",EDATE($D118,Milestones!$AA$177)&gt;=$T118),$W118,IF(AND($S118&lt;&gt;"",EDATE($D118,Milestones!$AA$177)&gt;=$S118),$V118,$U118)))=Milestones!$AB$177),UPPER(TEXT(EDATE($D118,Milestones!$AA$177),"dd mmm yy"))&amp;" "&amp;Milestones!$AB$177&amp;" "&amp;Milestones!$AC$177&amp;";  ","")&amp;IF(AND(EDATE($D118,Milestones!$AA$178)&lt;=AsOfDate,IF($R118=0,$X118,IF(AND($T118&lt;&gt;"",EDATE($D118,Milestones!$AA$178)&gt;=$T118),$W118,IF(AND($S118&lt;&gt;"",EDATE($D118,Milestones!$AA$178)&gt;=$S118),$V118,$U118)))=Milestones!$AB$178),UPPER(TEXT(EDATE($D118,Milestones!$AA$178),"dd mmm yy"))&amp;" "&amp;Milestones!$AB$178&amp;" "&amp;Milestones!$AC$178&amp;";  ","")&amp;IF(AND(EDATE($D118,Milestones!$AA$179)&lt;=AsOfDate,IF($R118=0,$X118,IF(AND($T118&lt;&gt;"",EDATE($D118,Milestones!$AA$179)&gt;=$T118),$W118,IF(AND($S118&lt;&gt;"",EDATE($D118,Milestones!$AA$179)&gt;=$S118),$V118,$U118)))=Milestones!$AB$179),UPPER(TEXT(EDATE($D118,Milestones!$AA$179),"dd mmm yy"))&amp;" "&amp;Milestones!$AB$179&amp;" "&amp;Milestones!$AC$179&amp;";  ",""))</f>
        <v/>
      </c>
      <c r="Q118" s="0" t="str">
        <f aca="false">IF(OR($A118="",$D118=""),"",IF(AND(EDATE($D118,Milestones!$AA$180)&lt;=AsOfDate,IF($R118=0,$X118,IF(AND($T118&lt;&gt;"",EDATE($D118,Milestones!$AA$180)&gt;=$T118),$W118,IF(AND($S118&lt;&gt;"",EDATE($D118,Milestones!$AA$180)&gt;=$S118),$V118,$U118)))=Milestones!$AB$180),UPPER(TEXT(EDATE($D118,Milestones!$AA$180),"dd mmm yy"))&amp;" "&amp;Milestones!$AB$180&amp;" "&amp;Milestones!$AC$180&amp;";  ","")&amp;IF(AND(EDATE($D118,Milestones!$AA$181)&lt;=AsOfDate,IF($R118=0,$X118,IF(AND($T118&lt;&gt;"",EDATE($D118,Milestones!$AA$181)&gt;=$T118),$W118,IF(AND($S118&lt;&gt;"",EDATE($D118,Milestones!$AA$181)&gt;=$S118),$V118,$U118)))=Milestones!$AB$181),UPPER(TEXT(EDATE($D118,Milestones!$AA$181),"dd mmm yy"))&amp;" "&amp;Milestones!$AB$181&amp;" "&amp;Milestones!$AC$181&amp;";  ","")&amp;IF(AND(EDATE($D118,Milestones!$AA$182)&lt;=AsOfDate,IF($R118=0,$X118,IF(AND($T118&lt;&gt;"",EDATE($D118,Milestones!$AA$182)&gt;=$T118),$W118,IF(AND($S118&lt;&gt;"",EDATE($D118,Milestones!$AA$182)&gt;=$S118),$V118,$U118)))=Milestones!$AB$182),UPPER(TEXT(EDATE($D118,Milestones!$AA$182),"dd mmm yy"))&amp;" "&amp;Milestones!$AB$182&amp;" "&amp;Milestones!$AC$182&amp;";  ","")&amp;IF(AND(EDATE($D118,Milestones!$AA$183)&lt;=AsOfDate,IF($R118=0,$X118,IF(AND($T118&lt;&gt;"",EDATE($D118,Milestones!$AA$183)&gt;=$T118),$W118,IF(AND($S118&lt;&gt;"",EDATE($D118,Milestones!$AA$183)&gt;=$S118),$V118,$U118)))=Milestones!$AB$183),UPPER(TEXT(EDATE($D118,Milestones!$AA$183),"dd mmm yy"))&amp;" "&amp;Milestones!$AB$183&amp;" "&amp;Milestones!$AC$183&amp;";  ","")&amp;IF(AND(EDATE($D118,Milestones!$AA$184)&lt;=AsOfDate,IF($R118=0,$X118,IF(AND($T118&lt;&gt;"",EDATE($D118,Milestones!$AA$184)&gt;=$T118),$W118,IF(AND($S118&lt;&gt;"",EDATE($D118,Milestones!$AA$184)&gt;=$S118),$V118,$U118)))=Milestones!$AB$184),UPPER(TEXT(EDATE($D118,Milestones!$AA$184),"dd mmm yy"))&amp;" "&amp;Milestones!$AB$184&amp;" "&amp;Milestones!$AC$184&amp;";  ","")&amp;IF(AND(EDATE($D118,Milestones!$AA$185)&lt;=AsOfDate,IF($R118=0,$X118,IF(AND($T118&lt;&gt;"",EDATE($D118,Milestones!$AA$185)&gt;=$T118),$W118,IF(AND($S118&lt;&gt;"",EDATE($D118,Milestones!$AA$185)&gt;=$S118),$V118,$U118)))=Milestones!$AB$185),UPPER(TEXT(EDATE($D118,Milestones!$AA$185),"dd mmm yy"))&amp;" "&amp;Milestones!$AB$185&amp;" "&amp;Milestones!$AC$185&amp;";  ","")&amp;IF(AND(EDATE($D118,Milestones!$AA$186)&lt;=AsOfDate,IF($R118=0,$X118,IF(AND($T118&lt;&gt;"",EDATE($D118,Milestones!$AA$186)&gt;=$T118),$W118,IF(AND($S118&lt;&gt;"",EDATE($D118,Milestones!$AA$186)&gt;=$S118),$V118,$U118)))=Milestones!$AB$186),UPPER(TEXT(EDATE($D118,Milestones!$AA$186),"dd mmm yy"))&amp;" "&amp;Milestones!$AB$186&amp;" "&amp;Milestones!$AC$186&amp;";  ","")&amp;IF(AND(EDATE($D118,Milestones!$AA$187)&lt;=AsOfDate,IF($R118=0,$X118,IF(AND($T118&lt;&gt;"",EDATE($D118,Milestones!$AA$187)&gt;=$T118),$W118,IF(AND($S118&lt;&gt;"",EDATE($D118,Milestones!$AA$187)&gt;=$S118),$V118,$U118)))=Milestones!$AB$187),UPPER(TEXT(EDATE($D118,Milestones!$AA$187),"dd mmm yy"))&amp;" "&amp;Milestones!$AB$187&amp;" "&amp;Milestones!$AC$187&amp;";  ","")&amp;IF(AND(EDATE($D118,Milestones!$AA$188)&lt;=AsOfDate,IF($R118=0,$X118,IF(AND($T118&lt;&gt;"",EDATE($D118,Milestones!$AA$188)&gt;=$T118),$W118,IF(AND($S118&lt;&gt;"",EDATE($D118,Milestones!$AA$188)&gt;=$S118),$V118,$U118)))=Milestones!$AB$188),UPPER(TEXT(EDATE($D118,Milestones!$AA$188),"dd mmm yy"))&amp;" "&amp;Milestones!$AB$188&amp;" "&amp;Milestones!$AC$188&amp;";  ","")&amp;IF(AND(EDATE($D118,Milestones!$AA$189)&lt;=AsOfDate,IF($R118=0,$X118,IF(AND($T118&lt;&gt;"",EDATE($D118,Milestones!$AA$189)&gt;=$T118),$W118,IF(AND($S118&lt;&gt;"",EDATE($D118,Milestones!$AA$189)&gt;=$S118),$V118,$U118)))=Milestones!$AB$189),UPPER(TEXT(EDATE($D118,Milestones!$AA$189),"dd mmm yy"))&amp;" "&amp;Milestones!$AB$189&amp;" "&amp;Milestones!$AC$189&amp;";  ","")&amp;IF(AND(EDATE($D118,Milestones!$AA$190)&lt;=AsOfDate,IF($R118=0,$X118,IF(AND($T118&lt;&gt;"",EDATE($D118,Milestones!$AA$190)&gt;=$T118),$W118,IF(AND($S118&lt;&gt;"",EDATE($D118,Milestones!$AA$190)&gt;=$S118),$V118,$U118)))=Milestones!$AB$190),UPPER(TEXT(EDATE($D118,Milestones!$AA$190),"dd mmm yy"))&amp;" "&amp;Milestones!$AB$190&amp;" "&amp;Milestones!$AC$190&amp;";  ","")&amp;IF(AND(EDATE($D118,Milestones!$AA$191)&lt;=AsOfDate,IF($R118=0,$X118,IF(AND($T118&lt;&gt;"",EDATE($D118,Milestones!$AA$191)&gt;=$T118),$W118,IF(AND($S118&lt;&gt;"",EDATE($D118,Milestones!$AA$191)&gt;=$S118),$V118,$U118)))=Milestones!$AB$191),UPPER(TEXT(EDATE($D118,Milestones!$AA$191),"dd mmm yy"))&amp;" "&amp;Milestones!$AB$191&amp;" "&amp;Milestones!$AC$191&amp;";  ","")&amp;IF(AND(EDATE($D118,Milestones!$AA$192)&lt;=AsOfDate,IF($R118=0,$X118,IF(AND($T118&lt;&gt;"",EDATE($D118,Milestones!$AA$192)&gt;=$T118),$W118,IF(AND($S118&lt;&gt;"",EDATE($D118,Milestones!$AA$192)&gt;=$S118),$V118,$U118)))=Milestones!$AB$192),UPPER(TEXT(EDATE($D118,Milestones!$AA$192),"dd mmm yy"))&amp;" "&amp;Milestones!$AB$192&amp;" "&amp;Milestones!$AC$192&amp;";  ","")&amp;IF(AND(EDATE($D118,Milestones!$AA$193)&lt;=AsOfDate,IF($R118=0,$X118,IF(AND($T118&lt;&gt;"",EDATE($D118,Milestones!$AA$193)&gt;=$T118),$W118,IF(AND($S118&lt;&gt;"",EDATE($D118,Milestones!$AA$193)&gt;=$S118),$V118,$U118)))=Milestones!$AB$193),UPPER(TEXT(EDATE($D118,Milestones!$AA$193),"dd mmm yy"))&amp;" "&amp;Milestones!$AB$193&amp;" "&amp;Milestones!$AC$193&amp;";  ","")&amp;IF(AND(EDATE($D118,Milestones!$AA$194)&lt;=AsOfDate,IF($R118=0,$X118,IF(AND($T118&lt;&gt;"",EDATE($D118,Milestones!$AA$194)&gt;=$T118),$W118,IF(AND($S118&lt;&gt;"",EDATE($D118,Milestones!$AA$194)&gt;=$S118),$V118,$U118)))=Milestones!$AB$194),UPPER(TEXT(EDATE($D118,Milestones!$AA$194),"dd mmm yy"))&amp;" "&amp;Milestones!$AB$194&amp;" "&amp;Milestones!$AC$194&amp;";  ","")&amp;IF(AND(EDATE($D118,Milestones!$AA$195)&lt;=AsOfDate,IF($R118=0,$X118,IF(AND($T118&lt;&gt;"",EDATE($D118,Milestones!$AA$195)&gt;=$T118),$W118,IF(AND($S118&lt;&gt;"",EDATE($D118,Milestones!$AA$195)&gt;=$S118),$V118,$U118)))=Milestones!$AB$195),UPPER(TEXT(EDATE($D118,Milestones!$AA$195),"dd mmm yy"))&amp;" "&amp;Milestones!$AB$195&amp;" "&amp;Milestones!$AC$195&amp;";  ","")&amp;IF(AND(EDATE($D118,Milestones!$AA$196)&lt;=AsOfDate,IF($R118=0,$X118,IF(AND($T118&lt;&gt;"",EDATE($D118,Milestones!$AA$196)&gt;=$T118),$W118,IF(AND($S118&lt;&gt;"",EDATE($D118,Milestones!$AA$196)&gt;=$S118),$V118,$U118)))=Milestones!$AB$196),UPPER(TEXT(EDATE($D118,Milestones!$AA$196),"dd mmm yy"))&amp;" "&amp;Milestones!$AB$196&amp;" "&amp;Milestones!$AC$196&amp;";  ","")&amp;IF(AND(EDATE($D118,Milestones!$AA$197)&lt;=AsOfDate,IF($R118=0,$X118,IF(AND($T118&lt;&gt;"",EDATE($D118,Milestones!$AA$197)&gt;=$T118),$W118,IF(AND($S118&lt;&gt;"",EDATE($D118,Milestones!$AA$197)&gt;=$S118),$V118,$U118)))=Milestones!$AB$197),UPPER(TEXT(EDATE($D118,Milestones!$AA$197),"dd mmm yy"))&amp;" "&amp;Milestones!$AB$197&amp;" "&amp;Milestones!$AC$197&amp;";  ","")&amp;IF(AND(EDATE($D118,Milestones!$AA$198)&lt;=AsOfDate,IF($R118=0,$X118,IF(AND($T118&lt;&gt;"",EDATE($D118,Milestones!$AA$198)&gt;=$T118),$W118,IF(AND($S118&lt;&gt;"",EDATE($D118,Milestones!$AA$198)&gt;=$S118),$V118,$U118)))=Milestones!$AB$198),UPPER(TEXT(EDATE($D118,Milestones!$AA$198),"dd mmm yy"))&amp;" "&amp;Milestones!$AB$198&amp;" "&amp;Milestones!$AC$198&amp;";  ","")&amp;IF(AND(EDATE($D118,Milestones!$AA$199)&lt;=AsOfDate,IF($R118=0,$X118,IF(AND($T118&lt;&gt;"",EDATE($D118,Milestones!$AA$199)&gt;=$T118),$W118,IF(AND($S118&lt;&gt;"",EDATE($D118,Milestones!$AA$199)&gt;=$S118),$V118,$U118)))=Milestones!$AB$199),UPPER(TEXT(EDATE($D118,Milestones!$AA$199),"dd mmm yy"))&amp;" "&amp;Milestones!$AB$199&amp;" "&amp;Milestones!$AC$199&amp;";  ",""))</f>
        <v/>
      </c>
      <c r="R118" s="0" t="str">
        <f aca="false">IF(Staff!$A118="","",Staff!$AI118)</f>
        <v/>
      </c>
      <c r="S118" s="0" t="str">
        <f aca="false">IF(Staff!$A118="","",Staff!$AK118)</f>
        <v/>
      </c>
      <c r="T118" s="0" t="str">
        <f aca="false">IF(Staff!$A118="","",Staff!$AL118)</f>
        <v/>
      </c>
      <c r="U118" s="0" t="str">
        <f aca="false">IF(Staff!$A118="","",Staff!$AP118)</f>
        <v/>
      </c>
      <c r="V118" s="0" t="str">
        <f aca="false">IF(Staff!$A118="","",Staff!$AQ118)</f>
        <v/>
      </c>
      <c r="W118" s="0" t="str">
        <f aca="false">IF(Staff!$A118="","",Staff!$AR118)</f>
        <v/>
      </c>
      <c r="X118" s="0" t="str">
        <f aca="false">IF(Staff!$A118="","",Staff!$AS118)</f>
        <v/>
      </c>
    </row>
    <row r="119" customFormat="false" ht="15" hidden="false" customHeight="false" outlineLevel="0" collapsed="false">
      <c r="A119" s="19" t="str">
        <f aca="false">IF(Staff!$A119="","",Staff!$A119)</f>
        <v/>
      </c>
      <c r="B119" s="19" t="str">
        <f aca="false">IF(Staff!$A119="","",Staff!$B119)</f>
        <v/>
      </c>
      <c r="C119" s="19" t="str">
        <f aca="false">IF(Staff!$A119="","",Staff!$C119)</f>
        <v/>
      </c>
      <c r="D119" s="17" t="str">
        <f aca="false">IF(Staff!$A119="","",Staff!$AH119)</f>
        <v/>
      </c>
      <c r="E119" s="19" t="str">
        <f aca="false">IF(Staff!$A119="","",Staff!$O119)</f>
        <v/>
      </c>
      <c r="F119" s="19" t="str">
        <f aca="false">IF(E119="","",E119*HoursPerDay)</f>
        <v/>
      </c>
      <c r="G119" s="19" t="str">
        <f aca="false">IF(Staff!$A119="","",Staff!$AE119)</f>
        <v/>
      </c>
      <c r="H119" s="32" t="str">
        <f aca="false">IF($A119="","",I119&amp;J119&amp;K119&amp;L119&amp;M119&amp;N119&amp;O119&amp;P119&amp;Q119)</f>
        <v/>
      </c>
      <c r="I119" s="0" t="str">
        <f aca="false">IF(OR($A119="",$D119=""),"",IF(AND(EDATE($D119,Milestones!$AA$20)&lt;=AsOfDate,IF($R119=0,$X119,IF(AND($T119&lt;&gt;"",EDATE($D119,Milestones!$AA$20)&gt;=$T119),$W119,IF(AND($S119&lt;&gt;"",EDATE($D119,Milestones!$AA$20)&gt;=$S119),$V119,$U119)))=Milestones!$AB$20),UPPER(TEXT(EDATE($D119,Milestones!$AA$20),"dd mmm yy"))&amp;" "&amp;Milestones!$AB$20&amp;" "&amp;Milestones!$AC$20&amp;";  ","")&amp;IF(AND(EDATE($D119,Milestones!$AA$21)&lt;=AsOfDate,IF($R119=0,$X119,IF(AND($T119&lt;&gt;"",EDATE($D119,Milestones!$AA$21)&gt;=$T119),$W119,IF(AND($S119&lt;&gt;"",EDATE($D119,Milestones!$AA$21)&gt;=$S119),$V119,$U119)))=Milestones!$AB$21),UPPER(TEXT(EDATE($D119,Milestones!$AA$21),"dd mmm yy"))&amp;" "&amp;Milestones!$AB$21&amp;" "&amp;Milestones!$AC$21&amp;";  ","")&amp;IF(AND(EDATE($D119,Milestones!$AA$22)&lt;=AsOfDate,IF($R119=0,$X119,IF(AND($T119&lt;&gt;"",EDATE($D119,Milestones!$AA$22)&gt;=$T119),$W119,IF(AND($S119&lt;&gt;"",EDATE($D119,Milestones!$AA$22)&gt;=$S119),$V119,$U119)))=Milestones!$AB$22),UPPER(TEXT(EDATE($D119,Milestones!$AA$22),"dd mmm yy"))&amp;" "&amp;Milestones!$AB$22&amp;" "&amp;Milestones!$AC$22&amp;";  ","")&amp;IF(AND(EDATE($D119,Milestones!$AA$23)&lt;=AsOfDate,IF($R119=0,$X119,IF(AND($T119&lt;&gt;"",EDATE($D119,Milestones!$AA$23)&gt;=$T119),$W119,IF(AND($S119&lt;&gt;"",EDATE($D119,Milestones!$AA$23)&gt;=$S119),$V119,$U119)))=Milestones!$AB$23),UPPER(TEXT(EDATE($D119,Milestones!$AA$23),"dd mmm yy"))&amp;" "&amp;Milestones!$AB$23&amp;" "&amp;Milestones!$AC$23&amp;";  ","")&amp;IF(AND(EDATE($D119,Milestones!$AA$24)&lt;=AsOfDate,IF($R119=0,$X119,IF(AND($T119&lt;&gt;"",EDATE($D119,Milestones!$AA$24)&gt;=$T119),$W119,IF(AND($S119&lt;&gt;"",EDATE($D119,Milestones!$AA$24)&gt;=$S119),$V119,$U119)))=Milestones!$AB$24),UPPER(TEXT(EDATE($D119,Milestones!$AA$24),"dd mmm yy"))&amp;" "&amp;Milestones!$AB$24&amp;" "&amp;Milestones!$AC$24&amp;";  ","")&amp;IF(AND(EDATE($D119,Milestones!$AA$25)&lt;=AsOfDate,IF($R119=0,$X119,IF(AND($T119&lt;&gt;"",EDATE($D119,Milestones!$AA$25)&gt;=$T119),$W119,IF(AND($S119&lt;&gt;"",EDATE($D119,Milestones!$AA$25)&gt;=$S119),$V119,$U119)))=Milestones!$AB$25),UPPER(TEXT(EDATE($D119,Milestones!$AA$25),"dd mmm yy"))&amp;" "&amp;Milestones!$AB$25&amp;" "&amp;Milestones!$AC$25&amp;";  ","")&amp;IF(AND(EDATE($D119,Milestones!$AA$26)&lt;=AsOfDate,IF($R119=0,$X119,IF(AND($T119&lt;&gt;"",EDATE($D119,Milestones!$AA$26)&gt;=$T119),$W119,IF(AND($S119&lt;&gt;"",EDATE($D119,Milestones!$AA$26)&gt;=$S119),$V119,$U119)))=Milestones!$AB$26),UPPER(TEXT(EDATE($D119,Milestones!$AA$26),"dd mmm yy"))&amp;" "&amp;Milestones!$AB$26&amp;" "&amp;Milestones!$AC$26&amp;";  ","")&amp;IF(AND(EDATE($D119,Milestones!$AA$27)&lt;=AsOfDate,IF($R119=0,$X119,IF(AND($T119&lt;&gt;"",EDATE($D119,Milestones!$AA$27)&gt;=$T119),$W119,IF(AND($S119&lt;&gt;"",EDATE($D119,Milestones!$AA$27)&gt;=$S119),$V119,$U119)))=Milestones!$AB$27),UPPER(TEXT(EDATE($D119,Milestones!$AA$27),"dd mmm yy"))&amp;" "&amp;Milestones!$AB$27&amp;" "&amp;Milestones!$AC$27&amp;";  ","")&amp;IF(AND(EDATE($D119,Milestones!$AA$28)&lt;=AsOfDate,IF($R119=0,$X119,IF(AND($T119&lt;&gt;"",EDATE($D119,Milestones!$AA$28)&gt;=$T119),$W119,IF(AND($S119&lt;&gt;"",EDATE($D119,Milestones!$AA$28)&gt;=$S119),$V119,$U119)))=Milestones!$AB$28),UPPER(TEXT(EDATE($D119,Milestones!$AA$28),"dd mmm yy"))&amp;" "&amp;Milestones!$AB$28&amp;" "&amp;Milestones!$AC$28&amp;";  ","")&amp;IF(AND(EDATE($D119,Milestones!$AA$29)&lt;=AsOfDate,IF($R119=0,$X119,IF(AND($T119&lt;&gt;"",EDATE($D119,Milestones!$AA$29)&gt;=$T119),$W119,IF(AND($S119&lt;&gt;"",EDATE($D119,Milestones!$AA$29)&gt;=$S119),$V119,$U119)))=Milestones!$AB$29),UPPER(TEXT(EDATE($D119,Milestones!$AA$29),"dd mmm yy"))&amp;" "&amp;Milestones!$AB$29&amp;" "&amp;Milestones!$AC$29&amp;";  ","")&amp;IF(AND(EDATE($D119,Milestones!$AA$30)&lt;=AsOfDate,IF($R119=0,$X119,IF(AND($T119&lt;&gt;"",EDATE($D119,Milestones!$AA$30)&gt;=$T119),$W119,IF(AND($S119&lt;&gt;"",EDATE($D119,Milestones!$AA$30)&gt;=$S119),$V119,$U119)))=Milestones!$AB$30),UPPER(TEXT(EDATE($D119,Milestones!$AA$30),"dd mmm yy"))&amp;" "&amp;Milestones!$AB$30&amp;" "&amp;Milestones!$AC$30&amp;";  ","")&amp;IF(AND(EDATE($D119,Milestones!$AA$31)&lt;=AsOfDate,IF($R119=0,$X119,IF(AND($T119&lt;&gt;"",EDATE($D119,Milestones!$AA$31)&gt;=$T119),$W119,IF(AND($S119&lt;&gt;"",EDATE($D119,Milestones!$AA$31)&gt;=$S119),$V119,$U119)))=Milestones!$AB$31),UPPER(TEXT(EDATE($D119,Milestones!$AA$31),"dd mmm yy"))&amp;" "&amp;Milestones!$AB$31&amp;" "&amp;Milestones!$AC$31&amp;";  ","")&amp;IF(AND(EDATE($D119,Milestones!$AA$32)&lt;=AsOfDate,IF($R119=0,$X119,IF(AND($T119&lt;&gt;"",EDATE($D119,Milestones!$AA$32)&gt;=$T119),$W119,IF(AND($S119&lt;&gt;"",EDATE($D119,Milestones!$AA$32)&gt;=$S119),$V119,$U119)))=Milestones!$AB$32),UPPER(TEXT(EDATE($D119,Milestones!$AA$32),"dd mmm yy"))&amp;" "&amp;Milestones!$AB$32&amp;" "&amp;Milestones!$AC$32&amp;";  ","")&amp;IF(AND(EDATE($D119,Milestones!$AA$33)&lt;=AsOfDate,IF($R119=0,$X119,IF(AND($T119&lt;&gt;"",EDATE($D119,Milestones!$AA$33)&gt;=$T119),$W119,IF(AND($S119&lt;&gt;"",EDATE($D119,Milestones!$AA$33)&gt;=$S119),$V119,$U119)))=Milestones!$AB$33),UPPER(TEXT(EDATE($D119,Milestones!$AA$33),"dd mmm yy"))&amp;" "&amp;Milestones!$AB$33&amp;" "&amp;Milestones!$AC$33&amp;";  ","")&amp;IF(AND(EDATE($D119,Milestones!$AA$34)&lt;=AsOfDate,IF($R119=0,$X119,IF(AND($T119&lt;&gt;"",EDATE($D119,Milestones!$AA$34)&gt;=$T119),$W119,IF(AND($S119&lt;&gt;"",EDATE($D119,Milestones!$AA$34)&gt;=$S119),$V119,$U119)))=Milestones!$AB$34),UPPER(TEXT(EDATE($D119,Milestones!$AA$34),"dd mmm yy"))&amp;" "&amp;Milestones!$AB$34&amp;" "&amp;Milestones!$AC$34&amp;";  ","")&amp;IF(AND(EDATE($D119,Milestones!$AA$35)&lt;=AsOfDate,IF($R119=0,$X119,IF(AND($T119&lt;&gt;"",EDATE($D119,Milestones!$AA$35)&gt;=$T119),$W119,IF(AND($S119&lt;&gt;"",EDATE($D119,Milestones!$AA$35)&gt;=$S119),$V119,$U119)))=Milestones!$AB$35),UPPER(TEXT(EDATE($D119,Milestones!$AA$35),"dd mmm yy"))&amp;" "&amp;Milestones!$AB$35&amp;" "&amp;Milestones!$AC$35&amp;";  ","")&amp;IF(AND(EDATE($D119,Milestones!$AA$36)&lt;=AsOfDate,IF($R119=0,$X119,IF(AND($T119&lt;&gt;"",EDATE($D119,Milestones!$AA$36)&gt;=$T119),$W119,IF(AND($S119&lt;&gt;"",EDATE($D119,Milestones!$AA$36)&gt;=$S119),$V119,$U119)))=Milestones!$AB$36),UPPER(TEXT(EDATE($D119,Milestones!$AA$36),"dd mmm yy"))&amp;" "&amp;Milestones!$AB$36&amp;" "&amp;Milestones!$AC$36&amp;";  ","")&amp;IF(AND(EDATE($D119,Milestones!$AA$37)&lt;=AsOfDate,IF($R119=0,$X119,IF(AND($T119&lt;&gt;"",EDATE($D119,Milestones!$AA$37)&gt;=$T119),$W119,IF(AND($S119&lt;&gt;"",EDATE($D119,Milestones!$AA$37)&gt;=$S119),$V119,$U119)))=Milestones!$AB$37),UPPER(TEXT(EDATE($D119,Milestones!$AA$37),"dd mmm yy"))&amp;" "&amp;Milestones!$AB$37&amp;" "&amp;Milestones!$AC$37&amp;";  ","")&amp;IF(AND(EDATE($D119,Milestones!$AA$38)&lt;=AsOfDate,IF($R119=0,$X119,IF(AND($T119&lt;&gt;"",EDATE($D119,Milestones!$AA$38)&gt;=$T119),$W119,IF(AND($S119&lt;&gt;"",EDATE($D119,Milestones!$AA$38)&gt;=$S119),$V119,$U119)))=Milestones!$AB$38),UPPER(TEXT(EDATE($D119,Milestones!$AA$38),"dd mmm yy"))&amp;" "&amp;Milestones!$AB$38&amp;" "&amp;Milestones!$AC$38&amp;";  ","")&amp;IF(AND(EDATE($D119,Milestones!$AA$39)&lt;=AsOfDate,IF($R119=0,$X119,IF(AND($T119&lt;&gt;"",EDATE($D119,Milestones!$AA$39)&gt;=$T119),$W119,IF(AND($S119&lt;&gt;"",EDATE($D119,Milestones!$AA$39)&gt;=$S119),$V119,$U119)))=Milestones!$AB$39),UPPER(TEXT(EDATE($D119,Milestones!$AA$39),"dd mmm yy"))&amp;" "&amp;Milestones!$AB$39&amp;" "&amp;Milestones!$AC$39&amp;";  ",""))</f>
        <v/>
      </c>
      <c r="J119" s="0" t="str">
        <f aca="false">IF(OR($A119="",$D119=""),"",IF(AND(EDATE($D119,Milestones!$AA$40)&lt;=AsOfDate,IF($R119=0,$X119,IF(AND($T119&lt;&gt;"",EDATE($D119,Milestones!$AA$40)&gt;=$T119),$W119,IF(AND($S119&lt;&gt;"",EDATE($D119,Milestones!$AA$40)&gt;=$S119),$V119,$U119)))=Milestones!$AB$40),UPPER(TEXT(EDATE($D119,Milestones!$AA$40),"dd mmm yy"))&amp;" "&amp;Milestones!$AB$40&amp;" "&amp;Milestones!$AC$40&amp;";  ","")&amp;IF(AND(EDATE($D119,Milestones!$AA$41)&lt;=AsOfDate,IF($R119=0,$X119,IF(AND($T119&lt;&gt;"",EDATE($D119,Milestones!$AA$41)&gt;=$T119),$W119,IF(AND($S119&lt;&gt;"",EDATE($D119,Milestones!$AA$41)&gt;=$S119),$V119,$U119)))=Milestones!$AB$41),UPPER(TEXT(EDATE($D119,Milestones!$AA$41),"dd mmm yy"))&amp;" "&amp;Milestones!$AB$41&amp;" "&amp;Milestones!$AC$41&amp;";  ","")&amp;IF(AND(EDATE($D119,Milestones!$AA$42)&lt;=AsOfDate,IF($R119=0,$X119,IF(AND($T119&lt;&gt;"",EDATE($D119,Milestones!$AA$42)&gt;=$T119),$W119,IF(AND($S119&lt;&gt;"",EDATE($D119,Milestones!$AA$42)&gt;=$S119),$V119,$U119)))=Milestones!$AB$42),UPPER(TEXT(EDATE($D119,Milestones!$AA$42),"dd mmm yy"))&amp;" "&amp;Milestones!$AB$42&amp;" "&amp;Milestones!$AC$42&amp;";  ","")&amp;IF(AND(EDATE($D119,Milestones!$AA$43)&lt;=AsOfDate,IF($R119=0,$X119,IF(AND($T119&lt;&gt;"",EDATE($D119,Milestones!$AA$43)&gt;=$T119),$W119,IF(AND($S119&lt;&gt;"",EDATE($D119,Milestones!$AA$43)&gt;=$S119),$V119,$U119)))=Milestones!$AB$43),UPPER(TEXT(EDATE($D119,Milestones!$AA$43),"dd mmm yy"))&amp;" "&amp;Milestones!$AB$43&amp;" "&amp;Milestones!$AC$43&amp;";  ","")&amp;IF(AND(EDATE($D119,Milestones!$AA$44)&lt;=AsOfDate,IF($R119=0,$X119,IF(AND($T119&lt;&gt;"",EDATE($D119,Milestones!$AA$44)&gt;=$T119),$W119,IF(AND($S119&lt;&gt;"",EDATE($D119,Milestones!$AA$44)&gt;=$S119),$V119,$U119)))=Milestones!$AB$44),UPPER(TEXT(EDATE($D119,Milestones!$AA$44),"dd mmm yy"))&amp;" "&amp;Milestones!$AB$44&amp;" "&amp;Milestones!$AC$44&amp;";  ","")&amp;IF(AND(EDATE($D119,Milestones!$AA$45)&lt;=AsOfDate,IF($R119=0,$X119,IF(AND($T119&lt;&gt;"",EDATE($D119,Milestones!$AA$45)&gt;=$T119),$W119,IF(AND($S119&lt;&gt;"",EDATE($D119,Milestones!$AA$45)&gt;=$S119),$V119,$U119)))=Milestones!$AB$45),UPPER(TEXT(EDATE($D119,Milestones!$AA$45),"dd mmm yy"))&amp;" "&amp;Milestones!$AB$45&amp;" "&amp;Milestones!$AC$45&amp;";  ","")&amp;IF(AND(EDATE($D119,Milestones!$AA$46)&lt;=AsOfDate,IF($R119=0,$X119,IF(AND($T119&lt;&gt;"",EDATE($D119,Milestones!$AA$46)&gt;=$T119),$W119,IF(AND($S119&lt;&gt;"",EDATE($D119,Milestones!$AA$46)&gt;=$S119),$V119,$U119)))=Milestones!$AB$46),UPPER(TEXT(EDATE($D119,Milestones!$AA$46),"dd mmm yy"))&amp;" "&amp;Milestones!$AB$46&amp;" "&amp;Milestones!$AC$46&amp;";  ","")&amp;IF(AND(EDATE($D119,Milestones!$AA$47)&lt;=AsOfDate,IF($R119=0,$X119,IF(AND($T119&lt;&gt;"",EDATE($D119,Milestones!$AA$47)&gt;=$T119),$W119,IF(AND($S119&lt;&gt;"",EDATE($D119,Milestones!$AA$47)&gt;=$S119),$V119,$U119)))=Milestones!$AB$47),UPPER(TEXT(EDATE($D119,Milestones!$AA$47),"dd mmm yy"))&amp;" "&amp;Milestones!$AB$47&amp;" "&amp;Milestones!$AC$47&amp;";  ","")&amp;IF(AND(EDATE($D119,Milestones!$AA$48)&lt;=AsOfDate,IF($R119=0,$X119,IF(AND($T119&lt;&gt;"",EDATE($D119,Milestones!$AA$48)&gt;=$T119),$W119,IF(AND($S119&lt;&gt;"",EDATE($D119,Milestones!$AA$48)&gt;=$S119),$V119,$U119)))=Milestones!$AB$48),UPPER(TEXT(EDATE($D119,Milestones!$AA$48),"dd mmm yy"))&amp;" "&amp;Milestones!$AB$48&amp;" "&amp;Milestones!$AC$48&amp;";  ","")&amp;IF(AND(EDATE($D119,Milestones!$AA$49)&lt;=AsOfDate,IF($R119=0,$X119,IF(AND($T119&lt;&gt;"",EDATE($D119,Milestones!$AA$49)&gt;=$T119),$W119,IF(AND($S119&lt;&gt;"",EDATE($D119,Milestones!$AA$49)&gt;=$S119),$V119,$U119)))=Milestones!$AB$49),UPPER(TEXT(EDATE($D119,Milestones!$AA$49),"dd mmm yy"))&amp;" "&amp;Milestones!$AB$49&amp;" "&amp;Milestones!$AC$49&amp;";  ","")&amp;IF(AND(EDATE($D119,Milestones!$AA$50)&lt;=AsOfDate,IF($R119=0,$X119,IF(AND($T119&lt;&gt;"",EDATE($D119,Milestones!$AA$50)&gt;=$T119),$W119,IF(AND($S119&lt;&gt;"",EDATE($D119,Milestones!$AA$50)&gt;=$S119),$V119,$U119)))=Milestones!$AB$50),UPPER(TEXT(EDATE($D119,Milestones!$AA$50),"dd mmm yy"))&amp;" "&amp;Milestones!$AB$50&amp;" "&amp;Milestones!$AC$50&amp;";  ","")&amp;IF(AND(EDATE($D119,Milestones!$AA$51)&lt;=AsOfDate,IF($R119=0,$X119,IF(AND($T119&lt;&gt;"",EDATE($D119,Milestones!$AA$51)&gt;=$T119),$W119,IF(AND($S119&lt;&gt;"",EDATE($D119,Milestones!$AA$51)&gt;=$S119),$V119,$U119)))=Milestones!$AB$51),UPPER(TEXT(EDATE($D119,Milestones!$AA$51),"dd mmm yy"))&amp;" "&amp;Milestones!$AB$51&amp;" "&amp;Milestones!$AC$51&amp;";  ","")&amp;IF(AND(EDATE($D119,Milestones!$AA$52)&lt;=AsOfDate,IF($R119=0,$X119,IF(AND($T119&lt;&gt;"",EDATE($D119,Milestones!$AA$52)&gt;=$T119),$W119,IF(AND($S119&lt;&gt;"",EDATE($D119,Milestones!$AA$52)&gt;=$S119),$V119,$U119)))=Milestones!$AB$52),UPPER(TEXT(EDATE($D119,Milestones!$AA$52),"dd mmm yy"))&amp;" "&amp;Milestones!$AB$52&amp;" "&amp;Milestones!$AC$52&amp;";  ","")&amp;IF(AND(EDATE($D119,Milestones!$AA$53)&lt;=AsOfDate,IF($R119=0,$X119,IF(AND($T119&lt;&gt;"",EDATE($D119,Milestones!$AA$53)&gt;=$T119),$W119,IF(AND($S119&lt;&gt;"",EDATE($D119,Milestones!$AA$53)&gt;=$S119),$V119,$U119)))=Milestones!$AB$53),UPPER(TEXT(EDATE($D119,Milestones!$AA$53),"dd mmm yy"))&amp;" "&amp;Milestones!$AB$53&amp;" "&amp;Milestones!$AC$53&amp;";  ","")&amp;IF(AND(EDATE($D119,Milestones!$AA$54)&lt;=AsOfDate,IF($R119=0,$X119,IF(AND($T119&lt;&gt;"",EDATE($D119,Milestones!$AA$54)&gt;=$T119),$W119,IF(AND($S119&lt;&gt;"",EDATE($D119,Milestones!$AA$54)&gt;=$S119),$V119,$U119)))=Milestones!$AB$54),UPPER(TEXT(EDATE($D119,Milestones!$AA$54),"dd mmm yy"))&amp;" "&amp;Milestones!$AB$54&amp;" "&amp;Milestones!$AC$54&amp;";  ","")&amp;IF(AND(EDATE($D119,Milestones!$AA$55)&lt;=AsOfDate,IF($R119=0,$X119,IF(AND($T119&lt;&gt;"",EDATE($D119,Milestones!$AA$55)&gt;=$T119),$W119,IF(AND($S119&lt;&gt;"",EDATE($D119,Milestones!$AA$55)&gt;=$S119),$V119,$U119)))=Milestones!$AB$55),UPPER(TEXT(EDATE($D119,Milestones!$AA$55),"dd mmm yy"))&amp;" "&amp;Milestones!$AB$55&amp;" "&amp;Milestones!$AC$55&amp;";  ","")&amp;IF(AND(EDATE($D119,Milestones!$AA$56)&lt;=AsOfDate,IF($R119=0,$X119,IF(AND($T119&lt;&gt;"",EDATE($D119,Milestones!$AA$56)&gt;=$T119),$W119,IF(AND($S119&lt;&gt;"",EDATE($D119,Milestones!$AA$56)&gt;=$S119),$V119,$U119)))=Milestones!$AB$56),UPPER(TEXT(EDATE($D119,Milestones!$AA$56),"dd mmm yy"))&amp;" "&amp;Milestones!$AB$56&amp;" "&amp;Milestones!$AC$56&amp;";  ","")&amp;IF(AND(EDATE($D119,Milestones!$AA$57)&lt;=AsOfDate,IF($R119=0,$X119,IF(AND($T119&lt;&gt;"",EDATE($D119,Milestones!$AA$57)&gt;=$T119),$W119,IF(AND($S119&lt;&gt;"",EDATE($D119,Milestones!$AA$57)&gt;=$S119),$V119,$U119)))=Milestones!$AB$57),UPPER(TEXT(EDATE($D119,Milestones!$AA$57),"dd mmm yy"))&amp;" "&amp;Milestones!$AB$57&amp;" "&amp;Milestones!$AC$57&amp;";  ","")&amp;IF(AND(EDATE($D119,Milestones!$AA$58)&lt;=AsOfDate,IF($R119=0,$X119,IF(AND($T119&lt;&gt;"",EDATE($D119,Milestones!$AA$58)&gt;=$T119),$W119,IF(AND($S119&lt;&gt;"",EDATE($D119,Milestones!$AA$58)&gt;=$S119),$V119,$U119)))=Milestones!$AB$58),UPPER(TEXT(EDATE($D119,Milestones!$AA$58),"dd mmm yy"))&amp;" "&amp;Milestones!$AB$58&amp;" "&amp;Milestones!$AC$58&amp;";  ","")&amp;IF(AND(EDATE($D119,Milestones!$AA$59)&lt;=AsOfDate,IF($R119=0,$X119,IF(AND($T119&lt;&gt;"",EDATE($D119,Milestones!$AA$59)&gt;=$T119),$W119,IF(AND($S119&lt;&gt;"",EDATE($D119,Milestones!$AA$59)&gt;=$S119),$V119,$U119)))=Milestones!$AB$59),UPPER(TEXT(EDATE($D119,Milestones!$AA$59),"dd mmm yy"))&amp;" "&amp;Milestones!$AB$59&amp;" "&amp;Milestones!$AC$59&amp;";  ",""))</f>
        <v/>
      </c>
      <c r="K119" s="0" t="str">
        <f aca="false">IF(OR($A119="",$D119=""),"",IF(AND(EDATE($D119,Milestones!$AA$60)&lt;=AsOfDate,IF($R119=0,$X119,IF(AND($T119&lt;&gt;"",EDATE($D119,Milestones!$AA$60)&gt;=$T119),$W119,IF(AND($S119&lt;&gt;"",EDATE($D119,Milestones!$AA$60)&gt;=$S119),$V119,$U119)))=Milestones!$AB$60),UPPER(TEXT(EDATE($D119,Milestones!$AA$60),"dd mmm yy"))&amp;" "&amp;Milestones!$AB$60&amp;" "&amp;Milestones!$AC$60&amp;";  ","")&amp;IF(AND(EDATE($D119,Milestones!$AA$61)&lt;=AsOfDate,IF($R119=0,$X119,IF(AND($T119&lt;&gt;"",EDATE($D119,Milestones!$AA$61)&gt;=$T119),$W119,IF(AND($S119&lt;&gt;"",EDATE($D119,Milestones!$AA$61)&gt;=$S119),$V119,$U119)))=Milestones!$AB$61),UPPER(TEXT(EDATE($D119,Milestones!$AA$61),"dd mmm yy"))&amp;" "&amp;Milestones!$AB$61&amp;" "&amp;Milestones!$AC$61&amp;";  ","")&amp;IF(AND(EDATE($D119,Milestones!$AA$62)&lt;=AsOfDate,IF($R119=0,$X119,IF(AND($T119&lt;&gt;"",EDATE($D119,Milestones!$AA$62)&gt;=$T119),$W119,IF(AND($S119&lt;&gt;"",EDATE($D119,Milestones!$AA$62)&gt;=$S119),$V119,$U119)))=Milestones!$AB$62),UPPER(TEXT(EDATE($D119,Milestones!$AA$62),"dd mmm yy"))&amp;" "&amp;Milestones!$AB$62&amp;" "&amp;Milestones!$AC$62&amp;";  ","")&amp;IF(AND(EDATE($D119,Milestones!$AA$63)&lt;=AsOfDate,IF($R119=0,$X119,IF(AND($T119&lt;&gt;"",EDATE($D119,Milestones!$AA$63)&gt;=$T119),$W119,IF(AND($S119&lt;&gt;"",EDATE($D119,Milestones!$AA$63)&gt;=$S119),$V119,$U119)))=Milestones!$AB$63),UPPER(TEXT(EDATE($D119,Milestones!$AA$63),"dd mmm yy"))&amp;" "&amp;Milestones!$AB$63&amp;" "&amp;Milestones!$AC$63&amp;";  ","")&amp;IF(AND(EDATE($D119,Milestones!$AA$64)&lt;=AsOfDate,IF($R119=0,$X119,IF(AND($T119&lt;&gt;"",EDATE($D119,Milestones!$AA$64)&gt;=$T119),$W119,IF(AND($S119&lt;&gt;"",EDATE($D119,Milestones!$AA$64)&gt;=$S119),$V119,$U119)))=Milestones!$AB$64),UPPER(TEXT(EDATE($D119,Milestones!$AA$64),"dd mmm yy"))&amp;" "&amp;Milestones!$AB$64&amp;" "&amp;Milestones!$AC$64&amp;";  ","")&amp;IF(AND(EDATE($D119,Milestones!$AA$65)&lt;=AsOfDate,IF($R119=0,$X119,IF(AND($T119&lt;&gt;"",EDATE($D119,Milestones!$AA$65)&gt;=$T119),$W119,IF(AND($S119&lt;&gt;"",EDATE($D119,Milestones!$AA$65)&gt;=$S119),$V119,$U119)))=Milestones!$AB$65),UPPER(TEXT(EDATE($D119,Milestones!$AA$65),"dd mmm yy"))&amp;" "&amp;Milestones!$AB$65&amp;" "&amp;Milestones!$AC$65&amp;";  ","")&amp;IF(AND(EDATE($D119,Milestones!$AA$66)&lt;=AsOfDate,IF($R119=0,$X119,IF(AND($T119&lt;&gt;"",EDATE($D119,Milestones!$AA$66)&gt;=$T119),$W119,IF(AND($S119&lt;&gt;"",EDATE($D119,Milestones!$AA$66)&gt;=$S119),$V119,$U119)))=Milestones!$AB$66),UPPER(TEXT(EDATE($D119,Milestones!$AA$66),"dd mmm yy"))&amp;" "&amp;Milestones!$AB$66&amp;" "&amp;Milestones!$AC$66&amp;";  ","")&amp;IF(AND(EDATE($D119,Milestones!$AA$67)&lt;=AsOfDate,IF($R119=0,$X119,IF(AND($T119&lt;&gt;"",EDATE($D119,Milestones!$AA$67)&gt;=$T119),$W119,IF(AND($S119&lt;&gt;"",EDATE($D119,Milestones!$AA$67)&gt;=$S119),$V119,$U119)))=Milestones!$AB$67),UPPER(TEXT(EDATE($D119,Milestones!$AA$67),"dd mmm yy"))&amp;" "&amp;Milestones!$AB$67&amp;" "&amp;Milestones!$AC$67&amp;";  ","")&amp;IF(AND(EDATE($D119,Milestones!$AA$68)&lt;=AsOfDate,IF($R119=0,$X119,IF(AND($T119&lt;&gt;"",EDATE($D119,Milestones!$AA$68)&gt;=$T119),$W119,IF(AND($S119&lt;&gt;"",EDATE($D119,Milestones!$AA$68)&gt;=$S119),$V119,$U119)))=Milestones!$AB$68),UPPER(TEXT(EDATE($D119,Milestones!$AA$68),"dd mmm yy"))&amp;" "&amp;Milestones!$AB$68&amp;" "&amp;Milestones!$AC$68&amp;";  ","")&amp;IF(AND(EDATE($D119,Milestones!$AA$69)&lt;=AsOfDate,IF($R119=0,$X119,IF(AND($T119&lt;&gt;"",EDATE($D119,Milestones!$AA$69)&gt;=$T119),$W119,IF(AND($S119&lt;&gt;"",EDATE($D119,Milestones!$AA$69)&gt;=$S119),$V119,$U119)))=Milestones!$AB$69),UPPER(TEXT(EDATE($D119,Milestones!$AA$69),"dd mmm yy"))&amp;" "&amp;Milestones!$AB$69&amp;" "&amp;Milestones!$AC$69&amp;";  ","")&amp;IF(AND(EDATE($D119,Milestones!$AA$70)&lt;=AsOfDate,IF($R119=0,$X119,IF(AND($T119&lt;&gt;"",EDATE($D119,Milestones!$AA$70)&gt;=$T119),$W119,IF(AND($S119&lt;&gt;"",EDATE($D119,Milestones!$AA$70)&gt;=$S119),$V119,$U119)))=Milestones!$AB$70),UPPER(TEXT(EDATE($D119,Milestones!$AA$70),"dd mmm yy"))&amp;" "&amp;Milestones!$AB$70&amp;" "&amp;Milestones!$AC$70&amp;";  ","")&amp;IF(AND(EDATE($D119,Milestones!$AA$71)&lt;=AsOfDate,IF($R119=0,$X119,IF(AND($T119&lt;&gt;"",EDATE($D119,Milestones!$AA$71)&gt;=$T119),$W119,IF(AND($S119&lt;&gt;"",EDATE($D119,Milestones!$AA$71)&gt;=$S119),$V119,$U119)))=Milestones!$AB$71),UPPER(TEXT(EDATE($D119,Milestones!$AA$71),"dd mmm yy"))&amp;" "&amp;Milestones!$AB$71&amp;" "&amp;Milestones!$AC$71&amp;";  ","")&amp;IF(AND(EDATE($D119,Milestones!$AA$72)&lt;=AsOfDate,IF($R119=0,$X119,IF(AND($T119&lt;&gt;"",EDATE($D119,Milestones!$AA$72)&gt;=$T119),$W119,IF(AND($S119&lt;&gt;"",EDATE($D119,Milestones!$AA$72)&gt;=$S119),$V119,$U119)))=Milestones!$AB$72),UPPER(TEXT(EDATE($D119,Milestones!$AA$72),"dd mmm yy"))&amp;" "&amp;Milestones!$AB$72&amp;" "&amp;Milestones!$AC$72&amp;";  ","")&amp;IF(AND(EDATE($D119,Milestones!$AA$73)&lt;=AsOfDate,IF($R119=0,$X119,IF(AND($T119&lt;&gt;"",EDATE($D119,Milestones!$AA$73)&gt;=$T119),$W119,IF(AND($S119&lt;&gt;"",EDATE($D119,Milestones!$AA$73)&gt;=$S119),$V119,$U119)))=Milestones!$AB$73),UPPER(TEXT(EDATE($D119,Milestones!$AA$73),"dd mmm yy"))&amp;" "&amp;Milestones!$AB$73&amp;" "&amp;Milestones!$AC$73&amp;";  ","")&amp;IF(AND(EDATE($D119,Milestones!$AA$74)&lt;=AsOfDate,IF($R119=0,$X119,IF(AND($T119&lt;&gt;"",EDATE($D119,Milestones!$AA$74)&gt;=$T119),$W119,IF(AND($S119&lt;&gt;"",EDATE($D119,Milestones!$AA$74)&gt;=$S119),$V119,$U119)))=Milestones!$AB$74),UPPER(TEXT(EDATE($D119,Milestones!$AA$74),"dd mmm yy"))&amp;" "&amp;Milestones!$AB$74&amp;" "&amp;Milestones!$AC$74&amp;";  ","")&amp;IF(AND(EDATE($D119,Milestones!$AA$75)&lt;=AsOfDate,IF($R119=0,$X119,IF(AND($T119&lt;&gt;"",EDATE($D119,Milestones!$AA$75)&gt;=$T119),$W119,IF(AND($S119&lt;&gt;"",EDATE($D119,Milestones!$AA$75)&gt;=$S119),$V119,$U119)))=Milestones!$AB$75),UPPER(TEXT(EDATE($D119,Milestones!$AA$75),"dd mmm yy"))&amp;" "&amp;Milestones!$AB$75&amp;" "&amp;Milestones!$AC$75&amp;";  ","")&amp;IF(AND(EDATE($D119,Milestones!$AA$76)&lt;=AsOfDate,IF($R119=0,$X119,IF(AND($T119&lt;&gt;"",EDATE($D119,Milestones!$AA$76)&gt;=$T119),$W119,IF(AND($S119&lt;&gt;"",EDATE($D119,Milestones!$AA$76)&gt;=$S119),$V119,$U119)))=Milestones!$AB$76),UPPER(TEXT(EDATE($D119,Milestones!$AA$76),"dd mmm yy"))&amp;" "&amp;Milestones!$AB$76&amp;" "&amp;Milestones!$AC$76&amp;";  ","")&amp;IF(AND(EDATE($D119,Milestones!$AA$77)&lt;=AsOfDate,IF($R119=0,$X119,IF(AND($T119&lt;&gt;"",EDATE($D119,Milestones!$AA$77)&gt;=$T119),$W119,IF(AND($S119&lt;&gt;"",EDATE($D119,Milestones!$AA$77)&gt;=$S119),$V119,$U119)))=Milestones!$AB$77),UPPER(TEXT(EDATE($D119,Milestones!$AA$77),"dd mmm yy"))&amp;" "&amp;Milestones!$AB$77&amp;" "&amp;Milestones!$AC$77&amp;";  ","")&amp;IF(AND(EDATE($D119,Milestones!$AA$78)&lt;=AsOfDate,IF($R119=0,$X119,IF(AND($T119&lt;&gt;"",EDATE($D119,Milestones!$AA$78)&gt;=$T119),$W119,IF(AND($S119&lt;&gt;"",EDATE($D119,Milestones!$AA$78)&gt;=$S119),$V119,$U119)))=Milestones!$AB$78),UPPER(TEXT(EDATE($D119,Milestones!$AA$78),"dd mmm yy"))&amp;" "&amp;Milestones!$AB$78&amp;" "&amp;Milestones!$AC$78&amp;";  ","")&amp;IF(AND(EDATE($D119,Milestones!$AA$79)&lt;=AsOfDate,IF($R119=0,$X119,IF(AND($T119&lt;&gt;"",EDATE($D119,Milestones!$AA$79)&gt;=$T119),$W119,IF(AND($S119&lt;&gt;"",EDATE($D119,Milestones!$AA$79)&gt;=$S119),$V119,$U119)))=Milestones!$AB$79),UPPER(TEXT(EDATE($D119,Milestones!$AA$79),"dd mmm yy"))&amp;" "&amp;Milestones!$AB$79&amp;" "&amp;Milestones!$AC$79&amp;";  ",""))</f>
        <v/>
      </c>
      <c r="L119" s="0" t="str">
        <f aca="false">IF(OR($A119="",$D119=""),"",IF(AND(EDATE($D119,Milestones!$AA$80)&lt;=AsOfDate,IF($R119=0,$X119,IF(AND($T119&lt;&gt;"",EDATE($D119,Milestones!$AA$80)&gt;=$T119),$W119,IF(AND($S119&lt;&gt;"",EDATE($D119,Milestones!$AA$80)&gt;=$S119),$V119,$U119)))=Milestones!$AB$80),UPPER(TEXT(EDATE($D119,Milestones!$AA$80),"dd mmm yy"))&amp;" "&amp;Milestones!$AB$80&amp;" "&amp;Milestones!$AC$80&amp;";  ","")&amp;IF(AND(EDATE($D119,Milestones!$AA$81)&lt;=AsOfDate,IF($R119=0,$X119,IF(AND($T119&lt;&gt;"",EDATE($D119,Milestones!$AA$81)&gt;=$T119),$W119,IF(AND($S119&lt;&gt;"",EDATE($D119,Milestones!$AA$81)&gt;=$S119),$V119,$U119)))=Milestones!$AB$81),UPPER(TEXT(EDATE($D119,Milestones!$AA$81),"dd mmm yy"))&amp;" "&amp;Milestones!$AB$81&amp;" "&amp;Milestones!$AC$81&amp;";  ","")&amp;IF(AND(EDATE($D119,Milestones!$AA$82)&lt;=AsOfDate,IF($R119=0,$X119,IF(AND($T119&lt;&gt;"",EDATE($D119,Milestones!$AA$82)&gt;=$T119),$W119,IF(AND($S119&lt;&gt;"",EDATE($D119,Milestones!$AA$82)&gt;=$S119),$V119,$U119)))=Milestones!$AB$82),UPPER(TEXT(EDATE($D119,Milestones!$AA$82),"dd mmm yy"))&amp;" "&amp;Milestones!$AB$82&amp;" "&amp;Milestones!$AC$82&amp;";  ","")&amp;IF(AND(EDATE($D119,Milestones!$AA$83)&lt;=AsOfDate,IF($R119=0,$X119,IF(AND($T119&lt;&gt;"",EDATE($D119,Milestones!$AA$83)&gt;=$T119),$W119,IF(AND($S119&lt;&gt;"",EDATE($D119,Milestones!$AA$83)&gt;=$S119),$V119,$U119)))=Milestones!$AB$83),UPPER(TEXT(EDATE($D119,Milestones!$AA$83),"dd mmm yy"))&amp;" "&amp;Milestones!$AB$83&amp;" "&amp;Milestones!$AC$83&amp;";  ","")&amp;IF(AND(EDATE($D119,Milestones!$AA$84)&lt;=AsOfDate,IF($R119=0,$X119,IF(AND($T119&lt;&gt;"",EDATE($D119,Milestones!$AA$84)&gt;=$T119),$W119,IF(AND($S119&lt;&gt;"",EDATE($D119,Milestones!$AA$84)&gt;=$S119),$V119,$U119)))=Milestones!$AB$84),UPPER(TEXT(EDATE($D119,Milestones!$AA$84),"dd mmm yy"))&amp;" "&amp;Milestones!$AB$84&amp;" "&amp;Milestones!$AC$84&amp;";  ","")&amp;IF(AND(EDATE($D119,Milestones!$AA$85)&lt;=AsOfDate,IF($R119=0,$X119,IF(AND($T119&lt;&gt;"",EDATE($D119,Milestones!$AA$85)&gt;=$T119),$W119,IF(AND($S119&lt;&gt;"",EDATE($D119,Milestones!$AA$85)&gt;=$S119),$V119,$U119)))=Milestones!$AB$85),UPPER(TEXT(EDATE($D119,Milestones!$AA$85),"dd mmm yy"))&amp;" "&amp;Milestones!$AB$85&amp;" "&amp;Milestones!$AC$85&amp;";  ","")&amp;IF(AND(EDATE($D119,Milestones!$AA$86)&lt;=AsOfDate,IF($R119=0,$X119,IF(AND($T119&lt;&gt;"",EDATE($D119,Milestones!$AA$86)&gt;=$T119),$W119,IF(AND($S119&lt;&gt;"",EDATE($D119,Milestones!$AA$86)&gt;=$S119),$V119,$U119)))=Milestones!$AB$86),UPPER(TEXT(EDATE($D119,Milestones!$AA$86),"dd mmm yy"))&amp;" "&amp;Milestones!$AB$86&amp;" "&amp;Milestones!$AC$86&amp;";  ","")&amp;IF(AND(EDATE($D119,Milestones!$AA$87)&lt;=AsOfDate,IF($R119=0,$X119,IF(AND($T119&lt;&gt;"",EDATE($D119,Milestones!$AA$87)&gt;=$T119),$W119,IF(AND($S119&lt;&gt;"",EDATE($D119,Milestones!$AA$87)&gt;=$S119),$V119,$U119)))=Milestones!$AB$87),UPPER(TEXT(EDATE($D119,Milestones!$AA$87),"dd mmm yy"))&amp;" "&amp;Milestones!$AB$87&amp;" "&amp;Milestones!$AC$87&amp;";  ","")&amp;IF(AND(EDATE($D119,Milestones!$AA$88)&lt;=AsOfDate,IF($R119=0,$X119,IF(AND($T119&lt;&gt;"",EDATE($D119,Milestones!$AA$88)&gt;=$T119),$W119,IF(AND($S119&lt;&gt;"",EDATE($D119,Milestones!$AA$88)&gt;=$S119),$V119,$U119)))=Milestones!$AB$88),UPPER(TEXT(EDATE($D119,Milestones!$AA$88),"dd mmm yy"))&amp;" "&amp;Milestones!$AB$88&amp;" "&amp;Milestones!$AC$88&amp;";  ","")&amp;IF(AND(EDATE($D119,Milestones!$AA$89)&lt;=AsOfDate,IF($R119=0,$X119,IF(AND($T119&lt;&gt;"",EDATE($D119,Milestones!$AA$89)&gt;=$T119),$W119,IF(AND($S119&lt;&gt;"",EDATE($D119,Milestones!$AA$89)&gt;=$S119),$V119,$U119)))=Milestones!$AB$89),UPPER(TEXT(EDATE($D119,Milestones!$AA$89),"dd mmm yy"))&amp;" "&amp;Milestones!$AB$89&amp;" "&amp;Milestones!$AC$89&amp;";  ","")&amp;IF(AND(EDATE($D119,Milestones!$AA$90)&lt;=AsOfDate,IF($R119=0,$X119,IF(AND($T119&lt;&gt;"",EDATE($D119,Milestones!$AA$90)&gt;=$T119),$W119,IF(AND($S119&lt;&gt;"",EDATE($D119,Milestones!$AA$90)&gt;=$S119),$V119,$U119)))=Milestones!$AB$90),UPPER(TEXT(EDATE($D119,Milestones!$AA$90),"dd mmm yy"))&amp;" "&amp;Milestones!$AB$90&amp;" "&amp;Milestones!$AC$90&amp;";  ","")&amp;IF(AND(EDATE($D119,Milestones!$AA$91)&lt;=AsOfDate,IF($R119=0,$X119,IF(AND($T119&lt;&gt;"",EDATE($D119,Milestones!$AA$91)&gt;=$T119),$W119,IF(AND($S119&lt;&gt;"",EDATE($D119,Milestones!$AA$91)&gt;=$S119),$V119,$U119)))=Milestones!$AB$91),UPPER(TEXT(EDATE($D119,Milestones!$AA$91),"dd mmm yy"))&amp;" "&amp;Milestones!$AB$91&amp;" "&amp;Milestones!$AC$91&amp;";  ","")&amp;IF(AND(EDATE($D119,Milestones!$AA$92)&lt;=AsOfDate,IF($R119=0,$X119,IF(AND($T119&lt;&gt;"",EDATE($D119,Milestones!$AA$92)&gt;=$T119),$W119,IF(AND($S119&lt;&gt;"",EDATE($D119,Milestones!$AA$92)&gt;=$S119),$V119,$U119)))=Milestones!$AB$92),UPPER(TEXT(EDATE($D119,Milestones!$AA$92),"dd mmm yy"))&amp;" "&amp;Milestones!$AB$92&amp;" "&amp;Milestones!$AC$92&amp;";  ","")&amp;IF(AND(EDATE($D119,Milestones!$AA$93)&lt;=AsOfDate,IF($R119=0,$X119,IF(AND($T119&lt;&gt;"",EDATE($D119,Milestones!$AA$93)&gt;=$T119),$W119,IF(AND($S119&lt;&gt;"",EDATE($D119,Milestones!$AA$93)&gt;=$S119),$V119,$U119)))=Milestones!$AB$93),UPPER(TEXT(EDATE($D119,Milestones!$AA$93),"dd mmm yy"))&amp;" "&amp;Milestones!$AB$93&amp;" "&amp;Milestones!$AC$93&amp;";  ","")&amp;IF(AND(EDATE($D119,Milestones!$AA$94)&lt;=AsOfDate,IF($R119=0,$X119,IF(AND($T119&lt;&gt;"",EDATE($D119,Milestones!$AA$94)&gt;=$T119),$W119,IF(AND($S119&lt;&gt;"",EDATE($D119,Milestones!$AA$94)&gt;=$S119),$V119,$U119)))=Milestones!$AB$94),UPPER(TEXT(EDATE($D119,Milestones!$AA$94),"dd mmm yy"))&amp;" "&amp;Milestones!$AB$94&amp;" "&amp;Milestones!$AC$94&amp;";  ","")&amp;IF(AND(EDATE($D119,Milestones!$AA$95)&lt;=AsOfDate,IF($R119=0,$X119,IF(AND($T119&lt;&gt;"",EDATE($D119,Milestones!$AA$95)&gt;=$T119),$W119,IF(AND($S119&lt;&gt;"",EDATE($D119,Milestones!$AA$95)&gt;=$S119),$V119,$U119)))=Milestones!$AB$95),UPPER(TEXT(EDATE($D119,Milestones!$AA$95),"dd mmm yy"))&amp;" "&amp;Milestones!$AB$95&amp;" "&amp;Milestones!$AC$95&amp;";  ","")&amp;IF(AND(EDATE($D119,Milestones!$AA$96)&lt;=AsOfDate,IF($R119=0,$X119,IF(AND($T119&lt;&gt;"",EDATE($D119,Milestones!$AA$96)&gt;=$T119),$W119,IF(AND($S119&lt;&gt;"",EDATE($D119,Milestones!$AA$96)&gt;=$S119),$V119,$U119)))=Milestones!$AB$96),UPPER(TEXT(EDATE($D119,Milestones!$AA$96),"dd mmm yy"))&amp;" "&amp;Milestones!$AB$96&amp;" "&amp;Milestones!$AC$96&amp;";  ","")&amp;IF(AND(EDATE($D119,Milestones!$AA$97)&lt;=AsOfDate,IF($R119=0,$X119,IF(AND($T119&lt;&gt;"",EDATE($D119,Milestones!$AA$97)&gt;=$T119),$W119,IF(AND($S119&lt;&gt;"",EDATE($D119,Milestones!$AA$97)&gt;=$S119),$V119,$U119)))=Milestones!$AB$97),UPPER(TEXT(EDATE($D119,Milestones!$AA$97),"dd mmm yy"))&amp;" "&amp;Milestones!$AB$97&amp;" "&amp;Milestones!$AC$97&amp;";  ","")&amp;IF(AND(EDATE($D119,Milestones!$AA$98)&lt;=AsOfDate,IF($R119=0,$X119,IF(AND($T119&lt;&gt;"",EDATE($D119,Milestones!$AA$98)&gt;=$T119),$W119,IF(AND($S119&lt;&gt;"",EDATE($D119,Milestones!$AA$98)&gt;=$S119),$V119,$U119)))=Milestones!$AB$98),UPPER(TEXT(EDATE($D119,Milestones!$AA$98),"dd mmm yy"))&amp;" "&amp;Milestones!$AB$98&amp;" "&amp;Milestones!$AC$98&amp;";  ","")&amp;IF(AND(EDATE($D119,Milestones!$AA$99)&lt;=AsOfDate,IF($R119=0,$X119,IF(AND($T119&lt;&gt;"",EDATE($D119,Milestones!$AA$99)&gt;=$T119),$W119,IF(AND($S119&lt;&gt;"",EDATE($D119,Milestones!$AA$99)&gt;=$S119),$V119,$U119)))=Milestones!$AB$99),UPPER(TEXT(EDATE($D119,Milestones!$AA$99),"dd mmm yy"))&amp;" "&amp;Milestones!$AB$99&amp;" "&amp;Milestones!$AC$99&amp;";  ",""))</f>
        <v/>
      </c>
      <c r="M119" s="0" t="str">
        <f aca="false">IF(OR($A119="",$D119=""),"",IF(AND(EDATE($D119,Milestones!$AA$100)&lt;=AsOfDate,IF($R119=0,$X119,IF(AND($T119&lt;&gt;"",EDATE($D119,Milestones!$AA$100)&gt;=$T119),$W119,IF(AND($S119&lt;&gt;"",EDATE($D119,Milestones!$AA$100)&gt;=$S119),$V119,$U119)))=Milestones!$AB$100),UPPER(TEXT(EDATE($D119,Milestones!$AA$100),"dd mmm yy"))&amp;" "&amp;Milestones!$AB$100&amp;" "&amp;Milestones!$AC$100&amp;";  ","")&amp;IF(AND(EDATE($D119,Milestones!$AA$101)&lt;=AsOfDate,IF($R119=0,$X119,IF(AND($T119&lt;&gt;"",EDATE($D119,Milestones!$AA$101)&gt;=$T119),$W119,IF(AND($S119&lt;&gt;"",EDATE($D119,Milestones!$AA$101)&gt;=$S119),$V119,$U119)))=Milestones!$AB$101),UPPER(TEXT(EDATE($D119,Milestones!$AA$101),"dd mmm yy"))&amp;" "&amp;Milestones!$AB$101&amp;" "&amp;Milestones!$AC$101&amp;";  ","")&amp;IF(AND(EDATE($D119,Milestones!$AA$102)&lt;=AsOfDate,IF($R119=0,$X119,IF(AND($T119&lt;&gt;"",EDATE($D119,Milestones!$AA$102)&gt;=$T119),$W119,IF(AND($S119&lt;&gt;"",EDATE($D119,Milestones!$AA$102)&gt;=$S119),$V119,$U119)))=Milestones!$AB$102),UPPER(TEXT(EDATE($D119,Milestones!$AA$102),"dd mmm yy"))&amp;" "&amp;Milestones!$AB$102&amp;" "&amp;Milestones!$AC$102&amp;";  ","")&amp;IF(AND(EDATE($D119,Milestones!$AA$103)&lt;=AsOfDate,IF($R119=0,$X119,IF(AND($T119&lt;&gt;"",EDATE($D119,Milestones!$AA$103)&gt;=$T119),$W119,IF(AND($S119&lt;&gt;"",EDATE($D119,Milestones!$AA$103)&gt;=$S119),$V119,$U119)))=Milestones!$AB$103),UPPER(TEXT(EDATE($D119,Milestones!$AA$103),"dd mmm yy"))&amp;" "&amp;Milestones!$AB$103&amp;" "&amp;Milestones!$AC$103&amp;";  ","")&amp;IF(AND(EDATE($D119,Milestones!$AA$104)&lt;=AsOfDate,IF($R119=0,$X119,IF(AND($T119&lt;&gt;"",EDATE($D119,Milestones!$AA$104)&gt;=$T119),$W119,IF(AND($S119&lt;&gt;"",EDATE($D119,Milestones!$AA$104)&gt;=$S119),$V119,$U119)))=Milestones!$AB$104),UPPER(TEXT(EDATE($D119,Milestones!$AA$104),"dd mmm yy"))&amp;" "&amp;Milestones!$AB$104&amp;" "&amp;Milestones!$AC$104&amp;";  ","")&amp;IF(AND(EDATE($D119,Milestones!$AA$105)&lt;=AsOfDate,IF($R119=0,$X119,IF(AND($T119&lt;&gt;"",EDATE($D119,Milestones!$AA$105)&gt;=$T119),$W119,IF(AND($S119&lt;&gt;"",EDATE($D119,Milestones!$AA$105)&gt;=$S119),$V119,$U119)))=Milestones!$AB$105),UPPER(TEXT(EDATE($D119,Milestones!$AA$105),"dd mmm yy"))&amp;" "&amp;Milestones!$AB$105&amp;" "&amp;Milestones!$AC$105&amp;";  ","")&amp;IF(AND(EDATE($D119,Milestones!$AA$106)&lt;=AsOfDate,IF($R119=0,$X119,IF(AND($T119&lt;&gt;"",EDATE($D119,Milestones!$AA$106)&gt;=$T119),$W119,IF(AND($S119&lt;&gt;"",EDATE($D119,Milestones!$AA$106)&gt;=$S119),$V119,$U119)))=Milestones!$AB$106),UPPER(TEXT(EDATE($D119,Milestones!$AA$106),"dd mmm yy"))&amp;" "&amp;Milestones!$AB$106&amp;" "&amp;Milestones!$AC$106&amp;";  ","")&amp;IF(AND(EDATE($D119,Milestones!$AA$107)&lt;=AsOfDate,IF($R119=0,$X119,IF(AND($T119&lt;&gt;"",EDATE($D119,Milestones!$AA$107)&gt;=$T119),$W119,IF(AND($S119&lt;&gt;"",EDATE($D119,Milestones!$AA$107)&gt;=$S119),$V119,$U119)))=Milestones!$AB$107),UPPER(TEXT(EDATE($D119,Milestones!$AA$107),"dd mmm yy"))&amp;" "&amp;Milestones!$AB$107&amp;" "&amp;Milestones!$AC$107&amp;";  ","")&amp;IF(AND(EDATE($D119,Milestones!$AA$108)&lt;=AsOfDate,IF($R119=0,$X119,IF(AND($T119&lt;&gt;"",EDATE($D119,Milestones!$AA$108)&gt;=$T119),$W119,IF(AND($S119&lt;&gt;"",EDATE($D119,Milestones!$AA$108)&gt;=$S119),$V119,$U119)))=Milestones!$AB$108),UPPER(TEXT(EDATE($D119,Milestones!$AA$108),"dd mmm yy"))&amp;" "&amp;Milestones!$AB$108&amp;" "&amp;Milestones!$AC$108&amp;";  ","")&amp;IF(AND(EDATE($D119,Milestones!$AA$109)&lt;=AsOfDate,IF($R119=0,$X119,IF(AND($T119&lt;&gt;"",EDATE($D119,Milestones!$AA$109)&gt;=$T119),$W119,IF(AND($S119&lt;&gt;"",EDATE($D119,Milestones!$AA$109)&gt;=$S119),$V119,$U119)))=Milestones!$AB$109),UPPER(TEXT(EDATE($D119,Milestones!$AA$109),"dd mmm yy"))&amp;" "&amp;Milestones!$AB$109&amp;" "&amp;Milestones!$AC$109&amp;";  ","")&amp;IF(AND(EDATE($D119,Milestones!$AA$110)&lt;=AsOfDate,IF($R119=0,$X119,IF(AND($T119&lt;&gt;"",EDATE($D119,Milestones!$AA$110)&gt;=$T119),$W119,IF(AND($S119&lt;&gt;"",EDATE($D119,Milestones!$AA$110)&gt;=$S119),$V119,$U119)))=Milestones!$AB$110),UPPER(TEXT(EDATE($D119,Milestones!$AA$110),"dd mmm yy"))&amp;" "&amp;Milestones!$AB$110&amp;" "&amp;Milestones!$AC$110&amp;";  ","")&amp;IF(AND(EDATE($D119,Milestones!$AA$111)&lt;=AsOfDate,IF($R119=0,$X119,IF(AND($T119&lt;&gt;"",EDATE($D119,Milestones!$AA$111)&gt;=$T119),$W119,IF(AND($S119&lt;&gt;"",EDATE($D119,Milestones!$AA$111)&gt;=$S119),$V119,$U119)))=Milestones!$AB$111),UPPER(TEXT(EDATE($D119,Milestones!$AA$111),"dd mmm yy"))&amp;" "&amp;Milestones!$AB$111&amp;" "&amp;Milestones!$AC$111&amp;";  ","")&amp;IF(AND(EDATE($D119,Milestones!$AA$112)&lt;=AsOfDate,IF($R119=0,$X119,IF(AND($T119&lt;&gt;"",EDATE($D119,Milestones!$AA$112)&gt;=$T119),$W119,IF(AND($S119&lt;&gt;"",EDATE($D119,Milestones!$AA$112)&gt;=$S119),$V119,$U119)))=Milestones!$AB$112),UPPER(TEXT(EDATE($D119,Milestones!$AA$112),"dd mmm yy"))&amp;" "&amp;Milestones!$AB$112&amp;" "&amp;Milestones!$AC$112&amp;";  ","")&amp;IF(AND(EDATE($D119,Milestones!$AA$113)&lt;=AsOfDate,IF($R119=0,$X119,IF(AND($T119&lt;&gt;"",EDATE($D119,Milestones!$AA$113)&gt;=$T119),$W119,IF(AND($S119&lt;&gt;"",EDATE($D119,Milestones!$AA$113)&gt;=$S119),$V119,$U119)))=Milestones!$AB$113),UPPER(TEXT(EDATE($D119,Milestones!$AA$113),"dd mmm yy"))&amp;" "&amp;Milestones!$AB$113&amp;" "&amp;Milestones!$AC$113&amp;";  ","")&amp;IF(AND(EDATE($D119,Milestones!$AA$114)&lt;=AsOfDate,IF($R119=0,$X119,IF(AND($T119&lt;&gt;"",EDATE($D119,Milestones!$AA$114)&gt;=$T119),$W119,IF(AND($S119&lt;&gt;"",EDATE($D119,Milestones!$AA$114)&gt;=$S119),$V119,$U119)))=Milestones!$AB$114),UPPER(TEXT(EDATE($D119,Milestones!$AA$114),"dd mmm yy"))&amp;" "&amp;Milestones!$AB$114&amp;" "&amp;Milestones!$AC$114&amp;";  ","")&amp;IF(AND(EDATE($D119,Milestones!$AA$115)&lt;=AsOfDate,IF($R119=0,$X119,IF(AND($T119&lt;&gt;"",EDATE($D119,Milestones!$AA$115)&gt;=$T119),$W119,IF(AND($S119&lt;&gt;"",EDATE($D119,Milestones!$AA$115)&gt;=$S119),$V119,$U119)))=Milestones!$AB$115),UPPER(TEXT(EDATE($D119,Milestones!$AA$115),"dd mmm yy"))&amp;" "&amp;Milestones!$AB$115&amp;" "&amp;Milestones!$AC$115&amp;";  ","")&amp;IF(AND(EDATE($D119,Milestones!$AA$116)&lt;=AsOfDate,IF($R119=0,$X119,IF(AND($T119&lt;&gt;"",EDATE($D119,Milestones!$AA$116)&gt;=$T119),$W119,IF(AND($S119&lt;&gt;"",EDATE($D119,Milestones!$AA$116)&gt;=$S119),$V119,$U119)))=Milestones!$AB$116),UPPER(TEXT(EDATE($D119,Milestones!$AA$116),"dd mmm yy"))&amp;" "&amp;Milestones!$AB$116&amp;" "&amp;Milestones!$AC$116&amp;";  ","")&amp;IF(AND(EDATE($D119,Milestones!$AA$117)&lt;=AsOfDate,IF($R119=0,$X119,IF(AND($T119&lt;&gt;"",EDATE($D119,Milestones!$AA$117)&gt;=$T119),$W119,IF(AND($S119&lt;&gt;"",EDATE($D119,Milestones!$AA$117)&gt;=$S119),$V119,$U119)))=Milestones!$AB$117),UPPER(TEXT(EDATE($D119,Milestones!$AA$117),"dd mmm yy"))&amp;" "&amp;Milestones!$AB$117&amp;" "&amp;Milestones!$AC$117&amp;";  ","")&amp;IF(AND(EDATE($D119,Milestones!$AA$118)&lt;=AsOfDate,IF($R119=0,$X119,IF(AND($T119&lt;&gt;"",EDATE($D119,Milestones!$AA$118)&gt;=$T119),$W119,IF(AND($S119&lt;&gt;"",EDATE($D119,Milestones!$AA$118)&gt;=$S119),$V119,$U119)))=Milestones!$AB$118),UPPER(TEXT(EDATE($D119,Milestones!$AA$118),"dd mmm yy"))&amp;" "&amp;Milestones!$AB$118&amp;" "&amp;Milestones!$AC$118&amp;";  ","")&amp;IF(AND(EDATE($D119,Milestones!$AA$119)&lt;=AsOfDate,IF($R119=0,$X119,IF(AND($T119&lt;&gt;"",EDATE($D119,Milestones!$AA$119)&gt;=$T119),$W119,IF(AND($S119&lt;&gt;"",EDATE($D119,Milestones!$AA$119)&gt;=$S119),$V119,$U119)))=Milestones!$AB$119),UPPER(TEXT(EDATE($D119,Milestones!$AA$119),"dd mmm yy"))&amp;" "&amp;Milestones!$AB$119&amp;" "&amp;Milestones!$AC$119&amp;";  ",""))</f>
        <v/>
      </c>
      <c r="N119" s="0" t="str">
        <f aca="false">IF(OR($A119="",$D119=""),"",IF(AND(EDATE($D119,Milestones!$AA$120)&lt;=AsOfDate,IF($R119=0,$X119,IF(AND($T119&lt;&gt;"",EDATE($D119,Milestones!$AA$120)&gt;=$T119),$W119,IF(AND($S119&lt;&gt;"",EDATE($D119,Milestones!$AA$120)&gt;=$S119),$V119,$U119)))=Milestones!$AB$120),UPPER(TEXT(EDATE($D119,Milestones!$AA$120),"dd mmm yy"))&amp;" "&amp;Milestones!$AB$120&amp;" "&amp;Milestones!$AC$120&amp;";  ","")&amp;IF(AND(EDATE($D119,Milestones!$AA$121)&lt;=AsOfDate,IF($R119=0,$X119,IF(AND($T119&lt;&gt;"",EDATE($D119,Milestones!$AA$121)&gt;=$T119),$W119,IF(AND($S119&lt;&gt;"",EDATE($D119,Milestones!$AA$121)&gt;=$S119),$V119,$U119)))=Milestones!$AB$121),UPPER(TEXT(EDATE($D119,Milestones!$AA$121),"dd mmm yy"))&amp;" "&amp;Milestones!$AB$121&amp;" "&amp;Milestones!$AC$121&amp;";  ","")&amp;IF(AND(EDATE($D119,Milestones!$AA$122)&lt;=AsOfDate,IF($R119=0,$X119,IF(AND($T119&lt;&gt;"",EDATE($D119,Milestones!$AA$122)&gt;=$T119),$W119,IF(AND($S119&lt;&gt;"",EDATE($D119,Milestones!$AA$122)&gt;=$S119),$V119,$U119)))=Milestones!$AB$122),UPPER(TEXT(EDATE($D119,Milestones!$AA$122),"dd mmm yy"))&amp;" "&amp;Milestones!$AB$122&amp;" "&amp;Milestones!$AC$122&amp;";  ","")&amp;IF(AND(EDATE($D119,Milestones!$AA$123)&lt;=AsOfDate,IF($R119=0,$X119,IF(AND($T119&lt;&gt;"",EDATE($D119,Milestones!$AA$123)&gt;=$T119),$W119,IF(AND($S119&lt;&gt;"",EDATE($D119,Milestones!$AA$123)&gt;=$S119),$V119,$U119)))=Milestones!$AB$123),UPPER(TEXT(EDATE($D119,Milestones!$AA$123),"dd mmm yy"))&amp;" "&amp;Milestones!$AB$123&amp;" "&amp;Milestones!$AC$123&amp;";  ","")&amp;IF(AND(EDATE($D119,Milestones!$AA$124)&lt;=AsOfDate,IF($R119=0,$X119,IF(AND($T119&lt;&gt;"",EDATE($D119,Milestones!$AA$124)&gt;=$T119),$W119,IF(AND($S119&lt;&gt;"",EDATE($D119,Milestones!$AA$124)&gt;=$S119),$V119,$U119)))=Milestones!$AB$124),UPPER(TEXT(EDATE($D119,Milestones!$AA$124),"dd mmm yy"))&amp;" "&amp;Milestones!$AB$124&amp;" "&amp;Milestones!$AC$124&amp;";  ","")&amp;IF(AND(EDATE($D119,Milestones!$AA$125)&lt;=AsOfDate,IF($R119=0,$X119,IF(AND($T119&lt;&gt;"",EDATE($D119,Milestones!$AA$125)&gt;=$T119),$W119,IF(AND($S119&lt;&gt;"",EDATE($D119,Milestones!$AA$125)&gt;=$S119),$V119,$U119)))=Milestones!$AB$125),UPPER(TEXT(EDATE($D119,Milestones!$AA$125),"dd mmm yy"))&amp;" "&amp;Milestones!$AB$125&amp;" "&amp;Milestones!$AC$125&amp;";  ","")&amp;IF(AND(EDATE($D119,Milestones!$AA$126)&lt;=AsOfDate,IF($R119=0,$X119,IF(AND($T119&lt;&gt;"",EDATE($D119,Milestones!$AA$126)&gt;=$T119),$W119,IF(AND($S119&lt;&gt;"",EDATE($D119,Milestones!$AA$126)&gt;=$S119),$V119,$U119)))=Milestones!$AB$126),UPPER(TEXT(EDATE($D119,Milestones!$AA$126),"dd mmm yy"))&amp;" "&amp;Milestones!$AB$126&amp;" "&amp;Milestones!$AC$126&amp;";  ","")&amp;IF(AND(EDATE($D119,Milestones!$AA$127)&lt;=AsOfDate,IF($R119=0,$X119,IF(AND($T119&lt;&gt;"",EDATE($D119,Milestones!$AA$127)&gt;=$T119),$W119,IF(AND($S119&lt;&gt;"",EDATE($D119,Milestones!$AA$127)&gt;=$S119),$V119,$U119)))=Milestones!$AB$127),UPPER(TEXT(EDATE($D119,Milestones!$AA$127),"dd mmm yy"))&amp;" "&amp;Milestones!$AB$127&amp;" "&amp;Milestones!$AC$127&amp;";  ","")&amp;IF(AND(EDATE($D119,Milestones!$AA$128)&lt;=AsOfDate,IF($R119=0,$X119,IF(AND($T119&lt;&gt;"",EDATE($D119,Milestones!$AA$128)&gt;=$T119),$W119,IF(AND($S119&lt;&gt;"",EDATE($D119,Milestones!$AA$128)&gt;=$S119),$V119,$U119)))=Milestones!$AB$128),UPPER(TEXT(EDATE($D119,Milestones!$AA$128),"dd mmm yy"))&amp;" "&amp;Milestones!$AB$128&amp;" "&amp;Milestones!$AC$128&amp;";  ","")&amp;IF(AND(EDATE($D119,Milestones!$AA$129)&lt;=AsOfDate,IF($R119=0,$X119,IF(AND($T119&lt;&gt;"",EDATE($D119,Milestones!$AA$129)&gt;=$T119),$W119,IF(AND($S119&lt;&gt;"",EDATE($D119,Milestones!$AA$129)&gt;=$S119),$V119,$U119)))=Milestones!$AB$129),UPPER(TEXT(EDATE($D119,Milestones!$AA$129),"dd mmm yy"))&amp;" "&amp;Milestones!$AB$129&amp;" "&amp;Milestones!$AC$129&amp;";  ","")&amp;IF(AND(EDATE($D119,Milestones!$AA$130)&lt;=AsOfDate,IF($R119=0,$X119,IF(AND($T119&lt;&gt;"",EDATE($D119,Milestones!$AA$130)&gt;=$T119),$W119,IF(AND($S119&lt;&gt;"",EDATE($D119,Milestones!$AA$130)&gt;=$S119),$V119,$U119)))=Milestones!$AB$130),UPPER(TEXT(EDATE($D119,Milestones!$AA$130),"dd mmm yy"))&amp;" "&amp;Milestones!$AB$130&amp;" "&amp;Milestones!$AC$130&amp;";  ","")&amp;IF(AND(EDATE($D119,Milestones!$AA$131)&lt;=AsOfDate,IF($R119=0,$X119,IF(AND($T119&lt;&gt;"",EDATE($D119,Milestones!$AA$131)&gt;=$T119),$W119,IF(AND($S119&lt;&gt;"",EDATE($D119,Milestones!$AA$131)&gt;=$S119),$V119,$U119)))=Milestones!$AB$131),UPPER(TEXT(EDATE($D119,Milestones!$AA$131),"dd mmm yy"))&amp;" "&amp;Milestones!$AB$131&amp;" "&amp;Milestones!$AC$131&amp;";  ","")&amp;IF(AND(EDATE($D119,Milestones!$AA$132)&lt;=AsOfDate,IF($R119=0,$X119,IF(AND($T119&lt;&gt;"",EDATE($D119,Milestones!$AA$132)&gt;=$T119),$W119,IF(AND($S119&lt;&gt;"",EDATE($D119,Milestones!$AA$132)&gt;=$S119),$V119,$U119)))=Milestones!$AB$132),UPPER(TEXT(EDATE($D119,Milestones!$AA$132),"dd mmm yy"))&amp;" "&amp;Milestones!$AB$132&amp;" "&amp;Milestones!$AC$132&amp;";  ","")&amp;IF(AND(EDATE($D119,Milestones!$AA$133)&lt;=AsOfDate,IF($R119=0,$X119,IF(AND($T119&lt;&gt;"",EDATE($D119,Milestones!$AA$133)&gt;=$T119),$W119,IF(AND($S119&lt;&gt;"",EDATE($D119,Milestones!$AA$133)&gt;=$S119),$V119,$U119)))=Milestones!$AB$133),UPPER(TEXT(EDATE($D119,Milestones!$AA$133),"dd mmm yy"))&amp;" "&amp;Milestones!$AB$133&amp;" "&amp;Milestones!$AC$133&amp;";  ","")&amp;IF(AND(EDATE($D119,Milestones!$AA$134)&lt;=AsOfDate,IF($R119=0,$X119,IF(AND($T119&lt;&gt;"",EDATE($D119,Milestones!$AA$134)&gt;=$T119),$W119,IF(AND($S119&lt;&gt;"",EDATE($D119,Milestones!$AA$134)&gt;=$S119),$V119,$U119)))=Milestones!$AB$134),UPPER(TEXT(EDATE($D119,Milestones!$AA$134),"dd mmm yy"))&amp;" "&amp;Milestones!$AB$134&amp;" "&amp;Milestones!$AC$134&amp;";  ","")&amp;IF(AND(EDATE($D119,Milestones!$AA$135)&lt;=AsOfDate,IF($R119=0,$X119,IF(AND($T119&lt;&gt;"",EDATE($D119,Milestones!$AA$135)&gt;=$T119),$W119,IF(AND($S119&lt;&gt;"",EDATE($D119,Milestones!$AA$135)&gt;=$S119),$V119,$U119)))=Milestones!$AB$135),UPPER(TEXT(EDATE($D119,Milestones!$AA$135),"dd mmm yy"))&amp;" "&amp;Milestones!$AB$135&amp;" "&amp;Milestones!$AC$135&amp;";  ","")&amp;IF(AND(EDATE($D119,Milestones!$AA$136)&lt;=AsOfDate,IF($R119=0,$X119,IF(AND($T119&lt;&gt;"",EDATE($D119,Milestones!$AA$136)&gt;=$T119),$W119,IF(AND($S119&lt;&gt;"",EDATE($D119,Milestones!$AA$136)&gt;=$S119),$V119,$U119)))=Milestones!$AB$136),UPPER(TEXT(EDATE($D119,Milestones!$AA$136),"dd mmm yy"))&amp;" "&amp;Milestones!$AB$136&amp;" "&amp;Milestones!$AC$136&amp;";  ","")&amp;IF(AND(EDATE($D119,Milestones!$AA$137)&lt;=AsOfDate,IF($R119=0,$X119,IF(AND($T119&lt;&gt;"",EDATE($D119,Milestones!$AA$137)&gt;=$T119),$W119,IF(AND($S119&lt;&gt;"",EDATE($D119,Milestones!$AA$137)&gt;=$S119),$V119,$U119)))=Milestones!$AB$137),UPPER(TEXT(EDATE($D119,Milestones!$AA$137),"dd mmm yy"))&amp;" "&amp;Milestones!$AB$137&amp;" "&amp;Milestones!$AC$137&amp;";  ","")&amp;IF(AND(EDATE($D119,Milestones!$AA$138)&lt;=AsOfDate,IF($R119=0,$X119,IF(AND($T119&lt;&gt;"",EDATE($D119,Milestones!$AA$138)&gt;=$T119),$W119,IF(AND($S119&lt;&gt;"",EDATE($D119,Milestones!$AA$138)&gt;=$S119),$V119,$U119)))=Milestones!$AB$138),UPPER(TEXT(EDATE($D119,Milestones!$AA$138),"dd mmm yy"))&amp;" "&amp;Milestones!$AB$138&amp;" "&amp;Milestones!$AC$138&amp;";  ","")&amp;IF(AND(EDATE($D119,Milestones!$AA$139)&lt;=AsOfDate,IF($R119=0,$X119,IF(AND($T119&lt;&gt;"",EDATE($D119,Milestones!$AA$139)&gt;=$T119),$W119,IF(AND($S119&lt;&gt;"",EDATE($D119,Milestones!$AA$139)&gt;=$S119),$V119,$U119)))=Milestones!$AB$139),UPPER(TEXT(EDATE($D119,Milestones!$AA$139),"dd mmm yy"))&amp;" "&amp;Milestones!$AB$139&amp;" "&amp;Milestones!$AC$139&amp;";  ",""))</f>
        <v/>
      </c>
      <c r="O119" s="0" t="str">
        <f aca="false">IF(OR($A119="",$D119=""),"",IF(AND(EDATE($D119,Milestones!$AA$140)&lt;=AsOfDate,IF($R119=0,$X119,IF(AND($T119&lt;&gt;"",EDATE($D119,Milestones!$AA$140)&gt;=$T119),$W119,IF(AND($S119&lt;&gt;"",EDATE($D119,Milestones!$AA$140)&gt;=$S119),$V119,$U119)))=Milestones!$AB$140),UPPER(TEXT(EDATE($D119,Milestones!$AA$140),"dd mmm yy"))&amp;" "&amp;Milestones!$AB$140&amp;" "&amp;Milestones!$AC$140&amp;";  ","")&amp;IF(AND(EDATE($D119,Milestones!$AA$141)&lt;=AsOfDate,IF($R119=0,$X119,IF(AND($T119&lt;&gt;"",EDATE($D119,Milestones!$AA$141)&gt;=$T119),$W119,IF(AND($S119&lt;&gt;"",EDATE($D119,Milestones!$AA$141)&gt;=$S119),$V119,$U119)))=Milestones!$AB$141),UPPER(TEXT(EDATE($D119,Milestones!$AA$141),"dd mmm yy"))&amp;" "&amp;Milestones!$AB$141&amp;" "&amp;Milestones!$AC$141&amp;";  ","")&amp;IF(AND(EDATE($D119,Milestones!$AA$142)&lt;=AsOfDate,IF($R119=0,$X119,IF(AND($T119&lt;&gt;"",EDATE($D119,Milestones!$AA$142)&gt;=$T119),$W119,IF(AND($S119&lt;&gt;"",EDATE($D119,Milestones!$AA$142)&gt;=$S119),$V119,$U119)))=Milestones!$AB$142),UPPER(TEXT(EDATE($D119,Milestones!$AA$142),"dd mmm yy"))&amp;" "&amp;Milestones!$AB$142&amp;" "&amp;Milestones!$AC$142&amp;";  ","")&amp;IF(AND(EDATE($D119,Milestones!$AA$143)&lt;=AsOfDate,IF($R119=0,$X119,IF(AND($T119&lt;&gt;"",EDATE($D119,Milestones!$AA$143)&gt;=$T119),$W119,IF(AND($S119&lt;&gt;"",EDATE($D119,Milestones!$AA$143)&gt;=$S119),$V119,$U119)))=Milestones!$AB$143),UPPER(TEXT(EDATE($D119,Milestones!$AA$143),"dd mmm yy"))&amp;" "&amp;Milestones!$AB$143&amp;" "&amp;Milestones!$AC$143&amp;";  ","")&amp;IF(AND(EDATE($D119,Milestones!$AA$144)&lt;=AsOfDate,IF($R119=0,$X119,IF(AND($T119&lt;&gt;"",EDATE($D119,Milestones!$AA$144)&gt;=$T119),$W119,IF(AND($S119&lt;&gt;"",EDATE($D119,Milestones!$AA$144)&gt;=$S119),$V119,$U119)))=Milestones!$AB$144),UPPER(TEXT(EDATE($D119,Milestones!$AA$144),"dd mmm yy"))&amp;" "&amp;Milestones!$AB$144&amp;" "&amp;Milestones!$AC$144&amp;";  ","")&amp;IF(AND(EDATE($D119,Milestones!$AA$145)&lt;=AsOfDate,IF($R119=0,$X119,IF(AND($T119&lt;&gt;"",EDATE($D119,Milestones!$AA$145)&gt;=$T119),$W119,IF(AND($S119&lt;&gt;"",EDATE($D119,Milestones!$AA$145)&gt;=$S119),$V119,$U119)))=Milestones!$AB$145),UPPER(TEXT(EDATE($D119,Milestones!$AA$145),"dd mmm yy"))&amp;" "&amp;Milestones!$AB$145&amp;" "&amp;Milestones!$AC$145&amp;";  ","")&amp;IF(AND(EDATE($D119,Milestones!$AA$146)&lt;=AsOfDate,IF($R119=0,$X119,IF(AND($T119&lt;&gt;"",EDATE($D119,Milestones!$AA$146)&gt;=$T119),$W119,IF(AND($S119&lt;&gt;"",EDATE($D119,Milestones!$AA$146)&gt;=$S119),$V119,$U119)))=Milestones!$AB$146),UPPER(TEXT(EDATE($D119,Milestones!$AA$146),"dd mmm yy"))&amp;" "&amp;Milestones!$AB$146&amp;" "&amp;Milestones!$AC$146&amp;";  ","")&amp;IF(AND(EDATE($D119,Milestones!$AA$147)&lt;=AsOfDate,IF($R119=0,$X119,IF(AND($T119&lt;&gt;"",EDATE($D119,Milestones!$AA$147)&gt;=$T119),$W119,IF(AND($S119&lt;&gt;"",EDATE($D119,Milestones!$AA$147)&gt;=$S119),$V119,$U119)))=Milestones!$AB$147),UPPER(TEXT(EDATE($D119,Milestones!$AA$147),"dd mmm yy"))&amp;" "&amp;Milestones!$AB$147&amp;" "&amp;Milestones!$AC$147&amp;";  ","")&amp;IF(AND(EDATE($D119,Milestones!$AA$148)&lt;=AsOfDate,IF($R119=0,$X119,IF(AND($T119&lt;&gt;"",EDATE($D119,Milestones!$AA$148)&gt;=$T119),$W119,IF(AND($S119&lt;&gt;"",EDATE($D119,Milestones!$AA$148)&gt;=$S119),$V119,$U119)))=Milestones!$AB$148),UPPER(TEXT(EDATE($D119,Milestones!$AA$148),"dd mmm yy"))&amp;" "&amp;Milestones!$AB$148&amp;" "&amp;Milestones!$AC$148&amp;";  ","")&amp;IF(AND(EDATE($D119,Milestones!$AA$149)&lt;=AsOfDate,IF($R119=0,$X119,IF(AND($T119&lt;&gt;"",EDATE($D119,Milestones!$AA$149)&gt;=$T119),$W119,IF(AND($S119&lt;&gt;"",EDATE($D119,Milestones!$AA$149)&gt;=$S119),$V119,$U119)))=Milestones!$AB$149),UPPER(TEXT(EDATE($D119,Milestones!$AA$149),"dd mmm yy"))&amp;" "&amp;Milestones!$AB$149&amp;" "&amp;Milestones!$AC$149&amp;";  ","")&amp;IF(AND(EDATE($D119,Milestones!$AA$150)&lt;=AsOfDate,IF($R119=0,$X119,IF(AND($T119&lt;&gt;"",EDATE($D119,Milestones!$AA$150)&gt;=$T119),$W119,IF(AND($S119&lt;&gt;"",EDATE($D119,Milestones!$AA$150)&gt;=$S119),$V119,$U119)))=Milestones!$AB$150),UPPER(TEXT(EDATE($D119,Milestones!$AA$150),"dd mmm yy"))&amp;" "&amp;Milestones!$AB$150&amp;" "&amp;Milestones!$AC$150&amp;";  ","")&amp;IF(AND(EDATE($D119,Milestones!$AA$151)&lt;=AsOfDate,IF($R119=0,$X119,IF(AND($T119&lt;&gt;"",EDATE($D119,Milestones!$AA$151)&gt;=$T119),$W119,IF(AND($S119&lt;&gt;"",EDATE($D119,Milestones!$AA$151)&gt;=$S119),$V119,$U119)))=Milestones!$AB$151),UPPER(TEXT(EDATE($D119,Milestones!$AA$151),"dd mmm yy"))&amp;" "&amp;Milestones!$AB$151&amp;" "&amp;Milestones!$AC$151&amp;";  ","")&amp;IF(AND(EDATE($D119,Milestones!$AA$152)&lt;=AsOfDate,IF($R119=0,$X119,IF(AND($T119&lt;&gt;"",EDATE($D119,Milestones!$AA$152)&gt;=$T119),$W119,IF(AND($S119&lt;&gt;"",EDATE($D119,Milestones!$AA$152)&gt;=$S119),$V119,$U119)))=Milestones!$AB$152),UPPER(TEXT(EDATE($D119,Milestones!$AA$152),"dd mmm yy"))&amp;" "&amp;Milestones!$AB$152&amp;" "&amp;Milestones!$AC$152&amp;";  ","")&amp;IF(AND(EDATE($D119,Milestones!$AA$153)&lt;=AsOfDate,IF($R119=0,$X119,IF(AND($T119&lt;&gt;"",EDATE($D119,Milestones!$AA$153)&gt;=$T119),$W119,IF(AND($S119&lt;&gt;"",EDATE($D119,Milestones!$AA$153)&gt;=$S119),$V119,$U119)))=Milestones!$AB$153),UPPER(TEXT(EDATE($D119,Milestones!$AA$153),"dd mmm yy"))&amp;" "&amp;Milestones!$AB$153&amp;" "&amp;Milestones!$AC$153&amp;";  ","")&amp;IF(AND(EDATE($D119,Milestones!$AA$154)&lt;=AsOfDate,IF($R119=0,$X119,IF(AND($T119&lt;&gt;"",EDATE($D119,Milestones!$AA$154)&gt;=$T119),$W119,IF(AND($S119&lt;&gt;"",EDATE($D119,Milestones!$AA$154)&gt;=$S119),$V119,$U119)))=Milestones!$AB$154),UPPER(TEXT(EDATE($D119,Milestones!$AA$154),"dd mmm yy"))&amp;" "&amp;Milestones!$AB$154&amp;" "&amp;Milestones!$AC$154&amp;";  ","")&amp;IF(AND(EDATE($D119,Milestones!$AA$155)&lt;=AsOfDate,IF($R119=0,$X119,IF(AND($T119&lt;&gt;"",EDATE($D119,Milestones!$AA$155)&gt;=$T119),$W119,IF(AND($S119&lt;&gt;"",EDATE($D119,Milestones!$AA$155)&gt;=$S119),$V119,$U119)))=Milestones!$AB$155),UPPER(TEXT(EDATE($D119,Milestones!$AA$155),"dd mmm yy"))&amp;" "&amp;Milestones!$AB$155&amp;" "&amp;Milestones!$AC$155&amp;";  ","")&amp;IF(AND(EDATE($D119,Milestones!$AA$156)&lt;=AsOfDate,IF($R119=0,$X119,IF(AND($T119&lt;&gt;"",EDATE($D119,Milestones!$AA$156)&gt;=$T119),$W119,IF(AND($S119&lt;&gt;"",EDATE($D119,Milestones!$AA$156)&gt;=$S119),$V119,$U119)))=Milestones!$AB$156),UPPER(TEXT(EDATE($D119,Milestones!$AA$156),"dd mmm yy"))&amp;" "&amp;Milestones!$AB$156&amp;" "&amp;Milestones!$AC$156&amp;";  ","")&amp;IF(AND(EDATE($D119,Milestones!$AA$157)&lt;=AsOfDate,IF($R119=0,$X119,IF(AND($T119&lt;&gt;"",EDATE($D119,Milestones!$AA$157)&gt;=$T119),$W119,IF(AND($S119&lt;&gt;"",EDATE($D119,Milestones!$AA$157)&gt;=$S119),$V119,$U119)))=Milestones!$AB$157),UPPER(TEXT(EDATE($D119,Milestones!$AA$157),"dd mmm yy"))&amp;" "&amp;Milestones!$AB$157&amp;" "&amp;Milestones!$AC$157&amp;";  ","")&amp;IF(AND(EDATE($D119,Milestones!$AA$158)&lt;=AsOfDate,IF($R119=0,$X119,IF(AND($T119&lt;&gt;"",EDATE($D119,Milestones!$AA$158)&gt;=$T119),$W119,IF(AND($S119&lt;&gt;"",EDATE($D119,Milestones!$AA$158)&gt;=$S119),$V119,$U119)))=Milestones!$AB$158),UPPER(TEXT(EDATE($D119,Milestones!$AA$158),"dd mmm yy"))&amp;" "&amp;Milestones!$AB$158&amp;" "&amp;Milestones!$AC$158&amp;";  ","")&amp;IF(AND(EDATE($D119,Milestones!$AA$159)&lt;=AsOfDate,IF($R119=0,$X119,IF(AND($T119&lt;&gt;"",EDATE($D119,Milestones!$AA$159)&gt;=$T119),$W119,IF(AND($S119&lt;&gt;"",EDATE($D119,Milestones!$AA$159)&gt;=$S119),$V119,$U119)))=Milestones!$AB$159),UPPER(TEXT(EDATE($D119,Milestones!$AA$159),"dd mmm yy"))&amp;" "&amp;Milestones!$AB$159&amp;" "&amp;Milestones!$AC$159&amp;";  ",""))</f>
        <v/>
      </c>
      <c r="P119" s="0" t="str">
        <f aca="false">IF(OR($A119="",$D119=""),"",IF(AND(EDATE($D119,Milestones!$AA$160)&lt;=AsOfDate,IF($R119=0,$X119,IF(AND($T119&lt;&gt;"",EDATE($D119,Milestones!$AA$160)&gt;=$T119),$W119,IF(AND($S119&lt;&gt;"",EDATE($D119,Milestones!$AA$160)&gt;=$S119),$V119,$U119)))=Milestones!$AB$160),UPPER(TEXT(EDATE($D119,Milestones!$AA$160),"dd mmm yy"))&amp;" "&amp;Milestones!$AB$160&amp;" "&amp;Milestones!$AC$160&amp;";  ","")&amp;IF(AND(EDATE($D119,Milestones!$AA$161)&lt;=AsOfDate,IF($R119=0,$X119,IF(AND($T119&lt;&gt;"",EDATE($D119,Milestones!$AA$161)&gt;=$T119),$W119,IF(AND($S119&lt;&gt;"",EDATE($D119,Milestones!$AA$161)&gt;=$S119),$V119,$U119)))=Milestones!$AB$161),UPPER(TEXT(EDATE($D119,Milestones!$AA$161),"dd mmm yy"))&amp;" "&amp;Milestones!$AB$161&amp;" "&amp;Milestones!$AC$161&amp;";  ","")&amp;IF(AND(EDATE($D119,Milestones!$AA$162)&lt;=AsOfDate,IF($R119=0,$X119,IF(AND($T119&lt;&gt;"",EDATE($D119,Milestones!$AA$162)&gt;=$T119),$W119,IF(AND($S119&lt;&gt;"",EDATE($D119,Milestones!$AA$162)&gt;=$S119),$V119,$U119)))=Milestones!$AB$162),UPPER(TEXT(EDATE($D119,Milestones!$AA$162),"dd mmm yy"))&amp;" "&amp;Milestones!$AB$162&amp;" "&amp;Milestones!$AC$162&amp;";  ","")&amp;IF(AND(EDATE($D119,Milestones!$AA$163)&lt;=AsOfDate,IF($R119=0,$X119,IF(AND($T119&lt;&gt;"",EDATE($D119,Milestones!$AA$163)&gt;=$T119),$W119,IF(AND($S119&lt;&gt;"",EDATE($D119,Milestones!$AA$163)&gt;=$S119),$V119,$U119)))=Milestones!$AB$163),UPPER(TEXT(EDATE($D119,Milestones!$AA$163),"dd mmm yy"))&amp;" "&amp;Milestones!$AB$163&amp;" "&amp;Milestones!$AC$163&amp;";  ","")&amp;IF(AND(EDATE($D119,Milestones!$AA$164)&lt;=AsOfDate,IF($R119=0,$X119,IF(AND($T119&lt;&gt;"",EDATE($D119,Milestones!$AA$164)&gt;=$T119),$W119,IF(AND($S119&lt;&gt;"",EDATE($D119,Milestones!$AA$164)&gt;=$S119),$V119,$U119)))=Milestones!$AB$164),UPPER(TEXT(EDATE($D119,Milestones!$AA$164),"dd mmm yy"))&amp;" "&amp;Milestones!$AB$164&amp;" "&amp;Milestones!$AC$164&amp;";  ","")&amp;IF(AND(EDATE($D119,Milestones!$AA$165)&lt;=AsOfDate,IF($R119=0,$X119,IF(AND($T119&lt;&gt;"",EDATE($D119,Milestones!$AA$165)&gt;=$T119),$W119,IF(AND($S119&lt;&gt;"",EDATE($D119,Milestones!$AA$165)&gt;=$S119),$V119,$U119)))=Milestones!$AB$165),UPPER(TEXT(EDATE($D119,Milestones!$AA$165),"dd mmm yy"))&amp;" "&amp;Milestones!$AB$165&amp;" "&amp;Milestones!$AC$165&amp;";  ","")&amp;IF(AND(EDATE($D119,Milestones!$AA$166)&lt;=AsOfDate,IF($R119=0,$X119,IF(AND($T119&lt;&gt;"",EDATE($D119,Milestones!$AA$166)&gt;=$T119),$W119,IF(AND($S119&lt;&gt;"",EDATE($D119,Milestones!$AA$166)&gt;=$S119),$V119,$U119)))=Milestones!$AB$166),UPPER(TEXT(EDATE($D119,Milestones!$AA$166),"dd mmm yy"))&amp;" "&amp;Milestones!$AB$166&amp;" "&amp;Milestones!$AC$166&amp;";  ","")&amp;IF(AND(EDATE($D119,Milestones!$AA$167)&lt;=AsOfDate,IF($R119=0,$X119,IF(AND($T119&lt;&gt;"",EDATE($D119,Milestones!$AA$167)&gt;=$T119),$W119,IF(AND($S119&lt;&gt;"",EDATE($D119,Milestones!$AA$167)&gt;=$S119),$V119,$U119)))=Milestones!$AB$167),UPPER(TEXT(EDATE($D119,Milestones!$AA$167),"dd mmm yy"))&amp;" "&amp;Milestones!$AB$167&amp;" "&amp;Milestones!$AC$167&amp;";  ","")&amp;IF(AND(EDATE($D119,Milestones!$AA$168)&lt;=AsOfDate,IF($R119=0,$X119,IF(AND($T119&lt;&gt;"",EDATE($D119,Milestones!$AA$168)&gt;=$T119),$W119,IF(AND($S119&lt;&gt;"",EDATE($D119,Milestones!$AA$168)&gt;=$S119),$V119,$U119)))=Milestones!$AB$168),UPPER(TEXT(EDATE($D119,Milestones!$AA$168),"dd mmm yy"))&amp;" "&amp;Milestones!$AB$168&amp;" "&amp;Milestones!$AC$168&amp;";  ","")&amp;IF(AND(EDATE($D119,Milestones!$AA$169)&lt;=AsOfDate,IF($R119=0,$X119,IF(AND($T119&lt;&gt;"",EDATE($D119,Milestones!$AA$169)&gt;=$T119),$W119,IF(AND($S119&lt;&gt;"",EDATE($D119,Milestones!$AA$169)&gt;=$S119),$V119,$U119)))=Milestones!$AB$169),UPPER(TEXT(EDATE($D119,Milestones!$AA$169),"dd mmm yy"))&amp;" "&amp;Milestones!$AB$169&amp;" "&amp;Milestones!$AC$169&amp;";  ","")&amp;IF(AND(EDATE($D119,Milestones!$AA$170)&lt;=AsOfDate,IF($R119=0,$X119,IF(AND($T119&lt;&gt;"",EDATE($D119,Milestones!$AA$170)&gt;=$T119),$W119,IF(AND($S119&lt;&gt;"",EDATE($D119,Milestones!$AA$170)&gt;=$S119),$V119,$U119)))=Milestones!$AB$170),UPPER(TEXT(EDATE($D119,Milestones!$AA$170),"dd mmm yy"))&amp;" "&amp;Milestones!$AB$170&amp;" "&amp;Milestones!$AC$170&amp;";  ","")&amp;IF(AND(EDATE($D119,Milestones!$AA$171)&lt;=AsOfDate,IF($R119=0,$X119,IF(AND($T119&lt;&gt;"",EDATE($D119,Milestones!$AA$171)&gt;=$T119),$W119,IF(AND($S119&lt;&gt;"",EDATE($D119,Milestones!$AA$171)&gt;=$S119),$V119,$U119)))=Milestones!$AB$171),UPPER(TEXT(EDATE($D119,Milestones!$AA$171),"dd mmm yy"))&amp;" "&amp;Milestones!$AB$171&amp;" "&amp;Milestones!$AC$171&amp;";  ","")&amp;IF(AND(EDATE($D119,Milestones!$AA$172)&lt;=AsOfDate,IF($R119=0,$X119,IF(AND($T119&lt;&gt;"",EDATE($D119,Milestones!$AA$172)&gt;=$T119),$W119,IF(AND($S119&lt;&gt;"",EDATE($D119,Milestones!$AA$172)&gt;=$S119),$V119,$U119)))=Milestones!$AB$172),UPPER(TEXT(EDATE($D119,Milestones!$AA$172),"dd mmm yy"))&amp;" "&amp;Milestones!$AB$172&amp;" "&amp;Milestones!$AC$172&amp;";  ","")&amp;IF(AND(EDATE($D119,Milestones!$AA$173)&lt;=AsOfDate,IF($R119=0,$X119,IF(AND($T119&lt;&gt;"",EDATE($D119,Milestones!$AA$173)&gt;=$T119),$W119,IF(AND($S119&lt;&gt;"",EDATE($D119,Milestones!$AA$173)&gt;=$S119),$V119,$U119)))=Milestones!$AB$173),UPPER(TEXT(EDATE($D119,Milestones!$AA$173),"dd mmm yy"))&amp;" "&amp;Milestones!$AB$173&amp;" "&amp;Milestones!$AC$173&amp;";  ","")&amp;IF(AND(EDATE($D119,Milestones!$AA$174)&lt;=AsOfDate,IF($R119=0,$X119,IF(AND($T119&lt;&gt;"",EDATE($D119,Milestones!$AA$174)&gt;=$T119),$W119,IF(AND($S119&lt;&gt;"",EDATE($D119,Milestones!$AA$174)&gt;=$S119),$V119,$U119)))=Milestones!$AB$174),UPPER(TEXT(EDATE($D119,Milestones!$AA$174),"dd mmm yy"))&amp;" "&amp;Milestones!$AB$174&amp;" "&amp;Milestones!$AC$174&amp;";  ","")&amp;IF(AND(EDATE($D119,Milestones!$AA$175)&lt;=AsOfDate,IF($R119=0,$X119,IF(AND($T119&lt;&gt;"",EDATE($D119,Milestones!$AA$175)&gt;=$T119),$W119,IF(AND($S119&lt;&gt;"",EDATE($D119,Milestones!$AA$175)&gt;=$S119),$V119,$U119)))=Milestones!$AB$175),UPPER(TEXT(EDATE($D119,Milestones!$AA$175),"dd mmm yy"))&amp;" "&amp;Milestones!$AB$175&amp;" "&amp;Milestones!$AC$175&amp;";  ","")&amp;IF(AND(EDATE($D119,Milestones!$AA$176)&lt;=AsOfDate,IF($R119=0,$X119,IF(AND($T119&lt;&gt;"",EDATE($D119,Milestones!$AA$176)&gt;=$T119),$W119,IF(AND($S119&lt;&gt;"",EDATE($D119,Milestones!$AA$176)&gt;=$S119),$V119,$U119)))=Milestones!$AB$176),UPPER(TEXT(EDATE($D119,Milestones!$AA$176),"dd mmm yy"))&amp;" "&amp;Milestones!$AB$176&amp;" "&amp;Milestones!$AC$176&amp;";  ","")&amp;IF(AND(EDATE($D119,Milestones!$AA$177)&lt;=AsOfDate,IF($R119=0,$X119,IF(AND($T119&lt;&gt;"",EDATE($D119,Milestones!$AA$177)&gt;=$T119),$W119,IF(AND($S119&lt;&gt;"",EDATE($D119,Milestones!$AA$177)&gt;=$S119),$V119,$U119)))=Milestones!$AB$177),UPPER(TEXT(EDATE($D119,Milestones!$AA$177),"dd mmm yy"))&amp;" "&amp;Milestones!$AB$177&amp;" "&amp;Milestones!$AC$177&amp;";  ","")&amp;IF(AND(EDATE($D119,Milestones!$AA$178)&lt;=AsOfDate,IF($R119=0,$X119,IF(AND($T119&lt;&gt;"",EDATE($D119,Milestones!$AA$178)&gt;=$T119),$W119,IF(AND($S119&lt;&gt;"",EDATE($D119,Milestones!$AA$178)&gt;=$S119),$V119,$U119)))=Milestones!$AB$178),UPPER(TEXT(EDATE($D119,Milestones!$AA$178),"dd mmm yy"))&amp;" "&amp;Milestones!$AB$178&amp;" "&amp;Milestones!$AC$178&amp;";  ","")&amp;IF(AND(EDATE($D119,Milestones!$AA$179)&lt;=AsOfDate,IF($R119=0,$X119,IF(AND($T119&lt;&gt;"",EDATE($D119,Milestones!$AA$179)&gt;=$T119),$W119,IF(AND($S119&lt;&gt;"",EDATE($D119,Milestones!$AA$179)&gt;=$S119),$V119,$U119)))=Milestones!$AB$179),UPPER(TEXT(EDATE($D119,Milestones!$AA$179),"dd mmm yy"))&amp;" "&amp;Milestones!$AB$179&amp;" "&amp;Milestones!$AC$179&amp;";  ",""))</f>
        <v/>
      </c>
      <c r="Q119" s="0" t="str">
        <f aca="false">IF(OR($A119="",$D119=""),"",IF(AND(EDATE($D119,Milestones!$AA$180)&lt;=AsOfDate,IF($R119=0,$X119,IF(AND($T119&lt;&gt;"",EDATE($D119,Milestones!$AA$180)&gt;=$T119),$W119,IF(AND($S119&lt;&gt;"",EDATE($D119,Milestones!$AA$180)&gt;=$S119),$V119,$U119)))=Milestones!$AB$180),UPPER(TEXT(EDATE($D119,Milestones!$AA$180),"dd mmm yy"))&amp;" "&amp;Milestones!$AB$180&amp;" "&amp;Milestones!$AC$180&amp;";  ","")&amp;IF(AND(EDATE($D119,Milestones!$AA$181)&lt;=AsOfDate,IF($R119=0,$X119,IF(AND($T119&lt;&gt;"",EDATE($D119,Milestones!$AA$181)&gt;=$T119),$W119,IF(AND($S119&lt;&gt;"",EDATE($D119,Milestones!$AA$181)&gt;=$S119),$V119,$U119)))=Milestones!$AB$181),UPPER(TEXT(EDATE($D119,Milestones!$AA$181),"dd mmm yy"))&amp;" "&amp;Milestones!$AB$181&amp;" "&amp;Milestones!$AC$181&amp;";  ","")&amp;IF(AND(EDATE($D119,Milestones!$AA$182)&lt;=AsOfDate,IF($R119=0,$X119,IF(AND($T119&lt;&gt;"",EDATE($D119,Milestones!$AA$182)&gt;=$T119),$W119,IF(AND($S119&lt;&gt;"",EDATE($D119,Milestones!$AA$182)&gt;=$S119),$V119,$U119)))=Milestones!$AB$182),UPPER(TEXT(EDATE($D119,Milestones!$AA$182),"dd mmm yy"))&amp;" "&amp;Milestones!$AB$182&amp;" "&amp;Milestones!$AC$182&amp;";  ","")&amp;IF(AND(EDATE($D119,Milestones!$AA$183)&lt;=AsOfDate,IF($R119=0,$X119,IF(AND($T119&lt;&gt;"",EDATE($D119,Milestones!$AA$183)&gt;=$T119),$W119,IF(AND($S119&lt;&gt;"",EDATE($D119,Milestones!$AA$183)&gt;=$S119),$V119,$U119)))=Milestones!$AB$183),UPPER(TEXT(EDATE($D119,Milestones!$AA$183),"dd mmm yy"))&amp;" "&amp;Milestones!$AB$183&amp;" "&amp;Milestones!$AC$183&amp;";  ","")&amp;IF(AND(EDATE($D119,Milestones!$AA$184)&lt;=AsOfDate,IF($R119=0,$X119,IF(AND($T119&lt;&gt;"",EDATE($D119,Milestones!$AA$184)&gt;=$T119),$W119,IF(AND($S119&lt;&gt;"",EDATE($D119,Milestones!$AA$184)&gt;=$S119),$V119,$U119)))=Milestones!$AB$184),UPPER(TEXT(EDATE($D119,Milestones!$AA$184),"dd mmm yy"))&amp;" "&amp;Milestones!$AB$184&amp;" "&amp;Milestones!$AC$184&amp;";  ","")&amp;IF(AND(EDATE($D119,Milestones!$AA$185)&lt;=AsOfDate,IF($R119=0,$X119,IF(AND($T119&lt;&gt;"",EDATE($D119,Milestones!$AA$185)&gt;=$T119),$W119,IF(AND($S119&lt;&gt;"",EDATE($D119,Milestones!$AA$185)&gt;=$S119),$V119,$U119)))=Milestones!$AB$185),UPPER(TEXT(EDATE($D119,Milestones!$AA$185),"dd mmm yy"))&amp;" "&amp;Milestones!$AB$185&amp;" "&amp;Milestones!$AC$185&amp;";  ","")&amp;IF(AND(EDATE($D119,Milestones!$AA$186)&lt;=AsOfDate,IF($R119=0,$X119,IF(AND($T119&lt;&gt;"",EDATE($D119,Milestones!$AA$186)&gt;=$T119),$W119,IF(AND($S119&lt;&gt;"",EDATE($D119,Milestones!$AA$186)&gt;=$S119),$V119,$U119)))=Milestones!$AB$186),UPPER(TEXT(EDATE($D119,Milestones!$AA$186),"dd mmm yy"))&amp;" "&amp;Milestones!$AB$186&amp;" "&amp;Milestones!$AC$186&amp;";  ","")&amp;IF(AND(EDATE($D119,Milestones!$AA$187)&lt;=AsOfDate,IF($R119=0,$X119,IF(AND($T119&lt;&gt;"",EDATE($D119,Milestones!$AA$187)&gt;=$T119),$W119,IF(AND($S119&lt;&gt;"",EDATE($D119,Milestones!$AA$187)&gt;=$S119),$V119,$U119)))=Milestones!$AB$187),UPPER(TEXT(EDATE($D119,Milestones!$AA$187),"dd mmm yy"))&amp;" "&amp;Milestones!$AB$187&amp;" "&amp;Milestones!$AC$187&amp;";  ","")&amp;IF(AND(EDATE($D119,Milestones!$AA$188)&lt;=AsOfDate,IF($R119=0,$X119,IF(AND($T119&lt;&gt;"",EDATE($D119,Milestones!$AA$188)&gt;=$T119),$W119,IF(AND($S119&lt;&gt;"",EDATE($D119,Milestones!$AA$188)&gt;=$S119),$V119,$U119)))=Milestones!$AB$188),UPPER(TEXT(EDATE($D119,Milestones!$AA$188),"dd mmm yy"))&amp;" "&amp;Milestones!$AB$188&amp;" "&amp;Milestones!$AC$188&amp;";  ","")&amp;IF(AND(EDATE($D119,Milestones!$AA$189)&lt;=AsOfDate,IF($R119=0,$X119,IF(AND($T119&lt;&gt;"",EDATE($D119,Milestones!$AA$189)&gt;=$T119),$W119,IF(AND($S119&lt;&gt;"",EDATE($D119,Milestones!$AA$189)&gt;=$S119),$V119,$U119)))=Milestones!$AB$189),UPPER(TEXT(EDATE($D119,Milestones!$AA$189),"dd mmm yy"))&amp;" "&amp;Milestones!$AB$189&amp;" "&amp;Milestones!$AC$189&amp;";  ","")&amp;IF(AND(EDATE($D119,Milestones!$AA$190)&lt;=AsOfDate,IF($R119=0,$X119,IF(AND($T119&lt;&gt;"",EDATE($D119,Milestones!$AA$190)&gt;=$T119),$W119,IF(AND($S119&lt;&gt;"",EDATE($D119,Milestones!$AA$190)&gt;=$S119),$V119,$U119)))=Milestones!$AB$190),UPPER(TEXT(EDATE($D119,Milestones!$AA$190),"dd mmm yy"))&amp;" "&amp;Milestones!$AB$190&amp;" "&amp;Milestones!$AC$190&amp;";  ","")&amp;IF(AND(EDATE($D119,Milestones!$AA$191)&lt;=AsOfDate,IF($R119=0,$X119,IF(AND($T119&lt;&gt;"",EDATE($D119,Milestones!$AA$191)&gt;=$T119),$W119,IF(AND($S119&lt;&gt;"",EDATE($D119,Milestones!$AA$191)&gt;=$S119),$V119,$U119)))=Milestones!$AB$191),UPPER(TEXT(EDATE($D119,Milestones!$AA$191),"dd mmm yy"))&amp;" "&amp;Milestones!$AB$191&amp;" "&amp;Milestones!$AC$191&amp;";  ","")&amp;IF(AND(EDATE($D119,Milestones!$AA$192)&lt;=AsOfDate,IF($R119=0,$X119,IF(AND($T119&lt;&gt;"",EDATE($D119,Milestones!$AA$192)&gt;=$T119),$W119,IF(AND($S119&lt;&gt;"",EDATE($D119,Milestones!$AA$192)&gt;=$S119),$V119,$U119)))=Milestones!$AB$192),UPPER(TEXT(EDATE($D119,Milestones!$AA$192),"dd mmm yy"))&amp;" "&amp;Milestones!$AB$192&amp;" "&amp;Milestones!$AC$192&amp;";  ","")&amp;IF(AND(EDATE($D119,Milestones!$AA$193)&lt;=AsOfDate,IF($R119=0,$X119,IF(AND($T119&lt;&gt;"",EDATE($D119,Milestones!$AA$193)&gt;=$T119),$W119,IF(AND($S119&lt;&gt;"",EDATE($D119,Milestones!$AA$193)&gt;=$S119),$V119,$U119)))=Milestones!$AB$193),UPPER(TEXT(EDATE($D119,Milestones!$AA$193),"dd mmm yy"))&amp;" "&amp;Milestones!$AB$193&amp;" "&amp;Milestones!$AC$193&amp;";  ","")&amp;IF(AND(EDATE($D119,Milestones!$AA$194)&lt;=AsOfDate,IF($R119=0,$X119,IF(AND($T119&lt;&gt;"",EDATE($D119,Milestones!$AA$194)&gt;=$T119),$W119,IF(AND($S119&lt;&gt;"",EDATE($D119,Milestones!$AA$194)&gt;=$S119),$V119,$U119)))=Milestones!$AB$194),UPPER(TEXT(EDATE($D119,Milestones!$AA$194),"dd mmm yy"))&amp;" "&amp;Milestones!$AB$194&amp;" "&amp;Milestones!$AC$194&amp;";  ","")&amp;IF(AND(EDATE($D119,Milestones!$AA$195)&lt;=AsOfDate,IF($R119=0,$X119,IF(AND($T119&lt;&gt;"",EDATE($D119,Milestones!$AA$195)&gt;=$T119),$W119,IF(AND($S119&lt;&gt;"",EDATE($D119,Milestones!$AA$195)&gt;=$S119),$V119,$U119)))=Milestones!$AB$195),UPPER(TEXT(EDATE($D119,Milestones!$AA$195),"dd mmm yy"))&amp;" "&amp;Milestones!$AB$195&amp;" "&amp;Milestones!$AC$195&amp;";  ","")&amp;IF(AND(EDATE($D119,Milestones!$AA$196)&lt;=AsOfDate,IF($R119=0,$X119,IF(AND($T119&lt;&gt;"",EDATE($D119,Milestones!$AA$196)&gt;=$T119),$W119,IF(AND($S119&lt;&gt;"",EDATE($D119,Milestones!$AA$196)&gt;=$S119),$V119,$U119)))=Milestones!$AB$196),UPPER(TEXT(EDATE($D119,Milestones!$AA$196),"dd mmm yy"))&amp;" "&amp;Milestones!$AB$196&amp;" "&amp;Milestones!$AC$196&amp;";  ","")&amp;IF(AND(EDATE($D119,Milestones!$AA$197)&lt;=AsOfDate,IF($R119=0,$X119,IF(AND($T119&lt;&gt;"",EDATE($D119,Milestones!$AA$197)&gt;=$T119),$W119,IF(AND($S119&lt;&gt;"",EDATE($D119,Milestones!$AA$197)&gt;=$S119),$V119,$U119)))=Milestones!$AB$197),UPPER(TEXT(EDATE($D119,Milestones!$AA$197),"dd mmm yy"))&amp;" "&amp;Milestones!$AB$197&amp;" "&amp;Milestones!$AC$197&amp;";  ","")&amp;IF(AND(EDATE($D119,Milestones!$AA$198)&lt;=AsOfDate,IF($R119=0,$X119,IF(AND($T119&lt;&gt;"",EDATE($D119,Milestones!$AA$198)&gt;=$T119),$W119,IF(AND($S119&lt;&gt;"",EDATE($D119,Milestones!$AA$198)&gt;=$S119),$V119,$U119)))=Milestones!$AB$198),UPPER(TEXT(EDATE($D119,Milestones!$AA$198),"dd mmm yy"))&amp;" "&amp;Milestones!$AB$198&amp;" "&amp;Milestones!$AC$198&amp;";  ","")&amp;IF(AND(EDATE($D119,Milestones!$AA$199)&lt;=AsOfDate,IF($R119=0,$X119,IF(AND($T119&lt;&gt;"",EDATE($D119,Milestones!$AA$199)&gt;=$T119),$W119,IF(AND($S119&lt;&gt;"",EDATE($D119,Milestones!$AA$199)&gt;=$S119),$V119,$U119)))=Milestones!$AB$199),UPPER(TEXT(EDATE($D119,Milestones!$AA$199),"dd mmm yy"))&amp;" "&amp;Milestones!$AB$199&amp;" "&amp;Milestones!$AC$199&amp;";  ",""))</f>
        <v/>
      </c>
      <c r="R119" s="0" t="str">
        <f aca="false">IF(Staff!$A119="","",Staff!$AI119)</f>
        <v/>
      </c>
      <c r="S119" s="0" t="str">
        <f aca="false">IF(Staff!$A119="","",Staff!$AK119)</f>
        <v/>
      </c>
      <c r="T119" s="0" t="str">
        <f aca="false">IF(Staff!$A119="","",Staff!$AL119)</f>
        <v/>
      </c>
      <c r="U119" s="0" t="str">
        <f aca="false">IF(Staff!$A119="","",Staff!$AP119)</f>
        <v/>
      </c>
      <c r="V119" s="0" t="str">
        <f aca="false">IF(Staff!$A119="","",Staff!$AQ119)</f>
        <v/>
      </c>
      <c r="W119" s="0" t="str">
        <f aca="false">IF(Staff!$A119="","",Staff!$AR119)</f>
        <v/>
      </c>
      <c r="X119" s="0" t="str">
        <f aca="false">IF(Staff!$A119="","",Staff!$AS119)</f>
        <v/>
      </c>
    </row>
    <row r="120" customFormat="false" ht="15" hidden="false" customHeight="false" outlineLevel="0" collapsed="false">
      <c r="A120" s="19" t="str">
        <f aca="false">IF(Staff!$A120="","",Staff!$A120)</f>
        <v/>
      </c>
      <c r="B120" s="19" t="str">
        <f aca="false">IF(Staff!$A120="","",Staff!$B120)</f>
        <v/>
      </c>
      <c r="C120" s="19" t="str">
        <f aca="false">IF(Staff!$A120="","",Staff!$C120)</f>
        <v/>
      </c>
      <c r="D120" s="17" t="str">
        <f aca="false">IF(Staff!$A120="","",Staff!$AH120)</f>
        <v/>
      </c>
      <c r="E120" s="19" t="str">
        <f aca="false">IF(Staff!$A120="","",Staff!$O120)</f>
        <v/>
      </c>
      <c r="F120" s="19" t="str">
        <f aca="false">IF(E120="","",E120*HoursPerDay)</f>
        <v/>
      </c>
      <c r="G120" s="19" t="str">
        <f aca="false">IF(Staff!$A120="","",Staff!$AE120)</f>
        <v/>
      </c>
      <c r="H120" s="32" t="str">
        <f aca="false">IF($A120="","",I120&amp;J120&amp;K120&amp;L120&amp;M120&amp;N120&amp;O120&amp;P120&amp;Q120)</f>
        <v/>
      </c>
      <c r="I120" s="0" t="str">
        <f aca="false">IF(OR($A120="",$D120=""),"",IF(AND(EDATE($D120,Milestones!$AA$20)&lt;=AsOfDate,IF($R120=0,$X120,IF(AND($T120&lt;&gt;"",EDATE($D120,Milestones!$AA$20)&gt;=$T120),$W120,IF(AND($S120&lt;&gt;"",EDATE($D120,Milestones!$AA$20)&gt;=$S120),$V120,$U120)))=Milestones!$AB$20),UPPER(TEXT(EDATE($D120,Milestones!$AA$20),"dd mmm yy"))&amp;" "&amp;Milestones!$AB$20&amp;" "&amp;Milestones!$AC$20&amp;";  ","")&amp;IF(AND(EDATE($D120,Milestones!$AA$21)&lt;=AsOfDate,IF($R120=0,$X120,IF(AND($T120&lt;&gt;"",EDATE($D120,Milestones!$AA$21)&gt;=$T120),$W120,IF(AND($S120&lt;&gt;"",EDATE($D120,Milestones!$AA$21)&gt;=$S120),$V120,$U120)))=Milestones!$AB$21),UPPER(TEXT(EDATE($D120,Milestones!$AA$21),"dd mmm yy"))&amp;" "&amp;Milestones!$AB$21&amp;" "&amp;Milestones!$AC$21&amp;";  ","")&amp;IF(AND(EDATE($D120,Milestones!$AA$22)&lt;=AsOfDate,IF($R120=0,$X120,IF(AND($T120&lt;&gt;"",EDATE($D120,Milestones!$AA$22)&gt;=$T120),$W120,IF(AND($S120&lt;&gt;"",EDATE($D120,Milestones!$AA$22)&gt;=$S120),$V120,$U120)))=Milestones!$AB$22),UPPER(TEXT(EDATE($D120,Milestones!$AA$22),"dd mmm yy"))&amp;" "&amp;Milestones!$AB$22&amp;" "&amp;Milestones!$AC$22&amp;";  ","")&amp;IF(AND(EDATE($D120,Milestones!$AA$23)&lt;=AsOfDate,IF($R120=0,$X120,IF(AND($T120&lt;&gt;"",EDATE($D120,Milestones!$AA$23)&gt;=$T120),$W120,IF(AND($S120&lt;&gt;"",EDATE($D120,Milestones!$AA$23)&gt;=$S120),$V120,$U120)))=Milestones!$AB$23),UPPER(TEXT(EDATE($D120,Milestones!$AA$23),"dd mmm yy"))&amp;" "&amp;Milestones!$AB$23&amp;" "&amp;Milestones!$AC$23&amp;";  ","")&amp;IF(AND(EDATE($D120,Milestones!$AA$24)&lt;=AsOfDate,IF($R120=0,$X120,IF(AND($T120&lt;&gt;"",EDATE($D120,Milestones!$AA$24)&gt;=$T120),$W120,IF(AND($S120&lt;&gt;"",EDATE($D120,Milestones!$AA$24)&gt;=$S120),$V120,$U120)))=Milestones!$AB$24),UPPER(TEXT(EDATE($D120,Milestones!$AA$24),"dd mmm yy"))&amp;" "&amp;Milestones!$AB$24&amp;" "&amp;Milestones!$AC$24&amp;";  ","")&amp;IF(AND(EDATE($D120,Milestones!$AA$25)&lt;=AsOfDate,IF($R120=0,$X120,IF(AND($T120&lt;&gt;"",EDATE($D120,Milestones!$AA$25)&gt;=$T120),$W120,IF(AND($S120&lt;&gt;"",EDATE($D120,Milestones!$AA$25)&gt;=$S120),$V120,$U120)))=Milestones!$AB$25),UPPER(TEXT(EDATE($D120,Milestones!$AA$25),"dd mmm yy"))&amp;" "&amp;Milestones!$AB$25&amp;" "&amp;Milestones!$AC$25&amp;";  ","")&amp;IF(AND(EDATE($D120,Milestones!$AA$26)&lt;=AsOfDate,IF($R120=0,$X120,IF(AND($T120&lt;&gt;"",EDATE($D120,Milestones!$AA$26)&gt;=$T120),$W120,IF(AND($S120&lt;&gt;"",EDATE($D120,Milestones!$AA$26)&gt;=$S120),$V120,$U120)))=Milestones!$AB$26),UPPER(TEXT(EDATE($D120,Milestones!$AA$26),"dd mmm yy"))&amp;" "&amp;Milestones!$AB$26&amp;" "&amp;Milestones!$AC$26&amp;";  ","")&amp;IF(AND(EDATE($D120,Milestones!$AA$27)&lt;=AsOfDate,IF($R120=0,$X120,IF(AND($T120&lt;&gt;"",EDATE($D120,Milestones!$AA$27)&gt;=$T120),$W120,IF(AND($S120&lt;&gt;"",EDATE($D120,Milestones!$AA$27)&gt;=$S120),$V120,$U120)))=Milestones!$AB$27),UPPER(TEXT(EDATE($D120,Milestones!$AA$27),"dd mmm yy"))&amp;" "&amp;Milestones!$AB$27&amp;" "&amp;Milestones!$AC$27&amp;";  ","")&amp;IF(AND(EDATE($D120,Milestones!$AA$28)&lt;=AsOfDate,IF($R120=0,$X120,IF(AND($T120&lt;&gt;"",EDATE($D120,Milestones!$AA$28)&gt;=$T120),$W120,IF(AND($S120&lt;&gt;"",EDATE($D120,Milestones!$AA$28)&gt;=$S120),$V120,$U120)))=Milestones!$AB$28),UPPER(TEXT(EDATE($D120,Milestones!$AA$28),"dd mmm yy"))&amp;" "&amp;Milestones!$AB$28&amp;" "&amp;Milestones!$AC$28&amp;";  ","")&amp;IF(AND(EDATE($D120,Milestones!$AA$29)&lt;=AsOfDate,IF($R120=0,$X120,IF(AND($T120&lt;&gt;"",EDATE($D120,Milestones!$AA$29)&gt;=$T120),$W120,IF(AND($S120&lt;&gt;"",EDATE($D120,Milestones!$AA$29)&gt;=$S120),$V120,$U120)))=Milestones!$AB$29),UPPER(TEXT(EDATE($D120,Milestones!$AA$29),"dd mmm yy"))&amp;" "&amp;Milestones!$AB$29&amp;" "&amp;Milestones!$AC$29&amp;";  ","")&amp;IF(AND(EDATE($D120,Milestones!$AA$30)&lt;=AsOfDate,IF($R120=0,$X120,IF(AND($T120&lt;&gt;"",EDATE($D120,Milestones!$AA$30)&gt;=$T120),$W120,IF(AND($S120&lt;&gt;"",EDATE($D120,Milestones!$AA$30)&gt;=$S120),$V120,$U120)))=Milestones!$AB$30),UPPER(TEXT(EDATE($D120,Milestones!$AA$30),"dd mmm yy"))&amp;" "&amp;Milestones!$AB$30&amp;" "&amp;Milestones!$AC$30&amp;";  ","")&amp;IF(AND(EDATE($D120,Milestones!$AA$31)&lt;=AsOfDate,IF($R120=0,$X120,IF(AND($T120&lt;&gt;"",EDATE($D120,Milestones!$AA$31)&gt;=$T120),$W120,IF(AND($S120&lt;&gt;"",EDATE($D120,Milestones!$AA$31)&gt;=$S120),$V120,$U120)))=Milestones!$AB$31),UPPER(TEXT(EDATE($D120,Milestones!$AA$31),"dd mmm yy"))&amp;" "&amp;Milestones!$AB$31&amp;" "&amp;Milestones!$AC$31&amp;";  ","")&amp;IF(AND(EDATE($D120,Milestones!$AA$32)&lt;=AsOfDate,IF($R120=0,$X120,IF(AND($T120&lt;&gt;"",EDATE($D120,Milestones!$AA$32)&gt;=$T120),$W120,IF(AND($S120&lt;&gt;"",EDATE($D120,Milestones!$AA$32)&gt;=$S120),$V120,$U120)))=Milestones!$AB$32),UPPER(TEXT(EDATE($D120,Milestones!$AA$32),"dd mmm yy"))&amp;" "&amp;Milestones!$AB$32&amp;" "&amp;Milestones!$AC$32&amp;";  ","")&amp;IF(AND(EDATE($D120,Milestones!$AA$33)&lt;=AsOfDate,IF($R120=0,$X120,IF(AND($T120&lt;&gt;"",EDATE($D120,Milestones!$AA$33)&gt;=$T120),$W120,IF(AND($S120&lt;&gt;"",EDATE($D120,Milestones!$AA$33)&gt;=$S120),$V120,$U120)))=Milestones!$AB$33),UPPER(TEXT(EDATE($D120,Milestones!$AA$33),"dd mmm yy"))&amp;" "&amp;Milestones!$AB$33&amp;" "&amp;Milestones!$AC$33&amp;";  ","")&amp;IF(AND(EDATE($D120,Milestones!$AA$34)&lt;=AsOfDate,IF($R120=0,$X120,IF(AND($T120&lt;&gt;"",EDATE($D120,Milestones!$AA$34)&gt;=$T120),$W120,IF(AND($S120&lt;&gt;"",EDATE($D120,Milestones!$AA$34)&gt;=$S120),$V120,$U120)))=Milestones!$AB$34),UPPER(TEXT(EDATE($D120,Milestones!$AA$34),"dd mmm yy"))&amp;" "&amp;Milestones!$AB$34&amp;" "&amp;Milestones!$AC$34&amp;";  ","")&amp;IF(AND(EDATE($D120,Milestones!$AA$35)&lt;=AsOfDate,IF($R120=0,$X120,IF(AND($T120&lt;&gt;"",EDATE($D120,Milestones!$AA$35)&gt;=$T120),$W120,IF(AND($S120&lt;&gt;"",EDATE($D120,Milestones!$AA$35)&gt;=$S120),$V120,$U120)))=Milestones!$AB$35),UPPER(TEXT(EDATE($D120,Milestones!$AA$35),"dd mmm yy"))&amp;" "&amp;Milestones!$AB$35&amp;" "&amp;Milestones!$AC$35&amp;";  ","")&amp;IF(AND(EDATE($D120,Milestones!$AA$36)&lt;=AsOfDate,IF($R120=0,$X120,IF(AND($T120&lt;&gt;"",EDATE($D120,Milestones!$AA$36)&gt;=$T120),$W120,IF(AND($S120&lt;&gt;"",EDATE($D120,Milestones!$AA$36)&gt;=$S120),$V120,$U120)))=Milestones!$AB$36),UPPER(TEXT(EDATE($D120,Milestones!$AA$36),"dd mmm yy"))&amp;" "&amp;Milestones!$AB$36&amp;" "&amp;Milestones!$AC$36&amp;";  ","")&amp;IF(AND(EDATE($D120,Milestones!$AA$37)&lt;=AsOfDate,IF($R120=0,$X120,IF(AND($T120&lt;&gt;"",EDATE($D120,Milestones!$AA$37)&gt;=$T120),$W120,IF(AND($S120&lt;&gt;"",EDATE($D120,Milestones!$AA$37)&gt;=$S120),$V120,$U120)))=Milestones!$AB$37),UPPER(TEXT(EDATE($D120,Milestones!$AA$37),"dd mmm yy"))&amp;" "&amp;Milestones!$AB$37&amp;" "&amp;Milestones!$AC$37&amp;";  ","")&amp;IF(AND(EDATE($D120,Milestones!$AA$38)&lt;=AsOfDate,IF($R120=0,$X120,IF(AND($T120&lt;&gt;"",EDATE($D120,Milestones!$AA$38)&gt;=$T120),$W120,IF(AND($S120&lt;&gt;"",EDATE($D120,Milestones!$AA$38)&gt;=$S120),$V120,$U120)))=Milestones!$AB$38),UPPER(TEXT(EDATE($D120,Milestones!$AA$38),"dd mmm yy"))&amp;" "&amp;Milestones!$AB$38&amp;" "&amp;Milestones!$AC$38&amp;";  ","")&amp;IF(AND(EDATE($D120,Milestones!$AA$39)&lt;=AsOfDate,IF($R120=0,$X120,IF(AND($T120&lt;&gt;"",EDATE($D120,Milestones!$AA$39)&gt;=$T120),$W120,IF(AND($S120&lt;&gt;"",EDATE($D120,Milestones!$AA$39)&gt;=$S120),$V120,$U120)))=Milestones!$AB$39),UPPER(TEXT(EDATE($D120,Milestones!$AA$39),"dd mmm yy"))&amp;" "&amp;Milestones!$AB$39&amp;" "&amp;Milestones!$AC$39&amp;";  ",""))</f>
        <v/>
      </c>
      <c r="J120" s="0" t="str">
        <f aca="false">IF(OR($A120="",$D120=""),"",IF(AND(EDATE($D120,Milestones!$AA$40)&lt;=AsOfDate,IF($R120=0,$X120,IF(AND($T120&lt;&gt;"",EDATE($D120,Milestones!$AA$40)&gt;=$T120),$W120,IF(AND($S120&lt;&gt;"",EDATE($D120,Milestones!$AA$40)&gt;=$S120),$V120,$U120)))=Milestones!$AB$40),UPPER(TEXT(EDATE($D120,Milestones!$AA$40),"dd mmm yy"))&amp;" "&amp;Milestones!$AB$40&amp;" "&amp;Milestones!$AC$40&amp;";  ","")&amp;IF(AND(EDATE($D120,Milestones!$AA$41)&lt;=AsOfDate,IF($R120=0,$X120,IF(AND($T120&lt;&gt;"",EDATE($D120,Milestones!$AA$41)&gt;=$T120),$W120,IF(AND($S120&lt;&gt;"",EDATE($D120,Milestones!$AA$41)&gt;=$S120),$V120,$U120)))=Milestones!$AB$41),UPPER(TEXT(EDATE($D120,Milestones!$AA$41),"dd mmm yy"))&amp;" "&amp;Milestones!$AB$41&amp;" "&amp;Milestones!$AC$41&amp;";  ","")&amp;IF(AND(EDATE($D120,Milestones!$AA$42)&lt;=AsOfDate,IF($R120=0,$X120,IF(AND($T120&lt;&gt;"",EDATE($D120,Milestones!$AA$42)&gt;=$T120),$W120,IF(AND($S120&lt;&gt;"",EDATE($D120,Milestones!$AA$42)&gt;=$S120),$V120,$U120)))=Milestones!$AB$42),UPPER(TEXT(EDATE($D120,Milestones!$AA$42),"dd mmm yy"))&amp;" "&amp;Milestones!$AB$42&amp;" "&amp;Milestones!$AC$42&amp;";  ","")&amp;IF(AND(EDATE($D120,Milestones!$AA$43)&lt;=AsOfDate,IF($R120=0,$X120,IF(AND($T120&lt;&gt;"",EDATE($D120,Milestones!$AA$43)&gt;=$T120),$W120,IF(AND($S120&lt;&gt;"",EDATE($D120,Milestones!$AA$43)&gt;=$S120),$V120,$U120)))=Milestones!$AB$43),UPPER(TEXT(EDATE($D120,Milestones!$AA$43),"dd mmm yy"))&amp;" "&amp;Milestones!$AB$43&amp;" "&amp;Milestones!$AC$43&amp;";  ","")&amp;IF(AND(EDATE($D120,Milestones!$AA$44)&lt;=AsOfDate,IF($R120=0,$X120,IF(AND($T120&lt;&gt;"",EDATE($D120,Milestones!$AA$44)&gt;=$T120),$W120,IF(AND($S120&lt;&gt;"",EDATE($D120,Milestones!$AA$44)&gt;=$S120),$V120,$U120)))=Milestones!$AB$44),UPPER(TEXT(EDATE($D120,Milestones!$AA$44),"dd mmm yy"))&amp;" "&amp;Milestones!$AB$44&amp;" "&amp;Milestones!$AC$44&amp;";  ","")&amp;IF(AND(EDATE($D120,Milestones!$AA$45)&lt;=AsOfDate,IF($R120=0,$X120,IF(AND($T120&lt;&gt;"",EDATE($D120,Milestones!$AA$45)&gt;=$T120),$W120,IF(AND($S120&lt;&gt;"",EDATE($D120,Milestones!$AA$45)&gt;=$S120),$V120,$U120)))=Milestones!$AB$45),UPPER(TEXT(EDATE($D120,Milestones!$AA$45),"dd mmm yy"))&amp;" "&amp;Milestones!$AB$45&amp;" "&amp;Milestones!$AC$45&amp;";  ","")&amp;IF(AND(EDATE($D120,Milestones!$AA$46)&lt;=AsOfDate,IF($R120=0,$X120,IF(AND($T120&lt;&gt;"",EDATE($D120,Milestones!$AA$46)&gt;=$T120),$W120,IF(AND($S120&lt;&gt;"",EDATE($D120,Milestones!$AA$46)&gt;=$S120),$V120,$U120)))=Milestones!$AB$46),UPPER(TEXT(EDATE($D120,Milestones!$AA$46),"dd mmm yy"))&amp;" "&amp;Milestones!$AB$46&amp;" "&amp;Milestones!$AC$46&amp;";  ","")&amp;IF(AND(EDATE($D120,Milestones!$AA$47)&lt;=AsOfDate,IF($R120=0,$X120,IF(AND($T120&lt;&gt;"",EDATE($D120,Milestones!$AA$47)&gt;=$T120),$W120,IF(AND($S120&lt;&gt;"",EDATE($D120,Milestones!$AA$47)&gt;=$S120),$V120,$U120)))=Milestones!$AB$47),UPPER(TEXT(EDATE($D120,Milestones!$AA$47),"dd mmm yy"))&amp;" "&amp;Milestones!$AB$47&amp;" "&amp;Milestones!$AC$47&amp;";  ","")&amp;IF(AND(EDATE($D120,Milestones!$AA$48)&lt;=AsOfDate,IF($R120=0,$X120,IF(AND($T120&lt;&gt;"",EDATE($D120,Milestones!$AA$48)&gt;=$T120),$W120,IF(AND($S120&lt;&gt;"",EDATE($D120,Milestones!$AA$48)&gt;=$S120),$V120,$U120)))=Milestones!$AB$48),UPPER(TEXT(EDATE($D120,Milestones!$AA$48),"dd mmm yy"))&amp;" "&amp;Milestones!$AB$48&amp;" "&amp;Milestones!$AC$48&amp;";  ","")&amp;IF(AND(EDATE($D120,Milestones!$AA$49)&lt;=AsOfDate,IF($R120=0,$X120,IF(AND($T120&lt;&gt;"",EDATE($D120,Milestones!$AA$49)&gt;=$T120),$W120,IF(AND($S120&lt;&gt;"",EDATE($D120,Milestones!$AA$49)&gt;=$S120),$V120,$U120)))=Milestones!$AB$49),UPPER(TEXT(EDATE($D120,Milestones!$AA$49),"dd mmm yy"))&amp;" "&amp;Milestones!$AB$49&amp;" "&amp;Milestones!$AC$49&amp;";  ","")&amp;IF(AND(EDATE($D120,Milestones!$AA$50)&lt;=AsOfDate,IF($R120=0,$X120,IF(AND($T120&lt;&gt;"",EDATE($D120,Milestones!$AA$50)&gt;=$T120),$W120,IF(AND($S120&lt;&gt;"",EDATE($D120,Milestones!$AA$50)&gt;=$S120),$V120,$U120)))=Milestones!$AB$50),UPPER(TEXT(EDATE($D120,Milestones!$AA$50),"dd mmm yy"))&amp;" "&amp;Milestones!$AB$50&amp;" "&amp;Milestones!$AC$50&amp;";  ","")&amp;IF(AND(EDATE($D120,Milestones!$AA$51)&lt;=AsOfDate,IF($R120=0,$X120,IF(AND($T120&lt;&gt;"",EDATE($D120,Milestones!$AA$51)&gt;=$T120),$W120,IF(AND($S120&lt;&gt;"",EDATE($D120,Milestones!$AA$51)&gt;=$S120),$V120,$U120)))=Milestones!$AB$51),UPPER(TEXT(EDATE($D120,Milestones!$AA$51),"dd mmm yy"))&amp;" "&amp;Milestones!$AB$51&amp;" "&amp;Milestones!$AC$51&amp;";  ","")&amp;IF(AND(EDATE($D120,Milestones!$AA$52)&lt;=AsOfDate,IF($R120=0,$X120,IF(AND($T120&lt;&gt;"",EDATE($D120,Milestones!$AA$52)&gt;=$T120),$W120,IF(AND($S120&lt;&gt;"",EDATE($D120,Milestones!$AA$52)&gt;=$S120),$V120,$U120)))=Milestones!$AB$52),UPPER(TEXT(EDATE($D120,Milestones!$AA$52),"dd mmm yy"))&amp;" "&amp;Milestones!$AB$52&amp;" "&amp;Milestones!$AC$52&amp;";  ","")&amp;IF(AND(EDATE($D120,Milestones!$AA$53)&lt;=AsOfDate,IF($R120=0,$X120,IF(AND($T120&lt;&gt;"",EDATE($D120,Milestones!$AA$53)&gt;=$T120),$W120,IF(AND($S120&lt;&gt;"",EDATE($D120,Milestones!$AA$53)&gt;=$S120),$V120,$U120)))=Milestones!$AB$53),UPPER(TEXT(EDATE($D120,Milestones!$AA$53),"dd mmm yy"))&amp;" "&amp;Milestones!$AB$53&amp;" "&amp;Milestones!$AC$53&amp;";  ","")&amp;IF(AND(EDATE($D120,Milestones!$AA$54)&lt;=AsOfDate,IF($R120=0,$X120,IF(AND($T120&lt;&gt;"",EDATE($D120,Milestones!$AA$54)&gt;=$T120),$W120,IF(AND($S120&lt;&gt;"",EDATE($D120,Milestones!$AA$54)&gt;=$S120),$V120,$U120)))=Milestones!$AB$54),UPPER(TEXT(EDATE($D120,Milestones!$AA$54),"dd mmm yy"))&amp;" "&amp;Milestones!$AB$54&amp;" "&amp;Milestones!$AC$54&amp;";  ","")&amp;IF(AND(EDATE($D120,Milestones!$AA$55)&lt;=AsOfDate,IF($R120=0,$X120,IF(AND($T120&lt;&gt;"",EDATE($D120,Milestones!$AA$55)&gt;=$T120),$W120,IF(AND($S120&lt;&gt;"",EDATE($D120,Milestones!$AA$55)&gt;=$S120),$V120,$U120)))=Milestones!$AB$55),UPPER(TEXT(EDATE($D120,Milestones!$AA$55),"dd mmm yy"))&amp;" "&amp;Milestones!$AB$55&amp;" "&amp;Milestones!$AC$55&amp;";  ","")&amp;IF(AND(EDATE($D120,Milestones!$AA$56)&lt;=AsOfDate,IF($R120=0,$X120,IF(AND($T120&lt;&gt;"",EDATE($D120,Milestones!$AA$56)&gt;=$T120),$W120,IF(AND($S120&lt;&gt;"",EDATE($D120,Milestones!$AA$56)&gt;=$S120),$V120,$U120)))=Milestones!$AB$56),UPPER(TEXT(EDATE($D120,Milestones!$AA$56),"dd mmm yy"))&amp;" "&amp;Milestones!$AB$56&amp;" "&amp;Milestones!$AC$56&amp;";  ","")&amp;IF(AND(EDATE($D120,Milestones!$AA$57)&lt;=AsOfDate,IF($R120=0,$X120,IF(AND($T120&lt;&gt;"",EDATE($D120,Milestones!$AA$57)&gt;=$T120),$W120,IF(AND($S120&lt;&gt;"",EDATE($D120,Milestones!$AA$57)&gt;=$S120),$V120,$U120)))=Milestones!$AB$57),UPPER(TEXT(EDATE($D120,Milestones!$AA$57),"dd mmm yy"))&amp;" "&amp;Milestones!$AB$57&amp;" "&amp;Milestones!$AC$57&amp;";  ","")&amp;IF(AND(EDATE($D120,Milestones!$AA$58)&lt;=AsOfDate,IF($R120=0,$X120,IF(AND($T120&lt;&gt;"",EDATE($D120,Milestones!$AA$58)&gt;=$T120),$W120,IF(AND($S120&lt;&gt;"",EDATE($D120,Milestones!$AA$58)&gt;=$S120),$V120,$U120)))=Milestones!$AB$58),UPPER(TEXT(EDATE($D120,Milestones!$AA$58),"dd mmm yy"))&amp;" "&amp;Milestones!$AB$58&amp;" "&amp;Milestones!$AC$58&amp;";  ","")&amp;IF(AND(EDATE($D120,Milestones!$AA$59)&lt;=AsOfDate,IF($R120=0,$X120,IF(AND($T120&lt;&gt;"",EDATE($D120,Milestones!$AA$59)&gt;=$T120),$W120,IF(AND($S120&lt;&gt;"",EDATE($D120,Milestones!$AA$59)&gt;=$S120),$V120,$U120)))=Milestones!$AB$59),UPPER(TEXT(EDATE($D120,Milestones!$AA$59),"dd mmm yy"))&amp;" "&amp;Milestones!$AB$59&amp;" "&amp;Milestones!$AC$59&amp;";  ",""))</f>
        <v/>
      </c>
      <c r="K120" s="0" t="str">
        <f aca="false">IF(OR($A120="",$D120=""),"",IF(AND(EDATE($D120,Milestones!$AA$60)&lt;=AsOfDate,IF($R120=0,$X120,IF(AND($T120&lt;&gt;"",EDATE($D120,Milestones!$AA$60)&gt;=$T120),$W120,IF(AND($S120&lt;&gt;"",EDATE($D120,Milestones!$AA$60)&gt;=$S120),$V120,$U120)))=Milestones!$AB$60),UPPER(TEXT(EDATE($D120,Milestones!$AA$60),"dd mmm yy"))&amp;" "&amp;Milestones!$AB$60&amp;" "&amp;Milestones!$AC$60&amp;";  ","")&amp;IF(AND(EDATE($D120,Milestones!$AA$61)&lt;=AsOfDate,IF($R120=0,$X120,IF(AND($T120&lt;&gt;"",EDATE($D120,Milestones!$AA$61)&gt;=$T120),$W120,IF(AND($S120&lt;&gt;"",EDATE($D120,Milestones!$AA$61)&gt;=$S120),$V120,$U120)))=Milestones!$AB$61),UPPER(TEXT(EDATE($D120,Milestones!$AA$61),"dd mmm yy"))&amp;" "&amp;Milestones!$AB$61&amp;" "&amp;Milestones!$AC$61&amp;";  ","")&amp;IF(AND(EDATE($D120,Milestones!$AA$62)&lt;=AsOfDate,IF($R120=0,$X120,IF(AND($T120&lt;&gt;"",EDATE($D120,Milestones!$AA$62)&gt;=$T120),$W120,IF(AND($S120&lt;&gt;"",EDATE($D120,Milestones!$AA$62)&gt;=$S120),$V120,$U120)))=Milestones!$AB$62),UPPER(TEXT(EDATE($D120,Milestones!$AA$62),"dd mmm yy"))&amp;" "&amp;Milestones!$AB$62&amp;" "&amp;Milestones!$AC$62&amp;";  ","")&amp;IF(AND(EDATE($D120,Milestones!$AA$63)&lt;=AsOfDate,IF($R120=0,$X120,IF(AND($T120&lt;&gt;"",EDATE($D120,Milestones!$AA$63)&gt;=$T120),$W120,IF(AND($S120&lt;&gt;"",EDATE($D120,Milestones!$AA$63)&gt;=$S120),$V120,$U120)))=Milestones!$AB$63),UPPER(TEXT(EDATE($D120,Milestones!$AA$63),"dd mmm yy"))&amp;" "&amp;Milestones!$AB$63&amp;" "&amp;Milestones!$AC$63&amp;";  ","")&amp;IF(AND(EDATE($D120,Milestones!$AA$64)&lt;=AsOfDate,IF($R120=0,$X120,IF(AND($T120&lt;&gt;"",EDATE($D120,Milestones!$AA$64)&gt;=$T120),$W120,IF(AND($S120&lt;&gt;"",EDATE($D120,Milestones!$AA$64)&gt;=$S120),$V120,$U120)))=Milestones!$AB$64),UPPER(TEXT(EDATE($D120,Milestones!$AA$64),"dd mmm yy"))&amp;" "&amp;Milestones!$AB$64&amp;" "&amp;Milestones!$AC$64&amp;";  ","")&amp;IF(AND(EDATE($D120,Milestones!$AA$65)&lt;=AsOfDate,IF($R120=0,$X120,IF(AND($T120&lt;&gt;"",EDATE($D120,Milestones!$AA$65)&gt;=$T120),$W120,IF(AND($S120&lt;&gt;"",EDATE($D120,Milestones!$AA$65)&gt;=$S120),$V120,$U120)))=Milestones!$AB$65),UPPER(TEXT(EDATE($D120,Milestones!$AA$65),"dd mmm yy"))&amp;" "&amp;Milestones!$AB$65&amp;" "&amp;Milestones!$AC$65&amp;";  ","")&amp;IF(AND(EDATE($D120,Milestones!$AA$66)&lt;=AsOfDate,IF($R120=0,$X120,IF(AND($T120&lt;&gt;"",EDATE($D120,Milestones!$AA$66)&gt;=$T120),$W120,IF(AND($S120&lt;&gt;"",EDATE($D120,Milestones!$AA$66)&gt;=$S120),$V120,$U120)))=Milestones!$AB$66),UPPER(TEXT(EDATE($D120,Milestones!$AA$66),"dd mmm yy"))&amp;" "&amp;Milestones!$AB$66&amp;" "&amp;Milestones!$AC$66&amp;";  ","")&amp;IF(AND(EDATE($D120,Milestones!$AA$67)&lt;=AsOfDate,IF($R120=0,$X120,IF(AND($T120&lt;&gt;"",EDATE($D120,Milestones!$AA$67)&gt;=$T120),$W120,IF(AND($S120&lt;&gt;"",EDATE($D120,Milestones!$AA$67)&gt;=$S120),$V120,$U120)))=Milestones!$AB$67),UPPER(TEXT(EDATE($D120,Milestones!$AA$67),"dd mmm yy"))&amp;" "&amp;Milestones!$AB$67&amp;" "&amp;Milestones!$AC$67&amp;";  ","")&amp;IF(AND(EDATE($D120,Milestones!$AA$68)&lt;=AsOfDate,IF($R120=0,$X120,IF(AND($T120&lt;&gt;"",EDATE($D120,Milestones!$AA$68)&gt;=$T120),$W120,IF(AND($S120&lt;&gt;"",EDATE($D120,Milestones!$AA$68)&gt;=$S120),$V120,$U120)))=Milestones!$AB$68),UPPER(TEXT(EDATE($D120,Milestones!$AA$68),"dd mmm yy"))&amp;" "&amp;Milestones!$AB$68&amp;" "&amp;Milestones!$AC$68&amp;";  ","")&amp;IF(AND(EDATE($D120,Milestones!$AA$69)&lt;=AsOfDate,IF($R120=0,$X120,IF(AND($T120&lt;&gt;"",EDATE($D120,Milestones!$AA$69)&gt;=$T120),$W120,IF(AND($S120&lt;&gt;"",EDATE($D120,Milestones!$AA$69)&gt;=$S120),$V120,$U120)))=Milestones!$AB$69),UPPER(TEXT(EDATE($D120,Milestones!$AA$69),"dd mmm yy"))&amp;" "&amp;Milestones!$AB$69&amp;" "&amp;Milestones!$AC$69&amp;";  ","")&amp;IF(AND(EDATE($D120,Milestones!$AA$70)&lt;=AsOfDate,IF($R120=0,$X120,IF(AND($T120&lt;&gt;"",EDATE($D120,Milestones!$AA$70)&gt;=$T120),$W120,IF(AND($S120&lt;&gt;"",EDATE($D120,Milestones!$AA$70)&gt;=$S120),$V120,$U120)))=Milestones!$AB$70),UPPER(TEXT(EDATE($D120,Milestones!$AA$70),"dd mmm yy"))&amp;" "&amp;Milestones!$AB$70&amp;" "&amp;Milestones!$AC$70&amp;";  ","")&amp;IF(AND(EDATE($D120,Milestones!$AA$71)&lt;=AsOfDate,IF($R120=0,$X120,IF(AND($T120&lt;&gt;"",EDATE($D120,Milestones!$AA$71)&gt;=$T120),$W120,IF(AND($S120&lt;&gt;"",EDATE($D120,Milestones!$AA$71)&gt;=$S120),$V120,$U120)))=Milestones!$AB$71),UPPER(TEXT(EDATE($D120,Milestones!$AA$71),"dd mmm yy"))&amp;" "&amp;Milestones!$AB$71&amp;" "&amp;Milestones!$AC$71&amp;";  ","")&amp;IF(AND(EDATE($D120,Milestones!$AA$72)&lt;=AsOfDate,IF($R120=0,$X120,IF(AND($T120&lt;&gt;"",EDATE($D120,Milestones!$AA$72)&gt;=$T120),$W120,IF(AND($S120&lt;&gt;"",EDATE($D120,Milestones!$AA$72)&gt;=$S120),$V120,$U120)))=Milestones!$AB$72),UPPER(TEXT(EDATE($D120,Milestones!$AA$72),"dd mmm yy"))&amp;" "&amp;Milestones!$AB$72&amp;" "&amp;Milestones!$AC$72&amp;";  ","")&amp;IF(AND(EDATE($D120,Milestones!$AA$73)&lt;=AsOfDate,IF($R120=0,$X120,IF(AND($T120&lt;&gt;"",EDATE($D120,Milestones!$AA$73)&gt;=$T120),$W120,IF(AND($S120&lt;&gt;"",EDATE($D120,Milestones!$AA$73)&gt;=$S120),$V120,$U120)))=Milestones!$AB$73),UPPER(TEXT(EDATE($D120,Milestones!$AA$73),"dd mmm yy"))&amp;" "&amp;Milestones!$AB$73&amp;" "&amp;Milestones!$AC$73&amp;";  ","")&amp;IF(AND(EDATE($D120,Milestones!$AA$74)&lt;=AsOfDate,IF($R120=0,$X120,IF(AND($T120&lt;&gt;"",EDATE($D120,Milestones!$AA$74)&gt;=$T120),$W120,IF(AND($S120&lt;&gt;"",EDATE($D120,Milestones!$AA$74)&gt;=$S120),$V120,$U120)))=Milestones!$AB$74),UPPER(TEXT(EDATE($D120,Milestones!$AA$74),"dd mmm yy"))&amp;" "&amp;Milestones!$AB$74&amp;" "&amp;Milestones!$AC$74&amp;";  ","")&amp;IF(AND(EDATE($D120,Milestones!$AA$75)&lt;=AsOfDate,IF($R120=0,$X120,IF(AND($T120&lt;&gt;"",EDATE($D120,Milestones!$AA$75)&gt;=$T120),$W120,IF(AND($S120&lt;&gt;"",EDATE($D120,Milestones!$AA$75)&gt;=$S120),$V120,$U120)))=Milestones!$AB$75),UPPER(TEXT(EDATE($D120,Milestones!$AA$75),"dd mmm yy"))&amp;" "&amp;Milestones!$AB$75&amp;" "&amp;Milestones!$AC$75&amp;";  ","")&amp;IF(AND(EDATE($D120,Milestones!$AA$76)&lt;=AsOfDate,IF($R120=0,$X120,IF(AND($T120&lt;&gt;"",EDATE($D120,Milestones!$AA$76)&gt;=$T120),$W120,IF(AND($S120&lt;&gt;"",EDATE($D120,Milestones!$AA$76)&gt;=$S120),$V120,$U120)))=Milestones!$AB$76),UPPER(TEXT(EDATE($D120,Milestones!$AA$76),"dd mmm yy"))&amp;" "&amp;Milestones!$AB$76&amp;" "&amp;Milestones!$AC$76&amp;";  ","")&amp;IF(AND(EDATE($D120,Milestones!$AA$77)&lt;=AsOfDate,IF($R120=0,$X120,IF(AND($T120&lt;&gt;"",EDATE($D120,Milestones!$AA$77)&gt;=$T120),$W120,IF(AND($S120&lt;&gt;"",EDATE($D120,Milestones!$AA$77)&gt;=$S120),$V120,$U120)))=Milestones!$AB$77),UPPER(TEXT(EDATE($D120,Milestones!$AA$77),"dd mmm yy"))&amp;" "&amp;Milestones!$AB$77&amp;" "&amp;Milestones!$AC$77&amp;";  ","")&amp;IF(AND(EDATE($D120,Milestones!$AA$78)&lt;=AsOfDate,IF($R120=0,$X120,IF(AND($T120&lt;&gt;"",EDATE($D120,Milestones!$AA$78)&gt;=$T120),$W120,IF(AND($S120&lt;&gt;"",EDATE($D120,Milestones!$AA$78)&gt;=$S120),$V120,$U120)))=Milestones!$AB$78),UPPER(TEXT(EDATE($D120,Milestones!$AA$78),"dd mmm yy"))&amp;" "&amp;Milestones!$AB$78&amp;" "&amp;Milestones!$AC$78&amp;";  ","")&amp;IF(AND(EDATE($D120,Milestones!$AA$79)&lt;=AsOfDate,IF($R120=0,$X120,IF(AND($T120&lt;&gt;"",EDATE($D120,Milestones!$AA$79)&gt;=$T120),$W120,IF(AND($S120&lt;&gt;"",EDATE($D120,Milestones!$AA$79)&gt;=$S120),$V120,$U120)))=Milestones!$AB$79),UPPER(TEXT(EDATE($D120,Milestones!$AA$79),"dd mmm yy"))&amp;" "&amp;Milestones!$AB$79&amp;" "&amp;Milestones!$AC$79&amp;";  ",""))</f>
        <v/>
      </c>
      <c r="L120" s="0" t="str">
        <f aca="false">IF(OR($A120="",$D120=""),"",IF(AND(EDATE($D120,Milestones!$AA$80)&lt;=AsOfDate,IF($R120=0,$X120,IF(AND($T120&lt;&gt;"",EDATE($D120,Milestones!$AA$80)&gt;=$T120),$W120,IF(AND($S120&lt;&gt;"",EDATE($D120,Milestones!$AA$80)&gt;=$S120),$V120,$U120)))=Milestones!$AB$80),UPPER(TEXT(EDATE($D120,Milestones!$AA$80),"dd mmm yy"))&amp;" "&amp;Milestones!$AB$80&amp;" "&amp;Milestones!$AC$80&amp;";  ","")&amp;IF(AND(EDATE($D120,Milestones!$AA$81)&lt;=AsOfDate,IF($R120=0,$X120,IF(AND($T120&lt;&gt;"",EDATE($D120,Milestones!$AA$81)&gt;=$T120),$W120,IF(AND($S120&lt;&gt;"",EDATE($D120,Milestones!$AA$81)&gt;=$S120),$V120,$U120)))=Milestones!$AB$81),UPPER(TEXT(EDATE($D120,Milestones!$AA$81),"dd mmm yy"))&amp;" "&amp;Milestones!$AB$81&amp;" "&amp;Milestones!$AC$81&amp;";  ","")&amp;IF(AND(EDATE($D120,Milestones!$AA$82)&lt;=AsOfDate,IF($R120=0,$X120,IF(AND($T120&lt;&gt;"",EDATE($D120,Milestones!$AA$82)&gt;=$T120),$W120,IF(AND($S120&lt;&gt;"",EDATE($D120,Milestones!$AA$82)&gt;=$S120),$V120,$U120)))=Milestones!$AB$82),UPPER(TEXT(EDATE($D120,Milestones!$AA$82),"dd mmm yy"))&amp;" "&amp;Milestones!$AB$82&amp;" "&amp;Milestones!$AC$82&amp;";  ","")&amp;IF(AND(EDATE($D120,Milestones!$AA$83)&lt;=AsOfDate,IF($R120=0,$X120,IF(AND($T120&lt;&gt;"",EDATE($D120,Milestones!$AA$83)&gt;=$T120),$W120,IF(AND($S120&lt;&gt;"",EDATE($D120,Milestones!$AA$83)&gt;=$S120),$V120,$U120)))=Milestones!$AB$83),UPPER(TEXT(EDATE($D120,Milestones!$AA$83),"dd mmm yy"))&amp;" "&amp;Milestones!$AB$83&amp;" "&amp;Milestones!$AC$83&amp;";  ","")&amp;IF(AND(EDATE($D120,Milestones!$AA$84)&lt;=AsOfDate,IF($R120=0,$X120,IF(AND($T120&lt;&gt;"",EDATE($D120,Milestones!$AA$84)&gt;=$T120),$W120,IF(AND($S120&lt;&gt;"",EDATE($D120,Milestones!$AA$84)&gt;=$S120),$V120,$U120)))=Milestones!$AB$84),UPPER(TEXT(EDATE($D120,Milestones!$AA$84),"dd mmm yy"))&amp;" "&amp;Milestones!$AB$84&amp;" "&amp;Milestones!$AC$84&amp;";  ","")&amp;IF(AND(EDATE($D120,Milestones!$AA$85)&lt;=AsOfDate,IF($R120=0,$X120,IF(AND($T120&lt;&gt;"",EDATE($D120,Milestones!$AA$85)&gt;=$T120),$W120,IF(AND($S120&lt;&gt;"",EDATE($D120,Milestones!$AA$85)&gt;=$S120),$V120,$U120)))=Milestones!$AB$85),UPPER(TEXT(EDATE($D120,Milestones!$AA$85),"dd mmm yy"))&amp;" "&amp;Milestones!$AB$85&amp;" "&amp;Milestones!$AC$85&amp;";  ","")&amp;IF(AND(EDATE($D120,Milestones!$AA$86)&lt;=AsOfDate,IF($R120=0,$X120,IF(AND($T120&lt;&gt;"",EDATE($D120,Milestones!$AA$86)&gt;=$T120),$W120,IF(AND($S120&lt;&gt;"",EDATE($D120,Milestones!$AA$86)&gt;=$S120),$V120,$U120)))=Milestones!$AB$86),UPPER(TEXT(EDATE($D120,Milestones!$AA$86),"dd mmm yy"))&amp;" "&amp;Milestones!$AB$86&amp;" "&amp;Milestones!$AC$86&amp;";  ","")&amp;IF(AND(EDATE($D120,Milestones!$AA$87)&lt;=AsOfDate,IF($R120=0,$X120,IF(AND($T120&lt;&gt;"",EDATE($D120,Milestones!$AA$87)&gt;=$T120),$W120,IF(AND($S120&lt;&gt;"",EDATE($D120,Milestones!$AA$87)&gt;=$S120),$V120,$U120)))=Milestones!$AB$87),UPPER(TEXT(EDATE($D120,Milestones!$AA$87),"dd mmm yy"))&amp;" "&amp;Milestones!$AB$87&amp;" "&amp;Milestones!$AC$87&amp;";  ","")&amp;IF(AND(EDATE($D120,Milestones!$AA$88)&lt;=AsOfDate,IF($R120=0,$X120,IF(AND($T120&lt;&gt;"",EDATE($D120,Milestones!$AA$88)&gt;=$T120),$W120,IF(AND($S120&lt;&gt;"",EDATE($D120,Milestones!$AA$88)&gt;=$S120),$V120,$U120)))=Milestones!$AB$88),UPPER(TEXT(EDATE($D120,Milestones!$AA$88),"dd mmm yy"))&amp;" "&amp;Milestones!$AB$88&amp;" "&amp;Milestones!$AC$88&amp;";  ","")&amp;IF(AND(EDATE($D120,Milestones!$AA$89)&lt;=AsOfDate,IF($R120=0,$X120,IF(AND($T120&lt;&gt;"",EDATE($D120,Milestones!$AA$89)&gt;=$T120),$W120,IF(AND($S120&lt;&gt;"",EDATE($D120,Milestones!$AA$89)&gt;=$S120),$V120,$U120)))=Milestones!$AB$89),UPPER(TEXT(EDATE($D120,Milestones!$AA$89),"dd mmm yy"))&amp;" "&amp;Milestones!$AB$89&amp;" "&amp;Milestones!$AC$89&amp;";  ","")&amp;IF(AND(EDATE($D120,Milestones!$AA$90)&lt;=AsOfDate,IF($R120=0,$X120,IF(AND($T120&lt;&gt;"",EDATE($D120,Milestones!$AA$90)&gt;=$T120),$W120,IF(AND($S120&lt;&gt;"",EDATE($D120,Milestones!$AA$90)&gt;=$S120),$V120,$U120)))=Milestones!$AB$90),UPPER(TEXT(EDATE($D120,Milestones!$AA$90),"dd mmm yy"))&amp;" "&amp;Milestones!$AB$90&amp;" "&amp;Milestones!$AC$90&amp;";  ","")&amp;IF(AND(EDATE($D120,Milestones!$AA$91)&lt;=AsOfDate,IF($R120=0,$X120,IF(AND($T120&lt;&gt;"",EDATE($D120,Milestones!$AA$91)&gt;=$T120),$W120,IF(AND($S120&lt;&gt;"",EDATE($D120,Milestones!$AA$91)&gt;=$S120),$V120,$U120)))=Milestones!$AB$91),UPPER(TEXT(EDATE($D120,Milestones!$AA$91),"dd mmm yy"))&amp;" "&amp;Milestones!$AB$91&amp;" "&amp;Milestones!$AC$91&amp;";  ","")&amp;IF(AND(EDATE($D120,Milestones!$AA$92)&lt;=AsOfDate,IF($R120=0,$X120,IF(AND($T120&lt;&gt;"",EDATE($D120,Milestones!$AA$92)&gt;=$T120),$W120,IF(AND($S120&lt;&gt;"",EDATE($D120,Milestones!$AA$92)&gt;=$S120),$V120,$U120)))=Milestones!$AB$92),UPPER(TEXT(EDATE($D120,Milestones!$AA$92),"dd mmm yy"))&amp;" "&amp;Milestones!$AB$92&amp;" "&amp;Milestones!$AC$92&amp;";  ","")&amp;IF(AND(EDATE($D120,Milestones!$AA$93)&lt;=AsOfDate,IF($R120=0,$X120,IF(AND($T120&lt;&gt;"",EDATE($D120,Milestones!$AA$93)&gt;=$T120),$W120,IF(AND($S120&lt;&gt;"",EDATE($D120,Milestones!$AA$93)&gt;=$S120),$V120,$U120)))=Milestones!$AB$93),UPPER(TEXT(EDATE($D120,Milestones!$AA$93),"dd mmm yy"))&amp;" "&amp;Milestones!$AB$93&amp;" "&amp;Milestones!$AC$93&amp;";  ","")&amp;IF(AND(EDATE($D120,Milestones!$AA$94)&lt;=AsOfDate,IF($R120=0,$X120,IF(AND($T120&lt;&gt;"",EDATE($D120,Milestones!$AA$94)&gt;=$T120),$W120,IF(AND($S120&lt;&gt;"",EDATE($D120,Milestones!$AA$94)&gt;=$S120),$V120,$U120)))=Milestones!$AB$94),UPPER(TEXT(EDATE($D120,Milestones!$AA$94),"dd mmm yy"))&amp;" "&amp;Milestones!$AB$94&amp;" "&amp;Milestones!$AC$94&amp;";  ","")&amp;IF(AND(EDATE($D120,Milestones!$AA$95)&lt;=AsOfDate,IF($R120=0,$X120,IF(AND($T120&lt;&gt;"",EDATE($D120,Milestones!$AA$95)&gt;=$T120),$W120,IF(AND($S120&lt;&gt;"",EDATE($D120,Milestones!$AA$95)&gt;=$S120),$V120,$U120)))=Milestones!$AB$95),UPPER(TEXT(EDATE($D120,Milestones!$AA$95),"dd mmm yy"))&amp;" "&amp;Milestones!$AB$95&amp;" "&amp;Milestones!$AC$95&amp;";  ","")&amp;IF(AND(EDATE($D120,Milestones!$AA$96)&lt;=AsOfDate,IF($R120=0,$X120,IF(AND($T120&lt;&gt;"",EDATE($D120,Milestones!$AA$96)&gt;=$T120),$W120,IF(AND($S120&lt;&gt;"",EDATE($D120,Milestones!$AA$96)&gt;=$S120),$V120,$U120)))=Milestones!$AB$96),UPPER(TEXT(EDATE($D120,Milestones!$AA$96),"dd mmm yy"))&amp;" "&amp;Milestones!$AB$96&amp;" "&amp;Milestones!$AC$96&amp;";  ","")&amp;IF(AND(EDATE($D120,Milestones!$AA$97)&lt;=AsOfDate,IF($R120=0,$X120,IF(AND($T120&lt;&gt;"",EDATE($D120,Milestones!$AA$97)&gt;=$T120),$W120,IF(AND($S120&lt;&gt;"",EDATE($D120,Milestones!$AA$97)&gt;=$S120),$V120,$U120)))=Milestones!$AB$97),UPPER(TEXT(EDATE($D120,Milestones!$AA$97),"dd mmm yy"))&amp;" "&amp;Milestones!$AB$97&amp;" "&amp;Milestones!$AC$97&amp;";  ","")&amp;IF(AND(EDATE($D120,Milestones!$AA$98)&lt;=AsOfDate,IF($R120=0,$X120,IF(AND($T120&lt;&gt;"",EDATE($D120,Milestones!$AA$98)&gt;=$T120),$W120,IF(AND($S120&lt;&gt;"",EDATE($D120,Milestones!$AA$98)&gt;=$S120),$V120,$U120)))=Milestones!$AB$98),UPPER(TEXT(EDATE($D120,Milestones!$AA$98),"dd mmm yy"))&amp;" "&amp;Milestones!$AB$98&amp;" "&amp;Milestones!$AC$98&amp;";  ","")&amp;IF(AND(EDATE($D120,Milestones!$AA$99)&lt;=AsOfDate,IF($R120=0,$X120,IF(AND($T120&lt;&gt;"",EDATE($D120,Milestones!$AA$99)&gt;=$T120),$W120,IF(AND($S120&lt;&gt;"",EDATE($D120,Milestones!$AA$99)&gt;=$S120),$V120,$U120)))=Milestones!$AB$99),UPPER(TEXT(EDATE($D120,Milestones!$AA$99),"dd mmm yy"))&amp;" "&amp;Milestones!$AB$99&amp;" "&amp;Milestones!$AC$99&amp;";  ",""))</f>
        <v/>
      </c>
      <c r="M120" s="0" t="str">
        <f aca="false">IF(OR($A120="",$D120=""),"",IF(AND(EDATE($D120,Milestones!$AA$100)&lt;=AsOfDate,IF($R120=0,$X120,IF(AND($T120&lt;&gt;"",EDATE($D120,Milestones!$AA$100)&gt;=$T120),$W120,IF(AND($S120&lt;&gt;"",EDATE($D120,Milestones!$AA$100)&gt;=$S120),$V120,$U120)))=Milestones!$AB$100),UPPER(TEXT(EDATE($D120,Milestones!$AA$100),"dd mmm yy"))&amp;" "&amp;Milestones!$AB$100&amp;" "&amp;Milestones!$AC$100&amp;";  ","")&amp;IF(AND(EDATE($D120,Milestones!$AA$101)&lt;=AsOfDate,IF($R120=0,$X120,IF(AND($T120&lt;&gt;"",EDATE($D120,Milestones!$AA$101)&gt;=$T120),$W120,IF(AND($S120&lt;&gt;"",EDATE($D120,Milestones!$AA$101)&gt;=$S120),$V120,$U120)))=Milestones!$AB$101),UPPER(TEXT(EDATE($D120,Milestones!$AA$101),"dd mmm yy"))&amp;" "&amp;Milestones!$AB$101&amp;" "&amp;Milestones!$AC$101&amp;";  ","")&amp;IF(AND(EDATE($D120,Milestones!$AA$102)&lt;=AsOfDate,IF($R120=0,$X120,IF(AND($T120&lt;&gt;"",EDATE($D120,Milestones!$AA$102)&gt;=$T120),$W120,IF(AND($S120&lt;&gt;"",EDATE($D120,Milestones!$AA$102)&gt;=$S120),$V120,$U120)))=Milestones!$AB$102),UPPER(TEXT(EDATE($D120,Milestones!$AA$102),"dd mmm yy"))&amp;" "&amp;Milestones!$AB$102&amp;" "&amp;Milestones!$AC$102&amp;";  ","")&amp;IF(AND(EDATE($D120,Milestones!$AA$103)&lt;=AsOfDate,IF($R120=0,$X120,IF(AND($T120&lt;&gt;"",EDATE($D120,Milestones!$AA$103)&gt;=$T120),$W120,IF(AND($S120&lt;&gt;"",EDATE($D120,Milestones!$AA$103)&gt;=$S120),$V120,$U120)))=Milestones!$AB$103),UPPER(TEXT(EDATE($D120,Milestones!$AA$103),"dd mmm yy"))&amp;" "&amp;Milestones!$AB$103&amp;" "&amp;Milestones!$AC$103&amp;";  ","")&amp;IF(AND(EDATE($D120,Milestones!$AA$104)&lt;=AsOfDate,IF($R120=0,$X120,IF(AND($T120&lt;&gt;"",EDATE($D120,Milestones!$AA$104)&gt;=$T120),$W120,IF(AND($S120&lt;&gt;"",EDATE($D120,Milestones!$AA$104)&gt;=$S120),$V120,$U120)))=Milestones!$AB$104),UPPER(TEXT(EDATE($D120,Milestones!$AA$104),"dd mmm yy"))&amp;" "&amp;Milestones!$AB$104&amp;" "&amp;Milestones!$AC$104&amp;";  ","")&amp;IF(AND(EDATE($D120,Milestones!$AA$105)&lt;=AsOfDate,IF($R120=0,$X120,IF(AND($T120&lt;&gt;"",EDATE($D120,Milestones!$AA$105)&gt;=$T120),$W120,IF(AND($S120&lt;&gt;"",EDATE($D120,Milestones!$AA$105)&gt;=$S120),$V120,$U120)))=Milestones!$AB$105),UPPER(TEXT(EDATE($D120,Milestones!$AA$105),"dd mmm yy"))&amp;" "&amp;Milestones!$AB$105&amp;" "&amp;Milestones!$AC$105&amp;";  ","")&amp;IF(AND(EDATE($D120,Milestones!$AA$106)&lt;=AsOfDate,IF($R120=0,$X120,IF(AND($T120&lt;&gt;"",EDATE($D120,Milestones!$AA$106)&gt;=$T120),$W120,IF(AND($S120&lt;&gt;"",EDATE($D120,Milestones!$AA$106)&gt;=$S120),$V120,$U120)))=Milestones!$AB$106),UPPER(TEXT(EDATE($D120,Milestones!$AA$106),"dd mmm yy"))&amp;" "&amp;Milestones!$AB$106&amp;" "&amp;Milestones!$AC$106&amp;";  ","")&amp;IF(AND(EDATE($D120,Milestones!$AA$107)&lt;=AsOfDate,IF($R120=0,$X120,IF(AND($T120&lt;&gt;"",EDATE($D120,Milestones!$AA$107)&gt;=$T120),$W120,IF(AND($S120&lt;&gt;"",EDATE($D120,Milestones!$AA$107)&gt;=$S120),$V120,$U120)))=Milestones!$AB$107),UPPER(TEXT(EDATE($D120,Milestones!$AA$107),"dd mmm yy"))&amp;" "&amp;Milestones!$AB$107&amp;" "&amp;Milestones!$AC$107&amp;";  ","")&amp;IF(AND(EDATE($D120,Milestones!$AA$108)&lt;=AsOfDate,IF($R120=0,$X120,IF(AND($T120&lt;&gt;"",EDATE($D120,Milestones!$AA$108)&gt;=$T120),$W120,IF(AND($S120&lt;&gt;"",EDATE($D120,Milestones!$AA$108)&gt;=$S120),$V120,$U120)))=Milestones!$AB$108),UPPER(TEXT(EDATE($D120,Milestones!$AA$108),"dd mmm yy"))&amp;" "&amp;Milestones!$AB$108&amp;" "&amp;Milestones!$AC$108&amp;";  ","")&amp;IF(AND(EDATE($D120,Milestones!$AA$109)&lt;=AsOfDate,IF($R120=0,$X120,IF(AND($T120&lt;&gt;"",EDATE($D120,Milestones!$AA$109)&gt;=$T120),$W120,IF(AND($S120&lt;&gt;"",EDATE($D120,Milestones!$AA$109)&gt;=$S120),$V120,$U120)))=Milestones!$AB$109),UPPER(TEXT(EDATE($D120,Milestones!$AA$109),"dd mmm yy"))&amp;" "&amp;Milestones!$AB$109&amp;" "&amp;Milestones!$AC$109&amp;";  ","")&amp;IF(AND(EDATE($D120,Milestones!$AA$110)&lt;=AsOfDate,IF($R120=0,$X120,IF(AND($T120&lt;&gt;"",EDATE($D120,Milestones!$AA$110)&gt;=$T120),$W120,IF(AND($S120&lt;&gt;"",EDATE($D120,Milestones!$AA$110)&gt;=$S120),$V120,$U120)))=Milestones!$AB$110),UPPER(TEXT(EDATE($D120,Milestones!$AA$110),"dd mmm yy"))&amp;" "&amp;Milestones!$AB$110&amp;" "&amp;Milestones!$AC$110&amp;";  ","")&amp;IF(AND(EDATE($D120,Milestones!$AA$111)&lt;=AsOfDate,IF($R120=0,$X120,IF(AND($T120&lt;&gt;"",EDATE($D120,Milestones!$AA$111)&gt;=$T120),$W120,IF(AND($S120&lt;&gt;"",EDATE($D120,Milestones!$AA$111)&gt;=$S120),$V120,$U120)))=Milestones!$AB$111),UPPER(TEXT(EDATE($D120,Milestones!$AA$111),"dd mmm yy"))&amp;" "&amp;Milestones!$AB$111&amp;" "&amp;Milestones!$AC$111&amp;";  ","")&amp;IF(AND(EDATE($D120,Milestones!$AA$112)&lt;=AsOfDate,IF($R120=0,$X120,IF(AND($T120&lt;&gt;"",EDATE($D120,Milestones!$AA$112)&gt;=$T120),$W120,IF(AND($S120&lt;&gt;"",EDATE($D120,Milestones!$AA$112)&gt;=$S120),$V120,$U120)))=Milestones!$AB$112),UPPER(TEXT(EDATE($D120,Milestones!$AA$112),"dd mmm yy"))&amp;" "&amp;Milestones!$AB$112&amp;" "&amp;Milestones!$AC$112&amp;";  ","")&amp;IF(AND(EDATE($D120,Milestones!$AA$113)&lt;=AsOfDate,IF($R120=0,$X120,IF(AND($T120&lt;&gt;"",EDATE($D120,Milestones!$AA$113)&gt;=$T120),$W120,IF(AND($S120&lt;&gt;"",EDATE($D120,Milestones!$AA$113)&gt;=$S120),$V120,$U120)))=Milestones!$AB$113),UPPER(TEXT(EDATE($D120,Milestones!$AA$113),"dd mmm yy"))&amp;" "&amp;Milestones!$AB$113&amp;" "&amp;Milestones!$AC$113&amp;";  ","")&amp;IF(AND(EDATE($D120,Milestones!$AA$114)&lt;=AsOfDate,IF($R120=0,$X120,IF(AND($T120&lt;&gt;"",EDATE($D120,Milestones!$AA$114)&gt;=$T120),$W120,IF(AND($S120&lt;&gt;"",EDATE($D120,Milestones!$AA$114)&gt;=$S120),$V120,$U120)))=Milestones!$AB$114),UPPER(TEXT(EDATE($D120,Milestones!$AA$114),"dd mmm yy"))&amp;" "&amp;Milestones!$AB$114&amp;" "&amp;Milestones!$AC$114&amp;";  ","")&amp;IF(AND(EDATE($D120,Milestones!$AA$115)&lt;=AsOfDate,IF($R120=0,$X120,IF(AND($T120&lt;&gt;"",EDATE($D120,Milestones!$AA$115)&gt;=$T120),$W120,IF(AND($S120&lt;&gt;"",EDATE($D120,Milestones!$AA$115)&gt;=$S120),$V120,$U120)))=Milestones!$AB$115),UPPER(TEXT(EDATE($D120,Milestones!$AA$115),"dd mmm yy"))&amp;" "&amp;Milestones!$AB$115&amp;" "&amp;Milestones!$AC$115&amp;";  ","")&amp;IF(AND(EDATE($D120,Milestones!$AA$116)&lt;=AsOfDate,IF($R120=0,$X120,IF(AND($T120&lt;&gt;"",EDATE($D120,Milestones!$AA$116)&gt;=$T120),$W120,IF(AND($S120&lt;&gt;"",EDATE($D120,Milestones!$AA$116)&gt;=$S120),$V120,$U120)))=Milestones!$AB$116),UPPER(TEXT(EDATE($D120,Milestones!$AA$116),"dd mmm yy"))&amp;" "&amp;Milestones!$AB$116&amp;" "&amp;Milestones!$AC$116&amp;";  ","")&amp;IF(AND(EDATE($D120,Milestones!$AA$117)&lt;=AsOfDate,IF($R120=0,$X120,IF(AND($T120&lt;&gt;"",EDATE($D120,Milestones!$AA$117)&gt;=$T120),$W120,IF(AND($S120&lt;&gt;"",EDATE($D120,Milestones!$AA$117)&gt;=$S120),$V120,$U120)))=Milestones!$AB$117),UPPER(TEXT(EDATE($D120,Milestones!$AA$117),"dd mmm yy"))&amp;" "&amp;Milestones!$AB$117&amp;" "&amp;Milestones!$AC$117&amp;";  ","")&amp;IF(AND(EDATE($D120,Milestones!$AA$118)&lt;=AsOfDate,IF($R120=0,$X120,IF(AND($T120&lt;&gt;"",EDATE($D120,Milestones!$AA$118)&gt;=$T120),$W120,IF(AND($S120&lt;&gt;"",EDATE($D120,Milestones!$AA$118)&gt;=$S120),$V120,$U120)))=Milestones!$AB$118),UPPER(TEXT(EDATE($D120,Milestones!$AA$118),"dd mmm yy"))&amp;" "&amp;Milestones!$AB$118&amp;" "&amp;Milestones!$AC$118&amp;";  ","")&amp;IF(AND(EDATE($D120,Milestones!$AA$119)&lt;=AsOfDate,IF($R120=0,$X120,IF(AND($T120&lt;&gt;"",EDATE($D120,Milestones!$AA$119)&gt;=$T120),$W120,IF(AND($S120&lt;&gt;"",EDATE($D120,Milestones!$AA$119)&gt;=$S120),$V120,$U120)))=Milestones!$AB$119),UPPER(TEXT(EDATE($D120,Milestones!$AA$119),"dd mmm yy"))&amp;" "&amp;Milestones!$AB$119&amp;" "&amp;Milestones!$AC$119&amp;";  ",""))</f>
        <v/>
      </c>
      <c r="N120" s="0" t="str">
        <f aca="false">IF(OR($A120="",$D120=""),"",IF(AND(EDATE($D120,Milestones!$AA$120)&lt;=AsOfDate,IF($R120=0,$X120,IF(AND($T120&lt;&gt;"",EDATE($D120,Milestones!$AA$120)&gt;=$T120),$W120,IF(AND($S120&lt;&gt;"",EDATE($D120,Milestones!$AA$120)&gt;=$S120),$V120,$U120)))=Milestones!$AB$120),UPPER(TEXT(EDATE($D120,Milestones!$AA$120),"dd mmm yy"))&amp;" "&amp;Milestones!$AB$120&amp;" "&amp;Milestones!$AC$120&amp;";  ","")&amp;IF(AND(EDATE($D120,Milestones!$AA$121)&lt;=AsOfDate,IF($R120=0,$X120,IF(AND($T120&lt;&gt;"",EDATE($D120,Milestones!$AA$121)&gt;=$T120),$W120,IF(AND($S120&lt;&gt;"",EDATE($D120,Milestones!$AA$121)&gt;=$S120),$V120,$U120)))=Milestones!$AB$121),UPPER(TEXT(EDATE($D120,Milestones!$AA$121),"dd mmm yy"))&amp;" "&amp;Milestones!$AB$121&amp;" "&amp;Milestones!$AC$121&amp;";  ","")&amp;IF(AND(EDATE($D120,Milestones!$AA$122)&lt;=AsOfDate,IF($R120=0,$X120,IF(AND($T120&lt;&gt;"",EDATE($D120,Milestones!$AA$122)&gt;=$T120),$W120,IF(AND($S120&lt;&gt;"",EDATE($D120,Milestones!$AA$122)&gt;=$S120),$V120,$U120)))=Milestones!$AB$122),UPPER(TEXT(EDATE($D120,Milestones!$AA$122),"dd mmm yy"))&amp;" "&amp;Milestones!$AB$122&amp;" "&amp;Milestones!$AC$122&amp;";  ","")&amp;IF(AND(EDATE($D120,Milestones!$AA$123)&lt;=AsOfDate,IF($R120=0,$X120,IF(AND($T120&lt;&gt;"",EDATE($D120,Milestones!$AA$123)&gt;=$T120),$W120,IF(AND($S120&lt;&gt;"",EDATE($D120,Milestones!$AA$123)&gt;=$S120),$V120,$U120)))=Milestones!$AB$123),UPPER(TEXT(EDATE($D120,Milestones!$AA$123),"dd mmm yy"))&amp;" "&amp;Milestones!$AB$123&amp;" "&amp;Milestones!$AC$123&amp;";  ","")&amp;IF(AND(EDATE($D120,Milestones!$AA$124)&lt;=AsOfDate,IF($R120=0,$X120,IF(AND($T120&lt;&gt;"",EDATE($D120,Milestones!$AA$124)&gt;=$T120),$W120,IF(AND($S120&lt;&gt;"",EDATE($D120,Milestones!$AA$124)&gt;=$S120),$V120,$U120)))=Milestones!$AB$124),UPPER(TEXT(EDATE($D120,Milestones!$AA$124),"dd mmm yy"))&amp;" "&amp;Milestones!$AB$124&amp;" "&amp;Milestones!$AC$124&amp;";  ","")&amp;IF(AND(EDATE($D120,Milestones!$AA$125)&lt;=AsOfDate,IF($R120=0,$X120,IF(AND($T120&lt;&gt;"",EDATE($D120,Milestones!$AA$125)&gt;=$T120),$W120,IF(AND($S120&lt;&gt;"",EDATE($D120,Milestones!$AA$125)&gt;=$S120),$V120,$U120)))=Milestones!$AB$125),UPPER(TEXT(EDATE($D120,Milestones!$AA$125),"dd mmm yy"))&amp;" "&amp;Milestones!$AB$125&amp;" "&amp;Milestones!$AC$125&amp;";  ","")&amp;IF(AND(EDATE($D120,Milestones!$AA$126)&lt;=AsOfDate,IF($R120=0,$X120,IF(AND($T120&lt;&gt;"",EDATE($D120,Milestones!$AA$126)&gt;=$T120),$W120,IF(AND($S120&lt;&gt;"",EDATE($D120,Milestones!$AA$126)&gt;=$S120),$V120,$U120)))=Milestones!$AB$126),UPPER(TEXT(EDATE($D120,Milestones!$AA$126),"dd mmm yy"))&amp;" "&amp;Milestones!$AB$126&amp;" "&amp;Milestones!$AC$126&amp;";  ","")&amp;IF(AND(EDATE($D120,Milestones!$AA$127)&lt;=AsOfDate,IF($R120=0,$X120,IF(AND($T120&lt;&gt;"",EDATE($D120,Milestones!$AA$127)&gt;=$T120),$W120,IF(AND($S120&lt;&gt;"",EDATE($D120,Milestones!$AA$127)&gt;=$S120),$V120,$U120)))=Milestones!$AB$127),UPPER(TEXT(EDATE($D120,Milestones!$AA$127),"dd mmm yy"))&amp;" "&amp;Milestones!$AB$127&amp;" "&amp;Milestones!$AC$127&amp;";  ","")&amp;IF(AND(EDATE($D120,Milestones!$AA$128)&lt;=AsOfDate,IF($R120=0,$X120,IF(AND($T120&lt;&gt;"",EDATE($D120,Milestones!$AA$128)&gt;=$T120),$W120,IF(AND($S120&lt;&gt;"",EDATE($D120,Milestones!$AA$128)&gt;=$S120),$V120,$U120)))=Milestones!$AB$128),UPPER(TEXT(EDATE($D120,Milestones!$AA$128),"dd mmm yy"))&amp;" "&amp;Milestones!$AB$128&amp;" "&amp;Milestones!$AC$128&amp;";  ","")&amp;IF(AND(EDATE($D120,Milestones!$AA$129)&lt;=AsOfDate,IF($R120=0,$X120,IF(AND($T120&lt;&gt;"",EDATE($D120,Milestones!$AA$129)&gt;=$T120),$W120,IF(AND($S120&lt;&gt;"",EDATE($D120,Milestones!$AA$129)&gt;=$S120),$V120,$U120)))=Milestones!$AB$129),UPPER(TEXT(EDATE($D120,Milestones!$AA$129),"dd mmm yy"))&amp;" "&amp;Milestones!$AB$129&amp;" "&amp;Milestones!$AC$129&amp;";  ","")&amp;IF(AND(EDATE($D120,Milestones!$AA$130)&lt;=AsOfDate,IF($R120=0,$X120,IF(AND($T120&lt;&gt;"",EDATE($D120,Milestones!$AA$130)&gt;=$T120),$W120,IF(AND($S120&lt;&gt;"",EDATE($D120,Milestones!$AA$130)&gt;=$S120),$V120,$U120)))=Milestones!$AB$130),UPPER(TEXT(EDATE($D120,Milestones!$AA$130),"dd mmm yy"))&amp;" "&amp;Milestones!$AB$130&amp;" "&amp;Milestones!$AC$130&amp;";  ","")&amp;IF(AND(EDATE($D120,Milestones!$AA$131)&lt;=AsOfDate,IF($R120=0,$X120,IF(AND($T120&lt;&gt;"",EDATE($D120,Milestones!$AA$131)&gt;=$T120),$W120,IF(AND($S120&lt;&gt;"",EDATE($D120,Milestones!$AA$131)&gt;=$S120),$V120,$U120)))=Milestones!$AB$131),UPPER(TEXT(EDATE($D120,Milestones!$AA$131),"dd mmm yy"))&amp;" "&amp;Milestones!$AB$131&amp;" "&amp;Milestones!$AC$131&amp;";  ","")&amp;IF(AND(EDATE($D120,Milestones!$AA$132)&lt;=AsOfDate,IF($R120=0,$X120,IF(AND($T120&lt;&gt;"",EDATE($D120,Milestones!$AA$132)&gt;=$T120),$W120,IF(AND($S120&lt;&gt;"",EDATE($D120,Milestones!$AA$132)&gt;=$S120),$V120,$U120)))=Milestones!$AB$132),UPPER(TEXT(EDATE($D120,Milestones!$AA$132),"dd mmm yy"))&amp;" "&amp;Milestones!$AB$132&amp;" "&amp;Milestones!$AC$132&amp;";  ","")&amp;IF(AND(EDATE($D120,Milestones!$AA$133)&lt;=AsOfDate,IF($R120=0,$X120,IF(AND($T120&lt;&gt;"",EDATE($D120,Milestones!$AA$133)&gt;=$T120),$W120,IF(AND($S120&lt;&gt;"",EDATE($D120,Milestones!$AA$133)&gt;=$S120),$V120,$U120)))=Milestones!$AB$133),UPPER(TEXT(EDATE($D120,Milestones!$AA$133),"dd mmm yy"))&amp;" "&amp;Milestones!$AB$133&amp;" "&amp;Milestones!$AC$133&amp;";  ","")&amp;IF(AND(EDATE($D120,Milestones!$AA$134)&lt;=AsOfDate,IF($R120=0,$X120,IF(AND($T120&lt;&gt;"",EDATE($D120,Milestones!$AA$134)&gt;=$T120),$W120,IF(AND($S120&lt;&gt;"",EDATE($D120,Milestones!$AA$134)&gt;=$S120),$V120,$U120)))=Milestones!$AB$134),UPPER(TEXT(EDATE($D120,Milestones!$AA$134),"dd mmm yy"))&amp;" "&amp;Milestones!$AB$134&amp;" "&amp;Milestones!$AC$134&amp;";  ","")&amp;IF(AND(EDATE($D120,Milestones!$AA$135)&lt;=AsOfDate,IF($R120=0,$X120,IF(AND($T120&lt;&gt;"",EDATE($D120,Milestones!$AA$135)&gt;=$T120),$W120,IF(AND($S120&lt;&gt;"",EDATE($D120,Milestones!$AA$135)&gt;=$S120),$V120,$U120)))=Milestones!$AB$135),UPPER(TEXT(EDATE($D120,Milestones!$AA$135),"dd mmm yy"))&amp;" "&amp;Milestones!$AB$135&amp;" "&amp;Milestones!$AC$135&amp;";  ","")&amp;IF(AND(EDATE($D120,Milestones!$AA$136)&lt;=AsOfDate,IF($R120=0,$X120,IF(AND($T120&lt;&gt;"",EDATE($D120,Milestones!$AA$136)&gt;=$T120),$W120,IF(AND($S120&lt;&gt;"",EDATE($D120,Milestones!$AA$136)&gt;=$S120),$V120,$U120)))=Milestones!$AB$136),UPPER(TEXT(EDATE($D120,Milestones!$AA$136),"dd mmm yy"))&amp;" "&amp;Milestones!$AB$136&amp;" "&amp;Milestones!$AC$136&amp;";  ","")&amp;IF(AND(EDATE($D120,Milestones!$AA$137)&lt;=AsOfDate,IF($R120=0,$X120,IF(AND($T120&lt;&gt;"",EDATE($D120,Milestones!$AA$137)&gt;=$T120),$W120,IF(AND($S120&lt;&gt;"",EDATE($D120,Milestones!$AA$137)&gt;=$S120),$V120,$U120)))=Milestones!$AB$137),UPPER(TEXT(EDATE($D120,Milestones!$AA$137),"dd mmm yy"))&amp;" "&amp;Milestones!$AB$137&amp;" "&amp;Milestones!$AC$137&amp;";  ","")&amp;IF(AND(EDATE($D120,Milestones!$AA$138)&lt;=AsOfDate,IF($R120=0,$X120,IF(AND($T120&lt;&gt;"",EDATE($D120,Milestones!$AA$138)&gt;=$T120),$W120,IF(AND($S120&lt;&gt;"",EDATE($D120,Milestones!$AA$138)&gt;=$S120),$V120,$U120)))=Milestones!$AB$138),UPPER(TEXT(EDATE($D120,Milestones!$AA$138),"dd mmm yy"))&amp;" "&amp;Milestones!$AB$138&amp;" "&amp;Milestones!$AC$138&amp;";  ","")&amp;IF(AND(EDATE($D120,Milestones!$AA$139)&lt;=AsOfDate,IF($R120=0,$X120,IF(AND($T120&lt;&gt;"",EDATE($D120,Milestones!$AA$139)&gt;=$T120),$W120,IF(AND($S120&lt;&gt;"",EDATE($D120,Milestones!$AA$139)&gt;=$S120),$V120,$U120)))=Milestones!$AB$139),UPPER(TEXT(EDATE($D120,Milestones!$AA$139),"dd mmm yy"))&amp;" "&amp;Milestones!$AB$139&amp;" "&amp;Milestones!$AC$139&amp;";  ",""))</f>
        <v/>
      </c>
      <c r="O120" s="0" t="str">
        <f aca="false">IF(OR($A120="",$D120=""),"",IF(AND(EDATE($D120,Milestones!$AA$140)&lt;=AsOfDate,IF($R120=0,$X120,IF(AND($T120&lt;&gt;"",EDATE($D120,Milestones!$AA$140)&gt;=$T120),$W120,IF(AND($S120&lt;&gt;"",EDATE($D120,Milestones!$AA$140)&gt;=$S120),$V120,$U120)))=Milestones!$AB$140),UPPER(TEXT(EDATE($D120,Milestones!$AA$140),"dd mmm yy"))&amp;" "&amp;Milestones!$AB$140&amp;" "&amp;Milestones!$AC$140&amp;";  ","")&amp;IF(AND(EDATE($D120,Milestones!$AA$141)&lt;=AsOfDate,IF($R120=0,$X120,IF(AND($T120&lt;&gt;"",EDATE($D120,Milestones!$AA$141)&gt;=$T120),$W120,IF(AND($S120&lt;&gt;"",EDATE($D120,Milestones!$AA$141)&gt;=$S120),$V120,$U120)))=Milestones!$AB$141),UPPER(TEXT(EDATE($D120,Milestones!$AA$141),"dd mmm yy"))&amp;" "&amp;Milestones!$AB$141&amp;" "&amp;Milestones!$AC$141&amp;";  ","")&amp;IF(AND(EDATE($D120,Milestones!$AA$142)&lt;=AsOfDate,IF($R120=0,$X120,IF(AND($T120&lt;&gt;"",EDATE($D120,Milestones!$AA$142)&gt;=$T120),$W120,IF(AND($S120&lt;&gt;"",EDATE($D120,Milestones!$AA$142)&gt;=$S120),$V120,$U120)))=Milestones!$AB$142),UPPER(TEXT(EDATE($D120,Milestones!$AA$142),"dd mmm yy"))&amp;" "&amp;Milestones!$AB$142&amp;" "&amp;Milestones!$AC$142&amp;";  ","")&amp;IF(AND(EDATE($D120,Milestones!$AA$143)&lt;=AsOfDate,IF($R120=0,$X120,IF(AND($T120&lt;&gt;"",EDATE($D120,Milestones!$AA$143)&gt;=$T120),$W120,IF(AND($S120&lt;&gt;"",EDATE($D120,Milestones!$AA$143)&gt;=$S120),$V120,$U120)))=Milestones!$AB$143),UPPER(TEXT(EDATE($D120,Milestones!$AA$143),"dd mmm yy"))&amp;" "&amp;Milestones!$AB$143&amp;" "&amp;Milestones!$AC$143&amp;";  ","")&amp;IF(AND(EDATE($D120,Milestones!$AA$144)&lt;=AsOfDate,IF($R120=0,$X120,IF(AND($T120&lt;&gt;"",EDATE($D120,Milestones!$AA$144)&gt;=$T120),$W120,IF(AND($S120&lt;&gt;"",EDATE($D120,Milestones!$AA$144)&gt;=$S120),$V120,$U120)))=Milestones!$AB$144),UPPER(TEXT(EDATE($D120,Milestones!$AA$144),"dd mmm yy"))&amp;" "&amp;Milestones!$AB$144&amp;" "&amp;Milestones!$AC$144&amp;";  ","")&amp;IF(AND(EDATE($D120,Milestones!$AA$145)&lt;=AsOfDate,IF($R120=0,$X120,IF(AND($T120&lt;&gt;"",EDATE($D120,Milestones!$AA$145)&gt;=$T120),$W120,IF(AND($S120&lt;&gt;"",EDATE($D120,Milestones!$AA$145)&gt;=$S120),$V120,$U120)))=Milestones!$AB$145),UPPER(TEXT(EDATE($D120,Milestones!$AA$145),"dd mmm yy"))&amp;" "&amp;Milestones!$AB$145&amp;" "&amp;Milestones!$AC$145&amp;";  ","")&amp;IF(AND(EDATE($D120,Milestones!$AA$146)&lt;=AsOfDate,IF($R120=0,$X120,IF(AND($T120&lt;&gt;"",EDATE($D120,Milestones!$AA$146)&gt;=$T120),$W120,IF(AND($S120&lt;&gt;"",EDATE($D120,Milestones!$AA$146)&gt;=$S120),$V120,$U120)))=Milestones!$AB$146),UPPER(TEXT(EDATE($D120,Milestones!$AA$146),"dd mmm yy"))&amp;" "&amp;Milestones!$AB$146&amp;" "&amp;Milestones!$AC$146&amp;";  ","")&amp;IF(AND(EDATE($D120,Milestones!$AA$147)&lt;=AsOfDate,IF($R120=0,$X120,IF(AND($T120&lt;&gt;"",EDATE($D120,Milestones!$AA$147)&gt;=$T120),$W120,IF(AND($S120&lt;&gt;"",EDATE($D120,Milestones!$AA$147)&gt;=$S120),$V120,$U120)))=Milestones!$AB$147),UPPER(TEXT(EDATE($D120,Milestones!$AA$147),"dd mmm yy"))&amp;" "&amp;Milestones!$AB$147&amp;" "&amp;Milestones!$AC$147&amp;";  ","")&amp;IF(AND(EDATE($D120,Milestones!$AA$148)&lt;=AsOfDate,IF($R120=0,$X120,IF(AND($T120&lt;&gt;"",EDATE($D120,Milestones!$AA$148)&gt;=$T120),$W120,IF(AND($S120&lt;&gt;"",EDATE($D120,Milestones!$AA$148)&gt;=$S120),$V120,$U120)))=Milestones!$AB$148),UPPER(TEXT(EDATE($D120,Milestones!$AA$148),"dd mmm yy"))&amp;" "&amp;Milestones!$AB$148&amp;" "&amp;Milestones!$AC$148&amp;";  ","")&amp;IF(AND(EDATE($D120,Milestones!$AA$149)&lt;=AsOfDate,IF($R120=0,$X120,IF(AND($T120&lt;&gt;"",EDATE($D120,Milestones!$AA$149)&gt;=$T120),$W120,IF(AND($S120&lt;&gt;"",EDATE($D120,Milestones!$AA$149)&gt;=$S120),$V120,$U120)))=Milestones!$AB$149),UPPER(TEXT(EDATE($D120,Milestones!$AA$149),"dd mmm yy"))&amp;" "&amp;Milestones!$AB$149&amp;" "&amp;Milestones!$AC$149&amp;";  ","")&amp;IF(AND(EDATE($D120,Milestones!$AA$150)&lt;=AsOfDate,IF($R120=0,$X120,IF(AND($T120&lt;&gt;"",EDATE($D120,Milestones!$AA$150)&gt;=$T120),$W120,IF(AND($S120&lt;&gt;"",EDATE($D120,Milestones!$AA$150)&gt;=$S120),$V120,$U120)))=Milestones!$AB$150),UPPER(TEXT(EDATE($D120,Milestones!$AA$150),"dd mmm yy"))&amp;" "&amp;Milestones!$AB$150&amp;" "&amp;Milestones!$AC$150&amp;";  ","")&amp;IF(AND(EDATE($D120,Milestones!$AA$151)&lt;=AsOfDate,IF($R120=0,$X120,IF(AND($T120&lt;&gt;"",EDATE($D120,Milestones!$AA$151)&gt;=$T120),$W120,IF(AND($S120&lt;&gt;"",EDATE($D120,Milestones!$AA$151)&gt;=$S120),$V120,$U120)))=Milestones!$AB$151),UPPER(TEXT(EDATE($D120,Milestones!$AA$151),"dd mmm yy"))&amp;" "&amp;Milestones!$AB$151&amp;" "&amp;Milestones!$AC$151&amp;";  ","")&amp;IF(AND(EDATE($D120,Milestones!$AA$152)&lt;=AsOfDate,IF($R120=0,$X120,IF(AND($T120&lt;&gt;"",EDATE($D120,Milestones!$AA$152)&gt;=$T120),$W120,IF(AND($S120&lt;&gt;"",EDATE($D120,Milestones!$AA$152)&gt;=$S120),$V120,$U120)))=Milestones!$AB$152),UPPER(TEXT(EDATE($D120,Milestones!$AA$152),"dd mmm yy"))&amp;" "&amp;Milestones!$AB$152&amp;" "&amp;Milestones!$AC$152&amp;";  ","")&amp;IF(AND(EDATE($D120,Milestones!$AA$153)&lt;=AsOfDate,IF($R120=0,$X120,IF(AND($T120&lt;&gt;"",EDATE($D120,Milestones!$AA$153)&gt;=$T120),$W120,IF(AND($S120&lt;&gt;"",EDATE($D120,Milestones!$AA$153)&gt;=$S120),$V120,$U120)))=Milestones!$AB$153),UPPER(TEXT(EDATE($D120,Milestones!$AA$153),"dd mmm yy"))&amp;" "&amp;Milestones!$AB$153&amp;" "&amp;Milestones!$AC$153&amp;";  ","")&amp;IF(AND(EDATE($D120,Milestones!$AA$154)&lt;=AsOfDate,IF($R120=0,$X120,IF(AND($T120&lt;&gt;"",EDATE($D120,Milestones!$AA$154)&gt;=$T120),$W120,IF(AND($S120&lt;&gt;"",EDATE($D120,Milestones!$AA$154)&gt;=$S120),$V120,$U120)))=Milestones!$AB$154),UPPER(TEXT(EDATE($D120,Milestones!$AA$154),"dd mmm yy"))&amp;" "&amp;Milestones!$AB$154&amp;" "&amp;Milestones!$AC$154&amp;";  ","")&amp;IF(AND(EDATE($D120,Milestones!$AA$155)&lt;=AsOfDate,IF($R120=0,$X120,IF(AND($T120&lt;&gt;"",EDATE($D120,Milestones!$AA$155)&gt;=$T120),$W120,IF(AND($S120&lt;&gt;"",EDATE($D120,Milestones!$AA$155)&gt;=$S120),$V120,$U120)))=Milestones!$AB$155),UPPER(TEXT(EDATE($D120,Milestones!$AA$155),"dd mmm yy"))&amp;" "&amp;Milestones!$AB$155&amp;" "&amp;Milestones!$AC$155&amp;";  ","")&amp;IF(AND(EDATE($D120,Milestones!$AA$156)&lt;=AsOfDate,IF($R120=0,$X120,IF(AND($T120&lt;&gt;"",EDATE($D120,Milestones!$AA$156)&gt;=$T120),$W120,IF(AND($S120&lt;&gt;"",EDATE($D120,Milestones!$AA$156)&gt;=$S120),$V120,$U120)))=Milestones!$AB$156),UPPER(TEXT(EDATE($D120,Milestones!$AA$156),"dd mmm yy"))&amp;" "&amp;Milestones!$AB$156&amp;" "&amp;Milestones!$AC$156&amp;";  ","")&amp;IF(AND(EDATE($D120,Milestones!$AA$157)&lt;=AsOfDate,IF($R120=0,$X120,IF(AND($T120&lt;&gt;"",EDATE($D120,Milestones!$AA$157)&gt;=$T120),$W120,IF(AND($S120&lt;&gt;"",EDATE($D120,Milestones!$AA$157)&gt;=$S120),$V120,$U120)))=Milestones!$AB$157),UPPER(TEXT(EDATE($D120,Milestones!$AA$157),"dd mmm yy"))&amp;" "&amp;Milestones!$AB$157&amp;" "&amp;Milestones!$AC$157&amp;";  ","")&amp;IF(AND(EDATE($D120,Milestones!$AA$158)&lt;=AsOfDate,IF($R120=0,$X120,IF(AND($T120&lt;&gt;"",EDATE($D120,Milestones!$AA$158)&gt;=$T120),$W120,IF(AND($S120&lt;&gt;"",EDATE($D120,Milestones!$AA$158)&gt;=$S120),$V120,$U120)))=Milestones!$AB$158),UPPER(TEXT(EDATE($D120,Milestones!$AA$158),"dd mmm yy"))&amp;" "&amp;Milestones!$AB$158&amp;" "&amp;Milestones!$AC$158&amp;";  ","")&amp;IF(AND(EDATE($D120,Milestones!$AA$159)&lt;=AsOfDate,IF($R120=0,$X120,IF(AND($T120&lt;&gt;"",EDATE($D120,Milestones!$AA$159)&gt;=$T120),$W120,IF(AND($S120&lt;&gt;"",EDATE($D120,Milestones!$AA$159)&gt;=$S120),$V120,$U120)))=Milestones!$AB$159),UPPER(TEXT(EDATE($D120,Milestones!$AA$159),"dd mmm yy"))&amp;" "&amp;Milestones!$AB$159&amp;" "&amp;Milestones!$AC$159&amp;";  ",""))</f>
        <v/>
      </c>
      <c r="P120" s="0" t="str">
        <f aca="false">IF(OR($A120="",$D120=""),"",IF(AND(EDATE($D120,Milestones!$AA$160)&lt;=AsOfDate,IF($R120=0,$X120,IF(AND($T120&lt;&gt;"",EDATE($D120,Milestones!$AA$160)&gt;=$T120),$W120,IF(AND($S120&lt;&gt;"",EDATE($D120,Milestones!$AA$160)&gt;=$S120),$V120,$U120)))=Milestones!$AB$160),UPPER(TEXT(EDATE($D120,Milestones!$AA$160),"dd mmm yy"))&amp;" "&amp;Milestones!$AB$160&amp;" "&amp;Milestones!$AC$160&amp;";  ","")&amp;IF(AND(EDATE($D120,Milestones!$AA$161)&lt;=AsOfDate,IF($R120=0,$X120,IF(AND($T120&lt;&gt;"",EDATE($D120,Milestones!$AA$161)&gt;=$T120),$W120,IF(AND($S120&lt;&gt;"",EDATE($D120,Milestones!$AA$161)&gt;=$S120),$V120,$U120)))=Milestones!$AB$161),UPPER(TEXT(EDATE($D120,Milestones!$AA$161),"dd mmm yy"))&amp;" "&amp;Milestones!$AB$161&amp;" "&amp;Milestones!$AC$161&amp;";  ","")&amp;IF(AND(EDATE($D120,Milestones!$AA$162)&lt;=AsOfDate,IF($R120=0,$X120,IF(AND($T120&lt;&gt;"",EDATE($D120,Milestones!$AA$162)&gt;=$T120),$W120,IF(AND($S120&lt;&gt;"",EDATE($D120,Milestones!$AA$162)&gt;=$S120),$V120,$U120)))=Milestones!$AB$162),UPPER(TEXT(EDATE($D120,Milestones!$AA$162),"dd mmm yy"))&amp;" "&amp;Milestones!$AB$162&amp;" "&amp;Milestones!$AC$162&amp;";  ","")&amp;IF(AND(EDATE($D120,Milestones!$AA$163)&lt;=AsOfDate,IF($R120=0,$X120,IF(AND($T120&lt;&gt;"",EDATE($D120,Milestones!$AA$163)&gt;=$T120),$W120,IF(AND($S120&lt;&gt;"",EDATE($D120,Milestones!$AA$163)&gt;=$S120),$V120,$U120)))=Milestones!$AB$163),UPPER(TEXT(EDATE($D120,Milestones!$AA$163),"dd mmm yy"))&amp;" "&amp;Milestones!$AB$163&amp;" "&amp;Milestones!$AC$163&amp;";  ","")&amp;IF(AND(EDATE($D120,Milestones!$AA$164)&lt;=AsOfDate,IF($R120=0,$X120,IF(AND($T120&lt;&gt;"",EDATE($D120,Milestones!$AA$164)&gt;=$T120),$W120,IF(AND($S120&lt;&gt;"",EDATE($D120,Milestones!$AA$164)&gt;=$S120),$V120,$U120)))=Milestones!$AB$164),UPPER(TEXT(EDATE($D120,Milestones!$AA$164),"dd mmm yy"))&amp;" "&amp;Milestones!$AB$164&amp;" "&amp;Milestones!$AC$164&amp;";  ","")&amp;IF(AND(EDATE($D120,Milestones!$AA$165)&lt;=AsOfDate,IF($R120=0,$X120,IF(AND($T120&lt;&gt;"",EDATE($D120,Milestones!$AA$165)&gt;=$T120),$W120,IF(AND($S120&lt;&gt;"",EDATE($D120,Milestones!$AA$165)&gt;=$S120),$V120,$U120)))=Milestones!$AB$165),UPPER(TEXT(EDATE($D120,Milestones!$AA$165),"dd mmm yy"))&amp;" "&amp;Milestones!$AB$165&amp;" "&amp;Milestones!$AC$165&amp;";  ","")&amp;IF(AND(EDATE($D120,Milestones!$AA$166)&lt;=AsOfDate,IF($R120=0,$X120,IF(AND($T120&lt;&gt;"",EDATE($D120,Milestones!$AA$166)&gt;=$T120),$W120,IF(AND($S120&lt;&gt;"",EDATE($D120,Milestones!$AA$166)&gt;=$S120),$V120,$U120)))=Milestones!$AB$166),UPPER(TEXT(EDATE($D120,Milestones!$AA$166),"dd mmm yy"))&amp;" "&amp;Milestones!$AB$166&amp;" "&amp;Milestones!$AC$166&amp;";  ","")&amp;IF(AND(EDATE($D120,Milestones!$AA$167)&lt;=AsOfDate,IF($R120=0,$X120,IF(AND($T120&lt;&gt;"",EDATE($D120,Milestones!$AA$167)&gt;=$T120),$W120,IF(AND($S120&lt;&gt;"",EDATE($D120,Milestones!$AA$167)&gt;=$S120),$V120,$U120)))=Milestones!$AB$167),UPPER(TEXT(EDATE($D120,Milestones!$AA$167),"dd mmm yy"))&amp;" "&amp;Milestones!$AB$167&amp;" "&amp;Milestones!$AC$167&amp;";  ","")&amp;IF(AND(EDATE($D120,Milestones!$AA$168)&lt;=AsOfDate,IF($R120=0,$X120,IF(AND($T120&lt;&gt;"",EDATE($D120,Milestones!$AA$168)&gt;=$T120),$W120,IF(AND($S120&lt;&gt;"",EDATE($D120,Milestones!$AA$168)&gt;=$S120),$V120,$U120)))=Milestones!$AB$168),UPPER(TEXT(EDATE($D120,Milestones!$AA$168),"dd mmm yy"))&amp;" "&amp;Milestones!$AB$168&amp;" "&amp;Milestones!$AC$168&amp;";  ","")&amp;IF(AND(EDATE($D120,Milestones!$AA$169)&lt;=AsOfDate,IF($R120=0,$X120,IF(AND($T120&lt;&gt;"",EDATE($D120,Milestones!$AA$169)&gt;=$T120),$W120,IF(AND($S120&lt;&gt;"",EDATE($D120,Milestones!$AA$169)&gt;=$S120),$V120,$U120)))=Milestones!$AB$169),UPPER(TEXT(EDATE($D120,Milestones!$AA$169),"dd mmm yy"))&amp;" "&amp;Milestones!$AB$169&amp;" "&amp;Milestones!$AC$169&amp;";  ","")&amp;IF(AND(EDATE($D120,Milestones!$AA$170)&lt;=AsOfDate,IF($R120=0,$X120,IF(AND($T120&lt;&gt;"",EDATE($D120,Milestones!$AA$170)&gt;=$T120),$W120,IF(AND($S120&lt;&gt;"",EDATE($D120,Milestones!$AA$170)&gt;=$S120),$V120,$U120)))=Milestones!$AB$170),UPPER(TEXT(EDATE($D120,Milestones!$AA$170),"dd mmm yy"))&amp;" "&amp;Milestones!$AB$170&amp;" "&amp;Milestones!$AC$170&amp;";  ","")&amp;IF(AND(EDATE($D120,Milestones!$AA$171)&lt;=AsOfDate,IF($R120=0,$X120,IF(AND($T120&lt;&gt;"",EDATE($D120,Milestones!$AA$171)&gt;=$T120),$W120,IF(AND($S120&lt;&gt;"",EDATE($D120,Milestones!$AA$171)&gt;=$S120),$V120,$U120)))=Milestones!$AB$171),UPPER(TEXT(EDATE($D120,Milestones!$AA$171),"dd mmm yy"))&amp;" "&amp;Milestones!$AB$171&amp;" "&amp;Milestones!$AC$171&amp;";  ","")&amp;IF(AND(EDATE($D120,Milestones!$AA$172)&lt;=AsOfDate,IF($R120=0,$X120,IF(AND($T120&lt;&gt;"",EDATE($D120,Milestones!$AA$172)&gt;=$T120),$W120,IF(AND($S120&lt;&gt;"",EDATE($D120,Milestones!$AA$172)&gt;=$S120),$V120,$U120)))=Milestones!$AB$172),UPPER(TEXT(EDATE($D120,Milestones!$AA$172),"dd mmm yy"))&amp;" "&amp;Milestones!$AB$172&amp;" "&amp;Milestones!$AC$172&amp;";  ","")&amp;IF(AND(EDATE($D120,Milestones!$AA$173)&lt;=AsOfDate,IF($R120=0,$X120,IF(AND($T120&lt;&gt;"",EDATE($D120,Milestones!$AA$173)&gt;=$T120),$W120,IF(AND($S120&lt;&gt;"",EDATE($D120,Milestones!$AA$173)&gt;=$S120),$V120,$U120)))=Milestones!$AB$173),UPPER(TEXT(EDATE($D120,Milestones!$AA$173),"dd mmm yy"))&amp;" "&amp;Milestones!$AB$173&amp;" "&amp;Milestones!$AC$173&amp;";  ","")&amp;IF(AND(EDATE($D120,Milestones!$AA$174)&lt;=AsOfDate,IF($R120=0,$X120,IF(AND($T120&lt;&gt;"",EDATE($D120,Milestones!$AA$174)&gt;=$T120),$W120,IF(AND($S120&lt;&gt;"",EDATE($D120,Milestones!$AA$174)&gt;=$S120),$V120,$U120)))=Milestones!$AB$174),UPPER(TEXT(EDATE($D120,Milestones!$AA$174),"dd mmm yy"))&amp;" "&amp;Milestones!$AB$174&amp;" "&amp;Milestones!$AC$174&amp;";  ","")&amp;IF(AND(EDATE($D120,Milestones!$AA$175)&lt;=AsOfDate,IF($R120=0,$X120,IF(AND($T120&lt;&gt;"",EDATE($D120,Milestones!$AA$175)&gt;=$T120),$W120,IF(AND($S120&lt;&gt;"",EDATE($D120,Milestones!$AA$175)&gt;=$S120),$V120,$U120)))=Milestones!$AB$175),UPPER(TEXT(EDATE($D120,Milestones!$AA$175),"dd mmm yy"))&amp;" "&amp;Milestones!$AB$175&amp;" "&amp;Milestones!$AC$175&amp;";  ","")&amp;IF(AND(EDATE($D120,Milestones!$AA$176)&lt;=AsOfDate,IF($R120=0,$X120,IF(AND($T120&lt;&gt;"",EDATE($D120,Milestones!$AA$176)&gt;=$T120),$W120,IF(AND($S120&lt;&gt;"",EDATE($D120,Milestones!$AA$176)&gt;=$S120),$V120,$U120)))=Milestones!$AB$176),UPPER(TEXT(EDATE($D120,Milestones!$AA$176),"dd mmm yy"))&amp;" "&amp;Milestones!$AB$176&amp;" "&amp;Milestones!$AC$176&amp;";  ","")&amp;IF(AND(EDATE($D120,Milestones!$AA$177)&lt;=AsOfDate,IF($R120=0,$X120,IF(AND($T120&lt;&gt;"",EDATE($D120,Milestones!$AA$177)&gt;=$T120),$W120,IF(AND($S120&lt;&gt;"",EDATE($D120,Milestones!$AA$177)&gt;=$S120),$V120,$U120)))=Milestones!$AB$177),UPPER(TEXT(EDATE($D120,Milestones!$AA$177),"dd mmm yy"))&amp;" "&amp;Milestones!$AB$177&amp;" "&amp;Milestones!$AC$177&amp;";  ","")&amp;IF(AND(EDATE($D120,Milestones!$AA$178)&lt;=AsOfDate,IF($R120=0,$X120,IF(AND($T120&lt;&gt;"",EDATE($D120,Milestones!$AA$178)&gt;=$T120),$W120,IF(AND($S120&lt;&gt;"",EDATE($D120,Milestones!$AA$178)&gt;=$S120),$V120,$U120)))=Milestones!$AB$178),UPPER(TEXT(EDATE($D120,Milestones!$AA$178),"dd mmm yy"))&amp;" "&amp;Milestones!$AB$178&amp;" "&amp;Milestones!$AC$178&amp;";  ","")&amp;IF(AND(EDATE($D120,Milestones!$AA$179)&lt;=AsOfDate,IF($R120=0,$X120,IF(AND($T120&lt;&gt;"",EDATE($D120,Milestones!$AA$179)&gt;=$T120),$W120,IF(AND($S120&lt;&gt;"",EDATE($D120,Milestones!$AA$179)&gt;=$S120),$V120,$U120)))=Milestones!$AB$179),UPPER(TEXT(EDATE($D120,Milestones!$AA$179),"dd mmm yy"))&amp;" "&amp;Milestones!$AB$179&amp;" "&amp;Milestones!$AC$179&amp;";  ",""))</f>
        <v/>
      </c>
      <c r="Q120" s="0" t="str">
        <f aca="false">IF(OR($A120="",$D120=""),"",IF(AND(EDATE($D120,Milestones!$AA$180)&lt;=AsOfDate,IF($R120=0,$X120,IF(AND($T120&lt;&gt;"",EDATE($D120,Milestones!$AA$180)&gt;=$T120),$W120,IF(AND($S120&lt;&gt;"",EDATE($D120,Milestones!$AA$180)&gt;=$S120),$V120,$U120)))=Milestones!$AB$180),UPPER(TEXT(EDATE($D120,Milestones!$AA$180),"dd mmm yy"))&amp;" "&amp;Milestones!$AB$180&amp;" "&amp;Milestones!$AC$180&amp;";  ","")&amp;IF(AND(EDATE($D120,Milestones!$AA$181)&lt;=AsOfDate,IF($R120=0,$X120,IF(AND($T120&lt;&gt;"",EDATE($D120,Milestones!$AA$181)&gt;=$T120),$W120,IF(AND($S120&lt;&gt;"",EDATE($D120,Milestones!$AA$181)&gt;=$S120),$V120,$U120)))=Milestones!$AB$181),UPPER(TEXT(EDATE($D120,Milestones!$AA$181),"dd mmm yy"))&amp;" "&amp;Milestones!$AB$181&amp;" "&amp;Milestones!$AC$181&amp;";  ","")&amp;IF(AND(EDATE($D120,Milestones!$AA$182)&lt;=AsOfDate,IF($R120=0,$X120,IF(AND($T120&lt;&gt;"",EDATE($D120,Milestones!$AA$182)&gt;=$T120),$W120,IF(AND($S120&lt;&gt;"",EDATE($D120,Milestones!$AA$182)&gt;=$S120),$V120,$U120)))=Milestones!$AB$182),UPPER(TEXT(EDATE($D120,Milestones!$AA$182),"dd mmm yy"))&amp;" "&amp;Milestones!$AB$182&amp;" "&amp;Milestones!$AC$182&amp;";  ","")&amp;IF(AND(EDATE($D120,Milestones!$AA$183)&lt;=AsOfDate,IF($R120=0,$X120,IF(AND($T120&lt;&gt;"",EDATE($D120,Milestones!$AA$183)&gt;=$T120),$W120,IF(AND($S120&lt;&gt;"",EDATE($D120,Milestones!$AA$183)&gt;=$S120),$V120,$U120)))=Milestones!$AB$183),UPPER(TEXT(EDATE($D120,Milestones!$AA$183),"dd mmm yy"))&amp;" "&amp;Milestones!$AB$183&amp;" "&amp;Milestones!$AC$183&amp;";  ","")&amp;IF(AND(EDATE($D120,Milestones!$AA$184)&lt;=AsOfDate,IF($R120=0,$X120,IF(AND($T120&lt;&gt;"",EDATE($D120,Milestones!$AA$184)&gt;=$T120),$W120,IF(AND($S120&lt;&gt;"",EDATE($D120,Milestones!$AA$184)&gt;=$S120),$V120,$U120)))=Milestones!$AB$184),UPPER(TEXT(EDATE($D120,Milestones!$AA$184),"dd mmm yy"))&amp;" "&amp;Milestones!$AB$184&amp;" "&amp;Milestones!$AC$184&amp;";  ","")&amp;IF(AND(EDATE($D120,Milestones!$AA$185)&lt;=AsOfDate,IF($R120=0,$X120,IF(AND($T120&lt;&gt;"",EDATE($D120,Milestones!$AA$185)&gt;=$T120),$W120,IF(AND($S120&lt;&gt;"",EDATE($D120,Milestones!$AA$185)&gt;=$S120),$V120,$U120)))=Milestones!$AB$185),UPPER(TEXT(EDATE($D120,Milestones!$AA$185),"dd mmm yy"))&amp;" "&amp;Milestones!$AB$185&amp;" "&amp;Milestones!$AC$185&amp;";  ","")&amp;IF(AND(EDATE($D120,Milestones!$AA$186)&lt;=AsOfDate,IF($R120=0,$X120,IF(AND($T120&lt;&gt;"",EDATE($D120,Milestones!$AA$186)&gt;=$T120),$W120,IF(AND($S120&lt;&gt;"",EDATE($D120,Milestones!$AA$186)&gt;=$S120),$V120,$U120)))=Milestones!$AB$186),UPPER(TEXT(EDATE($D120,Milestones!$AA$186),"dd mmm yy"))&amp;" "&amp;Milestones!$AB$186&amp;" "&amp;Milestones!$AC$186&amp;";  ","")&amp;IF(AND(EDATE($D120,Milestones!$AA$187)&lt;=AsOfDate,IF($R120=0,$X120,IF(AND($T120&lt;&gt;"",EDATE($D120,Milestones!$AA$187)&gt;=$T120),$W120,IF(AND($S120&lt;&gt;"",EDATE($D120,Milestones!$AA$187)&gt;=$S120),$V120,$U120)))=Milestones!$AB$187),UPPER(TEXT(EDATE($D120,Milestones!$AA$187),"dd mmm yy"))&amp;" "&amp;Milestones!$AB$187&amp;" "&amp;Milestones!$AC$187&amp;";  ","")&amp;IF(AND(EDATE($D120,Milestones!$AA$188)&lt;=AsOfDate,IF($R120=0,$X120,IF(AND($T120&lt;&gt;"",EDATE($D120,Milestones!$AA$188)&gt;=$T120),$W120,IF(AND($S120&lt;&gt;"",EDATE($D120,Milestones!$AA$188)&gt;=$S120),$V120,$U120)))=Milestones!$AB$188),UPPER(TEXT(EDATE($D120,Milestones!$AA$188),"dd mmm yy"))&amp;" "&amp;Milestones!$AB$188&amp;" "&amp;Milestones!$AC$188&amp;";  ","")&amp;IF(AND(EDATE($D120,Milestones!$AA$189)&lt;=AsOfDate,IF($R120=0,$X120,IF(AND($T120&lt;&gt;"",EDATE($D120,Milestones!$AA$189)&gt;=$T120),$W120,IF(AND($S120&lt;&gt;"",EDATE($D120,Milestones!$AA$189)&gt;=$S120),$V120,$U120)))=Milestones!$AB$189),UPPER(TEXT(EDATE($D120,Milestones!$AA$189),"dd mmm yy"))&amp;" "&amp;Milestones!$AB$189&amp;" "&amp;Milestones!$AC$189&amp;";  ","")&amp;IF(AND(EDATE($D120,Milestones!$AA$190)&lt;=AsOfDate,IF($R120=0,$X120,IF(AND($T120&lt;&gt;"",EDATE($D120,Milestones!$AA$190)&gt;=$T120),$W120,IF(AND($S120&lt;&gt;"",EDATE($D120,Milestones!$AA$190)&gt;=$S120),$V120,$U120)))=Milestones!$AB$190),UPPER(TEXT(EDATE($D120,Milestones!$AA$190),"dd mmm yy"))&amp;" "&amp;Milestones!$AB$190&amp;" "&amp;Milestones!$AC$190&amp;";  ","")&amp;IF(AND(EDATE($D120,Milestones!$AA$191)&lt;=AsOfDate,IF($R120=0,$X120,IF(AND($T120&lt;&gt;"",EDATE($D120,Milestones!$AA$191)&gt;=$T120),$W120,IF(AND($S120&lt;&gt;"",EDATE($D120,Milestones!$AA$191)&gt;=$S120),$V120,$U120)))=Milestones!$AB$191),UPPER(TEXT(EDATE($D120,Milestones!$AA$191),"dd mmm yy"))&amp;" "&amp;Milestones!$AB$191&amp;" "&amp;Milestones!$AC$191&amp;";  ","")&amp;IF(AND(EDATE($D120,Milestones!$AA$192)&lt;=AsOfDate,IF($R120=0,$X120,IF(AND($T120&lt;&gt;"",EDATE($D120,Milestones!$AA$192)&gt;=$T120),$W120,IF(AND($S120&lt;&gt;"",EDATE($D120,Milestones!$AA$192)&gt;=$S120),$V120,$U120)))=Milestones!$AB$192),UPPER(TEXT(EDATE($D120,Milestones!$AA$192),"dd mmm yy"))&amp;" "&amp;Milestones!$AB$192&amp;" "&amp;Milestones!$AC$192&amp;";  ","")&amp;IF(AND(EDATE($D120,Milestones!$AA$193)&lt;=AsOfDate,IF($R120=0,$X120,IF(AND($T120&lt;&gt;"",EDATE($D120,Milestones!$AA$193)&gt;=$T120),$W120,IF(AND($S120&lt;&gt;"",EDATE($D120,Milestones!$AA$193)&gt;=$S120),$V120,$U120)))=Milestones!$AB$193),UPPER(TEXT(EDATE($D120,Milestones!$AA$193),"dd mmm yy"))&amp;" "&amp;Milestones!$AB$193&amp;" "&amp;Milestones!$AC$193&amp;";  ","")&amp;IF(AND(EDATE($D120,Milestones!$AA$194)&lt;=AsOfDate,IF($R120=0,$X120,IF(AND($T120&lt;&gt;"",EDATE($D120,Milestones!$AA$194)&gt;=$T120),$W120,IF(AND($S120&lt;&gt;"",EDATE($D120,Milestones!$AA$194)&gt;=$S120),$V120,$U120)))=Milestones!$AB$194),UPPER(TEXT(EDATE($D120,Milestones!$AA$194),"dd mmm yy"))&amp;" "&amp;Milestones!$AB$194&amp;" "&amp;Milestones!$AC$194&amp;";  ","")&amp;IF(AND(EDATE($D120,Milestones!$AA$195)&lt;=AsOfDate,IF($R120=0,$X120,IF(AND($T120&lt;&gt;"",EDATE($D120,Milestones!$AA$195)&gt;=$T120),$W120,IF(AND($S120&lt;&gt;"",EDATE($D120,Milestones!$AA$195)&gt;=$S120),$V120,$U120)))=Milestones!$AB$195),UPPER(TEXT(EDATE($D120,Milestones!$AA$195),"dd mmm yy"))&amp;" "&amp;Milestones!$AB$195&amp;" "&amp;Milestones!$AC$195&amp;";  ","")&amp;IF(AND(EDATE($D120,Milestones!$AA$196)&lt;=AsOfDate,IF($R120=0,$X120,IF(AND($T120&lt;&gt;"",EDATE($D120,Milestones!$AA$196)&gt;=$T120),$W120,IF(AND($S120&lt;&gt;"",EDATE($D120,Milestones!$AA$196)&gt;=$S120),$V120,$U120)))=Milestones!$AB$196),UPPER(TEXT(EDATE($D120,Milestones!$AA$196),"dd mmm yy"))&amp;" "&amp;Milestones!$AB$196&amp;" "&amp;Milestones!$AC$196&amp;";  ","")&amp;IF(AND(EDATE($D120,Milestones!$AA$197)&lt;=AsOfDate,IF($R120=0,$X120,IF(AND($T120&lt;&gt;"",EDATE($D120,Milestones!$AA$197)&gt;=$T120),$W120,IF(AND($S120&lt;&gt;"",EDATE($D120,Milestones!$AA$197)&gt;=$S120),$V120,$U120)))=Milestones!$AB$197),UPPER(TEXT(EDATE($D120,Milestones!$AA$197),"dd mmm yy"))&amp;" "&amp;Milestones!$AB$197&amp;" "&amp;Milestones!$AC$197&amp;";  ","")&amp;IF(AND(EDATE($D120,Milestones!$AA$198)&lt;=AsOfDate,IF($R120=0,$X120,IF(AND($T120&lt;&gt;"",EDATE($D120,Milestones!$AA$198)&gt;=$T120),$W120,IF(AND($S120&lt;&gt;"",EDATE($D120,Milestones!$AA$198)&gt;=$S120),$V120,$U120)))=Milestones!$AB$198),UPPER(TEXT(EDATE($D120,Milestones!$AA$198),"dd mmm yy"))&amp;" "&amp;Milestones!$AB$198&amp;" "&amp;Milestones!$AC$198&amp;";  ","")&amp;IF(AND(EDATE($D120,Milestones!$AA$199)&lt;=AsOfDate,IF($R120=0,$X120,IF(AND($T120&lt;&gt;"",EDATE($D120,Milestones!$AA$199)&gt;=$T120),$W120,IF(AND($S120&lt;&gt;"",EDATE($D120,Milestones!$AA$199)&gt;=$S120),$V120,$U120)))=Milestones!$AB$199),UPPER(TEXT(EDATE($D120,Milestones!$AA$199),"dd mmm yy"))&amp;" "&amp;Milestones!$AB$199&amp;" "&amp;Milestones!$AC$199&amp;";  ",""))</f>
        <v/>
      </c>
      <c r="R120" s="0" t="str">
        <f aca="false">IF(Staff!$A120="","",Staff!$AI120)</f>
        <v/>
      </c>
      <c r="S120" s="0" t="str">
        <f aca="false">IF(Staff!$A120="","",Staff!$AK120)</f>
        <v/>
      </c>
      <c r="T120" s="0" t="str">
        <f aca="false">IF(Staff!$A120="","",Staff!$AL120)</f>
        <v/>
      </c>
      <c r="U120" s="0" t="str">
        <f aca="false">IF(Staff!$A120="","",Staff!$AP120)</f>
        <v/>
      </c>
      <c r="V120" s="0" t="str">
        <f aca="false">IF(Staff!$A120="","",Staff!$AQ120)</f>
        <v/>
      </c>
      <c r="W120" s="0" t="str">
        <f aca="false">IF(Staff!$A120="","",Staff!$AR120)</f>
        <v/>
      </c>
      <c r="X120" s="0" t="str">
        <f aca="false">IF(Staff!$A120="","",Staff!$AS120)</f>
        <v/>
      </c>
    </row>
    <row r="121" customFormat="false" ht="15" hidden="false" customHeight="false" outlineLevel="0" collapsed="false">
      <c r="A121" s="19" t="str">
        <f aca="false">IF(Staff!$A121="","",Staff!$A121)</f>
        <v/>
      </c>
      <c r="B121" s="19" t="str">
        <f aca="false">IF(Staff!$A121="","",Staff!$B121)</f>
        <v/>
      </c>
      <c r="C121" s="19" t="str">
        <f aca="false">IF(Staff!$A121="","",Staff!$C121)</f>
        <v/>
      </c>
      <c r="D121" s="17" t="str">
        <f aca="false">IF(Staff!$A121="","",Staff!$AH121)</f>
        <v/>
      </c>
      <c r="E121" s="19" t="str">
        <f aca="false">IF(Staff!$A121="","",Staff!$O121)</f>
        <v/>
      </c>
      <c r="F121" s="19" t="str">
        <f aca="false">IF(E121="","",E121*HoursPerDay)</f>
        <v/>
      </c>
      <c r="G121" s="19" t="str">
        <f aca="false">IF(Staff!$A121="","",Staff!$AE121)</f>
        <v/>
      </c>
      <c r="H121" s="32" t="str">
        <f aca="false">IF($A121="","",I121&amp;J121&amp;K121&amp;L121&amp;M121&amp;N121&amp;O121&amp;P121&amp;Q121)</f>
        <v/>
      </c>
      <c r="I121" s="0" t="str">
        <f aca="false">IF(OR($A121="",$D121=""),"",IF(AND(EDATE($D121,Milestones!$AA$20)&lt;=AsOfDate,IF($R121=0,$X121,IF(AND($T121&lt;&gt;"",EDATE($D121,Milestones!$AA$20)&gt;=$T121),$W121,IF(AND($S121&lt;&gt;"",EDATE($D121,Milestones!$AA$20)&gt;=$S121),$V121,$U121)))=Milestones!$AB$20),UPPER(TEXT(EDATE($D121,Milestones!$AA$20),"dd mmm yy"))&amp;" "&amp;Milestones!$AB$20&amp;" "&amp;Milestones!$AC$20&amp;";  ","")&amp;IF(AND(EDATE($D121,Milestones!$AA$21)&lt;=AsOfDate,IF($R121=0,$X121,IF(AND($T121&lt;&gt;"",EDATE($D121,Milestones!$AA$21)&gt;=$T121),$W121,IF(AND($S121&lt;&gt;"",EDATE($D121,Milestones!$AA$21)&gt;=$S121),$V121,$U121)))=Milestones!$AB$21),UPPER(TEXT(EDATE($D121,Milestones!$AA$21),"dd mmm yy"))&amp;" "&amp;Milestones!$AB$21&amp;" "&amp;Milestones!$AC$21&amp;";  ","")&amp;IF(AND(EDATE($D121,Milestones!$AA$22)&lt;=AsOfDate,IF($R121=0,$X121,IF(AND($T121&lt;&gt;"",EDATE($D121,Milestones!$AA$22)&gt;=$T121),$W121,IF(AND($S121&lt;&gt;"",EDATE($D121,Milestones!$AA$22)&gt;=$S121),$V121,$U121)))=Milestones!$AB$22),UPPER(TEXT(EDATE($D121,Milestones!$AA$22),"dd mmm yy"))&amp;" "&amp;Milestones!$AB$22&amp;" "&amp;Milestones!$AC$22&amp;";  ","")&amp;IF(AND(EDATE($D121,Milestones!$AA$23)&lt;=AsOfDate,IF($R121=0,$X121,IF(AND($T121&lt;&gt;"",EDATE($D121,Milestones!$AA$23)&gt;=$T121),$W121,IF(AND($S121&lt;&gt;"",EDATE($D121,Milestones!$AA$23)&gt;=$S121),$V121,$U121)))=Milestones!$AB$23),UPPER(TEXT(EDATE($D121,Milestones!$AA$23),"dd mmm yy"))&amp;" "&amp;Milestones!$AB$23&amp;" "&amp;Milestones!$AC$23&amp;";  ","")&amp;IF(AND(EDATE($D121,Milestones!$AA$24)&lt;=AsOfDate,IF($R121=0,$X121,IF(AND($T121&lt;&gt;"",EDATE($D121,Milestones!$AA$24)&gt;=$T121),$W121,IF(AND($S121&lt;&gt;"",EDATE($D121,Milestones!$AA$24)&gt;=$S121),$V121,$U121)))=Milestones!$AB$24),UPPER(TEXT(EDATE($D121,Milestones!$AA$24),"dd mmm yy"))&amp;" "&amp;Milestones!$AB$24&amp;" "&amp;Milestones!$AC$24&amp;";  ","")&amp;IF(AND(EDATE($D121,Milestones!$AA$25)&lt;=AsOfDate,IF($R121=0,$X121,IF(AND($T121&lt;&gt;"",EDATE($D121,Milestones!$AA$25)&gt;=$T121),$W121,IF(AND($S121&lt;&gt;"",EDATE($D121,Milestones!$AA$25)&gt;=$S121),$V121,$U121)))=Milestones!$AB$25),UPPER(TEXT(EDATE($D121,Milestones!$AA$25),"dd mmm yy"))&amp;" "&amp;Milestones!$AB$25&amp;" "&amp;Milestones!$AC$25&amp;";  ","")&amp;IF(AND(EDATE($D121,Milestones!$AA$26)&lt;=AsOfDate,IF($R121=0,$X121,IF(AND($T121&lt;&gt;"",EDATE($D121,Milestones!$AA$26)&gt;=$T121),$W121,IF(AND($S121&lt;&gt;"",EDATE($D121,Milestones!$AA$26)&gt;=$S121),$V121,$U121)))=Milestones!$AB$26),UPPER(TEXT(EDATE($D121,Milestones!$AA$26),"dd mmm yy"))&amp;" "&amp;Milestones!$AB$26&amp;" "&amp;Milestones!$AC$26&amp;";  ","")&amp;IF(AND(EDATE($D121,Milestones!$AA$27)&lt;=AsOfDate,IF($R121=0,$X121,IF(AND($T121&lt;&gt;"",EDATE($D121,Milestones!$AA$27)&gt;=$T121),$W121,IF(AND($S121&lt;&gt;"",EDATE($D121,Milestones!$AA$27)&gt;=$S121),$V121,$U121)))=Milestones!$AB$27),UPPER(TEXT(EDATE($D121,Milestones!$AA$27),"dd mmm yy"))&amp;" "&amp;Milestones!$AB$27&amp;" "&amp;Milestones!$AC$27&amp;";  ","")&amp;IF(AND(EDATE($D121,Milestones!$AA$28)&lt;=AsOfDate,IF($R121=0,$X121,IF(AND($T121&lt;&gt;"",EDATE($D121,Milestones!$AA$28)&gt;=$T121),$W121,IF(AND($S121&lt;&gt;"",EDATE($D121,Milestones!$AA$28)&gt;=$S121),$V121,$U121)))=Milestones!$AB$28),UPPER(TEXT(EDATE($D121,Milestones!$AA$28),"dd mmm yy"))&amp;" "&amp;Milestones!$AB$28&amp;" "&amp;Milestones!$AC$28&amp;";  ","")&amp;IF(AND(EDATE($D121,Milestones!$AA$29)&lt;=AsOfDate,IF($R121=0,$X121,IF(AND($T121&lt;&gt;"",EDATE($D121,Milestones!$AA$29)&gt;=$T121),$W121,IF(AND($S121&lt;&gt;"",EDATE($D121,Milestones!$AA$29)&gt;=$S121),$V121,$U121)))=Milestones!$AB$29),UPPER(TEXT(EDATE($D121,Milestones!$AA$29),"dd mmm yy"))&amp;" "&amp;Milestones!$AB$29&amp;" "&amp;Milestones!$AC$29&amp;";  ","")&amp;IF(AND(EDATE($D121,Milestones!$AA$30)&lt;=AsOfDate,IF($R121=0,$X121,IF(AND($T121&lt;&gt;"",EDATE($D121,Milestones!$AA$30)&gt;=$T121),$W121,IF(AND($S121&lt;&gt;"",EDATE($D121,Milestones!$AA$30)&gt;=$S121),$V121,$U121)))=Milestones!$AB$30),UPPER(TEXT(EDATE($D121,Milestones!$AA$30),"dd mmm yy"))&amp;" "&amp;Milestones!$AB$30&amp;" "&amp;Milestones!$AC$30&amp;";  ","")&amp;IF(AND(EDATE($D121,Milestones!$AA$31)&lt;=AsOfDate,IF($R121=0,$X121,IF(AND($T121&lt;&gt;"",EDATE($D121,Milestones!$AA$31)&gt;=$T121),$W121,IF(AND($S121&lt;&gt;"",EDATE($D121,Milestones!$AA$31)&gt;=$S121),$V121,$U121)))=Milestones!$AB$31),UPPER(TEXT(EDATE($D121,Milestones!$AA$31),"dd mmm yy"))&amp;" "&amp;Milestones!$AB$31&amp;" "&amp;Milestones!$AC$31&amp;";  ","")&amp;IF(AND(EDATE($D121,Milestones!$AA$32)&lt;=AsOfDate,IF($R121=0,$X121,IF(AND($T121&lt;&gt;"",EDATE($D121,Milestones!$AA$32)&gt;=$T121),$W121,IF(AND($S121&lt;&gt;"",EDATE($D121,Milestones!$AA$32)&gt;=$S121),$V121,$U121)))=Milestones!$AB$32),UPPER(TEXT(EDATE($D121,Milestones!$AA$32),"dd mmm yy"))&amp;" "&amp;Milestones!$AB$32&amp;" "&amp;Milestones!$AC$32&amp;";  ","")&amp;IF(AND(EDATE($D121,Milestones!$AA$33)&lt;=AsOfDate,IF($R121=0,$X121,IF(AND($T121&lt;&gt;"",EDATE($D121,Milestones!$AA$33)&gt;=$T121),$W121,IF(AND($S121&lt;&gt;"",EDATE($D121,Milestones!$AA$33)&gt;=$S121),$V121,$U121)))=Milestones!$AB$33),UPPER(TEXT(EDATE($D121,Milestones!$AA$33),"dd mmm yy"))&amp;" "&amp;Milestones!$AB$33&amp;" "&amp;Milestones!$AC$33&amp;";  ","")&amp;IF(AND(EDATE($D121,Milestones!$AA$34)&lt;=AsOfDate,IF($R121=0,$X121,IF(AND($T121&lt;&gt;"",EDATE($D121,Milestones!$AA$34)&gt;=$T121),$W121,IF(AND($S121&lt;&gt;"",EDATE($D121,Milestones!$AA$34)&gt;=$S121),$V121,$U121)))=Milestones!$AB$34),UPPER(TEXT(EDATE($D121,Milestones!$AA$34),"dd mmm yy"))&amp;" "&amp;Milestones!$AB$34&amp;" "&amp;Milestones!$AC$34&amp;";  ","")&amp;IF(AND(EDATE($D121,Milestones!$AA$35)&lt;=AsOfDate,IF($R121=0,$X121,IF(AND($T121&lt;&gt;"",EDATE($D121,Milestones!$AA$35)&gt;=$T121),$W121,IF(AND($S121&lt;&gt;"",EDATE($D121,Milestones!$AA$35)&gt;=$S121),$V121,$U121)))=Milestones!$AB$35),UPPER(TEXT(EDATE($D121,Milestones!$AA$35),"dd mmm yy"))&amp;" "&amp;Milestones!$AB$35&amp;" "&amp;Milestones!$AC$35&amp;";  ","")&amp;IF(AND(EDATE($D121,Milestones!$AA$36)&lt;=AsOfDate,IF($R121=0,$X121,IF(AND($T121&lt;&gt;"",EDATE($D121,Milestones!$AA$36)&gt;=$T121),$W121,IF(AND($S121&lt;&gt;"",EDATE($D121,Milestones!$AA$36)&gt;=$S121),$V121,$U121)))=Milestones!$AB$36),UPPER(TEXT(EDATE($D121,Milestones!$AA$36),"dd mmm yy"))&amp;" "&amp;Milestones!$AB$36&amp;" "&amp;Milestones!$AC$36&amp;";  ","")&amp;IF(AND(EDATE($D121,Milestones!$AA$37)&lt;=AsOfDate,IF($R121=0,$X121,IF(AND($T121&lt;&gt;"",EDATE($D121,Milestones!$AA$37)&gt;=$T121),$W121,IF(AND($S121&lt;&gt;"",EDATE($D121,Milestones!$AA$37)&gt;=$S121),$V121,$U121)))=Milestones!$AB$37),UPPER(TEXT(EDATE($D121,Milestones!$AA$37),"dd mmm yy"))&amp;" "&amp;Milestones!$AB$37&amp;" "&amp;Milestones!$AC$37&amp;";  ","")&amp;IF(AND(EDATE($D121,Milestones!$AA$38)&lt;=AsOfDate,IF($R121=0,$X121,IF(AND($T121&lt;&gt;"",EDATE($D121,Milestones!$AA$38)&gt;=$T121),$W121,IF(AND($S121&lt;&gt;"",EDATE($D121,Milestones!$AA$38)&gt;=$S121),$V121,$U121)))=Milestones!$AB$38),UPPER(TEXT(EDATE($D121,Milestones!$AA$38),"dd mmm yy"))&amp;" "&amp;Milestones!$AB$38&amp;" "&amp;Milestones!$AC$38&amp;";  ","")&amp;IF(AND(EDATE($D121,Milestones!$AA$39)&lt;=AsOfDate,IF($R121=0,$X121,IF(AND($T121&lt;&gt;"",EDATE($D121,Milestones!$AA$39)&gt;=$T121),$W121,IF(AND($S121&lt;&gt;"",EDATE($D121,Milestones!$AA$39)&gt;=$S121),$V121,$U121)))=Milestones!$AB$39),UPPER(TEXT(EDATE($D121,Milestones!$AA$39),"dd mmm yy"))&amp;" "&amp;Milestones!$AB$39&amp;" "&amp;Milestones!$AC$39&amp;";  ",""))</f>
        <v/>
      </c>
      <c r="J121" s="0" t="str">
        <f aca="false">IF(OR($A121="",$D121=""),"",IF(AND(EDATE($D121,Milestones!$AA$40)&lt;=AsOfDate,IF($R121=0,$X121,IF(AND($T121&lt;&gt;"",EDATE($D121,Milestones!$AA$40)&gt;=$T121),$W121,IF(AND($S121&lt;&gt;"",EDATE($D121,Milestones!$AA$40)&gt;=$S121),$V121,$U121)))=Milestones!$AB$40),UPPER(TEXT(EDATE($D121,Milestones!$AA$40),"dd mmm yy"))&amp;" "&amp;Milestones!$AB$40&amp;" "&amp;Milestones!$AC$40&amp;";  ","")&amp;IF(AND(EDATE($D121,Milestones!$AA$41)&lt;=AsOfDate,IF($R121=0,$X121,IF(AND($T121&lt;&gt;"",EDATE($D121,Milestones!$AA$41)&gt;=$T121),$W121,IF(AND($S121&lt;&gt;"",EDATE($D121,Milestones!$AA$41)&gt;=$S121),$V121,$U121)))=Milestones!$AB$41),UPPER(TEXT(EDATE($D121,Milestones!$AA$41),"dd mmm yy"))&amp;" "&amp;Milestones!$AB$41&amp;" "&amp;Milestones!$AC$41&amp;";  ","")&amp;IF(AND(EDATE($D121,Milestones!$AA$42)&lt;=AsOfDate,IF($R121=0,$X121,IF(AND($T121&lt;&gt;"",EDATE($D121,Milestones!$AA$42)&gt;=$T121),$W121,IF(AND($S121&lt;&gt;"",EDATE($D121,Milestones!$AA$42)&gt;=$S121),$V121,$U121)))=Milestones!$AB$42),UPPER(TEXT(EDATE($D121,Milestones!$AA$42),"dd mmm yy"))&amp;" "&amp;Milestones!$AB$42&amp;" "&amp;Milestones!$AC$42&amp;";  ","")&amp;IF(AND(EDATE($D121,Milestones!$AA$43)&lt;=AsOfDate,IF($R121=0,$X121,IF(AND($T121&lt;&gt;"",EDATE($D121,Milestones!$AA$43)&gt;=$T121),$W121,IF(AND($S121&lt;&gt;"",EDATE($D121,Milestones!$AA$43)&gt;=$S121),$V121,$U121)))=Milestones!$AB$43),UPPER(TEXT(EDATE($D121,Milestones!$AA$43),"dd mmm yy"))&amp;" "&amp;Milestones!$AB$43&amp;" "&amp;Milestones!$AC$43&amp;";  ","")&amp;IF(AND(EDATE($D121,Milestones!$AA$44)&lt;=AsOfDate,IF($R121=0,$X121,IF(AND($T121&lt;&gt;"",EDATE($D121,Milestones!$AA$44)&gt;=$T121),$W121,IF(AND($S121&lt;&gt;"",EDATE($D121,Milestones!$AA$44)&gt;=$S121),$V121,$U121)))=Milestones!$AB$44),UPPER(TEXT(EDATE($D121,Milestones!$AA$44),"dd mmm yy"))&amp;" "&amp;Milestones!$AB$44&amp;" "&amp;Milestones!$AC$44&amp;";  ","")&amp;IF(AND(EDATE($D121,Milestones!$AA$45)&lt;=AsOfDate,IF($R121=0,$X121,IF(AND($T121&lt;&gt;"",EDATE($D121,Milestones!$AA$45)&gt;=$T121),$W121,IF(AND($S121&lt;&gt;"",EDATE($D121,Milestones!$AA$45)&gt;=$S121),$V121,$U121)))=Milestones!$AB$45),UPPER(TEXT(EDATE($D121,Milestones!$AA$45),"dd mmm yy"))&amp;" "&amp;Milestones!$AB$45&amp;" "&amp;Milestones!$AC$45&amp;";  ","")&amp;IF(AND(EDATE($D121,Milestones!$AA$46)&lt;=AsOfDate,IF($R121=0,$X121,IF(AND($T121&lt;&gt;"",EDATE($D121,Milestones!$AA$46)&gt;=$T121),$W121,IF(AND($S121&lt;&gt;"",EDATE($D121,Milestones!$AA$46)&gt;=$S121),$V121,$U121)))=Milestones!$AB$46),UPPER(TEXT(EDATE($D121,Milestones!$AA$46),"dd mmm yy"))&amp;" "&amp;Milestones!$AB$46&amp;" "&amp;Milestones!$AC$46&amp;";  ","")&amp;IF(AND(EDATE($D121,Milestones!$AA$47)&lt;=AsOfDate,IF($R121=0,$X121,IF(AND($T121&lt;&gt;"",EDATE($D121,Milestones!$AA$47)&gt;=$T121),$W121,IF(AND($S121&lt;&gt;"",EDATE($D121,Milestones!$AA$47)&gt;=$S121),$V121,$U121)))=Milestones!$AB$47),UPPER(TEXT(EDATE($D121,Milestones!$AA$47),"dd mmm yy"))&amp;" "&amp;Milestones!$AB$47&amp;" "&amp;Milestones!$AC$47&amp;";  ","")&amp;IF(AND(EDATE($D121,Milestones!$AA$48)&lt;=AsOfDate,IF($R121=0,$X121,IF(AND($T121&lt;&gt;"",EDATE($D121,Milestones!$AA$48)&gt;=$T121),$W121,IF(AND($S121&lt;&gt;"",EDATE($D121,Milestones!$AA$48)&gt;=$S121),$V121,$U121)))=Milestones!$AB$48),UPPER(TEXT(EDATE($D121,Milestones!$AA$48),"dd mmm yy"))&amp;" "&amp;Milestones!$AB$48&amp;" "&amp;Milestones!$AC$48&amp;";  ","")&amp;IF(AND(EDATE($D121,Milestones!$AA$49)&lt;=AsOfDate,IF($R121=0,$X121,IF(AND($T121&lt;&gt;"",EDATE($D121,Milestones!$AA$49)&gt;=$T121),$W121,IF(AND($S121&lt;&gt;"",EDATE($D121,Milestones!$AA$49)&gt;=$S121),$V121,$U121)))=Milestones!$AB$49),UPPER(TEXT(EDATE($D121,Milestones!$AA$49),"dd mmm yy"))&amp;" "&amp;Milestones!$AB$49&amp;" "&amp;Milestones!$AC$49&amp;";  ","")&amp;IF(AND(EDATE($D121,Milestones!$AA$50)&lt;=AsOfDate,IF($R121=0,$X121,IF(AND($T121&lt;&gt;"",EDATE($D121,Milestones!$AA$50)&gt;=$T121),$W121,IF(AND($S121&lt;&gt;"",EDATE($D121,Milestones!$AA$50)&gt;=$S121),$V121,$U121)))=Milestones!$AB$50),UPPER(TEXT(EDATE($D121,Milestones!$AA$50),"dd mmm yy"))&amp;" "&amp;Milestones!$AB$50&amp;" "&amp;Milestones!$AC$50&amp;";  ","")&amp;IF(AND(EDATE($D121,Milestones!$AA$51)&lt;=AsOfDate,IF($R121=0,$X121,IF(AND($T121&lt;&gt;"",EDATE($D121,Milestones!$AA$51)&gt;=$T121),$W121,IF(AND($S121&lt;&gt;"",EDATE($D121,Milestones!$AA$51)&gt;=$S121),$V121,$U121)))=Milestones!$AB$51),UPPER(TEXT(EDATE($D121,Milestones!$AA$51),"dd mmm yy"))&amp;" "&amp;Milestones!$AB$51&amp;" "&amp;Milestones!$AC$51&amp;";  ","")&amp;IF(AND(EDATE($D121,Milestones!$AA$52)&lt;=AsOfDate,IF($R121=0,$X121,IF(AND($T121&lt;&gt;"",EDATE($D121,Milestones!$AA$52)&gt;=$T121),$W121,IF(AND($S121&lt;&gt;"",EDATE($D121,Milestones!$AA$52)&gt;=$S121),$V121,$U121)))=Milestones!$AB$52),UPPER(TEXT(EDATE($D121,Milestones!$AA$52),"dd mmm yy"))&amp;" "&amp;Milestones!$AB$52&amp;" "&amp;Milestones!$AC$52&amp;";  ","")&amp;IF(AND(EDATE($D121,Milestones!$AA$53)&lt;=AsOfDate,IF($R121=0,$X121,IF(AND($T121&lt;&gt;"",EDATE($D121,Milestones!$AA$53)&gt;=$T121),$W121,IF(AND($S121&lt;&gt;"",EDATE($D121,Milestones!$AA$53)&gt;=$S121),$V121,$U121)))=Milestones!$AB$53),UPPER(TEXT(EDATE($D121,Milestones!$AA$53),"dd mmm yy"))&amp;" "&amp;Milestones!$AB$53&amp;" "&amp;Milestones!$AC$53&amp;";  ","")&amp;IF(AND(EDATE($D121,Milestones!$AA$54)&lt;=AsOfDate,IF($R121=0,$X121,IF(AND($T121&lt;&gt;"",EDATE($D121,Milestones!$AA$54)&gt;=$T121),$W121,IF(AND($S121&lt;&gt;"",EDATE($D121,Milestones!$AA$54)&gt;=$S121),$V121,$U121)))=Milestones!$AB$54),UPPER(TEXT(EDATE($D121,Milestones!$AA$54),"dd mmm yy"))&amp;" "&amp;Milestones!$AB$54&amp;" "&amp;Milestones!$AC$54&amp;";  ","")&amp;IF(AND(EDATE($D121,Milestones!$AA$55)&lt;=AsOfDate,IF($R121=0,$X121,IF(AND($T121&lt;&gt;"",EDATE($D121,Milestones!$AA$55)&gt;=$T121),$W121,IF(AND($S121&lt;&gt;"",EDATE($D121,Milestones!$AA$55)&gt;=$S121),$V121,$U121)))=Milestones!$AB$55),UPPER(TEXT(EDATE($D121,Milestones!$AA$55),"dd mmm yy"))&amp;" "&amp;Milestones!$AB$55&amp;" "&amp;Milestones!$AC$55&amp;";  ","")&amp;IF(AND(EDATE($D121,Milestones!$AA$56)&lt;=AsOfDate,IF($R121=0,$X121,IF(AND($T121&lt;&gt;"",EDATE($D121,Milestones!$AA$56)&gt;=$T121),$W121,IF(AND($S121&lt;&gt;"",EDATE($D121,Milestones!$AA$56)&gt;=$S121),$V121,$U121)))=Milestones!$AB$56),UPPER(TEXT(EDATE($D121,Milestones!$AA$56),"dd mmm yy"))&amp;" "&amp;Milestones!$AB$56&amp;" "&amp;Milestones!$AC$56&amp;";  ","")&amp;IF(AND(EDATE($D121,Milestones!$AA$57)&lt;=AsOfDate,IF($R121=0,$X121,IF(AND($T121&lt;&gt;"",EDATE($D121,Milestones!$AA$57)&gt;=$T121),$W121,IF(AND($S121&lt;&gt;"",EDATE($D121,Milestones!$AA$57)&gt;=$S121),$V121,$U121)))=Milestones!$AB$57),UPPER(TEXT(EDATE($D121,Milestones!$AA$57),"dd mmm yy"))&amp;" "&amp;Milestones!$AB$57&amp;" "&amp;Milestones!$AC$57&amp;";  ","")&amp;IF(AND(EDATE($D121,Milestones!$AA$58)&lt;=AsOfDate,IF($R121=0,$X121,IF(AND($T121&lt;&gt;"",EDATE($D121,Milestones!$AA$58)&gt;=$T121),$W121,IF(AND($S121&lt;&gt;"",EDATE($D121,Milestones!$AA$58)&gt;=$S121),$V121,$U121)))=Milestones!$AB$58),UPPER(TEXT(EDATE($D121,Milestones!$AA$58),"dd mmm yy"))&amp;" "&amp;Milestones!$AB$58&amp;" "&amp;Milestones!$AC$58&amp;";  ","")&amp;IF(AND(EDATE($D121,Milestones!$AA$59)&lt;=AsOfDate,IF($R121=0,$X121,IF(AND($T121&lt;&gt;"",EDATE($D121,Milestones!$AA$59)&gt;=$T121),$W121,IF(AND($S121&lt;&gt;"",EDATE($D121,Milestones!$AA$59)&gt;=$S121),$V121,$U121)))=Milestones!$AB$59),UPPER(TEXT(EDATE($D121,Milestones!$AA$59),"dd mmm yy"))&amp;" "&amp;Milestones!$AB$59&amp;" "&amp;Milestones!$AC$59&amp;";  ",""))</f>
        <v/>
      </c>
      <c r="K121" s="0" t="str">
        <f aca="false">IF(OR($A121="",$D121=""),"",IF(AND(EDATE($D121,Milestones!$AA$60)&lt;=AsOfDate,IF($R121=0,$X121,IF(AND($T121&lt;&gt;"",EDATE($D121,Milestones!$AA$60)&gt;=$T121),$W121,IF(AND($S121&lt;&gt;"",EDATE($D121,Milestones!$AA$60)&gt;=$S121),$V121,$U121)))=Milestones!$AB$60),UPPER(TEXT(EDATE($D121,Milestones!$AA$60),"dd mmm yy"))&amp;" "&amp;Milestones!$AB$60&amp;" "&amp;Milestones!$AC$60&amp;";  ","")&amp;IF(AND(EDATE($D121,Milestones!$AA$61)&lt;=AsOfDate,IF($R121=0,$X121,IF(AND($T121&lt;&gt;"",EDATE($D121,Milestones!$AA$61)&gt;=$T121),$W121,IF(AND($S121&lt;&gt;"",EDATE($D121,Milestones!$AA$61)&gt;=$S121),$V121,$U121)))=Milestones!$AB$61),UPPER(TEXT(EDATE($D121,Milestones!$AA$61),"dd mmm yy"))&amp;" "&amp;Milestones!$AB$61&amp;" "&amp;Milestones!$AC$61&amp;";  ","")&amp;IF(AND(EDATE($D121,Milestones!$AA$62)&lt;=AsOfDate,IF($R121=0,$X121,IF(AND($T121&lt;&gt;"",EDATE($D121,Milestones!$AA$62)&gt;=$T121),$W121,IF(AND($S121&lt;&gt;"",EDATE($D121,Milestones!$AA$62)&gt;=$S121),$V121,$U121)))=Milestones!$AB$62),UPPER(TEXT(EDATE($D121,Milestones!$AA$62),"dd mmm yy"))&amp;" "&amp;Milestones!$AB$62&amp;" "&amp;Milestones!$AC$62&amp;";  ","")&amp;IF(AND(EDATE($D121,Milestones!$AA$63)&lt;=AsOfDate,IF($R121=0,$X121,IF(AND($T121&lt;&gt;"",EDATE($D121,Milestones!$AA$63)&gt;=$T121),$W121,IF(AND($S121&lt;&gt;"",EDATE($D121,Milestones!$AA$63)&gt;=$S121),$V121,$U121)))=Milestones!$AB$63),UPPER(TEXT(EDATE($D121,Milestones!$AA$63),"dd mmm yy"))&amp;" "&amp;Milestones!$AB$63&amp;" "&amp;Milestones!$AC$63&amp;";  ","")&amp;IF(AND(EDATE($D121,Milestones!$AA$64)&lt;=AsOfDate,IF($R121=0,$X121,IF(AND($T121&lt;&gt;"",EDATE($D121,Milestones!$AA$64)&gt;=$T121),$W121,IF(AND($S121&lt;&gt;"",EDATE($D121,Milestones!$AA$64)&gt;=$S121),$V121,$U121)))=Milestones!$AB$64),UPPER(TEXT(EDATE($D121,Milestones!$AA$64),"dd mmm yy"))&amp;" "&amp;Milestones!$AB$64&amp;" "&amp;Milestones!$AC$64&amp;";  ","")&amp;IF(AND(EDATE($D121,Milestones!$AA$65)&lt;=AsOfDate,IF($R121=0,$X121,IF(AND($T121&lt;&gt;"",EDATE($D121,Milestones!$AA$65)&gt;=$T121),$W121,IF(AND($S121&lt;&gt;"",EDATE($D121,Milestones!$AA$65)&gt;=$S121),$V121,$U121)))=Milestones!$AB$65),UPPER(TEXT(EDATE($D121,Milestones!$AA$65),"dd mmm yy"))&amp;" "&amp;Milestones!$AB$65&amp;" "&amp;Milestones!$AC$65&amp;";  ","")&amp;IF(AND(EDATE($D121,Milestones!$AA$66)&lt;=AsOfDate,IF($R121=0,$X121,IF(AND($T121&lt;&gt;"",EDATE($D121,Milestones!$AA$66)&gt;=$T121),$W121,IF(AND($S121&lt;&gt;"",EDATE($D121,Milestones!$AA$66)&gt;=$S121),$V121,$U121)))=Milestones!$AB$66),UPPER(TEXT(EDATE($D121,Milestones!$AA$66),"dd mmm yy"))&amp;" "&amp;Milestones!$AB$66&amp;" "&amp;Milestones!$AC$66&amp;";  ","")&amp;IF(AND(EDATE($D121,Milestones!$AA$67)&lt;=AsOfDate,IF($R121=0,$X121,IF(AND($T121&lt;&gt;"",EDATE($D121,Milestones!$AA$67)&gt;=$T121),$W121,IF(AND($S121&lt;&gt;"",EDATE($D121,Milestones!$AA$67)&gt;=$S121),$V121,$U121)))=Milestones!$AB$67),UPPER(TEXT(EDATE($D121,Milestones!$AA$67),"dd mmm yy"))&amp;" "&amp;Milestones!$AB$67&amp;" "&amp;Milestones!$AC$67&amp;";  ","")&amp;IF(AND(EDATE($D121,Milestones!$AA$68)&lt;=AsOfDate,IF($R121=0,$X121,IF(AND($T121&lt;&gt;"",EDATE($D121,Milestones!$AA$68)&gt;=$T121),$W121,IF(AND($S121&lt;&gt;"",EDATE($D121,Milestones!$AA$68)&gt;=$S121),$V121,$U121)))=Milestones!$AB$68),UPPER(TEXT(EDATE($D121,Milestones!$AA$68),"dd mmm yy"))&amp;" "&amp;Milestones!$AB$68&amp;" "&amp;Milestones!$AC$68&amp;";  ","")&amp;IF(AND(EDATE($D121,Milestones!$AA$69)&lt;=AsOfDate,IF($R121=0,$X121,IF(AND($T121&lt;&gt;"",EDATE($D121,Milestones!$AA$69)&gt;=$T121),$W121,IF(AND($S121&lt;&gt;"",EDATE($D121,Milestones!$AA$69)&gt;=$S121),$V121,$U121)))=Milestones!$AB$69),UPPER(TEXT(EDATE($D121,Milestones!$AA$69),"dd mmm yy"))&amp;" "&amp;Milestones!$AB$69&amp;" "&amp;Milestones!$AC$69&amp;";  ","")&amp;IF(AND(EDATE($D121,Milestones!$AA$70)&lt;=AsOfDate,IF($R121=0,$X121,IF(AND($T121&lt;&gt;"",EDATE($D121,Milestones!$AA$70)&gt;=$T121),$W121,IF(AND($S121&lt;&gt;"",EDATE($D121,Milestones!$AA$70)&gt;=$S121),$V121,$U121)))=Milestones!$AB$70),UPPER(TEXT(EDATE($D121,Milestones!$AA$70),"dd mmm yy"))&amp;" "&amp;Milestones!$AB$70&amp;" "&amp;Milestones!$AC$70&amp;";  ","")&amp;IF(AND(EDATE($D121,Milestones!$AA$71)&lt;=AsOfDate,IF($R121=0,$X121,IF(AND($T121&lt;&gt;"",EDATE($D121,Milestones!$AA$71)&gt;=$T121),$W121,IF(AND($S121&lt;&gt;"",EDATE($D121,Milestones!$AA$71)&gt;=$S121),$V121,$U121)))=Milestones!$AB$71),UPPER(TEXT(EDATE($D121,Milestones!$AA$71),"dd mmm yy"))&amp;" "&amp;Milestones!$AB$71&amp;" "&amp;Milestones!$AC$71&amp;";  ","")&amp;IF(AND(EDATE($D121,Milestones!$AA$72)&lt;=AsOfDate,IF($R121=0,$X121,IF(AND($T121&lt;&gt;"",EDATE($D121,Milestones!$AA$72)&gt;=$T121),$W121,IF(AND($S121&lt;&gt;"",EDATE($D121,Milestones!$AA$72)&gt;=$S121),$V121,$U121)))=Milestones!$AB$72),UPPER(TEXT(EDATE($D121,Milestones!$AA$72),"dd mmm yy"))&amp;" "&amp;Milestones!$AB$72&amp;" "&amp;Milestones!$AC$72&amp;";  ","")&amp;IF(AND(EDATE($D121,Milestones!$AA$73)&lt;=AsOfDate,IF($R121=0,$X121,IF(AND($T121&lt;&gt;"",EDATE($D121,Milestones!$AA$73)&gt;=$T121),$W121,IF(AND($S121&lt;&gt;"",EDATE($D121,Milestones!$AA$73)&gt;=$S121),$V121,$U121)))=Milestones!$AB$73),UPPER(TEXT(EDATE($D121,Milestones!$AA$73),"dd mmm yy"))&amp;" "&amp;Milestones!$AB$73&amp;" "&amp;Milestones!$AC$73&amp;";  ","")&amp;IF(AND(EDATE($D121,Milestones!$AA$74)&lt;=AsOfDate,IF($R121=0,$X121,IF(AND($T121&lt;&gt;"",EDATE($D121,Milestones!$AA$74)&gt;=$T121),$W121,IF(AND($S121&lt;&gt;"",EDATE($D121,Milestones!$AA$74)&gt;=$S121),$V121,$U121)))=Milestones!$AB$74),UPPER(TEXT(EDATE($D121,Milestones!$AA$74),"dd mmm yy"))&amp;" "&amp;Milestones!$AB$74&amp;" "&amp;Milestones!$AC$74&amp;";  ","")&amp;IF(AND(EDATE($D121,Milestones!$AA$75)&lt;=AsOfDate,IF($R121=0,$X121,IF(AND($T121&lt;&gt;"",EDATE($D121,Milestones!$AA$75)&gt;=$T121),$W121,IF(AND($S121&lt;&gt;"",EDATE($D121,Milestones!$AA$75)&gt;=$S121),$V121,$U121)))=Milestones!$AB$75),UPPER(TEXT(EDATE($D121,Milestones!$AA$75),"dd mmm yy"))&amp;" "&amp;Milestones!$AB$75&amp;" "&amp;Milestones!$AC$75&amp;";  ","")&amp;IF(AND(EDATE($D121,Milestones!$AA$76)&lt;=AsOfDate,IF($R121=0,$X121,IF(AND($T121&lt;&gt;"",EDATE($D121,Milestones!$AA$76)&gt;=$T121),$W121,IF(AND($S121&lt;&gt;"",EDATE($D121,Milestones!$AA$76)&gt;=$S121),$V121,$U121)))=Milestones!$AB$76),UPPER(TEXT(EDATE($D121,Milestones!$AA$76),"dd mmm yy"))&amp;" "&amp;Milestones!$AB$76&amp;" "&amp;Milestones!$AC$76&amp;";  ","")&amp;IF(AND(EDATE($D121,Milestones!$AA$77)&lt;=AsOfDate,IF($R121=0,$X121,IF(AND($T121&lt;&gt;"",EDATE($D121,Milestones!$AA$77)&gt;=$T121),$W121,IF(AND($S121&lt;&gt;"",EDATE($D121,Milestones!$AA$77)&gt;=$S121),$V121,$U121)))=Milestones!$AB$77),UPPER(TEXT(EDATE($D121,Milestones!$AA$77),"dd mmm yy"))&amp;" "&amp;Milestones!$AB$77&amp;" "&amp;Milestones!$AC$77&amp;";  ","")&amp;IF(AND(EDATE($D121,Milestones!$AA$78)&lt;=AsOfDate,IF($R121=0,$X121,IF(AND($T121&lt;&gt;"",EDATE($D121,Milestones!$AA$78)&gt;=$T121),$W121,IF(AND($S121&lt;&gt;"",EDATE($D121,Milestones!$AA$78)&gt;=$S121),$V121,$U121)))=Milestones!$AB$78),UPPER(TEXT(EDATE($D121,Milestones!$AA$78),"dd mmm yy"))&amp;" "&amp;Milestones!$AB$78&amp;" "&amp;Milestones!$AC$78&amp;";  ","")&amp;IF(AND(EDATE($D121,Milestones!$AA$79)&lt;=AsOfDate,IF($R121=0,$X121,IF(AND($T121&lt;&gt;"",EDATE($D121,Milestones!$AA$79)&gt;=$T121),$W121,IF(AND($S121&lt;&gt;"",EDATE($D121,Milestones!$AA$79)&gt;=$S121),$V121,$U121)))=Milestones!$AB$79),UPPER(TEXT(EDATE($D121,Milestones!$AA$79),"dd mmm yy"))&amp;" "&amp;Milestones!$AB$79&amp;" "&amp;Milestones!$AC$79&amp;";  ",""))</f>
        <v/>
      </c>
      <c r="L121" s="0" t="str">
        <f aca="false">IF(OR($A121="",$D121=""),"",IF(AND(EDATE($D121,Milestones!$AA$80)&lt;=AsOfDate,IF($R121=0,$X121,IF(AND($T121&lt;&gt;"",EDATE($D121,Milestones!$AA$80)&gt;=$T121),$W121,IF(AND($S121&lt;&gt;"",EDATE($D121,Milestones!$AA$80)&gt;=$S121),$V121,$U121)))=Milestones!$AB$80),UPPER(TEXT(EDATE($D121,Milestones!$AA$80),"dd mmm yy"))&amp;" "&amp;Milestones!$AB$80&amp;" "&amp;Milestones!$AC$80&amp;";  ","")&amp;IF(AND(EDATE($D121,Milestones!$AA$81)&lt;=AsOfDate,IF($R121=0,$X121,IF(AND($T121&lt;&gt;"",EDATE($D121,Milestones!$AA$81)&gt;=$T121),$W121,IF(AND($S121&lt;&gt;"",EDATE($D121,Milestones!$AA$81)&gt;=$S121),$V121,$U121)))=Milestones!$AB$81),UPPER(TEXT(EDATE($D121,Milestones!$AA$81),"dd mmm yy"))&amp;" "&amp;Milestones!$AB$81&amp;" "&amp;Milestones!$AC$81&amp;";  ","")&amp;IF(AND(EDATE($D121,Milestones!$AA$82)&lt;=AsOfDate,IF($R121=0,$X121,IF(AND($T121&lt;&gt;"",EDATE($D121,Milestones!$AA$82)&gt;=$T121),$W121,IF(AND($S121&lt;&gt;"",EDATE($D121,Milestones!$AA$82)&gt;=$S121),$V121,$U121)))=Milestones!$AB$82),UPPER(TEXT(EDATE($D121,Milestones!$AA$82),"dd mmm yy"))&amp;" "&amp;Milestones!$AB$82&amp;" "&amp;Milestones!$AC$82&amp;";  ","")&amp;IF(AND(EDATE($D121,Milestones!$AA$83)&lt;=AsOfDate,IF($R121=0,$X121,IF(AND($T121&lt;&gt;"",EDATE($D121,Milestones!$AA$83)&gt;=$T121),$W121,IF(AND($S121&lt;&gt;"",EDATE($D121,Milestones!$AA$83)&gt;=$S121),$V121,$U121)))=Milestones!$AB$83),UPPER(TEXT(EDATE($D121,Milestones!$AA$83),"dd mmm yy"))&amp;" "&amp;Milestones!$AB$83&amp;" "&amp;Milestones!$AC$83&amp;";  ","")&amp;IF(AND(EDATE($D121,Milestones!$AA$84)&lt;=AsOfDate,IF($R121=0,$X121,IF(AND($T121&lt;&gt;"",EDATE($D121,Milestones!$AA$84)&gt;=$T121),$W121,IF(AND($S121&lt;&gt;"",EDATE($D121,Milestones!$AA$84)&gt;=$S121),$V121,$U121)))=Milestones!$AB$84),UPPER(TEXT(EDATE($D121,Milestones!$AA$84),"dd mmm yy"))&amp;" "&amp;Milestones!$AB$84&amp;" "&amp;Milestones!$AC$84&amp;";  ","")&amp;IF(AND(EDATE($D121,Milestones!$AA$85)&lt;=AsOfDate,IF($R121=0,$X121,IF(AND($T121&lt;&gt;"",EDATE($D121,Milestones!$AA$85)&gt;=$T121),$W121,IF(AND($S121&lt;&gt;"",EDATE($D121,Milestones!$AA$85)&gt;=$S121),$V121,$U121)))=Milestones!$AB$85),UPPER(TEXT(EDATE($D121,Milestones!$AA$85),"dd mmm yy"))&amp;" "&amp;Milestones!$AB$85&amp;" "&amp;Milestones!$AC$85&amp;";  ","")&amp;IF(AND(EDATE($D121,Milestones!$AA$86)&lt;=AsOfDate,IF($R121=0,$X121,IF(AND($T121&lt;&gt;"",EDATE($D121,Milestones!$AA$86)&gt;=$T121),$W121,IF(AND($S121&lt;&gt;"",EDATE($D121,Milestones!$AA$86)&gt;=$S121),$V121,$U121)))=Milestones!$AB$86),UPPER(TEXT(EDATE($D121,Milestones!$AA$86),"dd mmm yy"))&amp;" "&amp;Milestones!$AB$86&amp;" "&amp;Milestones!$AC$86&amp;";  ","")&amp;IF(AND(EDATE($D121,Milestones!$AA$87)&lt;=AsOfDate,IF($R121=0,$X121,IF(AND($T121&lt;&gt;"",EDATE($D121,Milestones!$AA$87)&gt;=$T121),$W121,IF(AND($S121&lt;&gt;"",EDATE($D121,Milestones!$AA$87)&gt;=$S121),$V121,$U121)))=Milestones!$AB$87),UPPER(TEXT(EDATE($D121,Milestones!$AA$87),"dd mmm yy"))&amp;" "&amp;Milestones!$AB$87&amp;" "&amp;Milestones!$AC$87&amp;";  ","")&amp;IF(AND(EDATE($D121,Milestones!$AA$88)&lt;=AsOfDate,IF($R121=0,$X121,IF(AND($T121&lt;&gt;"",EDATE($D121,Milestones!$AA$88)&gt;=$T121),$W121,IF(AND($S121&lt;&gt;"",EDATE($D121,Milestones!$AA$88)&gt;=$S121),$V121,$U121)))=Milestones!$AB$88),UPPER(TEXT(EDATE($D121,Milestones!$AA$88),"dd mmm yy"))&amp;" "&amp;Milestones!$AB$88&amp;" "&amp;Milestones!$AC$88&amp;";  ","")&amp;IF(AND(EDATE($D121,Milestones!$AA$89)&lt;=AsOfDate,IF($R121=0,$X121,IF(AND($T121&lt;&gt;"",EDATE($D121,Milestones!$AA$89)&gt;=$T121),$W121,IF(AND($S121&lt;&gt;"",EDATE($D121,Milestones!$AA$89)&gt;=$S121),$V121,$U121)))=Milestones!$AB$89),UPPER(TEXT(EDATE($D121,Milestones!$AA$89),"dd mmm yy"))&amp;" "&amp;Milestones!$AB$89&amp;" "&amp;Milestones!$AC$89&amp;";  ","")&amp;IF(AND(EDATE($D121,Milestones!$AA$90)&lt;=AsOfDate,IF($R121=0,$X121,IF(AND($T121&lt;&gt;"",EDATE($D121,Milestones!$AA$90)&gt;=$T121),$W121,IF(AND($S121&lt;&gt;"",EDATE($D121,Milestones!$AA$90)&gt;=$S121),$V121,$U121)))=Milestones!$AB$90),UPPER(TEXT(EDATE($D121,Milestones!$AA$90),"dd mmm yy"))&amp;" "&amp;Milestones!$AB$90&amp;" "&amp;Milestones!$AC$90&amp;";  ","")&amp;IF(AND(EDATE($D121,Milestones!$AA$91)&lt;=AsOfDate,IF($R121=0,$X121,IF(AND($T121&lt;&gt;"",EDATE($D121,Milestones!$AA$91)&gt;=$T121),$W121,IF(AND($S121&lt;&gt;"",EDATE($D121,Milestones!$AA$91)&gt;=$S121),$V121,$U121)))=Milestones!$AB$91),UPPER(TEXT(EDATE($D121,Milestones!$AA$91),"dd mmm yy"))&amp;" "&amp;Milestones!$AB$91&amp;" "&amp;Milestones!$AC$91&amp;";  ","")&amp;IF(AND(EDATE($D121,Milestones!$AA$92)&lt;=AsOfDate,IF($R121=0,$X121,IF(AND($T121&lt;&gt;"",EDATE($D121,Milestones!$AA$92)&gt;=$T121),$W121,IF(AND($S121&lt;&gt;"",EDATE($D121,Milestones!$AA$92)&gt;=$S121),$V121,$U121)))=Milestones!$AB$92),UPPER(TEXT(EDATE($D121,Milestones!$AA$92),"dd mmm yy"))&amp;" "&amp;Milestones!$AB$92&amp;" "&amp;Milestones!$AC$92&amp;";  ","")&amp;IF(AND(EDATE($D121,Milestones!$AA$93)&lt;=AsOfDate,IF($R121=0,$X121,IF(AND($T121&lt;&gt;"",EDATE($D121,Milestones!$AA$93)&gt;=$T121),$W121,IF(AND($S121&lt;&gt;"",EDATE($D121,Milestones!$AA$93)&gt;=$S121),$V121,$U121)))=Milestones!$AB$93),UPPER(TEXT(EDATE($D121,Milestones!$AA$93),"dd mmm yy"))&amp;" "&amp;Milestones!$AB$93&amp;" "&amp;Milestones!$AC$93&amp;";  ","")&amp;IF(AND(EDATE($D121,Milestones!$AA$94)&lt;=AsOfDate,IF($R121=0,$X121,IF(AND($T121&lt;&gt;"",EDATE($D121,Milestones!$AA$94)&gt;=$T121),$W121,IF(AND($S121&lt;&gt;"",EDATE($D121,Milestones!$AA$94)&gt;=$S121),$V121,$U121)))=Milestones!$AB$94),UPPER(TEXT(EDATE($D121,Milestones!$AA$94),"dd mmm yy"))&amp;" "&amp;Milestones!$AB$94&amp;" "&amp;Milestones!$AC$94&amp;";  ","")&amp;IF(AND(EDATE($D121,Milestones!$AA$95)&lt;=AsOfDate,IF($R121=0,$X121,IF(AND($T121&lt;&gt;"",EDATE($D121,Milestones!$AA$95)&gt;=$T121),$W121,IF(AND($S121&lt;&gt;"",EDATE($D121,Milestones!$AA$95)&gt;=$S121),$V121,$U121)))=Milestones!$AB$95),UPPER(TEXT(EDATE($D121,Milestones!$AA$95),"dd mmm yy"))&amp;" "&amp;Milestones!$AB$95&amp;" "&amp;Milestones!$AC$95&amp;";  ","")&amp;IF(AND(EDATE($D121,Milestones!$AA$96)&lt;=AsOfDate,IF($R121=0,$X121,IF(AND($T121&lt;&gt;"",EDATE($D121,Milestones!$AA$96)&gt;=$T121),$W121,IF(AND($S121&lt;&gt;"",EDATE($D121,Milestones!$AA$96)&gt;=$S121),$V121,$U121)))=Milestones!$AB$96),UPPER(TEXT(EDATE($D121,Milestones!$AA$96),"dd mmm yy"))&amp;" "&amp;Milestones!$AB$96&amp;" "&amp;Milestones!$AC$96&amp;";  ","")&amp;IF(AND(EDATE($D121,Milestones!$AA$97)&lt;=AsOfDate,IF($R121=0,$X121,IF(AND($T121&lt;&gt;"",EDATE($D121,Milestones!$AA$97)&gt;=$T121),$W121,IF(AND($S121&lt;&gt;"",EDATE($D121,Milestones!$AA$97)&gt;=$S121),$V121,$U121)))=Milestones!$AB$97),UPPER(TEXT(EDATE($D121,Milestones!$AA$97),"dd mmm yy"))&amp;" "&amp;Milestones!$AB$97&amp;" "&amp;Milestones!$AC$97&amp;";  ","")&amp;IF(AND(EDATE($D121,Milestones!$AA$98)&lt;=AsOfDate,IF($R121=0,$X121,IF(AND($T121&lt;&gt;"",EDATE($D121,Milestones!$AA$98)&gt;=$T121),$W121,IF(AND($S121&lt;&gt;"",EDATE($D121,Milestones!$AA$98)&gt;=$S121),$V121,$U121)))=Milestones!$AB$98),UPPER(TEXT(EDATE($D121,Milestones!$AA$98),"dd mmm yy"))&amp;" "&amp;Milestones!$AB$98&amp;" "&amp;Milestones!$AC$98&amp;";  ","")&amp;IF(AND(EDATE($D121,Milestones!$AA$99)&lt;=AsOfDate,IF($R121=0,$X121,IF(AND($T121&lt;&gt;"",EDATE($D121,Milestones!$AA$99)&gt;=$T121),$W121,IF(AND($S121&lt;&gt;"",EDATE($D121,Milestones!$AA$99)&gt;=$S121),$V121,$U121)))=Milestones!$AB$99),UPPER(TEXT(EDATE($D121,Milestones!$AA$99),"dd mmm yy"))&amp;" "&amp;Milestones!$AB$99&amp;" "&amp;Milestones!$AC$99&amp;";  ",""))</f>
        <v/>
      </c>
      <c r="M121" s="0" t="str">
        <f aca="false">IF(OR($A121="",$D121=""),"",IF(AND(EDATE($D121,Milestones!$AA$100)&lt;=AsOfDate,IF($R121=0,$X121,IF(AND($T121&lt;&gt;"",EDATE($D121,Milestones!$AA$100)&gt;=$T121),$W121,IF(AND($S121&lt;&gt;"",EDATE($D121,Milestones!$AA$100)&gt;=$S121),$V121,$U121)))=Milestones!$AB$100),UPPER(TEXT(EDATE($D121,Milestones!$AA$100),"dd mmm yy"))&amp;" "&amp;Milestones!$AB$100&amp;" "&amp;Milestones!$AC$100&amp;";  ","")&amp;IF(AND(EDATE($D121,Milestones!$AA$101)&lt;=AsOfDate,IF($R121=0,$X121,IF(AND($T121&lt;&gt;"",EDATE($D121,Milestones!$AA$101)&gt;=$T121),$W121,IF(AND($S121&lt;&gt;"",EDATE($D121,Milestones!$AA$101)&gt;=$S121),$V121,$U121)))=Milestones!$AB$101),UPPER(TEXT(EDATE($D121,Milestones!$AA$101),"dd mmm yy"))&amp;" "&amp;Milestones!$AB$101&amp;" "&amp;Milestones!$AC$101&amp;";  ","")&amp;IF(AND(EDATE($D121,Milestones!$AA$102)&lt;=AsOfDate,IF($R121=0,$X121,IF(AND($T121&lt;&gt;"",EDATE($D121,Milestones!$AA$102)&gt;=$T121),$W121,IF(AND($S121&lt;&gt;"",EDATE($D121,Milestones!$AA$102)&gt;=$S121),$V121,$U121)))=Milestones!$AB$102),UPPER(TEXT(EDATE($D121,Milestones!$AA$102),"dd mmm yy"))&amp;" "&amp;Milestones!$AB$102&amp;" "&amp;Milestones!$AC$102&amp;";  ","")&amp;IF(AND(EDATE($D121,Milestones!$AA$103)&lt;=AsOfDate,IF($R121=0,$X121,IF(AND($T121&lt;&gt;"",EDATE($D121,Milestones!$AA$103)&gt;=$T121),$W121,IF(AND($S121&lt;&gt;"",EDATE($D121,Milestones!$AA$103)&gt;=$S121),$V121,$U121)))=Milestones!$AB$103),UPPER(TEXT(EDATE($D121,Milestones!$AA$103),"dd mmm yy"))&amp;" "&amp;Milestones!$AB$103&amp;" "&amp;Milestones!$AC$103&amp;";  ","")&amp;IF(AND(EDATE($D121,Milestones!$AA$104)&lt;=AsOfDate,IF($R121=0,$X121,IF(AND($T121&lt;&gt;"",EDATE($D121,Milestones!$AA$104)&gt;=$T121),$W121,IF(AND($S121&lt;&gt;"",EDATE($D121,Milestones!$AA$104)&gt;=$S121),$V121,$U121)))=Milestones!$AB$104),UPPER(TEXT(EDATE($D121,Milestones!$AA$104),"dd mmm yy"))&amp;" "&amp;Milestones!$AB$104&amp;" "&amp;Milestones!$AC$104&amp;";  ","")&amp;IF(AND(EDATE($D121,Milestones!$AA$105)&lt;=AsOfDate,IF($R121=0,$X121,IF(AND($T121&lt;&gt;"",EDATE($D121,Milestones!$AA$105)&gt;=$T121),$W121,IF(AND($S121&lt;&gt;"",EDATE($D121,Milestones!$AA$105)&gt;=$S121),$V121,$U121)))=Milestones!$AB$105),UPPER(TEXT(EDATE($D121,Milestones!$AA$105),"dd mmm yy"))&amp;" "&amp;Milestones!$AB$105&amp;" "&amp;Milestones!$AC$105&amp;";  ","")&amp;IF(AND(EDATE($D121,Milestones!$AA$106)&lt;=AsOfDate,IF($R121=0,$X121,IF(AND($T121&lt;&gt;"",EDATE($D121,Milestones!$AA$106)&gt;=$T121),$W121,IF(AND($S121&lt;&gt;"",EDATE($D121,Milestones!$AA$106)&gt;=$S121),$V121,$U121)))=Milestones!$AB$106),UPPER(TEXT(EDATE($D121,Milestones!$AA$106),"dd mmm yy"))&amp;" "&amp;Milestones!$AB$106&amp;" "&amp;Milestones!$AC$106&amp;";  ","")&amp;IF(AND(EDATE($D121,Milestones!$AA$107)&lt;=AsOfDate,IF($R121=0,$X121,IF(AND($T121&lt;&gt;"",EDATE($D121,Milestones!$AA$107)&gt;=$T121),$W121,IF(AND($S121&lt;&gt;"",EDATE($D121,Milestones!$AA$107)&gt;=$S121),$V121,$U121)))=Milestones!$AB$107),UPPER(TEXT(EDATE($D121,Milestones!$AA$107),"dd mmm yy"))&amp;" "&amp;Milestones!$AB$107&amp;" "&amp;Milestones!$AC$107&amp;";  ","")&amp;IF(AND(EDATE($D121,Milestones!$AA$108)&lt;=AsOfDate,IF($R121=0,$X121,IF(AND($T121&lt;&gt;"",EDATE($D121,Milestones!$AA$108)&gt;=$T121),$W121,IF(AND($S121&lt;&gt;"",EDATE($D121,Milestones!$AA$108)&gt;=$S121),$V121,$U121)))=Milestones!$AB$108),UPPER(TEXT(EDATE($D121,Milestones!$AA$108),"dd mmm yy"))&amp;" "&amp;Milestones!$AB$108&amp;" "&amp;Milestones!$AC$108&amp;";  ","")&amp;IF(AND(EDATE($D121,Milestones!$AA$109)&lt;=AsOfDate,IF($R121=0,$X121,IF(AND($T121&lt;&gt;"",EDATE($D121,Milestones!$AA$109)&gt;=$T121),$W121,IF(AND($S121&lt;&gt;"",EDATE($D121,Milestones!$AA$109)&gt;=$S121),$V121,$U121)))=Milestones!$AB$109),UPPER(TEXT(EDATE($D121,Milestones!$AA$109),"dd mmm yy"))&amp;" "&amp;Milestones!$AB$109&amp;" "&amp;Milestones!$AC$109&amp;";  ","")&amp;IF(AND(EDATE($D121,Milestones!$AA$110)&lt;=AsOfDate,IF($R121=0,$X121,IF(AND($T121&lt;&gt;"",EDATE($D121,Milestones!$AA$110)&gt;=$T121),$W121,IF(AND($S121&lt;&gt;"",EDATE($D121,Milestones!$AA$110)&gt;=$S121),$V121,$U121)))=Milestones!$AB$110),UPPER(TEXT(EDATE($D121,Milestones!$AA$110),"dd mmm yy"))&amp;" "&amp;Milestones!$AB$110&amp;" "&amp;Milestones!$AC$110&amp;";  ","")&amp;IF(AND(EDATE($D121,Milestones!$AA$111)&lt;=AsOfDate,IF($R121=0,$X121,IF(AND($T121&lt;&gt;"",EDATE($D121,Milestones!$AA$111)&gt;=$T121),$W121,IF(AND($S121&lt;&gt;"",EDATE($D121,Milestones!$AA$111)&gt;=$S121),$V121,$U121)))=Milestones!$AB$111),UPPER(TEXT(EDATE($D121,Milestones!$AA$111),"dd mmm yy"))&amp;" "&amp;Milestones!$AB$111&amp;" "&amp;Milestones!$AC$111&amp;";  ","")&amp;IF(AND(EDATE($D121,Milestones!$AA$112)&lt;=AsOfDate,IF($R121=0,$X121,IF(AND($T121&lt;&gt;"",EDATE($D121,Milestones!$AA$112)&gt;=$T121),$W121,IF(AND($S121&lt;&gt;"",EDATE($D121,Milestones!$AA$112)&gt;=$S121),$V121,$U121)))=Milestones!$AB$112),UPPER(TEXT(EDATE($D121,Milestones!$AA$112),"dd mmm yy"))&amp;" "&amp;Milestones!$AB$112&amp;" "&amp;Milestones!$AC$112&amp;";  ","")&amp;IF(AND(EDATE($D121,Milestones!$AA$113)&lt;=AsOfDate,IF($R121=0,$X121,IF(AND($T121&lt;&gt;"",EDATE($D121,Milestones!$AA$113)&gt;=$T121),$W121,IF(AND($S121&lt;&gt;"",EDATE($D121,Milestones!$AA$113)&gt;=$S121),$V121,$U121)))=Milestones!$AB$113),UPPER(TEXT(EDATE($D121,Milestones!$AA$113),"dd mmm yy"))&amp;" "&amp;Milestones!$AB$113&amp;" "&amp;Milestones!$AC$113&amp;";  ","")&amp;IF(AND(EDATE($D121,Milestones!$AA$114)&lt;=AsOfDate,IF($R121=0,$X121,IF(AND($T121&lt;&gt;"",EDATE($D121,Milestones!$AA$114)&gt;=$T121),$W121,IF(AND($S121&lt;&gt;"",EDATE($D121,Milestones!$AA$114)&gt;=$S121),$V121,$U121)))=Milestones!$AB$114),UPPER(TEXT(EDATE($D121,Milestones!$AA$114),"dd mmm yy"))&amp;" "&amp;Milestones!$AB$114&amp;" "&amp;Milestones!$AC$114&amp;";  ","")&amp;IF(AND(EDATE($D121,Milestones!$AA$115)&lt;=AsOfDate,IF($R121=0,$X121,IF(AND($T121&lt;&gt;"",EDATE($D121,Milestones!$AA$115)&gt;=$T121),$W121,IF(AND($S121&lt;&gt;"",EDATE($D121,Milestones!$AA$115)&gt;=$S121),$V121,$U121)))=Milestones!$AB$115),UPPER(TEXT(EDATE($D121,Milestones!$AA$115),"dd mmm yy"))&amp;" "&amp;Milestones!$AB$115&amp;" "&amp;Milestones!$AC$115&amp;";  ","")&amp;IF(AND(EDATE($D121,Milestones!$AA$116)&lt;=AsOfDate,IF($R121=0,$X121,IF(AND($T121&lt;&gt;"",EDATE($D121,Milestones!$AA$116)&gt;=$T121),$W121,IF(AND($S121&lt;&gt;"",EDATE($D121,Milestones!$AA$116)&gt;=$S121),$V121,$U121)))=Milestones!$AB$116),UPPER(TEXT(EDATE($D121,Milestones!$AA$116),"dd mmm yy"))&amp;" "&amp;Milestones!$AB$116&amp;" "&amp;Milestones!$AC$116&amp;";  ","")&amp;IF(AND(EDATE($D121,Milestones!$AA$117)&lt;=AsOfDate,IF($R121=0,$X121,IF(AND($T121&lt;&gt;"",EDATE($D121,Milestones!$AA$117)&gt;=$T121),$W121,IF(AND($S121&lt;&gt;"",EDATE($D121,Milestones!$AA$117)&gt;=$S121),$V121,$U121)))=Milestones!$AB$117),UPPER(TEXT(EDATE($D121,Milestones!$AA$117),"dd mmm yy"))&amp;" "&amp;Milestones!$AB$117&amp;" "&amp;Milestones!$AC$117&amp;";  ","")&amp;IF(AND(EDATE($D121,Milestones!$AA$118)&lt;=AsOfDate,IF($R121=0,$X121,IF(AND($T121&lt;&gt;"",EDATE($D121,Milestones!$AA$118)&gt;=$T121),$W121,IF(AND($S121&lt;&gt;"",EDATE($D121,Milestones!$AA$118)&gt;=$S121),$V121,$U121)))=Milestones!$AB$118),UPPER(TEXT(EDATE($D121,Milestones!$AA$118),"dd mmm yy"))&amp;" "&amp;Milestones!$AB$118&amp;" "&amp;Milestones!$AC$118&amp;";  ","")&amp;IF(AND(EDATE($D121,Milestones!$AA$119)&lt;=AsOfDate,IF($R121=0,$X121,IF(AND($T121&lt;&gt;"",EDATE($D121,Milestones!$AA$119)&gt;=$T121),$W121,IF(AND($S121&lt;&gt;"",EDATE($D121,Milestones!$AA$119)&gt;=$S121),$V121,$U121)))=Milestones!$AB$119),UPPER(TEXT(EDATE($D121,Milestones!$AA$119),"dd mmm yy"))&amp;" "&amp;Milestones!$AB$119&amp;" "&amp;Milestones!$AC$119&amp;";  ",""))</f>
        <v/>
      </c>
      <c r="N121" s="0" t="str">
        <f aca="false">IF(OR($A121="",$D121=""),"",IF(AND(EDATE($D121,Milestones!$AA$120)&lt;=AsOfDate,IF($R121=0,$X121,IF(AND($T121&lt;&gt;"",EDATE($D121,Milestones!$AA$120)&gt;=$T121),$W121,IF(AND($S121&lt;&gt;"",EDATE($D121,Milestones!$AA$120)&gt;=$S121),$V121,$U121)))=Milestones!$AB$120),UPPER(TEXT(EDATE($D121,Milestones!$AA$120),"dd mmm yy"))&amp;" "&amp;Milestones!$AB$120&amp;" "&amp;Milestones!$AC$120&amp;";  ","")&amp;IF(AND(EDATE($D121,Milestones!$AA$121)&lt;=AsOfDate,IF($R121=0,$X121,IF(AND($T121&lt;&gt;"",EDATE($D121,Milestones!$AA$121)&gt;=$T121),$W121,IF(AND($S121&lt;&gt;"",EDATE($D121,Milestones!$AA$121)&gt;=$S121),$V121,$U121)))=Milestones!$AB$121),UPPER(TEXT(EDATE($D121,Milestones!$AA$121),"dd mmm yy"))&amp;" "&amp;Milestones!$AB$121&amp;" "&amp;Milestones!$AC$121&amp;";  ","")&amp;IF(AND(EDATE($D121,Milestones!$AA$122)&lt;=AsOfDate,IF($R121=0,$X121,IF(AND($T121&lt;&gt;"",EDATE($D121,Milestones!$AA$122)&gt;=$T121),$W121,IF(AND($S121&lt;&gt;"",EDATE($D121,Milestones!$AA$122)&gt;=$S121),$V121,$U121)))=Milestones!$AB$122),UPPER(TEXT(EDATE($D121,Milestones!$AA$122),"dd mmm yy"))&amp;" "&amp;Milestones!$AB$122&amp;" "&amp;Milestones!$AC$122&amp;";  ","")&amp;IF(AND(EDATE($D121,Milestones!$AA$123)&lt;=AsOfDate,IF($R121=0,$X121,IF(AND($T121&lt;&gt;"",EDATE($D121,Milestones!$AA$123)&gt;=$T121),$W121,IF(AND($S121&lt;&gt;"",EDATE($D121,Milestones!$AA$123)&gt;=$S121),$V121,$U121)))=Milestones!$AB$123),UPPER(TEXT(EDATE($D121,Milestones!$AA$123),"dd mmm yy"))&amp;" "&amp;Milestones!$AB$123&amp;" "&amp;Milestones!$AC$123&amp;";  ","")&amp;IF(AND(EDATE($D121,Milestones!$AA$124)&lt;=AsOfDate,IF($R121=0,$X121,IF(AND($T121&lt;&gt;"",EDATE($D121,Milestones!$AA$124)&gt;=$T121),$W121,IF(AND($S121&lt;&gt;"",EDATE($D121,Milestones!$AA$124)&gt;=$S121),$V121,$U121)))=Milestones!$AB$124),UPPER(TEXT(EDATE($D121,Milestones!$AA$124),"dd mmm yy"))&amp;" "&amp;Milestones!$AB$124&amp;" "&amp;Milestones!$AC$124&amp;";  ","")&amp;IF(AND(EDATE($D121,Milestones!$AA$125)&lt;=AsOfDate,IF($R121=0,$X121,IF(AND($T121&lt;&gt;"",EDATE($D121,Milestones!$AA$125)&gt;=$T121),$W121,IF(AND($S121&lt;&gt;"",EDATE($D121,Milestones!$AA$125)&gt;=$S121),$V121,$U121)))=Milestones!$AB$125),UPPER(TEXT(EDATE($D121,Milestones!$AA$125),"dd mmm yy"))&amp;" "&amp;Milestones!$AB$125&amp;" "&amp;Milestones!$AC$125&amp;";  ","")&amp;IF(AND(EDATE($D121,Milestones!$AA$126)&lt;=AsOfDate,IF($R121=0,$X121,IF(AND($T121&lt;&gt;"",EDATE($D121,Milestones!$AA$126)&gt;=$T121),$W121,IF(AND($S121&lt;&gt;"",EDATE($D121,Milestones!$AA$126)&gt;=$S121),$V121,$U121)))=Milestones!$AB$126),UPPER(TEXT(EDATE($D121,Milestones!$AA$126),"dd mmm yy"))&amp;" "&amp;Milestones!$AB$126&amp;" "&amp;Milestones!$AC$126&amp;";  ","")&amp;IF(AND(EDATE($D121,Milestones!$AA$127)&lt;=AsOfDate,IF($R121=0,$X121,IF(AND($T121&lt;&gt;"",EDATE($D121,Milestones!$AA$127)&gt;=$T121),$W121,IF(AND($S121&lt;&gt;"",EDATE($D121,Milestones!$AA$127)&gt;=$S121),$V121,$U121)))=Milestones!$AB$127),UPPER(TEXT(EDATE($D121,Milestones!$AA$127),"dd mmm yy"))&amp;" "&amp;Milestones!$AB$127&amp;" "&amp;Milestones!$AC$127&amp;";  ","")&amp;IF(AND(EDATE($D121,Milestones!$AA$128)&lt;=AsOfDate,IF($R121=0,$X121,IF(AND($T121&lt;&gt;"",EDATE($D121,Milestones!$AA$128)&gt;=$T121),$W121,IF(AND($S121&lt;&gt;"",EDATE($D121,Milestones!$AA$128)&gt;=$S121),$V121,$U121)))=Milestones!$AB$128),UPPER(TEXT(EDATE($D121,Milestones!$AA$128),"dd mmm yy"))&amp;" "&amp;Milestones!$AB$128&amp;" "&amp;Milestones!$AC$128&amp;";  ","")&amp;IF(AND(EDATE($D121,Milestones!$AA$129)&lt;=AsOfDate,IF($R121=0,$X121,IF(AND($T121&lt;&gt;"",EDATE($D121,Milestones!$AA$129)&gt;=$T121),$W121,IF(AND($S121&lt;&gt;"",EDATE($D121,Milestones!$AA$129)&gt;=$S121),$V121,$U121)))=Milestones!$AB$129),UPPER(TEXT(EDATE($D121,Milestones!$AA$129),"dd mmm yy"))&amp;" "&amp;Milestones!$AB$129&amp;" "&amp;Milestones!$AC$129&amp;";  ","")&amp;IF(AND(EDATE($D121,Milestones!$AA$130)&lt;=AsOfDate,IF($R121=0,$X121,IF(AND($T121&lt;&gt;"",EDATE($D121,Milestones!$AA$130)&gt;=$T121),$W121,IF(AND($S121&lt;&gt;"",EDATE($D121,Milestones!$AA$130)&gt;=$S121),$V121,$U121)))=Milestones!$AB$130),UPPER(TEXT(EDATE($D121,Milestones!$AA$130),"dd mmm yy"))&amp;" "&amp;Milestones!$AB$130&amp;" "&amp;Milestones!$AC$130&amp;";  ","")&amp;IF(AND(EDATE($D121,Milestones!$AA$131)&lt;=AsOfDate,IF($R121=0,$X121,IF(AND($T121&lt;&gt;"",EDATE($D121,Milestones!$AA$131)&gt;=$T121),$W121,IF(AND($S121&lt;&gt;"",EDATE($D121,Milestones!$AA$131)&gt;=$S121),$V121,$U121)))=Milestones!$AB$131),UPPER(TEXT(EDATE($D121,Milestones!$AA$131),"dd mmm yy"))&amp;" "&amp;Milestones!$AB$131&amp;" "&amp;Milestones!$AC$131&amp;";  ","")&amp;IF(AND(EDATE($D121,Milestones!$AA$132)&lt;=AsOfDate,IF($R121=0,$X121,IF(AND($T121&lt;&gt;"",EDATE($D121,Milestones!$AA$132)&gt;=$T121),$W121,IF(AND($S121&lt;&gt;"",EDATE($D121,Milestones!$AA$132)&gt;=$S121),$V121,$U121)))=Milestones!$AB$132),UPPER(TEXT(EDATE($D121,Milestones!$AA$132),"dd mmm yy"))&amp;" "&amp;Milestones!$AB$132&amp;" "&amp;Milestones!$AC$132&amp;";  ","")&amp;IF(AND(EDATE($D121,Milestones!$AA$133)&lt;=AsOfDate,IF($R121=0,$X121,IF(AND($T121&lt;&gt;"",EDATE($D121,Milestones!$AA$133)&gt;=$T121),$W121,IF(AND($S121&lt;&gt;"",EDATE($D121,Milestones!$AA$133)&gt;=$S121),$V121,$U121)))=Milestones!$AB$133),UPPER(TEXT(EDATE($D121,Milestones!$AA$133),"dd mmm yy"))&amp;" "&amp;Milestones!$AB$133&amp;" "&amp;Milestones!$AC$133&amp;";  ","")&amp;IF(AND(EDATE($D121,Milestones!$AA$134)&lt;=AsOfDate,IF($R121=0,$X121,IF(AND($T121&lt;&gt;"",EDATE($D121,Milestones!$AA$134)&gt;=$T121),$W121,IF(AND($S121&lt;&gt;"",EDATE($D121,Milestones!$AA$134)&gt;=$S121),$V121,$U121)))=Milestones!$AB$134),UPPER(TEXT(EDATE($D121,Milestones!$AA$134),"dd mmm yy"))&amp;" "&amp;Milestones!$AB$134&amp;" "&amp;Milestones!$AC$134&amp;";  ","")&amp;IF(AND(EDATE($D121,Milestones!$AA$135)&lt;=AsOfDate,IF($R121=0,$X121,IF(AND($T121&lt;&gt;"",EDATE($D121,Milestones!$AA$135)&gt;=$T121),$W121,IF(AND($S121&lt;&gt;"",EDATE($D121,Milestones!$AA$135)&gt;=$S121),$V121,$U121)))=Milestones!$AB$135),UPPER(TEXT(EDATE($D121,Milestones!$AA$135),"dd mmm yy"))&amp;" "&amp;Milestones!$AB$135&amp;" "&amp;Milestones!$AC$135&amp;";  ","")&amp;IF(AND(EDATE($D121,Milestones!$AA$136)&lt;=AsOfDate,IF($R121=0,$X121,IF(AND($T121&lt;&gt;"",EDATE($D121,Milestones!$AA$136)&gt;=$T121),$W121,IF(AND($S121&lt;&gt;"",EDATE($D121,Milestones!$AA$136)&gt;=$S121),$V121,$U121)))=Milestones!$AB$136),UPPER(TEXT(EDATE($D121,Milestones!$AA$136),"dd mmm yy"))&amp;" "&amp;Milestones!$AB$136&amp;" "&amp;Milestones!$AC$136&amp;";  ","")&amp;IF(AND(EDATE($D121,Milestones!$AA$137)&lt;=AsOfDate,IF($R121=0,$X121,IF(AND($T121&lt;&gt;"",EDATE($D121,Milestones!$AA$137)&gt;=$T121),$W121,IF(AND($S121&lt;&gt;"",EDATE($D121,Milestones!$AA$137)&gt;=$S121),$V121,$U121)))=Milestones!$AB$137),UPPER(TEXT(EDATE($D121,Milestones!$AA$137),"dd mmm yy"))&amp;" "&amp;Milestones!$AB$137&amp;" "&amp;Milestones!$AC$137&amp;";  ","")&amp;IF(AND(EDATE($D121,Milestones!$AA$138)&lt;=AsOfDate,IF($R121=0,$X121,IF(AND($T121&lt;&gt;"",EDATE($D121,Milestones!$AA$138)&gt;=$T121),$W121,IF(AND($S121&lt;&gt;"",EDATE($D121,Milestones!$AA$138)&gt;=$S121),$V121,$U121)))=Milestones!$AB$138),UPPER(TEXT(EDATE($D121,Milestones!$AA$138),"dd mmm yy"))&amp;" "&amp;Milestones!$AB$138&amp;" "&amp;Milestones!$AC$138&amp;";  ","")&amp;IF(AND(EDATE($D121,Milestones!$AA$139)&lt;=AsOfDate,IF($R121=0,$X121,IF(AND($T121&lt;&gt;"",EDATE($D121,Milestones!$AA$139)&gt;=$T121),$W121,IF(AND($S121&lt;&gt;"",EDATE($D121,Milestones!$AA$139)&gt;=$S121),$V121,$U121)))=Milestones!$AB$139),UPPER(TEXT(EDATE($D121,Milestones!$AA$139),"dd mmm yy"))&amp;" "&amp;Milestones!$AB$139&amp;" "&amp;Milestones!$AC$139&amp;";  ",""))</f>
        <v/>
      </c>
      <c r="O121" s="0" t="str">
        <f aca="false">IF(OR($A121="",$D121=""),"",IF(AND(EDATE($D121,Milestones!$AA$140)&lt;=AsOfDate,IF($R121=0,$X121,IF(AND($T121&lt;&gt;"",EDATE($D121,Milestones!$AA$140)&gt;=$T121),$W121,IF(AND($S121&lt;&gt;"",EDATE($D121,Milestones!$AA$140)&gt;=$S121),$V121,$U121)))=Milestones!$AB$140),UPPER(TEXT(EDATE($D121,Milestones!$AA$140),"dd mmm yy"))&amp;" "&amp;Milestones!$AB$140&amp;" "&amp;Milestones!$AC$140&amp;";  ","")&amp;IF(AND(EDATE($D121,Milestones!$AA$141)&lt;=AsOfDate,IF($R121=0,$X121,IF(AND($T121&lt;&gt;"",EDATE($D121,Milestones!$AA$141)&gt;=$T121),$W121,IF(AND($S121&lt;&gt;"",EDATE($D121,Milestones!$AA$141)&gt;=$S121),$V121,$U121)))=Milestones!$AB$141),UPPER(TEXT(EDATE($D121,Milestones!$AA$141),"dd mmm yy"))&amp;" "&amp;Milestones!$AB$141&amp;" "&amp;Milestones!$AC$141&amp;";  ","")&amp;IF(AND(EDATE($D121,Milestones!$AA$142)&lt;=AsOfDate,IF($R121=0,$X121,IF(AND($T121&lt;&gt;"",EDATE($D121,Milestones!$AA$142)&gt;=$T121),$W121,IF(AND($S121&lt;&gt;"",EDATE($D121,Milestones!$AA$142)&gt;=$S121),$V121,$U121)))=Milestones!$AB$142),UPPER(TEXT(EDATE($D121,Milestones!$AA$142),"dd mmm yy"))&amp;" "&amp;Milestones!$AB$142&amp;" "&amp;Milestones!$AC$142&amp;";  ","")&amp;IF(AND(EDATE($D121,Milestones!$AA$143)&lt;=AsOfDate,IF($R121=0,$X121,IF(AND($T121&lt;&gt;"",EDATE($D121,Milestones!$AA$143)&gt;=$T121),$W121,IF(AND($S121&lt;&gt;"",EDATE($D121,Milestones!$AA$143)&gt;=$S121),$V121,$U121)))=Milestones!$AB$143),UPPER(TEXT(EDATE($D121,Milestones!$AA$143),"dd mmm yy"))&amp;" "&amp;Milestones!$AB$143&amp;" "&amp;Milestones!$AC$143&amp;";  ","")&amp;IF(AND(EDATE($D121,Milestones!$AA$144)&lt;=AsOfDate,IF($R121=0,$X121,IF(AND($T121&lt;&gt;"",EDATE($D121,Milestones!$AA$144)&gt;=$T121),$W121,IF(AND($S121&lt;&gt;"",EDATE($D121,Milestones!$AA$144)&gt;=$S121),$V121,$U121)))=Milestones!$AB$144),UPPER(TEXT(EDATE($D121,Milestones!$AA$144),"dd mmm yy"))&amp;" "&amp;Milestones!$AB$144&amp;" "&amp;Milestones!$AC$144&amp;";  ","")&amp;IF(AND(EDATE($D121,Milestones!$AA$145)&lt;=AsOfDate,IF($R121=0,$X121,IF(AND($T121&lt;&gt;"",EDATE($D121,Milestones!$AA$145)&gt;=$T121),$W121,IF(AND($S121&lt;&gt;"",EDATE($D121,Milestones!$AA$145)&gt;=$S121),$V121,$U121)))=Milestones!$AB$145),UPPER(TEXT(EDATE($D121,Milestones!$AA$145),"dd mmm yy"))&amp;" "&amp;Milestones!$AB$145&amp;" "&amp;Milestones!$AC$145&amp;";  ","")&amp;IF(AND(EDATE($D121,Milestones!$AA$146)&lt;=AsOfDate,IF($R121=0,$X121,IF(AND($T121&lt;&gt;"",EDATE($D121,Milestones!$AA$146)&gt;=$T121),$W121,IF(AND($S121&lt;&gt;"",EDATE($D121,Milestones!$AA$146)&gt;=$S121),$V121,$U121)))=Milestones!$AB$146),UPPER(TEXT(EDATE($D121,Milestones!$AA$146),"dd mmm yy"))&amp;" "&amp;Milestones!$AB$146&amp;" "&amp;Milestones!$AC$146&amp;";  ","")&amp;IF(AND(EDATE($D121,Milestones!$AA$147)&lt;=AsOfDate,IF($R121=0,$X121,IF(AND($T121&lt;&gt;"",EDATE($D121,Milestones!$AA$147)&gt;=$T121),$W121,IF(AND($S121&lt;&gt;"",EDATE($D121,Milestones!$AA$147)&gt;=$S121),$V121,$U121)))=Milestones!$AB$147),UPPER(TEXT(EDATE($D121,Milestones!$AA$147),"dd mmm yy"))&amp;" "&amp;Milestones!$AB$147&amp;" "&amp;Milestones!$AC$147&amp;";  ","")&amp;IF(AND(EDATE($D121,Milestones!$AA$148)&lt;=AsOfDate,IF($R121=0,$X121,IF(AND($T121&lt;&gt;"",EDATE($D121,Milestones!$AA$148)&gt;=$T121),$W121,IF(AND($S121&lt;&gt;"",EDATE($D121,Milestones!$AA$148)&gt;=$S121),$V121,$U121)))=Milestones!$AB$148),UPPER(TEXT(EDATE($D121,Milestones!$AA$148),"dd mmm yy"))&amp;" "&amp;Milestones!$AB$148&amp;" "&amp;Milestones!$AC$148&amp;";  ","")&amp;IF(AND(EDATE($D121,Milestones!$AA$149)&lt;=AsOfDate,IF($R121=0,$X121,IF(AND($T121&lt;&gt;"",EDATE($D121,Milestones!$AA$149)&gt;=$T121),$W121,IF(AND($S121&lt;&gt;"",EDATE($D121,Milestones!$AA$149)&gt;=$S121),$V121,$U121)))=Milestones!$AB$149),UPPER(TEXT(EDATE($D121,Milestones!$AA$149),"dd mmm yy"))&amp;" "&amp;Milestones!$AB$149&amp;" "&amp;Milestones!$AC$149&amp;";  ","")&amp;IF(AND(EDATE($D121,Milestones!$AA$150)&lt;=AsOfDate,IF($R121=0,$X121,IF(AND($T121&lt;&gt;"",EDATE($D121,Milestones!$AA$150)&gt;=$T121),$W121,IF(AND($S121&lt;&gt;"",EDATE($D121,Milestones!$AA$150)&gt;=$S121),$V121,$U121)))=Milestones!$AB$150),UPPER(TEXT(EDATE($D121,Milestones!$AA$150),"dd mmm yy"))&amp;" "&amp;Milestones!$AB$150&amp;" "&amp;Milestones!$AC$150&amp;";  ","")&amp;IF(AND(EDATE($D121,Milestones!$AA$151)&lt;=AsOfDate,IF($R121=0,$X121,IF(AND($T121&lt;&gt;"",EDATE($D121,Milestones!$AA$151)&gt;=$T121),$W121,IF(AND($S121&lt;&gt;"",EDATE($D121,Milestones!$AA$151)&gt;=$S121),$V121,$U121)))=Milestones!$AB$151),UPPER(TEXT(EDATE($D121,Milestones!$AA$151),"dd mmm yy"))&amp;" "&amp;Milestones!$AB$151&amp;" "&amp;Milestones!$AC$151&amp;";  ","")&amp;IF(AND(EDATE($D121,Milestones!$AA$152)&lt;=AsOfDate,IF($R121=0,$X121,IF(AND($T121&lt;&gt;"",EDATE($D121,Milestones!$AA$152)&gt;=$T121),$W121,IF(AND($S121&lt;&gt;"",EDATE($D121,Milestones!$AA$152)&gt;=$S121),$V121,$U121)))=Milestones!$AB$152),UPPER(TEXT(EDATE($D121,Milestones!$AA$152),"dd mmm yy"))&amp;" "&amp;Milestones!$AB$152&amp;" "&amp;Milestones!$AC$152&amp;";  ","")&amp;IF(AND(EDATE($D121,Milestones!$AA$153)&lt;=AsOfDate,IF($R121=0,$X121,IF(AND($T121&lt;&gt;"",EDATE($D121,Milestones!$AA$153)&gt;=$T121),$W121,IF(AND($S121&lt;&gt;"",EDATE($D121,Milestones!$AA$153)&gt;=$S121),$V121,$U121)))=Milestones!$AB$153),UPPER(TEXT(EDATE($D121,Milestones!$AA$153),"dd mmm yy"))&amp;" "&amp;Milestones!$AB$153&amp;" "&amp;Milestones!$AC$153&amp;";  ","")&amp;IF(AND(EDATE($D121,Milestones!$AA$154)&lt;=AsOfDate,IF($R121=0,$X121,IF(AND($T121&lt;&gt;"",EDATE($D121,Milestones!$AA$154)&gt;=$T121),$W121,IF(AND($S121&lt;&gt;"",EDATE($D121,Milestones!$AA$154)&gt;=$S121),$V121,$U121)))=Milestones!$AB$154),UPPER(TEXT(EDATE($D121,Milestones!$AA$154),"dd mmm yy"))&amp;" "&amp;Milestones!$AB$154&amp;" "&amp;Milestones!$AC$154&amp;";  ","")&amp;IF(AND(EDATE($D121,Milestones!$AA$155)&lt;=AsOfDate,IF($R121=0,$X121,IF(AND($T121&lt;&gt;"",EDATE($D121,Milestones!$AA$155)&gt;=$T121),$W121,IF(AND($S121&lt;&gt;"",EDATE($D121,Milestones!$AA$155)&gt;=$S121),$V121,$U121)))=Milestones!$AB$155),UPPER(TEXT(EDATE($D121,Milestones!$AA$155),"dd mmm yy"))&amp;" "&amp;Milestones!$AB$155&amp;" "&amp;Milestones!$AC$155&amp;";  ","")&amp;IF(AND(EDATE($D121,Milestones!$AA$156)&lt;=AsOfDate,IF($R121=0,$X121,IF(AND($T121&lt;&gt;"",EDATE($D121,Milestones!$AA$156)&gt;=$T121),$W121,IF(AND($S121&lt;&gt;"",EDATE($D121,Milestones!$AA$156)&gt;=$S121),$V121,$U121)))=Milestones!$AB$156),UPPER(TEXT(EDATE($D121,Milestones!$AA$156),"dd mmm yy"))&amp;" "&amp;Milestones!$AB$156&amp;" "&amp;Milestones!$AC$156&amp;";  ","")&amp;IF(AND(EDATE($D121,Milestones!$AA$157)&lt;=AsOfDate,IF($R121=0,$X121,IF(AND($T121&lt;&gt;"",EDATE($D121,Milestones!$AA$157)&gt;=$T121),$W121,IF(AND($S121&lt;&gt;"",EDATE($D121,Milestones!$AA$157)&gt;=$S121),$V121,$U121)))=Milestones!$AB$157),UPPER(TEXT(EDATE($D121,Milestones!$AA$157),"dd mmm yy"))&amp;" "&amp;Milestones!$AB$157&amp;" "&amp;Milestones!$AC$157&amp;";  ","")&amp;IF(AND(EDATE($D121,Milestones!$AA$158)&lt;=AsOfDate,IF($R121=0,$X121,IF(AND($T121&lt;&gt;"",EDATE($D121,Milestones!$AA$158)&gt;=$T121),$W121,IF(AND($S121&lt;&gt;"",EDATE($D121,Milestones!$AA$158)&gt;=$S121),$V121,$U121)))=Milestones!$AB$158),UPPER(TEXT(EDATE($D121,Milestones!$AA$158),"dd mmm yy"))&amp;" "&amp;Milestones!$AB$158&amp;" "&amp;Milestones!$AC$158&amp;";  ","")&amp;IF(AND(EDATE($D121,Milestones!$AA$159)&lt;=AsOfDate,IF($R121=0,$X121,IF(AND($T121&lt;&gt;"",EDATE($D121,Milestones!$AA$159)&gt;=$T121),$W121,IF(AND($S121&lt;&gt;"",EDATE($D121,Milestones!$AA$159)&gt;=$S121),$V121,$U121)))=Milestones!$AB$159),UPPER(TEXT(EDATE($D121,Milestones!$AA$159),"dd mmm yy"))&amp;" "&amp;Milestones!$AB$159&amp;" "&amp;Milestones!$AC$159&amp;";  ",""))</f>
        <v/>
      </c>
      <c r="P121" s="0" t="str">
        <f aca="false">IF(OR($A121="",$D121=""),"",IF(AND(EDATE($D121,Milestones!$AA$160)&lt;=AsOfDate,IF($R121=0,$X121,IF(AND($T121&lt;&gt;"",EDATE($D121,Milestones!$AA$160)&gt;=$T121),$W121,IF(AND($S121&lt;&gt;"",EDATE($D121,Milestones!$AA$160)&gt;=$S121),$V121,$U121)))=Milestones!$AB$160),UPPER(TEXT(EDATE($D121,Milestones!$AA$160),"dd mmm yy"))&amp;" "&amp;Milestones!$AB$160&amp;" "&amp;Milestones!$AC$160&amp;";  ","")&amp;IF(AND(EDATE($D121,Milestones!$AA$161)&lt;=AsOfDate,IF($R121=0,$X121,IF(AND($T121&lt;&gt;"",EDATE($D121,Milestones!$AA$161)&gt;=$T121),$W121,IF(AND($S121&lt;&gt;"",EDATE($D121,Milestones!$AA$161)&gt;=$S121),$V121,$U121)))=Milestones!$AB$161),UPPER(TEXT(EDATE($D121,Milestones!$AA$161),"dd mmm yy"))&amp;" "&amp;Milestones!$AB$161&amp;" "&amp;Milestones!$AC$161&amp;";  ","")&amp;IF(AND(EDATE($D121,Milestones!$AA$162)&lt;=AsOfDate,IF($R121=0,$X121,IF(AND($T121&lt;&gt;"",EDATE($D121,Milestones!$AA$162)&gt;=$T121),$W121,IF(AND($S121&lt;&gt;"",EDATE($D121,Milestones!$AA$162)&gt;=$S121),$V121,$U121)))=Milestones!$AB$162),UPPER(TEXT(EDATE($D121,Milestones!$AA$162),"dd mmm yy"))&amp;" "&amp;Milestones!$AB$162&amp;" "&amp;Milestones!$AC$162&amp;";  ","")&amp;IF(AND(EDATE($D121,Milestones!$AA$163)&lt;=AsOfDate,IF($R121=0,$X121,IF(AND($T121&lt;&gt;"",EDATE($D121,Milestones!$AA$163)&gt;=$T121),$W121,IF(AND($S121&lt;&gt;"",EDATE($D121,Milestones!$AA$163)&gt;=$S121),$V121,$U121)))=Milestones!$AB$163),UPPER(TEXT(EDATE($D121,Milestones!$AA$163),"dd mmm yy"))&amp;" "&amp;Milestones!$AB$163&amp;" "&amp;Milestones!$AC$163&amp;";  ","")&amp;IF(AND(EDATE($D121,Milestones!$AA$164)&lt;=AsOfDate,IF($R121=0,$X121,IF(AND($T121&lt;&gt;"",EDATE($D121,Milestones!$AA$164)&gt;=$T121),$W121,IF(AND($S121&lt;&gt;"",EDATE($D121,Milestones!$AA$164)&gt;=$S121),$V121,$U121)))=Milestones!$AB$164),UPPER(TEXT(EDATE($D121,Milestones!$AA$164),"dd mmm yy"))&amp;" "&amp;Milestones!$AB$164&amp;" "&amp;Milestones!$AC$164&amp;";  ","")&amp;IF(AND(EDATE($D121,Milestones!$AA$165)&lt;=AsOfDate,IF($R121=0,$X121,IF(AND($T121&lt;&gt;"",EDATE($D121,Milestones!$AA$165)&gt;=$T121),$W121,IF(AND($S121&lt;&gt;"",EDATE($D121,Milestones!$AA$165)&gt;=$S121),$V121,$U121)))=Milestones!$AB$165),UPPER(TEXT(EDATE($D121,Milestones!$AA$165),"dd mmm yy"))&amp;" "&amp;Milestones!$AB$165&amp;" "&amp;Milestones!$AC$165&amp;";  ","")&amp;IF(AND(EDATE($D121,Milestones!$AA$166)&lt;=AsOfDate,IF($R121=0,$X121,IF(AND($T121&lt;&gt;"",EDATE($D121,Milestones!$AA$166)&gt;=$T121),$W121,IF(AND($S121&lt;&gt;"",EDATE($D121,Milestones!$AA$166)&gt;=$S121),$V121,$U121)))=Milestones!$AB$166),UPPER(TEXT(EDATE($D121,Milestones!$AA$166),"dd mmm yy"))&amp;" "&amp;Milestones!$AB$166&amp;" "&amp;Milestones!$AC$166&amp;";  ","")&amp;IF(AND(EDATE($D121,Milestones!$AA$167)&lt;=AsOfDate,IF($R121=0,$X121,IF(AND($T121&lt;&gt;"",EDATE($D121,Milestones!$AA$167)&gt;=$T121),$W121,IF(AND($S121&lt;&gt;"",EDATE($D121,Milestones!$AA$167)&gt;=$S121),$V121,$U121)))=Milestones!$AB$167),UPPER(TEXT(EDATE($D121,Milestones!$AA$167),"dd mmm yy"))&amp;" "&amp;Milestones!$AB$167&amp;" "&amp;Milestones!$AC$167&amp;";  ","")&amp;IF(AND(EDATE($D121,Milestones!$AA$168)&lt;=AsOfDate,IF($R121=0,$X121,IF(AND($T121&lt;&gt;"",EDATE($D121,Milestones!$AA$168)&gt;=$T121),$W121,IF(AND($S121&lt;&gt;"",EDATE($D121,Milestones!$AA$168)&gt;=$S121),$V121,$U121)))=Milestones!$AB$168),UPPER(TEXT(EDATE($D121,Milestones!$AA$168),"dd mmm yy"))&amp;" "&amp;Milestones!$AB$168&amp;" "&amp;Milestones!$AC$168&amp;";  ","")&amp;IF(AND(EDATE($D121,Milestones!$AA$169)&lt;=AsOfDate,IF($R121=0,$X121,IF(AND($T121&lt;&gt;"",EDATE($D121,Milestones!$AA$169)&gt;=$T121),$W121,IF(AND($S121&lt;&gt;"",EDATE($D121,Milestones!$AA$169)&gt;=$S121),$V121,$U121)))=Milestones!$AB$169),UPPER(TEXT(EDATE($D121,Milestones!$AA$169),"dd mmm yy"))&amp;" "&amp;Milestones!$AB$169&amp;" "&amp;Milestones!$AC$169&amp;";  ","")&amp;IF(AND(EDATE($D121,Milestones!$AA$170)&lt;=AsOfDate,IF($R121=0,$X121,IF(AND($T121&lt;&gt;"",EDATE($D121,Milestones!$AA$170)&gt;=$T121),$W121,IF(AND($S121&lt;&gt;"",EDATE($D121,Milestones!$AA$170)&gt;=$S121),$V121,$U121)))=Milestones!$AB$170),UPPER(TEXT(EDATE($D121,Milestones!$AA$170),"dd mmm yy"))&amp;" "&amp;Milestones!$AB$170&amp;" "&amp;Milestones!$AC$170&amp;";  ","")&amp;IF(AND(EDATE($D121,Milestones!$AA$171)&lt;=AsOfDate,IF($R121=0,$X121,IF(AND($T121&lt;&gt;"",EDATE($D121,Milestones!$AA$171)&gt;=$T121),$W121,IF(AND($S121&lt;&gt;"",EDATE($D121,Milestones!$AA$171)&gt;=$S121),$V121,$U121)))=Milestones!$AB$171),UPPER(TEXT(EDATE($D121,Milestones!$AA$171),"dd mmm yy"))&amp;" "&amp;Milestones!$AB$171&amp;" "&amp;Milestones!$AC$171&amp;";  ","")&amp;IF(AND(EDATE($D121,Milestones!$AA$172)&lt;=AsOfDate,IF($R121=0,$X121,IF(AND($T121&lt;&gt;"",EDATE($D121,Milestones!$AA$172)&gt;=$T121),$W121,IF(AND($S121&lt;&gt;"",EDATE($D121,Milestones!$AA$172)&gt;=$S121),$V121,$U121)))=Milestones!$AB$172),UPPER(TEXT(EDATE($D121,Milestones!$AA$172),"dd mmm yy"))&amp;" "&amp;Milestones!$AB$172&amp;" "&amp;Milestones!$AC$172&amp;";  ","")&amp;IF(AND(EDATE($D121,Milestones!$AA$173)&lt;=AsOfDate,IF($R121=0,$X121,IF(AND($T121&lt;&gt;"",EDATE($D121,Milestones!$AA$173)&gt;=$T121),$W121,IF(AND($S121&lt;&gt;"",EDATE($D121,Milestones!$AA$173)&gt;=$S121),$V121,$U121)))=Milestones!$AB$173),UPPER(TEXT(EDATE($D121,Milestones!$AA$173),"dd mmm yy"))&amp;" "&amp;Milestones!$AB$173&amp;" "&amp;Milestones!$AC$173&amp;";  ","")&amp;IF(AND(EDATE($D121,Milestones!$AA$174)&lt;=AsOfDate,IF($R121=0,$X121,IF(AND($T121&lt;&gt;"",EDATE($D121,Milestones!$AA$174)&gt;=$T121),$W121,IF(AND($S121&lt;&gt;"",EDATE($D121,Milestones!$AA$174)&gt;=$S121),$V121,$U121)))=Milestones!$AB$174),UPPER(TEXT(EDATE($D121,Milestones!$AA$174),"dd mmm yy"))&amp;" "&amp;Milestones!$AB$174&amp;" "&amp;Milestones!$AC$174&amp;";  ","")&amp;IF(AND(EDATE($D121,Milestones!$AA$175)&lt;=AsOfDate,IF($R121=0,$X121,IF(AND($T121&lt;&gt;"",EDATE($D121,Milestones!$AA$175)&gt;=$T121),$W121,IF(AND($S121&lt;&gt;"",EDATE($D121,Milestones!$AA$175)&gt;=$S121),$V121,$U121)))=Milestones!$AB$175),UPPER(TEXT(EDATE($D121,Milestones!$AA$175),"dd mmm yy"))&amp;" "&amp;Milestones!$AB$175&amp;" "&amp;Milestones!$AC$175&amp;";  ","")&amp;IF(AND(EDATE($D121,Milestones!$AA$176)&lt;=AsOfDate,IF($R121=0,$X121,IF(AND($T121&lt;&gt;"",EDATE($D121,Milestones!$AA$176)&gt;=$T121),$W121,IF(AND($S121&lt;&gt;"",EDATE($D121,Milestones!$AA$176)&gt;=$S121),$V121,$U121)))=Milestones!$AB$176),UPPER(TEXT(EDATE($D121,Milestones!$AA$176),"dd mmm yy"))&amp;" "&amp;Milestones!$AB$176&amp;" "&amp;Milestones!$AC$176&amp;";  ","")&amp;IF(AND(EDATE($D121,Milestones!$AA$177)&lt;=AsOfDate,IF($R121=0,$X121,IF(AND($T121&lt;&gt;"",EDATE($D121,Milestones!$AA$177)&gt;=$T121),$W121,IF(AND($S121&lt;&gt;"",EDATE($D121,Milestones!$AA$177)&gt;=$S121),$V121,$U121)))=Milestones!$AB$177),UPPER(TEXT(EDATE($D121,Milestones!$AA$177),"dd mmm yy"))&amp;" "&amp;Milestones!$AB$177&amp;" "&amp;Milestones!$AC$177&amp;";  ","")&amp;IF(AND(EDATE($D121,Milestones!$AA$178)&lt;=AsOfDate,IF($R121=0,$X121,IF(AND($T121&lt;&gt;"",EDATE($D121,Milestones!$AA$178)&gt;=$T121),$W121,IF(AND($S121&lt;&gt;"",EDATE($D121,Milestones!$AA$178)&gt;=$S121),$V121,$U121)))=Milestones!$AB$178),UPPER(TEXT(EDATE($D121,Milestones!$AA$178),"dd mmm yy"))&amp;" "&amp;Milestones!$AB$178&amp;" "&amp;Milestones!$AC$178&amp;";  ","")&amp;IF(AND(EDATE($D121,Milestones!$AA$179)&lt;=AsOfDate,IF($R121=0,$X121,IF(AND($T121&lt;&gt;"",EDATE($D121,Milestones!$AA$179)&gt;=$T121),$W121,IF(AND($S121&lt;&gt;"",EDATE($D121,Milestones!$AA$179)&gt;=$S121),$V121,$U121)))=Milestones!$AB$179),UPPER(TEXT(EDATE($D121,Milestones!$AA$179),"dd mmm yy"))&amp;" "&amp;Milestones!$AB$179&amp;" "&amp;Milestones!$AC$179&amp;";  ",""))</f>
        <v/>
      </c>
      <c r="Q121" s="0" t="str">
        <f aca="false">IF(OR($A121="",$D121=""),"",IF(AND(EDATE($D121,Milestones!$AA$180)&lt;=AsOfDate,IF($R121=0,$X121,IF(AND($T121&lt;&gt;"",EDATE($D121,Milestones!$AA$180)&gt;=$T121),$W121,IF(AND($S121&lt;&gt;"",EDATE($D121,Milestones!$AA$180)&gt;=$S121),$V121,$U121)))=Milestones!$AB$180),UPPER(TEXT(EDATE($D121,Milestones!$AA$180),"dd mmm yy"))&amp;" "&amp;Milestones!$AB$180&amp;" "&amp;Milestones!$AC$180&amp;";  ","")&amp;IF(AND(EDATE($D121,Milestones!$AA$181)&lt;=AsOfDate,IF($R121=0,$X121,IF(AND($T121&lt;&gt;"",EDATE($D121,Milestones!$AA$181)&gt;=$T121),$W121,IF(AND($S121&lt;&gt;"",EDATE($D121,Milestones!$AA$181)&gt;=$S121),$V121,$U121)))=Milestones!$AB$181),UPPER(TEXT(EDATE($D121,Milestones!$AA$181),"dd mmm yy"))&amp;" "&amp;Milestones!$AB$181&amp;" "&amp;Milestones!$AC$181&amp;";  ","")&amp;IF(AND(EDATE($D121,Milestones!$AA$182)&lt;=AsOfDate,IF($R121=0,$X121,IF(AND($T121&lt;&gt;"",EDATE($D121,Milestones!$AA$182)&gt;=$T121),$W121,IF(AND($S121&lt;&gt;"",EDATE($D121,Milestones!$AA$182)&gt;=$S121),$V121,$U121)))=Milestones!$AB$182),UPPER(TEXT(EDATE($D121,Milestones!$AA$182),"dd mmm yy"))&amp;" "&amp;Milestones!$AB$182&amp;" "&amp;Milestones!$AC$182&amp;";  ","")&amp;IF(AND(EDATE($D121,Milestones!$AA$183)&lt;=AsOfDate,IF($R121=0,$X121,IF(AND($T121&lt;&gt;"",EDATE($D121,Milestones!$AA$183)&gt;=$T121),$W121,IF(AND($S121&lt;&gt;"",EDATE($D121,Milestones!$AA$183)&gt;=$S121),$V121,$U121)))=Milestones!$AB$183),UPPER(TEXT(EDATE($D121,Milestones!$AA$183),"dd mmm yy"))&amp;" "&amp;Milestones!$AB$183&amp;" "&amp;Milestones!$AC$183&amp;";  ","")&amp;IF(AND(EDATE($D121,Milestones!$AA$184)&lt;=AsOfDate,IF($R121=0,$X121,IF(AND($T121&lt;&gt;"",EDATE($D121,Milestones!$AA$184)&gt;=$T121),$W121,IF(AND($S121&lt;&gt;"",EDATE($D121,Milestones!$AA$184)&gt;=$S121),$V121,$U121)))=Milestones!$AB$184),UPPER(TEXT(EDATE($D121,Milestones!$AA$184),"dd mmm yy"))&amp;" "&amp;Milestones!$AB$184&amp;" "&amp;Milestones!$AC$184&amp;";  ","")&amp;IF(AND(EDATE($D121,Milestones!$AA$185)&lt;=AsOfDate,IF($R121=0,$X121,IF(AND($T121&lt;&gt;"",EDATE($D121,Milestones!$AA$185)&gt;=$T121),$W121,IF(AND($S121&lt;&gt;"",EDATE($D121,Milestones!$AA$185)&gt;=$S121),$V121,$U121)))=Milestones!$AB$185),UPPER(TEXT(EDATE($D121,Milestones!$AA$185),"dd mmm yy"))&amp;" "&amp;Milestones!$AB$185&amp;" "&amp;Milestones!$AC$185&amp;";  ","")&amp;IF(AND(EDATE($D121,Milestones!$AA$186)&lt;=AsOfDate,IF($R121=0,$X121,IF(AND($T121&lt;&gt;"",EDATE($D121,Milestones!$AA$186)&gt;=$T121),$W121,IF(AND($S121&lt;&gt;"",EDATE($D121,Milestones!$AA$186)&gt;=$S121),$V121,$U121)))=Milestones!$AB$186),UPPER(TEXT(EDATE($D121,Milestones!$AA$186),"dd mmm yy"))&amp;" "&amp;Milestones!$AB$186&amp;" "&amp;Milestones!$AC$186&amp;";  ","")&amp;IF(AND(EDATE($D121,Milestones!$AA$187)&lt;=AsOfDate,IF($R121=0,$X121,IF(AND($T121&lt;&gt;"",EDATE($D121,Milestones!$AA$187)&gt;=$T121),$W121,IF(AND($S121&lt;&gt;"",EDATE($D121,Milestones!$AA$187)&gt;=$S121),$V121,$U121)))=Milestones!$AB$187),UPPER(TEXT(EDATE($D121,Milestones!$AA$187),"dd mmm yy"))&amp;" "&amp;Milestones!$AB$187&amp;" "&amp;Milestones!$AC$187&amp;";  ","")&amp;IF(AND(EDATE($D121,Milestones!$AA$188)&lt;=AsOfDate,IF($R121=0,$X121,IF(AND($T121&lt;&gt;"",EDATE($D121,Milestones!$AA$188)&gt;=$T121),$W121,IF(AND($S121&lt;&gt;"",EDATE($D121,Milestones!$AA$188)&gt;=$S121),$V121,$U121)))=Milestones!$AB$188),UPPER(TEXT(EDATE($D121,Milestones!$AA$188),"dd mmm yy"))&amp;" "&amp;Milestones!$AB$188&amp;" "&amp;Milestones!$AC$188&amp;";  ","")&amp;IF(AND(EDATE($D121,Milestones!$AA$189)&lt;=AsOfDate,IF($R121=0,$X121,IF(AND($T121&lt;&gt;"",EDATE($D121,Milestones!$AA$189)&gt;=$T121),$W121,IF(AND($S121&lt;&gt;"",EDATE($D121,Milestones!$AA$189)&gt;=$S121),$V121,$U121)))=Milestones!$AB$189),UPPER(TEXT(EDATE($D121,Milestones!$AA$189),"dd mmm yy"))&amp;" "&amp;Milestones!$AB$189&amp;" "&amp;Milestones!$AC$189&amp;";  ","")&amp;IF(AND(EDATE($D121,Milestones!$AA$190)&lt;=AsOfDate,IF($R121=0,$X121,IF(AND($T121&lt;&gt;"",EDATE($D121,Milestones!$AA$190)&gt;=$T121),$W121,IF(AND($S121&lt;&gt;"",EDATE($D121,Milestones!$AA$190)&gt;=$S121),$V121,$U121)))=Milestones!$AB$190),UPPER(TEXT(EDATE($D121,Milestones!$AA$190),"dd mmm yy"))&amp;" "&amp;Milestones!$AB$190&amp;" "&amp;Milestones!$AC$190&amp;";  ","")&amp;IF(AND(EDATE($D121,Milestones!$AA$191)&lt;=AsOfDate,IF($R121=0,$X121,IF(AND($T121&lt;&gt;"",EDATE($D121,Milestones!$AA$191)&gt;=$T121),$W121,IF(AND($S121&lt;&gt;"",EDATE($D121,Milestones!$AA$191)&gt;=$S121),$V121,$U121)))=Milestones!$AB$191),UPPER(TEXT(EDATE($D121,Milestones!$AA$191),"dd mmm yy"))&amp;" "&amp;Milestones!$AB$191&amp;" "&amp;Milestones!$AC$191&amp;";  ","")&amp;IF(AND(EDATE($D121,Milestones!$AA$192)&lt;=AsOfDate,IF($R121=0,$X121,IF(AND($T121&lt;&gt;"",EDATE($D121,Milestones!$AA$192)&gt;=$T121),$W121,IF(AND($S121&lt;&gt;"",EDATE($D121,Milestones!$AA$192)&gt;=$S121),$V121,$U121)))=Milestones!$AB$192),UPPER(TEXT(EDATE($D121,Milestones!$AA$192),"dd mmm yy"))&amp;" "&amp;Milestones!$AB$192&amp;" "&amp;Milestones!$AC$192&amp;";  ","")&amp;IF(AND(EDATE($D121,Milestones!$AA$193)&lt;=AsOfDate,IF($R121=0,$X121,IF(AND($T121&lt;&gt;"",EDATE($D121,Milestones!$AA$193)&gt;=$T121),$W121,IF(AND($S121&lt;&gt;"",EDATE($D121,Milestones!$AA$193)&gt;=$S121),$V121,$U121)))=Milestones!$AB$193),UPPER(TEXT(EDATE($D121,Milestones!$AA$193),"dd mmm yy"))&amp;" "&amp;Milestones!$AB$193&amp;" "&amp;Milestones!$AC$193&amp;";  ","")&amp;IF(AND(EDATE($D121,Milestones!$AA$194)&lt;=AsOfDate,IF($R121=0,$X121,IF(AND($T121&lt;&gt;"",EDATE($D121,Milestones!$AA$194)&gt;=$T121),$W121,IF(AND($S121&lt;&gt;"",EDATE($D121,Milestones!$AA$194)&gt;=$S121),$V121,$U121)))=Milestones!$AB$194),UPPER(TEXT(EDATE($D121,Milestones!$AA$194),"dd mmm yy"))&amp;" "&amp;Milestones!$AB$194&amp;" "&amp;Milestones!$AC$194&amp;";  ","")&amp;IF(AND(EDATE($D121,Milestones!$AA$195)&lt;=AsOfDate,IF($R121=0,$X121,IF(AND($T121&lt;&gt;"",EDATE($D121,Milestones!$AA$195)&gt;=$T121),$W121,IF(AND($S121&lt;&gt;"",EDATE($D121,Milestones!$AA$195)&gt;=$S121),$V121,$U121)))=Milestones!$AB$195),UPPER(TEXT(EDATE($D121,Milestones!$AA$195),"dd mmm yy"))&amp;" "&amp;Milestones!$AB$195&amp;" "&amp;Milestones!$AC$195&amp;";  ","")&amp;IF(AND(EDATE($D121,Milestones!$AA$196)&lt;=AsOfDate,IF($R121=0,$X121,IF(AND($T121&lt;&gt;"",EDATE($D121,Milestones!$AA$196)&gt;=$T121),$W121,IF(AND($S121&lt;&gt;"",EDATE($D121,Milestones!$AA$196)&gt;=$S121),$V121,$U121)))=Milestones!$AB$196),UPPER(TEXT(EDATE($D121,Milestones!$AA$196),"dd mmm yy"))&amp;" "&amp;Milestones!$AB$196&amp;" "&amp;Milestones!$AC$196&amp;";  ","")&amp;IF(AND(EDATE($D121,Milestones!$AA$197)&lt;=AsOfDate,IF($R121=0,$X121,IF(AND($T121&lt;&gt;"",EDATE($D121,Milestones!$AA$197)&gt;=$T121),$W121,IF(AND($S121&lt;&gt;"",EDATE($D121,Milestones!$AA$197)&gt;=$S121),$V121,$U121)))=Milestones!$AB$197),UPPER(TEXT(EDATE($D121,Milestones!$AA$197),"dd mmm yy"))&amp;" "&amp;Milestones!$AB$197&amp;" "&amp;Milestones!$AC$197&amp;";  ","")&amp;IF(AND(EDATE($D121,Milestones!$AA$198)&lt;=AsOfDate,IF($R121=0,$X121,IF(AND($T121&lt;&gt;"",EDATE($D121,Milestones!$AA$198)&gt;=$T121),$W121,IF(AND($S121&lt;&gt;"",EDATE($D121,Milestones!$AA$198)&gt;=$S121),$V121,$U121)))=Milestones!$AB$198),UPPER(TEXT(EDATE($D121,Milestones!$AA$198),"dd mmm yy"))&amp;" "&amp;Milestones!$AB$198&amp;" "&amp;Milestones!$AC$198&amp;";  ","")&amp;IF(AND(EDATE($D121,Milestones!$AA$199)&lt;=AsOfDate,IF($R121=0,$X121,IF(AND($T121&lt;&gt;"",EDATE($D121,Milestones!$AA$199)&gt;=$T121),$W121,IF(AND($S121&lt;&gt;"",EDATE($D121,Milestones!$AA$199)&gt;=$S121),$V121,$U121)))=Milestones!$AB$199),UPPER(TEXT(EDATE($D121,Milestones!$AA$199),"dd mmm yy"))&amp;" "&amp;Milestones!$AB$199&amp;" "&amp;Milestones!$AC$199&amp;";  ",""))</f>
        <v/>
      </c>
      <c r="R121" s="0" t="str">
        <f aca="false">IF(Staff!$A121="","",Staff!$AI121)</f>
        <v/>
      </c>
      <c r="S121" s="0" t="str">
        <f aca="false">IF(Staff!$A121="","",Staff!$AK121)</f>
        <v/>
      </c>
      <c r="T121" s="0" t="str">
        <f aca="false">IF(Staff!$A121="","",Staff!$AL121)</f>
        <v/>
      </c>
      <c r="U121" s="0" t="str">
        <f aca="false">IF(Staff!$A121="","",Staff!$AP121)</f>
        <v/>
      </c>
      <c r="V121" s="0" t="str">
        <f aca="false">IF(Staff!$A121="","",Staff!$AQ121)</f>
        <v/>
      </c>
      <c r="W121" s="0" t="str">
        <f aca="false">IF(Staff!$A121="","",Staff!$AR121)</f>
        <v/>
      </c>
      <c r="X121" s="0" t="str">
        <f aca="false">IF(Staff!$A121="","",Staff!$AS121)</f>
        <v/>
      </c>
    </row>
    <row r="122" customFormat="false" ht="15" hidden="false" customHeight="false" outlineLevel="0" collapsed="false">
      <c r="A122" s="19" t="str">
        <f aca="false">IF(Staff!$A122="","",Staff!$A122)</f>
        <v/>
      </c>
      <c r="B122" s="19" t="str">
        <f aca="false">IF(Staff!$A122="","",Staff!$B122)</f>
        <v/>
      </c>
      <c r="C122" s="19" t="str">
        <f aca="false">IF(Staff!$A122="","",Staff!$C122)</f>
        <v/>
      </c>
      <c r="D122" s="17" t="str">
        <f aca="false">IF(Staff!$A122="","",Staff!$AH122)</f>
        <v/>
      </c>
      <c r="E122" s="19" t="str">
        <f aca="false">IF(Staff!$A122="","",Staff!$O122)</f>
        <v/>
      </c>
      <c r="F122" s="19" t="str">
        <f aca="false">IF(E122="","",E122*HoursPerDay)</f>
        <v/>
      </c>
      <c r="G122" s="19" t="str">
        <f aca="false">IF(Staff!$A122="","",Staff!$AE122)</f>
        <v/>
      </c>
      <c r="H122" s="32" t="str">
        <f aca="false">IF($A122="","",I122&amp;J122&amp;K122&amp;L122&amp;M122&amp;N122&amp;O122&amp;P122&amp;Q122)</f>
        <v/>
      </c>
      <c r="I122" s="0" t="str">
        <f aca="false">IF(OR($A122="",$D122=""),"",IF(AND(EDATE($D122,Milestones!$AA$20)&lt;=AsOfDate,IF($R122=0,$X122,IF(AND($T122&lt;&gt;"",EDATE($D122,Milestones!$AA$20)&gt;=$T122),$W122,IF(AND($S122&lt;&gt;"",EDATE($D122,Milestones!$AA$20)&gt;=$S122),$V122,$U122)))=Milestones!$AB$20),UPPER(TEXT(EDATE($D122,Milestones!$AA$20),"dd mmm yy"))&amp;" "&amp;Milestones!$AB$20&amp;" "&amp;Milestones!$AC$20&amp;";  ","")&amp;IF(AND(EDATE($D122,Milestones!$AA$21)&lt;=AsOfDate,IF($R122=0,$X122,IF(AND($T122&lt;&gt;"",EDATE($D122,Milestones!$AA$21)&gt;=$T122),$W122,IF(AND($S122&lt;&gt;"",EDATE($D122,Milestones!$AA$21)&gt;=$S122),$V122,$U122)))=Milestones!$AB$21),UPPER(TEXT(EDATE($D122,Milestones!$AA$21),"dd mmm yy"))&amp;" "&amp;Milestones!$AB$21&amp;" "&amp;Milestones!$AC$21&amp;";  ","")&amp;IF(AND(EDATE($D122,Milestones!$AA$22)&lt;=AsOfDate,IF($R122=0,$X122,IF(AND($T122&lt;&gt;"",EDATE($D122,Milestones!$AA$22)&gt;=$T122),$W122,IF(AND($S122&lt;&gt;"",EDATE($D122,Milestones!$AA$22)&gt;=$S122),$V122,$U122)))=Milestones!$AB$22),UPPER(TEXT(EDATE($D122,Milestones!$AA$22),"dd mmm yy"))&amp;" "&amp;Milestones!$AB$22&amp;" "&amp;Milestones!$AC$22&amp;";  ","")&amp;IF(AND(EDATE($D122,Milestones!$AA$23)&lt;=AsOfDate,IF($R122=0,$X122,IF(AND($T122&lt;&gt;"",EDATE($D122,Milestones!$AA$23)&gt;=$T122),$W122,IF(AND($S122&lt;&gt;"",EDATE($D122,Milestones!$AA$23)&gt;=$S122),$V122,$U122)))=Milestones!$AB$23),UPPER(TEXT(EDATE($D122,Milestones!$AA$23),"dd mmm yy"))&amp;" "&amp;Milestones!$AB$23&amp;" "&amp;Milestones!$AC$23&amp;";  ","")&amp;IF(AND(EDATE($D122,Milestones!$AA$24)&lt;=AsOfDate,IF($R122=0,$X122,IF(AND($T122&lt;&gt;"",EDATE($D122,Milestones!$AA$24)&gt;=$T122),$W122,IF(AND($S122&lt;&gt;"",EDATE($D122,Milestones!$AA$24)&gt;=$S122),$V122,$U122)))=Milestones!$AB$24),UPPER(TEXT(EDATE($D122,Milestones!$AA$24),"dd mmm yy"))&amp;" "&amp;Milestones!$AB$24&amp;" "&amp;Milestones!$AC$24&amp;";  ","")&amp;IF(AND(EDATE($D122,Milestones!$AA$25)&lt;=AsOfDate,IF($R122=0,$X122,IF(AND($T122&lt;&gt;"",EDATE($D122,Milestones!$AA$25)&gt;=$T122),$W122,IF(AND($S122&lt;&gt;"",EDATE($D122,Milestones!$AA$25)&gt;=$S122),$V122,$U122)))=Milestones!$AB$25),UPPER(TEXT(EDATE($D122,Milestones!$AA$25),"dd mmm yy"))&amp;" "&amp;Milestones!$AB$25&amp;" "&amp;Milestones!$AC$25&amp;";  ","")&amp;IF(AND(EDATE($D122,Milestones!$AA$26)&lt;=AsOfDate,IF($R122=0,$X122,IF(AND($T122&lt;&gt;"",EDATE($D122,Milestones!$AA$26)&gt;=$T122),$W122,IF(AND($S122&lt;&gt;"",EDATE($D122,Milestones!$AA$26)&gt;=$S122),$V122,$U122)))=Milestones!$AB$26),UPPER(TEXT(EDATE($D122,Milestones!$AA$26),"dd mmm yy"))&amp;" "&amp;Milestones!$AB$26&amp;" "&amp;Milestones!$AC$26&amp;";  ","")&amp;IF(AND(EDATE($D122,Milestones!$AA$27)&lt;=AsOfDate,IF($R122=0,$X122,IF(AND($T122&lt;&gt;"",EDATE($D122,Milestones!$AA$27)&gt;=$T122),$W122,IF(AND($S122&lt;&gt;"",EDATE($D122,Milestones!$AA$27)&gt;=$S122),$V122,$U122)))=Milestones!$AB$27),UPPER(TEXT(EDATE($D122,Milestones!$AA$27),"dd mmm yy"))&amp;" "&amp;Milestones!$AB$27&amp;" "&amp;Milestones!$AC$27&amp;";  ","")&amp;IF(AND(EDATE($D122,Milestones!$AA$28)&lt;=AsOfDate,IF($R122=0,$X122,IF(AND($T122&lt;&gt;"",EDATE($D122,Milestones!$AA$28)&gt;=$T122),$W122,IF(AND($S122&lt;&gt;"",EDATE($D122,Milestones!$AA$28)&gt;=$S122),$V122,$U122)))=Milestones!$AB$28),UPPER(TEXT(EDATE($D122,Milestones!$AA$28),"dd mmm yy"))&amp;" "&amp;Milestones!$AB$28&amp;" "&amp;Milestones!$AC$28&amp;";  ","")&amp;IF(AND(EDATE($D122,Milestones!$AA$29)&lt;=AsOfDate,IF($R122=0,$X122,IF(AND($T122&lt;&gt;"",EDATE($D122,Milestones!$AA$29)&gt;=$T122),$W122,IF(AND($S122&lt;&gt;"",EDATE($D122,Milestones!$AA$29)&gt;=$S122),$V122,$U122)))=Milestones!$AB$29),UPPER(TEXT(EDATE($D122,Milestones!$AA$29),"dd mmm yy"))&amp;" "&amp;Milestones!$AB$29&amp;" "&amp;Milestones!$AC$29&amp;";  ","")&amp;IF(AND(EDATE($D122,Milestones!$AA$30)&lt;=AsOfDate,IF($R122=0,$X122,IF(AND($T122&lt;&gt;"",EDATE($D122,Milestones!$AA$30)&gt;=$T122),$W122,IF(AND($S122&lt;&gt;"",EDATE($D122,Milestones!$AA$30)&gt;=$S122),$V122,$U122)))=Milestones!$AB$30),UPPER(TEXT(EDATE($D122,Milestones!$AA$30),"dd mmm yy"))&amp;" "&amp;Milestones!$AB$30&amp;" "&amp;Milestones!$AC$30&amp;";  ","")&amp;IF(AND(EDATE($D122,Milestones!$AA$31)&lt;=AsOfDate,IF($R122=0,$X122,IF(AND($T122&lt;&gt;"",EDATE($D122,Milestones!$AA$31)&gt;=$T122),$W122,IF(AND($S122&lt;&gt;"",EDATE($D122,Milestones!$AA$31)&gt;=$S122),$V122,$U122)))=Milestones!$AB$31),UPPER(TEXT(EDATE($D122,Milestones!$AA$31),"dd mmm yy"))&amp;" "&amp;Milestones!$AB$31&amp;" "&amp;Milestones!$AC$31&amp;";  ","")&amp;IF(AND(EDATE($D122,Milestones!$AA$32)&lt;=AsOfDate,IF($R122=0,$X122,IF(AND($T122&lt;&gt;"",EDATE($D122,Milestones!$AA$32)&gt;=$T122),$W122,IF(AND($S122&lt;&gt;"",EDATE($D122,Milestones!$AA$32)&gt;=$S122),$V122,$U122)))=Milestones!$AB$32),UPPER(TEXT(EDATE($D122,Milestones!$AA$32),"dd mmm yy"))&amp;" "&amp;Milestones!$AB$32&amp;" "&amp;Milestones!$AC$32&amp;";  ","")&amp;IF(AND(EDATE($D122,Milestones!$AA$33)&lt;=AsOfDate,IF($R122=0,$X122,IF(AND($T122&lt;&gt;"",EDATE($D122,Milestones!$AA$33)&gt;=$T122),$W122,IF(AND($S122&lt;&gt;"",EDATE($D122,Milestones!$AA$33)&gt;=$S122),$V122,$U122)))=Milestones!$AB$33),UPPER(TEXT(EDATE($D122,Milestones!$AA$33),"dd mmm yy"))&amp;" "&amp;Milestones!$AB$33&amp;" "&amp;Milestones!$AC$33&amp;";  ","")&amp;IF(AND(EDATE($D122,Milestones!$AA$34)&lt;=AsOfDate,IF($R122=0,$X122,IF(AND($T122&lt;&gt;"",EDATE($D122,Milestones!$AA$34)&gt;=$T122),$W122,IF(AND($S122&lt;&gt;"",EDATE($D122,Milestones!$AA$34)&gt;=$S122),$V122,$U122)))=Milestones!$AB$34),UPPER(TEXT(EDATE($D122,Milestones!$AA$34),"dd mmm yy"))&amp;" "&amp;Milestones!$AB$34&amp;" "&amp;Milestones!$AC$34&amp;";  ","")&amp;IF(AND(EDATE($D122,Milestones!$AA$35)&lt;=AsOfDate,IF($R122=0,$X122,IF(AND($T122&lt;&gt;"",EDATE($D122,Milestones!$AA$35)&gt;=$T122),$W122,IF(AND($S122&lt;&gt;"",EDATE($D122,Milestones!$AA$35)&gt;=$S122),$V122,$U122)))=Milestones!$AB$35),UPPER(TEXT(EDATE($D122,Milestones!$AA$35),"dd mmm yy"))&amp;" "&amp;Milestones!$AB$35&amp;" "&amp;Milestones!$AC$35&amp;";  ","")&amp;IF(AND(EDATE($D122,Milestones!$AA$36)&lt;=AsOfDate,IF($R122=0,$X122,IF(AND($T122&lt;&gt;"",EDATE($D122,Milestones!$AA$36)&gt;=$T122),$W122,IF(AND($S122&lt;&gt;"",EDATE($D122,Milestones!$AA$36)&gt;=$S122),$V122,$U122)))=Milestones!$AB$36),UPPER(TEXT(EDATE($D122,Milestones!$AA$36),"dd mmm yy"))&amp;" "&amp;Milestones!$AB$36&amp;" "&amp;Milestones!$AC$36&amp;";  ","")&amp;IF(AND(EDATE($D122,Milestones!$AA$37)&lt;=AsOfDate,IF($R122=0,$X122,IF(AND($T122&lt;&gt;"",EDATE($D122,Milestones!$AA$37)&gt;=$T122),$W122,IF(AND($S122&lt;&gt;"",EDATE($D122,Milestones!$AA$37)&gt;=$S122),$V122,$U122)))=Milestones!$AB$37),UPPER(TEXT(EDATE($D122,Milestones!$AA$37),"dd mmm yy"))&amp;" "&amp;Milestones!$AB$37&amp;" "&amp;Milestones!$AC$37&amp;";  ","")&amp;IF(AND(EDATE($D122,Milestones!$AA$38)&lt;=AsOfDate,IF($R122=0,$X122,IF(AND($T122&lt;&gt;"",EDATE($D122,Milestones!$AA$38)&gt;=$T122),$W122,IF(AND($S122&lt;&gt;"",EDATE($D122,Milestones!$AA$38)&gt;=$S122),$V122,$U122)))=Milestones!$AB$38),UPPER(TEXT(EDATE($D122,Milestones!$AA$38),"dd mmm yy"))&amp;" "&amp;Milestones!$AB$38&amp;" "&amp;Milestones!$AC$38&amp;";  ","")&amp;IF(AND(EDATE($D122,Milestones!$AA$39)&lt;=AsOfDate,IF($R122=0,$X122,IF(AND($T122&lt;&gt;"",EDATE($D122,Milestones!$AA$39)&gt;=$T122),$W122,IF(AND($S122&lt;&gt;"",EDATE($D122,Milestones!$AA$39)&gt;=$S122),$V122,$U122)))=Milestones!$AB$39),UPPER(TEXT(EDATE($D122,Milestones!$AA$39),"dd mmm yy"))&amp;" "&amp;Milestones!$AB$39&amp;" "&amp;Milestones!$AC$39&amp;";  ",""))</f>
        <v/>
      </c>
      <c r="J122" s="0" t="str">
        <f aca="false">IF(OR($A122="",$D122=""),"",IF(AND(EDATE($D122,Milestones!$AA$40)&lt;=AsOfDate,IF($R122=0,$X122,IF(AND($T122&lt;&gt;"",EDATE($D122,Milestones!$AA$40)&gt;=$T122),$W122,IF(AND($S122&lt;&gt;"",EDATE($D122,Milestones!$AA$40)&gt;=$S122),$V122,$U122)))=Milestones!$AB$40),UPPER(TEXT(EDATE($D122,Milestones!$AA$40),"dd mmm yy"))&amp;" "&amp;Milestones!$AB$40&amp;" "&amp;Milestones!$AC$40&amp;";  ","")&amp;IF(AND(EDATE($D122,Milestones!$AA$41)&lt;=AsOfDate,IF($R122=0,$X122,IF(AND($T122&lt;&gt;"",EDATE($D122,Milestones!$AA$41)&gt;=$T122),$W122,IF(AND($S122&lt;&gt;"",EDATE($D122,Milestones!$AA$41)&gt;=$S122),$V122,$U122)))=Milestones!$AB$41),UPPER(TEXT(EDATE($D122,Milestones!$AA$41),"dd mmm yy"))&amp;" "&amp;Milestones!$AB$41&amp;" "&amp;Milestones!$AC$41&amp;";  ","")&amp;IF(AND(EDATE($D122,Milestones!$AA$42)&lt;=AsOfDate,IF($R122=0,$X122,IF(AND($T122&lt;&gt;"",EDATE($D122,Milestones!$AA$42)&gt;=$T122),$W122,IF(AND($S122&lt;&gt;"",EDATE($D122,Milestones!$AA$42)&gt;=$S122),$V122,$U122)))=Milestones!$AB$42),UPPER(TEXT(EDATE($D122,Milestones!$AA$42),"dd mmm yy"))&amp;" "&amp;Milestones!$AB$42&amp;" "&amp;Milestones!$AC$42&amp;";  ","")&amp;IF(AND(EDATE($D122,Milestones!$AA$43)&lt;=AsOfDate,IF($R122=0,$X122,IF(AND($T122&lt;&gt;"",EDATE($D122,Milestones!$AA$43)&gt;=$T122),$W122,IF(AND($S122&lt;&gt;"",EDATE($D122,Milestones!$AA$43)&gt;=$S122),$V122,$U122)))=Milestones!$AB$43),UPPER(TEXT(EDATE($D122,Milestones!$AA$43),"dd mmm yy"))&amp;" "&amp;Milestones!$AB$43&amp;" "&amp;Milestones!$AC$43&amp;";  ","")&amp;IF(AND(EDATE($D122,Milestones!$AA$44)&lt;=AsOfDate,IF($R122=0,$X122,IF(AND($T122&lt;&gt;"",EDATE($D122,Milestones!$AA$44)&gt;=$T122),$W122,IF(AND($S122&lt;&gt;"",EDATE($D122,Milestones!$AA$44)&gt;=$S122),$V122,$U122)))=Milestones!$AB$44),UPPER(TEXT(EDATE($D122,Milestones!$AA$44),"dd mmm yy"))&amp;" "&amp;Milestones!$AB$44&amp;" "&amp;Milestones!$AC$44&amp;";  ","")&amp;IF(AND(EDATE($D122,Milestones!$AA$45)&lt;=AsOfDate,IF($R122=0,$X122,IF(AND($T122&lt;&gt;"",EDATE($D122,Milestones!$AA$45)&gt;=$T122),$W122,IF(AND($S122&lt;&gt;"",EDATE($D122,Milestones!$AA$45)&gt;=$S122),$V122,$U122)))=Milestones!$AB$45),UPPER(TEXT(EDATE($D122,Milestones!$AA$45),"dd mmm yy"))&amp;" "&amp;Milestones!$AB$45&amp;" "&amp;Milestones!$AC$45&amp;";  ","")&amp;IF(AND(EDATE($D122,Milestones!$AA$46)&lt;=AsOfDate,IF($R122=0,$X122,IF(AND($T122&lt;&gt;"",EDATE($D122,Milestones!$AA$46)&gt;=$T122),$W122,IF(AND($S122&lt;&gt;"",EDATE($D122,Milestones!$AA$46)&gt;=$S122),$V122,$U122)))=Milestones!$AB$46),UPPER(TEXT(EDATE($D122,Milestones!$AA$46),"dd mmm yy"))&amp;" "&amp;Milestones!$AB$46&amp;" "&amp;Milestones!$AC$46&amp;";  ","")&amp;IF(AND(EDATE($D122,Milestones!$AA$47)&lt;=AsOfDate,IF($R122=0,$X122,IF(AND($T122&lt;&gt;"",EDATE($D122,Milestones!$AA$47)&gt;=$T122),$W122,IF(AND($S122&lt;&gt;"",EDATE($D122,Milestones!$AA$47)&gt;=$S122),$V122,$U122)))=Milestones!$AB$47),UPPER(TEXT(EDATE($D122,Milestones!$AA$47),"dd mmm yy"))&amp;" "&amp;Milestones!$AB$47&amp;" "&amp;Milestones!$AC$47&amp;";  ","")&amp;IF(AND(EDATE($D122,Milestones!$AA$48)&lt;=AsOfDate,IF($R122=0,$X122,IF(AND($T122&lt;&gt;"",EDATE($D122,Milestones!$AA$48)&gt;=$T122),$W122,IF(AND($S122&lt;&gt;"",EDATE($D122,Milestones!$AA$48)&gt;=$S122),$V122,$U122)))=Milestones!$AB$48),UPPER(TEXT(EDATE($D122,Milestones!$AA$48),"dd mmm yy"))&amp;" "&amp;Milestones!$AB$48&amp;" "&amp;Milestones!$AC$48&amp;";  ","")&amp;IF(AND(EDATE($D122,Milestones!$AA$49)&lt;=AsOfDate,IF($R122=0,$X122,IF(AND($T122&lt;&gt;"",EDATE($D122,Milestones!$AA$49)&gt;=$T122),$W122,IF(AND($S122&lt;&gt;"",EDATE($D122,Milestones!$AA$49)&gt;=$S122),$V122,$U122)))=Milestones!$AB$49),UPPER(TEXT(EDATE($D122,Milestones!$AA$49),"dd mmm yy"))&amp;" "&amp;Milestones!$AB$49&amp;" "&amp;Milestones!$AC$49&amp;";  ","")&amp;IF(AND(EDATE($D122,Milestones!$AA$50)&lt;=AsOfDate,IF($R122=0,$X122,IF(AND($T122&lt;&gt;"",EDATE($D122,Milestones!$AA$50)&gt;=$T122),$W122,IF(AND($S122&lt;&gt;"",EDATE($D122,Milestones!$AA$50)&gt;=$S122),$V122,$U122)))=Milestones!$AB$50),UPPER(TEXT(EDATE($D122,Milestones!$AA$50),"dd mmm yy"))&amp;" "&amp;Milestones!$AB$50&amp;" "&amp;Milestones!$AC$50&amp;";  ","")&amp;IF(AND(EDATE($D122,Milestones!$AA$51)&lt;=AsOfDate,IF($R122=0,$X122,IF(AND($T122&lt;&gt;"",EDATE($D122,Milestones!$AA$51)&gt;=$T122),$W122,IF(AND($S122&lt;&gt;"",EDATE($D122,Milestones!$AA$51)&gt;=$S122),$V122,$U122)))=Milestones!$AB$51),UPPER(TEXT(EDATE($D122,Milestones!$AA$51),"dd mmm yy"))&amp;" "&amp;Milestones!$AB$51&amp;" "&amp;Milestones!$AC$51&amp;";  ","")&amp;IF(AND(EDATE($D122,Milestones!$AA$52)&lt;=AsOfDate,IF($R122=0,$X122,IF(AND($T122&lt;&gt;"",EDATE($D122,Milestones!$AA$52)&gt;=$T122),$W122,IF(AND($S122&lt;&gt;"",EDATE($D122,Milestones!$AA$52)&gt;=$S122),$V122,$U122)))=Milestones!$AB$52),UPPER(TEXT(EDATE($D122,Milestones!$AA$52),"dd mmm yy"))&amp;" "&amp;Milestones!$AB$52&amp;" "&amp;Milestones!$AC$52&amp;";  ","")&amp;IF(AND(EDATE($D122,Milestones!$AA$53)&lt;=AsOfDate,IF($R122=0,$X122,IF(AND($T122&lt;&gt;"",EDATE($D122,Milestones!$AA$53)&gt;=$T122),$W122,IF(AND($S122&lt;&gt;"",EDATE($D122,Milestones!$AA$53)&gt;=$S122),$V122,$U122)))=Milestones!$AB$53),UPPER(TEXT(EDATE($D122,Milestones!$AA$53),"dd mmm yy"))&amp;" "&amp;Milestones!$AB$53&amp;" "&amp;Milestones!$AC$53&amp;";  ","")&amp;IF(AND(EDATE($D122,Milestones!$AA$54)&lt;=AsOfDate,IF($R122=0,$X122,IF(AND($T122&lt;&gt;"",EDATE($D122,Milestones!$AA$54)&gt;=$T122),$W122,IF(AND($S122&lt;&gt;"",EDATE($D122,Milestones!$AA$54)&gt;=$S122),$V122,$U122)))=Milestones!$AB$54),UPPER(TEXT(EDATE($D122,Milestones!$AA$54),"dd mmm yy"))&amp;" "&amp;Milestones!$AB$54&amp;" "&amp;Milestones!$AC$54&amp;";  ","")&amp;IF(AND(EDATE($D122,Milestones!$AA$55)&lt;=AsOfDate,IF($R122=0,$X122,IF(AND($T122&lt;&gt;"",EDATE($D122,Milestones!$AA$55)&gt;=$T122),$W122,IF(AND($S122&lt;&gt;"",EDATE($D122,Milestones!$AA$55)&gt;=$S122),$V122,$U122)))=Milestones!$AB$55),UPPER(TEXT(EDATE($D122,Milestones!$AA$55),"dd mmm yy"))&amp;" "&amp;Milestones!$AB$55&amp;" "&amp;Milestones!$AC$55&amp;";  ","")&amp;IF(AND(EDATE($D122,Milestones!$AA$56)&lt;=AsOfDate,IF($R122=0,$X122,IF(AND($T122&lt;&gt;"",EDATE($D122,Milestones!$AA$56)&gt;=$T122),$W122,IF(AND($S122&lt;&gt;"",EDATE($D122,Milestones!$AA$56)&gt;=$S122),$V122,$U122)))=Milestones!$AB$56),UPPER(TEXT(EDATE($D122,Milestones!$AA$56),"dd mmm yy"))&amp;" "&amp;Milestones!$AB$56&amp;" "&amp;Milestones!$AC$56&amp;";  ","")&amp;IF(AND(EDATE($D122,Milestones!$AA$57)&lt;=AsOfDate,IF($R122=0,$X122,IF(AND($T122&lt;&gt;"",EDATE($D122,Milestones!$AA$57)&gt;=$T122),$W122,IF(AND($S122&lt;&gt;"",EDATE($D122,Milestones!$AA$57)&gt;=$S122),$V122,$U122)))=Milestones!$AB$57),UPPER(TEXT(EDATE($D122,Milestones!$AA$57),"dd mmm yy"))&amp;" "&amp;Milestones!$AB$57&amp;" "&amp;Milestones!$AC$57&amp;";  ","")&amp;IF(AND(EDATE($D122,Milestones!$AA$58)&lt;=AsOfDate,IF($R122=0,$X122,IF(AND($T122&lt;&gt;"",EDATE($D122,Milestones!$AA$58)&gt;=$T122),$W122,IF(AND($S122&lt;&gt;"",EDATE($D122,Milestones!$AA$58)&gt;=$S122),$V122,$U122)))=Milestones!$AB$58),UPPER(TEXT(EDATE($D122,Milestones!$AA$58),"dd mmm yy"))&amp;" "&amp;Milestones!$AB$58&amp;" "&amp;Milestones!$AC$58&amp;";  ","")&amp;IF(AND(EDATE($D122,Milestones!$AA$59)&lt;=AsOfDate,IF($R122=0,$X122,IF(AND($T122&lt;&gt;"",EDATE($D122,Milestones!$AA$59)&gt;=$T122),$W122,IF(AND($S122&lt;&gt;"",EDATE($D122,Milestones!$AA$59)&gt;=$S122),$V122,$U122)))=Milestones!$AB$59),UPPER(TEXT(EDATE($D122,Milestones!$AA$59),"dd mmm yy"))&amp;" "&amp;Milestones!$AB$59&amp;" "&amp;Milestones!$AC$59&amp;";  ",""))</f>
        <v/>
      </c>
      <c r="K122" s="0" t="str">
        <f aca="false">IF(OR($A122="",$D122=""),"",IF(AND(EDATE($D122,Milestones!$AA$60)&lt;=AsOfDate,IF($R122=0,$X122,IF(AND($T122&lt;&gt;"",EDATE($D122,Milestones!$AA$60)&gt;=$T122),$W122,IF(AND($S122&lt;&gt;"",EDATE($D122,Milestones!$AA$60)&gt;=$S122),$V122,$U122)))=Milestones!$AB$60),UPPER(TEXT(EDATE($D122,Milestones!$AA$60),"dd mmm yy"))&amp;" "&amp;Milestones!$AB$60&amp;" "&amp;Milestones!$AC$60&amp;";  ","")&amp;IF(AND(EDATE($D122,Milestones!$AA$61)&lt;=AsOfDate,IF($R122=0,$X122,IF(AND($T122&lt;&gt;"",EDATE($D122,Milestones!$AA$61)&gt;=$T122),$W122,IF(AND($S122&lt;&gt;"",EDATE($D122,Milestones!$AA$61)&gt;=$S122),$V122,$U122)))=Milestones!$AB$61),UPPER(TEXT(EDATE($D122,Milestones!$AA$61),"dd mmm yy"))&amp;" "&amp;Milestones!$AB$61&amp;" "&amp;Milestones!$AC$61&amp;";  ","")&amp;IF(AND(EDATE($D122,Milestones!$AA$62)&lt;=AsOfDate,IF($R122=0,$X122,IF(AND($T122&lt;&gt;"",EDATE($D122,Milestones!$AA$62)&gt;=$T122),$W122,IF(AND($S122&lt;&gt;"",EDATE($D122,Milestones!$AA$62)&gt;=$S122),$V122,$U122)))=Milestones!$AB$62),UPPER(TEXT(EDATE($D122,Milestones!$AA$62),"dd mmm yy"))&amp;" "&amp;Milestones!$AB$62&amp;" "&amp;Milestones!$AC$62&amp;";  ","")&amp;IF(AND(EDATE($D122,Milestones!$AA$63)&lt;=AsOfDate,IF($R122=0,$X122,IF(AND($T122&lt;&gt;"",EDATE($D122,Milestones!$AA$63)&gt;=$T122),$W122,IF(AND($S122&lt;&gt;"",EDATE($D122,Milestones!$AA$63)&gt;=$S122),$V122,$U122)))=Milestones!$AB$63),UPPER(TEXT(EDATE($D122,Milestones!$AA$63),"dd mmm yy"))&amp;" "&amp;Milestones!$AB$63&amp;" "&amp;Milestones!$AC$63&amp;";  ","")&amp;IF(AND(EDATE($D122,Milestones!$AA$64)&lt;=AsOfDate,IF($R122=0,$X122,IF(AND($T122&lt;&gt;"",EDATE($D122,Milestones!$AA$64)&gt;=$T122),$W122,IF(AND($S122&lt;&gt;"",EDATE($D122,Milestones!$AA$64)&gt;=$S122),$V122,$U122)))=Milestones!$AB$64),UPPER(TEXT(EDATE($D122,Milestones!$AA$64),"dd mmm yy"))&amp;" "&amp;Milestones!$AB$64&amp;" "&amp;Milestones!$AC$64&amp;";  ","")&amp;IF(AND(EDATE($D122,Milestones!$AA$65)&lt;=AsOfDate,IF($R122=0,$X122,IF(AND($T122&lt;&gt;"",EDATE($D122,Milestones!$AA$65)&gt;=$T122),$W122,IF(AND($S122&lt;&gt;"",EDATE($D122,Milestones!$AA$65)&gt;=$S122),$V122,$U122)))=Milestones!$AB$65),UPPER(TEXT(EDATE($D122,Milestones!$AA$65),"dd mmm yy"))&amp;" "&amp;Milestones!$AB$65&amp;" "&amp;Milestones!$AC$65&amp;";  ","")&amp;IF(AND(EDATE($D122,Milestones!$AA$66)&lt;=AsOfDate,IF($R122=0,$X122,IF(AND($T122&lt;&gt;"",EDATE($D122,Milestones!$AA$66)&gt;=$T122),$W122,IF(AND($S122&lt;&gt;"",EDATE($D122,Milestones!$AA$66)&gt;=$S122),$V122,$U122)))=Milestones!$AB$66),UPPER(TEXT(EDATE($D122,Milestones!$AA$66),"dd mmm yy"))&amp;" "&amp;Milestones!$AB$66&amp;" "&amp;Milestones!$AC$66&amp;";  ","")&amp;IF(AND(EDATE($D122,Milestones!$AA$67)&lt;=AsOfDate,IF($R122=0,$X122,IF(AND($T122&lt;&gt;"",EDATE($D122,Milestones!$AA$67)&gt;=$T122),$W122,IF(AND($S122&lt;&gt;"",EDATE($D122,Milestones!$AA$67)&gt;=$S122),$V122,$U122)))=Milestones!$AB$67),UPPER(TEXT(EDATE($D122,Milestones!$AA$67),"dd mmm yy"))&amp;" "&amp;Milestones!$AB$67&amp;" "&amp;Milestones!$AC$67&amp;";  ","")&amp;IF(AND(EDATE($D122,Milestones!$AA$68)&lt;=AsOfDate,IF($R122=0,$X122,IF(AND($T122&lt;&gt;"",EDATE($D122,Milestones!$AA$68)&gt;=$T122),$W122,IF(AND($S122&lt;&gt;"",EDATE($D122,Milestones!$AA$68)&gt;=$S122),$V122,$U122)))=Milestones!$AB$68),UPPER(TEXT(EDATE($D122,Milestones!$AA$68),"dd mmm yy"))&amp;" "&amp;Milestones!$AB$68&amp;" "&amp;Milestones!$AC$68&amp;";  ","")&amp;IF(AND(EDATE($D122,Milestones!$AA$69)&lt;=AsOfDate,IF($R122=0,$X122,IF(AND($T122&lt;&gt;"",EDATE($D122,Milestones!$AA$69)&gt;=$T122),$W122,IF(AND($S122&lt;&gt;"",EDATE($D122,Milestones!$AA$69)&gt;=$S122),$V122,$U122)))=Milestones!$AB$69),UPPER(TEXT(EDATE($D122,Milestones!$AA$69),"dd mmm yy"))&amp;" "&amp;Milestones!$AB$69&amp;" "&amp;Milestones!$AC$69&amp;";  ","")&amp;IF(AND(EDATE($D122,Milestones!$AA$70)&lt;=AsOfDate,IF($R122=0,$X122,IF(AND($T122&lt;&gt;"",EDATE($D122,Milestones!$AA$70)&gt;=$T122),$W122,IF(AND($S122&lt;&gt;"",EDATE($D122,Milestones!$AA$70)&gt;=$S122),$V122,$U122)))=Milestones!$AB$70),UPPER(TEXT(EDATE($D122,Milestones!$AA$70),"dd mmm yy"))&amp;" "&amp;Milestones!$AB$70&amp;" "&amp;Milestones!$AC$70&amp;";  ","")&amp;IF(AND(EDATE($D122,Milestones!$AA$71)&lt;=AsOfDate,IF($R122=0,$X122,IF(AND($T122&lt;&gt;"",EDATE($D122,Milestones!$AA$71)&gt;=$T122),$W122,IF(AND($S122&lt;&gt;"",EDATE($D122,Milestones!$AA$71)&gt;=$S122),$V122,$U122)))=Milestones!$AB$71),UPPER(TEXT(EDATE($D122,Milestones!$AA$71),"dd mmm yy"))&amp;" "&amp;Milestones!$AB$71&amp;" "&amp;Milestones!$AC$71&amp;";  ","")&amp;IF(AND(EDATE($D122,Milestones!$AA$72)&lt;=AsOfDate,IF($R122=0,$X122,IF(AND($T122&lt;&gt;"",EDATE($D122,Milestones!$AA$72)&gt;=$T122),$W122,IF(AND($S122&lt;&gt;"",EDATE($D122,Milestones!$AA$72)&gt;=$S122),$V122,$U122)))=Milestones!$AB$72),UPPER(TEXT(EDATE($D122,Milestones!$AA$72),"dd mmm yy"))&amp;" "&amp;Milestones!$AB$72&amp;" "&amp;Milestones!$AC$72&amp;";  ","")&amp;IF(AND(EDATE($D122,Milestones!$AA$73)&lt;=AsOfDate,IF($R122=0,$X122,IF(AND($T122&lt;&gt;"",EDATE($D122,Milestones!$AA$73)&gt;=$T122),$W122,IF(AND($S122&lt;&gt;"",EDATE($D122,Milestones!$AA$73)&gt;=$S122),$V122,$U122)))=Milestones!$AB$73),UPPER(TEXT(EDATE($D122,Milestones!$AA$73),"dd mmm yy"))&amp;" "&amp;Milestones!$AB$73&amp;" "&amp;Milestones!$AC$73&amp;";  ","")&amp;IF(AND(EDATE($D122,Milestones!$AA$74)&lt;=AsOfDate,IF($R122=0,$X122,IF(AND($T122&lt;&gt;"",EDATE($D122,Milestones!$AA$74)&gt;=$T122),$W122,IF(AND($S122&lt;&gt;"",EDATE($D122,Milestones!$AA$74)&gt;=$S122),$V122,$U122)))=Milestones!$AB$74),UPPER(TEXT(EDATE($D122,Milestones!$AA$74),"dd mmm yy"))&amp;" "&amp;Milestones!$AB$74&amp;" "&amp;Milestones!$AC$74&amp;";  ","")&amp;IF(AND(EDATE($D122,Milestones!$AA$75)&lt;=AsOfDate,IF($R122=0,$X122,IF(AND($T122&lt;&gt;"",EDATE($D122,Milestones!$AA$75)&gt;=$T122),$W122,IF(AND($S122&lt;&gt;"",EDATE($D122,Milestones!$AA$75)&gt;=$S122),$V122,$U122)))=Milestones!$AB$75),UPPER(TEXT(EDATE($D122,Milestones!$AA$75),"dd mmm yy"))&amp;" "&amp;Milestones!$AB$75&amp;" "&amp;Milestones!$AC$75&amp;";  ","")&amp;IF(AND(EDATE($D122,Milestones!$AA$76)&lt;=AsOfDate,IF($R122=0,$X122,IF(AND($T122&lt;&gt;"",EDATE($D122,Milestones!$AA$76)&gt;=$T122),$W122,IF(AND($S122&lt;&gt;"",EDATE($D122,Milestones!$AA$76)&gt;=$S122),$V122,$U122)))=Milestones!$AB$76),UPPER(TEXT(EDATE($D122,Milestones!$AA$76),"dd mmm yy"))&amp;" "&amp;Milestones!$AB$76&amp;" "&amp;Milestones!$AC$76&amp;";  ","")&amp;IF(AND(EDATE($D122,Milestones!$AA$77)&lt;=AsOfDate,IF($R122=0,$X122,IF(AND($T122&lt;&gt;"",EDATE($D122,Milestones!$AA$77)&gt;=$T122),$W122,IF(AND($S122&lt;&gt;"",EDATE($D122,Milestones!$AA$77)&gt;=$S122),$V122,$U122)))=Milestones!$AB$77),UPPER(TEXT(EDATE($D122,Milestones!$AA$77),"dd mmm yy"))&amp;" "&amp;Milestones!$AB$77&amp;" "&amp;Milestones!$AC$77&amp;";  ","")&amp;IF(AND(EDATE($D122,Milestones!$AA$78)&lt;=AsOfDate,IF($R122=0,$X122,IF(AND($T122&lt;&gt;"",EDATE($D122,Milestones!$AA$78)&gt;=$T122),$W122,IF(AND($S122&lt;&gt;"",EDATE($D122,Milestones!$AA$78)&gt;=$S122),$V122,$U122)))=Milestones!$AB$78),UPPER(TEXT(EDATE($D122,Milestones!$AA$78),"dd mmm yy"))&amp;" "&amp;Milestones!$AB$78&amp;" "&amp;Milestones!$AC$78&amp;";  ","")&amp;IF(AND(EDATE($D122,Milestones!$AA$79)&lt;=AsOfDate,IF($R122=0,$X122,IF(AND($T122&lt;&gt;"",EDATE($D122,Milestones!$AA$79)&gt;=$T122),$W122,IF(AND($S122&lt;&gt;"",EDATE($D122,Milestones!$AA$79)&gt;=$S122),$V122,$U122)))=Milestones!$AB$79),UPPER(TEXT(EDATE($D122,Milestones!$AA$79),"dd mmm yy"))&amp;" "&amp;Milestones!$AB$79&amp;" "&amp;Milestones!$AC$79&amp;";  ",""))</f>
        <v/>
      </c>
      <c r="L122" s="0" t="str">
        <f aca="false">IF(OR($A122="",$D122=""),"",IF(AND(EDATE($D122,Milestones!$AA$80)&lt;=AsOfDate,IF($R122=0,$X122,IF(AND($T122&lt;&gt;"",EDATE($D122,Milestones!$AA$80)&gt;=$T122),$W122,IF(AND($S122&lt;&gt;"",EDATE($D122,Milestones!$AA$80)&gt;=$S122),$V122,$U122)))=Milestones!$AB$80),UPPER(TEXT(EDATE($D122,Milestones!$AA$80),"dd mmm yy"))&amp;" "&amp;Milestones!$AB$80&amp;" "&amp;Milestones!$AC$80&amp;";  ","")&amp;IF(AND(EDATE($D122,Milestones!$AA$81)&lt;=AsOfDate,IF($R122=0,$X122,IF(AND($T122&lt;&gt;"",EDATE($D122,Milestones!$AA$81)&gt;=$T122),$W122,IF(AND($S122&lt;&gt;"",EDATE($D122,Milestones!$AA$81)&gt;=$S122),$V122,$U122)))=Milestones!$AB$81),UPPER(TEXT(EDATE($D122,Milestones!$AA$81),"dd mmm yy"))&amp;" "&amp;Milestones!$AB$81&amp;" "&amp;Milestones!$AC$81&amp;";  ","")&amp;IF(AND(EDATE($D122,Milestones!$AA$82)&lt;=AsOfDate,IF($R122=0,$X122,IF(AND($T122&lt;&gt;"",EDATE($D122,Milestones!$AA$82)&gt;=$T122),$W122,IF(AND($S122&lt;&gt;"",EDATE($D122,Milestones!$AA$82)&gt;=$S122),$V122,$U122)))=Milestones!$AB$82),UPPER(TEXT(EDATE($D122,Milestones!$AA$82),"dd mmm yy"))&amp;" "&amp;Milestones!$AB$82&amp;" "&amp;Milestones!$AC$82&amp;";  ","")&amp;IF(AND(EDATE($D122,Milestones!$AA$83)&lt;=AsOfDate,IF($R122=0,$X122,IF(AND($T122&lt;&gt;"",EDATE($D122,Milestones!$AA$83)&gt;=$T122),$W122,IF(AND($S122&lt;&gt;"",EDATE($D122,Milestones!$AA$83)&gt;=$S122),$V122,$U122)))=Milestones!$AB$83),UPPER(TEXT(EDATE($D122,Milestones!$AA$83),"dd mmm yy"))&amp;" "&amp;Milestones!$AB$83&amp;" "&amp;Milestones!$AC$83&amp;";  ","")&amp;IF(AND(EDATE($D122,Milestones!$AA$84)&lt;=AsOfDate,IF($R122=0,$X122,IF(AND($T122&lt;&gt;"",EDATE($D122,Milestones!$AA$84)&gt;=$T122),$W122,IF(AND($S122&lt;&gt;"",EDATE($D122,Milestones!$AA$84)&gt;=$S122),$V122,$U122)))=Milestones!$AB$84),UPPER(TEXT(EDATE($D122,Milestones!$AA$84),"dd mmm yy"))&amp;" "&amp;Milestones!$AB$84&amp;" "&amp;Milestones!$AC$84&amp;";  ","")&amp;IF(AND(EDATE($D122,Milestones!$AA$85)&lt;=AsOfDate,IF($R122=0,$X122,IF(AND($T122&lt;&gt;"",EDATE($D122,Milestones!$AA$85)&gt;=$T122),$W122,IF(AND($S122&lt;&gt;"",EDATE($D122,Milestones!$AA$85)&gt;=$S122),$V122,$U122)))=Milestones!$AB$85),UPPER(TEXT(EDATE($D122,Milestones!$AA$85),"dd mmm yy"))&amp;" "&amp;Milestones!$AB$85&amp;" "&amp;Milestones!$AC$85&amp;";  ","")&amp;IF(AND(EDATE($D122,Milestones!$AA$86)&lt;=AsOfDate,IF($R122=0,$X122,IF(AND($T122&lt;&gt;"",EDATE($D122,Milestones!$AA$86)&gt;=$T122),$W122,IF(AND($S122&lt;&gt;"",EDATE($D122,Milestones!$AA$86)&gt;=$S122),$V122,$U122)))=Milestones!$AB$86),UPPER(TEXT(EDATE($D122,Milestones!$AA$86),"dd mmm yy"))&amp;" "&amp;Milestones!$AB$86&amp;" "&amp;Milestones!$AC$86&amp;";  ","")&amp;IF(AND(EDATE($D122,Milestones!$AA$87)&lt;=AsOfDate,IF($R122=0,$X122,IF(AND($T122&lt;&gt;"",EDATE($D122,Milestones!$AA$87)&gt;=$T122),$W122,IF(AND($S122&lt;&gt;"",EDATE($D122,Milestones!$AA$87)&gt;=$S122),$V122,$U122)))=Milestones!$AB$87),UPPER(TEXT(EDATE($D122,Milestones!$AA$87),"dd mmm yy"))&amp;" "&amp;Milestones!$AB$87&amp;" "&amp;Milestones!$AC$87&amp;";  ","")&amp;IF(AND(EDATE($D122,Milestones!$AA$88)&lt;=AsOfDate,IF($R122=0,$X122,IF(AND($T122&lt;&gt;"",EDATE($D122,Milestones!$AA$88)&gt;=$T122),$W122,IF(AND($S122&lt;&gt;"",EDATE($D122,Milestones!$AA$88)&gt;=$S122),$V122,$U122)))=Milestones!$AB$88),UPPER(TEXT(EDATE($D122,Milestones!$AA$88),"dd mmm yy"))&amp;" "&amp;Milestones!$AB$88&amp;" "&amp;Milestones!$AC$88&amp;";  ","")&amp;IF(AND(EDATE($D122,Milestones!$AA$89)&lt;=AsOfDate,IF($R122=0,$X122,IF(AND($T122&lt;&gt;"",EDATE($D122,Milestones!$AA$89)&gt;=$T122),$W122,IF(AND($S122&lt;&gt;"",EDATE($D122,Milestones!$AA$89)&gt;=$S122),$V122,$U122)))=Milestones!$AB$89),UPPER(TEXT(EDATE($D122,Milestones!$AA$89),"dd mmm yy"))&amp;" "&amp;Milestones!$AB$89&amp;" "&amp;Milestones!$AC$89&amp;";  ","")&amp;IF(AND(EDATE($D122,Milestones!$AA$90)&lt;=AsOfDate,IF($R122=0,$X122,IF(AND($T122&lt;&gt;"",EDATE($D122,Milestones!$AA$90)&gt;=$T122),$W122,IF(AND($S122&lt;&gt;"",EDATE($D122,Milestones!$AA$90)&gt;=$S122),$V122,$U122)))=Milestones!$AB$90),UPPER(TEXT(EDATE($D122,Milestones!$AA$90),"dd mmm yy"))&amp;" "&amp;Milestones!$AB$90&amp;" "&amp;Milestones!$AC$90&amp;";  ","")&amp;IF(AND(EDATE($D122,Milestones!$AA$91)&lt;=AsOfDate,IF($R122=0,$X122,IF(AND($T122&lt;&gt;"",EDATE($D122,Milestones!$AA$91)&gt;=$T122),$W122,IF(AND($S122&lt;&gt;"",EDATE($D122,Milestones!$AA$91)&gt;=$S122),$V122,$U122)))=Milestones!$AB$91),UPPER(TEXT(EDATE($D122,Milestones!$AA$91),"dd mmm yy"))&amp;" "&amp;Milestones!$AB$91&amp;" "&amp;Milestones!$AC$91&amp;";  ","")&amp;IF(AND(EDATE($D122,Milestones!$AA$92)&lt;=AsOfDate,IF($R122=0,$X122,IF(AND($T122&lt;&gt;"",EDATE($D122,Milestones!$AA$92)&gt;=$T122),$W122,IF(AND($S122&lt;&gt;"",EDATE($D122,Milestones!$AA$92)&gt;=$S122),$V122,$U122)))=Milestones!$AB$92),UPPER(TEXT(EDATE($D122,Milestones!$AA$92),"dd mmm yy"))&amp;" "&amp;Milestones!$AB$92&amp;" "&amp;Milestones!$AC$92&amp;";  ","")&amp;IF(AND(EDATE($D122,Milestones!$AA$93)&lt;=AsOfDate,IF($R122=0,$X122,IF(AND($T122&lt;&gt;"",EDATE($D122,Milestones!$AA$93)&gt;=$T122),$W122,IF(AND($S122&lt;&gt;"",EDATE($D122,Milestones!$AA$93)&gt;=$S122),$V122,$U122)))=Milestones!$AB$93),UPPER(TEXT(EDATE($D122,Milestones!$AA$93),"dd mmm yy"))&amp;" "&amp;Milestones!$AB$93&amp;" "&amp;Milestones!$AC$93&amp;";  ","")&amp;IF(AND(EDATE($D122,Milestones!$AA$94)&lt;=AsOfDate,IF($R122=0,$X122,IF(AND($T122&lt;&gt;"",EDATE($D122,Milestones!$AA$94)&gt;=$T122),$W122,IF(AND($S122&lt;&gt;"",EDATE($D122,Milestones!$AA$94)&gt;=$S122),$V122,$U122)))=Milestones!$AB$94),UPPER(TEXT(EDATE($D122,Milestones!$AA$94),"dd mmm yy"))&amp;" "&amp;Milestones!$AB$94&amp;" "&amp;Milestones!$AC$94&amp;";  ","")&amp;IF(AND(EDATE($D122,Milestones!$AA$95)&lt;=AsOfDate,IF($R122=0,$X122,IF(AND($T122&lt;&gt;"",EDATE($D122,Milestones!$AA$95)&gt;=$T122),$W122,IF(AND($S122&lt;&gt;"",EDATE($D122,Milestones!$AA$95)&gt;=$S122),$V122,$U122)))=Milestones!$AB$95),UPPER(TEXT(EDATE($D122,Milestones!$AA$95),"dd mmm yy"))&amp;" "&amp;Milestones!$AB$95&amp;" "&amp;Milestones!$AC$95&amp;";  ","")&amp;IF(AND(EDATE($D122,Milestones!$AA$96)&lt;=AsOfDate,IF($R122=0,$X122,IF(AND($T122&lt;&gt;"",EDATE($D122,Milestones!$AA$96)&gt;=$T122),$W122,IF(AND($S122&lt;&gt;"",EDATE($D122,Milestones!$AA$96)&gt;=$S122),$V122,$U122)))=Milestones!$AB$96),UPPER(TEXT(EDATE($D122,Milestones!$AA$96),"dd mmm yy"))&amp;" "&amp;Milestones!$AB$96&amp;" "&amp;Milestones!$AC$96&amp;";  ","")&amp;IF(AND(EDATE($D122,Milestones!$AA$97)&lt;=AsOfDate,IF($R122=0,$X122,IF(AND($T122&lt;&gt;"",EDATE($D122,Milestones!$AA$97)&gt;=$T122),$W122,IF(AND($S122&lt;&gt;"",EDATE($D122,Milestones!$AA$97)&gt;=$S122),$V122,$U122)))=Milestones!$AB$97),UPPER(TEXT(EDATE($D122,Milestones!$AA$97),"dd mmm yy"))&amp;" "&amp;Milestones!$AB$97&amp;" "&amp;Milestones!$AC$97&amp;";  ","")&amp;IF(AND(EDATE($D122,Milestones!$AA$98)&lt;=AsOfDate,IF($R122=0,$X122,IF(AND($T122&lt;&gt;"",EDATE($D122,Milestones!$AA$98)&gt;=$T122),$W122,IF(AND($S122&lt;&gt;"",EDATE($D122,Milestones!$AA$98)&gt;=$S122),$V122,$U122)))=Milestones!$AB$98),UPPER(TEXT(EDATE($D122,Milestones!$AA$98),"dd mmm yy"))&amp;" "&amp;Milestones!$AB$98&amp;" "&amp;Milestones!$AC$98&amp;";  ","")&amp;IF(AND(EDATE($D122,Milestones!$AA$99)&lt;=AsOfDate,IF($R122=0,$X122,IF(AND($T122&lt;&gt;"",EDATE($D122,Milestones!$AA$99)&gt;=$T122),$W122,IF(AND($S122&lt;&gt;"",EDATE($D122,Milestones!$AA$99)&gt;=$S122),$V122,$U122)))=Milestones!$AB$99),UPPER(TEXT(EDATE($D122,Milestones!$AA$99),"dd mmm yy"))&amp;" "&amp;Milestones!$AB$99&amp;" "&amp;Milestones!$AC$99&amp;";  ",""))</f>
        <v/>
      </c>
      <c r="M122" s="0" t="str">
        <f aca="false">IF(OR($A122="",$D122=""),"",IF(AND(EDATE($D122,Milestones!$AA$100)&lt;=AsOfDate,IF($R122=0,$X122,IF(AND($T122&lt;&gt;"",EDATE($D122,Milestones!$AA$100)&gt;=$T122),$W122,IF(AND($S122&lt;&gt;"",EDATE($D122,Milestones!$AA$100)&gt;=$S122),$V122,$U122)))=Milestones!$AB$100),UPPER(TEXT(EDATE($D122,Milestones!$AA$100),"dd mmm yy"))&amp;" "&amp;Milestones!$AB$100&amp;" "&amp;Milestones!$AC$100&amp;";  ","")&amp;IF(AND(EDATE($D122,Milestones!$AA$101)&lt;=AsOfDate,IF($R122=0,$X122,IF(AND($T122&lt;&gt;"",EDATE($D122,Milestones!$AA$101)&gt;=$T122),$W122,IF(AND($S122&lt;&gt;"",EDATE($D122,Milestones!$AA$101)&gt;=$S122),$V122,$U122)))=Milestones!$AB$101),UPPER(TEXT(EDATE($D122,Milestones!$AA$101),"dd mmm yy"))&amp;" "&amp;Milestones!$AB$101&amp;" "&amp;Milestones!$AC$101&amp;";  ","")&amp;IF(AND(EDATE($D122,Milestones!$AA$102)&lt;=AsOfDate,IF($R122=0,$X122,IF(AND($T122&lt;&gt;"",EDATE($D122,Milestones!$AA$102)&gt;=$T122),$W122,IF(AND($S122&lt;&gt;"",EDATE($D122,Milestones!$AA$102)&gt;=$S122),$V122,$U122)))=Milestones!$AB$102),UPPER(TEXT(EDATE($D122,Milestones!$AA$102),"dd mmm yy"))&amp;" "&amp;Milestones!$AB$102&amp;" "&amp;Milestones!$AC$102&amp;";  ","")&amp;IF(AND(EDATE($D122,Milestones!$AA$103)&lt;=AsOfDate,IF($R122=0,$X122,IF(AND($T122&lt;&gt;"",EDATE($D122,Milestones!$AA$103)&gt;=$T122),$W122,IF(AND($S122&lt;&gt;"",EDATE($D122,Milestones!$AA$103)&gt;=$S122),$V122,$U122)))=Milestones!$AB$103),UPPER(TEXT(EDATE($D122,Milestones!$AA$103),"dd mmm yy"))&amp;" "&amp;Milestones!$AB$103&amp;" "&amp;Milestones!$AC$103&amp;";  ","")&amp;IF(AND(EDATE($D122,Milestones!$AA$104)&lt;=AsOfDate,IF($R122=0,$X122,IF(AND($T122&lt;&gt;"",EDATE($D122,Milestones!$AA$104)&gt;=$T122),$W122,IF(AND($S122&lt;&gt;"",EDATE($D122,Milestones!$AA$104)&gt;=$S122),$V122,$U122)))=Milestones!$AB$104),UPPER(TEXT(EDATE($D122,Milestones!$AA$104),"dd mmm yy"))&amp;" "&amp;Milestones!$AB$104&amp;" "&amp;Milestones!$AC$104&amp;";  ","")&amp;IF(AND(EDATE($D122,Milestones!$AA$105)&lt;=AsOfDate,IF($R122=0,$X122,IF(AND($T122&lt;&gt;"",EDATE($D122,Milestones!$AA$105)&gt;=$T122),$W122,IF(AND($S122&lt;&gt;"",EDATE($D122,Milestones!$AA$105)&gt;=$S122),$V122,$U122)))=Milestones!$AB$105),UPPER(TEXT(EDATE($D122,Milestones!$AA$105),"dd mmm yy"))&amp;" "&amp;Milestones!$AB$105&amp;" "&amp;Milestones!$AC$105&amp;";  ","")&amp;IF(AND(EDATE($D122,Milestones!$AA$106)&lt;=AsOfDate,IF($R122=0,$X122,IF(AND($T122&lt;&gt;"",EDATE($D122,Milestones!$AA$106)&gt;=$T122),$W122,IF(AND($S122&lt;&gt;"",EDATE($D122,Milestones!$AA$106)&gt;=$S122),$V122,$U122)))=Milestones!$AB$106),UPPER(TEXT(EDATE($D122,Milestones!$AA$106),"dd mmm yy"))&amp;" "&amp;Milestones!$AB$106&amp;" "&amp;Milestones!$AC$106&amp;";  ","")&amp;IF(AND(EDATE($D122,Milestones!$AA$107)&lt;=AsOfDate,IF($R122=0,$X122,IF(AND($T122&lt;&gt;"",EDATE($D122,Milestones!$AA$107)&gt;=$T122),$W122,IF(AND($S122&lt;&gt;"",EDATE($D122,Milestones!$AA$107)&gt;=$S122),$V122,$U122)))=Milestones!$AB$107),UPPER(TEXT(EDATE($D122,Milestones!$AA$107),"dd mmm yy"))&amp;" "&amp;Milestones!$AB$107&amp;" "&amp;Milestones!$AC$107&amp;";  ","")&amp;IF(AND(EDATE($D122,Milestones!$AA$108)&lt;=AsOfDate,IF($R122=0,$X122,IF(AND($T122&lt;&gt;"",EDATE($D122,Milestones!$AA$108)&gt;=$T122),$W122,IF(AND($S122&lt;&gt;"",EDATE($D122,Milestones!$AA$108)&gt;=$S122),$V122,$U122)))=Milestones!$AB$108),UPPER(TEXT(EDATE($D122,Milestones!$AA$108),"dd mmm yy"))&amp;" "&amp;Milestones!$AB$108&amp;" "&amp;Milestones!$AC$108&amp;";  ","")&amp;IF(AND(EDATE($D122,Milestones!$AA$109)&lt;=AsOfDate,IF($R122=0,$X122,IF(AND($T122&lt;&gt;"",EDATE($D122,Milestones!$AA$109)&gt;=$T122),$W122,IF(AND($S122&lt;&gt;"",EDATE($D122,Milestones!$AA$109)&gt;=$S122),$V122,$U122)))=Milestones!$AB$109),UPPER(TEXT(EDATE($D122,Milestones!$AA$109),"dd mmm yy"))&amp;" "&amp;Milestones!$AB$109&amp;" "&amp;Milestones!$AC$109&amp;";  ","")&amp;IF(AND(EDATE($D122,Milestones!$AA$110)&lt;=AsOfDate,IF($R122=0,$X122,IF(AND($T122&lt;&gt;"",EDATE($D122,Milestones!$AA$110)&gt;=$T122),$W122,IF(AND($S122&lt;&gt;"",EDATE($D122,Milestones!$AA$110)&gt;=$S122),$V122,$U122)))=Milestones!$AB$110),UPPER(TEXT(EDATE($D122,Milestones!$AA$110),"dd mmm yy"))&amp;" "&amp;Milestones!$AB$110&amp;" "&amp;Milestones!$AC$110&amp;";  ","")&amp;IF(AND(EDATE($D122,Milestones!$AA$111)&lt;=AsOfDate,IF($R122=0,$X122,IF(AND($T122&lt;&gt;"",EDATE($D122,Milestones!$AA$111)&gt;=$T122),$W122,IF(AND($S122&lt;&gt;"",EDATE($D122,Milestones!$AA$111)&gt;=$S122),$V122,$U122)))=Milestones!$AB$111),UPPER(TEXT(EDATE($D122,Milestones!$AA$111),"dd mmm yy"))&amp;" "&amp;Milestones!$AB$111&amp;" "&amp;Milestones!$AC$111&amp;";  ","")&amp;IF(AND(EDATE($D122,Milestones!$AA$112)&lt;=AsOfDate,IF($R122=0,$X122,IF(AND($T122&lt;&gt;"",EDATE($D122,Milestones!$AA$112)&gt;=$T122),$W122,IF(AND($S122&lt;&gt;"",EDATE($D122,Milestones!$AA$112)&gt;=$S122),$V122,$U122)))=Milestones!$AB$112),UPPER(TEXT(EDATE($D122,Milestones!$AA$112),"dd mmm yy"))&amp;" "&amp;Milestones!$AB$112&amp;" "&amp;Milestones!$AC$112&amp;";  ","")&amp;IF(AND(EDATE($D122,Milestones!$AA$113)&lt;=AsOfDate,IF($R122=0,$X122,IF(AND($T122&lt;&gt;"",EDATE($D122,Milestones!$AA$113)&gt;=$T122),$W122,IF(AND($S122&lt;&gt;"",EDATE($D122,Milestones!$AA$113)&gt;=$S122),$V122,$U122)))=Milestones!$AB$113),UPPER(TEXT(EDATE($D122,Milestones!$AA$113),"dd mmm yy"))&amp;" "&amp;Milestones!$AB$113&amp;" "&amp;Milestones!$AC$113&amp;";  ","")&amp;IF(AND(EDATE($D122,Milestones!$AA$114)&lt;=AsOfDate,IF($R122=0,$X122,IF(AND($T122&lt;&gt;"",EDATE($D122,Milestones!$AA$114)&gt;=$T122),$W122,IF(AND($S122&lt;&gt;"",EDATE($D122,Milestones!$AA$114)&gt;=$S122),$V122,$U122)))=Milestones!$AB$114),UPPER(TEXT(EDATE($D122,Milestones!$AA$114),"dd mmm yy"))&amp;" "&amp;Milestones!$AB$114&amp;" "&amp;Milestones!$AC$114&amp;";  ","")&amp;IF(AND(EDATE($D122,Milestones!$AA$115)&lt;=AsOfDate,IF($R122=0,$X122,IF(AND($T122&lt;&gt;"",EDATE($D122,Milestones!$AA$115)&gt;=$T122),$W122,IF(AND($S122&lt;&gt;"",EDATE($D122,Milestones!$AA$115)&gt;=$S122),$V122,$U122)))=Milestones!$AB$115),UPPER(TEXT(EDATE($D122,Milestones!$AA$115),"dd mmm yy"))&amp;" "&amp;Milestones!$AB$115&amp;" "&amp;Milestones!$AC$115&amp;";  ","")&amp;IF(AND(EDATE($D122,Milestones!$AA$116)&lt;=AsOfDate,IF($R122=0,$X122,IF(AND($T122&lt;&gt;"",EDATE($D122,Milestones!$AA$116)&gt;=$T122),$W122,IF(AND($S122&lt;&gt;"",EDATE($D122,Milestones!$AA$116)&gt;=$S122),$V122,$U122)))=Milestones!$AB$116),UPPER(TEXT(EDATE($D122,Milestones!$AA$116),"dd mmm yy"))&amp;" "&amp;Milestones!$AB$116&amp;" "&amp;Milestones!$AC$116&amp;";  ","")&amp;IF(AND(EDATE($D122,Milestones!$AA$117)&lt;=AsOfDate,IF($R122=0,$X122,IF(AND($T122&lt;&gt;"",EDATE($D122,Milestones!$AA$117)&gt;=$T122),$W122,IF(AND($S122&lt;&gt;"",EDATE($D122,Milestones!$AA$117)&gt;=$S122),$V122,$U122)))=Milestones!$AB$117),UPPER(TEXT(EDATE($D122,Milestones!$AA$117),"dd mmm yy"))&amp;" "&amp;Milestones!$AB$117&amp;" "&amp;Milestones!$AC$117&amp;";  ","")&amp;IF(AND(EDATE($D122,Milestones!$AA$118)&lt;=AsOfDate,IF($R122=0,$X122,IF(AND($T122&lt;&gt;"",EDATE($D122,Milestones!$AA$118)&gt;=$T122),$W122,IF(AND($S122&lt;&gt;"",EDATE($D122,Milestones!$AA$118)&gt;=$S122),$V122,$U122)))=Milestones!$AB$118),UPPER(TEXT(EDATE($D122,Milestones!$AA$118),"dd mmm yy"))&amp;" "&amp;Milestones!$AB$118&amp;" "&amp;Milestones!$AC$118&amp;";  ","")&amp;IF(AND(EDATE($D122,Milestones!$AA$119)&lt;=AsOfDate,IF($R122=0,$X122,IF(AND($T122&lt;&gt;"",EDATE($D122,Milestones!$AA$119)&gt;=$T122),$W122,IF(AND($S122&lt;&gt;"",EDATE($D122,Milestones!$AA$119)&gt;=$S122),$V122,$U122)))=Milestones!$AB$119),UPPER(TEXT(EDATE($D122,Milestones!$AA$119),"dd mmm yy"))&amp;" "&amp;Milestones!$AB$119&amp;" "&amp;Milestones!$AC$119&amp;";  ",""))</f>
        <v/>
      </c>
      <c r="N122" s="0" t="str">
        <f aca="false">IF(OR($A122="",$D122=""),"",IF(AND(EDATE($D122,Milestones!$AA$120)&lt;=AsOfDate,IF($R122=0,$X122,IF(AND($T122&lt;&gt;"",EDATE($D122,Milestones!$AA$120)&gt;=$T122),$W122,IF(AND($S122&lt;&gt;"",EDATE($D122,Milestones!$AA$120)&gt;=$S122),$V122,$U122)))=Milestones!$AB$120),UPPER(TEXT(EDATE($D122,Milestones!$AA$120),"dd mmm yy"))&amp;" "&amp;Milestones!$AB$120&amp;" "&amp;Milestones!$AC$120&amp;";  ","")&amp;IF(AND(EDATE($D122,Milestones!$AA$121)&lt;=AsOfDate,IF($R122=0,$X122,IF(AND($T122&lt;&gt;"",EDATE($D122,Milestones!$AA$121)&gt;=$T122),$W122,IF(AND($S122&lt;&gt;"",EDATE($D122,Milestones!$AA$121)&gt;=$S122),$V122,$U122)))=Milestones!$AB$121),UPPER(TEXT(EDATE($D122,Milestones!$AA$121),"dd mmm yy"))&amp;" "&amp;Milestones!$AB$121&amp;" "&amp;Milestones!$AC$121&amp;";  ","")&amp;IF(AND(EDATE($D122,Milestones!$AA$122)&lt;=AsOfDate,IF($R122=0,$X122,IF(AND($T122&lt;&gt;"",EDATE($D122,Milestones!$AA$122)&gt;=$T122),$W122,IF(AND($S122&lt;&gt;"",EDATE($D122,Milestones!$AA$122)&gt;=$S122),$V122,$U122)))=Milestones!$AB$122),UPPER(TEXT(EDATE($D122,Milestones!$AA$122),"dd mmm yy"))&amp;" "&amp;Milestones!$AB$122&amp;" "&amp;Milestones!$AC$122&amp;";  ","")&amp;IF(AND(EDATE($D122,Milestones!$AA$123)&lt;=AsOfDate,IF($R122=0,$X122,IF(AND($T122&lt;&gt;"",EDATE($D122,Milestones!$AA$123)&gt;=$T122),$W122,IF(AND($S122&lt;&gt;"",EDATE($D122,Milestones!$AA$123)&gt;=$S122),$V122,$U122)))=Milestones!$AB$123),UPPER(TEXT(EDATE($D122,Milestones!$AA$123),"dd mmm yy"))&amp;" "&amp;Milestones!$AB$123&amp;" "&amp;Milestones!$AC$123&amp;";  ","")&amp;IF(AND(EDATE($D122,Milestones!$AA$124)&lt;=AsOfDate,IF($R122=0,$X122,IF(AND($T122&lt;&gt;"",EDATE($D122,Milestones!$AA$124)&gt;=$T122),$W122,IF(AND($S122&lt;&gt;"",EDATE($D122,Milestones!$AA$124)&gt;=$S122),$V122,$U122)))=Milestones!$AB$124),UPPER(TEXT(EDATE($D122,Milestones!$AA$124),"dd mmm yy"))&amp;" "&amp;Milestones!$AB$124&amp;" "&amp;Milestones!$AC$124&amp;";  ","")&amp;IF(AND(EDATE($D122,Milestones!$AA$125)&lt;=AsOfDate,IF($R122=0,$X122,IF(AND($T122&lt;&gt;"",EDATE($D122,Milestones!$AA$125)&gt;=$T122),$W122,IF(AND($S122&lt;&gt;"",EDATE($D122,Milestones!$AA$125)&gt;=$S122),$V122,$U122)))=Milestones!$AB$125),UPPER(TEXT(EDATE($D122,Milestones!$AA$125),"dd mmm yy"))&amp;" "&amp;Milestones!$AB$125&amp;" "&amp;Milestones!$AC$125&amp;";  ","")&amp;IF(AND(EDATE($D122,Milestones!$AA$126)&lt;=AsOfDate,IF($R122=0,$X122,IF(AND($T122&lt;&gt;"",EDATE($D122,Milestones!$AA$126)&gt;=$T122),$W122,IF(AND($S122&lt;&gt;"",EDATE($D122,Milestones!$AA$126)&gt;=$S122),$V122,$U122)))=Milestones!$AB$126),UPPER(TEXT(EDATE($D122,Milestones!$AA$126),"dd mmm yy"))&amp;" "&amp;Milestones!$AB$126&amp;" "&amp;Milestones!$AC$126&amp;";  ","")&amp;IF(AND(EDATE($D122,Milestones!$AA$127)&lt;=AsOfDate,IF($R122=0,$X122,IF(AND($T122&lt;&gt;"",EDATE($D122,Milestones!$AA$127)&gt;=$T122),$W122,IF(AND($S122&lt;&gt;"",EDATE($D122,Milestones!$AA$127)&gt;=$S122),$V122,$U122)))=Milestones!$AB$127),UPPER(TEXT(EDATE($D122,Milestones!$AA$127),"dd mmm yy"))&amp;" "&amp;Milestones!$AB$127&amp;" "&amp;Milestones!$AC$127&amp;";  ","")&amp;IF(AND(EDATE($D122,Milestones!$AA$128)&lt;=AsOfDate,IF($R122=0,$X122,IF(AND($T122&lt;&gt;"",EDATE($D122,Milestones!$AA$128)&gt;=$T122),$W122,IF(AND($S122&lt;&gt;"",EDATE($D122,Milestones!$AA$128)&gt;=$S122),$V122,$U122)))=Milestones!$AB$128),UPPER(TEXT(EDATE($D122,Milestones!$AA$128),"dd mmm yy"))&amp;" "&amp;Milestones!$AB$128&amp;" "&amp;Milestones!$AC$128&amp;";  ","")&amp;IF(AND(EDATE($D122,Milestones!$AA$129)&lt;=AsOfDate,IF($R122=0,$X122,IF(AND($T122&lt;&gt;"",EDATE($D122,Milestones!$AA$129)&gt;=$T122),$W122,IF(AND($S122&lt;&gt;"",EDATE($D122,Milestones!$AA$129)&gt;=$S122),$V122,$U122)))=Milestones!$AB$129),UPPER(TEXT(EDATE($D122,Milestones!$AA$129),"dd mmm yy"))&amp;" "&amp;Milestones!$AB$129&amp;" "&amp;Milestones!$AC$129&amp;";  ","")&amp;IF(AND(EDATE($D122,Milestones!$AA$130)&lt;=AsOfDate,IF($R122=0,$X122,IF(AND($T122&lt;&gt;"",EDATE($D122,Milestones!$AA$130)&gt;=$T122),$W122,IF(AND($S122&lt;&gt;"",EDATE($D122,Milestones!$AA$130)&gt;=$S122),$V122,$U122)))=Milestones!$AB$130),UPPER(TEXT(EDATE($D122,Milestones!$AA$130),"dd mmm yy"))&amp;" "&amp;Milestones!$AB$130&amp;" "&amp;Milestones!$AC$130&amp;";  ","")&amp;IF(AND(EDATE($D122,Milestones!$AA$131)&lt;=AsOfDate,IF($R122=0,$X122,IF(AND($T122&lt;&gt;"",EDATE($D122,Milestones!$AA$131)&gt;=$T122),$W122,IF(AND($S122&lt;&gt;"",EDATE($D122,Milestones!$AA$131)&gt;=$S122),$V122,$U122)))=Milestones!$AB$131),UPPER(TEXT(EDATE($D122,Milestones!$AA$131),"dd mmm yy"))&amp;" "&amp;Milestones!$AB$131&amp;" "&amp;Milestones!$AC$131&amp;";  ","")&amp;IF(AND(EDATE($D122,Milestones!$AA$132)&lt;=AsOfDate,IF($R122=0,$X122,IF(AND($T122&lt;&gt;"",EDATE($D122,Milestones!$AA$132)&gt;=$T122),$W122,IF(AND($S122&lt;&gt;"",EDATE($D122,Milestones!$AA$132)&gt;=$S122),$V122,$U122)))=Milestones!$AB$132),UPPER(TEXT(EDATE($D122,Milestones!$AA$132),"dd mmm yy"))&amp;" "&amp;Milestones!$AB$132&amp;" "&amp;Milestones!$AC$132&amp;";  ","")&amp;IF(AND(EDATE($D122,Milestones!$AA$133)&lt;=AsOfDate,IF($R122=0,$X122,IF(AND($T122&lt;&gt;"",EDATE($D122,Milestones!$AA$133)&gt;=$T122),$W122,IF(AND($S122&lt;&gt;"",EDATE($D122,Milestones!$AA$133)&gt;=$S122),$V122,$U122)))=Milestones!$AB$133),UPPER(TEXT(EDATE($D122,Milestones!$AA$133),"dd mmm yy"))&amp;" "&amp;Milestones!$AB$133&amp;" "&amp;Milestones!$AC$133&amp;";  ","")&amp;IF(AND(EDATE($D122,Milestones!$AA$134)&lt;=AsOfDate,IF($R122=0,$X122,IF(AND($T122&lt;&gt;"",EDATE($D122,Milestones!$AA$134)&gt;=$T122),$W122,IF(AND($S122&lt;&gt;"",EDATE($D122,Milestones!$AA$134)&gt;=$S122),$V122,$U122)))=Milestones!$AB$134),UPPER(TEXT(EDATE($D122,Milestones!$AA$134),"dd mmm yy"))&amp;" "&amp;Milestones!$AB$134&amp;" "&amp;Milestones!$AC$134&amp;";  ","")&amp;IF(AND(EDATE($D122,Milestones!$AA$135)&lt;=AsOfDate,IF($R122=0,$X122,IF(AND($T122&lt;&gt;"",EDATE($D122,Milestones!$AA$135)&gt;=$T122),$W122,IF(AND($S122&lt;&gt;"",EDATE($D122,Milestones!$AA$135)&gt;=$S122),$V122,$U122)))=Milestones!$AB$135),UPPER(TEXT(EDATE($D122,Milestones!$AA$135),"dd mmm yy"))&amp;" "&amp;Milestones!$AB$135&amp;" "&amp;Milestones!$AC$135&amp;";  ","")&amp;IF(AND(EDATE($D122,Milestones!$AA$136)&lt;=AsOfDate,IF($R122=0,$X122,IF(AND($T122&lt;&gt;"",EDATE($D122,Milestones!$AA$136)&gt;=$T122),$W122,IF(AND($S122&lt;&gt;"",EDATE($D122,Milestones!$AA$136)&gt;=$S122),$V122,$U122)))=Milestones!$AB$136),UPPER(TEXT(EDATE($D122,Milestones!$AA$136),"dd mmm yy"))&amp;" "&amp;Milestones!$AB$136&amp;" "&amp;Milestones!$AC$136&amp;";  ","")&amp;IF(AND(EDATE($D122,Milestones!$AA$137)&lt;=AsOfDate,IF($R122=0,$X122,IF(AND($T122&lt;&gt;"",EDATE($D122,Milestones!$AA$137)&gt;=$T122),$W122,IF(AND($S122&lt;&gt;"",EDATE($D122,Milestones!$AA$137)&gt;=$S122),$V122,$U122)))=Milestones!$AB$137),UPPER(TEXT(EDATE($D122,Milestones!$AA$137),"dd mmm yy"))&amp;" "&amp;Milestones!$AB$137&amp;" "&amp;Milestones!$AC$137&amp;";  ","")&amp;IF(AND(EDATE($D122,Milestones!$AA$138)&lt;=AsOfDate,IF($R122=0,$X122,IF(AND($T122&lt;&gt;"",EDATE($D122,Milestones!$AA$138)&gt;=$T122),$W122,IF(AND($S122&lt;&gt;"",EDATE($D122,Milestones!$AA$138)&gt;=$S122),$V122,$U122)))=Milestones!$AB$138),UPPER(TEXT(EDATE($D122,Milestones!$AA$138),"dd mmm yy"))&amp;" "&amp;Milestones!$AB$138&amp;" "&amp;Milestones!$AC$138&amp;";  ","")&amp;IF(AND(EDATE($D122,Milestones!$AA$139)&lt;=AsOfDate,IF($R122=0,$X122,IF(AND($T122&lt;&gt;"",EDATE($D122,Milestones!$AA$139)&gt;=$T122),$W122,IF(AND($S122&lt;&gt;"",EDATE($D122,Milestones!$AA$139)&gt;=$S122),$V122,$U122)))=Milestones!$AB$139),UPPER(TEXT(EDATE($D122,Milestones!$AA$139),"dd mmm yy"))&amp;" "&amp;Milestones!$AB$139&amp;" "&amp;Milestones!$AC$139&amp;";  ",""))</f>
        <v/>
      </c>
      <c r="O122" s="0" t="str">
        <f aca="false">IF(OR($A122="",$D122=""),"",IF(AND(EDATE($D122,Milestones!$AA$140)&lt;=AsOfDate,IF($R122=0,$X122,IF(AND($T122&lt;&gt;"",EDATE($D122,Milestones!$AA$140)&gt;=$T122),$W122,IF(AND($S122&lt;&gt;"",EDATE($D122,Milestones!$AA$140)&gt;=$S122),$V122,$U122)))=Milestones!$AB$140),UPPER(TEXT(EDATE($D122,Milestones!$AA$140),"dd mmm yy"))&amp;" "&amp;Milestones!$AB$140&amp;" "&amp;Milestones!$AC$140&amp;";  ","")&amp;IF(AND(EDATE($D122,Milestones!$AA$141)&lt;=AsOfDate,IF($R122=0,$X122,IF(AND($T122&lt;&gt;"",EDATE($D122,Milestones!$AA$141)&gt;=$T122),$W122,IF(AND($S122&lt;&gt;"",EDATE($D122,Milestones!$AA$141)&gt;=$S122),$V122,$U122)))=Milestones!$AB$141),UPPER(TEXT(EDATE($D122,Milestones!$AA$141),"dd mmm yy"))&amp;" "&amp;Milestones!$AB$141&amp;" "&amp;Milestones!$AC$141&amp;";  ","")&amp;IF(AND(EDATE($D122,Milestones!$AA$142)&lt;=AsOfDate,IF($R122=0,$X122,IF(AND($T122&lt;&gt;"",EDATE($D122,Milestones!$AA$142)&gt;=$T122),$W122,IF(AND($S122&lt;&gt;"",EDATE($D122,Milestones!$AA$142)&gt;=$S122),$V122,$U122)))=Milestones!$AB$142),UPPER(TEXT(EDATE($D122,Milestones!$AA$142),"dd mmm yy"))&amp;" "&amp;Milestones!$AB$142&amp;" "&amp;Milestones!$AC$142&amp;";  ","")&amp;IF(AND(EDATE($D122,Milestones!$AA$143)&lt;=AsOfDate,IF($R122=0,$X122,IF(AND($T122&lt;&gt;"",EDATE($D122,Milestones!$AA$143)&gt;=$T122),$W122,IF(AND($S122&lt;&gt;"",EDATE($D122,Milestones!$AA$143)&gt;=$S122),$V122,$U122)))=Milestones!$AB$143),UPPER(TEXT(EDATE($D122,Milestones!$AA$143),"dd mmm yy"))&amp;" "&amp;Milestones!$AB$143&amp;" "&amp;Milestones!$AC$143&amp;";  ","")&amp;IF(AND(EDATE($D122,Milestones!$AA$144)&lt;=AsOfDate,IF($R122=0,$X122,IF(AND($T122&lt;&gt;"",EDATE($D122,Milestones!$AA$144)&gt;=$T122),$W122,IF(AND($S122&lt;&gt;"",EDATE($D122,Milestones!$AA$144)&gt;=$S122),$V122,$U122)))=Milestones!$AB$144),UPPER(TEXT(EDATE($D122,Milestones!$AA$144),"dd mmm yy"))&amp;" "&amp;Milestones!$AB$144&amp;" "&amp;Milestones!$AC$144&amp;";  ","")&amp;IF(AND(EDATE($D122,Milestones!$AA$145)&lt;=AsOfDate,IF($R122=0,$X122,IF(AND($T122&lt;&gt;"",EDATE($D122,Milestones!$AA$145)&gt;=$T122),$W122,IF(AND($S122&lt;&gt;"",EDATE($D122,Milestones!$AA$145)&gt;=$S122),$V122,$U122)))=Milestones!$AB$145),UPPER(TEXT(EDATE($D122,Milestones!$AA$145),"dd mmm yy"))&amp;" "&amp;Milestones!$AB$145&amp;" "&amp;Milestones!$AC$145&amp;";  ","")&amp;IF(AND(EDATE($D122,Milestones!$AA$146)&lt;=AsOfDate,IF($R122=0,$X122,IF(AND($T122&lt;&gt;"",EDATE($D122,Milestones!$AA$146)&gt;=$T122),$W122,IF(AND($S122&lt;&gt;"",EDATE($D122,Milestones!$AA$146)&gt;=$S122),$V122,$U122)))=Milestones!$AB$146),UPPER(TEXT(EDATE($D122,Milestones!$AA$146),"dd mmm yy"))&amp;" "&amp;Milestones!$AB$146&amp;" "&amp;Milestones!$AC$146&amp;";  ","")&amp;IF(AND(EDATE($D122,Milestones!$AA$147)&lt;=AsOfDate,IF($R122=0,$X122,IF(AND($T122&lt;&gt;"",EDATE($D122,Milestones!$AA$147)&gt;=$T122),$W122,IF(AND($S122&lt;&gt;"",EDATE($D122,Milestones!$AA$147)&gt;=$S122),$V122,$U122)))=Milestones!$AB$147),UPPER(TEXT(EDATE($D122,Milestones!$AA$147),"dd mmm yy"))&amp;" "&amp;Milestones!$AB$147&amp;" "&amp;Milestones!$AC$147&amp;";  ","")&amp;IF(AND(EDATE($D122,Milestones!$AA$148)&lt;=AsOfDate,IF($R122=0,$X122,IF(AND($T122&lt;&gt;"",EDATE($D122,Milestones!$AA$148)&gt;=$T122),$W122,IF(AND($S122&lt;&gt;"",EDATE($D122,Milestones!$AA$148)&gt;=$S122),$V122,$U122)))=Milestones!$AB$148),UPPER(TEXT(EDATE($D122,Milestones!$AA$148),"dd mmm yy"))&amp;" "&amp;Milestones!$AB$148&amp;" "&amp;Milestones!$AC$148&amp;";  ","")&amp;IF(AND(EDATE($D122,Milestones!$AA$149)&lt;=AsOfDate,IF($R122=0,$X122,IF(AND($T122&lt;&gt;"",EDATE($D122,Milestones!$AA$149)&gt;=$T122),$W122,IF(AND($S122&lt;&gt;"",EDATE($D122,Milestones!$AA$149)&gt;=$S122),$V122,$U122)))=Milestones!$AB$149),UPPER(TEXT(EDATE($D122,Milestones!$AA$149),"dd mmm yy"))&amp;" "&amp;Milestones!$AB$149&amp;" "&amp;Milestones!$AC$149&amp;";  ","")&amp;IF(AND(EDATE($D122,Milestones!$AA$150)&lt;=AsOfDate,IF($R122=0,$X122,IF(AND($T122&lt;&gt;"",EDATE($D122,Milestones!$AA$150)&gt;=$T122),$W122,IF(AND($S122&lt;&gt;"",EDATE($D122,Milestones!$AA$150)&gt;=$S122),$V122,$U122)))=Milestones!$AB$150),UPPER(TEXT(EDATE($D122,Milestones!$AA$150),"dd mmm yy"))&amp;" "&amp;Milestones!$AB$150&amp;" "&amp;Milestones!$AC$150&amp;";  ","")&amp;IF(AND(EDATE($D122,Milestones!$AA$151)&lt;=AsOfDate,IF($R122=0,$X122,IF(AND($T122&lt;&gt;"",EDATE($D122,Milestones!$AA$151)&gt;=$T122),$W122,IF(AND($S122&lt;&gt;"",EDATE($D122,Milestones!$AA$151)&gt;=$S122),$V122,$U122)))=Milestones!$AB$151),UPPER(TEXT(EDATE($D122,Milestones!$AA$151),"dd mmm yy"))&amp;" "&amp;Milestones!$AB$151&amp;" "&amp;Milestones!$AC$151&amp;";  ","")&amp;IF(AND(EDATE($D122,Milestones!$AA$152)&lt;=AsOfDate,IF($R122=0,$X122,IF(AND($T122&lt;&gt;"",EDATE($D122,Milestones!$AA$152)&gt;=$T122),$W122,IF(AND($S122&lt;&gt;"",EDATE($D122,Milestones!$AA$152)&gt;=$S122),$V122,$U122)))=Milestones!$AB$152),UPPER(TEXT(EDATE($D122,Milestones!$AA$152),"dd mmm yy"))&amp;" "&amp;Milestones!$AB$152&amp;" "&amp;Milestones!$AC$152&amp;";  ","")&amp;IF(AND(EDATE($D122,Milestones!$AA$153)&lt;=AsOfDate,IF($R122=0,$X122,IF(AND($T122&lt;&gt;"",EDATE($D122,Milestones!$AA$153)&gt;=$T122),$W122,IF(AND($S122&lt;&gt;"",EDATE($D122,Milestones!$AA$153)&gt;=$S122),$V122,$U122)))=Milestones!$AB$153),UPPER(TEXT(EDATE($D122,Milestones!$AA$153),"dd mmm yy"))&amp;" "&amp;Milestones!$AB$153&amp;" "&amp;Milestones!$AC$153&amp;";  ","")&amp;IF(AND(EDATE($D122,Milestones!$AA$154)&lt;=AsOfDate,IF($R122=0,$X122,IF(AND($T122&lt;&gt;"",EDATE($D122,Milestones!$AA$154)&gt;=$T122),$W122,IF(AND($S122&lt;&gt;"",EDATE($D122,Milestones!$AA$154)&gt;=$S122),$V122,$U122)))=Milestones!$AB$154),UPPER(TEXT(EDATE($D122,Milestones!$AA$154),"dd mmm yy"))&amp;" "&amp;Milestones!$AB$154&amp;" "&amp;Milestones!$AC$154&amp;";  ","")&amp;IF(AND(EDATE($D122,Milestones!$AA$155)&lt;=AsOfDate,IF($R122=0,$X122,IF(AND($T122&lt;&gt;"",EDATE($D122,Milestones!$AA$155)&gt;=$T122),$W122,IF(AND($S122&lt;&gt;"",EDATE($D122,Milestones!$AA$155)&gt;=$S122),$V122,$U122)))=Milestones!$AB$155),UPPER(TEXT(EDATE($D122,Milestones!$AA$155),"dd mmm yy"))&amp;" "&amp;Milestones!$AB$155&amp;" "&amp;Milestones!$AC$155&amp;";  ","")&amp;IF(AND(EDATE($D122,Milestones!$AA$156)&lt;=AsOfDate,IF($R122=0,$X122,IF(AND($T122&lt;&gt;"",EDATE($D122,Milestones!$AA$156)&gt;=$T122),$W122,IF(AND($S122&lt;&gt;"",EDATE($D122,Milestones!$AA$156)&gt;=$S122),$V122,$U122)))=Milestones!$AB$156),UPPER(TEXT(EDATE($D122,Milestones!$AA$156),"dd mmm yy"))&amp;" "&amp;Milestones!$AB$156&amp;" "&amp;Milestones!$AC$156&amp;";  ","")&amp;IF(AND(EDATE($D122,Milestones!$AA$157)&lt;=AsOfDate,IF($R122=0,$X122,IF(AND($T122&lt;&gt;"",EDATE($D122,Milestones!$AA$157)&gt;=$T122),$W122,IF(AND($S122&lt;&gt;"",EDATE($D122,Milestones!$AA$157)&gt;=$S122),$V122,$U122)))=Milestones!$AB$157),UPPER(TEXT(EDATE($D122,Milestones!$AA$157),"dd mmm yy"))&amp;" "&amp;Milestones!$AB$157&amp;" "&amp;Milestones!$AC$157&amp;";  ","")&amp;IF(AND(EDATE($D122,Milestones!$AA$158)&lt;=AsOfDate,IF($R122=0,$X122,IF(AND($T122&lt;&gt;"",EDATE($D122,Milestones!$AA$158)&gt;=$T122),$W122,IF(AND($S122&lt;&gt;"",EDATE($D122,Milestones!$AA$158)&gt;=$S122),$V122,$U122)))=Milestones!$AB$158),UPPER(TEXT(EDATE($D122,Milestones!$AA$158),"dd mmm yy"))&amp;" "&amp;Milestones!$AB$158&amp;" "&amp;Milestones!$AC$158&amp;";  ","")&amp;IF(AND(EDATE($D122,Milestones!$AA$159)&lt;=AsOfDate,IF($R122=0,$X122,IF(AND($T122&lt;&gt;"",EDATE($D122,Milestones!$AA$159)&gt;=$T122),$W122,IF(AND($S122&lt;&gt;"",EDATE($D122,Milestones!$AA$159)&gt;=$S122),$V122,$U122)))=Milestones!$AB$159),UPPER(TEXT(EDATE($D122,Milestones!$AA$159),"dd mmm yy"))&amp;" "&amp;Milestones!$AB$159&amp;" "&amp;Milestones!$AC$159&amp;";  ",""))</f>
        <v/>
      </c>
      <c r="P122" s="0" t="str">
        <f aca="false">IF(OR($A122="",$D122=""),"",IF(AND(EDATE($D122,Milestones!$AA$160)&lt;=AsOfDate,IF($R122=0,$X122,IF(AND($T122&lt;&gt;"",EDATE($D122,Milestones!$AA$160)&gt;=$T122),$W122,IF(AND($S122&lt;&gt;"",EDATE($D122,Milestones!$AA$160)&gt;=$S122),$V122,$U122)))=Milestones!$AB$160),UPPER(TEXT(EDATE($D122,Milestones!$AA$160),"dd mmm yy"))&amp;" "&amp;Milestones!$AB$160&amp;" "&amp;Milestones!$AC$160&amp;";  ","")&amp;IF(AND(EDATE($D122,Milestones!$AA$161)&lt;=AsOfDate,IF($R122=0,$X122,IF(AND($T122&lt;&gt;"",EDATE($D122,Milestones!$AA$161)&gt;=$T122),$W122,IF(AND($S122&lt;&gt;"",EDATE($D122,Milestones!$AA$161)&gt;=$S122),$V122,$U122)))=Milestones!$AB$161),UPPER(TEXT(EDATE($D122,Milestones!$AA$161),"dd mmm yy"))&amp;" "&amp;Milestones!$AB$161&amp;" "&amp;Milestones!$AC$161&amp;";  ","")&amp;IF(AND(EDATE($D122,Milestones!$AA$162)&lt;=AsOfDate,IF($R122=0,$X122,IF(AND($T122&lt;&gt;"",EDATE($D122,Milestones!$AA$162)&gt;=$T122),$W122,IF(AND($S122&lt;&gt;"",EDATE($D122,Milestones!$AA$162)&gt;=$S122),$V122,$U122)))=Milestones!$AB$162),UPPER(TEXT(EDATE($D122,Milestones!$AA$162),"dd mmm yy"))&amp;" "&amp;Milestones!$AB$162&amp;" "&amp;Milestones!$AC$162&amp;";  ","")&amp;IF(AND(EDATE($D122,Milestones!$AA$163)&lt;=AsOfDate,IF($R122=0,$X122,IF(AND($T122&lt;&gt;"",EDATE($D122,Milestones!$AA$163)&gt;=$T122),$W122,IF(AND($S122&lt;&gt;"",EDATE($D122,Milestones!$AA$163)&gt;=$S122),$V122,$U122)))=Milestones!$AB$163),UPPER(TEXT(EDATE($D122,Milestones!$AA$163),"dd mmm yy"))&amp;" "&amp;Milestones!$AB$163&amp;" "&amp;Milestones!$AC$163&amp;";  ","")&amp;IF(AND(EDATE($D122,Milestones!$AA$164)&lt;=AsOfDate,IF($R122=0,$X122,IF(AND($T122&lt;&gt;"",EDATE($D122,Milestones!$AA$164)&gt;=$T122),$W122,IF(AND($S122&lt;&gt;"",EDATE($D122,Milestones!$AA$164)&gt;=$S122),$V122,$U122)))=Milestones!$AB$164),UPPER(TEXT(EDATE($D122,Milestones!$AA$164),"dd mmm yy"))&amp;" "&amp;Milestones!$AB$164&amp;" "&amp;Milestones!$AC$164&amp;";  ","")&amp;IF(AND(EDATE($D122,Milestones!$AA$165)&lt;=AsOfDate,IF($R122=0,$X122,IF(AND($T122&lt;&gt;"",EDATE($D122,Milestones!$AA$165)&gt;=$T122),$W122,IF(AND($S122&lt;&gt;"",EDATE($D122,Milestones!$AA$165)&gt;=$S122),$V122,$U122)))=Milestones!$AB$165),UPPER(TEXT(EDATE($D122,Milestones!$AA$165),"dd mmm yy"))&amp;" "&amp;Milestones!$AB$165&amp;" "&amp;Milestones!$AC$165&amp;";  ","")&amp;IF(AND(EDATE($D122,Milestones!$AA$166)&lt;=AsOfDate,IF($R122=0,$X122,IF(AND($T122&lt;&gt;"",EDATE($D122,Milestones!$AA$166)&gt;=$T122),$W122,IF(AND($S122&lt;&gt;"",EDATE($D122,Milestones!$AA$166)&gt;=$S122),$V122,$U122)))=Milestones!$AB$166),UPPER(TEXT(EDATE($D122,Milestones!$AA$166),"dd mmm yy"))&amp;" "&amp;Milestones!$AB$166&amp;" "&amp;Milestones!$AC$166&amp;";  ","")&amp;IF(AND(EDATE($D122,Milestones!$AA$167)&lt;=AsOfDate,IF($R122=0,$X122,IF(AND($T122&lt;&gt;"",EDATE($D122,Milestones!$AA$167)&gt;=$T122),$W122,IF(AND($S122&lt;&gt;"",EDATE($D122,Milestones!$AA$167)&gt;=$S122),$V122,$U122)))=Milestones!$AB$167),UPPER(TEXT(EDATE($D122,Milestones!$AA$167),"dd mmm yy"))&amp;" "&amp;Milestones!$AB$167&amp;" "&amp;Milestones!$AC$167&amp;";  ","")&amp;IF(AND(EDATE($D122,Milestones!$AA$168)&lt;=AsOfDate,IF($R122=0,$X122,IF(AND($T122&lt;&gt;"",EDATE($D122,Milestones!$AA$168)&gt;=$T122),$W122,IF(AND($S122&lt;&gt;"",EDATE($D122,Milestones!$AA$168)&gt;=$S122),$V122,$U122)))=Milestones!$AB$168),UPPER(TEXT(EDATE($D122,Milestones!$AA$168),"dd mmm yy"))&amp;" "&amp;Milestones!$AB$168&amp;" "&amp;Milestones!$AC$168&amp;";  ","")&amp;IF(AND(EDATE($D122,Milestones!$AA$169)&lt;=AsOfDate,IF($R122=0,$X122,IF(AND($T122&lt;&gt;"",EDATE($D122,Milestones!$AA$169)&gt;=$T122),$W122,IF(AND($S122&lt;&gt;"",EDATE($D122,Milestones!$AA$169)&gt;=$S122),$V122,$U122)))=Milestones!$AB$169),UPPER(TEXT(EDATE($D122,Milestones!$AA$169),"dd mmm yy"))&amp;" "&amp;Milestones!$AB$169&amp;" "&amp;Milestones!$AC$169&amp;";  ","")&amp;IF(AND(EDATE($D122,Milestones!$AA$170)&lt;=AsOfDate,IF($R122=0,$X122,IF(AND($T122&lt;&gt;"",EDATE($D122,Milestones!$AA$170)&gt;=$T122),$W122,IF(AND($S122&lt;&gt;"",EDATE($D122,Milestones!$AA$170)&gt;=$S122),$V122,$U122)))=Milestones!$AB$170),UPPER(TEXT(EDATE($D122,Milestones!$AA$170),"dd mmm yy"))&amp;" "&amp;Milestones!$AB$170&amp;" "&amp;Milestones!$AC$170&amp;";  ","")&amp;IF(AND(EDATE($D122,Milestones!$AA$171)&lt;=AsOfDate,IF($R122=0,$X122,IF(AND($T122&lt;&gt;"",EDATE($D122,Milestones!$AA$171)&gt;=$T122),$W122,IF(AND($S122&lt;&gt;"",EDATE($D122,Milestones!$AA$171)&gt;=$S122),$V122,$U122)))=Milestones!$AB$171),UPPER(TEXT(EDATE($D122,Milestones!$AA$171),"dd mmm yy"))&amp;" "&amp;Milestones!$AB$171&amp;" "&amp;Milestones!$AC$171&amp;";  ","")&amp;IF(AND(EDATE($D122,Milestones!$AA$172)&lt;=AsOfDate,IF($R122=0,$X122,IF(AND($T122&lt;&gt;"",EDATE($D122,Milestones!$AA$172)&gt;=$T122),$W122,IF(AND($S122&lt;&gt;"",EDATE($D122,Milestones!$AA$172)&gt;=$S122),$V122,$U122)))=Milestones!$AB$172),UPPER(TEXT(EDATE($D122,Milestones!$AA$172),"dd mmm yy"))&amp;" "&amp;Milestones!$AB$172&amp;" "&amp;Milestones!$AC$172&amp;";  ","")&amp;IF(AND(EDATE($D122,Milestones!$AA$173)&lt;=AsOfDate,IF($R122=0,$X122,IF(AND($T122&lt;&gt;"",EDATE($D122,Milestones!$AA$173)&gt;=$T122),$W122,IF(AND($S122&lt;&gt;"",EDATE($D122,Milestones!$AA$173)&gt;=$S122),$V122,$U122)))=Milestones!$AB$173),UPPER(TEXT(EDATE($D122,Milestones!$AA$173),"dd mmm yy"))&amp;" "&amp;Milestones!$AB$173&amp;" "&amp;Milestones!$AC$173&amp;";  ","")&amp;IF(AND(EDATE($D122,Milestones!$AA$174)&lt;=AsOfDate,IF($R122=0,$X122,IF(AND($T122&lt;&gt;"",EDATE($D122,Milestones!$AA$174)&gt;=$T122),$W122,IF(AND($S122&lt;&gt;"",EDATE($D122,Milestones!$AA$174)&gt;=$S122),$V122,$U122)))=Milestones!$AB$174),UPPER(TEXT(EDATE($D122,Milestones!$AA$174),"dd mmm yy"))&amp;" "&amp;Milestones!$AB$174&amp;" "&amp;Milestones!$AC$174&amp;";  ","")&amp;IF(AND(EDATE($D122,Milestones!$AA$175)&lt;=AsOfDate,IF($R122=0,$X122,IF(AND($T122&lt;&gt;"",EDATE($D122,Milestones!$AA$175)&gt;=$T122),$W122,IF(AND($S122&lt;&gt;"",EDATE($D122,Milestones!$AA$175)&gt;=$S122),$V122,$U122)))=Milestones!$AB$175),UPPER(TEXT(EDATE($D122,Milestones!$AA$175),"dd mmm yy"))&amp;" "&amp;Milestones!$AB$175&amp;" "&amp;Milestones!$AC$175&amp;";  ","")&amp;IF(AND(EDATE($D122,Milestones!$AA$176)&lt;=AsOfDate,IF($R122=0,$X122,IF(AND($T122&lt;&gt;"",EDATE($D122,Milestones!$AA$176)&gt;=$T122),$W122,IF(AND($S122&lt;&gt;"",EDATE($D122,Milestones!$AA$176)&gt;=$S122),$V122,$U122)))=Milestones!$AB$176),UPPER(TEXT(EDATE($D122,Milestones!$AA$176),"dd mmm yy"))&amp;" "&amp;Milestones!$AB$176&amp;" "&amp;Milestones!$AC$176&amp;";  ","")&amp;IF(AND(EDATE($D122,Milestones!$AA$177)&lt;=AsOfDate,IF($R122=0,$X122,IF(AND($T122&lt;&gt;"",EDATE($D122,Milestones!$AA$177)&gt;=$T122),$W122,IF(AND($S122&lt;&gt;"",EDATE($D122,Milestones!$AA$177)&gt;=$S122),$V122,$U122)))=Milestones!$AB$177),UPPER(TEXT(EDATE($D122,Milestones!$AA$177),"dd mmm yy"))&amp;" "&amp;Milestones!$AB$177&amp;" "&amp;Milestones!$AC$177&amp;";  ","")&amp;IF(AND(EDATE($D122,Milestones!$AA$178)&lt;=AsOfDate,IF($R122=0,$X122,IF(AND($T122&lt;&gt;"",EDATE($D122,Milestones!$AA$178)&gt;=$T122),$W122,IF(AND($S122&lt;&gt;"",EDATE($D122,Milestones!$AA$178)&gt;=$S122),$V122,$U122)))=Milestones!$AB$178),UPPER(TEXT(EDATE($D122,Milestones!$AA$178),"dd mmm yy"))&amp;" "&amp;Milestones!$AB$178&amp;" "&amp;Milestones!$AC$178&amp;";  ","")&amp;IF(AND(EDATE($D122,Milestones!$AA$179)&lt;=AsOfDate,IF($R122=0,$X122,IF(AND($T122&lt;&gt;"",EDATE($D122,Milestones!$AA$179)&gt;=$T122),$W122,IF(AND($S122&lt;&gt;"",EDATE($D122,Milestones!$AA$179)&gt;=$S122),$V122,$U122)))=Milestones!$AB$179),UPPER(TEXT(EDATE($D122,Milestones!$AA$179),"dd mmm yy"))&amp;" "&amp;Milestones!$AB$179&amp;" "&amp;Milestones!$AC$179&amp;";  ",""))</f>
        <v/>
      </c>
      <c r="Q122" s="0" t="str">
        <f aca="false">IF(OR($A122="",$D122=""),"",IF(AND(EDATE($D122,Milestones!$AA$180)&lt;=AsOfDate,IF($R122=0,$X122,IF(AND($T122&lt;&gt;"",EDATE($D122,Milestones!$AA$180)&gt;=$T122),$W122,IF(AND($S122&lt;&gt;"",EDATE($D122,Milestones!$AA$180)&gt;=$S122),$V122,$U122)))=Milestones!$AB$180),UPPER(TEXT(EDATE($D122,Milestones!$AA$180),"dd mmm yy"))&amp;" "&amp;Milestones!$AB$180&amp;" "&amp;Milestones!$AC$180&amp;";  ","")&amp;IF(AND(EDATE($D122,Milestones!$AA$181)&lt;=AsOfDate,IF($R122=0,$X122,IF(AND($T122&lt;&gt;"",EDATE($D122,Milestones!$AA$181)&gt;=$T122),$W122,IF(AND($S122&lt;&gt;"",EDATE($D122,Milestones!$AA$181)&gt;=$S122),$V122,$U122)))=Milestones!$AB$181),UPPER(TEXT(EDATE($D122,Milestones!$AA$181),"dd mmm yy"))&amp;" "&amp;Milestones!$AB$181&amp;" "&amp;Milestones!$AC$181&amp;";  ","")&amp;IF(AND(EDATE($D122,Milestones!$AA$182)&lt;=AsOfDate,IF($R122=0,$X122,IF(AND($T122&lt;&gt;"",EDATE($D122,Milestones!$AA$182)&gt;=$T122),$W122,IF(AND($S122&lt;&gt;"",EDATE($D122,Milestones!$AA$182)&gt;=$S122),$V122,$U122)))=Milestones!$AB$182),UPPER(TEXT(EDATE($D122,Milestones!$AA$182),"dd mmm yy"))&amp;" "&amp;Milestones!$AB$182&amp;" "&amp;Milestones!$AC$182&amp;";  ","")&amp;IF(AND(EDATE($D122,Milestones!$AA$183)&lt;=AsOfDate,IF($R122=0,$X122,IF(AND($T122&lt;&gt;"",EDATE($D122,Milestones!$AA$183)&gt;=$T122),$W122,IF(AND($S122&lt;&gt;"",EDATE($D122,Milestones!$AA$183)&gt;=$S122),$V122,$U122)))=Milestones!$AB$183),UPPER(TEXT(EDATE($D122,Milestones!$AA$183),"dd mmm yy"))&amp;" "&amp;Milestones!$AB$183&amp;" "&amp;Milestones!$AC$183&amp;";  ","")&amp;IF(AND(EDATE($D122,Milestones!$AA$184)&lt;=AsOfDate,IF($R122=0,$X122,IF(AND($T122&lt;&gt;"",EDATE($D122,Milestones!$AA$184)&gt;=$T122),$W122,IF(AND($S122&lt;&gt;"",EDATE($D122,Milestones!$AA$184)&gt;=$S122),$V122,$U122)))=Milestones!$AB$184),UPPER(TEXT(EDATE($D122,Milestones!$AA$184),"dd mmm yy"))&amp;" "&amp;Milestones!$AB$184&amp;" "&amp;Milestones!$AC$184&amp;";  ","")&amp;IF(AND(EDATE($D122,Milestones!$AA$185)&lt;=AsOfDate,IF($R122=0,$X122,IF(AND($T122&lt;&gt;"",EDATE($D122,Milestones!$AA$185)&gt;=$T122),$W122,IF(AND($S122&lt;&gt;"",EDATE($D122,Milestones!$AA$185)&gt;=$S122),$V122,$U122)))=Milestones!$AB$185),UPPER(TEXT(EDATE($D122,Milestones!$AA$185),"dd mmm yy"))&amp;" "&amp;Milestones!$AB$185&amp;" "&amp;Milestones!$AC$185&amp;";  ","")&amp;IF(AND(EDATE($D122,Milestones!$AA$186)&lt;=AsOfDate,IF($R122=0,$X122,IF(AND($T122&lt;&gt;"",EDATE($D122,Milestones!$AA$186)&gt;=$T122),$W122,IF(AND($S122&lt;&gt;"",EDATE($D122,Milestones!$AA$186)&gt;=$S122),$V122,$U122)))=Milestones!$AB$186),UPPER(TEXT(EDATE($D122,Milestones!$AA$186),"dd mmm yy"))&amp;" "&amp;Milestones!$AB$186&amp;" "&amp;Milestones!$AC$186&amp;";  ","")&amp;IF(AND(EDATE($D122,Milestones!$AA$187)&lt;=AsOfDate,IF($R122=0,$X122,IF(AND($T122&lt;&gt;"",EDATE($D122,Milestones!$AA$187)&gt;=$T122),$W122,IF(AND($S122&lt;&gt;"",EDATE($D122,Milestones!$AA$187)&gt;=$S122),$V122,$U122)))=Milestones!$AB$187),UPPER(TEXT(EDATE($D122,Milestones!$AA$187),"dd mmm yy"))&amp;" "&amp;Milestones!$AB$187&amp;" "&amp;Milestones!$AC$187&amp;";  ","")&amp;IF(AND(EDATE($D122,Milestones!$AA$188)&lt;=AsOfDate,IF($R122=0,$X122,IF(AND($T122&lt;&gt;"",EDATE($D122,Milestones!$AA$188)&gt;=$T122),$W122,IF(AND($S122&lt;&gt;"",EDATE($D122,Milestones!$AA$188)&gt;=$S122),$V122,$U122)))=Milestones!$AB$188),UPPER(TEXT(EDATE($D122,Milestones!$AA$188),"dd mmm yy"))&amp;" "&amp;Milestones!$AB$188&amp;" "&amp;Milestones!$AC$188&amp;";  ","")&amp;IF(AND(EDATE($D122,Milestones!$AA$189)&lt;=AsOfDate,IF($R122=0,$X122,IF(AND($T122&lt;&gt;"",EDATE($D122,Milestones!$AA$189)&gt;=$T122),$W122,IF(AND($S122&lt;&gt;"",EDATE($D122,Milestones!$AA$189)&gt;=$S122),$V122,$U122)))=Milestones!$AB$189),UPPER(TEXT(EDATE($D122,Milestones!$AA$189),"dd mmm yy"))&amp;" "&amp;Milestones!$AB$189&amp;" "&amp;Milestones!$AC$189&amp;";  ","")&amp;IF(AND(EDATE($D122,Milestones!$AA$190)&lt;=AsOfDate,IF($R122=0,$X122,IF(AND($T122&lt;&gt;"",EDATE($D122,Milestones!$AA$190)&gt;=$T122),$W122,IF(AND($S122&lt;&gt;"",EDATE($D122,Milestones!$AA$190)&gt;=$S122),$V122,$U122)))=Milestones!$AB$190),UPPER(TEXT(EDATE($D122,Milestones!$AA$190),"dd mmm yy"))&amp;" "&amp;Milestones!$AB$190&amp;" "&amp;Milestones!$AC$190&amp;";  ","")&amp;IF(AND(EDATE($D122,Milestones!$AA$191)&lt;=AsOfDate,IF($R122=0,$X122,IF(AND($T122&lt;&gt;"",EDATE($D122,Milestones!$AA$191)&gt;=$T122),$W122,IF(AND($S122&lt;&gt;"",EDATE($D122,Milestones!$AA$191)&gt;=$S122),$V122,$U122)))=Milestones!$AB$191),UPPER(TEXT(EDATE($D122,Milestones!$AA$191),"dd mmm yy"))&amp;" "&amp;Milestones!$AB$191&amp;" "&amp;Milestones!$AC$191&amp;";  ","")&amp;IF(AND(EDATE($D122,Milestones!$AA$192)&lt;=AsOfDate,IF($R122=0,$X122,IF(AND($T122&lt;&gt;"",EDATE($D122,Milestones!$AA$192)&gt;=$T122),$W122,IF(AND($S122&lt;&gt;"",EDATE($D122,Milestones!$AA$192)&gt;=$S122),$V122,$U122)))=Milestones!$AB$192),UPPER(TEXT(EDATE($D122,Milestones!$AA$192),"dd mmm yy"))&amp;" "&amp;Milestones!$AB$192&amp;" "&amp;Milestones!$AC$192&amp;";  ","")&amp;IF(AND(EDATE($D122,Milestones!$AA$193)&lt;=AsOfDate,IF($R122=0,$X122,IF(AND($T122&lt;&gt;"",EDATE($D122,Milestones!$AA$193)&gt;=$T122),$W122,IF(AND($S122&lt;&gt;"",EDATE($D122,Milestones!$AA$193)&gt;=$S122),$V122,$U122)))=Milestones!$AB$193),UPPER(TEXT(EDATE($D122,Milestones!$AA$193),"dd mmm yy"))&amp;" "&amp;Milestones!$AB$193&amp;" "&amp;Milestones!$AC$193&amp;";  ","")&amp;IF(AND(EDATE($D122,Milestones!$AA$194)&lt;=AsOfDate,IF($R122=0,$X122,IF(AND($T122&lt;&gt;"",EDATE($D122,Milestones!$AA$194)&gt;=$T122),$W122,IF(AND($S122&lt;&gt;"",EDATE($D122,Milestones!$AA$194)&gt;=$S122),$V122,$U122)))=Milestones!$AB$194),UPPER(TEXT(EDATE($D122,Milestones!$AA$194),"dd mmm yy"))&amp;" "&amp;Milestones!$AB$194&amp;" "&amp;Milestones!$AC$194&amp;";  ","")&amp;IF(AND(EDATE($D122,Milestones!$AA$195)&lt;=AsOfDate,IF($R122=0,$X122,IF(AND($T122&lt;&gt;"",EDATE($D122,Milestones!$AA$195)&gt;=$T122),$W122,IF(AND($S122&lt;&gt;"",EDATE($D122,Milestones!$AA$195)&gt;=$S122),$V122,$U122)))=Milestones!$AB$195),UPPER(TEXT(EDATE($D122,Milestones!$AA$195),"dd mmm yy"))&amp;" "&amp;Milestones!$AB$195&amp;" "&amp;Milestones!$AC$195&amp;";  ","")&amp;IF(AND(EDATE($D122,Milestones!$AA$196)&lt;=AsOfDate,IF($R122=0,$X122,IF(AND($T122&lt;&gt;"",EDATE($D122,Milestones!$AA$196)&gt;=$T122),$W122,IF(AND($S122&lt;&gt;"",EDATE($D122,Milestones!$AA$196)&gt;=$S122),$V122,$U122)))=Milestones!$AB$196),UPPER(TEXT(EDATE($D122,Milestones!$AA$196),"dd mmm yy"))&amp;" "&amp;Milestones!$AB$196&amp;" "&amp;Milestones!$AC$196&amp;";  ","")&amp;IF(AND(EDATE($D122,Milestones!$AA$197)&lt;=AsOfDate,IF($R122=0,$X122,IF(AND($T122&lt;&gt;"",EDATE($D122,Milestones!$AA$197)&gt;=$T122),$W122,IF(AND($S122&lt;&gt;"",EDATE($D122,Milestones!$AA$197)&gt;=$S122),$V122,$U122)))=Milestones!$AB$197),UPPER(TEXT(EDATE($D122,Milestones!$AA$197),"dd mmm yy"))&amp;" "&amp;Milestones!$AB$197&amp;" "&amp;Milestones!$AC$197&amp;";  ","")&amp;IF(AND(EDATE($D122,Milestones!$AA$198)&lt;=AsOfDate,IF($R122=0,$X122,IF(AND($T122&lt;&gt;"",EDATE($D122,Milestones!$AA$198)&gt;=$T122),$W122,IF(AND($S122&lt;&gt;"",EDATE($D122,Milestones!$AA$198)&gt;=$S122),$V122,$U122)))=Milestones!$AB$198),UPPER(TEXT(EDATE($D122,Milestones!$AA$198),"dd mmm yy"))&amp;" "&amp;Milestones!$AB$198&amp;" "&amp;Milestones!$AC$198&amp;";  ","")&amp;IF(AND(EDATE($D122,Milestones!$AA$199)&lt;=AsOfDate,IF($R122=0,$X122,IF(AND($T122&lt;&gt;"",EDATE($D122,Milestones!$AA$199)&gt;=$T122),$W122,IF(AND($S122&lt;&gt;"",EDATE($D122,Milestones!$AA$199)&gt;=$S122),$V122,$U122)))=Milestones!$AB$199),UPPER(TEXT(EDATE($D122,Milestones!$AA$199),"dd mmm yy"))&amp;" "&amp;Milestones!$AB$199&amp;" "&amp;Milestones!$AC$199&amp;";  ",""))</f>
        <v/>
      </c>
      <c r="R122" s="0" t="str">
        <f aca="false">IF(Staff!$A122="","",Staff!$AI122)</f>
        <v/>
      </c>
      <c r="S122" s="0" t="str">
        <f aca="false">IF(Staff!$A122="","",Staff!$AK122)</f>
        <v/>
      </c>
      <c r="T122" s="0" t="str">
        <f aca="false">IF(Staff!$A122="","",Staff!$AL122)</f>
        <v/>
      </c>
      <c r="U122" s="0" t="str">
        <f aca="false">IF(Staff!$A122="","",Staff!$AP122)</f>
        <v/>
      </c>
      <c r="V122" s="0" t="str">
        <f aca="false">IF(Staff!$A122="","",Staff!$AQ122)</f>
        <v/>
      </c>
      <c r="W122" s="0" t="str">
        <f aca="false">IF(Staff!$A122="","",Staff!$AR122)</f>
        <v/>
      </c>
      <c r="X122" s="0" t="str">
        <f aca="false">IF(Staff!$A122="","",Staff!$AS122)</f>
        <v/>
      </c>
    </row>
    <row r="123" customFormat="false" ht="15" hidden="false" customHeight="false" outlineLevel="0" collapsed="false">
      <c r="A123" s="19" t="str">
        <f aca="false">IF(Staff!$A123="","",Staff!$A123)</f>
        <v/>
      </c>
      <c r="B123" s="19" t="str">
        <f aca="false">IF(Staff!$A123="","",Staff!$B123)</f>
        <v/>
      </c>
      <c r="C123" s="19" t="str">
        <f aca="false">IF(Staff!$A123="","",Staff!$C123)</f>
        <v/>
      </c>
      <c r="D123" s="17" t="str">
        <f aca="false">IF(Staff!$A123="","",Staff!$AH123)</f>
        <v/>
      </c>
      <c r="E123" s="19" t="str">
        <f aca="false">IF(Staff!$A123="","",Staff!$O123)</f>
        <v/>
      </c>
      <c r="F123" s="19" t="str">
        <f aca="false">IF(E123="","",E123*HoursPerDay)</f>
        <v/>
      </c>
      <c r="G123" s="19" t="str">
        <f aca="false">IF(Staff!$A123="","",Staff!$AE123)</f>
        <v/>
      </c>
      <c r="H123" s="32" t="str">
        <f aca="false">IF($A123="","",I123&amp;J123&amp;K123&amp;L123&amp;M123&amp;N123&amp;O123&amp;P123&amp;Q123)</f>
        <v/>
      </c>
      <c r="I123" s="0" t="str">
        <f aca="false">IF(OR($A123="",$D123=""),"",IF(AND(EDATE($D123,Milestones!$AA$20)&lt;=AsOfDate,IF($R123=0,$X123,IF(AND($T123&lt;&gt;"",EDATE($D123,Milestones!$AA$20)&gt;=$T123),$W123,IF(AND($S123&lt;&gt;"",EDATE($D123,Milestones!$AA$20)&gt;=$S123),$V123,$U123)))=Milestones!$AB$20),UPPER(TEXT(EDATE($D123,Milestones!$AA$20),"dd mmm yy"))&amp;" "&amp;Milestones!$AB$20&amp;" "&amp;Milestones!$AC$20&amp;";  ","")&amp;IF(AND(EDATE($D123,Milestones!$AA$21)&lt;=AsOfDate,IF($R123=0,$X123,IF(AND($T123&lt;&gt;"",EDATE($D123,Milestones!$AA$21)&gt;=$T123),$W123,IF(AND($S123&lt;&gt;"",EDATE($D123,Milestones!$AA$21)&gt;=$S123),$V123,$U123)))=Milestones!$AB$21),UPPER(TEXT(EDATE($D123,Milestones!$AA$21),"dd mmm yy"))&amp;" "&amp;Milestones!$AB$21&amp;" "&amp;Milestones!$AC$21&amp;";  ","")&amp;IF(AND(EDATE($D123,Milestones!$AA$22)&lt;=AsOfDate,IF($R123=0,$X123,IF(AND($T123&lt;&gt;"",EDATE($D123,Milestones!$AA$22)&gt;=$T123),$W123,IF(AND($S123&lt;&gt;"",EDATE($D123,Milestones!$AA$22)&gt;=$S123),$V123,$U123)))=Milestones!$AB$22),UPPER(TEXT(EDATE($D123,Milestones!$AA$22),"dd mmm yy"))&amp;" "&amp;Milestones!$AB$22&amp;" "&amp;Milestones!$AC$22&amp;";  ","")&amp;IF(AND(EDATE($D123,Milestones!$AA$23)&lt;=AsOfDate,IF($R123=0,$X123,IF(AND($T123&lt;&gt;"",EDATE($D123,Milestones!$AA$23)&gt;=$T123),$W123,IF(AND($S123&lt;&gt;"",EDATE($D123,Milestones!$AA$23)&gt;=$S123),$V123,$U123)))=Milestones!$AB$23),UPPER(TEXT(EDATE($D123,Milestones!$AA$23),"dd mmm yy"))&amp;" "&amp;Milestones!$AB$23&amp;" "&amp;Milestones!$AC$23&amp;";  ","")&amp;IF(AND(EDATE($D123,Milestones!$AA$24)&lt;=AsOfDate,IF($R123=0,$X123,IF(AND($T123&lt;&gt;"",EDATE($D123,Milestones!$AA$24)&gt;=$T123),$W123,IF(AND($S123&lt;&gt;"",EDATE($D123,Milestones!$AA$24)&gt;=$S123),$V123,$U123)))=Milestones!$AB$24),UPPER(TEXT(EDATE($D123,Milestones!$AA$24),"dd mmm yy"))&amp;" "&amp;Milestones!$AB$24&amp;" "&amp;Milestones!$AC$24&amp;";  ","")&amp;IF(AND(EDATE($D123,Milestones!$AA$25)&lt;=AsOfDate,IF($R123=0,$X123,IF(AND($T123&lt;&gt;"",EDATE($D123,Milestones!$AA$25)&gt;=$T123),$W123,IF(AND($S123&lt;&gt;"",EDATE($D123,Milestones!$AA$25)&gt;=$S123),$V123,$U123)))=Milestones!$AB$25),UPPER(TEXT(EDATE($D123,Milestones!$AA$25),"dd mmm yy"))&amp;" "&amp;Milestones!$AB$25&amp;" "&amp;Milestones!$AC$25&amp;";  ","")&amp;IF(AND(EDATE($D123,Milestones!$AA$26)&lt;=AsOfDate,IF($R123=0,$X123,IF(AND($T123&lt;&gt;"",EDATE($D123,Milestones!$AA$26)&gt;=$T123),$W123,IF(AND($S123&lt;&gt;"",EDATE($D123,Milestones!$AA$26)&gt;=$S123),$V123,$U123)))=Milestones!$AB$26),UPPER(TEXT(EDATE($D123,Milestones!$AA$26),"dd mmm yy"))&amp;" "&amp;Milestones!$AB$26&amp;" "&amp;Milestones!$AC$26&amp;";  ","")&amp;IF(AND(EDATE($D123,Milestones!$AA$27)&lt;=AsOfDate,IF($R123=0,$X123,IF(AND($T123&lt;&gt;"",EDATE($D123,Milestones!$AA$27)&gt;=$T123),$W123,IF(AND($S123&lt;&gt;"",EDATE($D123,Milestones!$AA$27)&gt;=$S123),$V123,$U123)))=Milestones!$AB$27),UPPER(TEXT(EDATE($D123,Milestones!$AA$27),"dd mmm yy"))&amp;" "&amp;Milestones!$AB$27&amp;" "&amp;Milestones!$AC$27&amp;";  ","")&amp;IF(AND(EDATE($D123,Milestones!$AA$28)&lt;=AsOfDate,IF($R123=0,$X123,IF(AND($T123&lt;&gt;"",EDATE($D123,Milestones!$AA$28)&gt;=$T123),$W123,IF(AND($S123&lt;&gt;"",EDATE($D123,Milestones!$AA$28)&gt;=$S123),$V123,$U123)))=Milestones!$AB$28),UPPER(TEXT(EDATE($D123,Milestones!$AA$28),"dd mmm yy"))&amp;" "&amp;Milestones!$AB$28&amp;" "&amp;Milestones!$AC$28&amp;";  ","")&amp;IF(AND(EDATE($D123,Milestones!$AA$29)&lt;=AsOfDate,IF($R123=0,$X123,IF(AND($T123&lt;&gt;"",EDATE($D123,Milestones!$AA$29)&gt;=$T123),$W123,IF(AND($S123&lt;&gt;"",EDATE($D123,Milestones!$AA$29)&gt;=$S123),$V123,$U123)))=Milestones!$AB$29),UPPER(TEXT(EDATE($D123,Milestones!$AA$29),"dd mmm yy"))&amp;" "&amp;Milestones!$AB$29&amp;" "&amp;Milestones!$AC$29&amp;";  ","")&amp;IF(AND(EDATE($D123,Milestones!$AA$30)&lt;=AsOfDate,IF($R123=0,$X123,IF(AND($T123&lt;&gt;"",EDATE($D123,Milestones!$AA$30)&gt;=$T123),$W123,IF(AND($S123&lt;&gt;"",EDATE($D123,Milestones!$AA$30)&gt;=$S123),$V123,$U123)))=Milestones!$AB$30),UPPER(TEXT(EDATE($D123,Milestones!$AA$30),"dd mmm yy"))&amp;" "&amp;Milestones!$AB$30&amp;" "&amp;Milestones!$AC$30&amp;";  ","")&amp;IF(AND(EDATE($D123,Milestones!$AA$31)&lt;=AsOfDate,IF($R123=0,$X123,IF(AND($T123&lt;&gt;"",EDATE($D123,Milestones!$AA$31)&gt;=$T123),$W123,IF(AND($S123&lt;&gt;"",EDATE($D123,Milestones!$AA$31)&gt;=$S123),$V123,$U123)))=Milestones!$AB$31),UPPER(TEXT(EDATE($D123,Milestones!$AA$31),"dd mmm yy"))&amp;" "&amp;Milestones!$AB$31&amp;" "&amp;Milestones!$AC$31&amp;";  ","")&amp;IF(AND(EDATE($D123,Milestones!$AA$32)&lt;=AsOfDate,IF($R123=0,$X123,IF(AND($T123&lt;&gt;"",EDATE($D123,Milestones!$AA$32)&gt;=$T123),$W123,IF(AND($S123&lt;&gt;"",EDATE($D123,Milestones!$AA$32)&gt;=$S123),$V123,$U123)))=Milestones!$AB$32),UPPER(TEXT(EDATE($D123,Milestones!$AA$32),"dd mmm yy"))&amp;" "&amp;Milestones!$AB$32&amp;" "&amp;Milestones!$AC$32&amp;";  ","")&amp;IF(AND(EDATE($D123,Milestones!$AA$33)&lt;=AsOfDate,IF($R123=0,$X123,IF(AND($T123&lt;&gt;"",EDATE($D123,Milestones!$AA$33)&gt;=$T123),$W123,IF(AND($S123&lt;&gt;"",EDATE($D123,Milestones!$AA$33)&gt;=$S123),$V123,$U123)))=Milestones!$AB$33),UPPER(TEXT(EDATE($D123,Milestones!$AA$33),"dd mmm yy"))&amp;" "&amp;Milestones!$AB$33&amp;" "&amp;Milestones!$AC$33&amp;";  ","")&amp;IF(AND(EDATE($D123,Milestones!$AA$34)&lt;=AsOfDate,IF($R123=0,$X123,IF(AND($T123&lt;&gt;"",EDATE($D123,Milestones!$AA$34)&gt;=$T123),$W123,IF(AND($S123&lt;&gt;"",EDATE($D123,Milestones!$AA$34)&gt;=$S123),$V123,$U123)))=Milestones!$AB$34),UPPER(TEXT(EDATE($D123,Milestones!$AA$34),"dd mmm yy"))&amp;" "&amp;Milestones!$AB$34&amp;" "&amp;Milestones!$AC$34&amp;";  ","")&amp;IF(AND(EDATE($D123,Milestones!$AA$35)&lt;=AsOfDate,IF($R123=0,$X123,IF(AND($T123&lt;&gt;"",EDATE($D123,Milestones!$AA$35)&gt;=$T123),$W123,IF(AND($S123&lt;&gt;"",EDATE($D123,Milestones!$AA$35)&gt;=$S123),$V123,$U123)))=Milestones!$AB$35),UPPER(TEXT(EDATE($D123,Milestones!$AA$35),"dd mmm yy"))&amp;" "&amp;Milestones!$AB$35&amp;" "&amp;Milestones!$AC$35&amp;";  ","")&amp;IF(AND(EDATE($D123,Milestones!$AA$36)&lt;=AsOfDate,IF($R123=0,$X123,IF(AND($T123&lt;&gt;"",EDATE($D123,Milestones!$AA$36)&gt;=$T123),$W123,IF(AND($S123&lt;&gt;"",EDATE($D123,Milestones!$AA$36)&gt;=$S123),$V123,$U123)))=Milestones!$AB$36),UPPER(TEXT(EDATE($D123,Milestones!$AA$36),"dd mmm yy"))&amp;" "&amp;Milestones!$AB$36&amp;" "&amp;Milestones!$AC$36&amp;";  ","")&amp;IF(AND(EDATE($D123,Milestones!$AA$37)&lt;=AsOfDate,IF($R123=0,$X123,IF(AND($T123&lt;&gt;"",EDATE($D123,Milestones!$AA$37)&gt;=$T123),$W123,IF(AND($S123&lt;&gt;"",EDATE($D123,Milestones!$AA$37)&gt;=$S123),$V123,$U123)))=Milestones!$AB$37),UPPER(TEXT(EDATE($D123,Milestones!$AA$37),"dd mmm yy"))&amp;" "&amp;Milestones!$AB$37&amp;" "&amp;Milestones!$AC$37&amp;";  ","")&amp;IF(AND(EDATE($D123,Milestones!$AA$38)&lt;=AsOfDate,IF($R123=0,$X123,IF(AND($T123&lt;&gt;"",EDATE($D123,Milestones!$AA$38)&gt;=$T123),$W123,IF(AND($S123&lt;&gt;"",EDATE($D123,Milestones!$AA$38)&gt;=$S123),$V123,$U123)))=Milestones!$AB$38),UPPER(TEXT(EDATE($D123,Milestones!$AA$38),"dd mmm yy"))&amp;" "&amp;Milestones!$AB$38&amp;" "&amp;Milestones!$AC$38&amp;";  ","")&amp;IF(AND(EDATE($D123,Milestones!$AA$39)&lt;=AsOfDate,IF($R123=0,$X123,IF(AND($T123&lt;&gt;"",EDATE($D123,Milestones!$AA$39)&gt;=$T123),$W123,IF(AND($S123&lt;&gt;"",EDATE($D123,Milestones!$AA$39)&gt;=$S123),$V123,$U123)))=Milestones!$AB$39),UPPER(TEXT(EDATE($D123,Milestones!$AA$39),"dd mmm yy"))&amp;" "&amp;Milestones!$AB$39&amp;" "&amp;Milestones!$AC$39&amp;";  ",""))</f>
        <v/>
      </c>
      <c r="J123" s="0" t="str">
        <f aca="false">IF(OR($A123="",$D123=""),"",IF(AND(EDATE($D123,Milestones!$AA$40)&lt;=AsOfDate,IF($R123=0,$X123,IF(AND($T123&lt;&gt;"",EDATE($D123,Milestones!$AA$40)&gt;=$T123),$W123,IF(AND($S123&lt;&gt;"",EDATE($D123,Milestones!$AA$40)&gt;=$S123),$V123,$U123)))=Milestones!$AB$40),UPPER(TEXT(EDATE($D123,Milestones!$AA$40),"dd mmm yy"))&amp;" "&amp;Milestones!$AB$40&amp;" "&amp;Milestones!$AC$40&amp;";  ","")&amp;IF(AND(EDATE($D123,Milestones!$AA$41)&lt;=AsOfDate,IF($R123=0,$X123,IF(AND($T123&lt;&gt;"",EDATE($D123,Milestones!$AA$41)&gt;=$T123),$W123,IF(AND($S123&lt;&gt;"",EDATE($D123,Milestones!$AA$41)&gt;=$S123),$V123,$U123)))=Milestones!$AB$41),UPPER(TEXT(EDATE($D123,Milestones!$AA$41),"dd mmm yy"))&amp;" "&amp;Milestones!$AB$41&amp;" "&amp;Milestones!$AC$41&amp;";  ","")&amp;IF(AND(EDATE($D123,Milestones!$AA$42)&lt;=AsOfDate,IF($R123=0,$X123,IF(AND($T123&lt;&gt;"",EDATE($D123,Milestones!$AA$42)&gt;=$T123),$W123,IF(AND($S123&lt;&gt;"",EDATE($D123,Milestones!$AA$42)&gt;=$S123),$V123,$U123)))=Milestones!$AB$42),UPPER(TEXT(EDATE($D123,Milestones!$AA$42),"dd mmm yy"))&amp;" "&amp;Milestones!$AB$42&amp;" "&amp;Milestones!$AC$42&amp;";  ","")&amp;IF(AND(EDATE($D123,Milestones!$AA$43)&lt;=AsOfDate,IF($R123=0,$X123,IF(AND($T123&lt;&gt;"",EDATE($D123,Milestones!$AA$43)&gt;=$T123),$W123,IF(AND($S123&lt;&gt;"",EDATE($D123,Milestones!$AA$43)&gt;=$S123),$V123,$U123)))=Milestones!$AB$43),UPPER(TEXT(EDATE($D123,Milestones!$AA$43),"dd mmm yy"))&amp;" "&amp;Milestones!$AB$43&amp;" "&amp;Milestones!$AC$43&amp;";  ","")&amp;IF(AND(EDATE($D123,Milestones!$AA$44)&lt;=AsOfDate,IF($R123=0,$X123,IF(AND($T123&lt;&gt;"",EDATE($D123,Milestones!$AA$44)&gt;=$T123),$W123,IF(AND($S123&lt;&gt;"",EDATE($D123,Milestones!$AA$44)&gt;=$S123),$V123,$U123)))=Milestones!$AB$44),UPPER(TEXT(EDATE($D123,Milestones!$AA$44),"dd mmm yy"))&amp;" "&amp;Milestones!$AB$44&amp;" "&amp;Milestones!$AC$44&amp;";  ","")&amp;IF(AND(EDATE($D123,Milestones!$AA$45)&lt;=AsOfDate,IF($R123=0,$X123,IF(AND($T123&lt;&gt;"",EDATE($D123,Milestones!$AA$45)&gt;=$T123),$W123,IF(AND($S123&lt;&gt;"",EDATE($D123,Milestones!$AA$45)&gt;=$S123),$V123,$U123)))=Milestones!$AB$45),UPPER(TEXT(EDATE($D123,Milestones!$AA$45),"dd mmm yy"))&amp;" "&amp;Milestones!$AB$45&amp;" "&amp;Milestones!$AC$45&amp;";  ","")&amp;IF(AND(EDATE($D123,Milestones!$AA$46)&lt;=AsOfDate,IF($R123=0,$X123,IF(AND($T123&lt;&gt;"",EDATE($D123,Milestones!$AA$46)&gt;=$T123),$W123,IF(AND($S123&lt;&gt;"",EDATE($D123,Milestones!$AA$46)&gt;=$S123),$V123,$U123)))=Milestones!$AB$46),UPPER(TEXT(EDATE($D123,Milestones!$AA$46),"dd mmm yy"))&amp;" "&amp;Milestones!$AB$46&amp;" "&amp;Milestones!$AC$46&amp;";  ","")&amp;IF(AND(EDATE($D123,Milestones!$AA$47)&lt;=AsOfDate,IF($R123=0,$X123,IF(AND($T123&lt;&gt;"",EDATE($D123,Milestones!$AA$47)&gt;=$T123),$W123,IF(AND($S123&lt;&gt;"",EDATE($D123,Milestones!$AA$47)&gt;=$S123),$V123,$U123)))=Milestones!$AB$47),UPPER(TEXT(EDATE($D123,Milestones!$AA$47),"dd mmm yy"))&amp;" "&amp;Milestones!$AB$47&amp;" "&amp;Milestones!$AC$47&amp;";  ","")&amp;IF(AND(EDATE($D123,Milestones!$AA$48)&lt;=AsOfDate,IF($R123=0,$X123,IF(AND($T123&lt;&gt;"",EDATE($D123,Milestones!$AA$48)&gt;=$T123),$W123,IF(AND($S123&lt;&gt;"",EDATE($D123,Milestones!$AA$48)&gt;=$S123),$V123,$U123)))=Milestones!$AB$48),UPPER(TEXT(EDATE($D123,Milestones!$AA$48),"dd mmm yy"))&amp;" "&amp;Milestones!$AB$48&amp;" "&amp;Milestones!$AC$48&amp;";  ","")&amp;IF(AND(EDATE($D123,Milestones!$AA$49)&lt;=AsOfDate,IF($R123=0,$X123,IF(AND($T123&lt;&gt;"",EDATE($D123,Milestones!$AA$49)&gt;=$T123),$W123,IF(AND($S123&lt;&gt;"",EDATE($D123,Milestones!$AA$49)&gt;=$S123),$V123,$U123)))=Milestones!$AB$49),UPPER(TEXT(EDATE($D123,Milestones!$AA$49),"dd mmm yy"))&amp;" "&amp;Milestones!$AB$49&amp;" "&amp;Milestones!$AC$49&amp;";  ","")&amp;IF(AND(EDATE($D123,Milestones!$AA$50)&lt;=AsOfDate,IF($R123=0,$X123,IF(AND($T123&lt;&gt;"",EDATE($D123,Milestones!$AA$50)&gt;=$T123),$W123,IF(AND($S123&lt;&gt;"",EDATE($D123,Milestones!$AA$50)&gt;=$S123),$V123,$U123)))=Milestones!$AB$50),UPPER(TEXT(EDATE($D123,Milestones!$AA$50),"dd mmm yy"))&amp;" "&amp;Milestones!$AB$50&amp;" "&amp;Milestones!$AC$50&amp;";  ","")&amp;IF(AND(EDATE($D123,Milestones!$AA$51)&lt;=AsOfDate,IF($R123=0,$X123,IF(AND($T123&lt;&gt;"",EDATE($D123,Milestones!$AA$51)&gt;=$T123),$W123,IF(AND($S123&lt;&gt;"",EDATE($D123,Milestones!$AA$51)&gt;=$S123),$V123,$U123)))=Milestones!$AB$51),UPPER(TEXT(EDATE($D123,Milestones!$AA$51),"dd mmm yy"))&amp;" "&amp;Milestones!$AB$51&amp;" "&amp;Milestones!$AC$51&amp;";  ","")&amp;IF(AND(EDATE($D123,Milestones!$AA$52)&lt;=AsOfDate,IF($R123=0,$X123,IF(AND($T123&lt;&gt;"",EDATE($D123,Milestones!$AA$52)&gt;=$T123),$W123,IF(AND($S123&lt;&gt;"",EDATE($D123,Milestones!$AA$52)&gt;=$S123),$V123,$U123)))=Milestones!$AB$52),UPPER(TEXT(EDATE($D123,Milestones!$AA$52),"dd mmm yy"))&amp;" "&amp;Milestones!$AB$52&amp;" "&amp;Milestones!$AC$52&amp;";  ","")&amp;IF(AND(EDATE($D123,Milestones!$AA$53)&lt;=AsOfDate,IF($R123=0,$X123,IF(AND($T123&lt;&gt;"",EDATE($D123,Milestones!$AA$53)&gt;=$T123),$W123,IF(AND($S123&lt;&gt;"",EDATE($D123,Milestones!$AA$53)&gt;=$S123),$V123,$U123)))=Milestones!$AB$53),UPPER(TEXT(EDATE($D123,Milestones!$AA$53),"dd mmm yy"))&amp;" "&amp;Milestones!$AB$53&amp;" "&amp;Milestones!$AC$53&amp;";  ","")&amp;IF(AND(EDATE($D123,Milestones!$AA$54)&lt;=AsOfDate,IF($R123=0,$X123,IF(AND($T123&lt;&gt;"",EDATE($D123,Milestones!$AA$54)&gt;=$T123),$W123,IF(AND($S123&lt;&gt;"",EDATE($D123,Milestones!$AA$54)&gt;=$S123),$V123,$U123)))=Milestones!$AB$54),UPPER(TEXT(EDATE($D123,Milestones!$AA$54),"dd mmm yy"))&amp;" "&amp;Milestones!$AB$54&amp;" "&amp;Milestones!$AC$54&amp;";  ","")&amp;IF(AND(EDATE($D123,Milestones!$AA$55)&lt;=AsOfDate,IF($R123=0,$X123,IF(AND($T123&lt;&gt;"",EDATE($D123,Milestones!$AA$55)&gt;=$T123),$W123,IF(AND($S123&lt;&gt;"",EDATE($D123,Milestones!$AA$55)&gt;=$S123),$V123,$U123)))=Milestones!$AB$55),UPPER(TEXT(EDATE($D123,Milestones!$AA$55),"dd mmm yy"))&amp;" "&amp;Milestones!$AB$55&amp;" "&amp;Milestones!$AC$55&amp;";  ","")&amp;IF(AND(EDATE($D123,Milestones!$AA$56)&lt;=AsOfDate,IF($R123=0,$X123,IF(AND($T123&lt;&gt;"",EDATE($D123,Milestones!$AA$56)&gt;=$T123),$W123,IF(AND($S123&lt;&gt;"",EDATE($D123,Milestones!$AA$56)&gt;=$S123),$V123,$U123)))=Milestones!$AB$56),UPPER(TEXT(EDATE($D123,Milestones!$AA$56),"dd mmm yy"))&amp;" "&amp;Milestones!$AB$56&amp;" "&amp;Milestones!$AC$56&amp;";  ","")&amp;IF(AND(EDATE($D123,Milestones!$AA$57)&lt;=AsOfDate,IF($R123=0,$X123,IF(AND($T123&lt;&gt;"",EDATE($D123,Milestones!$AA$57)&gt;=$T123),$W123,IF(AND($S123&lt;&gt;"",EDATE($D123,Milestones!$AA$57)&gt;=$S123),$V123,$U123)))=Milestones!$AB$57),UPPER(TEXT(EDATE($D123,Milestones!$AA$57),"dd mmm yy"))&amp;" "&amp;Milestones!$AB$57&amp;" "&amp;Milestones!$AC$57&amp;";  ","")&amp;IF(AND(EDATE($D123,Milestones!$AA$58)&lt;=AsOfDate,IF($R123=0,$X123,IF(AND($T123&lt;&gt;"",EDATE($D123,Milestones!$AA$58)&gt;=$T123),$W123,IF(AND($S123&lt;&gt;"",EDATE($D123,Milestones!$AA$58)&gt;=$S123),$V123,$U123)))=Milestones!$AB$58),UPPER(TEXT(EDATE($D123,Milestones!$AA$58),"dd mmm yy"))&amp;" "&amp;Milestones!$AB$58&amp;" "&amp;Milestones!$AC$58&amp;";  ","")&amp;IF(AND(EDATE($D123,Milestones!$AA$59)&lt;=AsOfDate,IF($R123=0,$X123,IF(AND($T123&lt;&gt;"",EDATE($D123,Milestones!$AA$59)&gt;=$T123),$W123,IF(AND($S123&lt;&gt;"",EDATE($D123,Milestones!$AA$59)&gt;=$S123),$V123,$U123)))=Milestones!$AB$59),UPPER(TEXT(EDATE($D123,Milestones!$AA$59),"dd mmm yy"))&amp;" "&amp;Milestones!$AB$59&amp;" "&amp;Milestones!$AC$59&amp;";  ",""))</f>
        <v/>
      </c>
      <c r="K123" s="0" t="str">
        <f aca="false">IF(OR($A123="",$D123=""),"",IF(AND(EDATE($D123,Milestones!$AA$60)&lt;=AsOfDate,IF($R123=0,$X123,IF(AND($T123&lt;&gt;"",EDATE($D123,Milestones!$AA$60)&gt;=$T123),$W123,IF(AND($S123&lt;&gt;"",EDATE($D123,Milestones!$AA$60)&gt;=$S123),$V123,$U123)))=Milestones!$AB$60),UPPER(TEXT(EDATE($D123,Milestones!$AA$60),"dd mmm yy"))&amp;" "&amp;Milestones!$AB$60&amp;" "&amp;Milestones!$AC$60&amp;";  ","")&amp;IF(AND(EDATE($D123,Milestones!$AA$61)&lt;=AsOfDate,IF($R123=0,$X123,IF(AND($T123&lt;&gt;"",EDATE($D123,Milestones!$AA$61)&gt;=$T123),$W123,IF(AND($S123&lt;&gt;"",EDATE($D123,Milestones!$AA$61)&gt;=$S123),$V123,$U123)))=Milestones!$AB$61),UPPER(TEXT(EDATE($D123,Milestones!$AA$61),"dd mmm yy"))&amp;" "&amp;Milestones!$AB$61&amp;" "&amp;Milestones!$AC$61&amp;";  ","")&amp;IF(AND(EDATE($D123,Milestones!$AA$62)&lt;=AsOfDate,IF($R123=0,$X123,IF(AND($T123&lt;&gt;"",EDATE($D123,Milestones!$AA$62)&gt;=$T123),$W123,IF(AND($S123&lt;&gt;"",EDATE($D123,Milestones!$AA$62)&gt;=$S123),$V123,$U123)))=Milestones!$AB$62),UPPER(TEXT(EDATE($D123,Milestones!$AA$62),"dd mmm yy"))&amp;" "&amp;Milestones!$AB$62&amp;" "&amp;Milestones!$AC$62&amp;";  ","")&amp;IF(AND(EDATE($D123,Milestones!$AA$63)&lt;=AsOfDate,IF($R123=0,$X123,IF(AND($T123&lt;&gt;"",EDATE($D123,Milestones!$AA$63)&gt;=$T123),$W123,IF(AND($S123&lt;&gt;"",EDATE($D123,Milestones!$AA$63)&gt;=$S123),$V123,$U123)))=Milestones!$AB$63),UPPER(TEXT(EDATE($D123,Milestones!$AA$63),"dd mmm yy"))&amp;" "&amp;Milestones!$AB$63&amp;" "&amp;Milestones!$AC$63&amp;";  ","")&amp;IF(AND(EDATE($D123,Milestones!$AA$64)&lt;=AsOfDate,IF($R123=0,$X123,IF(AND($T123&lt;&gt;"",EDATE($D123,Milestones!$AA$64)&gt;=$T123),$W123,IF(AND($S123&lt;&gt;"",EDATE($D123,Milestones!$AA$64)&gt;=$S123),$V123,$U123)))=Milestones!$AB$64),UPPER(TEXT(EDATE($D123,Milestones!$AA$64),"dd mmm yy"))&amp;" "&amp;Milestones!$AB$64&amp;" "&amp;Milestones!$AC$64&amp;";  ","")&amp;IF(AND(EDATE($D123,Milestones!$AA$65)&lt;=AsOfDate,IF($R123=0,$X123,IF(AND($T123&lt;&gt;"",EDATE($D123,Milestones!$AA$65)&gt;=$T123),$W123,IF(AND($S123&lt;&gt;"",EDATE($D123,Milestones!$AA$65)&gt;=$S123),$V123,$U123)))=Milestones!$AB$65),UPPER(TEXT(EDATE($D123,Milestones!$AA$65),"dd mmm yy"))&amp;" "&amp;Milestones!$AB$65&amp;" "&amp;Milestones!$AC$65&amp;";  ","")&amp;IF(AND(EDATE($D123,Milestones!$AA$66)&lt;=AsOfDate,IF($R123=0,$X123,IF(AND($T123&lt;&gt;"",EDATE($D123,Milestones!$AA$66)&gt;=$T123),$W123,IF(AND($S123&lt;&gt;"",EDATE($D123,Milestones!$AA$66)&gt;=$S123),$V123,$U123)))=Milestones!$AB$66),UPPER(TEXT(EDATE($D123,Milestones!$AA$66),"dd mmm yy"))&amp;" "&amp;Milestones!$AB$66&amp;" "&amp;Milestones!$AC$66&amp;";  ","")&amp;IF(AND(EDATE($D123,Milestones!$AA$67)&lt;=AsOfDate,IF($R123=0,$X123,IF(AND($T123&lt;&gt;"",EDATE($D123,Milestones!$AA$67)&gt;=$T123),$W123,IF(AND($S123&lt;&gt;"",EDATE($D123,Milestones!$AA$67)&gt;=$S123),$V123,$U123)))=Milestones!$AB$67),UPPER(TEXT(EDATE($D123,Milestones!$AA$67),"dd mmm yy"))&amp;" "&amp;Milestones!$AB$67&amp;" "&amp;Milestones!$AC$67&amp;";  ","")&amp;IF(AND(EDATE($D123,Milestones!$AA$68)&lt;=AsOfDate,IF($R123=0,$X123,IF(AND($T123&lt;&gt;"",EDATE($D123,Milestones!$AA$68)&gt;=$T123),$W123,IF(AND($S123&lt;&gt;"",EDATE($D123,Milestones!$AA$68)&gt;=$S123),$V123,$U123)))=Milestones!$AB$68),UPPER(TEXT(EDATE($D123,Milestones!$AA$68),"dd mmm yy"))&amp;" "&amp;Milestones!$AB$68&amp;" "&amp;Milestones!$AC$68&amp;";  ","")&amp;IF(AND(EDATE($D123,Milestones!$AA$69)&lt;=AsOfDate,IF($R123=0,$X123,IF(AND($T123&lt;&gt;"",EDATE($D123,Milestones!$AA$69)&gt;=$T123),$W123,IF(AND($S123&lt;&gt;"",EDATE($D123,Milestones!$AA$69)&gt;=$S123),$V123,$U123)))=Milestones!$AB$69),UPPER(TEXT(EDATE($D123,Milestones!$AA$69),"dd mmm yy"))&amp;" "&amp;Milestones!$AB$69&amp;" "&amp;Milestones!$AC$69&amp;";  ","")&amp;IF(AND(EDATE($D123,Milestones!$AA$70)&lt;=AsOfDate,IF($R123=0,$X123,IF(AND($T123&lt;&gt;"",EDATE($D123,Milestones!$AA$70)&gt;=$T123),$W123,IF(AND($S123&lt;&gt;"",EDATE($D123,Milestones!$AA$70)&gt;=$S123),$V123,$U123)))=Milestones!$AB$70),UPPER(TEXT(EDATE($D123,Milestones!$AA$70),"dd mmm yy"))&amp;" "&amp;Milestones!$AB$70&amp;" "&amp;Milestones!$AC$70&amp;";  ","")&amp;IF(AND(EDATE($D123,Milestones!$AA$71)&lt;=AsOfDate,IF($R123=0,$X123,IF(AND($T123&lt;&gt;"",EDATE($D123,Milestones!$AA$71)&gt;=$T123),$W123,IF(AND($S123&lt;&gt;"",EDATE($D123,Milestones!$AA$71)&gt;=$S123),$V123,$U123)))=Milestones!$AB$71),UPPER(TEXT(EDATE($D123,Milestones!$AA$71),"dd mmm yy"))&amp;" "&amp;Milestones!$AB$71&amp;" "&amp;Milestones!$AC$71&amp;";  ","")&amp;IF(AND(EDATE($D123,Milestones!$AA$72)&lt;=AsOfDate,IF($R123=0,$X123,IF(AND($T123&lt;&gt;"",EDATE($D123,Milestones!$AA$72)&gt;=$T123),$W123,IF(AND($S123&lt;&gt;"",EDATE($D123,Milestones!$AA$72)&gt;=$S123),$V123,$U123)))=Milestones!$AB$72),UPPER(TEXT(EDATE($D123,Milestones!$AA$72),"dd mmm yy"))&amp;" "&amp;Milestones!$AB$72&amp;" "&amp;Milestones!$AC$72&amp;";  ","")&amp;IF(AND(EDATE($D123,Milestones!$AA$73)&lt;=AsOfDate,IF($R123=0,$X123,IF(AND($T123&lt;&gt;"",EDATE($D123,Milestones!$AA$73)&gt;=$T123),$W123,IF(AND($S123&lt;&gt;"",EDATE($D123,Milestones!$AA$73)&gt;=$S123),$V123,$U123)))=Milestones!$AB$73),UPPER(TEXT(EDATE($D123,Milestones!$AA$73),"dd mmm yy"))&amp;" "&amp;Milestones!$AB$73&amp;" "&amp;Milestones!$AC$73&amp;";  ","")&amp;IF(AND(EDATE($D123,Milestones!$AA$74)&lt;=AsOfDate,IF($R123=0,$X123,IF(AND($T123&lt;&gt;"",EDATE($D123,Milestones!$AA$74)&gt;=$T123),$W123,IF(AND($S123&lt;&gt;"",EDATE($D123,Milestones!$AA$74)&gt;=$S123),$V123,$U123)))=Milestones!$AB$74),UPPER(TEXT(EDATE($D123,Milestones!$AA$74),"dd mmm yy"))&amp;" "&amp;Milestones!$AB$74&amp;" "&amp;Milestones!$AC$74&amp;";  ","")&amp;IF(AND(EDATE($D123,Milestones!$AA$75)&lt;=AsOfDate,IF($R123=0,$X123,IF(AND($T123&lt;&gt;"",EDATE($D123,Milestones!$AA$75)&gt;=$T123),$W123,IF(AND($S123&lt;&gt;"",EDATE($D123,Milestones!$AA$75)&gt;=$S123),$V123,$U123)))=Milestones!$AB$75),UPPER(TEXT(EDATE($D123,Milestones!$AA$75),"dd mmm yy"))&amp;" "&amp;Milestones!$AB$75&amp;" "&amp;Milestones!$AC$75&amp;";  ","")&amp;IF(AND(EDATE($D123,Milestones!$AA$76)&lt;=AsOfDate,IF($R123=0,$X123,IF(AND($T123&lt;&gt;"",EDATE($D123,Milestones!$AA$76)&gt;=$T123),$W123,IF(AND($S123&lt;&gt;"",EDATE($D123,Milestones!$AA$76)&gt;=$S123),$V123,$U123)))=Milestones!$AB$76),UPPER(TEXT(EDATE($D123,Milestones!$AA$76),"dd mmm yy"))&amp;" "&amp;Milestones!$AB$76&amp;" "&amp;Milestones!$AC$76&amp;";  ","")&amp;IF(AND(EDATE($D123,Milestones!$AA$77)&lt;=AsOfDate,IF($R123=0,$X123,IF(AND($T123&lt;&gt;"",EDATE($D123,Milestones!$AA$77)&gt;=$T123),$W123,IF(AND($S123&lt;&gt;"",EDATE($D123,Milestones!$AA$77)&gt;=$S123),$V123,$U123)))=Milestones!$AB$77),UPPER(TEXT(EDATE($D123,Milestones!$AA$77),"dd mmm yy"))&amp;" "&amp;Milestones!$AB$77&amp;" "&amp;Milestones!$AC$77&amp;";  ","")&amp;IF(AND(EDATE($D123,Milestones!$AA$78)&lt;=AsOfDate,IF($R123=0,$X123,IF(AND($T123&lt;&gt;"",EDATE($D123,Milestones!$AA$78)&gt;=$T123),$W123,IF(AND($S123&lt;&gt;"",EDATE($D123,Milestones!$AA$78)&gt;=$S123),$V123,$U123)))=Milestones!$AB$78),UPPER(TEXT(EDATE($D123,Milestones!$AA$78),"dd mmm yy"))&amp;" "&amp;Milestones!$AB$78&amp;" "&amp;Milestones!$AC$78&amp;";  ","")&amp;IF(AND(EDATE($D123,Milestones!$AA$79)&lt;=AsOfDate,IF($R123=0,$X123,IF(AND($T123&lt;&gt;"",EDATE($D123,Milestones!$AA$79)&gt;=$T123),$W123,IF(AND($S123&lt;&gt;"",EDATE($D123,Milestones!$AA$79)&gt;=$S123),$V123,$U123)))=Milestones!$AB$79),UPPER(TEXT(EDATE($D123,Milestones!$AA$79),"dd mmm yy"))&amp;" "&amp;Milestones!$AB$79&amp;" "&amp;Milestones!$AC$79&amp;";  ",""))</f>
        <v/>
      </c>
      <c r="L123" s="0" t="str">
        <f aca="false">IF(OR($A123="",$D123=""),"",IF(AND(EDATE($D123,Milestones!$AA$80)&lt;=AsOfDate,IF($R123=0,$X123,IF(AND($T123&lt;&gt;"",EDATE($D123,Milestones!$AA$80)&gt;=$T123),$W123,IF(AND($S123&lt;&gt;"",EDATE($D123,Milestones!$AA$80)&gt;=$S123),$V123,$U123)))=Milestones!$AB$80),UPPER(TEXT(EDATE($D123,Milestones!$AA$80),"dd mmm yy"))&amp;" "&amp;Milestones!$AB$80&amp;" "&amp;Milestones!$AC$80&amp;";  ","")&amp;IF(AND(EDATE($D123,Milestones!$AA$81)&lt;=AsOfDate,IF($R123=0,$X123,IF(AND($T123&lt;&gt;"",EDATE($D123,Milestones!$AA$81)&gt;=$T123),$W123,IF(AND($S123&lt;&gt;"",EDATE($D123,Milestones!$AA$81)&gt;=$S123),$V123,$U123)))=Milestones!$AB$81),UPPER(TEXT(EDATE($D123,Milestones!$AA$81),"dd mmm yy"))&amp;" "&amp;Milestones!$AB$81&amp;" "&amp;Milestones!$AC$81&amp;";  ","")&amp;IF(AND(EDATE($D123,Milestones!$AA$82)&lt;=AsOfDate,IF($R123=0,$X123,IF(AND($T123&lt;&gt;"",EDATE($D123,Milestones!$AA$82)&gt;=$T123),$W123,IF(AND($S123&lt;&gt;"",EDATE($D123,Milestones!$AA$82)&gt;=$S123),$V123,$U123)))=Milestones!$AB$82),UPPER(TEXT(EDATE($D123,Milestones!$AA$82),"dd mmm yy"))&amp;" "&amp;Milestones!$AB$82&amp;" "&amp;Milestones!$AC$82&amp;";  ","")&amp;IF(AND(EDATE($D123,Milestones!$AA$83)&lt;=AsOfDate,IF($R123=0,$X123,IF(AND($T123&lt;&gt;"",EDATE($D123,Milestones!$AA$83)&gt;=$T123),$W123,IF(AND($S123&lt;&gt;"",EDATE($D123,Milestones!$AA$83)&gt;=$S123),$V123,$U123)))=Milestones!$AB$83),UPPER(TEXT(EDATE($D123,Milestones!$AA$83),"dd mmm yy"))&amp;" "&amp;Milestones!$AB$83&amp;" "&amp;Milestones!$AC$83&amp;";  ","")&amp;IF(AND(EDATE($D123,Milestones!$AA$84)&lt;=AsOfDate,IF($R123=0,$X123,IF(AND($T123&lt;&gt;"",EDATE($D123,Milestones!$AA$84)&gt;=$T123),$W123,IF(AND($S123&lt;&gt;"",EDATE($D123,Milestones!$AA$84)&gt;=$S123),$V123,$U123)))=Milestones!$AB$84),UPPER(TEXT(EDATE($D123,Milestones!$AA$84),"dd mmm yy"))&amp;" "&amp;Milestones!$AB$84&amp;" "&amp;Milestones!$AC$84&amp;";  ","")&amp;IF(AND(EDATE($D123,Milestones!$AA$85)&lt;=AsOfDate,IF($R123=0,$X123,IF(AND($T123&lt;&gt;"",EDATE($D123,Milestones!$AA$85)&gt;=$T123),$W123,IF(AND($S123&lt;&gt;"",EDATE($D123,Milestones!$AA$85)&gt;=$S123),$V123,$U123)))=Milestones!$AB$85),UPPER(TEXT(EDATE($D123,Milestones!$AA$85),"dd mmm yy"))&amp;" "&amp;Milestones!$AB$85&amp;" "&amp;Milestones!$AC$85&amp;";  ","")&amp;IF(AND(EDATE($D123,Milestones!$AA$86)&lt;=AsOfDate,IF($R123=0,$X123,IF(AND($T123&lt;&gt;"",EDATE($D123,Milestones!$AA$86)&gt;=$T123),$W123,IF(AND($S123&lt;&gt;"",EDATE($D123,Milestones!$AA$86)&gt;=$S123),$V123,$U123)))=Milestones!$AB$86),UPPER(TEXT(EDATE($D123,Milestones!$AA$86),"dd mmm yy"))&amp;" "&amp;Milestones!$AB$86&amp;" "&amp;Milestones!$AC$86&amp;";  ","")&amp;IF(AND(EDATE($D123,Milestones!$AA$87)&lt;=AsOfDate,IF($R123=0,$X123,IF(AND($T123&lt;&gt;"",EDATE($D123,Milestones!$AA$87)&gt;=$T123),$W123,IF(AND($S123&lt;&gt;"",EDATE($D123,Milestones!$AA$87)&gt;=$S123),$V123,$U123)))=Milestones!$AB$87),UPPER(TEXT(EDATE($D123,Milestones!$AA$87),"dd mmm yy"))&amp;" "&amp;Milestones!$AB$87&amp;" "&amp;Milestones!$AC$87&amp;";  ","")&amp;IF(AND(EDATE($D123,Milestones!$AA$88)&lt;=AsOfDate,IF($R123=0,$X123,IF(AND($T123&lt;&gt;"",EDATE($D123,Milestones!$AA$88)&gt;=$T123),$W123,IF(AND($S123&lt;&gt;"",EDATE($D123,Milestones!$AA$88)&gt;=$S123),$V123,$U123)))=Milestones!$AB$88),UPPER(TEXT(EDATE($D123,Milestones!$AA$88),"dd mmm yy"))&amp;" "&amp;Milestones!$AB$88&amp;" "&amp;Milestones!$AC$88&amp;";  ","")&amp;IF(AND(EDATE($D123,Milestones!$AA$89)&lt;=AsOfDate,IF($R123=0,$X123,IF(AND($T123&lt;&gt;"",EDATE($D123,Milestones!$AA$89)&gt;=$T123),$W123,IF(AND($S123&lt;&gt;"",EDATE($D123,Milestones!$AA$89)&gt;=$S123),$V123,$U123)))=Milestones!$AB$89),UPPER(TEXT(EDATE($D123,Milestones!$AA$89),"dd mmm yy"))&amp;" "&amp;Milestones!$AB$89&amp;" "&amp;Milestones!$AC$89&amp;";  ","")&amp;IF(AND(EDATE($D123,Milestones!$AA$90)&lt;=AsOfDate,IF($R123=0,$X123,IF(AND($T123&lt;&gt;"",EDATE($D123,Milestones!$AA$90)&gt;=$T123),$W123,IF(AND($S123&lt;&gt;"",EDATE($D123,Milestones!$AA$90)&gt;=$S123),$V123,$U123)))=Milestones!$AB$90),UPPER(TEXT(EDATE($D123,Milestones!$AA$90),"dd mmm yy"))&amp;" "&amp;Milestones!$AB$90&amp;" "&amp;Milestones!$AC$90&amp;";  ","")&amp;IF(AND(EDATE($D123,Milestones!$AA$91)&lt;=AsOfDate,IF($R123=0,$X123,IF(AND($T123&lt;&gt;"",EDATE($D123,Milestones!$AA$91)&gt;=$T123),$W123,IF(AND($S123&lt;&gt;"",EDATE($D123,Milestones!$AA$91)&gt;=$S123),$V123,$U123)))=Milestones!$AB$91),UPPER(TEXT(EDATE($D123,Milestones!$AA$91),"dd mmm yy"))&amp;" "&amp;Milestones!$AB$91&amp;" "&amp;Milestones!$AC$91&amp;";  ","")&amp;IF(AND(EDATE($D123,Milestones!$AA$92)&lt;=AsOfDate,IF($R123=0,$X123,IF(AND($T123&lt;&gt;"",EDATE($D123,Milestones!$AA$92)&gt;=$T123),$W123,IF(AND($S123&lt;&gt;"",EDATE($D123,Milestones!$AA$92)&gt;=$S123),$V123,$U123)))=Milestones!$AB$92),UPPER(TEXT(EDATE($D123,Milestones!$AA$92),"dd mmm yy"))&amp;" "&amp;Milestones!$AB$92&amp;" "&amp;Milestones!$AC$92&amp;";  ","")&amp;IF(AND(EDATE($D123,Milestones!$AA$93)&lt;=AsOfDate,IF($R123=0,$X123,IF(AND($T123&lt;&gt;"",EDATE($D123,Milestones!$AA$93)&gt;=$T123),$W123,IF(AND($S123&lt;&gt;"",EDATE($D123,Milestones!$AA$93)&gt;=$S123),$V123,$U123)))=Milestones!$AB$93),UPPER(TEXT(EDATE($D123,Milestones!$AA$93),"dd mmm yy"))&amp;" "&amp;Milestones!$AB$93&amp;" "&amp;Milestones!$AC$93&amp;";  ","")&amp;IF(AND(EDATE($D123,Milestones!$AA$94)&lt;=AsOfDate,IF($R123=0,$X123,IF(AND($T123&lt;&gt;"",EDATE($D123,Milestones!$AA$94)&gt;=$T123),$W123,IF(AND($S123&lt;&gt;"",EDATE($D123,Milestones!$AA$94)&gt;=$S123),$V123,$U123)))=Milestones!$AB$94),UPPER(TEXT(EDATE($D123,Milestones!$AA$94),"dd mmm yy"))&amp;" "&amp;Milestones!$AB$94&amp;" "&amp;Milestones!$AC$94&amp;";  ","")&amp;IF(AND(EDATE($D123,Milestones!$AA$95)&lt;=AsOfDate,IF($R123=0,$X123,IF(AND($T123&lt;&gt;"",EDATE($D123,Milestones!$AA$95)&gt;=$T123),$W123,IF(AND($S123&lt;&gt;"",EDATE($D123,Milestones!$AA$95)&gt;=$S123),$V123,$U123)))=Milestones!$AB$95),UPPER(TEXT(EDATE($D123,Milestones!$AA$95),"dd mmm yy"))&amp;" "&amp;Milestones!$AB$95&amp;" "&amp;Milestones!$AC$95&amp;";  ","")&amp;IF(AND(EDATE($D123,Milestones!$AA$96)&lt;=AsOfDate,IF($R123=0,$X123,IF(AND($T123&lt;&gt;"",EDATE($D123,Milestones!$AA$96)&gt;=$T123),$W123,IF(AND($S123&lt;&gt;"",EDATE($D123,Milestones!$AA$96)&gt;=$S123),$V123,$U123)))=Milestones!$AB$96),UPPER(TEXT(EDATE($D123,Milestones!$AA$96),"dd mmm yy"))&amp;" "&amp;Milestones!$AB$96&amp;" "&amp;Milestones!$AC$96&amp;";  ","")&amp;IF(AND(EDATE($D123,Milestones!$AA$97)&lt;=AsOfDate,IF($R123=0,$X123,IF(AND($T123&lt;&gt;"",EDATE($D123,Milestones!$AA$97)&gt;=$T123),$W123,IF(AND($S123&lt;&gt;"",EDATE($D123,Milestones!$AA$97)&gt;=$S123),$V123,$U123)))=Milestones!$AB$97),UPPER(TEXT(EDATE($D123,Milestones!$AA$97),"dd mmm yy"))&amp;" "&amp;Milestones!$AB$97&amp;" "&amp;Milestones!$AC$97&amp;";  ","")&amp;IF(AND(EDATE($D123,Milestones!$AA$98)&lt;=AsOfDate,IF($R123=0,$X123,IF(AND($T123&lt;&gt;"",EDATE($D123,Milestones!$AA$98)&gt;=$T123),$W123,IF(AND($S123&lt;&gt;"",EDATE($D123,Milestones!$AA$98)&gt;=$S123),$V123,$U123)))=Milestones!$AB$98),UPPER(TEXT(EDATE($D123,Milestones!$AA$98),"dd mmm yy"))&amp;" "&amp;Milestones!$AB$98&amp;" "&amp;Milestones!$AC$98&amp;";  ","")&amp;IF(AND(EDATE($D123,Milestones!$AA$99)&lt;=AsOfDate,IF($R123=0,$X123,IF(AND($T123&lt;&gt;"",EDATE($D123,Milestones!$AA$99)&gt;=$T123),$W123,IF(AND($S123&lt;&gt;"",EDATE($D123,Milestones!$AA$99)&gt;=$S123),$V123,$U123)))=Milestones!$AB$99),UPPER(TEXT(EDATE($D123,Milestones!$AA$99),"dd mmm yy"))&amp;" "&amp;Milestones!$AB$99&amp;" "&amp;Milestones!$AC$99&amp;";  ",""))</f>
        <v/>
      </c>
      <c r="M123" s="0" t="str">
        <f aca="false">IF(OR($A123="",$D123=""),"",IF(AND(EDATE($D123,Milestones!$AA$100)&lt;=AsOfDate,IF($R123=0,$X123,IF(AND($T123&lt;&gt;"",EDATE($D123,Milestones!$AA$100)&gt;=$T123),$W123,IF(AND($S123&lt;&gt;"",EDATE($D123,Milestones!$AA$100)&gt;=$S123),$V123,$U123)))=Milestones!$AB$100),UPPER(TEXT(EDATE($D123,Milestones!$AA$100),"dd mmm yy"))&amp;" "&amp;Milestones!$AB$100&amp;" "&amp;Milestones!$AC$100&amp;";  ","")&amp;IF(AND(EDATE($D123,Milestones!$AA$101)&lt;=AsOfDate,IF($R123=0,$X123,IF(AND($T123&lt;&gt;"",EDATE($D123,Milestones!$AA$101)&gt;=$T123),$W123,IF(AND($S123&lt;&gt;"",EDATE($D123,Milestones!$AA$101)&gt;=$S123),$V123,$U123)))=Milestones!$AB$101),UPPER(TEXT(EDATE($D123,Milestones!$AA$101),"dd mmm yy"))&amp;" "&amp;Milestones!$AB$101&amp;" "&amp;Milestones!$AC$101&amp;";  ","")&amp;IF(AND(EDATE($D123,Milestones!$AA$102)&lt;=AsOfDate,IF($R123=0,$X123,IF(AND($T123&lt;&gt;"",EDATE($D123,Milestones!$AA$102)&gt;=$T123),$W123,IF(AND($S123&lt;&gt;"",EDATE($D123,Milestones!$AA$102)&gt;=$S123),$V123,$U123)))=Milestones!$AB$102),UPPER(TEXT(EDATE($D123,Milestones!$AA$102),"dd mmm yy"))&amp;" "&amp;Milestones!$AB$102&amp;" "&amp;Milestones!$AC$102&amp;";  ","")&amp;IF(AND(EDATE($D123,Milestones!$AA$103)&lt;=AsOfDate,IF($R123=0,$X123,IF(AND($T123&lt;&gt;"",EDATE($D123,Milestones!$AA$103)&gt;=$T123),$W123,IF(AND($S123&lt;&gt;"",EDATE($D123,Milestones!$AA$103)&gt;=$S123),$V123,$U123)))=Milestones!$AB$103),UPPER(TEXT(EDATE($D123,Milestones!$AA$103),"dd mmm yy"))&amp;" "&amp;Milestones!$AB$103&amp;" "&amp;Milestones!$AC$103&amp;";  ","")&amp;IF(AND(EDATE($D123,Milestones!$AA$104)&lt;=AsOfDate,IF($R123=0,$X123,IF(AND($T123&lt;&gt;"",EDATE($D123,Milestones!$AA$104)&gt;=$T123),$W123,IF(AND($S123&lt;&gt;"",EDATE($D123,Milestones!$AA$104)&gt;=$S123),$V123,$U123)))=Milestones!$AB$104),UPPER(TEXT(EDATE($D123,Milestones!$AA$104),"dd mmm yy"))&amp;" "&amp;Milestones!$AB$104&amp;" "&amp;Milestones!$AC$104&amp;";  ","")&amp;IF(AND(EDATE($D123,Milestones!$AA$105)&lt;=AsOfDate,IF($R123=0,$X123,IF(AND($T123&lt;&gt;"",EDATE($D123,Milestones!$AA$105)&gt;=$T123),$W123,IF(AND($S123&lt;&gt;"",EDATE($D123,Milestones!$AA$105)&gt;=$S123),$V123,$U123)))=Milestones!$AB$105),UPPER(TEXT(EDATE($D123,Milestones!$AA$105),"dd mmm yy"))&amp;" "&amp;Milestones!$AB$105&amp;" "&amp;Milestones!$AC$105&amp;";  ","")&amp;IF(AND(EDATE($D123,Milestones!$AA$106)&lt;=AsOfDate,IF($R123=0,$X123,IF(AND($T123&lt;&gt;"",EDATE($D123,Milestones!$AA$106)&gt;=$T123),$W123,IF(AND($S123&lt;&gt;"",EDATE($D123,Milestones!$AA$106)&gt;=$S123),$V123,$U123)))=Milestones!$AB$106),UPPER(TEXT(EDATE($D123,Milestones!$AA$106),"dd mmm yy"))&amp;" "&amp;Milestones!$AB$106&amp;" "&amp;Milestones!$AC$106&amp;";  ","")&amp;IF(AND(EDATE($D123,Milestones!$AA$107)&lt;=AsOfDate,IF($R123=0,$X123,IF(AND($T123&lt;&gt;"",EDATE($D123,Milestones!$AA$107)&gt;=$T123),$W123,IF(AND($S123&lt;&gt;"",EDATE($D123,Milestones!$AA$107)&gt;=$S123),$V123,$U123)))=Milestones!$AB$107),UPPER(TEXT(EDATE($D123,Milestones!$AA$107),"dd mmm yy"))&amp;" "&amp;Milestones!$AB$107&amp;" "&amp;Milestones!$AC$107&amp;";  ","")&amp;IF(AND(EDATE($D123,Milestones!$AA$108)&lt;=AsOfDate,IF($R123=0,$X123,IF(AND($T123&lt;&gt;"",EDATE($D123,Milestones!$AA$108)&gt;=$T123),$W123,IF(AND($S123&lt;&gt;"",EDATE($D123,Milestones!$AA$108)&gt;=$S123),$V123,$U123)))=Milestones!$AB$108),UPPER(TEXT(EDATE($D123,Milestones!$AA$108),"dd mmm yy"))&amp;" "&amp;Milestones!$AB$108&amp;" "&amp;Milestones!$AC$108&amp;";  ","")&amp;IF(AND(EDATE($D123,Milestones!$AA$109)&lt;=AsOfDate,IF($R123=0,$X123,IF(AND($T123&lt;&gt;"",EDATE($D123,Milestones!$AA$109)&gt;=$T123),$W123,IF(AND($S123&lt;&gt;"",EDATE($D123,Milestones!$AA$109)&gt;=$S123),$V123,$U123)))=Milestones!$AB$109),UPPER(TEXT(EDATE($D123,Milestones!$AA$109),"dd mmm yy"))&amp;" "&amp;Milestones!$AB$109&amp;" "&amp;Milestones!$AC$109&amp;";  ","")&amp;IF(AND(EDATE($D123,Milestones!$AA$110)&lt;=AsOfDate,IF($R123=0,$X123,IF(AND($T123&lt;&gt;"",EDATE($D123,Milestones!$AA$110)&gt;=$T123),$W123,IF(AND($S123&lt;&gt;"",EDATE($D123,Milestones!$AA$110)&gt;=$S123),$V123,$U123)))=Milestones!$AB$110),UPPER(TEXT(EDATE($D123,Milestones!$AA$110),"dd mmm yy"))&amp;" "&amp;Milestones!$AB$110&amp;" "&amp;Milestones!$AC$110&amp;";  ","")&amp;IF(AND(EDATE($D123,Milestones!$AA$111)&lt;=AsOfDate,IF($R123=0,$X123,IF(AND($T123&lt;&gt;"",EDATE($D123,Milestones!$AA$111)&gt;=$T123),$W123,IF(AND($S123&lt;&gt;"",EDATE($D123,Milestones!$AA$111)&gt;=$S123),$V123,$U123)))=Milestones!$AB$111),UPPER(TEXT(EDATE($D123,Milestones!$AA$111),"dd mmm yy"))&amp;" "&amp;Milestones!$AB$111&amp;" "&amp;Milestones!$AC$111&amp;";  ","")&amp;IF(AND(EDATE($D123,Milestones!$AA$112)&lt;=AsOfDate,IF($R123=0,$X123,IF(AND($T123&lt;&gt;"",EDATE($D123,Milestones!$AA$112)&gt;=$T123),$W123,IF(AND($S123&lt;&gt;"",EDATE($D123,Milestones!$AA$112)&gt;=$S123),$V123,$U123)))=Milestones!$AB$112),UPPER(TEXT(EDATE($D123,Milestones!$AA$112),"dd mmm yy"))&amp;" "&amp;Milestones!$AB$112&amp;" "&amp;Milestones!$AC$112&amp;";  ","")&amp;IF(AND(EDATE($D123,Milestones!$AA$113)&lt;=AsOfDate,IF($R123=0,$X123,IF(AND($T123&lt;&gt;"",EDATE($D123,Milestones!$AA$113)&gt;=$T123),$W123,IF(AND($S123&lt;&gt;"",EDATE($D123,Milestones!$AA$113)&gt;=$S123),$V123,$U123)))=Milestones!$AB$113),UPPER(TEXT(EDATE($D123,Milestones!$AA$113),"dd mmm yy"))&amp;" "&amp;Milestones!$AB$113&amp;" "&amp;Milestones!$AC$113&amp;";  ","")&amp;IF(AND(EDATE($D123,Milestones!$AA$114)&lt;=AsOfDate,IF($R123=0,$X123,IF(AND($T123&lt;&gt;"",EDATE($D123,Milestones!$AA$114)&gt;=$T123),$W123,IF(AND($S123&lt;&gt;"",EDATE($D123,Milestones!$AA$114)&gt;=$S123),$V123,$U123)))=Milestones!$AB$114),UPPER(TEXT(EDATE($D123,Milestones!$AA$114),"dd mmm yy"))&amp;" "&amp;Milestones!$AB$114&amp;" "&amp;Milestones!$AC$114&amp;";  ","")&amp;IF(AND(EDATE($D123,Milestones!$AA$115)&lt;=AsOfDate,IF($R123=0,$X123,IF(AND($T123&lt;&gt;"",EDATE($D123,Milestones!$AA$115)&gt;=$T123),$W123,IF(AND($S123&lt;&gt;"",EDATE($D123,Milestones!$AA$115)&gt;=$S123),$V123,$U123)))=Milestones!$AB$115),UPPER(TEXT(EDATE($D123,Milestones!$AA$115),"dd mmm yy"))&amp;" "&amp;Milestones!$AB$115&amp;" "&amp;Milestones!$AC$115&amp;";  ","")&amp;IF(AND(EDATE($D123,Milestones!$AA$116)&lt;=AsOfDate,IF($R123=0,$X123,IF(AND($T123&lt;&gt;"",EDATE($D123,Milestones!$AA$116)&gt;=$T123),$W123,IF(AND($S123&lt;&gt;"",EDATE($D123,Milestones!$AA$116)&gt;=$S123),$V123,$U123)))=Milestones!$AB$116),UPPER(TEXT(EDATE($D123,Milestones!$AA$116),"dd mmm yy"))&amp;" "&amp;Milestones!$AB$116&amp;" "&amp;Milestones!$AC$116&amp;";  ","")&amp;IF(AND(EDATE($D123,Milestones!$AA$117)&lt;=AsOfDate,IF($R123=0,$X123,IF(AND($T123&lt;&gt;"",EDATE($D123,Milestones!$AA$117)&gt;=$T123),$W123,IF(AND($S123&lt;&gt;"",EDATE($D123,Milestones!$AA$117)&gt;=$S123),$V123,$U123)))=Milestones!$AB$117),UPPER(TEXT(EDATE($D123,Milestones!$AA$117),"dd mmm yy"))&amp;" "&amp;Milestones!$AB$117&amp;" "&amp;Milestones!$AC$117&amp;";  ","")&amp;IF(AND(EDATE($D123,Milestones!$AA$118)&lt;=AsOfDate,IF($R123=0,$X123,IF(AND($T123&lt;&gt;"",EDATE($D123,Milestones!$AA$118)&gt;=$T123),$W123,IF(AND($S123&lt;&gt;"",EDATE($D123,Milestones!$AA$118)&gt;=$S123),$V123,$U123)))=Milestones!$AB$118),UPPER(TEXT(EDATE($D123,Milestones!$AA$118),"dd mmm yy"))&amp;" "&amp;Milestones!$AB$118&amp;" "&amp;Milestones!$AC$118&amp;";  ","")&amp;IF(AND(EDATE($D123,Milestones!$AA$119)&lt;=AsOfDate,IF($R123=0,$X123,IF(AND($T123&lt;&gt;"",EDATE($D123,Milestones!$AA$119)&gt;=$T123),$W123,IF(AND($S123&lt;&gt;"",EDATE($D123,Milestones!$AA$119)&gt;=$S123),$V123,$U123)))=Milestones!$AB$119),UPPER(TEXT(EDATE($D123,Milestones!$AA$119),"dd mmm yy"))&amp;" "&amp;Milestones!$AB$119&amp;" "&amp;Milestones!$AC$119&amp;";  ",""))</f>
        <v/>
      </c>
      <c r="N123" s="0" t="str">
        <f aca="false">IF(OR($A123="",$D123=""),"",IF(AND(EDATE($D123,Milestones!$AA$120)&lt;=AsOfDate,IF($R123=0,$X123,IF(AND($T123&lt;&gt;"",EDATE($D123,Milestones!$AA$120)&gt;=$T123),$W123,IF(AND($S123&lt;&gt;"",EDATE($D123,Milestones!$AA$120)&gt;=$S123),$V123,$U123)))=Milestones!$AB$120),UPPER(TEXT(EDATE($D123,Milestones!$AA$120),"dd mmm yy"))&amp;" "&amp;Milestones!$AB$120&amp;" "&amp;Milestones!$AC$120&amp;";  ","")&amp;IF(AND(EDATE($D123,Milestones!$AA$121)&lt;=AsOfDate,IF($R123=0,$X123,IF(AND($T123&lt;&gt;"",EDATE($D123,Milestones!$AA$121)&gt;=$T123),$W123,IF(AND($S123&lt;&gt;"",EDATE($D123,Milestones!$AA$121)&gt;=$S123),$V123,$U123)))=Milestones!$AB$121),UPPER(TEXT(EDATE($D123,Milestones!$AA$121),"dd mmm yy"))&amp;" "&amp;Milestones!$AB$121&amp;" "&amp;Milestones!$AC$121&amp;";  ","")&amp;IF(AND(EDATE($D123,Milestones!$AA$122)&lt;=AsOfDate,IF($R123=0,$X123,IF(AND($T123&lt;&gt;"",EDATE($D123,Milestones!$AA$122)&gt;=$T123),$W123,IF(AND($S123&lt;&gt;"",EDATE($D123,Milestones!$AA$122)&gt;=$S123),$V123,$U123)))=Milestones!$AB$122),UPPER(TEXT(EDATE($D123,Milestones!$AA$122),"dd mmm yy"))&amp;" "&amp;Milestones!$AB$122&amp;" "&amp;Milestones!$AC$122&amp;";  ","")&amp;IF(AND(EDATE($D123,Milestones!$AA$123)&lt;=AsOfDate,IF($R123=0,$X123,IF(AND($T123&lt;&gt;"",EDATE($D123,Milestones!$AA$123)&gt;=$T123),$W123,IF(AND($S123&lt;&gt;"",EDATE($D123,Milestones!$AA$123)&gt;=$S123),$V123,$U123)))=Milestones!$AB$123),UPPER(TEXT(EDATE($D123,Milestones!$AA$123),"dd mmm yy"))&amp;" "&amp;Milestones!$AB$123&amp;" "&amp;Milestones!$AC$123&amp;";  ","")&amp;IF(AND(EDATE($D123,Milestones!$AA$124)&lt;=AsOfDate,IF($R123=0,$X123,IF(AND($T123&lt;&gt;"",EDATE($D123,Milestones!$AA$124)&gt;=$T123),$W123,IF(AND($S123&lt;&gt;"",EDATE($D123,Milestones!$AA$124)&gt;=$S123),$V123,$U123)))=Milestones!$AB$124),UPPER(TEXT(EDATE($D123,Milestones!$AA$124),"dd mmm yy"))&amp;" "&amp;Milestones!$AB$124&amp;" "&amp;Milestones!$AC$124&amp;";  ","")&amp;IF(AND(EDATE($D123,Milestones!$AA$125)&lt;=AsOfDate,IF($R123=0,$X123,IF(AND($T123&lt;&gt;"",EDATE($D123,Milestones!$AA$125)&gt;=$T123),$W123,IF(AND($S123&lt;&gt;"",EDATE($D123,Milestones!$AA$125)&gt;=$S123),$V123,$U123)))=Milestones!$AB$125),UPPER(TEXT(EDATE($D123,Milestones!$AA$125),"dd mmm yy"))&amp;" "&amp;Milestones!$AB$125&amp;" "&amp;Milestones!$AC$125&amp;";  ","")&amp;IF(AND(EDATE($D123,Milestones!$AA$126)&lt;=AsOfDate,IF($R123=0,$X123,IF(AND($T123&lt;&gt;"",EDATE($D123,Milestones!$AA$126)&gt;=$T123),$W123,IF(AND($S123&lt;&gt;"",EDATE($D123,Milestones!$AA$126)&gt;=$S123),$V123,$U123)))=Milestones!$AB$126),UPPER(TEXT(EDATE($D123,Milestones!$AA$126),"dd mmm yy"))&amp;" "&amp;Milestones!$AB$126&amp;" "&amp;Milestones!$AC$126&amp;";  ","")&amp;IF(AND(EDATE($D123,Milestones!$AA$127)&lt;=AsOfDate,IF($R123=0,$X123,IF(AND($T123&lt;&gt;"",EDATE($D123,Milestones!$AA$127)&gt;=$T123),$W123,IF(AND($S123&lt;&gt;"",EDATE($D123,Milestones!$AA$127)&gt;=$S123),$V123,$U123)))=Milestones!$AB$127),UPPER(TEXT(EDATE($D123,Milestones!$AA$127),"dd mmm yy"))&amp;" "&amp;Milestones!$AB$127&amp;" "&amp;Milestones!$AC$127&amp;";  ","")&amp;IF(AND(EDATE($D123,Milestones!$AA$128)&lt;=AsOfDate,IF($R123=0,$X123,IF(AND($T123&lt;&gt;"",EDATE($D123,Milestones!$AA$128)&gt;=$T123),$W123,IF(AND($S123&lt;&gt;"",EDATE($D123,Milestones!$AA$128)&gt;=$S123),$V123,$U123)))=Milestones!$AB$128),UPPER(TEXT(EDATE($D123,Milestones!$AA$128),"dd mmm yy"))&amp;" "&amp;Milestones!$AB$128&amp;" "&amp;Milestones!$AC$128&amp;";  ","")&amp;IF(AND(EDATE($D123,Milestones!$AA$129)&lt;=AsOfDate,IF($R123=0,$X123,IF(AND($T123&lt;&gt;"",EDATE($D123,Milestones!$AA$129)&gt;=$T123),$W123,IF(AND($S123&lt;&gt;"",EDATE($D123,Milestones!$AA$129)&gt;=$S123),$V123,$U123)))=Milestones!$AB$129),UPPER(TEXT(EDATE($D123,Milestones!$AA$129),"dd mmm yy"))&amp;" "&amp;Milestones!$AB$129&amp;" "&amp;Milestones!$AC$129&amp;";  ","")&amp;IF(AND(EDATE($D123,Milestones!$AA$130)&lt;=AsOfDate,IF($R123=0,$X123,IF(AND($T123&lt;&gt;"",EDATE($D123,Milestones!$AA$130)&gt;=$T123),$W123,IF(AND($S123&lt;&gt;"",EDATE($D123,Milestones!$AA$130)&gt;=$S123),$V123,$U123)))=Milestones!$AB$130),UPPER(TEXT(EDATE($D123,Milestones!$AA$130),"dd mmm yy"))&amp;" "&amp;Milestones!$AB$130&amp;" "&amp;Milestones!$AC$130&amp;";  ","")&amp;IF(AND(EDATE($D123,Milestones!$AA$131)&lt;=AsOfDate,IF($R123=0,$X123,IF(AND($T123&lt;&gt;"",EDATE($D123,Milestones!$AA$131)&gt;=$T123),$W123,IF(AND($S123&lt;&gt;"",EDATE($D123,Milestones!$AA$131)&gt;=$S123),$V123,$U123)))=Milestones!$AB$131),UPPER(TEXT(EDATE($D123,Milestones!$AA$131),"dd mmm yy"))&amp;" "&amp;Milestones!$AB$131&amp;" "&amp;Milestones!$AC$131&amp;";  ","")&amp;IF(AND(EDATE($D123,Milestones!$AA$132)&lt;=AsOfDate,IF($R123=0,$X123,IF(AND($T123&lt;&gt;"",EDATE($D123,Milestones!$AA$132)&gt;=$T123),$W123,IF(AND($S123&lt;&gt;"",EDATE($D123,Milestones!$AA$132)&gt;=$S123),$V123,$U123)))=Milestones!$AB$132),UPPER(TEXT(EDATE($D123,Milestones!$AA$132),"dd mmm yy"))&amp;" "&amp;Milestones!$AB$132&amp;" "&amp;Milestones!$AC$132&amp;";  ","")&amp;IF(AND(EDATE($D123,Milestones!$AA$133)&lt;=AsOfDate,IF($R123=0,$X123,IF(AND($T123&lt;&gt;"",EDATE($D123,Milestones!$AA$133)&gt;=$T123),$W123,IF(AND($S123&lt;&gt;"",EDATE($D123,Milestones!$AA$133)&gt;=$S123),$V123,$U123)))=Milestones!$AB$133),UPPER(TEXT(EDATE($D123,Milestones!$AA$133),"dd mmm yy"))&amp;" "&amp;Milestones!$AB$133&amp;" "&amp;Milestones!$AC$133&amp;";  ","")&amp;IF(AND(EDATE($D123,Milestones!$AA$134)&lt;=AsOfDate,IF($R123=0,$X123,IF(AND($T123&lt;&gt;"",EDATE($D123,Milestones!$AA$134)&gt;=$T123),$W123,IF(AND($S123&lt;&gt;"",EDATE($D123,Milestones!$AA$134)&gt;=$S123),$V123,$U123)))=Milestones!$AB$134),UPPER(TEXT(EDATE($D123,Milestones!$AA$134),"dd mmm yy"))&amp;" "&amp;Milestones!$AB$134&amp;" "&amp;Milestones!$AC$134&amp;";  ","")&amp;IF(AND(EDATE($D123,Milestones!$AA$135)&lt;=AsOfDate,IF($R123=0,$X123,IF(AND($T123&lt;&gt;"",EDATE($D123,Milestones!$AA$135)&gt;=$T123),$W123,IF(AND($S123&lt;&gt;"",EDATE($D123,Milestones!$AA$135)&gt;=$S123),$V123,$U123)))=Milestones!$AB$135),UPPER(TEXT(EDATE($D123,Milestones!$AA$135),"dd mmm yy"))&amp;" "&amp;Milestones!$AB$135&amp;" "&amp;Milestones!$AC$135&amp;";  ","")&amp;IF(AND(EDATE($D123,Milestones!$AA$136)&lt;=AsOfDate,IF($R123=0,$X123,IF(AND($T123&lt;&gt;"",EDATE($D123,Milestones!$AA$136)&gt;=$T123),$W123,IF(AND($S123&lt;&gt;"",EDATE($D123,Milestones!$AA$136)&gt;=$S123),$V123,$U123)))=Milestones!$AB$136),UPPER(TEXT(EDATE($D123,Milestones!$AA$136),"dd mmm yy"))&amp;" "&amp;Milestones!$AB$136&amp;" "&amp;Milestones!$AC$136&amp;";  ","")&amp;IF(AND(EDATE($D123,Milestones!$AA$137)&lt;=AsOfDate,IF($R123=0,$X123,IF(AND($T123&lt;&gt;"",EDATE($D123,Milestones!$AA$137)&gt;=$T123),$W123,IF(AND($S123&lt;&gt;"",EDATE($D123,Milestones!$AA$137)&gt;=$S123),$V123,$U123)))=Milestones!$AB$137),UPPER(TEXT(EDATE($D123,Milestones!$AA$137),"dd mmm yy"))&amp;" "&amp;Milestones!$AB$137&amp;" "&amp;Milestones!$AC$137&amp;";  ","")&amp;IF(AND(EDATE($D123,Milestones!$AA$138)&lt;=AsOfDate,IF($R123=0,$X123,IF(AND($T123&lt;&gt;"",EDATE($D123,Milestones!$AA$138)&gt;=$T123),$W123,IF(AND($S123&lt;&gt;"",EDATE($D123,Milestones!$AA$138)&gt;=$S123),$V123,$U123)))=Milestones!$AB$138),UPPER(TEXT(EDATE($D123,Milestones!$AA$138),"dd mmm yy"))&amp;" "&amp;Milestones!$AB$138&amp;" "&amp;Milestones!$AC$138&amp;";  ","")&amp;IF(AND(EDATE($D123,Milestones!$AA$139)&lt;=AsOfDate,IF($R123=0,$X123,IF(AND($T123&lt;&gt;"",EDATE($D123,Milestones!$AA$139)&gt;=$T123),$W123,IF(AND($S123&lt;&gt;"",EDATE($D123,Milestones!$AA$139)&gt;=$S123),$V123,$U123)))=Milestones!$AB$139),UPPER(TEXT(EDATE($D123,Milestones!$AA$139),"dd mmm yy"))&amp;" "&amp;Milestones!$AB$139&amp;" "&amp;Milestones!$AC$139&amp;";  ",""))</f>
        <v/>
      </c>
      <c r="O123" s="0" t="str">
        <f aca="false">IF(OR($A123="",$D123=""),"",IF(AND(EDATE($D123,Milestones!$AA$140)&lt;=AsOfDate,IF($R123=0,$X123,IF(AND($T123&lt;&gt;"",EDATE($D123,Milestones!$AA$140)&gt;=$T123),$W123,IF(AND($S123&lt;&gt;"",EDATE($D123,Milestones!$AA$140)&gt;=$S123),$V123,$U123)))=Milestones!$AB$140),UPPER(TEXT(EDATE($D123,Milestones!$AA$140),"dd mmm yy"))&amp;" "&amp;Milestones!$AB$140&amp;" "&amp;Milestones!$AC$140&amp;";  ","")&amp;IF(AND(EDATE($D123,Milestones!$AA$141)&lt;=AsOfDate,IF($R123=0,$X123,IF(AND($T123&lt;&gt;"",EDATE($D123,Milestones!$AA$141)&gt;=$T123),$W123,IF(AND($S123&lt;&gt;"",EDATE($D123,Milestones!$AA$141)&gt;=$S123),$V123,$U123)))=Milestones!$AB$141),UPPER(TEXT(EDATE($D123,Milestones!$AA$141),"dd mmm yy"))&amp;" "&amp;Milestones!$AB$141&amp;" "&amp;Milestones!$AC$141&amp;";  ","")&amp;IF(AND(EDATE($D123,Milestones!$AA$142)&lt;=AsOfDate,IF($R123=0,$X123,IF(AND($T123&lt;&gt;"",EDATE($D123,Milestones!$AA$142)&gt;=$T123),$W123,IF(AND($S123&lt;&gt;"",EDATE($D123,Milestones!$AA$142)&gt;=$S123),$V123,$U123)))=Milestones!$AB$142),UPPER(TEXT(EDATE($D123,Milestones!$AA$142),"dd mmm yy"))&amp;" "&amp;Milestones!$AB$142&amp;" "&amp;Milestones!$AC$142&amp;";  ","")&amp;IF(AND(EDATE($D123,Milestones!$AA$143)&lt;=AsOfDate,IF($R123=0,$X123,IF(AND($T123&lt;&gt;"",EDATE($D123,Milestones!$AA$143)&gt;=$T123),$W123,IF(AND($S123&lt;&gt;"",EDATE($D123,Milestones!$AA$143)&gt;=$S123),$V123,$U123)))=Milestones!$AB$143),UPPER(TEXT(EDATE($D123,Milestones!$AA$143),"dd mmm yy"))&amp;" "&amp;Milestones!$AB$143&amp;" "&amp;Milestones!$AC$143&amp;";  ","")&amp;IF(AND(EDATE($D123,Milestones!$AA$144)&lt;=AsOfDate,IF($R123=0,$X123,IF(AND($T123&lt;&gt;"",EDATE($D123,Milestones!$AA$144)&gt;=$T123),$W123,IF(AND($S123&lt;&gt;"",EDATE($D123,Milestones!$AA$144)&gt;=$S123),$V123,$U123)))=Milestones!$AB$144),UPPER(TEXT(EDATE($D123,Milestones!$AA$144),"dd mmm yy"))&amp;" "&amp;Milestones!$AB$144&amp;" "&amp;Milestones!$AC$144&amp;";  ","")&amp;IF(AND(EDATE($D123,Milestones!$AA$145)&lt;=AsOfDate,IF($R123=0,$X123,IF(AND($T123&lt;&gt;"",EDATE($D123,Milestones!$AA$145)&gt;=$T123),$W123,IF(AND($S123&lt;&gt;"",EDATE($D123,Milestones!$AA$145)&gt;=$S123),$V123,$U123)))=Milestones!$AB$145),UPPER(TEXT(EDATE($D123,Milestones!$AA$145),"dd mmm yy"))&amp;" "&amp;Milestones!$AB$145&amp;" "&amp;Milestones!$AC$145&amp;";  ","")&amp;IF(AND(EDATE($D123,Milestones!$AA$146)&lt;=AsOfDate,IF($R123=0,$X123,IF(AND($T123&lt;&gt;"",EDATE($D123,Milestones!$AA$146)&gt;=$T123),$W123,IF(AND($S123&lt;&gt;"",EDATE($D123,Milestones!$AA$146)&gt;=$S123),$V123,$U123)))=Milestones!$AB$146),UPPER(TEXT(EDATE($D123,Milestones!$AA$146),"dd mmm yy"))&amp;" "&amp;Milestones!$AB$146&amp;" "&amp;Milestones!$AC$146&amp;";  ","")&amp;IF(AND(EDATE($D123,Milestones!$AA$147)&lt;=AsOfDate,IF($R123=0,$X123,IF(AND($T123&lt;&gt;"",EDATE($D123,Milestones!$AA$147)&gt;=$T123),$W123,IF(AND($S123&lt;&gt;"",EDATE($D123,Milestones!$AA$147)&gt;=$S123),$V123,$U123)))=Milestones!$AB$147),UPPER(TEXT(EDATE($D123,Milestones!$AA$147),"dd mmm yy"))&amp;" "&amp;Milestones!$AB$147&amp;" "&amp;Milestones!$AC$147&amp;";  ","")&amp;IF(AND(EDATE($D123,Milestones!$AA$148)&lt;=AsOfDate,IF($R123=0,$X123,IF(AND($T123&lt;&gt;"",EDATE($D123,Milestones!$AA$148)&gt;=$T123),$W123,IF(AND($S123&lt;&gt;"",EDATE($D123,Milestones!$AA$148)&gt;=$S123),$V123,$U123)))=Milestones!$AB$148),UPPER(TEXT(EDATE($D123,Milestones!$AA$148),"dd mmm yy"))&amp;" "&amp;Milestones!$AB$148&amp;" "&amp;Milestones!$AC$148&amp;";  ","")&amp;IF(AND(EDATE($D123,Milestones!$AA$149)&lt;=AsOfDate,IF($R123=0,$X123,IF(AND($T123&lt;&gt;"",EDATE($D123,Milestones!$AA$149)&gt;=$T123),$W123,IF(AND($S123&lt;&gt;"",EDATE($D123,Milestones!$AA$149)&gt;=$S123),$V123,$U123)))=Milestones!$AB$149),UPPER(TEXT(EDATE($D123,Milestones!$AA$149),"dd mmm yy"))&amp;" "&amp;Milestones!$AB$149&amp;" "&amp;Milestones!$AC$149&amp;";  ","")&amp;IF(AND(EDATE($D123,Milestones!$AA$150)&lt;=AsOfDate,IF($R123=0,$X123,IF(AND($T123&lt;&gt;"",EDATE($D123,Milestones!$AA$150)&gt;=$T123),$W123,IF(AND($S123&lt;&gt;"",EDATE($D123,Milestones!$AA$150)&gt;=$S123),$V123,$U123)))=Milestones!$AB$150),UPPER(TEXT(EDATE($D123,Milestones!$AA$150),"dd mmm yy"))&amp;" "&amp;Milestones!$AB$150&amp;" "&amp;Milestones!$AC$150&amp;";  ","")&amp;IF(AND(EDATE($D123,Milestones!$AA$151)&lt;=AsOfDate,IF($R123=0,$X123,IF(AND($T123&lt;&gt;"",EDATE($D123,Milestones!$AA$151)&gt;=$T123),$W123,IF(AND($S123&lt;&gt;"",EDATE($D123,Milestones!$AA$151)&gt;=$S123),$V123,$U123)))=Milestones!$AB$151),UPPER(TEXT(EDATE($D123,Milestones!$AA$151),"dd mmm yy"))&amp;" "&amp;Milestones!$AB$151&amp;" "&amp;Milestones!$AC$151&amp;";  ","")&amp;IF(AND(EDATE($D123,Milestones!$AA$152)&lt;=AsOfDate,IF($R123=0,$X123,IF(AND($T123&lt;&gt;"",EDATE($D123,Milestones!$AA$152)&gt;=$T123),$W123,IF(AND($S123&lt;&gt;"",EDATE($D123,Milestones!$AA$152)&gt;=$S123),$V123,$U123)))=Milestones!$AB$152),UPPER(TEXT(EDATE($D123,Milestones!$AA$152),"dd mmm yy"))&amp;" "&amp;Milestones!$AB$152&amp;" "&amp;Milestones!$AC$152&amp;";  ","")&amp;IF(AND(EDATE($D123,Milestones!$AA$153)&lt;=AsOfDate,IF($R123=0,$X123,IF(AND($T123&lt;&gt;"",EDATE($D123,Milestones!$AA$153)&gt;=$T123),$W123,IF(AND($S123&lt;&gt;"",EDATE($D123,Milestones!$AA$153)&gt;=$S123),$V123,$U123)))=Milestones!$AB$153),UPPER(TEXT(EDATE($D123,Milestones!$AA$153),"dd mmm yy"))&amp;" "&amp;Milestones!$AB$153&amp;" "&amp;Milestones!$AC$153&amp;";  ","")&amp;IF(AND(EDATE($D123,Milestones!$AA$154)&lt;=AsOfDate,IF($R123=0,$X123,IF(AND($T123&lt;&gt;"",EDATE($D123,Milestones!$AA$154)&gt;=$T123),$W123,IF(AND($S123&lt;&gt;"",EDATE($D123,Milestones!$AA$154)&gt;=$S123),$V123,$U123)))=Milestones!$AB$154),UPPER(TEXT(EDATE($D123,Milestones!$AA$154),"dd mmm yy"))&amp;" "&amp;Milestones!$AB$154&amp;" "&amp;Milestones!$AC$154&amp;";  ","")&amp;IF(AND(EDATE($D123,Milestones!$AA$155)&lt;=AsOfDate,IF($R123=0,$X123,IF(AND($T123&lt;&gt;"",EDATE($D123,Milestones!$AA$155)&gt;=$T123),$W123,IF(AND($S123&lt;&gt;"",EDATE($D123,Milestones!$AA$155)&gt;=$S123),$V123,$U123)))=Milestones!$AB$155),UPPER(TEXT(EDATE($D123,Milestones!$AA$155),"dd mmm yy"))&amp;" "&amp;Milestones!$AB$155&amp;" "&amp;Milestones!$AC$155&amp;";  ","")&amp;IF(AND(EDATE($D123,Milestones!$AA$156)&lt;=AsOfDate,IF($R123=0,$X123,IF(AND($T123&lt;&gt;"",EDATE($D123,Milestones!$AA$156)&gt;=$T123),$W123,IF(AND($S123&lt;&gt;"",EDATE($D123,Milestones!$AA$156)&gt;=$S123),$V123,$U123)))=Milestones!$AB$156),UPPER(TEXT(EDATE($D123,Milestones!$AA$156),"dd mmm yy"))&amp;" "&amp;Milestones!$AB$156&amp;" "&amp;Milestones!$AC$156&amp;";  ","")&amp;IF(AND(EDATE($D123,Milestones!$AA$157)&lt;=AsOfDate,IF($R123=0,$X123,IF(AND($T123&lt;&gt;"",EDATE($D123,Milestones!$AA$157)&gt;=$T123),$W123,IF(AND($S123&lt;&gt;"",EDATE($D123,Milestones!$AA$157)&gt;=$S123),$V123,$U123)))=Milestones!$AB$157),UPPER(TEXT(EDATE($D123,Milestones!$AA$157),"dd mmm yy"))&amp;" "&amp;Milestones!$AB$157&amp;" "&amp;Milestones!$AC$157&amp;";  ","")&amp;IF(AND(EDATE($D123,Milestones!$AA$158)&lt;=AsOfDate,IF($R123=0,$X123,IF(AND($T123&lt;&gt;"",EDATE($D123,Milestones!$AA$158)&gt;=$T123),$W123,IF(AND($S123&lt;&gt;"",EDATE($D123,Milestones!$AA$158)&gt;=$S123),$V123,$U123)))=Milestones!$AB$158),UPPER(TEXT(EDATE($D123,Milestones!$AA$158),"dd mmm yy"))&amp;" "&amp;Milestones!$AB$158&amp;" "&amp;Milestones!$AC$158&amp;";  ","")&amp;IF(AND(EDATE($D123,Milestones!$AA$159)&lt;=AsOfDate,IF($R123=0,$X123,IF(AND($T123&lt;&gt;"",EDATE($D123,Milestones!$AA$159)&gt;=$T123),$W123,IF(AND($S123&lt;&gt;"",EDATE($D123,Milestones!$AA$159)&gt;=$S123),$V123,$U123)))=Milestones!$AB$159),UPPER(TEXT(EDATE($D123,Milestones!$AA$159),"dd mmm yy"))&amp;" "&amp;Milestones!$AB$159&amp;" "&amp;Milestones!$AC$159&amp;";  ",""))</f>
        <v/>
      </c>
      <c r="P123" s="0" t="str">
        <f aca="false">IF(OR($A123="",$D123=""),"",IF(AND(EDATE($D123,Milestones!$AA$160)&lt;=AsOfDate,IF($R123=0,$X123,IF(AND($T123&lt;&gt;"",EDATE($D123,Milestones!$AA$160)&gt;=$T123),$W123,IF(AND($S123&lt;&gt;"",EDATE($D123,Milestones!$AA$160)&gt;=$S123),$V123,$U123)))=Milestones!$AB$160),UPPER(TEXT(EDATE($D123,Milestones!$AA$160),"dd mmm yy"))&amp;" "&amp;Milestones!$AB$160&amp;" "&amp;Milestones!$AC$160&amp;";  ","")&amp;IF(AND(EDATE($D123,Milestones!$AA$161)&lt;=AsOfDate,IF($R123=0,$X123,IF(AND($T123&lt;&gt;"",EDATE($D123,Milestones!$AA$161)&gt;=$T123),$W123,IF(AND($S123&lt;&gt;"",EDATE($D123,Milestones!$AA$161)&gt;=$S123),$V123,$U123)))=Milestones!$AB$161),UPPER(TEXT(EDATE($D123,Milestones!$AA$161),"dd mmm yy"))&amp;" "&amp;Milestones!$AB$161&amp;" "&amp;Milestones!$AC$161&amp;";  ","")&amp;IF(AND(EDATE($D123,Milestones!$AA$162)&lt;=AsOfDate,IF($R123=0,$X123,IF(AND($T123&lt;&gt;"",EDATE($D123,Milestones!$AA$162)&gt;=$T123),$W123,IF(AND($S123&lt;&gt;"",EDATE($D123,Milestones!$AA$162)&gt;=$S123),$V123,$U123)))=Milestones!$AB$162),UPPER(TEXT(EDATE($D123,Milestones!$AA$162),"dd mmm yy"))&amp;" "&amp;Milestones!$AB$162&amp;" "&amp;Milestones!$AC$162&amp;";  ","")&amp;IF(AND(EDATE($D123,Milestones!$AA$163)&lt;=AsOfDate,IF($R123=0,$X123,IF(AND($T123&lt;&gt;"",EDATE($D123,Milestones!$AA$163)&gt;=$T123),$W123,IF(AND($S123&lt;&gt;"",EDATE($D123,Milestones!$AA$163)&gt;=$S123),$V123,$U123)))=Milestones!$AB$163),UPPER(TEXT(EDATE($D123,Milestones!$AA$163),"dd mmm yy"))&amp;" "&amp;Milestones!$AB$163&amp;" "&amp;Milestones!$AC$163&amp;";  ","")&amp;IF(AND(EDATE($D123,Milestones!$AA$164)&lt;=AsOfDate,IF($R123=0,$X123,IF(AND($T123&lt;&gt;"",EDATE($D123,Milestones!$AA$164)&gt;=$T123),$W123,IF(AND($S123&lt;&gt;"",EDATE($D123,Milestones!$AA$164)&gt;=$S123),$V123,$U123)))=Milestones!$AB$164),UPPER(TEXT(EDATE($D123,Milestones!$AA$164),"dd mmm yy"))&amp;" "&amp;Milestones!$AB$164&amp;" "&amp;Milestones!$AC$164&amp;";  ","")&amp;IF(AND(EDATE($D123,Milestones!$AA$165)&lt;=AsOfDate,IF($R123=0,$X123,IF(AND($T123&lt;&gt;"",EDATE($D123,Milestones!$AA$165)&gt;=$T123),$W123,IF(AND($S123&lt;&gt;"",EDATE($D123,Milestones!$AA$165)&gt;=$S123),$V123,$U123)))=Milestones!$AB$165),UPPER(TEXT(EDATE($D123,Milestones!$AA$165),"dd mmm yy"))&amp;" "&amp;Milestones!$AB$165&amp;" "&amp;Milestones!$AC$165&amp;";  ","")&amp;IF(AND(EDATE($D123,Milestones!$AA$166)&lt;=AsOfDate,IF($R123=0,$X123,IF(AND($T123&lt;&gt;"",EDATE($D123,Milestones!$AA$166)&gt;=$T123),$W123,IF(AND($S123&lt;&gt;"",EDATE($D123,Milestones!$AA$166)&gt;=$S123),$V123,$U123)))=Milestones!$AB$166),UPPER(TEXT(EDATE($D123,Milestones!$AA$166),"dd mmm yy"))&amp;" "&amp;Milestones!$AB$166&amp;" "&amp;Milestones!$AC$166&amp;";  ","")&amp;IF(AND(EDATE($D123,Milestones!$AA$167)&lt;=AsOfDate,IF($R123=0,$X123,IF(AND($T123&lt;&gt;"",EDATE($D123,Milestones!$AA$167)&gt;=$T123),$W123,IF(AND($S123&lt;&gt;"",EDATE($D123,Milestones!$AA$167)&gt;=$S123),$V123,$U123)))=Milestones!$AB$167),UPPER(TEXT(EDATE($D123,Milestones!$AA$167),"dd mmm yy"))&amp;" "&amp;Milestones!$AB$167&amp;" "&amp;Milestones!$AC$167&amp;";  ","")&amp;IF(AND(EDATE($D123,Milestones!$AA$168)&lt;=AsOfDate,IF($R123=0,$X123,IF(AND($T123&lt;&gt;"",EDATE($D123,Milestones!$AA$168)&gt;=$T123),$W123,IF(AND($S123&lt;&gt;"",EDATE($D123,Milestones!$AA$168)&gt;=$S123),$V123,$U123)))=Milestones!$AB$168),UPPER(TEXT(EDATE($D123,Milestones!$AA$168),"dd mmm yy"))&amp;" "&amp;Milestones!$AB$168&amp;" "&amp;Milestones!$AC$168&amp;";  ","")&amp;IF(AND(EDATE($D123,Milestones!$AA$169)&lt;=AsOfDate,IF($R123=0,$X123,IF(AND($T123&lt;&gt;"",EDATE($D123,Milestones!$AA$169)&gt;=$T123),$W123,IF(AND($S123&lt;&gt;"",EDATE($D123,Milestones!$AA$169)&gt;=$S123),$V123,$U123)))=Milestones!$AB$169),UPPER(TEXT(EDATE($D123,Milestones!$AA$169),"dd mmm yy"))&amp;" "&amp;Milestones!$AB$169&amp;" "&amp;Milestones!$AC$169&amp;";  ","")&amp;IF(AND(EDATE($D123,Milestones!$AA$170)&lt;=AsOfDate,IF($R123=0,$X123,IF(AND($T123&lt;&gt;"",EDATE($D123,Milestones!$AA$170)&gt;=$T123),$W123,IF(AND($S123&lt;&gt;"",EDATE($D123,Milestones!$AA$170)&gt;=$S123),$V123,$U123)))=Milestones!$AB$170),UPPER(TEXT(EDATE($D123,Milestones!$AA$170),"dd mmm yy"))&amp;" "&amp;Milestones!$AB$170&amp;" "&amp;Milestones!$AC$170&amp;";  ","")&amp;IF(AND(EDATE($D123,Milestones!$AA$171)&lt;=AsOfDate,IF($R123=0,$X123,IF(AND($T123&lt;&gt;"",EDATE($D123,Milestones!$AA$171)&gt;=$T123),$W123,IF(AND($S123&lt;&gt;"",EDATE($D123,Milestones!$AA$171)&gt;=$S123),$V123,$U123)))=Milestones!$AB$171),UPPER(TEXT(EDATE($D123,Milestones!$AA$171),"dd mmm yy"))&amp;" "&amp;Milestones!$AB$171&amp;" "&amp;Milestones!$AC$171&amp;";  ","")&amp;IF(AND(EDATE($D123,Milestones!$AA$172)&lt;=AsOfDate,IF($R123=0,$X123,IF(AND($T123&lt;&gt;"",EDATE($D123,Milestones!$AA$172)&gt;=$T123),$W123,IF(AND($S123&lt;&gt;"",EDATE($D123,Milestones!$AA$172)&gt;=$S123),$V123,$U123)))=Milestones!$AB$172),UPPER(TEXT(EDATE($D123,Milestones!$AA$172),"dd mmm yy"))&amp;" "&amp;Milestones!$AB$172&amp;" "&amp;Milestones!$AC$172&amp;";  ","")&amp;IF(AND(EDATE($D123,Milestones!$AA$173)&lt;=AsOfDate,IF($R123=0,$X123,IF(AND($T123&lt;&gt;"",EDATE($D123,Milestones!$AA$173)&gt;=$T123),$W123,IF(AND($S123&lt;&gt;"",EDATE($D123,Milestones!$AA$173)&gt;=$S123),$V123,$U123)))=Milestones!$AB$173),UPPER(TEXT(EDATE($D123,Milestones!$AA$173),"dd mmm yy"))&amp;" "&amp;Milestones!$AB$173&amp;" "&amp;Milestones!$AC$173&amp;";  ","")&amp;IF(AND(EDATE($D123,Milestones!$AA$174)&lt;=AsOfDate,IF($R123=0,$X123,IF(AND($T123&lt;&gt;"",EDATE($D123,Milestones!$AA$174)&gt;=$T123),$W123,IF(AND($S123&lt;&gt;"",EDATE($D123,Milestones!$AA$174)&gt;=$S123),$V123,$U123)))=Milestones!$AB$174),UPPER(TEXT(EDATE($D123,Milestones!$AA$174),"dd mmm yy"))&amp;" "&amp;Milestones!$AB$174&amp;" "&amp;Milestones!$AC$174&amp;";  ","")&amp;IF(AND(EDATE($D123,Milestones!$AA$175)&lt;=AsOfDate,IF($R123=0,$X123,IF(AND($T123&lt;&gt;"",EDATE($D123,Milestones!$AA$175)&gt;=$T123),$W123,IF(AND($S123&lt;&gt;"",EDATE($D123,Milestones!$AA$175)&gt;=$S123),$V123,$U123)))=Milestones!$AB$175),UPPER(TEXT(EDATE($D123,Milestones!$AA$175),"dd mmm yy"))&amp;" "&amp;Milestones!$AB$175&amp;" "&amp;Milestones!$AC$175&amp;";  ","")&amp;IF(AND(EDATE($D123,Milestones!$AA$176)&lt;=AsOfDate,IF($R123=0,$X123,IF(AND($T123&lt;&gt;"",EDATE($D123,Milestones!$AA$176)&gt;=$T123),$W123,IF(AND($S123&lt;&gt;"",EDATE($D123,Milestones!$AA$176)&gt;=$S123),$V123,$U123)))=Milestones!$AB$176),UPPER(TEXT(EDATE($D123,Milestones!$AA$176),"dd mmm yy"))&amp;" "&amp;Milestones!$AB$176&amp;" "&amp;Milestones!$AC$176&amp;";  ","")&amp;IF(AND(EDATE($D123,Milestones!$AA$177)&lt;=AsOfDate,IF($R123=0,$X123,IF(AND($T123&lt;&gt;"",EDATE($D123,Milestones!$AA$177)&gt;=$T123),$W123,IF(AND($S123&lt;&gt;"",EDATE($D123,Milestones!$AA$177)&gt;=$S123),$V123,$U123)))=Milestones!$AB$177),UPPER(TEXT(EDATE($D123,Milestones!$AA$177),"dd mmm yy"))&amp;" "&amp;Milestones!$AB$177&amp;" "&amp;Milestones!$AC$177&amp;";  ","")&amp;IF(AND(EDATE($D123,Milestones!$AA$178)&lt;=AsOfDate,IF($R123=0,$X123,IF(AND($T123&lt;&gt;"",EDATE($D123,Milestones!$AA$178)&gt;=$T123),$W123,IF(AND($S123&lt;&gt;"",EDATE($D123,Milestones!$AA$178)&gt;=$S123),$V123,$U123)))=Milestones!$AB$178),UPPER(TEXT(EDATE($D123,Milestones!$AA$178),"dd mmm yy"))&amp;" "&amp;Milestones!$AB$178&amp;" "&amp;Milestones!$AC$178&amp;";  ","")&amp;IF(AND(EDATE($D123,Milestones!$AA$179)&lt;=AsOfDate,IF($R123=0,$X123,IF(AND($T123&lt;&gt;"",EDATE($D123,Milestones!$AA$179)&gt;=$T123),$W123,IF(AND($S123&lt;&gt;"",EDATE($D123,Milestones!$AA$179)&gt;=$S123),$V123,$U123)))=Milestones!$AB$179),UPPER(TEXT(EDATE($D123,Milestones!$AA$179),"dd mmm yy"))&amp;" "&amp;Milestones!$AB$179&amp;" "&amp;Milestones!$AC$179&amp;";  ",""))</f>
        <v/>
      </c>
      <c r="Q123" s="0" t="str">
        <f aca="false">IF(OR($A123="",$D123=""),"",IF(AND(EDATE($D123,Milestones!$AA$180)&lt;=AsOfDate,IF($R123=0,$X123,IF(AND($T123&lt;&gt;"",EDATE($D123,Milestones!$AA$180)&gt;=$T123),$W123,IF(AND($S123&lt;&gt;"",EDATE($D123,Milestones!$AA$180)&gt;=$S123),$V123,$U123)))=Milestones!$AB$180),UPPER(TEXT(EDATE($D123,Milestones!$AA$180),"dd mmm yy"))&amp;" "&amp;Milestones!$AB$180&amp;" "&amp;Milestones!$AC$180&amp;";  ","")&amp;IF(AND(EDATE($D123,Milestones!$AA$181)&lt;=AsOfDate,IF($R123=0,$X123,IF(AND($T123&lt;&gt;"",EDATE($D123,Milestones!$AA$181)&gt;=$T123),$W123,IF(AND($S123&lt;&gt;"",EDATE($D123,Milestones!$AA$181)&gt;=$S123),$V123,$U123)))=Milestones!$AB$181),UPPER(TEXT(EDATE($D123,Milestones!$AA$181),"dd mmm yy"))&amp;" "&amp;Milestones!$AB$181&amp;" "&amp;Milestones!$AC$181&amp;";  ","")&amp;IF(AND(EDATE($D123,Milestones!$AA$182)&lt;=AsOfDate,IF($R123=0,$X123,IF(AND($T123&lt;&gt;"",EDATE($D123,Milestones!$AA$182)&gt;=$T123),$W123,IF(AND($S123&lt;&gt;"",EDATE($D123,Milestones!$AA$182)&gt;=$S123),$V123,$U123)))=Milestones!$AB$182),UPPER(TEXT(EDATE($D123,Milestones!$AA$182),"dd mmm yy"))&amp;" "&amp;Milestones!$AB$182&amp;" "&amp;Milestones!$AC$182&amp;";  ","")&amp;IF(AND(EDATE($D123,Milestones!$AA$183)&lt;=AsOfDate,IF($R123=0,$X123,IF(AND($T123&lt;&gt;"",EDATE($D123,Milestones!$AA$183)&gt;=$T123),$W123,IF(AND($S123&lt;&gt;"",EDATE($D123,Milestones!$AA$183)&gt;=$S123),$V123,$U123)))=Milestones!$AB$183),UPPER(TEXT(EDATE($D123,Milestones!$AA$183),"dd mmm yy"))&amp;" "&amp;Milestones!$AB$183&amp;" "&amp;Milestones!$AC$183&amp;";  ","")&amp;IF(AND(EDATE($D123,Milestones!$AA$184)&lt;=AsOfDate,IF($R123=0,$X123,IF(AND($T123&lt;&gt;"",EDATE($D123,Milestones!$AA$184)&gt;=$T123),$W123,IF(AND($S123&lt;&gt;"",EDATE($D123,Milestones!$AA$184)&gt;=$S123),$V123,$U123)))=Milestones!$AB$184),UPPER(TEXT(EDATE($D123,Milestones!$AA$184),"dd mmm yy"))&amp;" "&amp;Milestones!$AB$184&amp;" "&amp;Milestones!$AC$184&amp;";  ","")&amp;IF(AND(EDATE($D123,Milestones!$AA$185)&lt;=AsOfDate,IF($R123=0,$X123,IF(AND($T123&lt;&gt;"",EDATE($D123,Milestones!$AA$185)&gt;=$T123),$W123,IF(AND($S123&lt;&gt;"",EDATE($D123,Milestones!$AA$185)&gt;=$S123),$V123,$U123)))=Milestones!$AB$185),UPPER(TEXT(EDATE($D123,Milestones!$AA$185),"dd mmm yy"))&amp;" "&amp;Milestones!$AB$185&amp;" "&amp;Milestones!$AC$185&amp;";  ","")&amp;IF(AND(EDATE($D123,Milestones!$AA$186)&lt;=AsOfDate,IF($R123=0,$X123,IF(AND($T123&lt;&gt;"",EDATE($D123,Milestones!$AA$186)&gt;=$T123),$W123,IF(AND($S123&lt;&gt;"",EDATE($D123,Milestones!$AA$186)&gt;=$S123),$V123,$U123)))=Milestones!$AB$186),UPPER(TEXT(EDATE($D123,Milestones!$AA$186),"dd mmm yy"))&amp;" "&amp;Milestones!$AB$186&amp;" "&amp;Milestones!$AC$186&amp;";  ","")&amp;IF(AND(EDATE($D123,Milestones!$AA$187)&lt;=AsOfDate,IF($R123=0,$X123,IF(AND($T123&lt;&gt;"",EDATE($D123,Milestones!$AA$187)&gt;=$T123),$W123,IF(AND($S123&lt;&gt;"",EDATE($D123,Milestones!$AA$187)&gt;=$S123),$V123,$U123)))=Milestones!$AB$187),UPPER(TEXT(EDATE($D123,Milestones!$AA$187),"dd mmm yy"))&amp;" "&amp;Milestones!$AB$187&amp;" "&amp;Milestones!$AC$187&amp;";  ","")&amp;IF(AND(EDATE($D123,Milestones!$AA$188)&lt;=AsOfDate,IF($R123=0,$X123,IF(AND($T123&lt;&gt;"",EDATE($D123,Milestones!$AA$188)&gt;=$T123),$W123,IF(AND($S123&lt;&gt;"",EDATE($D123,Milestones!$AA$188)&gt;=$S123),$V123,$U123)))=Milestones!$AB$188),UPPER(TEXT(EDATE($D123,Milestones!$AA$188),"dd mmm yy"))&amp;" "&amp;Milestones!$AB$188&amp;" "&amp;Milestones!$AC$188&amp;";  ","")&amp;IF(AND(EDATE($D123,Milestones!$AA$189)&lt;=AsOfDate,IF($R123=0,$X123,IF(AND($T123&lt;&gt;"",EDATE($D123,Milestones!$AA$189)&gt;=$T123),$W123,IF(AND($S123&lt;&gt;"",EDATE($D123,Milestones!$AA$189)&gt;=$S123),$V123,$U123)))=Milestones!$AB$189),UPPER(TEXT(EDATE($D123,Milestones!$AA$189),"dd mmm yy"))&amp;" "&amp;Milestones!$AB$189&amp;" "&amp;Milestones!$AC$189&amp;";  ","")&amp;IF(AND(EDATE($D123,Milestones!$AA$190)&lt;=AsOfDate,IF($R123=0,$X123,IF(AND($T123&lt;&gt;"",EDATE($D123,Milestones!$AA$190)&gt;=$T123),$W123,IF(AND($S123&lt;&gt;"",EDATE($D123,Milestones!$AA$190)&gt;=$S123),$V123,$U123)))=Milestones!$AB$190),UPPER(TEXT(EDATE($D123,Milestones!$AA$190),"dd mmm yy"))&amp;" "&amp;Milestones!$AB$190&amp;" "&amp;Milestones!$AC$190&amp;";  ","")&amp;IF(AND(EDATE($D123,Milestones!$AA$191)&lt;=AsOfDate,IF($R123=0,$X123,IF(AND($T123&lt;&gt;"",EDATE($D123,Milestones!$AA$191)&gt;=$T123),$W123,IF(AND($S123&lt;&gt;"",EDATE($D123,Milestones!$AA$191)&gt;=$S123),$V123,$U123)))=Milestones!$AB$191),UPPER(TEXT(EDATE($D123,Milestones!$AA$191),"dd mmm yy"))&amp;" "&amp;Milestones!$AB$191&amp;" "&amp;Milestones!$AC$191&amp;";  ","")&amp;IF(AND(EDATE($D123,Milestones!$AA$192)&lt;=AsOfDate,IF($R123=0,$X123,IF(AND($T123&lt;&gt;"",EDATE($D123,Milestones!$AA$192)&gt;=$T123),$W123,IF(AND($S123&lt;&gt;"",EDATE($D123,Milestones!$AA$192)&gt;=$S123),$V123,$U123)))=Milestones!$AB$192),UPPER(TEXT(EDATE($D123,Milestones!$AA$192),"dd mmm yy"))&amp;" "&amp;Milestones!$AB$192&amp;" "&amp;Milestones!$AC$192&amp;";  ","")&amp;IF(AND(EDATE($D123,Milestones!$AA$193)&lt;=AsOfDate,IF($R123=0,$X123,IF(AND($T123&lt;&gt;"",EDATE($D123,Milestones!$AA$193)&gt;=$T123),$W123,IF(AND($S123&lt;&gt;"",EDATE($D123,Milestones!$AA$193)&gt;=$S123),$V123,$U123)))=Milestones!$AB$193),UPPER(TEXT(EDATE($D123,Milestones!$AA$193),"dd mmm yy"))&amp;" "&amp;Milestones!$AB$193&amp;" "&amp;Milestones!$AC$193&amp;";  ","")&amp;IF(AND(EDATE($D123,Milestones!$AA$194)&lt;=AsOfDate,IF($R123=0,$X123,IF(AND($T123&lt;&gt;"",EDATE($D123,Milestones!$AA$194)&gt;=$T123),$W123,IF(AND($S123&lt;&gt;"",EDATE($D123,Milestones!$AA$194)&gt;=$S123),$V123,$U123)))=Milestones!$AB$194),UPPER(TEXT(EDATE($D123,Milestones!$AA$194),"dd mmm yy"))&amp;" "&amp;Milestones!$AB$194&amp;" "&amp;Milestones!$AC$194&amp;";  ","")&amp;IF(AND(EDATE($D123,Milestones!$AA$195)&lt;=AsOfDate,IF($R123=0,$X123,IF(AND($T123&lt;&gt;"",EDATE($D123,Milestones!$AA$195)&gt;=$T123),$W123,IF(AND($S123&lt;&gt;"",EDATE($D123,Milestones!$AA$195)&gt;=$S123),$V123,$U123)))=Milestones!$AB$195),UPPER(TEXT(EDATE($D123,Milestones!$AA$195),"dd mmm yy"))&amp;" "&amp;Milestones!$AB$195&amp;" "&amp;Milestones!$AC$195&amp;";  ","")&amp;IF(AND(EDATE($D123,Milestones!$AA$196)&lt;=AsOfDate,IF($R123=0,$X123,IF(AND($T123&lt;&gt;"",EDATE($D123,Milestones!$AA$196)&gt;=$T123),$W123,IF(AND($S123&lt;&gt;"",EDATE($D123,Milestones!$AA$196)&gt;=$S123),$V123,$U123)))=Milestones!$AB$196),UPPER(TEXT(EDATE($D123,Milestones!$AA$196),"dd mmm yy"))&amp;" "&amp;Milestones!$AB$196&amp;" "&amp;Milestones!$AC$196&amp;";  ","")&amp;IF(AND(EDATE($D123,Milestones!$AA$197)&lt;=AsOfDate,IF($R123=0,$X123,IF(AND($T123&lt;&gt;"",EDATE($D123,Milestones!$AA$197)&gt;=$T123),$W123,IF(AND($S123&lt;&gt;"",EDATE($D123,Milestones!$AA$197)&gt;=$S123),$V123,$U123)))=Milestones!$AB$197),UPPER(TEXT(EDATE($D123,Milestones!$AA$197),"dd mmm yy"))&amp;" "&amp;Milestones!$AB$197&amp;" "&amp;Milestones!$AC$197&amp;";  ","")&amp;IF(AND(EDATE($D123,Milestones!$AA$198)&lt;=AsOfDate,IF($R123=0,$X123,IF(AND($T123&lt;&gt;"",EDATE($D123,Milestones!$AA$198)&gt;=$T123),$W123,IF(AND($S123&lt;&gt;"",EDATE($D123,Milestones!$AA$198)&gt;=$S123),$V123,$U123)))=Milestones!$AB$198),UPPER(TEXT(EDATE($D123,Milestones!$AA$198),"dd mmm yy"))&amp;" "&amp;Milestones!$AB$198&amp;" "&amp;Milestones!$AC$198&amp;";  ","")&amp;IF(AND(EDATE($D123,Milestones!$AA$199)&lt;=AsOfDate,IF($R123=0,$X123,IF(AND($T123&lt;&gt;"",EDATE($D123,Milestones!$AA$199)&gt;=$T123),$W123,IF(AND($S123&lt;&gt;"",EDATE($D123,Milestones!$AA$199)&gt;=$S123),$V123,$U123)))=Milestones!$AB$199),UPPER(TEXT(EDATE($D123,Milestones!$AA$199),"dd mmm yy"))&amp;" "&amp;Milestones!$AB$199&amp;" "&amp;Milestones!$AC$199&amp;";  ",""))</f>
        <v/>
      </c>
      <c r="R123" s="0" t="str">
        <f aca="false">IF(Staff!$A123="","",Staff!$AI123)</f>
        <v/>
      </c>
      <c r="S123" s="0" t="str">
        <f aca="false">IF(Staff!$A123="","",Staff!$AK123)</f>
        <v/>
      </c>
      <c r="T123" s="0" t="str">
        <f aca="false">IF(Staff!$A123="","",Staff!$AL123)</f>
        <v/>
      </c>
      <c r="U123" s="0" t="str">
        <f aca="false">IF(Staff!$A123="","",Staff!$AP123)</f>
        <v/>
      </c>
      <c r="V123" s="0" t="str">
        <f aca="false">IF(Staff!$A123="","",Staff!$AQ123)</f>
        <v/>
      </c>
      <c r="W123" s="0" t="str">
        <f aca="false">IF(Staff!$A123="","",Staff!$AR123)</f>
        <v/>
      </c>
      <c r="X123" s="0" t="str">
        <f aca="false">IF(Staff!$A123="","",Staff!$AS123)</f>
        <v/>
      </c>
    </row>
    <row r="124" customFormat="false" ht="15" hidden="false" customHeight="false" outlineLevel="0" collapsed="false">
      <c r="A124" s="19" t="str">
        <f aca="false">IF(Staff!$A124="","",Staff!$A124)</f>
        <v/>
      </c>
      <c r="B124" s="19" t="str">
        <f aca="false">IF(Staff!$A124="","",Staff!$B124)</f>
        <v/>
      </c>
      <c r="C124" s="19" t="str">
        <f aca="false">IF(Staff!$A124="","",Staff!$C124)</f>
        <v/>
      </c>
      <c r="D124" s="17" t="str">
        <f aca="false">IF(Staff!$A124="","",Staff!$AH124)</f>
        <v/>
      </c>
      <c r="E124" s="19" t="str">
        <f aca="false">IF(Staff!$A124="","",Staff!$O124)</f>
        <v/>
      </c>
      <c r="F124" s="19" t="str">
        <f aca="false">IF(E124="","",E124*HoursPerDay)</f>
        <v/>
      </c>
      <c r="G124" s="19" t="str">
        <f aca="false">IF(Staff!$A124="","",Staff!$AE124)</f>
        <v/>
      </c>
      <c r="H124" s="32" t="str">
        <f aca="false">IF($A124="","",I124&amp;J124&amp;K124&amp;L124&amp;M124&amp;N124&amp;O124&amp;P124&amp;Q124)</f>
        <v/>
      </c>
      <c r="I124" s="0" t="str">
        <f aca="false">IF(OR($A124="",$D124=""),"",IF(AND(EDATE($D124,Milestones!$AA$20)&lt;=AsOfDate,IF($R124=0,$X124,IF(AND($T124&lt;&gt;"",EDATE($D124,Milestones!$AA$20)&gt;=$T124),$W124,IF(AND($S124&lt;&gt;"",EDATE($D124,Milestones!$AA$20)&gt;=$S124),$V124,$U124)))=Milestones!$AB$20),UPPER(TEXT(EDATE($D124,Milestones!$AA$20),"dd mmm yy"))&amp;" "&amp;Milestones!$AB$20&amp;" "&amp;Milestones!$AC$20&amp;";  ","")&amp;IF(AND(EDATE($D124,Milestones!$AA$21)&lt;=AsOfDate,IF($R124=0,$X124,IF(AND($T124&lt;&gt;"",EDATE($D124,Milestones!$AA$21)&gt;=$T124),$W124,IF(AND($S124&lt;&gt;"",EDATE($D124,Milestones!$AA$21)&gt;=$S124),$V124,$U124)))=Milestones!$AB$21),UPPER(TEXT(EDATE($D124,Milestones!$AA$21),"dd mmm yy"))&amp;" "&amp;Milestones!$AB$21&amp;" "&amp;Milestones!$AC$21&amp;";  ","")&amp;IF(AND(EDATE($D124,Milestones!$AA$22)&lt;=AsOfDate,IF($R124=0,$X124,IF(AND($T124&lt;&gt;"",EDATE($D124,Milestones!$AA$22)&gt;=$T124),$W124,IF(AND($S124&lt;&gt;"",EDATE($D124,Milestones!$AA$22)&gt;=$S124),$V124,$U124)))=Milestones!$AB$22),UPPER(TEXT(EDATE($D124,Milestones!$AA$22),"dd mmm yy"))&amp;" "&amp;Milestones!$AB$22&amp;" "&amp;Milestones!$AC$22&amp;";  ","")&amp;IF(AND(EDATE($D124,Milestones!$AA$23)&lt;=AsOfDate,IF($R124=0,$X124,IF(AND($T124&lt;&gt;"",EDATE($D124,Milestones!$AA$23)&gt;=$T124),$W124,IF(AND($S124&lt;&gt;"",EDATE($D124,Milestones!$AA$23)&gt;=$S124),$V124,$U124)))=Milestones!$AB$23),UPPER(TEXT(EDATE($D124,Milestones!$AA$23),"dd mmm yy"))&amp;" "&amp;Milestones!$AB$23&amp;" "&amp;Milestones!$AC$23&amp;";  ","")&amp;IF(AND(EDATE($D124,Milestones!$AA$24)&lt;=AsOfDate,IF($R124=0,$X124,IF(AND($T124&lt;&gt;"",EDATE($D124,Milestones!$AA$24)&gt;=$T124),$W124,IF(AND($S124&lt;&gt;"",EDATE($D124,Milestones!$AA$24)&gt;=$S124),$V124,$U124)))=Milestones!$AB$24),UPPER(TEXT(EDATE($D124,Milestones!$AA$24),"dd mmm yy"))&amp;" "&amp;Milestones!$AB$24&amp;" "&amp;Milestones!$AC$24&amp;";  ","")&amp;IF(AND(EDATE($D124,Milestones!$AA$25)&lt;=AsOfDate,IF($R124=0,$X124,IF(AND($T124&lt;&gt;"",EDATE($D124,Milestones!$AA$25)&gt;=$T124),$W124,IF(AND($S124&lt;&gt;"",EDATE($D124,Milestones!$AA$25)&gt;=$S124),$V124,$U124)))=Milestones!$AB$25),UPPER(TEXT(EDATE($D124,Milestones!$AA$25),"dd mmm yy"))&amp;" "&amp;Milestones!$AB$25&amp;" "&amp;Milestones!$AC$25&amp;";  ","")&amp;IF(AND(EDATE($D124,Milestones!$AA$26)&lt;=AsOfDate,IF($R124=0,$X124,IF(AND($T124&lt;&gt;"",EDATE($D124,Milestones!$AA$26)&gt;=$T124),$W124,IF(AND($S124&lt;&gt;"",EDATE($D124,Milestones!$AA$26)&gt;=$S124),$V124,$U124)))=Milestones!$AB$26),UPPER(TEXT(EDATE($D124,Milestones!$AA$26),"dd mmm yy"))&amp;" "&amp;Milestones!$AB$26&amp;" "&amp;Milestones!$AC$26&amp;";  ","")&amp;IF(AND(EDATE($D124,Milestones!$AA$27)&lt;=AsOfDate,IF($R124=0,$X124,IF(AND($T124&lt;&gt;"",EDATE($D124,Milestones!$AA$27)&gt;=$T124),$W124,IF(AND($S124&lt;&gt;"",EDATE($D124,Milestones!$AA$27)&gt;=$S124),$V124,$U124)))=Milestones!$AB$27),UPPER(TEXT(EDATE($D124,Milestones!$AA$27),"dd mmm yy"))&amp;" "&amp;Milestones!$AB$27&amp;" "&amp;Milestones!$AC$27&amp;";  ","")&amp;IF(AND(EDATE($D124,Milestones!$AA$28)&lt;=AsOfDate,IF($R124=0,$X124,IF(AND($T124&lt;&gt;"",EDATE($D124,Milestones!$AA$28)&gt;=$T124),$W124,IF(AND($S124&lt;&gt;"",EDATE($D124,Milestones!$AA$28)&gt;=$S124),$V124,$U124)))=Milestones!$AB$28),UPPER(TEXT(EDATE($D124,Milestones!$AA$28),"dd mmm yy"))&amp;" "&amp;Milestones!$AB$28&amp;" "&amp;Milestones!$AC$28&amp;";  ","")&amp;IF(AND(EDATE($D124,Milestones!$AA$29)&lt;=AsOfDate,IF($R124=0,$X124,IF(AND($T124&lt;&gt;"",EDATE($D124,Milestones!$AA$29)&gt;=$T124),$W124,IF(AND($S124&lt;&gt;"",EDATE($D124,Milestones!$AA$29)&gt;=$S124),$V124,$U124)))=Milestones!$AB$29),UPPER(TEXT(EDATE($D124,Milestones!$AA$29),"dd mmm yy"))&amp;" "&amp;Milestones!$AB$29&amp;" "&amp;Milestones!$AC$29&amp;";  ","")&amp;IF(AND(EDATE($D124,Milestones!$AA$30)&lt;=AsOfDate,IF($R124=0,$X124,IF(AND($T124&lt;&gt;"",EDATE($D124,Milestones!$AA$30)&gt;=$T124),$W124,IF(AND($S124&lt;&gt;"",EDATE($D124,Milestones!$AA$30)&gt;=$S124),$V124,$U124)))=Milestones!$AB$30),UPPER(TEXT(EDATE($D124,Milestones!$AA$30),"dd mmm yy"))&amp;" "&amp;Milestones!$AB$30&amp;" "&amp;Milestones!$AC$30&amp;";  ","")&amp;IF(AND(EDATE($D124,Milestones!$AA$31)&lt;=AsOfDate,IF($R124=0,$X124,IF(AND($T124&lt;&gt;"",EDATE($D124,Milestones!$AA$31)&gt;=$T124),$W124,IF(AND($S124&lt;&gt;"",EDATE($D124,Milestones!$AA$31)&gt;=$S124),$V124,$U124)))=Milestones!$AB$31),UPPER(TEXT(EDATE($D124,Milestones!$AA$31),"dd mmm yy"))&amp;" "&amp;Milestones!$AB$31&amp;" "&amp;Milestones!$AC$31&amp;";  ","")&amp;IF(AND(EDATE($D124,Milestones!$AA$32)&lt;=AsOfDate,IF($R124=0,$X124,IF(AND($T124&lt;&gt;"",EDATE($D124,Milestones!$AA$32)&gt;=$T124),$W124,IF(AND($S124&lt;&gt;"",EDATE($D124,Milestones!$AA$32)&gt;=$S124),$V124,$U124)))=Milestones!$AB$32),UPPER(TEXT(EDATE($D124,Milestones!$AA$32),"dd mmm yy"))&amp;" "&amp;Milestones!$AB$32&amp;" "&amp;Milestones!$AC$32&amp;";  ","")&amp;IF(AND(EDATE($D124,Milestones!$AA$33)&lt;=AsOfDate,IF($R124=0,$X124,IF(AND($T124&lt;&gt;"",EDATE($D124,Milestones!$AA$33)&gt;=$T124),$W124,IF(AND($S124&lt;&gt;"",EDATE($D124,Milestones!$AA$33)&gt;=$S124),$V124,$U124)))=Milestones!$AB$33),UPPER(TEXT(EDATE($D124,Milestones!$AA$33),"dd mmm yy"))&amp;" "&amp;Milestones!$AB$33&amp;" "&amp;Milestones!$AC$33&amp;";  ","")&amp;IF(AND(EDATE($D124,Milestones!$AA$34)&lt;=AsOfDate,IF($R124=0,$X124,IF(AND($T124&lt;&gt;"",EDATE($D124,Milestones!$AA$34)&gt;=$T124),$W124,IF(AND($S124&lt;&gt;"",EDATE($D124,Milestones!$AA$34)&gt;=$S124),$V124,$U124)))=Milestones!$AB$34),UPPER(TEXT(EDATE($D124,Milestones!$AA$34),"dd mmm yy"))&amp;" "&amp;Milestones!$AB$34&amp;" "&amp;Milestones!$AC$34&amp;";  ","")&amp;IF(AND(EDATE($D124,Milestones!$AA$35)&lt;=AsOfDate,IF($R124=0,$X124,IF(AND($T124&lt;&gt;"",EDATE($D124,Milestones!$AA$35)&gt;=$T124),$W124,IF(AND($S124&lt;&gt;"",EDATE($D124,Milestones!$AA$35)&gt;=$S124),$V124,$U124)))=Milestones!$AB$35),UPPER(TEXT(EDATE($D124,Milestones!$AA$35),"dd mmm yy"))&amp;" "&amp;Milestones!$AB$35&amp;" "&amp;Milestones!$AC$35&amp;";  ","")&amp;IF(AND(EDATE($D124,Milestones!$AA$36)&lt;=AsOfDate,IF($R124=0,$X124,IF(AND($T124&lt;&gt;"",EDATE($D124,Milestones!$AA$36)&gt;=$T124),$W124,IF(AND($S124&lt;&gt;"",EDATE($D124,Milestones!$AA$36)&gt;=$S124),$V124,$U124)))=Milestones!$AB$36),UPPER(TEXT(EDATE($D124,Milestones!$AA$36),"dd mmm yy"))&amp;" "&amp;Milestones!$AB$36&amp;" "&amp;Milestones!$AC$36&amp;";  ","")&amp;IF(AND(EDATE($D124,Milestones!$AA$37)&lt;=AsOfDate,IF($R124=0,$X124,IF(AND($T124&lt;&gt;"",EDATE($D124,Milestones!$AA$37)&gt;=$T124),$W124,IF(AND($S124&lt;&gt;"",EDATE($D124,Milestones!$AA$37)&gt;=$S124),$V124,$U124)))=Milestones!$AB$37),UPPER(TEXT(EDATE($D124,Milestones!$AA$37),"dd mmm yy"))&amp;" "&amp;Milestones!$AB$37&amp;" "&amp;Milestones!$AC$37&amp;";  ","")&amp;IF(AND(EDATE($D124,Milestones!$AA$38)&lt;=AsOfDate,IF($R124=0,$X124,IF(AND($T124&lt;&gt;"",EDATE($D124,Milestones!$AA$38)&gt;=$T124),$W124,IF(AND($S124&lt;&gt;"",EDATE($D124,Milestones!$AA$38)&gt;=$S124),$V124,$U124)))=Milestones!$AB$38),UPPER(TEXT(EDATE($D124,Milestones!$AA$38),"dd mmm yy"))&amp;" "&amp;Milestones!$AB$38&amp;" "&amp;Milestones!$AC$38&amp;";  ","")&amp;IF(AND(EDATE($D124,Milestones!$AA$39)&lt;=AsOfDate,IF($R124=0,$X124,IF(AND($T124&lt;&gt;"",EDATE($D124,Milestones!$AA$39)&gt;=$T124),$W124,IF(AND($S124&lt;&gt;"",EDATE($D124,Milestones!$AA$39)&gt;=$S124),$V124,$U124)))=Milestones!$AB$39),UPPER(TEXT(EDATE($D124,Milestones!$AA$39),"dd mmm yy"))&amp;" "&amp;Milestones!$AB$39&amp;" "&amp;Milestones!$AC$39&amp;";  ",""))</f>
        <v/>
      </c>
      <c r="J124" s="0" t="str">
        <f aca="false">IF(OR($A124="",$D124=""),"",IF(AND(EDATE($D124,Milestones!$AA$40)&lt;=AsOfDate,IF($R124=0,$X124,IF(AND($T124&lt;&gt;"",EDATE($D124,Milestones!$AA$40)&gt;=$T124),$W124,IF(AND($S124&lt;&gt;"",EDATE($D124,Milestones!$AA$40)&gt;=$S124),$V124,$U124)))=Milestones!$AB$40),UPPER(TEXT(EDATE($D124,Milestones!$AA$40),"dd mmm yy"))&amp;" "&amp;Milestones!$AB$40&amp;" "&amp;Milestones!$AC$40&amp;";  ","")&amp;IF(AND(EDATE($D124,Milestones!$AA$41)&lt;=AsOfDate,IF($R124=0,$X124,IF(AND($T124&lt;&gt;"",EDATE($D124,Milestones!$AA$41)&gt;=$T124),$W124,IF(AND($S124&lt;&gt;"",EDATE($D124,Milestones!$AA$41)&gt;=$S124),$V124,$U124)))=Milestones!$AB$41),UPPER(TEXT(EDATE($D124,Milestones!$AA$41),"dd mmm yy"))&amp;" "&amp;Milestones!$AB$41&amp;" "&amp;Milestones!$AC$41&amp;";  ","")&amp;IF(AND(EDATE($D124,Milestones!$AA$42)&lt;=AsOfDate,IF($R124=0,$X124,IF(AND($T124&lt;&gt;"",EDATE($D124,Milestones!$AA$42)&gt;=$T124),$W124,IF(AND($S124&lt;&gt;"",EDATE($D124,Milestones!$AA$42)&gt;=$S124),$V124,$U124)))=Milestones!$AB$42),UPPER(TEXT(EDATE($D124,Milestones!$AA$42),"dd mmm yy"))&amp;" "&amp;Milestones!$AB$42&amp;" "&amp;Milestones!$AC$42&amp;";  ","")&amp;IF(AND(EDATE($D124,Milestones!$AA$43)&lt;=AsOfDate,IF($R124=0,$X124,IF(AND($T124&lt;&gt;"",EDATE($D124,Milestones!$AA$43)&gt;=$T124),$W124,IF(AND($S124&lt;&gt;"",EDATE($D124,Milestones!$AA$43)&gt;=$S124),$V124,$U124)))=Milestones!$AB$43),UPPER(TEXT(EDATE($D124,Milestones!$AA$43),"dd mmm yy"))&amp;" "&amp;Milestones!$AB$43&amp;" "&amp;Milestones!$AC$43&amp;";  ","")&amp;IF(AND(EDATE($D124,Milestones!$AA$44)&lt;=AsOfDate,IF($R124=0,$X124,IF(AND($T124&lt;&gt;"",EDATE($D124,Milestones!$AA$44)&gt;=$T124),$W124,IF(AND($S124&lt;&gt;"",EDATE($D124,Milestones!$AA$44)&gt;=$S124),$V124,$U124)))=Milestones!$AB$44),UPPER(TEXT(EDATE($D124,Milestones!$AA$44),"dd mmm yy"))&amp;" "&amp;Milestones!$AB$44&amp;" "&amp;Milestones!$AC$44&amp;";  ","")&amp;IF(AND(EDATE($D124,Milestones!$AA$45)&lt;=AsOfDate,IF($R124=0,$X124,IF(AND($T124&lt;&gt;"",EDATE($D124,Milestones!$AA$45)&gt;=$T124),$W124,IF(AND($S124&lt;&gt;"",EDATE($D124,Milestones!$AA$45)&gt;=$S124),$V124,$U124)))=Milestones!$AB$45),UPPER(TEXT(EDATE($D124,Milestones!$AA$45),"dd mmm yy"))&amp;" "&amp;Milestones!$AB$45&amp;" "&amp;Milestones!$AC$45&amp;";  ","")&amp;IF(AND(EDATE($D124,Milestones!$AA$46)&lt;=AsOfDate,IF($R124=0,$X124,IF(AND($T124&lt;&gt;"",EDATE($D124,Milestones!$AA$46)&gt;=$T124),$W124,IF(AND($S124&lt;&gt;"",EDATE($D124,Milestones!$AA$46)&gt;=$S124),$V124,$U124)))=Milestones!$AB$46),UPPER(TEXT(EDATE($D124,Milestones!$AA$46),"dd mmm yy"))&amp;" "&amp;Milestones!$AB$46&amp;" "&amp;Milestones!$AC$46&amp;";  ","")&amp;IF(AND(EDATE($D124,Milestones!$AA$47)&lt;=AsOfDate,IF($R124=0,$X124,IF(AND($T124&lt;&gt;"",EDATE($D124,Milestones!$AA$47)&gt;=$T124),$W124,IF(AND($S124&lt;&gt;"",EDATE($D124,Milestones!$AA$47)&gt;=$S124),$V124,$U124)))=Milestones!$AB$47),UPPER(TEXT(EDATE($D124,Milestones!$AA$47),"dd mmm yy"))&amp;" "&amp;Milestones!$AB$47&amp;" "&amp;Milestones!$AC$47&amp;";  ","")&amp;IF(AND(EDATE($D124,Milestones!$AA$48)&lt;=AsOfDate,IF($R124=0,$X124,IF(AND($T124&lt;&gt;"",EDATE($D124,Milestones!$AA$48)&gt;=$T124),$W124,IF(AND($S124&lt;&gt;"",EDATE($D124,Milestones!$AA$48)&gt;=$S124),$V124,$U124)))=Milestones!$AB$48),UPPER(TEXT(EDATE($D124,Milestones!$AA$48),"dd mmm yy"))&amp;" "&amp;Milestones!$AB$48&amp;" "&amp;Milestones!$AC$48&amp;";  ","")&amp;IF(AND(EDATE($D124,Milestones!$AA$49)&lt;=AsOfDate,IF($R124=0,$X124,IF(AND($T124&lt;&gt;"",EDATE($D124,Milestones!$AA$49)&gt;=$T124),$W124,IF(AND($S124&lt;&gt;"",EDATE($D124,Milestones!$AA$49)&gt;=$S124),$V124,$U124)))=Milestones!$AB$49),UPPER(TEXT(EDATE($D124,Milestones!$AA$49),"dd mmm yy"))&amp;" "&amp;Milestones!$AB$49&amp;" "&amp;Milestones!$AC$49&amp;";  ","")&amp;IF(AND(EDATE($D124,Milestones!$AA$50)&lt;=AsOfDate,IF($R124=0,$X124,IF(AND($T124&lt;&gt;"",EDATE($D124,Milestones!$AA$50)&gt;=$T124),$W124,IF(AND($S124&lt;&gt;"",EDATE($D124,Milestones!$AA$50)&gt;=$S124),$V124,$U124)))=Milestones!$AB$50),UPPER(TEXT(EDATE($D124,Milestones!$AA$50),"dd mmm yy"))&amp;" "&amp;Milestones!$AB$50&amp;" "&amp;Milestones!$AC$50&amp;";  ","")&amp;IF(AND(EDATE($D124,Milestones!$AA$51)&lt;=AsOfDate,IF($R124=0,$X124,IF(AND($T124&lt;&gt;"",EDATE($D124,Milestones!$AA$51)&gt;=$T124),$W124,IF(AND($S124&lt;&gt;"",EDATE($D124,Milestones!$AA$51)&gt;=$S124),$V124,$U124)))=Milestones!$AB$51),UPPER(TEXT(EDATE($D124,Milestones!$AA$51),"dd mmm yy"))&amp;" "&amp;Milestones!$AB$51&amp;" "&amp;Milestones!$AC$51&amp;";  ","")&amp;IF(AND(EDATE($D124,Milestones!$AA$52)&lt;=AsOfDate,IF($R124=0,$X124,IF(AND($T124&lt;&gt;"",EDATE($D124,Milestones!$AA$52)&gt;=$T124),$W124,IF(AND($S124&lt;&gt;"",EDATE($D124,Milestones!$AA$52)&gt;=$S124),$V124,$U124)))=Milestones!$AB$52),UPPER(TEXT(EDATE($D124,Milestones!$AA$52),"dd mmm yy"))&amp;" "&amp;Milestones!$AB$52&amp;" "&amp;Milestones!$AC$52&amp;";  ","")&amp;IF(AND(EDATE($D124,Milestones!$AA$53)&lt;=AsOfDate,IF($R124=0,$X124,IF(AND($T124&lt;&gt;"",EDATE($D124,Milestones!$AA$53)&gt;=$T124),$W124,IF(AND($S124&lt;&gt;"",EDATE($D124,Milestones!$AA$53)&gt;=$S124),$V124,$U124)))=Milestones!$AB$53),UPPER(TEXT(EDATE($D124,Milestones!$AA$53),"dd mmm yy"))&amp;" "&amp;Milestones!$AB$53&amp;" "&amp;Milestones!$AC$53&amp;";  ","")&amp;IF(AND(EDATE($D124,Milestones!$AA$54)&lt;=AsOfDate,IF($R124=0,$X124,IF(AND($T124&lt;&gt;"",EDATE($D124,Milestones!$AA$54)&gt;=$T124),$W124,IF(AND($S124&lt;&gt;"",EDATE($D124,Milestones!$AA$54)&gt;=$S124),$V124,$U124)))=Milestones!$AB$54),UPPER(TEXT(EDATE($D124,Milestones!$AA$54),"dd mmm yy"))&amp;" "&amp;Milestones!$AB$54&amp;" "&amp;Milestones!$AC$54&amp;";  ","")&amp;IF(AND(EDATE($D124,Milestones!$AA$55)&lt;=AsOfDate,IF($R124=0,$X124,IF(AND($T124&lt;&gt;"",EDATE($D124,Milestones!$AA$55)&gt;=$T124),$W124,IF(AND($S124&lt;&gt;"",EDATE($D124,Milestones!$AA$55)&gt;=$S124),$V124,$U124)))=Milestones!$AB$55),UPPER(TEXT(EDATE($D124,Milestones!$AA$55),"dd mmm yy"))&amp;" "&amp;Milestones!$AB$55&amp;" "&amp;Milestones!$AC$55&amp;";  ","")&amp;IF(AND(EDATE($D124,Milestones!$AA$56)&lt;=AsOfDate,IF($R124=0,$X124,IF(AND($T124&lt;&gt;"",EDATE($D124,Milestones!$AA$56)&gt;=$T124),$W124,IF(AND($S124&lt;&gt;"",EDATE($D124,Milestones!$AA$56)&gt;=$S124),$V124,$U124)))=Milestones!$AB$56),UPPER(TEXT(EDATE($D124,Milestones!$AA$56),"dd mmm yy"))&amp;" "&amp;Milestones!$AB$56&amp;" "&amp;Milestones!$AC$56&amp;";  ","")&amp;IF(AND(EDATE($D124,Milestones!$AA$57)&lt;=AsOfDate,IF($R124=0,$X124,IF(AND($T124&lt;&gt;"",EDATE($D124,Milestones!$AA$57)&gt;=$T124),$W124,IF(AND($S124&lt;&gt;"",EDATE($D124,Milestones!$AA$57)&gt;=$S124),$V124,$U124)))=Milestones!$AB$57),UPPER(TEXT(EDATE($D124,Milestones!$AA$57),"dd mmm yy"))&amp;" "&amp;Milestones!$AB$57&amp;" "&amp;Milestones!$AC$57&amp;";  ","")&amp;IF(AND(EDATE($D124,Milestones!$AA$58)&lt;=AsOfDate,IF($R124=0,$X124,IF(AND($T124&lt;&gt;"",EDATE($D124,Milestones!$AA$58)&gt;=$T124),$W124,IF(AND($S124&lt;&gt;"",EDATE($D124,Milestones!$AA$58)&gt;=$S124),$V124,$U124)))=Milestones!$AB$58),UPPER(TEXT(EDATE($D124,Milestones!$AA$58),"dd mmm yy"))&amp;" "&amp;Milestones!$AB$58&amp;" "&amp;Milestones!$AC$58&amp;";  ","")&amp;IF(AND(EDATE($D124,Milestones!$AA$59)&lt;=AsOfDate,IF($R124=0,$X124,IF(AND($T124&lt;&gt;"",EDATE($D124,Milestones!$AA$59)&gt;=$T124),$W124,IF(AND($S124&lt;&gt;"",EDATE($D124,Milestones!$AA$59)&gt;=$S124),$V124,$U124)))=Milestones!$AB$59),UPPER(TEXT(EDATE($D124,Milestones!$AA$59),"dd mmm yy"))&amp;" "&amp;Milestones!$AB$59&amp;" "&amp;Milestones!$AC$59&amp;";  ",""))</f>
        <v/>
      </c>
      <c r="K124" s="0" t="str">
        <f aca="false">IF(OR($A124="",$D124=""),"",IF(AND(EDATE($D124,Milestones!$AA$60)&lt;=AsOfDate,IF($R124=0,$X124,IF(AND($T124&lt;&gt;"",EDATE($D124,Milestones!$AA$60)&gt;=$T124),$W124,IF(AND($S124&lt;&gt;"",EDATE($D124,Milestones!$AA$60)&gt;=$S124),$V124,$U124)))=Milestones!$AB$60),UPPER(TEXT(EDATE($D124,Milestones!$AA$60),"dd mmm yy"))&amp;" "&amp;Milestones!$AB$60&amp;" "&amp;Milestones!$AC$60&amp;";  ","")&amp;IF(AND(EDATE($D124,Milestones!$AA$61)&lt;=AsOfDate,IF($R124=0,$X124,IF(AND($T124&lt;&gt;"",EDATE($D124,Milestones!$AA$61)&gt;=$T124),$W124,IF(AND($S124&lt;&gt;"",EDATE($D124,Milestones!$AA$61)&gt;=$S124),$V124,$U124)))=Milestones!$AB$61),UPPER(TEXT(EDATE($D124,Milestones!$AA$61),"dd mmm yy"))&amp;" "&amp;Milestones!$AB$61&amp;" "&amp;Milestones!$AC$61&amp;";  ","")&amp;IF(AND(EDATE($D124,Milestones!$AA$62)&lt;=AsOfDate,IF($R124=0,$X124,IF(AND($T124&lt;&gt;"",EDATE($D124,Milestones!$AA$62)&gt;=$T124),$W124,IF(AND($S124&lt;&gt;"",EDATE($D124,Milestones!$AA$62)&gt;=$S124),$V124,$U124)))=Milestones!$AB$62),UPPER(TEXT(EDATE($D124,Milestones!$AA$62),"dd mmm yy"))&amp;" "&amp;Milestones!$AB$62&amp;" "&amp;Milestones!$AC$62&amp;";  ","")&amp;IF(AND(EDATE($D124,Milestones!$AA$63)&lt;=AsOfDate,IF($R124=0,$X124,IF(AND($T124&lt;&gt;"",EDATE($D124,Milestones!$AA$63)&gt;=$T124),$W124,IF(AND($S124&lt;&gt;"",EDATE($D124,Milestones!$AA$63)&gt;=$S124),$V124,$U124)))=Milestones!$AB$63),UPPER(TEXT(EDATE($D124,Milestones!$AA$63),"dd mmm yy"))&amp;" "&amp;Milestones!$AB$63&amp;" "&amp;Milestones!$AC$63&amp;";  ","")&amp;IF(AND(EDATE($D124,Milestones!$AA$64)&lt;=AsOfDate,IF($R124=0,$X124,IF(AND($T124&lt;&gt;"",EDATE($D124,Milestones!$AA$64)&gt;=$T124),$W124,IF(AND($S124&lt;&gt;"",EDATE($D124,Milestones!$AA$64)&gt;=$S124),$V124,$U124)))=Milestones!$AB$64),UPPER(TEXT(EDATE($D124,Milestones!$AA$64),"dd mmm yy"))&amp;" "&amp;Milestones!$AB$64&amp;" "&amp;Milestones!$AC$64&amp;";  ","")&amp;IF(AND(EDATE($D124,Milestones!$AA$65)&lt;=AsOfDate,IF($R124=0,$X124,IF(AND($T124&lt;&gt;"",EDATE($D124,Milestones!$AA$65)&gt;=$T124),$W124,IF(AND($S124&lt;&gt;"",EDATE($D124,Milestones!$AA$65)&gt;=$S124),$V124,$U124)))=Milestones!$AB$65),UPPER(TEXT(EDATE($D124,Milestones!$AA$65),"dd mmm yy"))&amp;" "&amp;Milestones!$AB$65&amp;" "&amp;Milestones!$AC$65&amp;";  ","")&amp;IF(AND(EDATE($D124,Milestones!$AA$66)&lt;=AsOfDate,IF($R124=0,$X124,IF(AND($T124&lt;&gt;"",EDATE($D124,Milestones!$AA$66)&gt;=$T124),$W124,IF(AND($S124&lt;&gt;"",EDATE($D124,Milestones!$AA$66)&gt;=$S124),$V124,$U124)))=Milestones!$AB$66),UPPER(TEXT(EDATE($D124,Milestones!$AA$66),"dd mmm yy"))&amp;" "&amp;Milestones!$AB$66&amp;" "&amp;Milestones!$AC$66&amp;";  ","")&amp;IF(AND(EDATE($D124,Milestones!$AA$67)&lt;=AsOfDate,IF($R124=0,$X124,IF(AND($T124&lt;&gt;"",EDATE($D124,Milestones!$AA$67)&gt;=$T124),$W124,IF(AND($S124&lt;&gt;"",EDATE($D124,Milestones!$AA$67)&gt;=$S124),$V124,$U124)))=Milestones!$AB$67),UPPER(TEXT(EDATE($D124,Milestones!$AA$67),"dd mmm yy"))&amp;" "&amp;Milestones!$AB$67&amp;" "&amp;Milestones!$AC$67&amp;";  ","")&amp;IF(AND(EDATE($D124,Milestones!$AA$68)&lt;=AsOfDate,IF($R124=0,$X124,IF(AND($T124&lt;&gt;"",EDATE($D124,Milestones!$AA$68)&gt;=$T124),$W124,IF(AND($S124&lt;&gt;"",EDATE($D124,Milestones!$AA$68)&gt;=$S124),$V124,$U124)))=Milestones!$AB$68),UPPER(TEXT(EDATE($D124,Milestones!$AA$68),"dd mmm yy"))&amp;" "&amp;Milestones!$AB$68&amp;" "&amp;Milestones!$AC$68&amp;";  ","")&amp;IF(AND(EDATE($D124,Milestones!$AA$69)&lt;=AsOfDate,IF($R124=0,$X124,IF(AND($T124&lt;&gt;"",EDATE($D124,Milestones!$AA$69)&gt;=$T124),$W124,IF(AND($S124&lt;&gt;"",EDATE($D124,Milestones!$AA$69)&gt;=$S124),$V124,$U124)))=Milestones!$AB$69),UPPER(TEXT(EDATE($D124,Milestones!$AA$69),"dd mmm yy"))&amp;" "&amp;Milestones!$AB$69&amp;" "&amp;Milestones!$AC$69&amp;";  ","")&amp;IF(AND(EDATE($D124,Milestones!$AA$70)&lt;=AsOfDate,IF($R124=0,$X124,IF(AND($T124&lt;&gt;"",EDATE($D124,Milestones!$AA$70)&gt;=$T124),$W124,IF(AND($S124&lt;&gt;"",EDATE($D124,Milestones!$AA$70)&gt;=$S124),$V124,$U124)))=Milestones!$AB$70),UPPER(TEXT(EDATE($D124,Milestones!$AA$70),"dd mmm yy"))&amp;" "&amp;Milestones!$AB$70&amp;" "&amp;Milestones!$AC$70&amp;";  ","")&amp;IF(AND(EDATE($D124,Milestones!$AA$71)&lt;=AsOfDate,IF($R124=0,$X124,IF(AND($T124&lt;&gt;"",EDATE($D124,Milestones!$AA$71)&gt;=$T124),$W124,IF(AND($S124&lt;&gt;"",EDATE($D124,Milestones!$AA$71)&gt;=$S124),$V124,$U124)))=Milestones!$AB$71),UPPER(TEXT(EDATE($D124,Milestones!$AA$71),"dd mmm yy"))&amp;" "&amp;Milestones!$AB$71&amp;" "&amp;Milestones!$AC$71&amp;";  ","")&amp;IF(AND(EDATE($D124,Milestones!$AA$72)&lt;=AsOfDate,IF($R124=0,$X124,IF(AND($T124&lt;&gt;"",EDATE($D124,Milestones!$AA$72)&gt;=$T124),$W124,IF(AND($S124&lt;&gt;"",EDATE($D124,Milestones!$AA$72)&gt;=$S124),$V124,$U124)))=Milestones!$AB$72),UPPER(TEXT(EDATE($D124,Milestones!$AA$72),"dd mmm yy"))&amp;" "&amp;Milestones!$AB$72&amp;" "&amp;Milestones!$AC$72&amp;";  ","")&amp;IF(AND(EDATE($D124,Milestones!$AA$73)&lt;=AsOfDate,IF($R124=0,$X124,IF(AND($T124&lt;&gt;"",EDATE($D124,Milestones!$AA$73)&gt;=$T124),$W124,IF(AND($S124&lt;&gt;"",EDATE($D124,Milestones!$AA$73)&gt;=$S124),$V124,$U124)))=Milestones!$AB$73),UPPER(TEXT(EDATE($D124,Milestones!$AA$73),"dd mmm yy"))&amp;" "&amp;Milestones!$AB$73&amp;" "&amp;Milestones!$AC$73&amp;";  ","")&amp;IF(AND(EDATE($D124,Milestones!$AA$74)&lt;=AsOfDate,IF($R124=0,$X124,IF(AND($T124&lt;&gt;"",EDATE($D124,Milestones!$AA$74)&gt;=$T124),$W124,IF(AND($S124&lt;&gt;"",EDATE($D124,Milestones!$AA$74)&gt;=$S124),$V124,$U124)))=Milestones!$AB$74),UPPER(TEXT(EDATE($D124,Milestones!$AA$74),"dd mmm yy"))&amp;" "&amp;Milestones!$AB$74&amp;" "&amp;Milestones!$AC$74&amp;";  ","")&amp;IF(AND(EDATE($D124,Milestones!$AA$75)&lt;=AsOfDate,IF($R124=0,$X124,IF(AND($T124&lt;&gt;"",EDATE($D124,Milestones!$AA$75)&gt;=$T124),$W124,IF(AND($S124&lt;&gt;"",EDATE($D124,Milestones!$AA$75)&gt;=$S124),$V124,$U124)))=Milestones!$AB$75),UPPER(TEXT(EDATE($D124,Milestones!$AA$75),"dd mmm yy"))&amp;" "&amp;Milestones!$AB$75&amp;" "&amp;Milestones!$AC$75&amp;";  ","")&amp;IF(AND(EDATE($D124,Milestones!$AA$76)&lt;=AsOfDate,IF($R124=0,$X124,IF(AND($T124&lt;&gt;"",EDATE($D124,Milestones!$AA$76)&gt;=$T124),$W124,IF(AND($S124&lt;&gt;"",EDATE($D124,Milestones!$AA$76)&gt;=$S124),$V124,$U124)))=Milestones!$AB$76),UPPER(TEXT(EDATE($D124,Milestones!$AA$76),"dd mmm yy"))&amp;" "&amp;Milestones!$AB$76&amp;" "&amp;Milestones!$AC$76&amp;";  ","")&amp;IF(AND(EDATE($D124,Milestones!$AA$77)&lt;=AsOfDate,IF($R124=0,$X124,IF(AND($T124&lt;&gt;"",EDATE($D124,Milestones!$AA$77)&gt;=$T124),$W124,IF(AND($S124&lt;&gt;"",EDATE($D124,Milestones!$AA$77)&gt;=$S124),$V124,$U124)))=Milestones!$AB$77),UPPER(TEXT(EDATE($D124,Milestones!$AA$77),"dd mmm yy"))&amp;" "&amp;Milestones!$AB$77&amp;" "&amp;Milestones!$AC$77&amp;";  ","")&amp;IF(AND(EDATE($D124,Milestones!$AA$78)&lt;=AsOfDate,IF($R124=0,$X124,IF(AND($T124&lt;&gt;"",EDATE($D124,Milestones!$AA$78)&gt;=$T124),$W124,IF(AND($S124&lt;&gt;"",EDATE($D124,Milestones!$AA$78)&gt;=$S124),$V124,$U124)))=Milestones!$AB$78),UPPER(TEXT(EDATE($D124,Milestones!$AA$78),"dd mmm yy"))&amp;" "&amp;Milestones!$AB$78&amp;" "&amp;Milestones!$AC$78&amp;";  ","")&amp;IF(AND(EDATE($D124,Milestones!$AA$79)&lt;=AsOfDate,IF($R124=0,$X124,IF(AND($T124&lt;&gt;"",EDATE($D124,Milestones!$AA$79)&gt;=$T124),$W124,IF(AND($S124&lt;&gt;"",EDATE($D124,Milestones!$AA$79)&gt;=$S124),$V124,$U124)))=Milestones!$AB$79),UPPER(TEXT(EDATE($D124,Milestones!$AA$79),"dd mmm yy"))&amp;" "&amp;Milestones!$AB$79&amp;" "&amp;Milestones!$AC$79&amp;";  ",""))</f>
        <v/>
      </c>
      <c r="L124" s="0" t="str">
        <f aca="false">IF(OR($A124="",$D124=""),"",IF(AND(EDATE($D124,Milestones!$AA$80)&lt;=AsOfDate,IF($R124=0,$X124,IF(AND($T124&lt;&gt;"",EDATE($D124,Milestones!$AA$80)&gt;=$T124),$W124,IF(AND($S124&lt;&gt;"",EDATE($D124,Milestones!$AA$80)&gt;=$S124),$V124,$U124)))=Milestones!$AB$80),UPPER(TEXT(EDATE($D124,Milestones!$AA$80),"dd mmm yy"))&amp;" "&amp;Milestones!$AB$80&amp;" "&amp;Milestones!$AC$80&amp;";  ","")&amp;IF(AND(EDATE($D124,Milestones!$AA$81)&lt;=AsOfDate,IF($R124=0,$X124,IF(AND($T124&lt;&gt;"",EDATE($D124,Milestones!$AA$81)&gt;=$T124),$W124,IF(AND($S124&lt;&gt;"",EDATE($D124,Milestones!$AA$81)&gt;=$S124),$V124,$U124)))=Milestones!$AB$81),UPPER(TEXT(EDATE($D124,Milestones!$AA$81),"dd mmm yy"))&amp;" "&amp;Milestones!$AB$81&amp;" "&amp;Milestones!$AC$81&amp;";  ","")&amp;IF(AND(EDATE($D124,Milestones!$AA$82)&lt;=AsOfDate,IF($R124=0,$X124,IF(AND($T124&lt;&gt;"",EDATE($D124,Milestones!$AA$82)&gt;=$T124),$W124,IF(AND($S124&lt;&gt;"",EDATE($D124,Milestones!$AA$82)&gt;=$S124),$V124,$U124)))=Milestones!$AB$82),UPPER(TEXT(EDATE($D124,Milestones!$AA$82),"dd mmm yy"))&amp;" "&amp;Milestones!$AB$82&amp;" "&amp;Milestones!$AC$82&amp;";  ","")&amp;IF(AND(EDATE($D124,Milestones!$AA$83)&lt;=AsOfDate,IF($R124=0,$X124,IF(AND($T124&lt;&gt;"",EDATE($D124,Milestones!$AA$83)&gt;=$T124),$W124,IF(AND($S124&lt;&gt;"",EDATE($D124,Milestones!$AA$83)&gt;=$S124),$V124,$U124)))=Milestones!$AB$83),UPPER(TEXT(EDATE($D124,Milestones!$AA$83),"dd mmm yy"))&amp;" "&amp;Milestones!$AB$83&amp;" "&amp;Milestones!$AC$83&amp;";  ","")&amp;IF(AND(EDATE($D124,Milestones!$AA$84)&lt;=AsOfDate,IF($R124=0,$X124,IF(AND($T124&lt;&gt;"",EDATE($D124,Milestones!$AA$84)&gt;=$T124),$W124,IF(AND($S124&lt;&gt;"",EDATE($D124,Milestones!$AA$84)&gt;=$S124),$V124,$U124)))=Milestones!$AB$84),UPPER(TEXT(EDATE($D124,Milestones!$AA$84),"dd mmm yy"))&amp;" "&amp;Milestones!$AB$84&amp;" "&amp;Milestones!$AC$84&amp;";  ","")&amp;IF(AND(EDATE($D124,Milestones!$AA$85)&lt;=AsOfDate,IF($R124=0,$X124,IF(AND($T124&lt;&gt;"",EDATE($D124,Milestones!$AA$85)&gt;=$T124),$W124,IF(AND($S124&lt;&gt;"",EDATE($D124,Milestones!$AA$85)&gt;=$S124),$V124,$U124)))=Milestones!$AB$85),UPPER(TEXT(EDATE($D124,Milestones!$AA$85),"dd mmm yy"))&amp;" "&amp;Milestones!$AB$85&amp;" "&amp;Milestones!$AC$85&amp;";  ","")&amp;IF(AND(EDATE($D124,Milestones!$AA$86)&lt;=AsOfDate,IF($R124=0,$X124,IF(AND($T124&lt;&gt;"",EDATE($D124,Milestones!$AA$86)&gt;=$T124),$W124,IF(AND($S124&lt;&gt;"",EDATE($D124,Milestones!$AA$86)&gt;=$S124),$V124,$U124)))=Milestones!$AB$86),UPPER(TEXT(EDATE($D124,Milestones!$AA$86),"dd mmm yy"))&amp;" "&amp;Milestones!$AB$86&amp;" "&amp;Milestones!$AC$86&amp;";  ","")&amp;IF(AND(EDATE($D124,Milestones!$AA$87)&lt;=AsOfDate,IF($R124=0,$X124,IF(AND($T124&lt;&gt;"",EDATE($D124,Milestones!$AA$87)&gt;=$T124),$W124,IF(AND($S124&lt;&gt;"",EDATE($D124,Milestones!$AA$87)&gt;=$S124),$V124,$U124)))=Milestones!$AB$87),UPPER(TEXT(EDATE($D124,Milestones!$AA$87),"dd mmm yy"))&amp;" "&amp;Milestones!$AB$87&amp;" "&amp;Milestones!$AC$87&amp;";  ","")&amp;IF(AND(EDATE($D124,Milestones!$AA$88)&lt;=AsOfDate,IF($R124=0,$X124,IF(AND($T124&lt;&gt;"",EDATE($D124,Milestones!$AA$88)&gt;=$T124),$W124,IF(AND($S124&lt;&gt;"",EDATE($D124,Milestones!$AA$88)&gt;=$S124),$V124,$U124)))=Milestones!$AB$88),UPPER(TEXT(EDATE($D124,Milestones!$AA$88),"dd mmm yy"))&amp;" "&amp;Milestones!$AB$88&amp;" "&amp;Milestones!$AC$88&amp;";  ","")&amp;IF(AND(EDATE($D124,Milestones!$AA$89)&lt;=AsOfDate,IF($R124=0,$X124,IF(AND($T124&lt;&gt;"",EDATE($D124,Milestones!$AA$89)&gt;=$T124),$W124,IF(AND($S124&lt;&gt;"",EDATE($D124,Milestones!$AA$89)&gt;=$S124),$V124,$U124)))=Milestones!$AB$89),UPPER(TEXT(EDATE($D124,Milestones!$AA$89),"dd mmm yy"))&amp;" "&amp;Milestones!$AB$89&amp;" "&amp;Milestones!$AC$89&amp;";  ","")&amp;IF(AND(EDATE($D124,Milestones!$AA$90)&lt;=AsOfDate,IF($R124=0,$X124,IF(AND($T124&lt;&gt;"",EDATE($D124,Milestones!$AA$90)&gt;=$T124),$W124,IF(AND($S124&lt;&gt;"",EDATE($D124,Milestones!$AA$90)&gt;=$S124),$V124,$U124)))=Milestones!$AB$90),UPPER(TEXT(EDATE($D124,Milestones!$AA$90),"dd mmm yy"))&amp;" "&amp;Milestones!$AB$90&amp;" "&amp;Milestones!$AC$90&amp;";  ","")&amp;IF(AND(EDATE($D124,Milestones!$AA$91)&lt;=AsOfDate,IF($R124=0,$X124,IF(AND($T124&lt;&gt;"",EDATE($D124,Milestones!$AA$91)&gt;=$T124),$W124,IF(AND($S124&lt;&gt;"",EDATE($D124,Milestones!$AA$91)&gt;=$S124),$V124,$U124)))=Milestones!$AB$91),UPPER(TEXT(EDATE($D124,Milestones!$AA$91),"dd mmm yy"))&amp;" "&amp;Milestones!$AB$91&amp;" "&amp;Milestones!$AC$91&amp;";  ","")&amp;IF(AND(EDATE($D124,Milestones!$AA$92)&lt;=AsOfDate,IF($R124=0,$X124,IF(AND($T124&lt;&gt;"",EDATE($D124,Milestones!$AA$92)&gt;=$T124),$W124,IF(AND($S124&lt;&gt;"",EDATE($D124,Milestones!$AA$92)&gt;=$S124),$V124,$U124)))=Milestones!$AB$92),UPPER(TEXT(EDATE($D124,Milestones!$AA$92),"dd mmm yy"))&amp;" "&amp;Milestones!$AB$92&amp;" "&amp;Milestones!$AC$92&amp;";  ","")&amp;IF(AND(EDATE($D124,Milestones!$AA$93)&lt;=AsOfDate,IF($R124=0,$X124,IF(AND($T124&lt;&gt;"",EDATE($D124,Milestones!$AA$93)&gt;=$T124),$W124,IF(AND($S124&lt;&gt;"",EDATE($D124,Milestones!$AA$93)&gt;=$S124),$V124,$U124)))=Milestones!$AB$93),UPPER(TEXT(EDATE($D124,Milestones!$AA$93),"dd mmm yy"))&amp;" "&amp;Milestones!$AB$93&amp;" "&amp;Milestones!$AC$93&amp;";  ","")&amp;IF(AND(EDATE($D124,Milestones!$AA$94)&lt;=AsOfDate,IF($R124=0,$X124,IF(AND($T124&lt;&gt;"",EDATE($D124,Milestones!$AA$94)&gt;=$T124),$W124,IF(AND($S124&lt;&gt;"",EDATE($D124,Milestones!$AA$94)&gt;=$S124),$V124,$U124)))=Milestones!$AB$94),UPPER(TEXT(EDATE($D124,Milestones!$AA$94),"dd mmm yy"))&amp;" "&amp;Milestones!$AB$94&amp;" "&amp;Milestones!$AC$94&amp;";  ","")&amp;IF(AND(EDATE($D124,Milestones!$AA$95)&lt;=AsOfDate,IF($R124=0,$X124,IF(AND($T124&lt;&gt;"",EDATE($D124,Milestones!$AA$95)&gt;=$T124),$W124,IF(AND($S124&lt;&gt;"",EDATE($D124,Milestones!$AA$95)&gt;=$S124),$V124,$U124)))=Milestones!$AB$95),UPPER(TEXT(EDATE($D124,Milestones!$AA$95),"dd mmm yy"))&amp;" "&amp;Milestones!$AB$95&amp;" "&amp;Milestones!$AC$95&amp;";  ","")&amp;IF(AND(EDATE($D124,Milestones!$AA$96)&lt;=AsOfDate,IF($R124=0,$X124,IF(AND($T124&lt;&gt;"",EDATE($D124,Milestones!$AA$96)&gt;=$T124),$W124,IF(AND($S124&lt;&gt;"",EDATE($D124,Milestones!$AA$96)&gt;=$S124),$V124,$U124)))=Milestones!$AB$96),UPPER(TEXT(EDATE($D124,Milestones!$AA$96),"dd mmm yy"))&amp;" "&amp;Milestones!$AB$96&amp;" "&amp;Milestones!$AC$96&amp;";  ","")&amp;IF(AND(EDATE($D124,Milestones!$AA$97)&lt;=AsOfDate,IF($R124=0,$X124,IF(AND($T124&lt;&gt;"",EDATE($D124,Milestones!$AA$97)&gt;=$T124),$W124,IF(AND($S124&lt;&gt;"",EDATE($D124,Milestones!$AA$97)&gt;=$S124),$V124,$U124)))=Milestones!$AB$97),UPPER(TEXT(EDATE($D124,Milestones!$AA$97),"dd mmm yy"))&amp;" "&amp;Milestones!$AB$97&amp;" "&amp;Milestones!$AC$97&amp;";  ","")&amp;IF(AND(EDATE($D124,Milestones!$AA$98)&lt;=AsOfDate,IF($R124=0,$X124,IF(AND($T124&lt;&gt;"",EDATE($D124,Milestones!$AA$98)&gt;=$T124),$W124,IF(AND($S124&lt;&gt;"",EDATE($D124,Milestones!$AA$98)&gt;=$S124),$V124,$U124)))=Milestones!$AB$98),UPPER(TEXT(EDATE($D124,Milestones!$AA$98),"dd mmm yy"))&amp;" "&amp;Milestones!$AB$98&amp;" "&amp;Milestones!$AC$98&amp;";  ","")&amp;IF(AND(EDATE($D124,Milestones!$AA$99)&lt;=AsOfDate,IF($R124=0,$X124,IF(AND($T124&lt;&gt;"",EDATE($D124,Milestones!$AA$99)&gt;=$T124),$W124,IF(AND($S124&lt;&gt;"",EDATE($D124,Milestones!$AA$99)&gt;=$S124),$V124,$U124)))=Milestones!$AB$99),UPPER(TEXT(EDATE($D124,Milestones!$AA$99),"dd mmm yy"))&amp;" "&amp;Milestones!$AB$99&amp;" "&amp;Milestones!$AC$99&amp;";  ",""))</f>
        <v/>
      </c>
      <c r="M124" s="0" t="str">
        <f aca="false">IF(OR($A124="",$D124=""),"",IF(AND(EDATE($D124,Milestones!$AA$100)&lt;=AsOfDate,IF($R124=0,$X124,IF(AND($T124&lt;&gt;"",EDATE($D124,Milestones!$AA$100)&gt;=$T124),$W124,IF(AND($S124&lt;&gt;"",EDATE($D124,Milestones!$AA$100)&gt;=$S124),$V124,$U124)))=Milestones!$AB$100),UPPER(TEXT(EDATE($D124,Milestones!$AA$100),"dd mmm yy"))&amp;" "&amp;Milestones!$AB$100&amp;" "&amp;Milestones!$AC$100&amp;";  ","")&amp;IF(AND(EDATE($D124,Milestones!$AA$101)&lt;=AsOfDate,IF($R124=0,$X124,IF(AND($T124&lt;&gt;"",EDATE($D124,Milestones!$AA$101)&gt;=$T124),$W124,IF(AND($S124&lt;&gt;"",EDATE($D124,Milestones!$AA$101)&gt;=$S124),$V124,$U124)))=Milestones!$AB$101),UPPER(TEXT(EDATE($D124,Milestones!$AA$101),"dd mmm yy"))&amp;" "&amp;Milestones!$AB$101&amp;" "&amp;Milestones!$AC$101&amp;";  ","")&amp;IF(AND(EDATE($D124,Milestones!$AA$102)&lt;=AsOfDate,IF($R124=0,$X124,IF(AND($T124&lt;&gt;"",EDATE($D124,Milestones!$AA$102)&gt;=$T124),$W124,IF(AND($S124&lt;&gt;"",EDATE($D124,Milestones!$AA$102)&gt;=$S124),$V124,$U124)))=Milestones!$AB$102),UPPER(TEXT(EDATE($D124,Milestones!$AA$102),"dd mmm yy"))&amp;" "&amp;Milestones!$AB$102&amp;" "&amp;Milestones!$AC$102&amp;";  ","")&amp;IF(AND(EDATE($D124,Milestones!$AA$103)&lt;=AsOfDate,IF($R124=0,$X124,IF(AND($T124&lt;&gt;"",EDATE($D124,Milestones!$AA$103)&gt;=$T124),$W124,IF(AND($S124&lt;&gt;"",EDATE($D124,Milestones!$AA$103)&gt;=$S124),$V124,$U124)))=Milestones!$AB$103),UPPER(TEXT(EDATE($D124,Milestones!$AA$103),"dd mmm yy"))&amp;" "&amp;Milestones!$AB$103&amp;" "&amp;Milestones!$AC$103&amp;";  ","")&amp;IF(AND(EDATE($D124,Milestones!$AA$104)&lt;=AsOfDate,IF($R124=0,$X124,IF(AND($T124&lt;&gt;"",EDATE($D124,Milestones!$AA$104)&gt;=$T124),$W124,IF(AND($S124&lt;&gt;"",EDATE($D124,Milestones!$AA$104)&gt;=$S124),$V124,$U124)))=Milestones!$AB$104),UPPER(TEXT(EDATE($D124,Milestones!$AA$104),"dd mmm yy"))&amp;" "&amp;Milestones!$AB$104&amp;" "&amp;Milestones!$AC$104&amp;";  ","")&amp;IF(AND(EDATE($D124,Milestones!$AA$105)&lt;=AsOfDate,IF($R124=0,$X124,IF(AND($T124&lt;&gt;"",EDATE($D124,Milestones!$AA$105)&gt;=$T124),$W124,IF(AND($S124&lt;&gt;"",EDATE($D124,Milestones!$AA$105)&gt;=$S124),$V124,$U124)))=Milestones!$AB$105),UPPER(TEXT(EDATE($D124,Milestones!$AA$105),"dd mmm yy"))&amp;" "&amp;Milestones!$AB$105&amp;" "&amp;Milestones!$AC$105&amp;";  ","")&amp;IF(AND(EDATE($D124,Milestones!$AA$106)&lt;=AsOfDate,IF($R124=0,$X124,IF(AND($T124&lt;&gt;"",EDATE($D124,Milestones!$AA$106)&gt;=$T124),$W124,IF(AND($S124&lt;&gt;"",EDATE($D124,Milestones!$AA$106)&gt;=$S124),$V124,$U124)))=Milestones!$AB$106),UPPER(TEXT(EDATE($D124,Milestones!$AA$106),"dd mmm yy"))&amp;" "&amp;Milestones!$AB$106&amp;" "&amp;Milestones!$AC$106&amp;";  ","")&amp;IF(AND(EDATE($D124,Milestones!$AA$107)&lt;=AsOfDate,IF($R124=0,$X124,IF(AND($T124&lt;&gt;"",EDATE($D124,Milestones!$AA$107)&gt;=$T124),$W124,IF(AND($S124&lt;&gt;"",EDATE($D124,Milestones!$AA$107)&gt;=$S124),$V124,$U124)))=Milestones!$AB$107),UPPER(TEXT(EDATE($D124,Milestones!$AA$107),"dd mmm yy"))&amp;" "&amp;Milestones!$AB$107&amp;" "&amp;Milestones!$AC$107&amp;";  ","")&amp;IF(AND(EDATE($D124,Milestones!$AA$108)&lt;=AsOfDate,IF($R124=0,$X124,IF(AND($T124&lt;&gt;"",EDATE($D124,Milestones!$AA$108)&gt;=$T124),$W124,IF(AND($S124&lt;&gt;"",EDATE($D124,Milestones!$AA$108)&gt;=$S124),$V124,$U124)))=Milestones!$AB$108),UPPER(TEXT(EDATE($D124,Milestones!$AA$108),"dd mmm yy"))&amp;" "&amp;Milestones!$AB$108&amp;" "&amp;Milestones!$AC$108&amp;";  ","")&amp;IF(AND(EDATE($D124,Milestones!$AA$109)&lt;=AsOfDate,IF($R124=0,$X124,IF(AND($T124&lt;&gt;"",EDATE($D124,Milestones!$AA$109)&gt;=$T124),$W124,IF(AND($S124&lt;&gt;"",EDATE($D124,Milestones!$AA$109)&gt;=$S124),$V124,$U124)))=Milestones!$AB$109),UPPER(TEXT(EDATE($D124,Milestones!$AA$109),"dd mmm yy"))&amp;" "&amp;Milestones!$AB$109&amp;" "&amp;Milestones!$AC$109&amp;";  ","")&amp;IF(AND(EDATE($D124,Milestones!$AA$110)&lt;=AsOfDate,IF($R124=0,$X124,IF(AND($T124&lt;&gt;"",EDATE($D124,Milestones!$AA$110)&gt;=$T124),$W124,IF(AND($S124&lt;&gt;"",EDATE($D124,Milestones!$AA$110)&gt;=$S124),$V124,$U124)))=Milestones!$AB$110),UPPER(TEXT(EDATE($D124,Milestones!$AA$110),"dd mmm yy"))&amp;" "&amp;Milestones!$AB$110&amp;" "&amp;Milestones!$AC$110&amp;";  ","")&amp;IF(AND(EDATE($D124,Milestones!$AA$111)&lt;=AsOfDate,IF($R124=0,$X124,IF(AND($T124&lt;&gt;"",EDATE($D124,Milestones!$AA$111)&gt;=$T124),$W124,IF(AND($S124&lt;&gt;"",EDATE($D124,Milestones!$AA$111)&gt;=$S124),$V124,$U124)))=Milestones!$AB$111),UPPER(TEXT(EDATE($D124,Milestones!$AA$111),"dd mmm yy"))&amp;" "&amp;Milestones!$AB$111&amp;" "&amp;Milestones!$AC$111&amp;";  ","")&amp;IF(AND(EDATE($D124,Milestones!$AA$112)&lt;=AsOfDate,IF($R124=0,$X124,IF(AND($T124&lt;&gt;"",EDATE($D124,Milestones!$AA$112)&gt;=$T124),$W124,IF(AND($S124&lt;&gt;"",EDATE($D124,Milestones!$AA$112)&gt;=$S124),$V124,$U124)))=Milestones!$AB$112),UPPER(TEXT(EDATE($D124,Milestones!$AA$112),"dd mmm yy"))&amp;" "&amp;Milestones!$AB$112&amp;" "&amp;Milestones!$AC$112&amp;";  ","")&amp;IF(AND(EDATE($D124,Milestones!$AA$113)&lt;=AsOfDate,IF($R124=0,$X124,IF(AND($T124&lt;&gt;"",EDATE($D124,Milestones!$AA$113)&gt;=$T124),$W124,IF(AND($S124&lt;&gt;"",EDATE($D124,Milestones!$AA$113)&gt;=$S124),$V124,$U124)))=Milestones!$AB$113),UPPER(TEXT(EDATE($D124,Milestones!$AA$113),"dd mmm yy"))&amp;" "&amp;Milestones!$AB$113&amp;" "&amp;Milestones!$AC$113&amp;";  ","")&amp;IF(AND(EDATE($D124,Milestones!$AA$114)&lt;=AsOfDate,IF($R124=0,$X124,IF(AND($T124&lt;&gt;"",EDATE($D124,Milestones!$AA$114)&gt;=$T124),$W124,IF(AND($S124&lt;&gt;"",EDATE($D124,Milestones!$AA$114)&gt;=$S124),$V124,$U124)))=Milestones!$AB$114),UPPER(TEXT(EDATE($D124,Milestones!$AA$114),"dd mmm yy"))&amp;" "&amp;Milestones!$AB$114&amp;" "&amp;Milestones!$AC$114&amp;";  ","")&amp;IF(AND(EDATE($D124,Milestones!$AA$115)&lt;=AsOfDate,IF($R124=0,$X124,IF(AND($T124&lt;&gt;"",EDATE($D124,Milestones!$AA$115)&gt;=$T124),$W124,IF(AND($S124&lt;&gt;"",EDATE($D124,Milestones!$AA$115)&gt;=$S124),$V124,$U124)))=Milestones!$AB$115),UPPER(TEXT(EDATE($D124,Milestones!$AA$115),"dd mmm yy"))&amp;" "&amp;Milestones!$AB$115&amp;" "&amp;Milestones!$AC$115&amp;";  ","")&amp;IF(AND(EDATE($D124,Milestones!$AA$116)&lt;=AsOfDate,IF($R124=0,$X124,IF(AND($T124&lt;&gt;"",EDATE($D124,Milestones!$AA$116)&gt;=$T124),$W124,IF(AND($S124&lt;&gt;"",EDATE($D124,Milestones!$AA$116)&gt;=$S124),$V124,$U124)))=Milestones!$AB$116),UPPER(TEXT(EDATE($D124,Milestones!$AA$116),"dd mmm yy"))&amp;" "&amp;Milestones!$AB$116&amp;" "&amp;Milestones!$AC$116&amp;";  ","")&amp;IF(AND(EDATE($D124,Milestones!$AA$117)&lt;=AsOfDate,IF($R124=0,$X124,IF(AND($T124&lt;&gt;"",EDATE($D124,Milestones!$AA$117)&gt;=$T124),$W124,IF(AND($S124&lt;&gt;"",EDATE($D124,Milestones!$AA$117)&gt;=$S124),$V124,$U124)))=Milestones!$AB$117),UPPER(TEXT(EDATE($D124,Milestones!$AA$117),"dd mmm yy"))&amp;" "&amp;Milestones!$AB$117&amp;" "&amp;Milestones!$AC$117&amp;";  ","")&amp;IF(AND(EDATE($D124,Milestones!$AA$118)&lt;=AsOfDate,IF($R124=0,$X124,IF(AND($T124&lt;&gt;"",EDATE($D124,Milestones!$AA$118)&gt;=$T124),$W124,IF(AND($S124&lt;&gt;"",EDATE($D124,Milestones!$AA$118)&gt;=$S124),$V124,$U124)))=Milestones!$AB$118),UPPER(TEXT(EDATE($D124,Milestones!$AA$118),"dd mmm yy"))&amp;" "&amp;Milestones!$AB$118&amp;" "&amp;Milestones!$AC$118&amp;";  ","")&amp;IF(AND(EDATE($D124,Milestones!$AA$119)&lt;=AsOfDate,IF($R124=0,$X124,IF(AND($T124&lt;&gt;"",EDATE($D124,Milestones!$AA$119)&gt;=$T124),$W124,IF(AND($S124&lt;&gt;"",EDATE($D124,Milestones!$AA$119)&gt;=$S124),$V124,$U124)))=Milestones!$AB$119),UPPER(TEXT(EDATE($D124,Milestones!$AA$119),"dd mmm yy"))&amp;" "&amp;Milestones!$AB$119&amp;" "&amp;Milestones!$AC$119&amp;";  ",""))</f>
        <v/>
      </c>
      <c r="N124" s="0" t="str">
        <f aca="false">IF(OR($A124="",$D124=""),"",IF(AND(EDATE($D124,Milestones!$AA$120)&lt;=AsOfDate,IF($R124=0,$X124,IF(AND($T124&lt;&gt;"",EDATE($D124,Milestones!$AA$120)&gt;=$T124),$W124,IF(AND($S124&lt;&gt;"",EDATE($D124,Milestones!$AA$120)&gt;=$S124),$V124,$U124)))=Milestones!$AB$120),UPPER(TEXT(EDATE($D124,Milestones!$AA$120),"dd mmm yy"))&amp;" "&amp;Milestones!$AB$120&amp;" "&amp;Milestones!$AC$120&amp;";  ","")&amp;IF(AND(EDATE($D124,Milestones!$AA$121)&lt;=AsOfDate,IF($R124=0,$X124,IF(AND($T124&lt;&gt;"",EDATE($D124,Milestones!$AA$121)&gt;=$T124),$W124,IF(AND($S124&lt;&gt;"",EDATE($D124,Milestones!$AA$121)&gt;=$S124),$V124,$U124)))=Milestones!$AB$121),UPPER(TEXT(EDATE($D124,Milestones!$AA$121),"dd mmm yy"))&amp;" "&amp;Milestones!$AB$121&amp;" "&amp;Milestones!$AC$121&amp;";  ","")&amp;IF(AND(EDATE($D124,Milestones!$AA$122)&lt;=AsOfDate,IF($R124=0,$X124,IF(AND($T124&lt;&gt;"",EDATE($D124,Milestones!$AA$122)&gt;=$T124),$W124,IF(AND($S124&lt;&gt;"",EDATE($D124,Milestones!$AA$122)&gt;=$S124),$V124,$U124)))=Milestones!$AB$122),UPPER(TEXT(EDATE($D124,Milestones!$AA$122),"dd mmm yy"))&amp;" "&amp;Milestones!$AB$122&amp;" "&amp;Milestones!$AC$122&amp;";  ","")&amp;IF(AND(EDATE($D124,Milestones!$AA$123)&lt;=AsOfDate,IF($R124=0,$X124,IF(AND($T124&lt;&gt;"",EDATE($D124,Milestones!$AA$123)&gt;=$T124),$W124,IF(AND($S124&lt;&gt;"",EDATE($D124,Milestones!$AA$123)&gt;=$S124),$V124,$U124)))=Milestones!$AB$123),UPPER(TEXT(EDATE($D124,Milestones!$AA$123),"dd mmm yy"))&amp;" "&amp;Milestones!$AB$123&amp;" "&amp;Milestones!$AC$123&amp;";  ","")&amp;IF(AND(EDATE($D124,Milestones!$AA$124)&lt;=AsOfDate,IF($R124=0,$X124,IF(AND($T124&lt;&gt;"",EDATE($D124,Milestones!$AA$124)&gt;=$T124),$W124,IF(AND($S124&lt;&gt;"",EDATE($D124,Milestones!$AA$124)&gt;=$S124),$V124,$U124)))=Milestones!$AB$124),UPPER(TEXT(EDATE($D124,Milestones!$AA$124),"dd mmm yy"))&amp;" "&amp;Milestones!$AB$124&amp;" "&amp;Milestones!$AC$124&amp;";  ","")&amp;IF(AND(EDATE($D124,Milestones!$AA$125)&lt;=AsOfDate,IF($R124=0,$X124,IF(AND($T124&lt;&gt;"",EDATE($D124,Milestones!$AA$125)&gt;=$T124),$W124,IF(AND($S124&lt;&gt;"",EDATE($D124,Milestones!$AA$125)&gt;=$S124),$V124,$U124)))=Milestones!$AB$125),UPPER(TEXT(EDATE($D124,Milestones!$AA$125),"dd mmm yy"))&amp;" "&amp;Milestones!$AB$125&amp;" "&amp;Milestones!$AC$125&amp;";  ","")&amp;IF(AND(EDATE($D124,Milestones!$AA$126)&lt;=AsOfDate,IF($R124=0,$X124,IF(AND($T124&lt;&gt;"",EDATE($D124,Milestones!$AA$126)&gt;=$T124),$W124,IF(AND($S124&lt;&gt;"",EDATE($D124,Milestones!$AA$126)&gt;=$S124),$V124,$U124)))=Milestones!$AB$126),UPPER(TEXT(EDATE($D124,Milestones!$AA$126),"dd mmm yy"))&amp;" "&amp;Milestones!$AB$126&amp;" "&amp;Milestones!$AC$126&amp;";  ","")&amp;IF(AND(EDATE($D124,Milestones!$AA$127)&lt;=AsOfDate,IF($R124=0,$X124,IF(AND($T124&lt;&gt;"",EDATE($D124,Milestones!$AA$127)&gt;=$T124),$W124,IF(AND($S124&lt;&gt;"",EDATE($D124,Milestones!$AA$127)&gt;=$S124),$V124,$U124)))=Milestones!$AB$127),UPPER(TEXT(EDATE($D124,Milestones!$AA$127),"dd mmm yy"))&amp;" "&amp;Milestones!$AB$127&amp;" "&amp;Milestones!$AC$127&amp;";  ","")&amp;IF(AND(EDATE($D124,Milestones!$AA$128)&lt;=AsOfDate,IF($R124=0,$X124,IF(AND($T124&lt;&gt;"",EDATE($D124,Milestones!$AA$128)&gt;=$T124),$W124,IF(AND($S124&lt;&gt;"",EDATE($D124,Milestones!$AA$128)&gt;=$S124),$V124,$U124)))=Milestones!$AB$128),UPPER(TEXT(EDATE($D124,Milestones!$AA$128),"dd mmm yy"))&amp;" "&amp;Milestones!$AB$128&amp;" "&amp;Milestones!$AC$128&amp;";  ","")&amp;IF(AND(EDATE($D124,Milestones!$AA$129)&lt;=AsOfDate,IF($R124=0,$X124,IF(AND($T124&lt;&gt;"",EDATE($D124,Milestones!$AA$129)&gt;=$T124),$W124,IF(AND($S124&lt;&gt;"",EDATE($D124,Milestones!$AA$129)&gt;=$S124),$V124,$U124)))=Milestones!$AB$129),UPPER(TEXT(EDATE($D124,Milestones!$AA$129),"dd mmm yy"))&amp;" "&amp;Milestones!$AB$129&amp;" "&amp;Milestones!$AC$129&amp;";  ","")&amp;IF(AND(EDATE($D124,Milestones!$AA$130)&lt;=AsOfDate,IF($R124=0,$X124,IF(AND($T124&lt;&gt;"",EDATE($D124,Milestones!$AA$130)&gt;=$T124),$W124,IF(AND($S124&lt;&gt;"",EDATE($D124,Milestones!$AA$130)&gt;=$S124),$V124,$U124)))=Milestones!$AB$130),UPPER(TEXT(EDATE($D124,Milestones!$AA$130),"dd mmm yy"))&amp;" "&amp;Milestones!$AB$130&amp;" "&amp;Milestones!$AC$130&amp;";  ","")&amp;IF(AND(EDATE($D124,Milestones!$AA$131)&lt;=AsOfDate,IF($R124=0,$X124,IF(AND($T124&lt;&gt;"",EDATE($D124,Milestones!$AA$131)&gt;=$T124),$W124,IF(AND($S124&lt;&gt;"",EDATE($D124,Milestones!$AA$131)&gt;=$S124),$V124,$U124)))=Milestones!$AB$131),UPPER(TEXT(EDATE($D124,Milestones!$AA$131),"dd mmm yy"))&amp;" "&amp;Milestones!$AB$131&amp;" "&amp;Milestones!$AC$131&amp;";  ","")&amp;IF(AND(EDATE($D124,Milestones!$AA$132)&lt;=AsOfDate,IF($R124=0,$X124,IF(AND($T124&lt;&gt;"",EDATE($D124,Milestones!$AA$132)&gt;=$T124),$W124,IF(AND($S124&lt;&gt;"",EDATE($D124,Milestones!$AA$132)&gt;=$S124),$V124,$U124)))=Milestones!$AB$132),UPPER(TEXT(EDATE($D124,Milestones!$AA$132),"dd mmm yy"))&amp;" "&amp;Milestones!$AB$132&amp;" "&amp;Milestones!$AC$132&amp;";  ","")&amp;IF(AND(EDATE($D124,Milestones!$AA$133)&lt;=AsOfDate,IF($R124=0,$X124,IF(AND($T124&lt;&gt;"",EDATE($D124,Milestones!$AA$133)&gt;=$T124),$W124,IF(AND($S124&lt;&gt;"",EDATE($D124,Milestones!$AA$133)&gt;=$S124),$V124,$U124)))=Milestones!$AB$133),UPPER(TEXT(EDATE($D124,Milestones!$AA$133),"dd mmm yy"))&amp;" "&amp;Milestones!$AB$133&amp;" "&amp;Milestones!$AC$133&amp;";  ","")&amp;IF(AND(EDATE($D124,Milestones!$AA$134)&lt;=AsOfDate,IF($R124=0,$X124,IF(AND($T124&lt;&gt;"",EDATE($D124,Milestones!$AA$134)&gt;=$T124),$W124,IF(AND($S124&lt;&gt;"",EDATE($D124,Milestones!$AA$134)&gt;=$S124),$V124,$U124)))=Milestones!$AB$134),UPPER(TEXT(EDATE($D124,Milestones!$AA$134),"dd mmm yy"))&amp;" "&amp;Milestones!$AB$134&amp;" "&amp;Milestones!$AC$134&amp;";  ","")&amp;IF(AND(EDATE($D124,Milestones!$AA$135)&lt;=AsOfDate,IF($R124=0,$X124,IF(AND($T124&lt;&gt;"",EDATE($D124,Milestones!$AA$135)&gt;=$T124),$W124,IF(AND($S124&lt;&gt;"",EDATE($D124,Milestones!$AA$135)&gt;=$S124),$V124,$U124)))=Milestones!$AB$135),UPPER(TEXT(EDATE($D124,Milestones!$AA$135),"dd mmm yy"))&amp;" "&amp;Milestones!$AB$135&amp;" "&amp;Milestones!$AC$135&amp;";  ","")&amp;IF(AND(EDATE($D124,Milestones!$AA$136)&lt;=AsOfDate,IF($R124=0,$X124,IF(AND($T124&lt;&gt;"",EDATE($D124,Milestones!$AA$136)&gt;=$T124),$W124,IF(AND($S124&lt;&gt;"",EDATE($D124,Milestones!$AA$136)&gt;=$S124),$V124,$U124)))=Milestones!$AB$136),UPPER(TEXT(EDATE($D124,Milestones!$AA$136),"dd mmm yy"))&amp;" "&amp;Milestones!$AB$136&amp;" "&amp;Milestones!$AC$136&amp;";  ","")&amp;IF(AND(EDATE($D124,Milestones!$AA$137)&lt;=AsOfDate,IF($R124=0,$X124,IF(AND($T124&lt;&gt;"",EDATE($D124,Milestones!$AA$137)&gt;=$T124),$W124,IF(AND($S124&lt;&gt;"",EDATE($D124,Milestones!$AA$137)&gt;=$S124),$V124,$U124)))=Milestones!$AB$137),UPPER(TEXT(EDATE($D124,Milestones!$AA$137),"dd mmm yy"))&amp;" "&amp;Milestones!$AB$137&amp;" "&amp;Milestones!$AC$137&amp;";  ","")&amp;IF(AND(EDATE($D124,Milestones!$AA$138)&lt;=AsOfDate,IF($R124=0,$X124,IF(AND($T124&lt;&gt;"",EDATE($D124,Milestones!$AA$138)&gt;=$T124),$W124,IF(AND($S124&lt;&gt;"",EDATE($D124,Milestones!$AA$138)&gt;=$S124),$V124,$U124)))=Milestones!$AB$138),UPPER(TEXT(EDATE($D124,Milestones!$AA$138),"dd mmm yy"))&amp;" "&amp;Milestones!$AB$138&amp;" "&amp;Milestones!$AC$138&amp;";  ","")&amp;IF(AND(EDATE($D124,Milestones!$AA$139)&lt;=AsOfDate,IF($R124=0,$X124,IF(AND($T124&lt;&gt;"",EDATE($D124,Milestones!$AA$139)&gt;=$T124),$W124,IF(AND($S124&lt;&gt;"",EDATE($D124,Milestones!$AA$139)&gt;=$S124),$V124,$U124)))=Milestones!$AB$139),UPPER(TEXT(EDATE($D124,Milestones!$AA$139),"dd mmm yy"))&amp;" "&amp;Milestones!$AB$139&amp;" "&amp;Milestones!$AC$139&amp;";  ",""))</f>
        <v/>
      </c>
      <c r="O124" s="0" t="str">
        <f aca="false">IF(OR($A124="",$D124=""),"",IF(AND(EDATE($D124,Milestones!$AA$140)&lt;=AsOfDate,IF($R124=0,$X124,IF(AND($T124&lt;&gt;"",EDATE($D124,Milestones!$AA$140)&gt;=$T124),$W124,IF(AND($S124&lt;&gt;"",EDATE($D124,Milestones!$AA$140)&gt;=$S124),$V124,$U124)))=Milestones!$AB$140),UPPER(TEXT(EDATE($D124,Milestones!$AA$140),"dd mmm yy"))&amp;" "&amp;Milestones!$AB$140&amp;" "&amp;Milestones!$AC$140&amp;";  ","")&amp;IF(AND(EDATE($D124,Milestones!$AA$141)&lt;=AsOfDate,IF($R124=0,$X124,IF(AND($T124&lt;&gt;"",EDATE($D124,Milestones!$AA$141)&gt;=$T124),$W124,IF(AND($S124&lt;&gt;"",EDATE($D124,Milestones!$AA$141)&gt;=$S124),$V124,$U124)))=Milestones!$AB$141),UPPER(TEXT(EDATE($D124,Milestones!$AA$141),"dd mmm yy"))&amp;" "&amp;Milestones!$AB$141&amp;" "&amp;Milestones!$AC$141&amp;";  ","")&amp;IF(AND(EDATE($D124,Milestones!$AA$142)&lt;=AsOfDate,IF($R124=0,$X124,IF(AND($T124&lt;&gt;"",EDATE($D124,Milestones!$AA$142)&gt;=$T124),$W124,IF(AND($S124&lt;&gt;"",EDATE($D124,Milestones!$AA$142)&gt;=$S124),$V124,$U124)))=Milestones!$AB$142),UPPER(TEXT(EDATE($D124,Milestones!$AA$142),"dd mmm yy"))&amp;" "&amp;Milestones!$AB$142&amp;" "&amp;Milestones!$AC$142&amp;";  ","")&amp;IF(AND(EDATE($D124,Milestones!$AA$143)&lt;=AsOfDate,IF($R124=0,$X124,IF(AND($T124&lt;&gt;"",EDATE($D124,Milestones!$AA$143)&gt;=$T124),$W124,IF(AND($S124&lt;&gt;"",EDATE($D124,Milestones!$AA$143)&gt;=$S124),$V124,$U124)))=Milestones!$AB$143),UPPER(TEXT(EDATE($D124,Milestones!$AA$143),"dd mmm yy"))&amp;" "&amp;Milestones!$AB$143&amp;" "&amp;Milestones!$AC$143&amp;";  ","")&amp;IF(AND(EDATE($D124,Milestones!$AA$144)&lt;=AsOfDate,IF($R124=0,$X124,IF(AND($T124&lt;&gt;"",EDATE($D124,Milestones!$AA$144)&gt;=$T124),$W124,IF(AND($S124&lt;&gt;"",EDATE($D124,Milestones!$AA$144)&gt;=$S124),$V124,$U124)))=Milestones!$AB$144),UPPER(TEXT(EDATE($D124,Milestones!$AA$144),"dd mmm yy"))&amp;" "&amp;Milestones!$AB$144&amp;" "&amp;Milestones!$AC$144&amp;";  ","")&amp;IF(AND(EDATE($D124,Milestones!$AA$145)&lt;=AsOfDate,IF($R124=0,$X124,IF(AND($T124&lt;&gt;"",EDATE($D124,Milestones!$AA$145)&gt;=$T124),$W124,IF(AND($S124&lt;&gt;"",EDATE($D124,Milestones!$AA$145)&gt;=$S124),$V124,$U124)))=Milestones!$AB$145),UPPER(TEXT(EDATE($D124,Milestones!$AA$145),"dd mmm yy"))&amp;" "&amp;Milestones!$AB$145&amp;" "&amp;Milestones!$AC$145&amp;";  ","")&amp;IF(AND(EDATE($D124,Milestones!$AA$146)&lt;=AsOfDate,IF($R124=0,$X124,IF(AND($T124&lt;&gt;"",EDATE($D124,Milestones!$AA$146)&gt;=$T124),$W124,IF(AND($S124&lt;&gt;"",EDATE($D124,Milestones!$AA$146)&gt;=$S124),$V124,$U124)))=Milestones!$AB$146),UPPER(TEXT(EDATE($D124,Milestones!$AA$146),"dd mmm yy"))&amp;" "&amp;Milestones!$AB$146&amp;" "&amp;Milestones!$AC$146&amp;";  ","")&amp;IF(AND(EDATE($D124,Milestones!$AA$147)&lt;=AsOfDate,IF($R124=0,$X124,IF(AND($T124&lt;&gt;"",EDATE($D124,Milestones!$AA$147)&gt;=$T124),$W124,IF(AND($S124&lt;&gt;"",EDATE($D124,Milestones!$AA$147)&gt;=$S124),$V124,$U124)))=Milestones!$AB$147),UPPER(TEXT(EDATE($D124,Milestones!$AA$147),"dd mmm yy"))&amp;" "&amp;Milestones!$AB$147&amp;" "&amp;Milestones!$AC$147&amp;";  ","")&amp;IF(AND(EDATE($D124,Milestones!$AA$148)&lt;=AsOfDate,IF($R124=0,$X124,IF(AND($T124&lt;&gt;"",EDATE($D124,Milestones!$AA$148)&gt;=$T124),$W124,IF(AND($S124&lt;&gt;"",EDATE($D124,Milestones!$AA$148)&gt;=$S124),$V124,$U124)))=Milestones!$AB$148),UPPER(TEXT(EDATE($D124,Milestones!$AA$148),"dd mmm yy"))&amp;" "&amp;Milestones!$AB$148&amp;" "&amp;Milestones!$AC$148&amp;";  ","")&amp;IF(AND(EDATE($D124,Milestones!$AA$149)&lt;=AsOfDate,IF($R124=0,$X124,IF(AND($T124&lt;&gt;"",EDATE($D124,Milestones!$AA$149)&gt;=$T124),$W124,IF(AND($S124&lt;&gt;"",EDATE($D124,Milestones!$AA$149)&gt;=$S124),$V124,$U124)))=Milestones!$AB$149),UPPER(TEXT(EDATE($D124,Milestones!$AA$149),"dd mmm yy"))&amp;" "&amp;Milestones!$AB$149&amp;" "&amp;Milestones!$AC$149&amp;";  ","")&amp;IF(AND(EDATE($D124,Milestones!$AA$150)&lt;=AsOfDate,IF($R124=0,$X124,IF(AND($T124&lt;&gt;"",EDATE($D124,Milestones!$AA$150)&gt;=$T124),$W124,IF(AND($S124&lt;&gt;"",EDATE($D124,Milestones!$AA$150)&gt;=$S124),$V124,$U124)))=Milestones!$AB$150),UPPER(TEXT(EDATE($D124,Milestones!$AA$150),"dd mmm yy"))&amp;" "&amp;Milestones!$AB$150&amp;" "&amp;Milestones!$AC$150&amp;";  ","")&amp;IF(AND(EDATE($D124,Milestones!$AA$151)&lt;=AsOfDate,IF($R124=0,$X124,IF(AND($T124&lt;&gt;"",EDATE($D124,Milestones!$AA$151)&gt;=$T124),$W124,IF(AND($S124&lt;&gt;"",EDATE($D124,Milestones!$AA$151)&gt;=$S124),$V124,$U124)))=Milestones!$AB$151),UPPER(TEXT(EDATE($D124,Milestones!$AA$151),"dd mmm yy"))&amp;" "&amp;Milestones!$AB$151&amp;" "&amp;Milestones!$AC$151&amp;";  ","")&amp;IF(AND(EDATE($D124,Milestones!$AA$152)&lt;=AsOfDate,IF($R124=0,$X124,IF(AND($T124&lt;&gt;"",EDATE($D124,Milestones!$AA$152)&gt;=$T124),$W124,IF(AND($S124&lt;&gt;"",EDATE($D124,Milestones!$AA$152)&gt;=$S124),$V124,$U124)))=Milestones!$AB$152),UPPER(TEXT(EDATE($D124,Milestones!$AA$152),"dd mmm yy"))&amp;" "&amp;Milestones!$AB$152&amp;" "&amp;Milestones!$AC$152&amp;";  ","")&amp;IF(AND(EDATE($D124,Milestones!$AA$153)&lt;=AsOfDate,IF($R124=0,$X124,IF(AND($T124&lt;&gt;"",EDATE($D124,Milestones!$AA$153)&gt;=$T124),$W124,IF(AND($S124&lt;&gt;"",EDATE($D124,Milestones!$AA$153)&gt;=$S124),$V124,$U124)))=Milestones!$AB$153),UPPER(TEXT(EDATE($D124,Milestones!$AA$153),"dd mmm yy"))&amp;" "&amp;Milestones!$AB$153&amp;" "&amp;Milestones!$AC$153&amp;";  ","")&amp;IF(AND(EDATE($D124,Milestones!$AA$154)&lt;=AsOfDate,IF($R124=0,$X124,IF(AND($T124&lt;&gt;"",EDATE($D124,Milestones!$AA$154)&gt;=$T124),$W124,IF(AND($S124&lt;&gt;"",EDATE($D124,Milestones!$AA$154)&gt;=$S124),$V124,$U124)))=Milestones!$AB$154),UPPER(TEXT(EDATE($D124,Milestones!$AA$154),"dd mmm yy"))&amp;" "&amp;Milestones!$AB$154&amp;" "&amp;Milestones!$AC$154&amp;";  ","")&amp;IF(AND(EDATE($D124,Milestones!$AA$155)&lt;=AsOfDate,IF($R124=0,$X124,IF(AND($T124&lt;&gt;"",EDATE($D124,Milestones!$AA$155)&gt;=$T124),$W124,IF(AND($S124&lt;&gt;"",EDATE($D124,Milestones!$AA$155)&gt;=$S124),$V124,$U124)))=Milestones!$AB$155),UPPER(TEXT(EDATE($D124,Milestones!$AA$155),"dd mmm yy"))&amp;" "&amp;Milestones!$AB$155&amp;" "&amp;Milestones!$AC$155&amp;";  ","")&amp;IF(AND(EDATE($D124,Milestones!$AA$156)&lt;=AsOfDate,IF($R124=0,$X124,IF(AND($T124&lt;&gt;"",EDATE($D124,Milestones!$AA$156)&gt;=$T124),$W124,IF(AND($S124&lt;&gt;"",EDATE($D124,Milestones!$AA$156)&gt;=$S124),$V124,$U124)))=Milestones!$AB$156),UPPER(TEXT(EDATE($D124,Milestones!$AA$156),"dd mmm yy"))&amp;" "&amp;Milestones!$AB$156&amp;" "&amp;Milestones!$AC$156&amp;";  ","")&amp;IF(AND(EDATE($D124,Milestones!$AA$157)&lt;=AsOfDate,IF($R124=0,$X124,IF(AND($T124&lt;&gt;"",EDATE($D124,Milestones!$AA$157)&gt;=$T124),$W124,IF(AND($S124&lt;&gt;"",EDATE($D124,Milestones!$AA$157)&gt;=$S124),$V124,$U124)))=Milestones!$AB$157),UPPER(TEXT(EDATE($D124,Milestones!$AA$157),"dd mmm yy"))&amp;" "&amp;Milestones!$AB$157&amp;" "&amp;Milestones!$AC$157&amp;";  ","")&amp;IF(AND(EDATE($D124,Milestones!$AA$158)&lt;=AsOfDate,IF($R124=0,$X124,IF(AND($T124&lt;&gt;"",EDATE($D124,Milestones!$AA$158)&gt;=$T124),$W124,IF(AND($S124&lt;&gt;"",EDATE($D124,Milestones!$AA$158)&gt;=$S124),$V124,$U124)))=Milestones!$AB$158),UPPER(TEXT(EDATE($D124,Milestones!$AA$158),"dd mmm yy"))&amp;" "&amp;Milestones!$AB$158&amp;" "&amp;Milestones!$AC$158&amp;";  ","")&amp;IF(AND(EDATE($D124,Milestones!$AA$159)&lt;=AsOfDate,IF($R124=0,$X124,IF(AND($T124&lt;&gt;"",EDATE($D124,Milestones!$AA$159)&gt;=$T124),$W124,IF(AND($S124&lt;&gt;"",EDATE($D124,Milestones!$AA$159)&gt;=$S124),$V124,$U124)))=Milestones!$AB$159),UPPER(TEXT(EDATE($D124,Milestones!$AA$159),"dd mmm yy"))&amp;" "&amp;Milestones!$AB$159&amp;" "&amp;Milestones!$AC$159&amp;";  ",""))</f>
        <v/>
      </c>
      <c r="P124" s="0" t="str">
        <f aca="false">IF(OR($A124="",$D124=""),"",IF(AND(EDATE($D124,Milestones!$AA$160)&lt;=AsOfDate,IF($R124=0,$X124,IF(AND($T124&lt;&gt;"",EDATE($D124,Milestones!$AA$160)&gt;=$T124),$W124,IF(AND($S124&lt;&gt;"",EDATE($D124,Milestones!$AA$160)&gt;=$S124),$V124,$U124)))=Milestones!$AB$160),UPPER(TEXT(EDATE($D124,Milestones!$AA$160),"dd mmm yy"))&amp;" "&amp;Milestones!$AB$160&amp;" "&amp;Milestones!$AC$160&amp;";  ","")&amp;IF(AND(EDATE($D124,Milestones!$AA$161)&lt;=AsOfDate,IF($R124=0,$X124,IF(AND($T124&lt;&gt;"",EDATE($D124,Milestones!$AA$161)&gt;=$T124),$W124,IF(AND($S124&lt;&gt;"",EDATE($D124,Milestones!$AA$161)&gt;=$S124),$V124,$U124)))=Milestones!$AB$161),UPPER(TEXT(EDATE($D124,Milestones!$AA$161),"dd mmm yy"))&amp;" "&amp;Milestones!$AB$161&amp;" "&amp;Milestones!$AC$161&amp;";  ","")&amp;IF(AND(EDATE($D124,Milestones!$AA$162)&lt;=AsOfDate,IF($R124=0,$X124,IF(AND($T124&lt;&gt;"",EDATE($D124,Milestones!$AA$162)&gt;=$T124),$W124,IF(AND($S124&lt;&gt;"",EDATE($D124,Milestones!$AA$162)&gt;=$S124),$V124,$U124)))=Milestones!$AB$162),UPPER(TEXT(EDATE($D124,Milestones!$AA$162),"dd mmm yy"))&amp;" "&amp;Milestones!$AB$162&amp;" "&amp;Milestones!$AC$162&amp;";  ","")&amp;IF(AND(EDATE($D124,Milestones!$AA$163)&lt;=AsOfDate,IF($R124=0,$X124,IF(AND($T124&lt;&gt;"",EDATE($D124,Milestones!$AA$163)&gt;=$T124),$W124,IF(AND($S124&lt;&gt;"",EDATE($D124,Milestones!$AA$163)&gt;=$S124),$V124,$U124)))=Milestones!$AB$163),UPPER(TEXT(EDATE($D124,Milestones!$AA$163),"dd mmm yy"))&amp;" "&amp;Milestones!$AB$163&amp;" "&amp;Milestones!$AC$163&amp;";  ","")&amp;IF(AND(EDATE($D124,Milestones!$AA$164)&lt;=AsOfDate,IF($R124=0,$X124,IF(AND($T124&lt;&gt;"",EDATE($D124,Milestones!$AA$164)&gt;=$T124),$W124,IF(AND($S124&lt;&gt;"",EDATE($D124,Milestones!$AA$164)&gt;=$S124),$V124,$U124)))=Milestones!$AB$164),UPPER(TEXT(EDATE($D124,Milestones!$AA$164),"dd mmm yy"))&amp;" "&amp;Milestones!$AB$164&amp;" "&amp;Milestones!$AC$164&amp;";  ","")&amp;IF(AND(EDATE($D124,Milestones!$AA$165)&lt;=AsOfDate,IF($R124=0,$X124,IF(AND($T124&lt;&gt;"",EDATE($D124,Milestones!$AA$165)&gt;=$T124),$W124,IF(AND($S124&lt;&gt;"",EDATE($D124,Milestones!$AA$165)&gt;=$S124),$V124,$U124)))=Milestones!$AB$165),UPPER(TEXT(EDATE($D124,Milestones!$AA$165),"dd mmm yy"))&amp;" "&amp;Milestones!$AB$165&amp;" "&amp;Milestones!$AC$165&amp;";  ","")&amp;IF(AND(EDATE($D124,Milestones!$AA$166)&lt;=AsOfDate,IF($R124=0,$X124,IF(AND($T124&lt;&gt;"",EDATE($D124,Milestones!$AA$166)&gt;=$T124),$W124,IF(AND($S124&lt;&gt;"",EDATE($D124,Milestones!$AA$166)&gt;=$S124),$V124,$U124)))=Milestones!$AB$166),UPPER(TEXT(EDATE($D124,Milestones!$AA$166),"dd mmm yy"))&amp;" "&amp;Milestones!$AB$166&amp;" "&amp;Milestones!$AC$166&amp;";  ","")&amp;IF(AND(EDATE($D124,Milestones!$AA$167)&lt;=AsOfDate,IF($R124=0,$X124,IF(AND($T124&lt;&gt;"",EDATE($D124,Milestones!$AA$167)&gt;=$T124),$W124,IF(AND($S124&lt;&gt;"",EDATE($D124,Milestones!$AA$167)&gt;=$S124),$V124,$U124)))=Milestones!$AB$167),UPPER(TEXT(EDATE($D124,Milestones!$AA$167),"dd mmm yy"))&amp;" "&amp;Milestones!$AB$167&amp;" "&amp;Milestones!$AC$167&amp;";  ","")&amp;IF(AND(EDATE($D124,Milestones!$AA$168)&lt;=AsOfDate,IF($R124=0,$X124,IF(AND($T124&lt;&gt;"",EDATE($D124,Milestones!$AA$168)&gt;=$T124),$W124,IF(AND($S124&lt;&gt;"",EDATE($D124,Milestones!$AA$168)&gt;=$S124),$V124,$U124)))=Milestones!$AB$168),UPPER(TEXT(EDATE($D124,Milestones!$AA$168),"dd mmm yy"))&amp;" "&amp;Milestones!$AB$168&amp;" "&amp;Milestones!$AC$168&amp;";  ","")&amp;IF(AND(EDATE($D124,Milestones!$AA$169)&lt;=AsOfDate,IF($R124=0,$X124,IF(AND($T124&lt;&gt;"",EDATE($D124,Milestones!$AA$169)&gt;=$T124),$W124,IF(AND($S124&lt;&gt;"",EDATE($D124,Milestones!$AA$169)&gt;=$S124),$V124,$U124)))=Milestones!$AB$169),UPPER(TEXT(EDATE($D124,Milestones!$AA$169),"dd mmm yy"))&amp;" "&amp;Milestones!$AB$169&amp;" "&amp;Milestones!$AC$169&amp;";  ","")&amp;IF(AND(EDATE($D124,Milestones!$AA$170)&lt;=AsOfDate,IF($R124=0,$X124,IF(AND($T124&lt;&gt;"",EDATE($D124,Milestones!$AA$170)&gt;=$T124),$W124,IF(AND($S124&lt;&gt;"",EDATE($D124,Milestones!$AA$170)&gt;=$S124),$V124,$U124)))=Milestones!$AB$170),UPPER(TEXT(EDATE($D124,Milestones!$AA$170),"dd mmm yy"))&amp;" "&amp;Milestones!$AB$170&amp;" "&amp;Milestones!$AC$170&amp;";  ","")&amp;IF(AND(EDATE($D124,Milestones!$AA$171)&lt;=AsOfDate,IF($R124=0,$X124,IF(AND($T124&lt;&gt;"",EDATE($D124,Milestones!$AA$171)&gt;=$T124),$W124,IF(AND($S124&lt;&gt;"",EDATE($D124,Milestones!$AA$171)&gt;=$S124),$V124,$U124)))=Milestones!$AB$171),UPPER(TEXT(EDATE($D124,Milestones!$AA$171),"dd mmm yy"))&amp;" "&amp;Milestones!$AB$171&amp;" "&amp;Milestones!$AC$171&amp;";  ","")&amp;IF(AND(EDATE($D124,Milestones!$AA$172)&lt;=AsOfDate,IF($R124=0,$X124,IF(AND($T124&lt;&gt;"",EDATE($D124,Milestones!$AA$172)&gt;=$T124),$W124,IF(AND($S124&lt;&gt;"",EDATE($D124,Milestones!$AA$172)&gt;=$S124),$V124,$U124)))=Milestones!$AB$172),UPPER(TEXT(EDATE($D124,Milestones!$AA$172),"dd mmm yy"))&amp;" "&amp;Milestones!$AB$172&amp;" "&amp;Milestones!$AC$172&amp;";  ","")&amp;IF(AND(EDATE($D124,Milestones!$AA$173)&lt;=AsOfDate,IF($R124=0,$X124,IF(AND($T124&lt;&gt;"",EDATE($D124,Milestones!$AA$173)&gt;=$T124),$W124,IF(AND($S124&lt;&gt;"",EDATE($D124,Milestones!$AA$173)&gt;=$S124),$V124,$U124)))=Milestones!$AB$173),UPPER(TEXT(EDATE($D124,Milestones!$AA$173),"dd mmm yy"))&amp;" "&amp;Milestones!$AB$173&amp;" "&amp;Milestones!$AC$173&amp;";  ","")&amp;IF(AND(EDATE($D124,Milestones!$AA$174)&lt;=AsOfDate,IF($R124=0,$X124,IF(AND($T124&lt;&gt;"",EDATE($D124,Milestones!$AA$174)&gt;=$T124),$W124,IF(AND($S124&lt;&gt;"",EDATE($D124,Milestones!$AA$174)&gt;=$S124),$V124,$U124)))=Milestones!$AB$174),UPPER(TEXT(EDATE($D124,Milestones!$AA$174),"dd mmm yy"))&amp;" "&amp;Milestones!$AB$174&amp;" "&amp;Milestones!$AC$174&amp;";  ","")&amp;IF(AND(EDATE($D124,Milestones!$AA$175)&lt;=AsOfDate,IF($R124=0,$X124,IF(AND($T124&lt;&gt;"",EDATE($D124,Milestones!$AA$175)&gt;=$T124),$W124,IF(AND($S124&lt;&gt;"",EDATE($D124,Milestones!$AA$175)&gt;=$S124),$V124,$U124)))=Milestones!$AB$175),UPPER(TEXT(EDATE($D124,Milestones!$AA$175),"dd mmm yy"))&amp;" "&amp;Milestones!$AB$175&amp;" "&amp;Milestones!$AC$175&amp;";  ","")&amp;IF(AND(EDATE($D124,Milestones!$AA$176)&lt;=AsOfDate,IF($R124=0,$X124,IF(AND($T124&lt;&gt;"",EDATE($D124,Milestones!$AA$176)&gt;=$T124),$W124,IF(AND($S124&lt;&gt;"",EDATE($D124,Milestones!$AA$176)&gt;=$S124),$V124,$U124)))=Milestones!$AB$176),UPPER(TEXT(EDATE($D124,Milestones!$AA$176),"dd mmm yy"))&amp;" "&amp;Milestones!$AB$176&amp;" "&amp;Milestones!$AC$176&amp;";  ","")&amp;IF(AND(EDATE($D124,Milestones!$AA$177)&lt;=AsOfDate,IF($R124=0,$X124,IF(AND($T124&lt;&gt;"",EDATE($D124,Milestones!$AA$177)&gt;=$T124),$W124,IF(AND($S124&lt;&gt;"",EDATE($D124,Milestones!$AA$177)&gt;=$S124),$V124,$U124)))=Milestones!$AB$177),UPPER(TEXT(EDATE($D124,Milestones!$AA$177),"dd mmm yy"))&amp;" "&amp;Milestones!$AB$177&amp;" "&amp;Milestones!$AC$177&amp;";  ","")&amp;IF(AND(EDATE($D124,Milestones!$AA$178)&lt;=AsOfDate,IF($R124=0,$X124,IF(AND($T124&lt;&gt;"",EDATE($D124,Milestones!$AA$178)&gt;=$T124),$W124,IF(AND($S124&lt;&gt;"",EDATE($D124,Milestones!$AA$178)&gt;=$S124),$V124,$U124)))=Milestones!$AB$178),UPPER(TEXT(EDATE($D124,Milestones!$AA$178),"dd mmm yy"))&amp;" "&amp;Milestones!$AB$178&amp;" "&amp;Milestones!$AC$178&amp;";  ","")&amp;IF(AND(EDATE($D124,Milestones!$AA$179)&lt;=AsOfDate,IF($R124=0,$X124,IF(AND($T124&lt;&gt;"",EDATE($D124,Milestones!$AA$179)&gt;=$T124),$W124,IF(AND($S124&lt;&gt;"",EDATE($D124,Milestones!$AA$179)&gt;=$S124),$V124,$U124)))=Milestones!$AB$179),UPPER(TEXT(EDATE($D124,Milestones!$AA$179),"dd mmm yy"))&amp;" "&amp;Milestones!$AB$179&amp;" "&amp;Milestones!$AC$179&amp;";  ",""))</f>
        <v/>
      </c>
      <c r="Q124" s="0" t="str">
        <f aca="false">IF(OR($A124="",$D124=""),"",IF(AND(EDATE($D124,Milestones!$AA$180)&lt;=AsOfDate,IF($R124=0,$X124,IF(AND($T124&lt;&gt;"",EDATE($D124,Milestones!$AA$180)&gt;=$T124),$W124,IF(AND($S124&lt;&gt;"",EDATE($D124,Milestones!$AA$180)&gt;=$S124),$V124,$U124)))=Milestones!$AB$180),UPPER(TEXT(EDATE($D124,Milestones!$AA$180),"dd mmm yy"))&amp;" "&amp;Milestones!$AB$180&amp;" "&amp;Milestones!$AC$180&amp;";  ","")&amp;IF(AND(EDATE($D124,Milestones!$AA$181)&lt;=AsOfDate,IF($R124=0,$X124,IF(AND($T124&lt;&gt;"",EDATE($D124,Milestones!$AA$181)&gt;=$T124),$W124,IF(AND($S124&lt;&gt;"",EDATE($D124,Milestones!$AA$181)&gt;=$S124),$V124,$U124)))=Milestones!$AB$181),UPPER(TEXT(EDATE($D124,Milestones!$AA$181),"dd mmm yy"))&amp;" "&amp;Milestones!$AB$181&amp;" "&amp;Milestones!$AC$181&amp;";  ","")&amp;IF(AND(EDATE($D124,Milestones!$AA$182)&lt;=AsOfDate,IF($R124=0,$X124,IF(AND($T124&lt;&gt;"",EDATE($D124,Milestones!$AA$182)&gt;=$T124),$W124,IF(AND($S124&lt;&gt;"",EDATE($D124,Milestones!$AA$182)&gt;=$S124),$V124,$U124)))=Milestones!$AB$182),UPPER(TEXT(EDATE($D124,Milestones!$AA$182),"dd mmm yy"))&amp;" "&amp;Milestones!$AB$182&amp;" "&amp;Milestones!$AC$182&amp;";  ","")&amp;IF(AND(EDATE($D124,Milestones!$AA$183)&lt;=AsOfDate,IF($R124=0,$X124,IF(AND($T124&lt;&gt;"",EDATE($D124,Milestones!$AA$183)&gt;=$T124),$W124,IF(AND($S124&lt;&gt;"",EDATE($D124,Milestones!$AA$183)&gt;=$S124),$V124,$U124)))=Milestones!$AB$183),UPPER(TEXT(EDATE($D124,Milestones!$AA$183),"dd mmm yy"))&amp;" "&amp;Milestones!$AB$183&amp;" "&amp;Milestones!$AC$183&amp;";  ","")&amp;IF(AND(EDATE($D124,Milestones!$AA$184)&lt;=AsOfDate,IF($R124=0,$X124,IF(AND($T124&lt;&gt;"",EDATE($D124,Milestones!$AA$184)&gt;=$T124),$W124,IF(AND($S124&lt;&gt;"",EDATE($D124,Milestones!$AA$184)&gt;=$S124),$V124,$U124)))=Milestones!$AB$184),UPPER(TEXT(EDATE($D124,Milestones!$AA$184),"dd mmm yy"))&amp;" "&amp;Milestones!$AB$184&amp;" "&amp;Milestones!$AC$184&amp;";  ","")&amp;IF(AND(EDATE($D124,Milestones!$AA$185)&lt;=AsOfDate,IF($R124=0,$X124,IF(AND($T124&lt;&gt;"",EDATE($D124,Milestones!$AA$185)&gt;=$T124),$W124,IF(AND($S124&lt;&gt;"",EDATE($D124,Milestones!$AA$185)&gt;=$S124),$V124,$U124)))=Milestones!$AB$185),UPPER(TEXT(EDATE($D124,Milestones!$AA$185),"dd mmm yy"))&amp;" "&amp;Milestones!$AB$185&amp;" "&amp;Milestones!$AC$185&amp;";  ","")&amp;IF(AND(EDATE($D124,Milestones!$AA$186)&lt;=AsOfDate,IF($R124=0,$X124,IF(AND($T124&lt;&gt;"",EDATE($D124,Milestones!$AA$186)&gt;=$T124),$W124,IF(AND($S124&lt;&gt;"",EDATE($D124,Milestones!$AA$186)&gt;=$S124),$V124,$U124)))=Milestones!$AB$186),UPPER(TEXT(EDATE($D124,Milestones!$AA$186),"dd mmm yy"))&amp;" "&amp;Milestones!$AB$186&amp;" "&amp;Milestones!$AC$186&amp;";  ","")&amp;IF(AND(EDATE($D124,Milestones!$AA$187)&lt;=AsOfDate,IF($R124=0,$X124,IF(AND($T124&lt;&gt;"",EDATE($D124,Milestones!$AA$187)&gt;=$T124),$W124,IF(AND($S124&lt;&gt;"",EDATE($D124,Milestones!$AA$187)&gt;=$S124),$V124,$U124)))=Milestones!$AB$187),UPPER(TEXT(EDATE($D124,Milestones!$AA$187),"dd mmm yy"))&amp;" "&amp;Milestones!$AB$187&amp;" "&amp;Milestones!$AC$187&amp;";  ","")&amp;IF(AND(EDATE($D124,Milestones!$AA$188)&lt;=AsOfDate,IF($R124=0,$X124,IF(AND($T124&lt;&gt;"",EDATE($D124,Milestones!$AA$188)&gt;=$T124),$W124,IF(AND($S124&lt;&gt;"",EDATE($D124,Milestones!$AA$188)&gt;=$S124),$V124,$U124)))=Milestones!$AB$188),UPPER(TEXT(EDATE($D124,Milestones!$AA$188),"dd mmm yy"))&amp;" "&amp;Milestones!$AB$188&amp;" "&amp;Milestones!$AC$188&amp;";  ","")&amp;IF(AND(EDATE($D124,Milestones!$AA$189)&lt;=AsOfDate,IF($R124=0,$X124,IF(AND($T124&lt;&gt;"",EDATE($D124,Milestones!$AA$189)&gt;=$T124),$W124,IF(AND($S124&lt;&gt;"",EDATE($D124,Milestones!$AA$189)&gt;=$S124),$V124,$U124)))=Milestones!$AB$189),UPPER(TEXT(EDATE($D124,Milestones!$AA$189),"dd mmm yy"))&amp;" "&amp;Milestones!$AB$189&amp;" "&amp;Milestones!$AC$189&amp;";  ","")&amp;IF(AND(EDATE($D124,Milestones!$AA$190)&lt;=AsOfDate,IF($R124=0,$X124,IF(AND($T124&lt;&gt;"",EDATE($D124,Milestones!$AA$190)&gt;=$T124),$W124,IF(AND($S124&lt;&gt;"",EDATE($D124,Milestones!$AA$190)&gt;=$S124),$V124,$U124)))=Milestones!$AB$190),UPPER(TEXT(EDATE($D124,Milestones!$AA$190),"dd mmm yy"))&amp;" "&amp;Milestones!$AB$190&amp;" "&amp;Milestones!$AC$190&amp;";  ","")&amp;IF(AND(EDATE($D124,Milestones!$AA$191)&lt;=AsOfDate,IF($R124=0,$X124,IF(AND($T124&lt;&gt;"",EDATE($D124,Milestones!$AA$191)&gt;=$T124),$W124,IF(AND($S124&lt;&gt;"",EDATE($D124,Milestones!$AA$191)&gt;=$S124),$V124,$U124)))=Milestones!$AB$191),UPPER(TEXT(EDATE($D124,Milestones!$AA$191),"dd mmm yy"))&amp;" "&amp;Milestones!$AB$191&amp;" "&amp;Milestones!$AC$191&amp;";  ","")&amp;IF(AND(EDATE($D124,Milestones!$AA$192)&lt;=AsOfDate,IF($R124=0,$X124,IF(AND($T124&lt;&gt;"",EDATE($D124,Milestones!$AA$192)&gt;=$T124),$W124,IF(AND($S124&lt;&gt;"",EDATE($D124,Milestones!$AA$192)&gt;=$S124),$V124,$U124)))=Milestones!$AB$192),UPPER(TEXT(EDATE($D124,Milestones!$AA$192),"dd mmm yy"))&amp;" "&amp;Milestones!$AB$192&amp;" "&amp;Milestones!$AC$192&amp;";  ","")&amp;IF(AND(EDATE($D124,Milestones!$AA$193)&lt;=AsOfDate,IF($R124=0,$X124,IF(AND($T124&lt;&gt;"",EDATE($D124,Milestones!$AA$193)&gt;=$T124),$W124,IF(AND($S124&lt;&gt;"",EDATE($D124,Milestones!$AA$193)&gt;=$S124),$V124,$U124)))=Milestones!$AB$193),UPPER(TEXT(EDATE($D124,Milestones!$AA$193),"dd mmm yy"))&amp;" "&amp;Milestones!$AB$193&amp;" "&amp;Milestones!$AC$193&amp;";  ","")&amp;IF(AND(EDATE($D124,Milestones!$AA$194)&lt;=AsOfDate,IF($R124=0,$X124,IF(AND($T124&lt;&gt;"",EDATE($D124,Milestones!$AA$194)&gt;=$T124),$W124,IF(AND($S124&lt;&gt;"",EDATE($D124,Milestones!$AA$194)&gt;=$S124),$V124,$U124)))=Milestones!$AB$194),UPPER(TEXT(EDATE($D124,Milestones!$AA$194),"dd mmm yy"))&amp;" "&amp;Milestones!$AB$194&amp;" "&amp;Milestones!$AC$194&amp;";  ","")&amp;IF(AND(EDATE($D124,Milestones!$AA$195)&lt;=AsOfDate,IF($R124=0,$X124,IF(AND($T124&lt;&gt;"",EDATE($D124,Milestones!$AA$195)&gt;=$T124),$W124,IF(AND($S124&lt;&gt;"",EDATE($D124,Milestones!$AA$195)&gt;=$S124),$V124,$U124)))=Milestones!$AB$195),UPPER(TEXT(EDATE($D124,Milestones!$AA$195),"dd mmm yy"))&amp;" "&amp;Milestones!$AB$195&amp;" "&amp;Milestones!$AC$195&amp;";  ","")&amp;IF(AND(EDATE($D124,Milestones!$AA$196)&lt;=AsOfDate,IF($R124=0,$X124,IF(AND($T124&lt;&gt;"",EDATE($D124,Milestones!$AA$196)&gt;=$T124),$W124,IF(AND($S124&lt;&gt;"",EDATE($D124,Milestones!$AA$196)&gt;=$S124),$V124,$U124)))=Milestones!$AB$196),UPPER(TEXT(EDATE($D124,Milestones!$AA$196),"dd mmm yy"))&amp;" "&amp;Milestones!$AB$196&amp;" "&amp;Milestones!$AC$196&amp;";  ","")&amp;IF(AND(EDATE($D124,Milestones!$AA$197)&lt;=AsOfDate,IF($R124=0,$X124,IF(AND($T124&lt;&gt;"",EDATE($D124,Milestones!$AA$197)&gt;=$T124),$W124,IF(AND($S124&lt;&gt;"",EDATE($D124,Milestones!$AA$197)&gt;=$S124),$V124,$U124)))=Milestones!$AB$197),UPPER(TEXT(EDATE($D124,Milestones!$AA$197),"dd mmm yy"))&amp;" "&amp;Milestones!$AB$197&amp;" "&amp;Milestones!$AC$197&amp;";  ","")&amp;IF(AND(EDATE($D124,Milestones!$AA$198)&lt;=AsOfDate,IF($R124=0,$X124,IF(AND($T124&lt;&gt;"",EDATE($D124,Milestones!$AA$198)&gt;=$T124),$W124,IF(AND($S124&lt;&gt;"",EDATE($D124,Milestones!$AA$198)&gt;=$S124),$V124,$U124)))=Milestones!$AB$198),UPPER(TEXT(EDATE($D124,Milestones!$AA$198),"dd mmm yy"))&amp;" "&amp;Milestones!$AB$198&amp;" "&amp;Milestones!$AC$198&amp;";  ","")&amp;IF(AND(EDATE($D124,Milestones!$AA$199)&lt;=AsOfDate,IF($R124=0,$X124,IF(AND($T124&lt;&gt;"",EDATE($D124,Milestones!$AA$199)&gt;=$T124),$W124,IF(AND($S124&lt;&gt;"",EDATE($D124,Milestones!$AA$199)&gt;=$S124),$V124,$U124)))=Milestones!$AB$199),UPPER(TEXT(EDATE($D124,Milestones!$AA$199),"dd mmm yy"))&amp;" "&amp;Milestones!$AB$199&amp;" "&amp;Milestones!$AC$199&amp;";  ",""))</f>
        <v/>
      </c>
      <c r="R124" s="0" t="str">
        <f aca="false">IF(Staff!$A124="","",Staff!$AI124)</f>
        <v/>
      </c>
      <c r="S124" s="0" t="str">
        <f aca="false">IF(Staff!$A124="","",Staff!$AK124)</f>
        <v/>
      </c>
      <c r="T124" s="0" t="str">
        <f aca="false">IF(Staff!$A124="","",Staff!$AL124)</f>
        <v/>
      </c>
      <c r="U124" s="0" t="str">
        <f aca="false">IF(Staff!$A124="","",Staff!$AP124)</f>
        <v/>
      </c>
      <c r="V124" s="0" t="str">
        <f aca="false">IF(Staff!$A124="","",Staff!$AQ124)</f>
        <v/>
      </c>
      <c r="W124" s="0" t="str">
        <f aca="false">IF(Staff!$A124="","",Staff!$AR124)</f>
        <v/>
      </c>
      <c r="X124" s="0" t="str">
        <f aca="false">IF(Staff!$A124="","",Staff!$AS124)</f>
        <v/>
      </c>
    </row>
    <row r="125" customFormat="false" ht="15" hidden="false" customHeight="false" outlineLevel="0" collapsed="false">
      <c r="A125" s="19" t="str">
        <f aca="false">IF(Staff!$A125="","",Staff!$A125)</f>
        <v/>
      </c>
      <c r="B125" s="19" t="str">
        <f aca="false">IF(Staff!$A125="","",Staff!$B125)</f>
        <v/>
      </c>
      <c r="C125" s="19" t="str">
        <f aca="false">IF(Staff!$A125="","",Staff!$C125)</f>
        <v/>
      </c>
      <c r="D125" s="17" t="str">
        <f aca="false">IF(Staff!$A125="","",Staff!$AH125)</f>
        <v/>
      </c>
      <c r="E125" s="19" t="str">
        <f aca="false">IF(Staff!$A125="","",Staff!$O125)</f>
        <v/>
      </c>
      <c r="F125" s="19" t="str">
        <f aca="false">IF(E125="","",E125*HoursPerDay)</f>
        <v/>
      </c>
      <c r="G125" s="19" t="str">
        <f aca="false">IF(Staff!$A125="","",Staff!$AE125)</f>
        <v/>
      </c>
      <c r="H125" s="32" t="str">
        <f aca="false">IF($A125="","",I125&amp;J125&amp;K125&amp;L125&amp;M125&amp;N125&amp;O125&amp;P125&amp;Q125)</f>
        <v/>
      </c>
      <c r="I125" s="0" t="str">
        <f aca="false">IF(OR($A125="",$D125=""),"",IF(AND(EDATE($D125,Milestones!$AA$20)&lt;=AsOfDate,IF($R125=0,$X125,IF(AND($T125&lt;&gt;"",EDATE($D125,Milestones!$AA$20)&gt;=$T125),$W125,IF(AND($S125&lt;&gt;"",EDATE($D125,Milestones!$AA$20)&gt;=$S125),$V125,$U125)))=Milestones!$AB$20),UPPER(TEXT(EDATE($D125,Milestones!$AA$20),"dd mmm yy"))&amp;" "&amp;Milestones!$AB$20&amp;" "&amp;Milestones!$AC$20&amp;";  ","")&amp;IF(AND(EDATE($D125,Milestones!$AA$21)&lt;=AsOfDate,IF($R125=0,$X125,IF(AND($T125&lt;&gt;"",EDATE($D125,Milestones!$AA$21)&gt;=$T125),$W125,IF(AND($S125&lt;&gt;"",EDATE($D125,Milestones!$AA$21)&gt;=$S125),$V125,$U125)))=Milestones!$AB$21),UPPER(TEXT(EDATE($D125,Milestones!$AA$21),"dd mmm yy"))&amp;" "&amp;Milestones!$AB$21&amp;" "&amp;Milestones!$AC$21&amp;";  ","")&amp;IF(AND(EDATE($D125,Milestones!$AA$22)&lt;=AsOfDate,IF($R125=0,$X125,IF(AND($T125&lt;&gt;"",EDATE($D125,Milestones!$AA$22)&gt;=$T125),$W125,IF(AND($S125&lt;&gt;"",EDATE($D125,Milestones!$AA$22)&gt;=$S125),$V125,$U125)))=Milestones!$AB$22),UPPER(TEXT(EDATE($D125,Milestones!$AA$22),"dd mmm yy"))&amp;" "&amp;Milestones!$AB$22&amp;" "&amp;Milestones!$AC$22&amp;";  ","")&amp;IF(AND(EDATE($D125,Milestones!$AA$23)&lt;=AsOfDate,IF($R125=0,$X125,IF(AND($T125&lt;&gt;"",EDATE($D125,Milestones!$AA$23)&gt;=$T125),$W125,IF(AND($S125&lt;&gt;"",EDATE($D125,Milestones!$AA$23)&gt;=$S125),$V125,$U125)))=Milestones!$AB$23),UPPER(TEXT(EDATE($D125,Milestones!$AA$23),"dd mmm yy"))&amp;" "&amp;Milestones!$AB$23&amp;" "&amp;Milestones!$AC$23&amp;";  ","")&amp;IF(AND(EDATE($D125,Milestones!$AA$24)&lt;=AsOfDate,IF($R125=0,$X125,IF(AND($T125&lt;&gt;"",EDATE($D125,Milestones!$AA$24)&gt;=$T125),$W125,IF(AND($S125&lt;&gt;"",EDATE($D125,Milestones!$AA$24)&gt;=$S125),$V125,$U125)))=Milestones!$AB$24),UPPER(TEXT(EDATE($D125,Milestones!$AA$24),"dd mmm yy"))&amp;" "&amp;Milestones!$AB$24&amp;" "&amp;Milestones!$AC$24&amp;";  ","")&amp;IF(AND(EDATE($D125,Milestones!$AA$25)&lt;=AsOfDate,IF($R125=0,$X125,IF(AND($T125&lt;&gt;"",EDATE($D125,Milestones!$AA$25)&gt;=$T125),$W125,IF(AND($S125&lt;&gt;"",EDATE($D125,Milestones!$AA$25)&gt;=$S125),$V125,$U125)))=Milestones!$AB$25),UPPER(TEXT(EDATE($D125,Milestones!$AA$25),"dd mmm yy"))&amp;" "&amp;Milestones!$AB$25&amp;" "&amp;Milestones!$AC$25&amp;";  ","")&amp;IF(AND(EDATE($D125,Milestones!$AA$26)&lt;=AsOfDate,IF($R125=0,$X125,IF(AND($T125&lt;&gt;"",EDATE($D125,Milestones!$AA$26)&gt;=$T125),$W125,IF(AND($S125&lt;&gt;"",EDATE($D125,Milestones!$AA$26)&gt;=$S125),$V125,$U125)))=Milestones!$AB$26),UPPER(TEXT(EDATE($D125,Milestones!$AA$26),"dd mmm yy"))&amp;" "&amp;Milestones!$AB$26&amp;" "&amp;Milestones!$AC$26&amp;";  ","")&amp;IF(AND(EDATE($D125,Milestones!$AA$27)&lt;=AsOfDate,IF($R125=0,$X125,IF(AND($T125&lt;&gt;"",EDATE($D125,Milestones!$AA$27)&gt;=$T125),$W125,IF(AND($S125&lt;&gt;"",EDATE($D125,Milestones!$AA$27)&gt;=$S125),$V125,$U125)))=Milestones!$AB$27),UPPER(TEXT(EDATE($D125,Milestones!$AA$27),"dd mmm yy"))&amp;" "&amp;Milestones!$AB$27&amp;" "&amp;Milestones!$AC$27&amp;";  ","")&amp;IF(AND(EDATE($D125,Milestones!$AA$28)&lt;=AsOfDate,IF($R125=0,$X125,IF(AND($T125&lt;&gt;"",EDATE($D125,Milestones!$AA$28)&gt;=$T125),$W125,IF(AND($S125&lt;&gt;"",EDATE($D125,Milestones!$AA$28)&gt;=$S125),$V125,$U125)))=Milestones!$AB$28),UPPER(TEXT(EDATE($D125,Milestones!$AA$28),"dd mmm yy"))&amp;" "&amp;Milestones!$AB$28&amp;" "&amp;Milestones!$AC$28&amp;";  ","")&amp;IF(AND(EDATE($D125,Milestones!$AA$29)&lt;=AsOfDate,IF($R125=0,$X125,IF(AND($T125&lt;&gt;"",EDATE($D125,Milestones!$AA$29)&gt;=$T125),$W125,IF(AND($S125&lt;&gt;"",EDATE($D125,Milestones!$AA$29)&gt;=$S125),$V125,$U125)))=Milestones!$AB$29),UPPER(TEXT(EDATE($D125,Milestones!$AA$29),"dd mmm yy"))&amp;" "&amp;Milestones!$AB$29&amp;" "&amp;Milestones!$AC$29&amp;";  ","")&amp;IF(AND(EDATE($D125,Milestones!$AA$30)&lt;=AsOfDate,IF($R125=0,$X125,IF(AND($T125&lt;&gt;"",EDATE($D125,Milestones!$AA$30)&gt;=$T125),$W125,IF(AND($S125&lt;&gt;"",EDATE($D125,Milestones!$AA$30)&gt;=$S125),$V125,$U125)))=Milestones!$AB$30),UPPER(TEXT(EDATE($D125,Milestones!$AA$30),"dd mmm yy"))&amp;" "&amp;Milestones!$AB$30&amp;" "&amp;Milestones!$AC$30&amp;";  ","")&amp;IF(AND(EDATE($D125,Milestones!$AA$31)&lt;=AsOfDate,IF($R125=0,$X125,IF(AND($T125&lt;&gt;"",EDATE($D125,Milestones!$AA$31)&gt;=$T125),$W125,IF(AND($S125&lt;&gt;"",EDATE($D125,Milestones!$AA$31)&gt;=$S125),$V125,$U125)))=Milestones!$AB$31),UPPER(TEXT(EDATE($D125,Milestones!$AA$31),"dd mmm yy"))&amp;" "&amp;Milestones!$AB$31&amp;" "&amp;Milestones!$AC$31&amp;";  ","")&amp;IF(AND(EDATE($D125,Milestones!$AA$32)&lt;=AsOfDate,IF($R125=0,$X125,IF(AND($T125&lt;&gt;"",EDATE($D125,Milestones!$AA$32)&gt;=$T125),$W125,IF(AND($S125&lt;&gt;"",EDATE($D125,Milestones!$AA$32)&gt;=$S125),$V125,$U125)))=Milestones!$AB$32),UPPER(TEXT(EDATE($D125,Milestones!$AA$32),"dd mmm yy"))&amp;" "&amp;Milestones!$AB$32&amp;" "&amp;Milestones!$AC$32&amp;";  ","")&amp;IF(AND(EDATE($D125,Milestones!$AA$33)&lt;=AsOfDate,IF($R125=0,$X125,IF(AND($T125&lt;&gt;"",EDATE($D125,Milestones!$AA$33)&gt;=$T125),$W125,IF(AND($S125&lt;&gt;"",EDATE($D125,Milestones!$AA$33)&gt;=$S125),$V125,$U125)))=Milestones!$AB$33),UPPER(TEXT(EDATE($D125,Milestones!$AA$33),"dd mmm yy"))&amp;" "&amp;Milestones!$AB$33&amp;" "&amp;Milestones!$AC$33&amp;";  ","")&amp;IF(AND(EDATE($D125,Milestones!$AA$34)&lt;=AsOfDate,IF($R125=0,$X125,IF(AND($T125&lt;&gt;"",EDATE($D125,Milestones!$AA$34)&gt;=$T125),$W125,IF(AND($S125&lt;&gt;"",EDATE($D125,Milestones!$AA$34)&gt;=$S125),$V125,$U125)))=Milestones!$AB$34),UPPER(TEXT(EDATE($D125,Milestones!$AA$34),"dd mmm yy"))&amp;" "&amp;Milestones!$AB$34&amp;" "&amp;Milestones!$AC$34&amp;";  ","")&amp;IF(AND(EDATE($D125,Milestones!$AA$35)&lt;=AsOfDate,IF($R125=0,$X125,IF(AND($T125&lt;&gt;"",EDATE($D125,Milestones!$AA$35)&gt;=$T125),$W125,IF(AND($S125&lt;&gt;"",EDATE($D125,Milestones!$AA$35)&gt;=$S125),$V125,$U125)))=Milestones!$AB$35),UPPER(TEXT(EDATE($D125,Milestones!$AA$35),"dd mmm yy"))&amp;" "&amp;Milestones!$AB$35&amp;" "&amp;Milestones!$AC$35&amp;";  ","")&amp;IF(AND(EDATE($D125,Milestones!$AA$36)&lt;=AsOfDate,IF($R125=0,$X125,IF(AND($T125&lt;&gt;"",EDATE($D125,Milestones!$AA$36)&gt;=$T125),$W125,IF(AND($S125&lt;&gt;"",EDATE($D125,Milestones!$AA$36)&gt;=$S125),$V125,$U125)))=Milestones!$AB$36),UPPER(TEXT(EDATE($D125,Milestones!$AA$36),"dd mmm yy"))&amp;" "&amp;Milestones!$AB$36&amp;" "&amp;Milestones!$AC$36&amp;";  ","")&amp;IF(AND(EDATE($D125,Milestones!$AA$37)&lt;=AsOfDate,IF($R125=0,$X125,IF(AND($T125&lt;&gt;"",EDATE($D125,Milestones!$AA$37)&gt;=$T125),$W125,IF(AND($S125&lt;&gt;"",EDATE($D125,Milestones!$AA$37)&gt;=$S125),$V125,$U125)))=Milestones!$AB$37),UPPER(TEXT(EDATE($D125,Milestones!$AA$37),"dd mmm yy"))&amp;" "&amp;Milestones!$AB$37&amp;" "&amp;Milestones!$AC$37&amp;";  ","")&amp;IF(AND(EDATE($D125,Milestones!$AA$38)&lt;=AsOfDate,IF($R125=0,$X125,IF(AND($T125&lt;&gt;"",EDATE($D125,Milestones!$AA$38)&gt;=$T125),$W125,IF(AND($S125&lt;&gt;"",EDATE($D125,Milestones!$AA$38)&gt;=$S125),$V125,$U125)))=Milestones!$AB$38),UPPER(TEXT(EDATE($D125,Milestones!$AA$38),"dd mmm yy"))&amp;" "&amp;Milestones!$AB$38&amp;" "&amp;Milestones!$AC$38&amp;";  ","")&amp;IF(AND(EDATE($D125,Milestones!$AA$39)&lt;=AsOfDate,IF($R125=0,$X125,IF(AND($T125&lt;&gt;"",EDATE($D125,Milestones!$AA$39)&gt;=$T125),$W125,IF(AND($S125&lt;&gt;"",EDATE($D125,Milestones!$AA$39)&gt;=$S125),$V125,$U125)))=Milestones!$AB$39),UPPER(TEXT(EDATE($D125,Milestones!$AA$39),"dd mmm yy"))&amp;" "&amp;Milestones!$AB$39&amp;" "&amp;Milestones!$AC$39&amp;";  ",""))</f>
        <v/>
      </c>
      <c r="J125" s="0" t="str">
        <f aca="false">IF(OR($A125="",$D125=""),"",IF(AND(EDATE($D125,Milestones!$AA$40)&lt;=AsOfDate,IF($R125=0,$X125,IF(AND($T125&lt;&gt;"",EDATE($D125,Milestones!$AA$40)&gt;=$T125),$W125,IF(AND($S125&lt;&gt;"",EDATE($D125,Milestones!$AA$40)&gt;=$S125),$V125,$U125)))=Milestones!$AB$40),UPPER(TEXT(EDATE($D125,Milestones!$AA$40),"dd mmm yy"))&amp;" "&amp;Milestones!$AB$40&amp;" "&amp;Milestones!$AC$40&amp;";  ","")&amp;IF(AND(EDATE($D125,Milestones!$AA$41)&lt;=AsOfDate,IF($R125=0,$X125,IF(AND($T125&lt;&gt;"",EDATE($D125,Milestones!$AA$41)&gt;=$T125),$W125,IF(AND($S125&lt;&gt;"",EDATE($D125,Milestones!$AA$41)&gt;=$S125),$V125,$U125)))=Milestones!$AB$41),UPPER(TEXT(EDATE($D125,Milestones!$AA$41),"dd mmm yy"))&amp;" "&amp;Milestones!$AB$41&amp;" "&amp;Milestones!$AC$41&amp;";  ","")&amp;IF(AND(EDATE($D125,Milestones!$AA$42)&lt;=AsOfDate,IF($R125=0,$X125,IF(AND($T125&lt;&gt;"",EDATE($D125,Milestones!$AA$42)&gt;=$T125),$W125,IF(AND($S125&lt;&gt;"",EDATE($D125,Milestones!$AA$42)&gt;=$S125),$V125,$U125)))=Milestones!$AB$42),UPPER(TEXT(EDATE($D125,Milestones!$AA$42),"dd mmm yy"))&amp;" "&amp;Milestones!$AB$42&amp;" "&amp;Milestones!$AC$42&amp;";  ","")&amp;IF(AND(EDATE($D125,Milestones!$AA$43)&lt;=AsOfDate,IF($R125=0,$X125,IF(AND($T125&lt;&gt;"",EDATE($D125,Milestones!$AA$43)&gt;=$T125),$W125,IF(AND($S125&lt;&gt;"",EDATE($D125,Milestones!$AA$43)&gt;=$S125),$V125,$U125)))=Milestones!$AB$43),UPPER(TEXT(EDATE($D125,Milestones!$AA$43),"dd mmm yy"))&amp;" "&amp;Milestones!$AB$43&amp;" "&amp;Milestones!$AC$43&amp;";  ","")&amp;IF(AND(EDATE($D125,Milestones!$AA$44)&lt;=AsOfDate,IF($R125=0,$X125,IF(AND($T125&lt;&gt;"",EDATE($D125,Milestones!$AA$44)&gt;=$T125),$W125,IF(AND($S125&lt;&gt;"",EDATE($D125,Milestones!$AA$44)&gt;=$S125),$V125,$U125)))=Milestones!$AB$44),UPPER(TEXT(EDATE($D125,Milestones!$AA$44),"dd mmm yy"))&amp;" "&amp;Milestones!$AB$44&amp;" "&amp;Milestones!$AC$44&amp;";  ","")&amp;IF(AND(EDATE($D125,Milestones!$AA$45)&lt;=AsOfDate,IF($R125=0,$X125,IF(AND($T125&lt;&gt;"",EDATE($D125,Milestones!$AA$45)&gt;=$T125),$W125,IF(AND($S125&lt;&gt;"",EDATE($D125,Milestones!$AA$45)&gt;=$S125),$V125,$U125)))=Milestones!$AB$45),UPPER(TEXT(EDATE($D125,Milestones!$AA$45),"dd mmm yy"))&amp;" "&amp;Milestones!$AB$45&amp;" "&amp;Milestones!$AC$45&amp;";  ","")&amp;IF(AND(EDATE($D125,Milestones!$AA$46)&lt;=AsOfDate,IF($R125=0,$X125,IF(AND($T125&lt;&gt;"",EDATE($D125,Milestones!$AA$46)&gt;=$T125),$W125,IF(AND($S125&lt;&gt;"",EDATE($D125,Milestones!$AA$46)&gt;=$S125),$V125,$U125)))=Milestones!$AB$46),UPPER(TEXT(EDATE($D125,Milestones!$AA$46),"dd mmm yy"))&amp;" "&amp;Milestones!$AB$46&amp;" "&amp;Milestones!$AC$46&amp;";  ","")&amp;IF(AND(EDATE($D125,Milestones!$AA$47)&lt;=AsOfDate,IF($R125=0,$X125,IF(AND($T125&lt;&gt;"",EDATE($D125,Milestones!$AA$47)&gt;=$T125),$W125,IF(AND($S125&lt;&gt;"",EDATE($D125,Milestones!$AA$47)&gt;=$S125),$V125,$U125)))=Milestones!$AB$47),UPPER(TEXT(EDATE($D125,Milestones!$AA$47),"dd mmm yy"))&amp;" "&amp;Milestones!$AB$47&amp;" "&amp;Milestones!$AC$47&amp;";  ","")&amp;IF(AND(EDATE($D125,Milestones!$AA$48)&lt;=AsOfDate,IF($R125=0,$X125,IF(AND($T125&lt;&gt;"",EDATE($D125,Milestones!$AA$48)&gt;=$T125),$W125,IF(AND($S125&lt;&gt;"",EDATE($D125,Milestones!$AA$48)&gt;=$S125),$V125,$U125)))=Milestones!$AB$48),UPPER(TEXT(EDATE($D125,Milestones!$AA$48),"dd mmm yy"))&amp;" "&amp;Milestones!$AB$48&amp;" "&amp;Milestones!$AC$48&amp;";  ","")&amp;IF(AND(EDATE($D125,Milestones!$AA$49)&lt;=AsOfDate,IF($R125=0,$X125,IF(AND($T125&lt;&gt;"",EDATE($D125,Milestones!$AA$49)&gt;=$T125),$W125,IF(AND($S125&lt;&gt;"",EDATE($D125,Milestones!$AA$49)&gt;=$S125),$V125,$U125)))=Milestones!$AB$49),UPPER(TEXT(EDATE($D125,Milestones!$AA$49),"dd mmm yy"))&amp;" "&amp;Milestones!$AB$49&amp;" "&amp;Milestones!$AC$49&amp;";  ","")&amp;IF(AND(EDATE($D125,Milestones!$AA$50)&lt;=AsOfDate,IF($R125=0,$X125,IF(AND($T125&lt;&gt;"",EDATE($D125,Milestones!$AA$50)&gt;=$T125),$W125,IF(AND($S125&lt;&gt;"",EDATE($D125,Milestones!$AA$50)&gt;=$S125),$V125,$U125)))=Milestones!$AB$50),UPPER(TEXT(EDATE($D125,Milestones!$AA$50),"dd mmm yy"))&amp;" "&amp;Milestones!$AB$50&amp;" "&amp;Milestones!$AC$50&amp;";  ","")&amp;IF(AND(EDATE($D125,Milestones!$AA$51)&lt;=AsOfDate,IF($R125=0,$X125,IF(AND($T125&lt;&gt;"",EDATE($D125,Milestones!$AA$51)&gt;=$T125),$W125,IF(AND($S125&lt;&gt;"",EDATE($D125,Milestones!$AA$51)&gt;=$S125),$V125,$U125)))=Milestones!$AB$51),UPPER(TEXT(EDATE($D125,Milestones!$AA$51),"dd mmm yy"))&amp;" "&amp;Milestones!$AB$51&amp;" "&amp;Milestones!$AC$51&amp;";  ","")&amp;IF(AND(EDATE($D125,Milestones!$AA$52)&lt;=AsOfDate,IF($R125=0,$X125,IF(AND($T125&lt;&gt;"",EDATE($D125,Milestones!$AA$52)&gt;=$T125),$W125,IF(AND($S125&lt;&gt;"",EDATE($D125,Milestones!$AA$52)&gt;=$S125),$V125,$U125)))=Milestones!$AB$52),UPPER(TEXT(EDATE($D125,Milestones!$AA$52),"dd mmm yy"))&amp;" "&amp;Milestones!$AB$52&amp;" "&amp;Milestones!$AC$52&amp;";  ","")&amp;IF(AND(EDATE($D125,Milestones!$AA$53)&lt;=AsOfDate,IF($R125=0,$X125,IF(AND($T125&lt;&gt;"",EDATE($D125,Milestones!$AA$53)&gt;=$T125),$W125,IF(AND($S125&lt;&gt;"",EDATE($D125,Milestones!$AA$53)&gt;=$S125),$V125,$U125)))=Milestones!$AB$53),UPPER(TEXT(EDATE($D125,Milestones!$AA$53),"dd mmm yy"))&amp;" "&amp;Milestones!$AB$53&amp;" "&amp;Milestones!$AC$53&amp;";  ","")&amp;IF(AND(EDATE($D125,Milestones!$AA$54)&lt;=AsOfDate,IF($R125=0,$X125,IF(AND($T125&lt;&gt;"",EDATE($D125,Milestones!$AA$54)&gt;=$T125),$W125,IF(AND($S125&lt;&gt;"",EDATE($D125,Milestones!$AA$54)&gt;=$S125),$V125,$U125)))=Milestones!$AB$54),UPPER(TEXT(EDATE($D125,Milestones!$AA$54),"dd mmm yy"))&amp;" "&amp;Milestones!$AB$54&amp;" "&amp;Milestones!$AC$54&amp;";  ","")&amp;IF(AND(EDATE($D125,Milestones!$AA$55)&lt;=AsOfDate,IF($R125=0,$X125,IF(AND($T125&lt;&gt;"",EDATE($D125,Milestones!$AA$55)&gt;=$T125),$W125,IF(AND($S125&lt;&gt;"",EDATE($D125,Milestones!$AA$55)&gt;=$S125),$V125,$U125)))=Milestones!$AB$55),UPPER(TEXT(EDATE($D125,Milestones!$AA$55),"dd mmm yy"))&amp;" "&amp;Milestones!$AB$55&amp;" "&amp;Milestones!$AC$55&amp;";  ","")&amp;IF(AND(EDATE($D125,Milestones!$AA$56)&lt;=AsOfDate,IF($R125=0,$X125,IF(AND($T125&lt;&gt;"",EDATE($D125,Milestones!$AA$56)&gt;=$T125),$W125,IF(AND($S125&lt;&gt;"",EDATE($D125,Milestones!$AA$56)&gt;=$S125),$V125,$U125)))=Milestones!$AB$56),UPPER(TEXT(EDATE($D125,Milestones!$AA$56),"dd mmm yy"))&amp;" "&amp;Milestones!$AB$56&amp;" "&amp;Milestones!$AC$56&amp;";  ","")&amp;IF(AND(EDATE($D125,Milestones!$AA$57)&lt;=AsOfDate,IF($R125=0,$X125,IF(AND($T125&lt;&gt;"",EDATE($D125,Milestones!$AA$57)&gt;=$T125),$W125,IF(AND($S125&lt;&gt;"",EDATE($D125,Milestones!$AA$57)&gt;=$S125),$V125,$U125)))=Milestones!$AB$57),UPPER(TEXT(EDATE($D125,Milestones!$AA$57),"dd mmm yy"))&amp;" "&amp;Milestones!$AB$57&amp;" "&amp;Milestones!$AC$57&amp;";  ","")&amp;IF(AND(EDATE($D125,Milestones!$AA$58)&lt;=AsOfDate,IF($R125=0,$X125,IF(AND($T125&lt;&gt;"",EDATE($D125,Milestones!$AA$58)&gt;=$T125),$W125,IF(AND($S125&lt;&gt;"",EDATE($D125,Milestones!$AA$58)&gt;=$S125),$V125,$U125)))=Milestones!$AB$58),UPPER(TEXT(EDATE($D125,Milestones!$AA$58),"dd mmm yy"))&amp;" "&amp;Milestones!$AB$58&amp;" "&amp;Milestones!$AC$58&amp;";  ","")&amp;IF(AND(EDATE($D125,Milestones!$AA$59)&lt;=AsOfDate,IF($R125=0,$X125,IF(AND($T125&lt;&gt;"",EDATE($D125,Milestones!$AA$59)&gt;=$T125),$W125,IF(AND($S125&lt;&gt;"",EDATE($D125,Milestones!$AA$59)&gt;=$S125),$V125,$U125)))=Milestones!$AB$59),UPPER(TEXT(EDATE($D125,Milestones!$AA$59),"dd mmm yy"))&amp;" "&amp;Milestones!$AB$59&amp;" "&amp;Milestones!$AC$59&amp;";  ",""))</f>
        <v/>
      </c>
      <c r="K125" s="0" t="str">
        <f aca="false">IF(OR($A125="",$D125=""),"",IF(AND(EDATE($D125,Milestones!$AA$60)&lt;=AsOfDate,IF($R125=0,$X125,IF(AND($T125&lt;&gt;"",EDATE($D125,Milestones!$AA$60)&gt;=$T125),$W125,IF(AND($S125&lt;&gt;"",EDATE($D125,Milestones!$AA$60)&gt;=$S125),$V125,$U125)))=Milestones!$AB$60),UPPER(TEXT(EDATE($D125,Milestones!$AA$60),"dd mmm yy"))&amp;" "&amp;Milestones!$AB$60&amp;" "&amp;Milestones!$AC$60&amp;";  ","")&amp;IF(AND(EDATE($D125,Milestones!$AA$61)&lt;=AsOfDate,IF($R125=0,$X125,IF(AND($T125&lt;&gt;"",EDATE($D125,Milestones!$AA$61)&gt;=$T125),$W125,IF(AND($S125&lt;&gt;"",EDATE($D125,Milestones!$AA$61)&gt;=$S125),$V125,$U125)))=Milestones!$AB$61),UPPER(TEXT(EDATE($D125,Milestones!$AA$61),"dd mmm yy"))&amp;" "&amp;Milestones!$AB$61&amp;" "&amp;Milestones!$AC$61&amp;";  ","")&amp;IF(AND(EDATE($D125,Milestones!$AA$62)&lt;=AsOfDate,IF($R125=0,$X125,IF(AND($T125&lt;&gt;"",EDATE($D125,Milestones!$AA$62)&gt;=$T125),$W125,IF(AND($S125&lt;&gt;"",EDATE($D125,Milestones!$AA$62)&gt;=$S125),$V125,$U125)))=Milestones!$AB$62),UPPER(TEXT(EDATE($D125,Milestones!$AA$62),"dd mmm yy"))&amp;" "&amp;Milestones!$AB$62&amp;" "&amp;Milestones!$AC$62&amp;";  ","")&amp;IF(AND(EDATE($D125,Milestones!$AA$63)&lt;=AsOfDate,IF($R125=0,$X125,IF(AND($T125&lt;&gt;"",EDATE($D125,Milestones!$AA$63)&gt;=$T125),$W125,IF(AND($S125&lt;&gt;"",EDATE($D125,Milestones!$AA$63)&gt;=$S125),$V125,$U125)))=Milestones!$AB$63),UPPER(TEXT(EDATE($D125,Milestones!$AA$63),"dd mmm yy"))&amp;" "&amp;Milestones!$AB$63&amp;" "&amp;Milestones!$AC$63&amp;";  ","")&amp;IF(AND(EDATE($D125,Milestones!$AA$64)&lt;=AsOfDate,IF($R125=0,$X125,IF(AND($T125&lt;&gt;"",EDATE($D125,Milestones!$AA$64)&gt;=$T125),$W125,IF(AND($S125&lt;&gt;"",EDATE($D125,Milestones!$AA$64)&gt;=$S125),$V125,$U125)))=Milestones!$AB$64),UPPER(TEXT(EDATE($D125,Milestones!$AA$64),"dd mmm yy"))&amp;" "&amp;Milestones!$AB$64&amp;" "&amp;Milestones!$AC$64&amp;";  ","")&amp;IF(AND(EDATE($D125,Milestones!$AA$65)&lt;=AsOfDate,IF($R125=0,$X125,IF(AND($T125&lt;&gt;"",EDATE($D125,Milestones!$AA$65)&gt;=$T125),$W125,IF(AND($S125&lt;&gt;"",EDATE($D125,Milestones!$AA$65)&gt;=$S125),$V125,$U125)))=Milestones!$AB$65),UPPER(TEXT(EDATE($D125,Milestones!$AA$65),"dd mmm yy"))&amp;" "&amp;Milestones!$AB$65&amp;" "&amp;Milestones!$AC$65&amp;";  ","")&amp;IF(AND(EDATE($D125,Milestones!$AA$66)&lt;=AsOfDate,IF($R125=0,$X125,IF(AND($T125&lt;&gt;"",EDATE($D125,Milestones!$AA$66)&gt;=$T125),$W125,IF(AND($S125&lt;&gt;"",EDATE($D125,Milestones!$AA$66)&gt;=$S125),$V125,$U125)))=Milestones!$AB$66),UPPER(TEXT(EDATE($D125,Milestones!$AA$66),"dd mmm yy"))&amp;" "&amp;Milestones!$AB$66&amp;" "&amp;Milestones!$AC$66&amp;";  ","")&amp;IF(AND(EDATE($D125,Milestones!$AA$67)&lt;=AsOfDate,IF($R125=0,$X125,IF(AND($T125&lt;&gt;"",EDATE($D125,Milestones!$AA$67)&gt;=$T125),$W125,IF(AND($S125&lt;&gt;"",EDATE($D125,Milestones!$AA$67)&gt;=$S125),$V125,$U125)))=Milestones!$AB$67),UPPER(TEXT(EDATE($D125,Milestones!$AA$67),"dd mmm yy"))&amp;" "&amp;Milestones!$AB$67&amp;" "&amp;Milestones!$AC$67&amp;";  ","")&amp;IF(AND(EDATE($D125,Milestones!$AA$68)&lt;=AsOfDate,IF($R125=0,$X125,IF(AND($T125&lt;&gt;"",EDATE($D125,Milestones!$AA$68)&gt;=$T125),$W125,IF(AND($S125&lt;&gt;"",EDATE($D125,Milestones!$AA$68)&gt;=$S125),$V125,$U125)))=Milestones!$AB$68),UPPER(TEXT(EDATE($D125,Milestones!$AA$68),"dd mmm yy"))&amp;" "&amp;Milestones!$AB$68&amp;" "&amp;Milestones!$AC$68&amp;";  ","")&amp;IF(AND(EDATE($D125,Milestones!$AA$69)&lt;=AsOfDate,IF($R125=0,$X125,IF(AND($T125&lt;&gt;"",EDATE($D125,Milestones!$AA$69)&gt;=$T125),$W125,IF(AND($S125&lt;&gt;"",EDATE($D125,Milestones!$AA$69)&gt;=$S125),$V125,$U125)))=Milestones!$AB$69),UPPER(TEXT(EDATE($D125,Milestones!$AA$69),"dd mmm yy"))&amp;" "&amp;Milestones!$AB$69&amp;" "&amp;Milestones!$AC$69&amp;";  ","")&amp;IF(AND(EDATE($D125,Milestones!$AA$70)&lt;=AsOfDate,IF($R125=0,$X125,IF(AND($T125&lt;&gt;"",EDATE($D125,Milestones!$AA$70)&gt;=$T125),$W125,IF(AND($S125&lt;&gt;"",EDATE($D125,Milestones!$AA$70)&gt;=$S125),$V125,$U125)))=Milestones!$AB$70),UPPER(TEXT(EDATE($D125,Milestones!$AA$70),"dd mmm yy"))&amp;" "&amp;Milestones!$AB$70&amp;" "&amp;Milestones!$AC$70&amp;";  ","")&amp;IF(AND(EDATE($D125,Milestones!$AA$71)&lt;=AsOfDate,IF($R125=0,$X125,IF(AND($T125&lt;&gt;"",EDATE($D125,Milestones!$AA$71)&gt;=$T125),$W125,IF(AND($S125&lt;&gt;"",EDATE($D125,Milestones!$AA$71)&gt;=$S125),$V125,$U125)))=Milestones!$AB$71),UPPER(TEXT(EDATE($D125,Milestones!$AA$71),"dd mmm yy"))&amp;" "&amp;Milestones!$AB$71&amp;" "&amp;Milestones!$AC$71&amp;";  ","")&amp;IF(AND(EDATE($D125,Milestones!$AA$72)&lt;=AsOfDate,IF($R125=0,$X125,IF(AND($T125&lt;&gt;"",EDATE($D125,Milestones!$AA$72)&gt;=$T125),$W125,IF(AND($S125&lt;&gt;"",EDATE($D125,Milestones!$AA$72)&gt;=$S125),$V125,$U125)))=Milestones!$AB$72),UPPER(TEXT(EDATE($D125,Milestones!$AA$72),"dd mmm yy"))&amp;" "&amp;Milestones!$AB$72&amp;" "&amp;Milestones!$AC$72&amp;";  ","")&amp;IF(AND(EDATE($D125,Milestones!$AA$73)&lt;=AsOfDate,IF($R125=0,$X125,IF(AND($T125&lt;&gt;"",EDATE($D125,Milestones!$AA$73)&gt;=$T125),$W125,IF(AND($S125&lt;&gt;"",EDATE($D125,Milestones!$AA$73)&gt;=$S125),$V125,$U125)))=Milestones!$AB$73),UPPER(TEXT(EDATE($D125,Milestones!$AA$73),"dd mmm yy"))&amp;" "&amp;Milestones!$AB$73&amp;" "&amp;Milestones!$AC$73&amp;";  ","")&amp;IF(AND(EDATE($D125,Milestones!$AA$74)&lt;=AsOfDate,IF($R125=0,$X125,IF(AND($T125&lt;&gt;"",EDATE($D125,Milestones!$AA$74)&gt;=$T125),$W125,IF(AND($S125&lt;&gt;"",EDATE($D125,Milestones!$AA$74)&gt;=$S125),$V125,$U125)))=Milestones!$AB$74),UPPER(TEXT(EDATE($D125,Milestones!$AA$74),"dd mmm yy"))&amp;" "&amp;Milestones!$AB$74&amp;" "&amp;Milestones!$AC$74&amp;";  ","")&amp;IF(AND(EDATE($D125,Milestones!$AA$75)&lt;=AsOfDate,IF($R125=0,$X125,IF(AND($T125&lt;&gt;"",EDATE($D125,Milestones!$AA$75)&gt;=$T125),$W125,IF(AND($S125&lt;&gt;"",EDATE($D125,Milestones!$AA$75)&gt;=$S125),$V125,$U125)))=Milestones!$AB$75),UPPER(TEXT(EDATE($D125,Milestones!$AA$75),"dd mmm yy"))&amp;" "&amp;Milestones!$AB$75&amp;" "&amp;Milestones!$AC$75&amp;";  ","")&amp;IF(AND(EDATE($D125,Milestones!$AA$76)&lt;=AsOfDate,IF($R125=0,$X125,IF(AND($T125&lt;&gt;"",EDATE($D125,Milestones!$AA$76)&gt;=$T125),$W125,IF(AND($S125&lt;&gt;"",EDATE($D125,Milestones!$AA$76)&gt;=$S125),$V125,$U125)))=Milestones!$AB$76),UPPER(TEXT(EDATE($D125,Milestones!$AA$76),"dd mmm yy"))&amp;" "&amp;Milestones!$AB$76&amp;" "&amp;Milestones!$AC$76&amp;";  ","")&amp;IF(AND(EDATE($D125,Milestones!$AA$77)&lt;=AsOfDate,IF($R125=0,$X125,IF(AND($T125&lt;&gt;"",EDATE($D125,Milestones!$AA$77)&gt;=$T125),$W125,IF(AND($S125&lt;&gt;"",EDATE($D125,Milestones!$AA$77)&gt;=$S125),$V125,$U125)))=Milestones!$AB$77),UPPER(TEXT(EDATE($D125,Milestones!$AA$77),"dd mmm yy"))&amp;" "&amp;Milestones!$AB$77&amp;" "&amp;Milestones!$AC$77&amp;";  ","")&amp;IF(AND(EDATE($D125,Milestones!$AA$78)&lt;=AsOfDate,IF($R125=0,$X125,IF(AND($T125&lt;&gt;"",EDATE($D125,Milestones!$AA$78)&gt;=$T125),$W125,IF(AND($S125&lt;&gt;"",EDATE($D125,Milestones!$AA$78)&gt;=$S125),$V125,$U125)))=Milestones!$AB$78),UPPER(TEXT(EDATE($D125,Milestones!$AA$78),"dd mmm yy"))&amp;" "&amp;Milestones!$AB$78&amp;" "&amp;Milestones!$AC$78&amp;";  ","")&amp;IF(AND(EDATE($D125,Milestones!$AA$79)&lt;=AsOfDate,IF($R125=0,$X125,IF(AND($T125&lt;&gt;"",EDATE($D125,Milestones!$AA$79)&gt;=$T125),$W125,IF(AND($S125&lt;&gt;"",EDATE($D125,Milestones!$AA$79)&gt;=$S125),$V125,$U125)))=Milestones!$AB$79),UPPER(TEXT(EDATE($D125,Milestones!$AA$79),"dd mmm yy"))&amp;" "&amp;Milestones!$AB$79&amp;" "&amp;Milestones!$AC$79&amp;";  ",""))</f>
        <v/>
      </c>
      <c r="L125" s="0" t="str">
        <f aca="false">IF(OR($A125="",$D125=""),"",IF(AND(EDATE($D125,Milestones!$AA$80)&lt;=AsOfDate,IF($R125=0,$X125,IF(AND($T125&lt;&gt;"",EDATE($D125,Milestones!$AA$80)&gt;=$T125),$W125,IF(AND($S125&lt;&gt;"",EDATE($D125,Milestones!$AA$80)&gt;=$S125),$V125,$U125)))=Milestones!$AB$80),UPPER(TEXT(EDATE($D125,Milestones!$AA$80),"dd mmm yy"))&amp;" "&amp;Milestones!$AB$80&amp;" "&amp;Milestones!$AC$80&amp;";  ","")&amp;IF(AND(EDATE($D125,Milestones!$AA$81)&lt;=AsOfDate,IF($R125=0,$X125,IF(AND($T125&lt;&gt;"",EDATE($D125,Milestones!$AA$81)&gt;=$T125),$W125,IF(AND($S125&lt;&gt;"",EDATE($D125,Milestones!$AA$81)&gt;=$S125),$V125,$U125)))=Milestones!$AB$81),UPPER(TEXT(EDATE($D125,Milestones!$AA$81),"dd mmm yy"))&amp;" "&amp;Milestones!$AB$81&amp;" "&amp;Milestones!$AC$81&amp;";  ","")&amp;IF(AND(EDATE($D125,Milestones!$AA$82)&lt;=AsOfDate,IF($R125=0,$X125,IF(AND($T125&lt;&gt;"",EDATE($D125,Milestones!$AA$82)&gt;=$T125),$W125,IF(AND($S125&lt;&gt;"",EDATE($D125,Milestones!$AA$82)&gt;=$S125),$V125,$U125)))=Milestones!$AB$82),UPPER(TEXT(EDATE($D125,Milestones!$AA$82),"dd mmm yy"))&amp;" "&amp;Milestones!$AB$82&amp;" "&amp;Milestones!$AC$82&amp;";  ","")&amp;IF(AND(EDATE($D125,Milestones!$AA$83)&lt;=AsOfDate,IF($R125=0,$X125,IF(AND($T125&lt;&gt;"",EDATE($D125,Milestones!$AA$83)&gt;=$T125),$W125,IF(AND($S125&lt;&gt;"",EDATE($D125,Milestones!$AA$83)&gt;=$S125),$V125,$U125)))=Milestones!$AB$83),UPPER(TEXT(EDATE($D125,Milestones!$AA$83),"dd mmm yy"))&amp;" "&amp;Milestones!$AB$83&amp;" "&amp;Milestones!$AC$83&amp;";  ","")&amp;IF(AND(EDATE($D125,Milestones!$AA$84)&lt;=AsOfDate,IF($R125=0,$X125,IF(AND($T125&lt;&gt;"",EDATE($D125,Milestones!$AA$84)&gt;=$T125),$W125,IF(AND($S125&lt;&gt;"",EDATE($D125,Milestones!$AA$84)&gt;=$S125),$V125,$U125)))=Milestones!$AB$84),UPPER(TEXT(EDATE($D125,Milestones!$AA$84),"dd mmm yy"))&amp;" "&amp;Milestones!$AB$84&amp;" "&amp;Milestones!$AC$84&amp;";  ","")&amp;IF(AND(EDATE($D125,Milestones!$AA$85)&lt;=AsOfDate,IF($R125=0,$X125,IF(AND($T125&lt;&gt;"",EDATE($D125,Milestones!$AA$85)&gt;=$T125),$W125,IF(AND($S125&lt;&gt;"",EDATE($D125,Milestones!$AA$85)&gt;=$S125),$V125,$U125)))=Milestones!$AB$85),UPPER(TEXT(EDATE($D125,Milestones!$AA$85),"dd mmm yy"))&amp;" "&amp;Milestones!$AB$85&amp;" "&amp;Milestones!$AC$85&amp;";  ","")&amp;IF(AND(EDATE($D125,Milestones!$AA$86)&lt;=AsOfDate,IF($R125=0,$X125,IF(AND($T125&lt;&gt;"",EDATE($D125,Milestones!$AA$86)&gt;=$T125),$W125,IF(AND($S125&lt;&gt;"",EDATE($D125,Milestones!$AA$86)&gt;=$S125),$V125,$U125)))=Milestones!$AB$86),UPPER(TEXT(EDATE($D125,Milestones!$AA$86),"dd mmm yy"))&amp;" "&amp;Milestones!$AB$86&amp;" "&amp;Milestones!$AC$86&amp;";  ","")&amp;IF(AND(EDATE($D125,Milestones!$AA$87)&lt;=AsOfDate,IF($R125=0,$X125,IF(AND($T125&lt;&gt;"",EDATE($D125,Milestones!$AA$87)&gt;=$T125),$W125,IF(AND($S125&lt;&gt;"",EDATE($D125,Milestones!$AA$87)&gt;=$S125),$V125,$U125)))=Milestones!$AB$87),UPPER(TEXT(EDATE($D125,Milestones!$AA$87),"dd mmm yy"))&amp;" "&amp;Milestones!$AB$87&amp;" "&amp;Milestones!$AC$87&amp;";  ","")&amp;IF(AND(EDATE($D125,Milestones!$AA$88)&lt;=AsOfDate,IF($R125=0,$X125,IF(AND($T125&lt;&gt;"",EDATE($D125,Milestones!$AA$88)&gt;=$T125),$W125,IF(AND($S125&lt;&gt;"",EDATE($D125,Milestones!$AA$88)&gt;=$S125),$V125,$U125)))=Milestones!$AB$88),UPPER(TEXT(EDATE($D125,Milestones!$AA$88),"dd mmm yy"))&amp;" "&amp;Milestones!$AB$88&amp;" "&amp;Milestones!$AC$88&amp;";  ","")&amp;IF(AND(EDATE($D125,Milestones!$AA$89)&lt;=AsOfDate,IF($R125=0,$X125,IF(AND($T125&lt;&gt;"",EDATE($D125,Milestones!$AA$89)&gt;=$T125),$W125,IF(AND($S125&lt;&gt;"",EDATE($D125,Milestones!$AA$89)&gt;=$S125),$V125,$U125)))=Milestones!$AB$89),UPPER(TEXT(EDATE($D125,Milestones!$AA$89),"dd mmm yy"))&amp;" "&amp;Milestones!$AB$89&amp;" "&amp;Milestones!$AC$89&amp;";  ","")&amp;IF(AND(EDATE($D125,Milestones!$AA$90)&lt;=AsOfDate,IF($R125=0,$X125,IF(AND($T125&lt;&gt;"",EDATE($D125,Milestones!$AA$90)&gt;=$T125),$W125,IF(AND($S125&lt;&gt;"",EDATE($D125,Milestones!$AA$90)&gt;=$S125),$V125,$U125)))=Milestones!$AB$90),UPPER(TEXT(EDATE($D125,Milestones!$AA$90),"dd mmm yy"))&amp;" "&amp;Milestones!$AB$90&amp;" "&amp;Milestones!$AC$90&amp;";  ","")&amp;IF(AND(EDATE($D125,Milestones!$AA$91)&lt;=AsOfDate,IF($R125=0,$X125,IF(AND($T125&lt;&gt;"",EDATE($D125,Milestones!$AA$91)&gt;=$T125),$W125,IF(AND($S125&lt;&gt;"",EDATE($D125,Milestones!$AA$91)&gt;=$S125),$V125,$U125)))=Milestones!$AB$91),UPPER(TEXT(EDATE($D125,Milestones!$AA$91),"dd mmm yy"))&amp;" "&amp;Milestones!$AB$91&amp;" "&amp;Milestones!$AC$91&amp;";  ","")&amp;IF(AND(EDATE($D125,Milestones!$AA$92)&lt;=AsOfDate,IF($R125=0,$X125,IF(AND($T125&lt;&gt;"",EDATE($D125,Milestones!$AA$92)&gt;=$T125),$W125,IF(AND($S125&lt;&gt;"",EDATE($D125,Milestones!$AA$92)&gt;=$S125),$V125,$U125)))=Milestones!$AB$92),UPPER(TEXT(EDATE($D125,Milestones!$AA$92),"dd mmm yy"))&amp;" "&amp;Milestones!$AB$92&amp;" "&amp;Milestones!$AC$92&amp;";  ","")&amp;IF(AND(EDATE($D125,Milestones!$AA$93)&lt;=AsOfDate,IF($R125=0,$X125,IF(AND($T125&lt;&gt;"",EDATE($D125,Milestones!$AA$93)&gt;=$T125),$W125,IF(AND($S125&lt;&gt;"",EDATE($D125,Milestones!$AA$93)&gt;=$S125),$V125,$U125)))=Milestones!$AB$93),UPPER(TEXT(EDATE($D125,Milestones!$AA$93),"dd mmm yy"))&amp;" "&amp;Milestones!$AB$93&amp;" "&amp;Milestones!$AC$93&amp;";  ","")&amp;IF(AND(EDATE($D125,Milestones!$AA$94)&lt;=AsOfDate,IF($R125=0,$X125,IF(AND($T125&lt;&gt;"",EDATE($D125,Milestones!$AA$94)&gt;=$T125),$W125,IF(AND($S125&lt;&gt;"",EDATE($D125,Milestones!$AA$94)&gt;=$S125),$V125,$U125)))=Milestones!$AB$94),UPPER(TEXT(EDATE($D125,Milestones!$AA$94),"dd mmm yy"))&amp;" "&amp;Milestones!$AB$94&amp;" "&amp;Milestones!$AC$94&amp;";  ","")&amp;IF(AND(EDATE($D125,Milestones!$AA$95)&lt;=AsOfDate,IF($R125=0,$X125,IF(AND($T125&lt;&gt;"",EDATE($D125,Milestones!$AA$95)&gt;=$T125),$W125,IF(AND($S125&lt;&gt;"",EDATE($D125,Milestones!$AA$95)&gt;=$S125),$V125,$U125)))=Milestones!$AB$95),UPPER(TEXT(EDATE($D125,Milestones!$AA$95),"dd mmm yy"))&amp;" "&amp;Milestones!$AB$95&amp;" "&amp;Milestones!$AC$95&amp;";  ","")&amp;IF(AND(EDATE($D125,Milestones!$AA$96)&lt;=AsOfDate,IF($R125=0,$X125,IF(AND($T125&lt;&gt;"",EDATE($D125,Milestones!$AA$96)&gt;=$T125),$W125,IF(AND($S125&lt;&gt;"",EDATE($D125,Milestones!$AA$96)&gt;=$S125),$V125,$U125)))=Milestones!$AB$96),UPPER(TEXT(EDATE($D125,Milestones!$AA$96),"dd mmm yy"))&amp;" "&amp;Milestones!$AB$96&amp;" "&amp;Milestones!$AC$96&amp;";  ","")&amp;IF(AND(EDATE($D125,Milestones!$AA$97)&lt;=AsOfDate,IF($R125=0,$X125,IF(AND($T125&lt;&gt;"",EDATE($D125,Milestones!$AA$97)&gt;=$T125),$W125,IF(AND($S125&lt;&gt;"",EDATE($D125,Milestones!$AA$97)&gt;=$S125),$V125,$U125)))=Milestones!$AB$97),UPPER(TEXT(EDATE($D125,Milestones!$AA$97),"dd mmm yy"))&amp;" "&amp;Milestones!$AB$97&amp;" "&amp;Milestones!$AC$97&amp;";  ","")&amp;IF(AND(EDATE($D125,Milestones!$AA$98)&lt;=AsOfDate,IF($R125=0,$X125,IF(AND($T125&lt;&gt;"",EDATE($D125,Milestones!$AA$98)&gt;=$T125),$W125,IF(AND($S125&lt;&gt;"",EDATE($D125,Milestones!$AA$98)&gt;=$S125),$V125,$U125)))=Milestones!$AB$98),UPPER(TEXT(EDATE($D125,Milestones!$AA$98),"dd mmm yy"))&amp;" "&amp;Milestones!$AB$98&amp;" "&amp;Milestones!$AC$98&amp;";  ","")&amp;IF(AND(EDATE($D125,Milestones!$AA$99)&lt;=AsOfDate,IF($R125=0,$X125,IF(AND($T125&lt;&gt;"",EDATE($D125,Milestones!$AA$99)&gt;=$T125),$W125,IF(AND($S125&lt;&gt;"",EDATE($D125,Milestones!$AA$99)&gt;=$S125),$V125,$U125)))=Milestones!$AB$99),UPPER(TEXT(EDATE($D125,Milestones!$AA$99),"dd mmm yy"))&amp;" "&amp;Milestones!$AB$99&amp;" "&amp;Milestones!$AC$99&amp;";  ",""))</f>
        <v/>
      </c>
      <c r="M125" s="0" t="str">
        <f aca="false">IF(OR($A125="",$D125=""),"",IF(AND(EDATE($D125,Milestones!$AA$100)&lt;=AsOfDate,IF($R125=0,$X125,IF(AND($T125&lt;&gt;"",EDATE($D125,Milestones!$AA$100)&gt;=$T125),$W125,IF(AND($S125&lt;&gt;"",EDATE($D125,Milestones!$AA$100)&gt;=$S125),$V125,$U125)))=Milestones!$AB$100),UPPER(TEXT(EDATE($D125,Milestones!$AA$100),"dd mmm yy"))&amp;" "&amp;Milestones!$AB$100&amp;" "&amp;Milestones!$AC$100&amp;";  ","")&amp;IF(AND(EDATE($D125,Milestones!$AA$101)&lt;=AsOfDate,IF($R125=0,$X125,IF(AND($T125&lt;&gt;"",EDATE($D125,Milestones!$AA$101)&gt;=$T125),$W125,IF(AND($S125&lt;&gt;"",EDATE($D125,Milestones!$AA$101)&gt;=$S125),$V125,$U125)))=Milestones!$AB$101),UPPER(TEXT(EDATE($D125,Milestones!$AA$101),"dd mmm yy"))&amp;" "&amp;Milestones!$AB$101&amp;" "&amp;Milestones!$AC$101&amp;";  ","")&amp;IF(AND(EDATE($D125,Milestones!$AA$102)&lt;=AsOfDate,IF($R125=0,$X125,IF(AND($T125&lt;&gt;"",EDATE($D125,Milestones!$AA$102)&gt;=$T125),$W125,IF(AND($S125&lt;&gt;"",EDATE($D125,Milestones!$AA$102)&gt;=$S125),$V125,$U125)))=Milestones!$AB$102),UPPER(TEXT(EDATE($D125,Milestones!$AA$102),"dd mmm yy"))&amp;" "&amp;Milestones!$AB$102&amp;" "&amp;Milestones!$AC$102&amp;";  ","")&amp;IF(AND(EDATE($D125,Milestones!$AA$103)&lt;=AsOfDate,IF($R125=0,$X125,IF(AND($T125&lt;&gt;"",EDATE($D125,Milestones!$AA$103)&gt;=$T125),$W125,IF(AND($S125&lt;&gt;"",EDATE($D125,Milestones!$AA$103)&gt;=$S125),$V125,$U125)))=Milestones!$AB$103),UPPER(TEXT(EDATE($D125,Milestones!$AA$103),"dd mmm yy"))&amp;" "&amp;Milestones!$AB$103&amp;" "&amp;Milestones!$AC$103&amp;";  ","")&amp;IF(AND(EDATE($D125,Milestones!$AA$104)&lt;=AsOfDate,IF($R125=0,$X125,IF(AND($T125&lt;&gt;"",EDATE($D125,Milestones!$AA$104)&gt;=$T125),$W125,IF(AND($S125&lt;&gt;"",EDATE($D125,Milestones!$AA$104)&gt;=$S125),$V125,$U125)))=Milestones!$AB$104),UPPER(TEXT(EDATE($D125,Milestones!$AA$104),"dd mmm yy"))&amp;" "&amp;Milestones!$AB$104&amp;" "&amp;Milestones!$AC$104&amp;";  ","")&amp;IF(AND(EDATE($D125,Milestones!$AA$105)&lt;=AsOfDate,IF($R125=0,$X125,IF(AND($T125&lt;&gt;"",EDATE($D125,Milestones!$AA$105)&gt;=$T125),$W125,IF(AND($S125&lt;&gt;"",EDATE($D125,Milestones!$AA$105)&gt;=$S125),$V125,$U125)))=Milestones!$AB$105),UPPER(TEXT(EDATE($D125,Milestones!$AA$105),"dd mmm yy"))&amp;" "&amp;Milestones!$AB$105&amp;" "&amp;Milestones!$AC$105&amp;";  ","")&amp;IF(AND(EDATE($D125,Milestones!$AA$106)&lt;=AsOfDate,IF($R125=0,$X125,IF(AND($T125&lt;&gt;"",EDATE($D125,Milestones!$AA$106)&gt;=$T125),$W125,IF(AND($S125&lt;&gt;"",EDATE($D125,Milestones!$AA$106)&gt;=$S125),$V125,$U125)))=Milestones!$AB$106),UPPER(TEXT(EDATE($D125,Milestones!$AA$106),"dd mmm yy"))&amp;" "&amp;Milestones!$AB$106&amp;" "&amp;Milestones!$AC$106&amp;";  ","")&amp;IF(AND(EDATE($D125,Milestones!$AA$107)&lt;=AsOfDate,IF($R125=0,$X125,IF(AND($T125&lt;&gt;"",EDATE($D125,Milestones!$AA$107)&gt;=$T125),$W125,IF(AND($S125&lt;&gt;"",EDATE($D125,Milestones!$AA$107)&gt;=$S125),$V125,$U125)))=Milestones!$AB$107),UPPER(TEXT(EDATE($D125,Milestones!$AA$107),"dd mmm yy"))&amp;" "&amp;Milestones!$AB$107&amp;" "&amp;Milestones!$AC$107&amp;";  ","")&amp;IF(AND(EDATE($D125,Milestones!$AA$108)&lt;=AsOfDate,IF($R125=0,$X125,IF(AND($T125&lt;&gt;"",EDATE($D125,Milestones!$AA$108)&gt;=$T125),$W125,IF(AND($S125&lt;&gt;"",EDATE($D125,Milestones!$AA$108)&gt;=$S125),$V125,$U125)))=Milestones!$AB$108),UPPER(TEXT(EDATE($D125,Milestones!$AA$108),"dd mmm yy"))&amp;" "&amp;Milestones!$AB$108&amp;" "&amp;Milestones!$AC$108&amp;";  ","")&amp;IF(AND(EDATE($D125,Milestones!$AA$109)&lt;=AsOfDate,IF($R125=0,$X125,IF(AND($T125&lt;&gt;"",EDATE($D125,Milestones!$AA$109)&gt;=$T125),$W125,IF(AND($S125&lt;&gt;"",EDATE($D125,Milestones!$AA$109)&gt;=$S125),$V125,$U125)))=Milestones!$AB$109),UPPER(TEXT(EDATE($D125,Milestones!$AA$109),"dd mmm yy"))&amp;" "&amp;Milestones!$AB$109&amp;" "&amp;Milestones!$AC$109&amp;";  ","")&amp;IF(AND(EDATE($D125,Milestones!$AA$110)&lt;=AsOfDate,IF($R125=0,$X125,IF(AND($T125&lt;&gt;"",EDATE($D125,Milestones!$AA$110)&gt;=$T125),$W125,IF(AND($S125&lt;&gt;"",EDATE($D125,Milestones!$AA$110)&gt;=$S125),$V125,$U125)))=Milestones!$AB$110),UPPER(TEXT(EDATE($D125,Milestones!$AA$110),"dd mmm yy"))&amp;" "&amp;Milestones!$AB$110&amp;" "&amp;Milestones!$AC$110&amp;";  ","")&amp;IF(AND(EDATE($D125,Milestones!$AA$111)&lt;=AsOfDate,IF($R125=0,$X125,IF(AND($T125&lt;&gt;"",EDATE($D125,Milestones!$AA$111)&gt;=$T125),$W125,IF(AND($S125&lt;&gt;"",EDATE($D125,Milestones!$AA$111)&gt;=$S125),$V125,$U125)))=Milestones!$AB$111),UPPER(TEXT(EDATE($D125,Milestones!$AA$111),"dd mmm yy"))&amp;" "&amp;Milestones!$AB$111&amp;" "&amp;Milestones!$AC$111&amp;";  ","")&amp;IF(AND(EDATE($D125,Milestones!$AA$112)&lt;=AsOfDate,IF($R125=0,$X125,IF(AND($T125&lt;&gt;"",EDATE($D125,Milestones!$AA$112)&gt;=$T125),$W125,IF(AND($S125&lt;&gt;"",EDATE($D125,Milestones!$AA$112)&gt;=$S125),$V125,$U125)))=Milestones!$AB$112),UPPER(TEXT(EDATE($D125,Milestones!$AA$112),"dd mmm yy"))&amp;" "&amp;Milestones!$AB$112&amp;" "&amp;Milestones!$AC$112&amp;";  ","")&amp;IF(AND(EDATE($D125,Milestones!$AA$113)&lt;=AsOfDate,IF($R125=0,$X125,IF(AND($T125&lt;&gt;"",EDATE($D125,Milestones!$AA$113)&gt;=$T125),$W125,IF(AND($S125&lt;&gt;"",EDATE($D125,Milestones!$AA$113)&gt;=$S125),$V125,$U125)))=Milestones!$AB$113),UPPER(TEXT(EDATE($D125,Milestones!$AA$113),"dd mmm yy"))&amp;" "&amp;Milestones!$AB$113&amp;" "&amp;Milestones!$AC$113&amp;";  ","")&amp;IF(AND(EDATE($D125,Milestones!$AA$114)&lt;=AsOfDate,IF($R125=0,$X125,IF(AND($T125&lt;&gt;"",EDATE($D125,Milestones!$AA$114)&gt;=$T125),$W125,IF(AND($S125&lt;&gt;"",EDATE($D125,Milestones!$AA$114)&gt;=$S125),$V125,$U125)))=Milestones!$AB$114),UPPER(TEXT(EDATE($D125,Milestones!$AA$114),"dd mmm yy"))&amp;" "&amp;Milestones!$AB$114&amp;" "&amp;Milestones!$AC$114&amp;";  ","")&amp;IF(AND(EDATE($D125,Milestones!$AA$115)&lt;=AsOfDate,IF($R125=0,$X125,IF(AND($T125&lt;&gt;"",EDATE($D125,Milestones!$AA$115)&gt;=$T125),$W125,IF(AND($S125&lt;&gt;"",EDATE($D125,Milestones!$AA$115)&gt;=$S125),$V125,$U125)))=Milestones!$AB$115),UPPER(TEXT(EDATE($D125,Milestones!$AA$115),"dd mmm yy"))&amp;" "&amp;Milestones!$AB$115&amp;" "&amp;Milestones!$AC$115&amp;";  ","")&amp;IF(AND(EDATE($D125,Milestones!$AA$116)&lt;=AsOfDate,IF($R125=0,$X125,IF(AND($T125&lt;&gt;"",EDATE($D125,Milestones!$AA$116)&gt;=$T125),$W125,IF(AND($S125&lt;&gt;"",EDATE($D125,Milestones!$AA$116)&gt;=$S125),$V125,$U125)))=Milestones!$AB$116),UPPER(TEXT(EDATE($D125,Milestones!$AA$116),"dd mmm yy"))&amp;" "&amp;Milestones!$AB$116&amp;" "&amp;Milestones!$AC$116&amp;";  ","")&amp;IF(AND(EDATE($D125,Milestones!$AA$117)&lt;=AsOfDate,IF($R125=0,$X125,IF(AND($T125&lt;&gt;"",EDATE($D125,Milestones!$AA$117)&gt;=$T125),$W125,IF(AND($S125&lt;&gt;"",EDATE($D125,Milestones!$AA$117)&gt;=$S125),$V125,$U125)))=Milestones!$AB$117),UPPER(TEXT(EDATE($D125,Milestones!$AA$117),"dd mmm yy"))&amp;" "&amp;Milestones!$AB$117&amp;" "&amp;Milestones!$AC$117&amp;";  ","")&amp;IF(AND(EDATE($D125,Milestones!$AA$118)&lt;=AsOfDate,IF($R125=0,$X125,IF(AND($T125&lt;&gt;"",EDATE($D125,Milestones!$AA$118)&gt;=$T125),$W125,IF(AND($S125&lt;&gt;"",EDATE($D125,Milestones!$AA$118)&gt;=$S125),$V125,$U125)))=Milestones!$AB$118),UPPER(TEXT(EDATE($D125,Milestones!$AA$118),"dd mmm yy"))&amp;" "&amp;Milestones!$AB$118&amp;" "&amp;Milestones!$AC$118&amp;";  ","")&amp;IF(AND(EDATE($D125,Milestones!$AA$119)&lt;=AsOfDate,IF($R125=0,$X125,IF(AND($T125&lt;&gt;"",EDATE($D125,Milestones!$AA$119)&gt;=$T125),$W125,IF(AND($S125&lt;&gt;"",EDATE($D125,Milestones!$AA$119)&gt;=$S125),$V125,$U125)))=Milestones!$AB$119),UPPER(TEXT(EDATE($D125,Milestones!$AA$119),"dd mmm yy"))&amp;" "&amp;Milestones!$AB$119&amp;" "&amp;Milestones!$AC$119&amp;";  ",""))</f>
        <v/>
      </c>
      <c r="N125" s="0" t="str">
        <f aca="false">IF(OR($A125="",$D125=""),"",IF(AND(EDATE($D125,Milestones!$AA$120)&lt;=AsOfDate,IF($R125=0,$X125,IF(AND($T125&lt;&gt;"",EDATE($D125,Milestones!$AA$120)&gt;=$T125),$W125,IF(AND($S125&lt;&gt;"",EDATE($D125,Milestones!$AA$120)&gt;=$S125),$V125,$U125)))=Milestones!$AB$120),UPPER(TEXT(EDATE($D125,Milestones!$AA$120),"dd mmm yy"))&amp;" "&amp;Milestones!$AB$120&amp;" "&amp;Milestones!$AC$120&amp;";  ","")&amp;IF(AND(EDATE($D125,Milestones!$AA$121)&lt;=AsOfDate,IF($R125=0,$X125,IF(AND($T125&lt;&gt;"",EDATE($D125,Milestones!$AA$121)&gt;=$T125),$W125,IF(AND($S125&lt;&gt;"",EDATE($D125,Milestones!$AA$121)&gt;=$S125),$V125,$U125)))=Milestones!$AB$121),UPPER(TEXT(EDATE($D125,Milestones!$AA$121),"dd mmm yy"))&amp;" "&amp;Milestones!$AB$121&amp;" "&amp;Milestones!$AC$121&amp;";  ","")&amp;IF(AND(EDATE($D125,Milestones!$AA$122)&lt;=AsOfDate,IF($R125=0,$X125,IF(AND($T125&lt;&gt;"",EDATE($D125,Milestones!$AA$122)&gt;=$T125),$W125,IF(AND($S125&lt;&gt;"",EDATE($D125,Milestones!$AA$122)&gt;=$S125),$V125,$U125)))=Milestones!$AB$122),UPPER(TEXT(EDATE($D125,Milestones!$AA$122),"dd mmm yy"))&amp;" "&amp;Milestones!$AB$122&amp;" "&amp;Milestones!$AC$122&amp;";  ","")&amp;IF(AND(EDATE($D125,Milestones!$AA$123)&lt;=AsOfDate,IF($R125=0,$X125,IF(AND($T125&lt;&gt;"",EDATE($D125,Milestones!$AA$123)&gt;=$T125),$W125,IF(AND($S125&lt;&gt;"",EDATE($D125,Milestones!$AA$123)&gt;=$S125),$V125,$U125)))=Milestones!$AB$123),UPPER(TEXT(EDATE($D125,Milestones!$AA$123),"dd mmm yy"))&amp;" "&amp;Milestones!$AB$123&amp;" "&amp;Milestones!$AC$123&amp;";  ","")&amp;IF(AND(EDATE($D125,Milestones!$AA$124)&lt;=AsOfDate,IF($R125=0,$X125,IF(AND($T125&lt;&gt;"",EDATE($D125,Milestones!$AA$124)&gt;=$T125),$W125,IF(AND($S125&lt;&gt;"",EDATE($D125,Milestones!$AA$124)&gt;=$S125),$V125,$U125)))=Milestones!$AB$124),UPPER(TEXT(EDATE($D125,Milestones!$AA$124),"dd mmm yy"))&amp;" "&amp;Milestones!$AB$124&amp;" "&amp;Milestones!$AC$124&amp;";  ","")&amp;IF(AND(EDATE($D125,Milestones!$AA$125)&lt;=AsOfDate,IF($R125=0,$X125,IF(AND($T125&lt;&gt;"",EDATE($D125,Milestones!$AA$125)&gt;=$T125),$W125,IF(AND($S125&lt;&gt;"",EDATE($D125,Milestones!$AA$125)&gt;=$S125),$V125,$U125)))=Milestones!$AB$125),UPPER(TEXT(EDATE($D125,Milestones!$AA$125),"dd mmm yy"))&amp;" "&amp;Milestones!$AB$125&amp;" "&amp;Milestones!$AC$125&amp;";  ","")&amp;IF(AND(EDATE($D125,Milestones!$AA$126)&lt;=AsOfDate,IF($R125=0,$X125,IF(AND($T125&lt;&gt;"",EDATE($D125,Milestones!$AA$126)&gt;=$T125),$W125,IF(AND($S125&lt;&gt;"",EDATE($D125,Milestones!$AA$126)&gt;=$S125),$V125,$U125)))=Milestones!$AB$126),UPPER(TEXT(EDATE($D125,Milestones!$AA$126),"dd mmm yy"))&amp;" "&amp;Milestones!$AB$126&amp;" "&amp;Milestones!$AC$126&amp;";  ","")&amp;IF(AND(EDATE($D125,Milestones!$AA$127)&lt;=AsOfDate,IF($R125=0,$X125,IF(AND($T125&lt;&gt;"",EDATE($D125,Milestones!$AA$127)&gt;=$T125),$W125,IF(AND($S125&lt;&gt;"",EDATE($D125,Milestones!$AA$127)&gt;=$S125),$V125,$U125)))=Milestones!$AB$127),UPPER(TEXT(EDATE($D125,Milestones!$AA$127),"dd mmm yy"))&amp;" "&amp;Milestones!$AB$127&amp;" "&amp;Milestones!$AC$127&amp;";  ","")&amp;IF(AND(EDATE($D125,Milestones!$AA$128)&lt;=AsOfDate,IF($R125=0,$X125,IF(AND($T125&lt;&gt;"",EDATE($D125,Milestones!$AA$128)&gt;=$T125),$W125,IF(AND($S125&lt;&gt;"",EDATE($D125,Milestones!$AA$128)&gt;=$S125),$V125,$U125)))=Milestones!$AB$128),UPPER(TEXT(EDATE($D125,Milestones!$AA$128),"dd mmm yy"))&amp;" "&amp;Milestones!$AB$128&amp;" "&amp;Milestones!$AC$128&amp;";  ","")&amp;IF(AND(EDATE($D125,Milestones!$AA$129)&lt;=AsOfDate,IF($R125=0,$X125,IF(AND($T125&lt;&gt;"",EDATE($D125,Milestones!$AA$129)&gt;=$T125),$W125,IF(AND($S125&lt;&gt;"",EDATE($D125,Milestones!$AA$129)&gt;=$S125),$V125,$U125)))=Milestones!$AB$129),UPPER(TEXT(EDATE($D125,Milestones!$AA$129),"dd mmm yy"))&amp;" "&amp;Milestones!$AB$129&amp;" "&amp;Milestones!$AC$129&amp;";  ","")&amp;IF(AND(EDATE($D125,Milestones!$AA$130)&lt;=AsOfDate,IF($R125=0,$X125,IF(AND($T125&lt;&gt;"",EDATE($D125,Milestones!$AA$130)&gt;=$T125),$W125,IF(AND($S125&lt;&gt;"",EDATE($D125,Milestones!$AA$130)&gt;=$S125),$V125,$U125)))=Milestones!$AB$130),UPPER(TEXT(EDATE($D125,Milestones!$AA$130),"dd mmm yy"))&amp;" "&amp;Milestones!$AB$130&amp;" "&amp;Milestones!$AC$130&amp;";  ","")&amp;IF(AND(EDATE($D125,Milestones!$AA$131)&lt;=AsOfDate,IF($R125=0,$X125,IF(AND($T125&lt;&gt;"",EDATE($D125,Milestones!$AA$131)&gt;=$T125),$W125,IF(AND($S125&lt;&gt;"",EDATE($D125,Milestones!$AA$131)&gt;=$S125),$V125,$U125)))=Milestones!$AB$131),UPPER(TEXT(EDATE($D125,Milestones!$AA$131),"dd mmm yy"))&amp;" "&amp;Milestones!$AB$131&amp;" "&amp;Milestones!$AC$131&amp;";  ","")&amp;IF(AND(EDATE($D125,Milestones!$AA$132)&lt;=AsOfDate,IF($R125=0,$X125,IF(AND($T125&lt;&gt;"",EDATE($D125,Milestones!$AA$132)&gt;=$T125),$W125,IF(AND($S125&lt;&gt;"",EDATE($D125,Milestones!$AA$132)&gt;=$S125),$V125,$U125)))=Milestones!$AB$132),UPPER(TEXT(EDATE($D125,Milestones!$AA$132),"dd mmm yy"))&amp;" "&amp;Milestones!$AB$132&amp;" "&amp;Milestones!$AC$132&amp;";  ","")&amp;IF(AND(EDATE($D125,Milestones!$AA$133)&lt;=AsOfDate,IF($R125=0,$X125,IF(AND($T125&lt;&gt;"",EDATE($D125,Milestones!$AA$133)&gt;=$T125),$W125,IF(AND($S125&lt;&gt;"",EDATE($D125,Milestones!$AA$133)&gt;=$S125),$V125,$U125)))=Milestones!$AB$133),UPPER(TEXT(EDATE($D125,Milestones!$AA$133),"dd mmm yy"))&amp;" "&amp;Milestones!$AB$133&amp;" "&amp;Milestones!$AC$133&amp;";  ","")&amp;IF(AND(EDATE($D125,Milestones!$AA$134)&lt;=AsOfDate,IF($R125=0,$X125,IF(AND($T125&lt;&gt;"",EDATE($D125,Milestones!$AA$134)&gt;=$T125),$W125,IF(AND($S125&lt;&gt;"",EDATE($D125,Milestones!$AA$134)&gt;=$S125),$V125,$U125)))=Milestones!$AB$134),UPPER(TEXT(EDATE($D125,Milestones!$AA$134),"dd mmm yy"))&amp;" "&amp;Milestones!$AB$134&amp;" "&amp;Milestones!$AC$134&amp;";  ","")&amp;IF(AND(EDATE($D125,Milestones!$AA$135)&lt;=AsOfDate,IF($R125=0,$X125,IF(AND($T125&lt;&gt;"",EDATE($D125,Milestones!$AA$135)&gt;=$T125),$W125,IF(AND($S125&lt;&gt;"",EDATE($D125,Milestones!$AA$135)&gt;=$S125),$V125,$U125)))=Milestones!$AB$135),UPPER(TEXT(EDATE($D125,Milestones!$AA$135),"dd mmm yy"))&amp;" "&amp;Milestones!$AB$135&amp;" "&amp;Milestones!$AC$135&amp;";  ","")&amp;IF(AND(EDATE($D125,Milestones!$AA$136)&lt;=AsOfDate,IF($R125=0,$X125,IF(AND($T125&lt;&gt;"",EDATE($D125,Milestones!$AA$136)&gt;=$T125),$W125,IF(AND($S125&lt;&gt;"",EDATE($D125,Milestones!$AA$136)&gt;=$S125),$V125,$U125)))=Milestones!$AB$136),UPPER(TEXT(EDATE($D125,Milestones!$AA$136),"dd mmm yy"))&amp;" "&amp;Milestones!$AB$136&amp;" "&amp;Milestones!$AC$136&amp;";  ","")&amp;IF(AND(EDATE($D125,Milestones!$AA$137)&lt;=AsOfDate,IF($R125=0,$X125,IF(AND($T125&lt;&gt;"",EDATE($D125,Milestones!$AA$137)&gt;=$T125),$W125,IF(AND($S125&lt;&gt;"",EDATE($D125,Milestones!$AA$137)&gt;=$S125),$V125,$U125)))=Milestones!$AB$137),UPPER(TEXT(EDATE($D125,Milestones!$AA$137),"dd mmm yy"))&amp;" "&amp;Milestones!$AB$137&amp;" "&amp;Milestones!$AC$137&amp;";  ","")&amp;IF(AND(EDATE($D125,Milestones!$AA$138)&lt;=AsOfDate,IF($R125=0,$X125,IF(AND($T125&lt;&gt;"",EDATE($D125,Milestones!$AA$138)&gt;=$T125),$W125,IF(AND($S125&lt;&gt;"",EDATE($D125,Milestones!$AA$138)&gt;=$S125),$V125,$U125)))=Milestones!$AB$138),UPPER(TEXT(EDATE($D125,Milestones!$AA$138),"dd mmm yy"))&amp;" "&amp;Milestones!$AB$138&amp;" "&amp;Milestones!$AC$138&amp;";  ","")&amp;IF(AND(EDATE($D125,Milestones!$AA$139)&lt;=AsOfDate,IF($R125=0,$X125,IF(AND($T125&lt;&gt;"",EDATE($D125,Milestones!$AA$139)&gt;=$T125),$W125,IF(AND($S125&lt;&gt;"",EDATE($D125,Milestones!$AA$139)&gt;=$S125),$V125,$U125)))=Milestones!$AB$139),UPPER(TEXT(EDATE($D125,Milestones!$AA$139),"dd mmm yy"))&amp;" "&amp;Milestones!$AB$139&amp;" "&amp;Milestones!$AC$139&amp;";  ",""))</f>
        <v/>
      </c>
      <c r="O125" s="0" t="str">
        <f aca="false">IF(OR($A125="",$D125=""),"",IF(AND(EDATE($D125,Milestones!$AA$140)&lt;=AsOfDate,IF($R125=0,$X125,IF(AND($T125&lt;&gt;"",EDATE($D125,Milestones!$AA$140)&gt;=$T125),$W125,IF(AND($S125&lt;&gt;"",EDATE($D125,Milestones!$AA$140)&gt;=$S125),$V125,$U125)))=Milestones!$AB$140),UPPER(TEXT(EDATE($D125,Milestones!$AA$140),"dd mmm yy"))&amp;" "&amp;Milestones!$AB$140&amp;" "&amp;Milestones!$AC$140&amp;";  ","")&amp;IF(AND(EDATE($D125,Milestones!$AA$141)&lt;=AsOfDate,IF($R125=0,$X125,IF(AND($T125&lt;&gt;"",EDATE($D125,Milestones!$AA$141)&gt;=$T125),$W125,IF(AND($S125&lt;&gt;"",EDATE($D125,Milestones!$AA$141)&gt;=$S125),$V125,$U125)))=Milestones!$AB$141),UPPER(TEXT(EDATE($D125,Milestones!$AA$141),"dd mmm yy"))&amp;" "&amp;Milestones!$AB$141&amp;" "&amp;Milestones!$AC$141&amp;";  ","")&amp;IF(AND(EDATE($D125,Milestones!$AA$142)&lt;=AsOfDate,IF($R125=0,$X125,IF(AND($T125&lt;&gt;"",EDATE($D125,Milestones!$AA$142)&gt;=$T125),$W125,IF(AND($S125&lt;&gt;"",EDATE($D125,Milestones!$AA$142)&gt;=$S125),$V125,$U125)))=Milestones!$AB$142),UPPER(TEXT(EDATE($D125,Milestones!$AA$142),"dd mmm yy"))&amp;" "&amp;Milestones!$AB$142&amp;" "&amp;Milestones!$AC$142&amp;";  ","")&amp;IF(AND(EDATE($D125,Milestones!$AA$143)&lt;=AsOfDate,IF($R125=0,$X125,IF(AND($T125&lt;&gt;"",EDATE($D125,Milestones!$AA$143)&gt;=$T125),$W125,IF(AND($S125&lt;&gt;"",EDATE($D125,Milestones!$AA$143)&gt;=$S125),$V125,$U125)))=Milestones!$AB$143),UPPER(TEXT(EDATE($D125,Milestones!$AA$143),"dd mmm yy"))&amp;" "&amp;Milestones!$AB$143&amp;" "&amp;Milestones!$AC$143&amp;";  ","")&amp;IF(AND(EDATE($D125,Milestones!$AA$144)&lt;=AsOfDate,IF($R125=0,$X125,IF(AND($T125&lt;&gt;"",EDATE($D125,Milestones!$AA$144)&gt;=$T125),$W125,IF(AND($S125&lt;&gt;"",EDATE($D125,Milestones!$AA$144)&gt;=$S125),$V125,$U125)))=Milestones!$AB$144),UPPER(TEXT(EDATE($D125,Milestones!$AA$144),"dd mmm yy"))&amp;" "&amp;Milestones!$AB$144&amp;" "&amp;Milestones!$AC$144&amp;";  ","")&amp;IF(AND(EDATE($D125,Milestones!$AA$145)&lt;=AsOfDate,IF($R125=0,$X125,IF(AND($T125&lt;&gt;"",EDATE($D125,Milestones!$AA$145)&gt;=$T125),$W125,IF(AND($S125&lt;&gt;"",EDATE($D125,Milestones!$AA$145)&gt;=$S125),$V125,$U125)))=Milestones!$AB$145),UPPER(TEXT(EDATE($D125,Milestones!$AA$145),"dd mmm yy"))&amp;" "&amp;Milestones!$AB$145&amp;" "&amp;Milestones!$AC$145&amp;";  ","")&amp;IF(AND(EDATE($D125,Milestones!$AA$146)&lt;=AsOfDate,IF($R125=0,$X125,IF(AND($T125&lt;&gt;"",EDATE($D125,Milestones!$AA$146)&gt;=$T125),$W125,IF(AND($S125&lt;&gt;"",EDATE($D125,Milestones!$AA$146)&gt;=$S125),$V125,$U125)))=Milestones!$AB$146),UPPER(TEXT(EDATE($D125,Milestones!$AA$146),"dd mmm yy"))&amp;" "&amp;Milestones!$AB$146&amp;" "&amp;Milestones!$AC$146&amp;";  ","")&amp;IF(AND(EDATE($D125,Milestones!$AA$147)&lt;=AsOfDate,IF($R125=0,$X125,IF(AND($T125&lt;&gt;"",EDATE($D125,Milestones!$AA$147)&gt;=$T125),$W125,IF(AND($S125&lt;&gt;"",EDATE($D125,Milestones!$AA$147)&gt;=$S125),$V125,$U125)))=Milestones!$AB$147),UPPER(TEXT(EDATE($D125,Milestones!$AA$147),"dd mmm yy"))&amp;" "&amp;Milestones!$AB$147&amp;" "&amp;Milestones!$AC$147&amp;";  ","")&amp;IF(AND(EDATE($D125,Milestones!$AA$148)&lt;=AsOfDate,IF($R125=0,$X125,IF(AND($T125&lt;&gt;"",EDATE($D125,Milestones!$AA$148)&gt;=$T125),$W125,IF(AND($S125&lt;&gt;"",EDATE($D125,Milestones!$AA$148)&gt;=$S125),$V125,$U125)))=Milestones!$AB$148),UPPER(TEXT(EDATE($D125,Milestones!$AA$148),"dd mmm yy"))&amp;" "&amp;Milestones!$AB$148&amp;" "&amp;Milestones!$AC$148&amp;";  ","")&amp;IF(AND(EDATE($D125,Milestones!$AA$149)&lt;=AsOfDate,IF($R125=0,$X125,IF(AND($T125&lt;&gt;"",EDATE($D125,Milestones!$AA$149)&gt;=$T125),$W125,IF(AND($S125&lt;&gt;"",EDATE($D125,Milestones!$AA$149)&gt;=$S125),$V125,$U125)))=Milestones!$AB$149),UPPER(TEXT(EDATE($D125,Milestones!$AA$149),"dd mmm yy"))&amp;" "&amp;Milestones!$AB$149&amp;" "&amp;Milestones!$AC$149&amp;";  ","")&amp;IF(AND(EDATE($D125,Milestones!$AA$150)&lt;=AsOfDate,IF($R125=0,$X125,IF(AND($T125&lt;&gt;"",EDATE($D125,Milestones!$AA$150)&gt;=$T125),$W125,IF(AND($S125&lt;&gt;"",EDATE($D125,Milestones!$AA$150)&gt;=$S125),$V125,$U125)))=Milestones!$AB$150),UPPER(TEXT(EDATE($D125,Milestones!$AA$150),"dd mmm yy"))&amp;" "&amp;Milestones!$AB$150&amp;" "&amp;Milestones!$AC$150&amp;";  ","")&amp;IF(AND(EDATE($D125,Milestones!$AA$151)&lt;=AsOfDate,IF($R125=0,$X125,IF(AND($T125&lt;&gt;"",EDATE($D125,Milestones!$AA$151)&gt;=$T125),$W125,IF(AND($S125&lt;&gt;"",EDATE($D125,Milestones!$AA$151)&gt;=$S125),$V125,$U125)))=Milestones!$AB$151),UPPER(TEXT(EDATE($D125,Milestones!$AA$151),"dd mmm yy"))&amp;" "&amp;Milestones!$AB$151&amp;" "&amp;Milestones!$AC$151&amp;";  ","")&amp;IF(AND(EDATE($D125,Milestones!$AA$152)&lt;=AsOfDate,IF($R125=0,$X125,IF(AND($T125&lt;&gt;"",EDATE($D125,Milestones!$AA$152)&gt;=$T125),$W125,IF(AND($S125&lt;&gt;"",EDATE($D125,Milestones!$AA$152)&gt;=$S125),$V125,$U125)))=Milestones!$AB$152),UPPER(TEXT(EDATE($D125,Milestones!$AA$152),"dd mmm yy"))&amp;" "&amp;Milestones!$AB$152&amp;" "&amp;Milestones!$AC$152&amp;";  ","")&amp;IF(AND(EDATE($D125,Milestones!$AA$153)&lt;=AsOfDate,IF($R125=0,$X125,IF(AND($T125&lt;&gt;"",EDATE($D125,Milestones!$AA$153)&gt;=$T125),$W125,IF(AND($S125&lt;&gt;"",EDATE($D125,Milestones!$AA$153)&gt;=$S125),$V125,$U125)))=Milestones!$AB$153),UPPER(TEXT(EDATE($D125,Milestones!$AA$153),"dd mmm yy"))&amp;" "&amp;Milestones!$AB$153&amp;" "&amp;Milestones!$AC$153&amp;";  ","")&amp;IF(AND(EDATE($D125,Milestones!$AA$154)&lt;=AsOfDate,IF($R125=0,$X125,IF(AND($T125&lt;&gt;"",EDATE($D125,Milestones!$AA$154)&gt;=$T125),$W125,IF(AND($S125&lt;&gt;"",EDATE($D125,Milestones!$AA$154)&gt;=$S125),$V125,$U125)))=Milestones!$AB$154),UPPER(TEXT(EDATE($D125,Milestones!$AA$154),"dd mmm yy"))&amp;" "&amp;Milestones!$AB$154&amp;" "&amp;Milestones!$AC$154&amp;";  ","")&amp;IF(AND(EDATE($D125,Milestones!$AA$155)&lt;=AsOfDate,IF($R125=0,$X125,IF(AND($T125&lt;&gt;"",EDATE($D125,Milestones!$AA$155)&gt;=$T125),$W125,IF(AND($S125&lt;&gt;"",EDATE($D125,Milestones!$AA$155)&gt;=$S125),$V125,$U125)))=Milestones!$AB$155),UPPER(TEXT(EDATE($D125,Milestones!$AA$155),"dd mmm yy"))&amp;" "&amp;Milestones!$AB$155&amp;" "&amp;Milestones!$AC$155&amp;";  ","")&amp;IF(AND(EDATE($D125,Milestones!$AA$156)&lt;=AsOfDate,IF($R125=0,$X125,IF(AND($T125&lt;&gt;"",EDATE($D125,Milestones!$AA$156)&gt;=$T125),$W125,IF(AND($S125&lt;&gt;"",EDATE($D125,Milestones!$AA$156)&gt;=$S125),$V125,$U125)))=Milestones!$AB$156),UPPER(TEXT(EDATE($D125,Milestones!$AA$156),"dd mmm yy"))&amp;" "&amp;Milestones!$AB$156&amp;" "&amp;Milestones!$AC$156&amp;";  ","")&amp;IF(AND(EDATE($D125,Milestones!$AA$157)&lt;=AsOfDate,IF($R125=0,$X125,IF(AND($T125&lt;&gt;"",EDATE($D125,Milestones!$AA$157)&gt;=$T125),$W125,IF(AND($S125&lt;&gt;"",EDATE($D125,Milestones!$AA$157)&gt;=$S125),$V125,$U125)))=Milestones!$AB$157),UPPER(TEXT(EDATE($D125,Milestones!$AA$157),"dd mmm yy"))&amp;" "&amp;Milestones!$AB$157&amp;" "&amp;Milestones!$AC$157&amp;";  ","")&amp;IF(AND(EDATE($D125,Milestones!$AA$158)&lt;=AsOfDate,IF($R125=0,$X125,IF(AND($T125&lt;&gt;"",EDATE($D125,Milestones!$AA$158)&gt;=$T125),$W125,IF(AND($S125&lt;&gt;"",EDATE($D125,Milestones!$AA$158)&gt;=$S125),$V125,$U125)))=Milestones!$AB$158),UPPER(TEXT(EDATE($D125,Milestones!$AA$158),"dd mmm yy"))&amp;" "&amp;Milestones!$AB$158&amp;" "&amp;Milestones!$AC$158&amp;";  ","")&amp;IF(AND(EDATE($D125,Milestones!$AA$159)&lt;=AsOfDate,IF($R125=0,$X125,IF(AND($T125&lt;&gt;"",EDATE($D125,Milestones!$AA$159)&gt;=$T125),$W125,IF(AND($S125&lt;&gt;"",EDATE($D125,Milestones!$AA$159)&gt;=$S125),$V125,$U125)))=Milestones!$AB$159),UPPER(TEXT(EDATE($D125,Milestones!$AA$159),"dd mmm yy"))&amp;" "&amp;Milestones!$AB$159&amp;" "&amp;Milestones!$AC$159&amp;";  ",""))</f>
        <v/>
      </c>
      <c r="P125" s="0" t="str">
        <f aca="false">IF(OR($A125="",$D125=""),"",IF(AND(EDATE($D125,Milestones!$AA$160)&lt;=AsOfDate,IF($R125=0,$X125,IF(AND($T125&lt;&gt;"",EDATE($D125,Milestones!$AA$160)&gt;=$T125),$W125,IF(AND($S125&lt;&gt;"",EDATE($D125,Milestones!$AA$160)&gt;=$S125),$V125,$U125)))=Milestones!$AB$160),UPPER(TEXT(EDATE($D125,Milestones!$AA$160),"dd mmm yy"))&amp;" "&amp;Milestones!$AB$160&amp;" "&amp;Milestones!$AC$160&amp;";  ","")&amp;IF(AND(EDATE($D125,Milestones!$AA$161)&lt;=AsOfDate,IF($R125=0,$X125,IF(AND($T125&lt;&gt;"",EDATE($D125,Milestones!$AA$161)&gt;=$T125),$W125,IF(AND($S125&lt;&gt;"",EDATE($D125,Milestones!$AA$161)&gt;=$S125),$V125,$U125)))=Milestones!$AB$161),UPPER(TEXT(EDATE($D125,Milestones!$AA$161),"dd mmm yy"))&amp;" "&amp;Milestones!$AB$161&amp;" "&amp;Milestones!$AC$161&amp;";  ","")&amp;IF(AND(EDATE($D125,Milestones!$AA$162)&lt;=AsOfDate,IF($R125=0,$X125,IF(AND($T125&lt;&gt;"",EDATE($D125,Milestones!$AA$162)&gt;=$T125),$W125,IF(AND($S125&lt;&gt;"",EDATE($D125,Milestones!$AA$162)&gt;=$S125),$V125,$U125)))=Milestones!$AB$162),UPPER(TEXT(EDATE($D125,Milestones!$AA$162),"dd mmm yy"))&amp;" "&amp;Milestones!$AB$162&amp;" "&amp;Milestones!$AC$162&amp;";  ","")&amp;IF(AND(EDATE($D125,Milestones!$AA$163)&lt;=AsOfDate,IF($R125=0,$X125,IF(AND($T125&lt;&gt;"",EDATE($D125,Milestones!$AA$163)&gt;=$T125),$W125,IF(AND($S125&lt;&gt;"",EDATE($D125,Milestones!$AA$163)&gt;=$S125),$V125,$U125)))=Milestones!$AB$163),UPPER(TEXT(EDATE($D125,Milestones!$AA$163),"dd mmm yy"))&amp;" "&amp;Milestones!$AB$163&amp;" "&amp;Milestones!$AC$163&amp;";  ","")&amp;IF(AND(EDATE($D125,Milestones!$AA$164)&lt;=AsOfDate,IF($R125=0,$X125,IF(AND($T125&lt;&gt;"",EDATE($D125,Milestones!$AA$164)&gt;=$T125),$W125,IF(AND($S125&lt;&gt;"",EDATE($D125,Milestones!$AA$164)&gt;=$S125),$V125,$U125)))=Milestones!$AB$164),UPPER(TEXT(EDATE($D125,Milestones!$AA$164),"dd mmm yy"))&amp;" "&amp;Milestones!$AB$164&amp;" "&amp;Milestones!$AC$164&amp;";  ","")&amp;IF(AND(EDATE($D125,Milestones!$AA$165)&lt;=AsOfDate,IF($R125=0,$X125,IF(AND($T125&lt;&gt;"",EDATE($D125,Milestones!$AA$165)&gt;=$T125),$W125,IF(AND($S125&lt;&gt;"",EDATE($D125,Milestones!$AA$165)&gt;=$S125),$V125,$U125)))=Milestones!$AB$165),UPPER(TEXT(EDATE($D125,Milestones!$AA$165),"dd mmm yy"))&amp;" "&amp;Milestones!$AB$165&amp;" "&amp;Milestones!$AC$165&amp;";  ","")&amp;IF(AND(EDATE($D125,Milestones!$AA$166)&lt;=AsOfDate,IF($R125=0,$X125,IF(AND($T125&lt;&gt;"",EDATE($D125,Milestones!$AA$166)&gt;=$T125),$W125,IF(AND($S125&lt;&gt;"",EDATE($D125,Milestones!$AA$166)&gt;=$S125),$V125,$U125)))=Milestones!$AB$166),UPPER(TEXT(EDATE($D125,Milestones!$AA$166),"dd mmm yy"))&amp;" "&amp;Milestones!$AB$166&amp;" "&amp;Milestones!$AC$166&amp;";  ","")&amp;IF(AND(EDATE($D125,Milestones!$AA$167)&lt;=AsOfDate,IF($R125=0,$X125,IF(AND($T125&lt;&gt;"",EDATE($D125,Milestones!$AA$167)&gt;=$T125),$W125,IF(AND($S125&lt;&gt;"",EDATE($D125,Milestones!$AA$167)&gt;=$S125),$V125,$U125)))=Milestones!$AB$167),UPPER(TEXT(EDATE($D125,Milestones!$AA$167),"dd mmm yy"))&amp;" "&amp;Milestones!$AB$167&amp;" "&amp;Milestones!$AC$167&amp;";  ","")&amp;IF(AND(EDATE($D125,Milestones!$AA$168)&lt;=AsOfDate,IF($R125=0,$X125,IF(AND($T125&lt;&gt;"",EDATE($D125,Milestones!$AA$168)&gt;=$T125),$W125,IF(AND($S125&lt;&gt;"",EDATE($D125,Milestones!$AA$168)&gt;=$S125),$V125,$U125)))=Milestones!$AB$168),UPPER(TEXT(EDATE($D125,Milestones!$AA$168),"dd mmm yy"))&amp;" "&amp;Milestones!$AB$168&amp;" "&amp;Milestones!$AC$168&amp;";  ","")&amp;IF(AND(EDATE($D125,Milestones!$AA$169)&lt;=AsOfDate,IF($R125=0,$X125,IF(AND($T125&lt;&gt;"",EDATE($D125,Milestones!$AA$169)&gt;=$T125),$W125,IF(AND($S125&lt;&gt;"",EDATE($D125,Milestones!$AA$169)&gt;=$S125),$V125,$U125)))=Milestones!$AB$169),UPPER(TEXT(EDATE($D125,Milestones!$AA$169),"dd mmm yy"))&amp;" "&amp;Milestones!$AB$169&amp;" "&amp;Milestones!$AC$169&amp;";  ","")&amp;IF(AND(EDATE($D125,Milestones!$AA$170)&lt;=AsOfDate,IF($R125=0,$X125,IF(AND($T125&lt;&gt;"",EDATE($D125,Milestones!$AA$170)&gt;=$T125),$W125,IF(AND($S125&lt;&gt;"",EDATE($D125,Milestones!$AA$170)&gt;=$S125),$V125,$U125)))=Milestones!$AB$170),UPPER(TEXT(EDATE($D125,Milestones!$AA$170),"dd mmm yy"))&amp;" "&amp;Milestones!$AB$170&amp;" "&amp;Milestones!$AC$170&amp;";  ","")&amp;IF(AND(EDATE($D125,Milestones!$AA$171)&lt;=AsOfDate,IF($R125=0,$X125,IF(AND($T125&lt;&gt;"",EDATE($D125,Milestones!$AA$171)&gt;=$T125),$W125,IF(AND($S125&lt;&gt;"",EDATE($D125,Milestones!$AA$171)&gt;=$S125),$V125,$U125)))=Milestones!$AB$171),UPPER(TEXT(EDATE($D125,Milestones!$AA$171),"dd mmm yy"))&amp;" "&amp;Milestones!$AB$171&amp;" "&amp;Milestones!$AC$171&amp;";  ","")&amp;IF(AND(EDATE($D125,Milestones!$AA$172)&lt;=AsOfDate,IF($R125=0,$X125,IF(AND($T125&lt;&gt;"",EDATE($D125,Milestones!$AA$172)&gt;=$T125),$W125,IF(AND($S125&lt;&gt;"",EDATE($D125,Milestones!$AA$172)&gt;=$S125),$V125,$U125)))=Milestones!$AB$172),UPPER(TEXT(EDATE($D125,Milestones!$AA$172),"dd mmm yy"))&amp;" "&amp;Milestones!$AB$172&amp;" "&amp;Milestones!$AC$172&amp;";  ","")&amp;IF(AND(EDATE($D125,Milestones!$AA$173)&lt;=AsOfDate,IF($R125=0,$X125,IF(AND($T125&lt;&gt;"",EDATE($D125,Milestones!$AA$173)&gt;=$T125),$W125,IF(AND($S125&lt;&gt;"",EDATE($D125,Milestones!$AA$173)&gt;=$S125),$V125,$U125)))=Milestones!$AB$173),UPPER(TEXT(EDATE($D125,Milestones!$AA$173),"dd mmm yy"))&amp;" "&amp;Milestones!$AB$173&amp;" "&amp;Milestones!$AC$173&amp;";  ","")&amp;IF(AND(EDATE($D125,Milestones!$AA$174)&lt;=AsOfDate,IF($R125=0,$X125,IF(AND($T125&lt;&gt;"",EDATE($D125,Milestones!$AA$174)&gt;=$T125),$W125,IF(AND($S125&lt;&gt;"",EDATE($D125,Milestones!$AA$174)&gt;=$S125),$V125,$U125)))=Milestones!$AB$174),UPPER(TEXT(EDATE($D125,Milestones!$AA$174),"dd mmm yy"))&amp;" "&amp;Milestones!$AB$174&amp;" "&amp;Milestones!$AC$174&amp;";  ","")&amp;IF(AND(EDATE($D125,Milestones!$AA$175)&lt;=AsOfDate,IF($R125=0,$X125,IF(AND($T125&lt;&gt;"",EDATE($D125,Milestones!$AA$175)&gt;=$T125),$W125,IF(AND($S125&lt;&gt;"",EDATE($D125,Milestones!$AA$175)&gt;=$S125),$V125,$U125)))=Milestones!$AB$175),UPPER(TEXT(EDATE($D125,Milestones!$AA$175),"dd mmm yy"))&amp;" "&amp;Milestones!$AB$175&amp;" "&amp;Milestones!$AC$175&amp;";  ","")&amp;IF(AND(EDATE($D125,Milestones!$AA$176)&lt;=AsOfDate,IF($R125=0,$X125,IF(AND($T125&lt;&gt;"",EDATE($D125,Milestones!$AA$176)&gt;=$T125),$W125,IF(AND($S125&lt;&gt;"",EDATE($D125,Milestones!$AA$176)&gt;=$S125),$V125,$U125)))=Milestones!$AB$176),UPPER(TEXT(EDATE($D125,Milestones!$AA$176),"dd mmm yy"))&amp;" "&amp;Milestones!$AB$176&amp;" "&amp;Milestones!$AC$176&amp;";  ","")&amp;IF(AND(EDATE($D125,Milestones!$AA$177)&lt;=AsOfDate,IF($R125=0,$X125,IF(AND($T125&lt;&gt;"",EDATE($D125,Milestones!$AA$177)&gt;=$T125),$W125,IF(AND($S125&lt;&gt;"",EDATE($D125,Milestones!$AA$177)&gt;=$S125),$V125,$U125)))=Milestones!$AB$177),UPPER(TEXT(EDATE($D125,Milestones!$AA$177),"dd mmm yy"))&amp;" "&amp;Milestones!$AB$177&amp;" "&amp;Milestones!$AC$177&amp;";  ","")&amp;IF(AND(EDATE($D125,Milestones!$AA$178)&lt;=AsOfDate,IF($R125=0,$X125,IF(AND($T125&lt;&gt;"",EDATE($D125,Milestones!$AA$178)&gt;=$T125),$W125,IF(AND($S125&lt;&gt;"",EDATE($D125,Milestones!$AA$178)&gt;=$S125),$V125,$U125)))=Milestones!$AB$178),UPPER(TEXT(EDATE($D125,Milestones!$AA$178),"dd mmm yy"))&amp;" "&amp;Milestones!$AB$178&amp;" "&amp;Milestones!$AC$178&amp;";  ","")&amp;IF(AND(EDATE($D125,Milestones!$AA$179)&lt;=AsOfDate,IF($R125=0,$X125,IF(AND($T125&lt;&gt;"",EDATE($D125,Milestones!$AA$179)&gt;=$T125),$W125,IF(AND($S125&lt;&gt;"",EDATE($D125,Milestones!$AA$179)&gt;=$S125),$V125,$U125)))=Milestones!$AB$179),UPPER(TEXT(EDATE($D125,Milestones!$AA$179),"dd mmm yy"))&amp;" "&amp;Milestones!$AB$179&amp;" "&amp;Milestones!$AC$179&amp;";  ",""))</f>
        <v/>
      </c>
      <c r="Q125" s="0" t="str">
        <f aca="false">IF(OR($A125="",$D125=""),"",IF(AND(EDATE($D125,Milestones!$AA$180)&lt;=AsOfDate,IF($R125=0,$X125,IF(AND($T125&lt;&gt;"",EDATE($D125,Milestones!$AA$180)&gt;=$T125),$W125,IF(AND($S125&lt;&gt;"",EDATE($D125,Milestones!$AA$180)&gt;=$S125),$V125,$U125)))=Milestones!$AB$180),UPPER(TEXT(EDATE($D125,Milestones!$AA$180),"dd mmm yy"))&amp;" "&amp;Milestones!$AB$180&amp;" "&amp;Milestones!$AC$180&amp;";  ","")&amp;IF(AND(EDATE($D125,Milestones!$AA$181)&lt;=AsOfDate,IF($R125=0,$X125,IF(AND($T125&lt;&gt;"",EDATE($D125,Milestones!$AA$181)&gt;=$T125),$W125,IF(AND($S125&lt;&gt;"",EDATE($D125,Milestones!$AA$181)&gt;=$S125),$V125,$U125)))=Milestones!$AB$181),UPPER(TEXT(EDATE($D125,Milestones!$AA$181),"dd mmm yy"))&amp;" "&amp;Milestones!$AB$181&amp;" "&amp;Milestones!$AC$181&amp;";  ","")&amp;IF(AND(EDATE($D125,Milestones!$AA$182)&lt;=AsOfDate,IF($R125=0,$X125,IF(AND($T125&lt;&gt;"",EDATE($D125,Milestones!$AA$182)&gt;=$T125),$W125,IF(AND($S125&lt;&gt;"",EDATE($D125,Milestones!$AA$182)&gt;=$S125),$V125,$U125)))=Milestones!$AB$182),UPPER(TEXT(EDATE($D125,Milestones!$AA$182),"dd mmm yy"))&amp;" "&amp;Milestones!$AB$182&amp;" "&amp;Milestones!$AC$182&amp;";  ","")&amp;IF(AND(EDATE($D125,Milestones!$AA$183)&lt;=AsOfDate,IF($R125=0,$X125,IF(AND($T125&lt;&gt;"",EDATE($D125,Milestones!$AA$183)&gt;=$T125),$W125,IF(AND($S125&lt;&gt;"",EDATE($D125,Milestones!$AA$183)&gt;=$S125),$V125,$U125)))=Milestones!$AB$183),UPPER(TEXT(EDATE($D125,Milestones!$AA$183),"dd mmm yy"))&amp;" "&amp;Milestones!$AB$183&amp;" "&amp;Milestones!$AC$183&amp;";  ","")&amp;IF(AND(EDATE($D125,Milestones!$AA$184)&lt;=AsOfDate,IF($R125=0,$X125,IF(AND($T125&lt;&gt;"",EDATE($D125,Milestones!$AA$184)&gt;=$T125),$W125,IF(AND($S125&lt;&gt;"",EDATE($D125,Milestones!$AA$184)&gt;=$S125),$V125,$U125)))=Milestones!$AB$184),UPPER(TEXT(EDATE($D125,Milestones!$AA$184),"dd mmm yy"))&amp;" "&amp;Milestones!$AB$184&amp;" "&amp;Milestones!$AC$184&amp;";  ","")&amp;IF(AND(EDATE($D125,Milestones!$AA$185)&lt;=AsOfDate,IF($R125=0,$X125,IF(AND($T125&lt;&gt;"",EDATE($D125,Milestones!$AA$185)&gt;=$T125),$W125,IF(AND($S125&lt;&gt;"",EDATE($D125,Milestones!$AA$185)&gt;=$S125),$V125,$U125)))=Milestones!$AB$185),UPPER(TEXT(EDATE($D125,Milestones!$AA$185),"dd mmm yy"))&amp;" "&amp;Milestones!$AB$185&amp;" "&amp;Milestones!$AC$185&amp;";  ","")&amp;IF(AND(EDATE($D125,Milestones!$AA$186)&lt;=AsOfDate,IF($R125=0,$X125,IF(AND($T125&lt;&gt;"",EDATE($D125,Milestones!$AA$186)&gt;=$T125),$W125,IF(AND($S125&lt;&gt;"",EDATE($D125,Milestones!$AA$186)&gt;=$S125),$V125,$U125)))=Milestones!$AB$186),UPPER(TEXT(EDATE($D125,Milestones!$AA$186),"dd mmm yy"))&amp;" "&amp;Milestones!$AB$186&amp;" "&amp;Milestones!$AC$186&amp;";  ","")&amp;IF(AND(EDATE($D125,Milestones!$AA$187)&lt;=AsOfDate,IF($R125=0,$X125,IF(AND($T125&lt;&gt;"",EDATE($D125,Milestones!$AA$187)&gt;=$T125),$W125,IF(AND($S125&lt;&gt;"",EDATE($D125,Milestones!$AA$187)&gt;=$S125),$V125,$U125)))=Milestones!$AB$187),UPPER(TEXT(EDATE($D125,Milestones!$AA$187),"dd mmm yy"))&amp;" "&amp;Milestones!$AB$187&amp;" "&amp;Milestones!$AC$187&amp;";  ","")&amp;IF(AND(EDATE($D125,Milestones!$AA$188)&lt;=AsOfDate,IF($R125=0,$X125,IF(AND($T125&lt;&gt;"",EDATE($D125,Milestones!$AA$188)&gt;=$T125),$W125,IF(AND($S125&lt;&gt;"",EDATE($D125,Milestones!$AA$188)&gt;=$S125),$V125,$U125)))=Milestones!$AB$188),UPPER(TEXT(EDATE($D125,Milestones!$AA$188),"dd mmm yy"))&amp;" "&amp;Milestones!$AB$188&amp;" "&amp;Milestones!$AC$188&amp;";  ","")&amp;IF(AND(EDATE($D125,Milestones!$AA$189)&lt;=AsOfDate,IF($R125=0,$X125,IF(AND($T125&lt;&gt;"",EDATE($D125,Milestones!$AA$189)&gt;=$T125),$W125,IF(AND($S125&lt;&gt;"",EDATE($D125,Milestones!$AA$189)&gt;=$S125),$V125,$U125)))=Milestones!$AB$189),UPPER(TEXT(EDATE($D125,Milestones!$AA$189),"dd mmm yy"))&amp;" "&amp;Milestones!$AB$189&amp;" "&amp;Milestones!$AC$189&amp;";  ","")&amp;IF(AND(EDATE($D125,Milestones!$AA$190)&lt;=AsOfDate,IF($R125=0,$X125,IF(AND($T125&lt;&gt;"",EDATE($D125,Milestones!$AA$190)&gt;=$T125),$W125,IF(AND($S125&lt;&gt;"",EDATE($D125,Milestones!$AA$190)&gt;=$S125),$V125,$U125)))=Milestones!$AB$190),UPPER(TEXT(EDATE($D125,Milestones!$AA$190),"dd mmm yy"))&amp;" "&amp;Milestones!$AB$190&amp;" "&amp;Milestones!$AC$190&amp;";  ","")&amp;IF(AND(EDATE($D125,Milestones!$AA$191)&lt;=AsOfDate,IF($R125=0,$X125,IF(AND($T125&lt;&gt;"",EDATE($D125,Milestones!$AA$191)&gt;=$T125),$W125,IF(AND($S125&lt;&gt;"",EDATE($D125,Milestones!$AA$191)&gt;=$S125),$V125,$U125)))=Milestones!$AB$191),UPPER(TEXT(EDATE($D125,Milestones!$AA$191),"dd mmm yy"))&amp;" "&amp;Milestones!$AB$191&amp;" "&amp;Milestones!$AC$191&amp;";  ","")&amp;IF(AND(EDATE($D125,Milestones!$AA$192)&lt;=AsOfDate,IF($R125=0,$X125,IF(AND($T125&lt;&gt;"",EDATE($D125,Milestones!$AA$192)&gt;=$T125),$W125,IF(AND($S125&lt;&gt;"",EDATE($D125,Milestones!$AA$192)&gt;=$S125),$V125,$U125)))=Milestones!$AB$192),UPPER(TEXT(EDATE($D125,Milestones!$AA$192),"dd mmm yy"))&amp;" "&amp;Milestones!$AB$192&amp;" "&amp;Milestones!$AC$192&amp;";  ","")&amp;IF(AND(EDATE($D125,Milestones!$AA$193)&lt;=AsOfDate,IF($R125=0,$X125,IF(AND($T125&lt;&gt;"",EDATE($D125,Milestones!$AA$193)&gt;=$T125),$W125,IF(AND($S125&lt;&gt;"",EDATE($D125,Milestones!$AA$193)&gt;=$S125),$V125,$U125)))=Milestones!$AB$193),UPPER(TEXT(EDATE($D125,Milestones!$AA$193),"dd mmm yy"))&amp;" "&amp;Milestones!$AB$193&amp;" "&amp;Milestones!$AC$193&amp;";  ","")&amp;IF(AND(EDATE($D125,Milestones!$AA$194)&lt;=AsOfDate,IF($R125=0,$X125,IF(AND($T125&lt;&gt;"",EDATE($D125,Milestones!$AA$194)&gt;=$T125),$W125,IF(AND($S125&lt;&gt;"",EDATE($D125,Milestones!$AA$194)&gt;=$S125),$V125,$U125)))=Milestones!$AB$194),UPPER(TEXT(EDATE($D125,Milestones!$AA$194),"dd mmm yy"))&amp;" "&amp;Milestones!$AB$194&amp;" "&amp;Milestones!$AC$194&amp;";  ","")&amp;IF(AND(EDATE($D125,Milestones!$AA$195)&lt;=AsOfDate,IF($R125=0,$X125,IF(AND($T125&lt;&gt;"",EDATE($D125,Milestones!$AA$195)&gt;=$T125),$W125,IF(AND($S125&lt;&gt;"",EDATE($D125,Milestones!$AA$195)&gt;=$S125),$V125,$U125)))=Milestones!$AB$195),UPPER(TEXT(EDATE($D125,Milestones!$AA$195),"dd mmm yy"))&amp;" "&amp;Milestones!$AB$195&amp;" "&amp;Milestones!$AC$195&amp;";  ","")&amp;IF(AND(EDATE($D125,Milestones!$AA$196)&lt;=AsOfDate,IF($R125=0,$X125,IF(AND($T125&lt;&gt;"",EDATE($D125,Milestones!$AA$196)&gt;=$T125),$W125,IF(AND($S125&lt;&gt;"",EDATE($D125,Milestones!$AA$196)&gt;=$S125),$V125,$U125)))=Milestones!$AB$196),UPPER(TEXT(EDATE($D125,Milestones!$AA$196),"dd mmm yy"))&amp;" "&amp;Milestones!$AB$196&amp;" "&amp;Milestones!$AC$196&amp;";  ","")&amp;IF(AND(EDATE($D125,Milestones!$AA$197)&lt;=AsOfDate,IF($R125=0,$X125,IF(AND($T125&lt;&gt;"",EDATE($D125,Milestones!$AA$197)&gt;=$T125),$W125,IF(AND($S125&lt;&gt;"",EDATE($D125,Milestones!$AA$197)&gt;=$S125),$V125,$U125)))=Milestones!$AB$197),UPPER(TEXT(EDATE($D125,Milestones!$AA$197),"dd mmm yy"))&amp;" "&amp;Milestones!$AB$197&amp;" "&amp;Milestones!$AC$197&amp;";  ","")&amp;IF(AND(EDATE($D125,Milestones!$AA$198)&lt;=AsOfDate,IF($R125=0,$X125,IF(AND($T125&lt;&gt;"",EDATE($D125,Milestones!$AA$198)&gt;=$T125),$W125,IF(AND($S125&lt;&gt;"",EDATE($D125,Milestones!$AA$198)&gt;=$S125),$V125,$U125)))=Milestones!$AB$198),UPPER(TEXT(EDATE($D125,Milestones!$AA$198),"dd mmm yy"))&amp;" "&amp;Milestones!$AB$198&amp;" "&amp;Milestones!$AC$198&amp;";  ","")&amp;IF(AND(EDATE($D125,Milestones!$AA$199)&lt;=AsOfDate,IF($R125=0,$X125,IF(AND($T125&lt;&gt;"",EDATE($D125,Milestones!$AA$199)&gt;=$T125),$W125,IF(AND($S125&lt;&gt;"",EDATE($D125,Milestones!$AA$199)&gt;=$S125),$V125,$U125)))=Milestones!$AB$199),UPPER(TEXT(EDATE($D125,Milestones!$AA$199),"dd mmm yy"))&amp;" "&amp;Milestones!$AB$199&amp;" "&amp;Milestones!$AC$199&amp;";  ",""))</f>
        <v/>
      </c>
      <c r="R125" s="0" t="str">
        <f aca="false">IF(Staff!$A125="","",Staff!$AI125)</f>
        <v/>
      </c>
      <c r="S125" s="0" t="str">
        <f aca="false">IF(Staff!$A125="","",Staff!$AK125)</f>
        <v/>
      </c>
      <c r="T125" s="0" t="str">
        <f aca="false">IF(Staff!$A125="","",Staff!$AL125)</f>
        <v/>
      </c>
      <c r="U125" s="0" t="str">
        <f aca="false">IF(Staff!$A125="","",Staff!$AP125)</f>
        <v/>
      </c>
      <c r="V125" s="0" t="str">
        <f aca="false">IF(Staff!$A125="","",Staff!$AQ125)</f>
        <v/>
      </c>
      <c r="W125" s="0" t="str">
        <f aca="false">IF(Staff!$A125="","",Staff!$AR125)</f>
        <v/>
      </c>
      <c r="X125" s="0" t="str">
        <f aca="false">IF(Staff!$A125="","",Staff!$AS125)</f>
        <v/>
      </c>
    </row>
    <row r="126" customFormat="false" ht="15" hidden="false" customHeight="false" outlineLevel="0" collapsed="false">
      <c r="A126" s="19" t="str">
        <f aca="false">IF(Staff!$A126="","",Staff!$A126)</f>
        <v/>
      </c>
      <c r="B126" s="19" t="str">
        <f aca="false">IF(Staff!$A126="","",Staff!$B126)</f>
        <v/>
      </c>
      <c r="C126" s="19" t="str">
        <f aca="false">IF(Staff!$A126="","",Staff!$C126)</f>
        <v/>
      </c>
      <c r="D126" s="17" t="str">
        <f aca="false">IF(Staff!$A126="","",Staff!$AH126)</f>
        <v/>
      </c>
      <c r="E126" s="19" t="str">
        <f aca="false">IF(Staff!$A126="","",Staff!$O126)</f>
        <v/>
      </c>
      <c r="F126" s="19" t="str">
        <f aca="false">IF(E126="","",E126*HoursPerDay)</f>
        <v/>
      </c>
      <c r="G126" s="19" t="str">
        <f aca="false">IF(Staff!$A126="","",Staff!$AE126)</f>
        <v/>
      </c>
      <c r="H126" s="32" t="str">
        <f aca="false">IF($A126="","",I126&amp;J126&amp;K126&amp;L126&amp;M126&amp;N126&amp;O126&amp;P126&amp;Q126)</f>
        <v/>
      </c>
      <c r="I126" s="0" t="str">
        <f aca="false">IF(OR($A126="",$D126=""),"",IF(AND(EDATE($D126,Milestones!$AA$20)&lt;=AsOfDate,IF($R126=0,$X126,IF(AND($T126&lt;&gt;"",EDATE($D126,Milestones!$AA$20)&gt;=$T126),$W126,IF(AND($S126&lt;&gt;"",EDATE($D126,Milestones!$AA$20)&gt;=$S126),$V126,$U126)))=Milestones!$AB$20),UPPER(TEXT(EDATE($D126,Milestones!$AA$20),"dd mmm yy"))&amp;" "&amp;Milestones!$AB$20&amp;" "&amp;Milestones!$AC$20&amp;";  ","")&amp;IF(AND(EDATE($D126,Milestones!$AA$21)&lt;=AsOfDate,IF($R126=0,$X126,IF(AND($T126&lt;&gt;"",EDATE($D126,Milestones!$AA$21)&gt;=$T126),$W126,IF(AND($S126&lt;&gt;"",EDATE($D126,Milestones!$AA$21)&gt;=$S126),$V126,$U126)))=Milestones!$AB$21),UPPER(TEXT(EDATE($D126,Milestones!$AA$21),"dd mmm yy"))&amp;" "&amp;Milestones!$AB$21&amp;" "&amp;Milestones!$AC$21&amp;";  ","")&amp;IF(AND(EDATE($D126,Milestones!$AA$22)&lt;=AsOfDate,IF($R126=0,$X126,IF(AND($T126&lt;&gt;"",EDATE($D126,Milestones!$AA$22)&gt;=$T126),$W126,IF(AND($S126&lt;&gt;"",EDATE($D126,Milestones!$AA$22)&gt;=$S126),$V126,$U126)))=Milestones!$AB$22),UPPER(TEXT(EDATE($D126,Milestones!$AA$22),"dd mmm yy"))&amp;" "&amp;Milestones!$AB$22&amp;" "&amp;Milestones!$AC$22&amp;";  ","")&amp;IF(AND(EDATE($D126,Milestones!$AA$23)&lt;=AsOfDate,IF($R126=0,$X126,IF(AND($T126&lt;&gt;"",EDATE($D126,Milestones!$AA$23)&gt;=$T126),$W126,IF(AND($S126&lt;&gt;"",EDATE($D126,Milestones!$AA$23)&gt;=$S126),$V126,$U126)))=Milestones!$AB$23),UPPER(TEXT(EDATE($D126,Milestones!$AA$23),"dd mmm yy"))&amp;" "&amp;Milestones!$AB$23&amp;" "&amp;Milestones!$AC$23&amp;";  ","")&amp;IF(AND(EDATE($D126,Milestones!$AA$24)&lt;=AsOfDate,IF($R126=0,$X126,IF(AND($T126&lt;&gt;"",EDATE($D126,Milestones!$AA$24)&gt;=$T126),$W126,IF(AND($S126&lt;&gt;"",EDATE($D126,Milestones!$AA$24)&gt;=$S126),$V126,$U126)))=Milestones!$AB$24),UPPER(TEXT(EDATE($D126,Milestones!$AA$24),"dd mmm yy"))&amp;" "&amp;Milestones!$AB$24&amp;" "&amp;Milestones!$AC$24&amp;";  ","")&amp;IF(AND(EDATE($D126,Milestones!$AA$25)&lt;=AsOfDate,IF($R126=0,$X126,IF(AND($T126&lt;&gt;"",EDATE($D126,Milestones!$AA$25)&gt;=$T126),$W126,IF(AND($S126&lt;&gt;"",EDATE($D126,Milestones!$AA$25)&gt;=$S126),$V126,$U126)))=Milestones!$AB$25),UPPER(TEXT(EDATE($D126,Milestones!$AA$25),"dd mmm yy"))&amp;" "&amp;Milestones!$AB$25&amp;" "&amp;Milestones!$AC$25&amp;";  ","")&amp;IF(AND(EDATE($D126,Milestones!$AA$26)&lt;=AsOfDate,IF($R126=0,$X126,IF(AND($T126&lt;&gt;"",EDATE($D126,Milestones!$AA$26)&gt;=$T126),$W126,IF(AND($S126&lt;&gt;"",EDATE($D126,Milestones!$AA$26)&gt;=$S126),$V126,$U126)))=Milestones!$AB$26),UPPER(TEXT(EDATE($D126,Milestones!$AA$26),"dd mmm yy"))&amp;" "&amp;Milestones!$AB$26&amp;" "&amp;Milestones!$AC$26&amp;";  ","")&amp;IF(AND(EDATE($D126,Milestones!$AA$27)&lt;=AsOfDate,IF($R126=0,$X126,IF(AND($T126&lt;&gt;"",EDATE($D126,Milestones!$AA$27)&gt;=$T126),$W126,IF(AND($S126&lt;&gt;"",EDATE($D126,Milestones!$AA$27)&gt;=$S126),$V126,$U126)))=Milestones!$AB$27),UPPER(TEXT(EDATE($D126,Milestones!$AA$27),"dd mmm yy"))&amp;" "&amp;Milestones!$AB$27&amp;" "&amp;Milestones!$AC$27&amp;";  ","")&amp;IF(AND(EDATE($D126,Milestones!$AA$28)&lt;=AsOfDate,IF($R126=0,$X126,IF(AND($T126&lt;&gt;"",EDATE($D126,Milestones!$AA$28)&gt;=$T126),$W126,IF(AND($S126&lt;&gt;"",EDATE($D126,Milestones!$AA$28)&gt;=$S126),$V126,$U126)))=Milestones!$AB$28),UPPER(TEXT(EDATE($D126,Milestones!$AA$28),"dd mmm yy"))&amp;" "&amp;Milestones!$AB$28&amp;" "&amp;Milestones!$AC$28&amp;";  ","")&amp;IF(AND(EDATE($D126,Milestones!$AA$29)&lt;=AsOfDate,IF($R126=0,$X126,IF(AND($T126&lt;&gt;"",EDATE($D126,Milestones!$AA$29)&gt;=$T126),$W126,IF(AND($S126&lt;&gt;"",EDATE($D126,Milestones!$AA$29)&gt;=$S126),$V126,$U126)))=Milestones!$AB$29),UPPER(TEXT(EDATE($D126,Milestones!$AA$29),"dd mmm yy"))&amp;" "&amp;Milestones!$AB$29&amp;" "&amp;Milestones!$AC$29&amp;";  ","")&amp;IF(AND(EDATE($D126,Milestones!$AA$30)&lt;=AsOfDate,IF($R126=0,$X126,IF(AND($T126&lt;&gt;"",EDATE($D126,Milestones!$AA$30)&gt;=$T126),$W126,IF(AND($S126&lt;&gt;"",EDATE($D126,Milestones!$AA$30)&gt;=$S126),$V126,$U126)))=Milestones!$AB$30),UPPER(TEXT(EDATE($D126,Milestones!$AA$30),"dd mmm yy"))&amp;" "&amp;Milestones!$AB$30&amp;" "&amp;Milestones!$AC$30&amp;";  ","")&amp;IF(AND(EDATE($D126,Milestones!$AA$31)&lt;=AsOfDate,IF($R126=0,$X126,IF(AND($T126&lt;&gt;"",EDATE($D126,Milestones!$AA$31)&gt;=$T126),$W126,IF(AND($S126&lt;&gt;"",EDATE($D126,Milestones!$AA$31)&gt;=$S126),$V126,$U126)))=Milestones!$AB$31),UPPER(TEXT(EDATE($D126,Milestones!$AA$31),"dd mmm yy"))&amp;" "&amp;Milestones!$AB$31&amp;" "&amp;Milestones!$AC$31&amp;";  ","")&amp;IF(AND(EDATE($D126,Milestones!$AA$32)&lt;=AsOfDate,IF($R126=0,$X126,IF(AND($T126&lt;&gt;"",EDATE($D126,Milestones!$AA$32)&gt;=$T126),$W126,IF(AND($S126&lt;&gt;"",EDATE($D126,Milestones!$AA$32)&gt;=$S126),$V126,$U126)))=Milestones!$AB$32),UPPER(TEXT(EDATE($D126,Milestones!$AA$32),"dd mmm yy"))&amp;" "&amp;Milestones!$AB$32&amp;" "&amp;Milestones!$AC$32&amp;";  ","")&amp;IF(AND(EDATE($D126,Milestones!$AA$33)&lt;=AsOfDate,IF($R126=0,$X126,IF(AND($T126&lt;&gt;"",EDATE($D126,Milestones!$AA$33)&gt;=$T126),$W126,IF(AND($S126&lt;&gt;"",EDATE($D126,Milestones!$AA$33)&gt;=$S126),$V126,$U126)))=Milestones!$AB$33),UPPER(TEXT(EDATE($D126,Milestones!$AA$33),"dd mmm yy"))&amp;" "&amp;Milestones!$AB$33&amp;" "&amp;Milestones!$AC$33&amp;";  ","")&amp;IF(AND(EDATE($D126,Milestones!$AA$34)&lt;=AsOfDate,IF($R126=0,$X126,IF(AND($T126&lt;&gt;"",EDATE($D126,Milestones!$AA$34)&gt;=$T126),$W126,IF(AND($S126&lt;&gt;"",EDATE($D126,Milestones!$AA$34)&gt;=$S126),$V126,$U126)))=Milestones!$AB$34),UPPER(TEXT(EDATE($D126,Milestones!$AA$34),"dd mmm yy"))&amp;" "&amp;Milestones!$AB$34&amp;" "&amp;Milestones!$AC$34&amp;";  ","")&amp;IF(AND(EDATE($D126,Milestones!$AA$35)&lt;=AsOfDate,IF($R126=0,$X126,IF(AND($T126&lt;&gt;"",EDATE($D126,Milestones!$AA$35)&gt;=$T126),$W126,IF(AND($S126&lt;&gt;"",EDATE($D126,Milestones!$AA$35)&gt;=$S126),$V126,$U126)))=Milestones!$AB$35),UPPER(TEXT(EDATE($D126,Milestones!$AA$35),"dd mmm yy"))&amp;" "&amp;Milestones!$AB$35&amp;" "&amp;Milestones!$AC$35&amp;";  ","")&amp;IF(AND(EDATE($D126,Milestones!$AA$36)&lt;=AsOfDate,IF($R126=0,$X126,IF(AND($T126&lt;&gt;"",EDATE($D126,Milestones!$AA$36)&gt;=$T126),$W126,IF(AND($S126&lt;&gt;"",EDATE($D126,Milestones!$AA$36)&gt;=$S126),$V126,$U126)))=Milestones!$AB$36),UPPER(TEXT(EDATE($D126,Milestones!$AA$36),"dd mmm yy"))&amp;" "&amp;Milestones!$AB$36&amp;" "&amp;Milestones!$AC$36&amp;";  ","")&amp;IF(AND(EDATE($D126,Milestones!$AA$37)&lt;=AsOfDate,IF($R126=0,$X126,IF(AND($T126&lt;&gt;"",EDATE($D126,Milestones!$AA$37)&gt;=$T126),$W126,IF(AND($S126&lt;&gt;"",EDATE($D126,Milestones!$AA$37)&gt;=$S126),$V126,$U126)))=Milestones!$AB$37),UPPER(TEXT(EDATE($D126,Milestones!$AA$37),"dd mmm yy"))&amp;" "&amp;Milestones!$AB$37&amp;" "&amp;Milestones!$AC$37&amp;";  ","")&amp;IF(AND(EDATE($D126,Milestones!$AA$38)&lt;=AsOfDate,IF($R126=0,$X126,IF(AND($T126&lt;&gt;"",EDATE($D126,Milestones!$AA$38)&gt;=$T126),$W126,IF(AND($S126&lt;&gt;"",EDATE($D126,Milestones!$AA$38)&gt;=$S126),$V126,$U126)))=Milestones!$AB$38),UPPER(TEXT(EDATE($D126,Milestones!$AA$38),"dd mmm yy"))&amp;" "&amp;Milestones!$AB$38&amp;" "&amp;Milestones!$AC$38&amp;";  ","")&amp;IF(AND(EDATE($D126,Milestones!$AA$39)&lt;=AsOfDate,IF($R126=0,$X126,IF(AND($T126&lt;&gt;"",EDATE($D126,Milestones!$AA$39)&gt;=$T126),$W126,IF(AND($S126&lt;&gt;"",EDATE($D126,Milestones!$AA$39)&gt;=$S126),$V126,$U126)))=Milestones!$AB$39),UPPER(TEXT(EDATE($D126,Milestones!$AA$39),"dd mmm yy"))&amp;" "&amp;Milestones!$AB$39&amp;" "&amp;Milestones!$AC$39&amp;";  ",""))</f>
        <v/>
      </c>
      <c r="J126" s="0" t="str">
        <f aca="false">IF(OR($A126="",$D126=""),"",IF(AND(EDATE($D126,Milestones!$AA$40)&lt;=AsOfDate,IF($R126=0,$X126,IF(AND($T126&lt;&gt;"",EDATE($D126,Milestones!$AA$40)&gt;=$T126),$W126,IF(AND($S126&lt;&gt;"",EDATE($D126,Milestones!$AA$40)&gt;=$S126),$V126,$U126)))=Milestones!$AB$40),UPPER(TEXT(EDATE($D126,Milestones!$AA$40),"dd mmm yy"))&amp;" "&amp;Milestones!$AB$40&amp;" "&amp;Milestones!$AC$40&amp;";  ","")&amp;IF(AND(EDATE($D126,Milestones!$AA$41)&lt;=AsOfDate,IF($R126=0,$X126,IF(AND($T126&lt;&gt;"",EDATE($D126,Milestones!$AA$41)&gt;=$T126),$W126,IF(AND($S126&lt;&gt;"",EDATE($D126,Milestones!$AA$41)&gt;=$S126),$V126,$U126)))=Milestones!$AB$41),UPPER(TEXT(EDATE($D126,Milestones!$AA$41),"dd mmm yy"))&amp;" "&amp;Milestones!$AB$41&amp;" "&amp;Milestones!$AC$41&amp;";  ","")&amp;IF(AND(EDATE($D126,Milestones!$AA$42)&lt;=AsOfDate,IF($R126=0,$X126,IF(AND($T126&lt;&gt;"",EDATE($D126,Milestones!$AA$42)&gt;=$T126),$W126,IF(AND($S126&lt;&gt;"",EDATE($D126,Milestones!$AA$42)&gt;=$S126),$V126,$U126)))=Milestones!$AB$42),UPPER(TEXT(EDATE($D126,Milestones!$AA$42),"dd mmm yy"))&amp;" "&amp;Milestones!$AB$42&amp;" "&amp;Milestones!$AC$42&amp;";  ","")&amp;IF(AND(EDATE($D126,Milestones!$AA$43)&lt;=AsOfDate,IF($R126=0,$X126,IF(AND($T126&lt;&gt;"",EDATE($D126,Milestones!$AA$43)&gt;=$T126),$W126,IF(AND($S126&lt;&gt;"",EDATE($D126,Milestones!$AA$43)&gt;=$S126),$V126,$U126)))=Milestones!$AB$43),UPPER(TEXT(EDATE($D126,Milestones!$AA$43),"dd mmm yy"))&amp;" "&amp;Milestones!$AB$43&amp;" "&amp;Milestones!$AC$43&amp;";  ","")&amp;IF(AND(EDATE($D126,Milestones!$AA$44)&lt;=AsOfDate,IF($R126=0,$X126,IF(AND($T126&lt;&gt;"",EDATE($D126,Milestones!$AA$44)&gt;=$T126),$W126,IF(AND($S126&lt;&gt;"",EDATE($D126,Milestones!$AA$44)&gt;=$S126),$V126,$U126)))=Milestones!$AB$44),UPPER(TEXT(EDATE($D126,Milestones!$AA$44),"dd mmm yy"))&amp;" "&amp;Milestones!$AB$44&amp;" "&amp;Milestones!$AC$44&amp;";  ","")&amp;IF(AND(EDATE($D126,Milestones!$AA$45)&lt;=AsOfDate,IF($R126=0,$X126,IF(AND($T126&lt;&gt;"",EDATE($D126,Milestones!$AA$45)&gt;=$T126),$W126,IF(AND($S126&lt;&gt;"",EDATE($D126,Milestones!$AA$45)&gt;=$S126),$V126,$U126)))=Milestones!$AB$45),UPPER(TEXT(EDATE($D126,Milestones!$AA$45),"dd mmm yy"))&amp;" "&amp;Milestones!$AB$45&amp;" "&amp;Milestones!$AC$45&amp;";  ","")&amp;IF(AND(EDATE($D126,Milestones!$AA$46)&lt;=AsOfDate,IF($R126=0,$X126,IF(AND($T126&lt;&gt;"",EDATE($D126,Milestones!$AA$46)&gt;=$T126),$W126,IF(AND($S126&lt;&gt;"",EDATE($D126,Milestones!$AA$46)&gt;=$S126),$V126,$U126)))=Milestones!$AB$46),UPPER(TEXT(EDATE($D126,Milestones!$AA$46),"dd mmm yy"))&amp;" "&amp;Milestones!$AB$46&amp;" "&amp;Milestones!$AC$46&amp;";  ","")&amp;IF(AND(EDATE($D126,Milestones!$AA$47)&lt;=AsOfDate,IF($R126=0,$X126,IF(AND($T126&lt;&gt;"",EDATE($D126,Milestones!$AA$47)&gt;=$T126),$W126,IF(AND($S126&lt;&gt;"",EDATE($D126,Milestones!$AA$47)&gt;=$S126),$V126,$U126)))=Milestones!$AB$47),UPPER(TEXT(EDATE($D126,Milestones!$AA$47),"dd mmm yy"))&amp;" "&amp;Milestones!$AB$47&amp;" "&amp;Milestones!$AC$47&amp;";  ","")&amp;IF(AND(EDATE($D126,Milestones!$AA$48)&lt;=AsOfDate,IF($R126=0,$X126,IF(AND($T126&lt;&gt;"",EDATE($D126,Milestones!$AA$48)&gt;=$T126),$W126,IF(AND($S126&lt;&gt;"",EDATE($D126,Milestones!$AA$48)&gt;=$S126),$V126,$U126)))=Milestones!$AB$48),UPPER(TEXT(EDATE($D126,Milestones!$AA$48),"dd mmm yy"))&amp;" "&amp;Milestones!$AB$48&amp;" "&amp;Milestones!$AC$48&amp;";  ","")&amp;IF(AND(EDATE($D126,Milestones!$AA$49)&lt;=AsOfDate,IF($R126=0,$X126,IF(AND($T126&lt;&gt;"",EDATE($D126,Milestones!$AA$49)&gt;=$T126),$W126,IF(AND($S126&lt;&gt;"",EDATE($D126,Milestones!$AA$49)&gt;=$S126),$V126,$U126)))=Milestones!$AB$49),UPPER(TEXT(EDATE($D126,Milestones!$AA$49),"dd mmm yy"))&amp;" "&amp;Milestones!$AB$49&amp;" "&amp;Milestones!$AC$49&amp;";  ","")&amp;IF(AND(EDATE($D126,Milestones!$AA$50)&lt;=AsOfDate,IF($R126=0,$X126,IF(AND($T126&lt;&gt;"",EDATE($D126,Milestones!$AA$50)&gt;=$T126),$W126,IF(AND($S126&lt;&gt;"",EDATE($D126,Milestones!$AA$50)&gt;=$S126),$V126,$U126)))=Milestones!$AB$50),UPPER(TEXT(EDATE($D126,Milestones!$AA$50),"dd mmm yy"))&amp;" "&amp;Milestones!$AB$50&amp;" "&amp;Milestones!$AC$50&amp;";  ","")&amp;IF(AND(EDATE($D126,Milestones!$AA$51)&lt;=AsOfDate,IF($R126=0,$X126,IF(AND($T126&lt;&gt;"",EDATE($D126,Milestones!$AA$51)&gt;=$T126),$W126,IF(AND($S126&lt;&gt;"",EDATE($D126,Milestones!$AA$51)&gt;=$S126),$V126,$U126)))=Milestones!$AB$51),UPPER(TEXT(EDATE($D126,Milestones!$AA$51),"dd mmm yy"))&amp;" "&amp;Milestones!$AB$51&amp;" "&amp;Milestones!$AC$51&amp;";  ","")&amp;IF(AND(EDATE($D126,Milestones!$AA$52)&lt;=AsOfDate,IF($R126=0,$X126,IF(AND($T126&lt;&gt;"",EDATE($D126,Milestones!$AA$52)&gt;=$T126),$W126,IF(AND($S126&lt;&gt;"",EDATE($D126,Milestones!$AA$52)&gt;=$S126),$V126,$U126)))=Milestones!$AB$52),UPPER(TEXT(EDATE($D126,Milestones!$AA$52),"dd mmm yy"))&amp;" "&amp;Milestones!$AB$52&amp;" "&amp;Milestones!$AC$52&amp;";  ","")&amp;IF(AND(EDATE($D126,Milestones!$AA$53)&lt;=AsOfDate,IF($R126=0,$X126,IF(AND($T126&lt;&gt;"",EDATE($D126,Milestones!$AA$53)&gt;=$T126),$W126,IF(AND($S126&lt;&gt;"",EDATE($D126,Milestones!$AA$53)&gt;=$S126),$V126,$U126)))=Milestones!$AB$53),UPPER(TEXT(EDATE($D126,Milestones!$AA$53),"dd mmm yy"))&amp;" "&amp;Milestones!$AB$53&amp;" "&amp;Milestones!$AC$53&amp;";  ","")&amp;IF(AND(EDATE($D126,Milestones!$AA$54)&lt;=AsOfDate,IF($R126=0,$X126,IF(AND($T126&lt;&gt;"",EDATE($D126,Milestones!$AA$54)&gt;=$T126),$W126,IF(AND($S126&lt;&gt;"",EDATE($D126,Milestones!$AA$54)&gt;=$S126),$V126,$U126)))=Milestones!$AB$54),UPPER(TEXT(EDATE($D126,Milestones!$AA$54),"dd mmm yy"))&amp;" "&amp;Milestones!$AB$54&amp;" "&amp;Milestones!$AC$54&amp;";  ","")&amp;IF(AND(EDATE($D126,Milestones!$AA$55)&lt;=AsOfDate,IF($R126=0,$X126,IF(AND($T126&lt;&gt;"",EDATE($D126,Milestones!$AA$55)&gt;=$T126),$W126,IF(AND($S126&lt;&gt;"",EDATE($D126,Milestones!$AA$55)&gt;=$S126),$V126,$U126)))=Milestones!$AB$55),UPPER(TEXT(EDATE($D126,Milestones!$AA$55),"dd mmm yy"))&amp;" "&amp;Milestones!$AB$55&amp;" "&amp;Milestones!$AC$55&amp;";  ","")&amp;IF(AND(EDATE($D126,Milestones!$AA$56)&lt;=AsOfDate,IF($R126=0,$X126,IF(AND($T126&lt;&gt;"",EDATE($D126,Milestones!$AA$56)&gt;=$T126),$W126,IF(AND($S126&lt;&gt;"",EDATE($D126,Milestones!$AA$56)&gt;=$S126),$V126,$U126)))=Milestones!$AB$56),UPPER(TEXT(EDATE($D126,Milestones!$AA$56),"dd mmm yy"))&amp;" "&amp;Milestones!$AB$56&amp;" "&amp;Milestones!$AC$56&amp;";  ","")&amp;IF(AND(EDATE($D126,Milestones!$AA$57)&lt;=AsOfDate,IF($R126=0,$X126,IF(AND($T126&lt;&gt;"",EDATE($D126,Milestones!$AA$57)&gt;=$T126),$W126,IF(AND($S126&lt;&gt;"",EDATE($D126,Milestones!$AA$57)&gt;=$S126),$V126,$U126)))=Milestones!$AB$57),UPPER(TEXT(EDATE($D126,Milestones!$AA$57),"dd mmm yy"))&amp;" "&amp;Milestones!$AB$57&amp;" "&amp;Milestones!$AC$57&amp;";  ","")&amp;IF(AND(EDATE($D126,Milestones!$AA$58)&lt;=AsOfDate,IF($R126=0,$X126,IF(AND($T126&lt;&gt;"",EDATE($D126,Milestones!$AA$58)&gt;=$T126),$W126,IF(AND($S126&lt;&gt;"",EDATE($D126,Milestones!$AA$58)&gt;=$S126),$V126,$U126)))=Milestones!$AB$58),UPPER(TEXT(EDATE($D126,Milestones!$AA$58),"dd mmm yy"))&amp;" "&amp;Milestones!$AB$58&amp;" "&amp;Milestones!$AC$58&amp;";  ","")&amp;IF(AND(EDATE($D126,Milestones!$AA$59)&lt;=AsOfDate,IF($R126=0,$X126,IF(AND($T126&lt;&gt;"",EDATE($D126,Milestones!$AA$59)&gt;=$T126),$W126,IF(AND($S126&lt;&gt;"",EDATE($D126,Milestones!$AA$59)&gt;=$S126),$V126,$U126)))=Milestones!$AB$59),UPPER(TEXT(EDATE($D126,Milestones!$AA$59),"dd mmm yy"))&amp;" "&amp;Milestones!$AB$59&amp;" "&amp;Milestones!$AC$59&amp;";  ",""))</f>
        <v/>
      </c>
      <c r="K126" s="0" t="str">
        <f aca="false">IF(OR($A126="",$D126=""),"",IF(AND(EDATE($D126,Milestones!$AA$60)&lt;=AsOfDate,IF($R126=0,$X126,IF(AND($T126&lt;&gt;"",EDATE($D126,Milestones!$AA$60)&gt;=$T126),$W126,IF(AND($S126&lt;&gt;"",EDATE($D126,Milestones!$AA$60)&gt;=$S126),$V126,$U126)))=Milestones!$AB$60),UPPER(TEXT(EDATE($D126,Milestones!$AA$60),"dd mmm yy"))&amp;" "&amp;Milestones!$AB$60&amp;" "&amp;Milestones!$AC$60&amp;";  ","")&amp;IF(AND(EDATE($D126,Milestones!$AA$61)&lt;=AsOfDate,IF($R126=0,$X126,IF(AND($T126&lt;&gt;"",EDATE($D126,Milestones!$AA$61)&gt;=$T126),$W126,IF(AND($S126&lt;&gt;"",EDATE($D126,Milestones!$AA$61)&gt;=$S126),$V126,$U126)))=Milestones!$AB$61),UPPER(TEXT(EDATE($D126,Milestones!$AA$61),"dd mmm yy"))&amp;" "&amp;Milestones!$AB$61&amp;" "&amp;Milestones!$AC$61&amp;";  ","")&amp;IF(AND(EDATE($D126,Milestones!$AA$62)&lt;=AsOfDate,IF($R126=0,$X126,IF(AND($T126&lt;&gt;"",EDATE($D126,Milestones!$AA$62)&gt;=$T126),$W126,IF(AND($S126&lt;&gt;"",EDATE($D126,Milestones!$AA$62)&gt;=$S126),$V126,$U126)))=Milestones!$AB$62),UPPER(TEXT(EDATE($D126,Milestones!$AA$62),"dd mmm yy"))&amp;" "&amp;Milestones!$AB$62&amp;" "&amp;Milestones!$AC$62&amp;";  ","")&amp;IF(AND(EDATE($D126,Milestones!$AA$63)&lt;=AsOfDate,IF($R126=0,$X126,IF(AND($T126&lt;&gt;"",EDATE($D126,Milestones!$AA$63)&gt;=$T126),$W126,IF(AND($S126&lt;&gt;"",EDATE($D126,Milestones!$AA$63)&gt;=$S126),$V126,$U126)))=Milestones!$AB$63),UPPER(TEXT(EDATE($D126,Milestones!$AA$63),"dd mmm yy"))&amp;" "&amp;Milestones!$AB$63&amp;" "&amp;Milestones!$AC$63&amp;";  ","")&amp;IF(AND(EDATE($D126,Milestones!$AA$64)&lt;=AsOfDate,IF($R126=0,$X126,IF(AND($T126&lt;&gt;"",EDATE($D126,Milestones!$AA$64)&gt;=$T126),$W126,IF(AND($S126&lt;&gt;"",EDATE($D126,Milestones!$AA$64)&gt;=$S126),$V126,$U126)))=Milestones!$AB$64),UPPER(TEXT(EDATE($D126,Milestones!$AA$64),"dd mmm yy"))&amp;" "&amp;Milestones!$AB$64&amp;" "&amp;Milestones!$AC$64&amp;";  ","")&amp;IF(AND(EDATE($D126,Milestones!$AA$65)&lt;=AsOfDate,IF($R126=0,$X126,IF(AND($T126&lt;&gt;"",EDATE($D126,Milestones!$AA$65)&gt;=$T126),$W126,IF(AND($S126&lt;&gt;"",EDATE($D126,Milestones!$AA$65)&gt;=$S126),$V126,$U126)))=Milestones!$AB$65),UPPER(TEXT(EDATE($D126,Milestones!$AA$65),"dd mmm yy"))&amp;" "&amp;Milestones!$AB$65&amp;" "&amp;Milestones!$AC$65&amp;";  ","")&amp;IF(AND(EDATE($D126,Milestones!$AA$66)&lt;=AsOfDate,IF($R126=0,$X126,IF(AND($T126&lt;&gt;"",EDATE($D126,Milestones!$AA$66)&gt;=$T126),$W126,IF(AND($S126&lt;&gt;"",EDATE($D126,Milestones!$AA$66)&gt;=$S126),$V126,$U126)))=Milestones!$AB$66),UPPER(TEXT(EDATE($D126,Milestones!$AA$66),"dd mmm yy"))&amp;" "&amp;Milestones!$AB$66&amp;" "&amp;Milestones!$AC$66&amp;";  ","")&amp;IF(AND(EDATE($D126,Milestones!$AA$67)&lt;=AsOfDate,IF($R126=0,$X126,IF(AND($T126&lt;&gt;"",EDATE($D126,Milestones!$AA$67)&gt;=$T126),$W126,IF(AND($S126&lt;&gt;"",EDATE($D126,Milestones!$AA$67)&gt;=$S126),$V126,$U126)))=Milestones!$AB$67),UPPER(TEXT(EDATE($D126,Milestones!$AA$67),"dd mmm yy"))&amp;" "&amp;Milestones!$AB$67&amp;" "&amp;Milestones!$AC$67&amp;";  ","")&amp;IF(AND(EDATE($D126,Milestones!$AA$68)&lt;=AsOfDate,IF($R126=0,$X126,IF(AND($T126&lt;&gt;"",EDATE($D126,Milestones!$AA$68)&gt;=$T126),$W126,IF(AND($S126&lt;&gt;"",EDATE($D126,Milestones!$AA$68)&gt;=$S126),$V126,$U126)))=Milestones!$AB$68),UPPER(TEXT(EDATE($D126,Milestones!$AA$68),"dd mmm yy"))&amp;" "&amp;Milestones!$AB$68&amp;" "&amp;Milestones!$AC$68&amp;";  ","")&amp;IF(AND(EDATE($D126,Milestones!$AA$69)&lt;=AsOfDate,IF($R126=0,$X126,IF(AND($T126&lt;&gt;"",EDATE($D126,Milestones!$AA$69)&gt;=$T126),$W126,IF(AND($S126&lt;&gt;"",EDATE($D126,Milestones!$AA$69)&gt;=$S126),$V126,$U126)))=Milestones!$AB$69),UPPER(TEXT(EDATE($D126,Milestones!$AA$69),"dd mmm yy"))&amp;" "&amp;Milestones!$AB$69&amp;" "&amp;Milestones!$AC$69&amp;";  ","")&amp;IF(AND(EDATE($D126,Milestones!$AA$70)&lt;=AsOfDate,IF($R126=0,$X126,IF(AND($T126&lt;&gt;"",EDATE($D126,Milestones!$AA$70)&gt;=$T126),$W126,IF(AND($S126&lt;&gt;"",EDATE($D126,Milestones!$AA$70)&gt;=$S126),$V126,$U126)))=Milestones!$AB$70),UPPER(TEXT(EDATE($D126,Milestones!$AA$70),"dd mmm yy"))&amp;" "&amp;Milestones!$AB$70&amp;" "&amp;Milestones!$AC$70&amp;";  ","")&amp;IF(AND(EDATE($D126,Milestones!$AA$71)&lt;=AsOfDate,IF($R126=0,$X126,IF(AND($T126&lt;&gt;"",EDATE($D126,Milestones!$AA$71)&gt;=$T126),$W126,IF(AND($S126&lt;&gt;"",EDATE($D126,Milestones!$AA$71)&gt;=$S126),$V126,$U126)))=Milestones!$AB$71),UPPER(TEXT(EDATE($D126,Milestones!$AA$71),"dd mmm yy"))&amp;" "&amp;Milestones!$AB$71&amp;" "&amp;Milestones!$AC$71&amp;";  ","")&amp;IF(AND(EDATE($D126,Milestones!$AA$72)&lt;=AsOfDate,IF($R126=0,$X126,IF(AND($T126&lt;&gt;"",EDATE($D126,Milestones!$AA$72)&gt;=$T126),$W126,IF(AND($S126&lt;&gt;"",EDATE($D126,Milestones!$AA$72)&gt;=$S126),$V126,$U126)))=Milestones!$AB$72),UPPER(TEXT(EDATE($D126,Milestones!$AA$72),"dd mmm yy"))&amp;" "&amp;Milestones!$AB$72&amp;" "&amp;Milestones!$AC$72&amp;";  ","")&amp;IF(AND(EDATE($D126,Milestones!$AA$73)&lt;=AsOfDate,IF($R126=0,$X126,IF(AND($T126&lt;&gt;"",EDATE($D126,Milestones!$AA$73)&gt;=$T126),$W126,IF(AND($S126&lt;&gt;"",EDATE($D126,Milestones!$AA$73)&gt;=$S126),$V126,$U126)))=Milestones!$AB$73),UPPER(TEXT(EDATE($D126,Milestones!$AA$73),"dd mmm yy"))&amp;" "&amp;Milestones!$AB$73&amp;" "&amp;Milestones!$AC$73&amp;";  ","")&amp;IF(AND(EDATE($D126,Milestones!$AA$74)&lt;=AsOfDate,IF($R126=0,$X126,IF(AND($T126&lt;&gt;"",EDATE($D126,Milestones!$AA$74)&gt;=$T126),$W126,IF(AND($S126&lt;&gt;"",EDATE($D126,Milestones!$AA$74)&gt;=$S126),$V126,$U126)))=Milestones!$AB$74),UPPER(TEXT(EDATE($D126,Milestones!$AA$74),"dd mmm yy"))&amp;" "&amp;Milestones!$AB$74&amp;" "&amp;Milestones!$AC$74&amp;";  ","")&amp;IF(AND(EDATE($D126,Milestones!$AA$75)&lt;=AsOfDate,IF($R126=0,$X126,IF(AND($T126&lt;&gt;"",EDATE($D126,Milestones!$AA$75)&gt;=$T126),$W126,IF(AND($S126&lt;&gt;"",EDATE($D126,Milestones!$AA$75)&gt;=$S126),$V126,$U126)))=Milestones!$AB$75),UPPER(TEXT(EDATE($D126,Milestones!$AA$75),"dd mmm yy"))&amp;" "&amp;Milestones!$AB$75&amp;" "&amp;Milestones!$AC$75&amp;";  ","")&amp;IF(AND(EDATE($D126,Milestones!$AA$76)&lt;=AsOfDate,IF($R126=0,$X126,IF(AND($T126&lt;&gt;"",EDATE($D126,Milestones!$AA$76)&gt;=$T126),$W126,IF(AND($S126&lt;&gt;"",EDATE($D126,Milestones!$AA$76)&gt;=$S126),$V126,$U126)))=Milestones!$AB$76),UPPER(TEXT(EDATE($D126,Milestones!$AA$76),"dd mmm yy"))&amp;" "&amp;Milestones!$AB$76&amp;" "&amp;Milestones!$AC$76&amp;";  ","")&amp;IF(AND(EDATE($D126,Milestones!$AA$77)&lt;=AsOfDate,IF($R126=0,$X126,IF(AND($T126&lt;&gt;"",EDATE($D126,Milestones!$AA$77)&gt;=$T126),$W126,IF(AND($S126&lt;&gt;"",EDATE($D126,Milestones!$AA$77)&gt;=$S126),$V126,$U126)))=Milestones!$AB$77),UPPER(TEXT(EDATE($D126,Milestones!$AA$77),"dd mmm yy"))&amp;" "&amp;Milestones!$AB$77&amp;" "&amp;Milestones!$AC$77&amp;";  ","")&amp;IF(AND(EDATE($D126,Milestones!$AA$78)&lt;=AsOfDate,IF($R126=0,$X126,IF(AND($T126&lt;&gt;"",EDATE($D126,Milestones!$AA$78)&gt;=$T126),$W126,IF(AND($S126&lt;&gt;"",EDATE($D126,Milestones!$AA$78)&gt;=$S126),$V126,$U126)))=Milestones!$AB$78),UPPER(TEXT(EDATE($D126,Milestones!$AA$78),"dd mmm yy"))&amp;" "&amp;Milestones!$AB$78&amp;" "&amp;Milestones!$AC$78&amp;";  ","")&amp;IF(AND(EDATE($D126,Milestones!$AA$79)&lt;=AsOfDate,IF($R126=0,$X126,IF(AND($T126&lt;&gt;"",EDATE($D126,Milestones!$AA$79)&gt;=$T126),$W126,IF(AND($S126&lt;&gt;"",EDATE($D126,Milestones!$AA$79)&gt;=$S126),$V126,$U126)))=Milestones!$AB$79),UPPER(TEXT(EDATE($D126,Milestones!$AA$79),"dd mmm yy"))&amp;" "&amp;Milestones!$AB$79&amp;" "&amp;Milestones!$AC$79&amp;";  ",""))</f>
        <v/>
      </c>
      <c r="L126" s="0" t="str">
        <f aca="false">IF(OR($A126="",$D126=""),"",IF(AND(EDATE($D126,Milestones!$AA$80)&lt;=AsOfDate,IF($R126=0,$X126,IF(AND($T126&lt;&gt;"",EDATE($D126,Milestones!$AA$80)&gt;=$T126),$W126,IF(AND($S126&lt;&gt;"",EDATE($D126,Milestones!$AA$80)&gt;=$S126),$V126,$U126)))=Milestones!$AB$80),UPPER(TEXT(EDATE($D126,Milestones!$AA$80),"dd mmm yy"))&amp;" "&amp;Milestones!$AB$80&amp;" "&amp;Milestones!$AC$80&amp;";  ","")&amp;IF(AND(EDATE($D126,Milestones!$AA$81)&lt;=AsOfDate,IF($R126=0,$X126,IF(AND($T126&lt;&gt;"",EDATE($D126,Milestones!$AA$81)&gt;=$T126),$W126,IF(AND($S126&lt;&gt;"",EDATE($D126,Milestones!$AA$81)&gt;=$S126),$V126,$U126)))=Milestones!$AB$81),UPPER(TEXT(EDATE($D126,Milestones!$AA$81),"dd mmm yy"))&amp;" "&amp;Milestones!$AB$81&amp;" "&amp;Milestones!$AC$81&amp;";  ","")&amp;IF(AND(EDATE($D126,Milestones!$AA$82)&lt;=AsOfDate,IF($R126=0,$X126,IF(AND($T126&lt;&gt;"",EDATE($D126,Milestones!$AA$82)&gt;=$T126),$W126,IF(AND($S126&lt;&gt;"",EDATE($D126,Milestones!$AA$82)&gt;=$S126),$V126,$U126)))=Milestones!$AB$82),UPPER(TEXT(EDATE($D126,Milestones!$AA$82),"dd mmm yy"))&amp;" "&amp;Milestones!$AB$82&amp;" "&amp;Milestones!$AC$82&amp;";  ","")&amp;IF(AND(EDATE($D126,Milestones!$AA$83)&lt;=AsOfDate,IF($R126=0,$X126,IF(AND($T126&lt;&gt;"",EDATE($D126,Milestones!$AA$83)&gt;=$T126),$W126,IF(AND($S126&lt;&gt;"",EDATE($D126,Milestones!$AA$83)&gt;=$S126),$V126,$U126)))=Milestones!$AB$83),UPPER(TEXT(EDATE($D126,Milestones!$AA$83),"dd mmm yy"))&amp;" "&amp;Milestones!$AB$83&amp;" "&amp;Milestones!$AC$83&amp;";  ","")&amp;IF(AND(EDATE($D126,Milestones!$AA$84)&lt;=AsOfDate,IF($R126=0,$X126,IF(AND($T126&lt;&gt;"",EDATE($D126,Milestones!$AA$84)&gt;=$T126),$W126,IF(AND($S126&lt;&gt;"",EDATE($D126,Milestones!$AA$84)&gt;=$S126),$V126,$U126)))=Milestones!$AB$84),UPPER(TEXT(EDATE($D126,Milestones!$AA$84),"dd mmm yy"))&amp;" "&amp;Milestones!$AB$84&amp;" "&amp;Milestones!$AC$84&amp;";  ","")&amp;IF(AND(EDATE($D126,Milestones!$AA$85)&lt;=AsOfDate,IF($R126=0,$X126,IF(AND($T126&lt;&gt;"",EDATE($D126,Milestones!$AA$85)&gt;=$T126),$W126,IF(AND($S126&lt;&gt;"",EDATE($D126,Milestones!$AA$85)&gt;=$S126),$V126,$U126)))=Milestones!$AB$85),UPPER(TEXT(EDATE($D126,Milestones!$AA$85),"dd mmm yy"))&amp;" "&amp;Milestones!$AB$85&amp;" "&amp;Milestones!$AC$85&amp;";  ","")&amp;IF(AND(EDATE($D126,Milestones!$AA$86)&lt;=AsOfDate,IF($R126=0,$X126,IF(AND($T126&lt;&gt;"",EDATE($D126,Milestones!$AA$86)&gt;=$T126),$W126,IF(AND($S126&lt;&gt;"",EDATE($D126,Milestones!$AA$86)&gt;=$S126),$V126,$U126)))=Milestones!$AB$86),UPPER(TEXT(EDATE($D126,Milestones!$AA$86),"dd mmm yy"))&amp;" "&amp;Milestones!$AB$86&amp;" "&amp;Milestones!$AC$86&amp;";  ","")&amp;IF(AND(EDATE($D126,Milestones!$AA$87)&lt;=AsOfDate,IF($R126=0,$X126,IF(AND($T126&lt;&gt;"",EDATE($D126,Milestones!$AA$87)&gt;=$T126),$W126,IF(AND($S126&lt;&gt;"",EDATE($D126,Milestones!$AA$87)&gt;=$S126),$V126,$U126)))=Milestones!$AB$87),UPPER(TEXT(EDATE($D126,Milestones!$AA$87),"dd mmm yy"))&amp;" "&amp;Milestones!$AB$87&amp;" "&amp;Milestones!$AC$87&amp;";  ","")&amp;IF(AND(EDATE($D126,Milestones!$AA$88)&lt;=AsOfDate,IF($R126=0,$X126,IF(AND($T126&lt;&gt;"",EDATE($D126,Milestones!$AA$88)&gt;=$T126),$W126,IF(AND($S126&lt;&gt;"",EDATE($D126,Milestones!$AA$88)&gt;=$S126),$V126,$U126)))=Milestones!$AB$88),UPPER(TEXT(EDATE($D126,Milestones!$AA$88),"dd mmm yy"))&amp;" "&amp;Milestones!$AB$88&amp;" "&amp;Milestones!$AC$88&amp;";  ","")&amp;IF(AND(EDATE($D126,Milestones!$AA$89)&lt;=AsOfDate,IF($R126=0,$X126,IF(AND($T126&lt;&gt;"",EDATE($D126,Milestones!$AA$89)&gt;=$T126),$W126,IF(AND($S126&lt;&gt;"",EDATE($D126,Milestones!$AA$89)&gt;=$S126),$V126,$U126)))=Milestones!$AB$89),UPPER(TEXT(EDATE($D126,Milestones!$AA$89),"dd mmm yy"))&amp;" "&amp;Milestones!$AB$89&amp;" "&amp;Milestones!$AC$89&amp;";  ","")&amp;IF(AND(EDATE($D126,Milestones!$AA$90)&lt;=AsOfDate,IF($R126=0,$X126,IF(AND($T126&lt;&gt;"",EDATE($D126,Milestones!$AA$90)&gt;=$T126),$W126,IF(AND($S126&lt;&gt;"",EDATE($D126,Milestones!$AA$90)&gt;=$S126),$V126,$U126)))=Milestones!$AB$90),UPPER(TEXT(EDATE($D126,Milestones!$AA$90),"dd mmm yy"))&amp;" "&amp;Milestones!$AB$90&amp;" "&amp;Milestones!$AC$90&amp;";  ","")&amp;IF(AND(EDATE($D126,Milestones!$AA$91)&lt;=AsOfDate,IF($R126=0,$X126,IF(AND($T126&lt;&gt;"",EDATE($D126,Milestones!$AA$91)&gt;=$T126),$W126,IF(AND($S126&lt;&gt;"",EDATE($D126,Milestones!$AA$91)&gt;=$S126),$V126,$U126)))=Milestones!$AB$91),UPPER(TEXT(EDATE($D126,Milestones!$AA$91),"dd mmm yy"))&amp;" "&amp;Milestones!$AB$91&amp;" "&amp;Milestones!$AC$91&amp;";  ","")&amp;IF(AND(EDATE($D126,Milestones!$AA$92)&lt;=AsOfDate,IF($R126=0,$X126,IF(AND($T126&lt;&gt;"",EDATE($D126,Milestones!$AA$92)&gt;=$T126),$W126,IF(AND($S126&lt;&gt;"",EDATE($D126,Milestones!$AA$92)&gt;=$S126),$V126,$U126)))=Milestones!$AB$92),UPPER(TEXT(EDATE($D126,Milestones!$AA$92),"dd mmm yy"))&amp;" "&amp;Milestones!$AB$92&amp;" "&amp;Milestones!$AC$92&amp;";  ","")&amp;IF(AND(EDATE($D126,Milestones!$AA$93)&lt;=AsOfDate,IF($R126=0,$X126,IF(AND($T126&lt;&gt;"",EDATE($D126,Milestones!$AA$93)&gt;=$T126),$W126,IF(AND($S126&lt;&gt;"",EDATE($D126,Milestones!$AA$93)&gt;=$S126),$V126,$U126)))=Milestones!$AB$93),UPPER(TEXT(EDATE($D126,Milestones!$AA$93),"dd mmm yy"))&amp;" "&amp;Milestones!$AB$93&amp;" "&amp;Milestones!$AC$93&amp;";  ","")&amp;IF(AND(EDATE($D126,Milestones!$AA$94)&lt;=AsOfDate,IF($R126=0,$X126,IF(AND($T126&lt;&gt;"",EDATE($D126,Milestones!$AA$94)&gt;=$T126),$W126,IF(AND($S126&lt;&gt;"",EDATE($D126,Milestones!$AA$94)&gt;=$S126),$V126,$U126)))=Milestones!$AB$94),UPPER(TEXT(EDATE($D126,Milestones!$AA$94),"dd mmm yy"))&amp;" "&amp;Milestones!$AB$94&amp;" "&amp;Milestones!$AC$94&amp;";  ","")&amp;IF(AND(EDATE($D126,Milestones!$AA$95)&lt;=AsOfDate,IF($R126=0,$X126,IF(AND($T126&lt;&gt;"",EDATE($D126,Milestones!$AA$95)&gt;=$T126),$W126,IF(AND($S126&lt;&gt;"",EDATE($D126,Milestones!$AA$95)&gt;=$S126),$V126,$U126)))=Milestones!$AB$95),UPPER(TEXT(EDATE($D126,Milestones!$AA$95),"dd mmm yy"))&amp;" "&amp;Milestones!$AB$95&amp;" "&amp;Milestones!$AC$95&amp;";  ","")&amp;IF(AND(EDATE($D126,Milestones!$AA$96)&lt;=AsOfDate,IF($R126=0,$X126,IF(AND($T126&lt;&gt;"",EDATE($D126,Milestones!$AA$96)&gt;=$T126),$W126,IF(AND($S126&lt;&gt;"",EDATE($D126,Milestones!$AA$96)&gt;=$S126),$V126,$U126)))=Milestones!$AB$96),UPPER(TEXT(EDATE($D126,Milestones!$AA$96),"dd mmm yy"))&amp;" "&amp;Milestones!$AB$96&amp;" "&amp;Milestones!$AC$96&amp;";  ","")&amp;IF(AND(EDATE($D126,Milestones!$AA$97)&lt;=AsOfDate,IF($R126=0,$X126,IF(AND($T126&lt;&gt;"",EDATE($D126,Milestones!$AA$97)&gt;=$T126),$W126,IF(AND($S126&lt;&gt;"",EDATE($D126,Milestones!$AA$97)&gt;=$S126),$V126,$U126)))=Milestones!$AB$97),UPPER(TEXT(EDATE($D126,Milestones!$AA$97),"dd mmm yy"))&amp;" "&amp;Milestones!$AB$97&amp;" "&amp;Milestones!$AC$97&amp;";  ","")&amp;IF(AND(EDATE($D126,Milestones!$AA$98)&lt;=AsOfDate,IF($R126=0,$X126,IF(AND($T126&lt;&gt;"",EDATE($D126,Milestones!$AA$98)&gt;=$T126),$W126,IF(AND($S126&lt;&gt;"",EDATE($D126,Milestones!$AA$98)&gt;=$S126),$V126,$U126)))=Milestones!$AB$98),UPPER(TEXT(EDATE($D126,Milestones!$AA$98),"dd mmm yy"))&amp;" "&amp;Milestones!$AB$98&amp;" "&amp;Milestones!$AC$98&amp;";  ","")&amp;IF(AND(EDATE($D126,Milestones!$AA$99)&lt;=AsOfDate,IF($R126=0,$X126,IF(AND($T126&lt;&gt;"",EDATE($D126,Milestones!$AA$99)&gt;=$T126),$W126,IF(AND($S126&lt;&gt;"",EDATE($D126,Milestones!$AA$99)&gt;=$S126),$V126,$U126)))=Milestones!$AB$99),UPPER(TEXT(EDATE($D126,Milestones!$AA$99),"dd mmm yy"))&amp;" "&amp;Milestones!$AB$99&amp;" "&amp;Milestones!$AC$99&amp;";  ",""))</f>
        <v/>
      </c>
      <c r="M126" s="0" t="str">
        <f aca="false">IF(OR($A126="",$D126=""),"",IF(AND(EDATE($D126,Milestones!$AA$100)&lt;=AsOfDate,IF($R126=0,$X126,IF(AND($T126&lt;&gt;"",EDATE($D126,Milestones!$AA$100)&gt;=$T126),$W126,IF(AND($S126&lt;&gt;"",EDATE($D126,Milestones!$AA$100)&gt;=$S126),$V126,$U126)))=Milestones!$AB$100),UPPER(TEXT(EDATE($D126,Milestones!$AA$100),"dd mmm yy"))&amp;" "&amp;Milestones!$AB$100&amp;" "&amp;Milestones!$AC$100&amp;";  ","")&amp;IF(AND(EDATE($D126,Milestones!$AA$101)&lt;=AsOfDate,IF($R126=0,$X126,IF(AND($T126&lt;&gt;"",EDATE($D126,Milestones!$AA$101)&gt;=$T126),$W126,IF(AND($S126&lt;&gt;"",EDATE($D126,Milestones!$AA$101)&gt;=$S126),$V126,$U126)))=Milestones!$AB$101),UPPER(TEXT(EDATE($D126,Milestones!$AA$101),"dd mmm yy"))&amp;" "&amp;Milestones!$AB$101&amp;" "&amp;Milestones!$AC$101&amp;";  ","")&amp;IF(AND(EDATE($D126,Milestones!$AA$102)&lt;=AsOfDate,IF($R126=0,$X126,IF(AND($T126&lt;&gt;"",EDATE($D126,Milestones!$AA$102)&gt;=$T126),$W126,IF(AND($S126&lt;&gt;"",EDATE($D126,Milestones!$AA$102)&gt;=$S126),$V126,$U126)))=Milestones!$AB$102),UPPER(TEXT(EDATE($D126,Milestones!$AA$102),"dd mmm yy"))&amp;" "&amp;Milestones!$AB$102&amp;" "&amp;Milestones!$AC$102&amp;";  ","")&amp;IF(AND(EDATE($D126,Milestones!$AA$103)&lt;=AsOfDate,IF($R126=0,$X126,IF(AND($T126&lt;&gt;"",EDATE($D126,Milestones!$AA$103)&gt;=$T126),$W126,IF(AND($S126&lt;&gt;"",EDATE($D126,Milestones!$AA$103)&gt;=$S126),$V126,$U126)))=Milestones!$AB$103),UPPER(TEXT(EDATE($D126,Milestones!$AA$103),"dd mmm yy"))&amp;" "&amp;Milestones!$AB$103&amp;" "&amp;Milestones!$AC$103&amp;";  ","")&amp;IF(AND(EDATE($D126,Milestones!$AA$104)&lt;=AsOfDate,IF($R126=0,$X126,IF(AND($T126&lt;&gt;"",EDATE($D126,Milestones!$AA$104)&gt;=$T126),$W126,IF(AND($S126&lt;&gt;"",EDATE($D126,Milestones!$AA$104)&gt;=$S126),$V126,$U126)))=Milestones!$AB$104),UPPER(TEXT(EDATE($D126,Milestones!$AA$104),"dd mmm yy"))&amp;" "&amp;Milestones!$AB$104&amp;" "&amp;Milestones!$AC$104&amp;";  ","")&amp;IF(AND(EDATE($D126,Milestones!$AA$105)&lt;=AsOfDate,IF($R126=0,$X126,IF(AND($T126&lt;&gt;"",EDATE($D126,Milestones!$AA$105)&gt;=$T126),$W126,IF(AND($S126&lt;&gt;"",EDATE($D126,Milestones!$AA$105)&gt;=$S126),$V126,$U126)))=Milestones!$AB$105),UPPER(TEXT(EDATE($D126,Milestones!$AA$105),"dd mmm yy"))&amp;" "&amp;Milestones!$AB$105&amp;" "&amp;Milestones!$AC$105&amp;";  ","")&amp;IF(AND(EDATE($D126,Milestones!$AA$106)&lt;=AsOfDate,IF($R126=0,$X126,IF(AND($T126&lt;&gt;"",EDATE($D126,Milestones!$AA$106)&gt;=$T126),$W126,IF(AND($S126&lt;&gt;"",EDATE($D126,Milestones!$AA$106)&gt;=$S126),$V126,$U126)))=Milestones!$AB$106),UPPER(TEXT(EDATE($D126,Milestones!$AA$106),"dd mmm yy"))&amp;" "&amp;Milestones!$AB$106&amp;" "&amp;Milestones!$AC$106&amp;";  ","")&amp;IF(AND(EDATE($D126,Milestones!$AA$107)&lt;=AsOfDate,IF($R126=0,$X126,IF(AND($T126&lt;&gt;"",EDATE($D126,Milestones!$AA$107)&gt;=$T126),$W126,IF(AND($S126&lt;&gt;"",EDATE($D126,Milestones!$AA$107)&gt;=$S126),$V126,$U126)))=Milestones!$AB$107),UPPER(TEXT(EDATE($D126,Milestones!$AA$107),"dd mmm yy"))&amp;" "&amp;Milestones!$AB$107&amp;" "&amp;Milestones!$AC$107&amp;";  ","")&amp;IF(AND(EDATE($D126,Milestones!$AA$108)&lt;=AsOfDate,IF($R126=0,$X126,IF(AND($T126&lt;&gt;"",EDATE($D126,Milestones!$AA$108)&gt;=$T126),$W126,IF(AND($S126&lt;&gt;"",EDATE($D126,Milestones!$AA$108)&gt;=$S126),$V126,$U126)))=Milestones!$AB$108),UPPER(TEXT(EDATE($D126,Milestones!$AA$108),"dd mmm yy"))&amp;" "&amp;Milestones!$AB$108&amp;" "&amp;Milestones!$AC$108&amp;";  ","")&amp;IF(AND(EDATE($D126,Milestones!$AA$109)&lt;=AsOfDate,IF($R126=0,$X126,IF(AND($T126&lt;&gt;"",EDATE($D126,Milestones!$AA$109)&gt;=$T126),$W126,IF(AND($S126&lt;&gt;"",EDATE($D126,Milestones!$AA$109)&gt;=$S126),$V126,$U126)))=Milestones!$AB$109),UPPER(TEXT(EDATE($D126,Milestones!$AA$109),"dd mmm yy"))&amp;" "&amp;Milestones!$AB$109&amp;" "&amp;Milestones!$AC$109&amp;";  ","")&amp;IF(AND(EDATE($D126,Milestones!$AA$110)&lt;=AsOfDate,IF($R126=0,$X126,IF(AND($T126&lt;&gt;"",EDATE($D126,Milestones!$AA$110)&gt;=$T126),$W126,IF(AND($S126&lt;&gt;"",EDATE($D126,Milestones!$AA$110)&gt;=$S126),$V126,$U126)))=Milestones!$AB$110),UPPER(TEXT(EDATE($D126,Milestones!$AA$110),"dd mmm yy"))&amp;" "&amp;Milestones!$AB$110&amp;" "&amp;Milestones!$AC$110&amp;";  ","")&amp;IF(AND(EDATE($D126,Milestones!$AA$111)&lt;=AsOfDate,IF($R126=0,$X126,IF(AND($T126&lt;&gt;"",EDATE($D126,Milestones!$AA$111)&gt;=$T126),$W126,IF(AND($S126&lt;&gt;"",EDATE($D126,Milestones!$AA$111)&gt;=$S126),$V126,$U126)))=Milestones!$AB$111),UPPER(TEXT(EDATE($D126,Milestones!$AA$111),"dd mmm yy"))&amp;" "&amp;Milestones!$AB$111&amp;" "&amp;Milestones!$AC$111&amp;";  ","")&amp;IF(AND(EDATE($D126,Milestones!$AA$112)&lt;=AsOfDate,IF($R126=0,$X126,IF(AND($T126&lt;&gt;"",EDATE($D126,Milestones!$AA$112)&gt;=$T126),$W126,IF(AND($S126&lt;&gt;"",EDATE($D126,Milestones!$AA$112)&gt;=$S126),$V126,$U126)))=Milestones!$AB$112),UPPER(TEXT(EDATE($D126,Milestones!$AA$112),"dd mmm yy"))&amp;" "&amp;Milestones!$AB$112&amp;" "&amp;Milestones!$AC$112&amp;";  ","")&amp;IF(AND(EDATE($D126,Milestones!$AA$113)&lt;=AsOfDate,IF($R126=0,$X126,IF(AND($T126&lt;&gt;"",EDATE($D126,Milestones!$AA$113)&gt;=$T126),$W126,IF(AND($S126&lt;&gt;"",EDATE($D126,Milestones!$AA$113)&gt;=$S126),$V126,$U126)))=Milestones!$AB$113),UPPER(TEXT(EDATE($D126,Milestones!$AA$113),"dd mmm yy"))&amp;" "&amp;Milestones!$AB$113&amp;" "&amp;Milestones!$AC$113&amp;";  ","")&amp;IF(AND(EDATE($D126,Milestones!$AA$114)&lt;=AsOfDate,IF($R126=0,$X126,IF(AND($T126&lt;&gt;"",EDATE($D126,Milestones!$AA$114)&gt;=$T126),$W126,IF(AND($S126&lt;&gt;"",EDATE($D126,Milestones!$AA$114)&gt;=$S126),$V126,$U126)))=Milestones!$AB$114),UPPER(TEXT(EDATE($D126,Milestones!$AA$114),"dd mmm yy"))&amp;" "&amp;Milestones!$AB$114&amp;" "&amp;Milestones!$AC$114&amp;";  ","")&amp;IF(AND(EDATE($D126,Milestones!$AA$115)&lt;=AsOfDate,IF($R126=0,$X126,IF(AND($T126&lt;&gt;"",EDATE($D126,Milestones!$AA$115)&gt;=$T126),$W126,IF(AND($S126&lt;&gt;"",EDATE($D126,Milestones!$AA$115)&gt;=$S126),$V126,$U126)))=Milestones!$AB$115),UPPER(TEXT(EDATE($D126,Milestones!$AA$115),"dd mmm yy"))&amp;" "&amp;Milestones!$AB$115&amp;" "&amp;Milestones!$AC$115&amp;";  ","")&amp;IF(AND(EDATE($D126,Milestones!$AA$116)&lt;=AsOfDate,IF($R126=0,$X126,IF(AND($T126&lt;&gt;"",EDATE($D126,Milestones!$AA$116)&gt;=$T126),$W126,IF(AND($S126&lt;&gt;"",EDATE($D126,Milestones!$AA$116)&gt;=$S126),$V126,$U126)))=Milestones!$AB$116),UPPER(TEXT(EDATE($D126,Milestones!$AA$116),"dd mmm yy"))&amp;" "&amp;Milestones!$AB$116&amp;" "&amp;Milestones!$AC$116&amp;";  ","")&amp;IF(AND(EDATE($D126,Milestones!$AA$117)&lt;=AsOfDate,IF($R126=0,$X126,IF(AND($T126&lt;&gt;"",EDATE($D126,Milestones!$AA$117)&gt;=$T126),$W126,IF(AND($S126&lt;&gt;"",EDATE($D126,Milestones!$AA$117)&gt;=$S126),$V126,$U126)))=Milestones!$AB$117),UPPER(TEXT(EDATE($D126,Milestones!$AA$117),"dd mmm yy"))&amp;" "&amp;Milestones!$AB$117&amp;" "&amp;Milestones!$AC$117&amp;";  ","")&amp;IF(AND(EDATE($D126,Milestones!$AA$118)&lt;=AsOfDate,IF($R126=0,$X126,IF(AND($T126&lt;&gt;"",EDATE($D126,Milestones!$AA$118)&gt;=$T126),$W126,IF(AND($S126&lt;&gt;"",EDATE($D126,Milestones!$AA$118)&gt;=$S126),$V126,$U126)))=Milestones!$AB$118),UPPER(TEXT(EDATE($D126,Milestones!$AA$118),"dd mmm yy"))&amp;" "&amp;Milestones!$AB$118&amp;" "&amp;Milestones!$AC$118&amp;";  ","")&amp;IF(AND(EDATE($D126,Milestones!$AA$119)&lt;=AsOfDate,IF($R126=0,$X126,IF(AND($T126&lt;&gt;"",EDATE($D126,Milestones!$AA$119)&gt;=$T126),$W126,IF(AND($S126&lt;&gt;"",EDATE($D126,Milestones!$AA$119)&gt;=$S126),$V126,$U126)))=Milestones!$AB$119),UPPER(TEXT(EDATE($D126,Milestones!$AA$119),"dd mmm yy"))&amp;" "&amp;Milestones!$AB$119&amp;" "&amp;Milestones!$AC$119&amp;";  ",""))</f>
        <v/>
      </c>
      <c r="N126" s="0" t="str">
        <f aca="false">IF(OR($A126="",$D126=""),"",IF(AND(EDATE($D126,Milestones!$AA$120)&lt;=AsOfDate,IF($R126=0,$X126,IF(AND($T126&lt;&gt;"",EDATE($D126,Milestones!$AA$120)&gt;=$T126),$W126,IF(AND($S126&lt;&gt;"",EDATE($D126,Milestones!$AA$120)&gt;=$S126),$V126,$U126)))=Milestones!$AB$120),UPPER(TEXT(EDATE($D126,Milestones!$AA$120),"dd mmm yy"))&amp;" "&amp;Milestones!$AB$120&amp;" "&amp;Milestones!$AC$120&amp;";  ","")&amp;IF(AND(EDATE($D126,Milestones!$AA$121)&lt;=AsOfDate,IF($R126=0,$X126,IF(AND($T126&lt;&gt;"",EDATE($D126,Milestones!$AA$121)&gt;=$T126),$W126,IF(AND($S126&lt;&gt;"",EDATE($D126,Milestones!$AA$121)&gt;=$S126),$V126,$U126)))=Milestones!$AB$121),UPPER(TEXT(EDATE($D126,Milestones!$AA$121),"dd mmm yy"))&amp;" "&amp;Milestones!$AB$121&amp;" "&amp;Milestones!$AC$121&amp;";  ","")&amp;IF(AND(EDATE($D126,Milestones!$AA$122)&lt;=AsOfDate,IF($R126=0,$X126,IF(AND($T126&lt;&gt;"",EDATE($D126,Milestones!$AA$122)&gt;=$T126),$W126,IF(AND($S126&lt;&gt;"",EDATE($D126,Milestones!$AA$122)&gt;=$S126),$V126,$U126)))=Milestones!$AB$122),UPPER(TEXT(EDATE($D126,Milestones!$AA$122),"dd mmm yy"))&amp;" "&amp;Milestones!$AB$122&amp;" "&amp;Milestones!$AC$122&amp;";  ","")&amp;IF(AND(EDATE($D126,Milestones!$AA$123)&lt;=AsOfDate,IF($R126=0,$X126,IF(AND($T126&lt;&gt;"",EDATE($D126,Milestones!$AA$123)&gt;=$T126),$W126,IF(AND($S126&lt;&gt;"",EDATE($D126,Milestones!$AA$123)&gt;=$S126),$V126,$U126)))=Milestones!$AB$123),UPPER(TEXT(EDATE($D126,Milestones!$AA$123),"dd mmm yy"))&amp;" "&amp;Milestones!$AB$123&amp;" "&amp;Milestones!$AC$123&amp;";  ","")&amp;IF(AND(EDATE($D126,Milestones!$AA$124)&lt;=AsOfDate,IF($R126=0,$X126,IF(AND($T126&lt;&gt;"",EDATE($D126,Milestones!$AA$124)&gt;=$T126),$W126,IF(AND($S126&lt;&gt;"",EDATE($D126,Milestones!$AA$124)&gt;=$S126),$V126,$U126)))=Milestones!$AB$124),UPPER(TEXT(EDATE($D126,Milestones!$AA$124),"dd mmm yy"))&amp;" "&amp;Milestones!$AB$124&amp;" "&amp;Milestones!$AC$124&amp;";  ","")&amp;IF(AND(EDATE($D126,Milestones!$AA$125)&lt;=AsOfDate,IF($R126=0,$X126,IF(AND($T126&lt;&gt;"",EDATE($D126,Milestones!$AA$125)&gt;=$T126),$W126,IF(AND($S126&lt;&gt;"",EDATE($D126,Milestones!$AA$125)&gt;=$S126),$V126,$U126)))=Milestones!$AB$125),UPPER(TEXT(EDATE($D126,Milestones!$AA$125),"dd mmm yy"))&amp;" "&amp;Milestones!$AB$125&amp;" "&amp;Milestones!$AC$125&amp;";  ","")&amp;IF(AND(EDATE($D126,Milestones!$AA$126)&lt;=AsOfDate,IF($R126=0,$X126,IF(AND($T126&lt;&gt;"",EDATE($D126,Milestones!$AA$126)&gt;=$T126),$W126,IF(AND($S126&lt;&gt;"",EDATE($D126,Milestones!$AA$126)&gt;=$S126),$V126,$U126)))=Milestones!$AB$126),UPPER(TEXT(EDATE($D126,Milestones!$AA$126),"dd mmm yy"))&amp;" "&amp;Milestones!$AB$126&amp;" "&amp;Milestones!$AC$126&amp;";  ","")&amp;IF(AND(EDATE($D126,Milestones!$AA$127)&lt;=AsOfDate,IF($R126=0,$X126,IF(AND($T126&lt;&gt;"",EDATE($D126,Milestones!$AA$127)&gt;=$T126),$W126,IF(AND($S126&lt;&gt;"",EDATE($D126,Milestones!$AA$127)&gt;=$S126),$V126,$U126)))=Milestones!$AB$127),UPPER(TEXT(EDATE($D126,Milestones!$AA$127),"dd mmm yy"))&amp;" "&amp;Milestones!$AB$127&amp;" "&amp;Milestones!$AC$127&amp;";  ","")&amp;IF(AND(EDATE($D126,Milestones!$AA$128)&lt;=AsOfDate,IF($R126=0,$X126,IF(AND($T126&lt;&gt;"",EDATE($D126,Milestones!$AA$128)&gt;=$T126),$W126,IF(AND($S126&lt;&gt;"",EDATE($D126,Milestones!$AA$128)&gt;=$S126),$V126,$U126)))=Milestones!$AB$128),UPPER(TEXT(EDATE($D126,Milestones!$AA$128),"dd mmm yy"))&amp;" "&amp;Milestones!$AB$128&amp;" "&amp;Milestones!$AC$128&amp;";  ","")&amp;IF(AND(EDATE($D126,Milestones!$AA$129)&lt;=AsOfDate,IF($R126=0,$X126,IF(AND($T126&lt;&gt;"",EDATE($D126,Milestones!$AA$129)&gt;=$T126),$W126,IF(AND($S126&lt;&gt;"",EDATE($D126,Milestones!$AA$129)&gt;=$S126),$V126,$U126)))=Milestones!$AB$129),UPPER(TEXT(EDATE($D126,Milestones!$AA$129),"dd mmm yy"))&amp;" "&amp;Milestones!$AB$129&amp;" "&amp;Milestones!$AC$129&amp;";  ","")&amp;IF(AND(EDATE($D126,Milestones!$AA$130)&lt;=AsOfDate,IF($R126=0,$X126,IF(AND($T126&lt;&gt;"",EDATE($D126,Milestones!$AA$130)&gt;=$T126),$W126,IF(AND($S126&lt;&gt;"",EDATE($D126,Milestones!$AA$130)&gt;=$S126),$V126,$U126)))=Milestones!$AB$130),UPPER(TEXT(EDATE($D126,Milestones!$AA$130),"dd mmm yy"))&amp;" "&amp;Milestones!$AB$130&amp;" "&amp;Milestones!$AC$130&amp;";  ","")&amp;IF(AND(EDATE($D126,Milestones!$AA$131)&lt;=AsOfDate,IF($R126=0,$X126,IF(AND($T126&lt;&gt;"",EDATE($D126,Milestones!$AA$131)&gt;=$T126),$W126,IF(AND($S126&lt;&gt;"",EDATE($D126,Milestones!$AA$131)&gt;=$S126),$V126,$U126)))=Milestones!$AB$131),UPPER(TEXT(EDATE($D126,Milestones!$AA$131),"dd mmm yy"))&amp;" "&amp;Milestones!$AB$131&amp;" "&amp;Milestones!$AC$131&amp;";  ","")&amp;IF(AND(EDATE($D126,Milestones!$AA$132)&lt;=AsOfDate,IF($R126=0,$X126,IF(AND($T126&lt;&gt;"",EDATE($D126,Milestones!$AA$132)&gt;=$T126),$W126,IF(AND($S126&lt;&gt;"",EDATE($D126,Milestones!$AA$132)&gt;=$S126),$V126,$U126)))=Milestones!$AB$132),UPPER(TEXT(EDATE($D126,Milestones!$AA$132),"dd mmm yy"))&amp;" "&amp;Milestones!$AB$132&amp;" "&amp;Milestones!$AC$132&amp;";  ","")&amp;IF(AND(EDATE($D126,Milestones!$AA$133)&lt;=AsOfDate,IF($R126=0,$X126,IF(AND($T126&lt;&gt;"",EDATE($D126,Milestones!$AA$133)&gt;=$T126),$W126,IF(AND($S126&lt;&gt;"",EDATE($D126,Milestones!$AA$133)&gt;=$S126),$V126,$U126)))=Milestones!$AB$133),UPPER(TEXT(EDATE($D126,Milestones!$AA$133),"dd mmm yy"))&amp;" "&amp;Milestones!$AB$133&amp;" "&amp;Milestones!$AC$133&amp;";  ","")&amp;IF(AND(EDATE($D126,Milestones!$AA$134)&lt;=AsOfDate,IF($R126=0,$X126,IF(AND($T126&lt;&gt;"",EDATE($D126,Milestones!$AA$134)&gt;=$T126),$W126,IF(AND($S126&lt;&gt;"",EDATE($D126,Milestones!$AA$134)&gt;=$S126),$V126,$U126)))=Milestones!$AB$134),UPPER(TEXT(EDATE($D126,Milestones!$AA$134),"dd mmm yy"))&amp;" "&amp;Milestones!$AB$134&amp;" "&amp;Milestones!$AC$134&amp;";  ","")&amp;IF(AND(EDATE($D126,Milestones!$AA$135)&lt;=AsOfDate,IF($R126=0,$X126,IF(AND($T126&lt;&gt;"",EDATE($D126,Milestones!$AA$135)&gt;=$T126),$W126,IF(AND($S126&lt;&gt;"",EDATE($D126,Milestones!$AA$135)&gt;=$S126),$V126,$U126)))=Milestones!$AB$135),UPPER(TEXT(EDATE($D126,Milestones!$AA$135),"dd mmm yy"))&amp;" "&amp;Milestones!$AB$135&amp;" "&amp;Milestones!$AC$135&amp;";  ","")&amp;IF(AND(EDATE($D126,Milestones!$AA$136)&lt;=AsOfDate,IF($R126=0,$X126,IF(AND($T126&lt;&gt;"",EDATE($D126,Milestones!$AA$136)&gt;=$T126),$W126,IF(AND($S126&lt;&gt;"",EDATE($D126,Milestones!$AA$136)&gt;=$S126),$V126,$U126)))=Milestones!$AB$136),UPPER(TEXT(EDATE($D126,Milestones!$AA$136),"dd mmm yy"))&amp;" "&amp;Milestones!$AB$136&amp;" "&amp;Milestones!$AC$136&amp;";  ","")&amp;IF(AND(EDATE($D126,Milestones!$AA$137)&lt;=AsOfDate,IF($R126=0,$X126,IF(AND($T126&lt;&gt;"",EDATE($D126,Milestones!$AA$137)&gt;=$T126),$W126,IF(AND($S126&lt;&gt;"",EDATE($D126,Milestones!$AA$137)&gt;=$S126),$V126,$U126)))=Milestones!$AB$137),UPPER(TEXT(EDATE($D126,Milestones!$AA$137),"dd mmm yy"))&amp;" "&amp;Milestones!$AB$137&amp;" "&amp;Milestones!$AC$137&amp;";  ","")&amp;IF(AND(EDATE($D126,Milestones!$AA$138)&lt;=AsOfDate,IF($R126=0,$X126,IF(AND($T126&lt;&gt;"",EDATE($D126,Milestones!$AA$138)&gt;=$T126),$W126,IF(AND($S126&lt;&gt;"",EDATE($D126,Milestones!$AA$138)&gt;=$S126),$V126,$U126)))=Milestones!$AB$138),UPPER(TEXT(EDATE($D126,Milestones!$AA$138),"dd mmm yy"))&amp;" "&amp;Milestones!$AB$138&amp;" "&amp;Milestones!$AC$138&amp;";  ","")&amp;IF(AND(EDATE($D126,Milestones!$AA$139)&lt;=AsOfDate,IF($R126=0,$X126,IF(AND($T126&lt;&gt;"",EDATE($D126,Milestones!$AA$139)&gt;=$T126),$W126,IF(AND($S126&lt;&gt;"",EDATE($D126,Milestones!$AA$139)&gt;=$S126),$V126,$U126)))=Milestones!$AB$139),UPPER(TEXT(EDATE($D126,Milestones!$AA$139),"dd mmm yy"))&amp;" "&amp;Milestones!$AB$139&amp;" "&amp;Milestones!$AC$139&amp;";  ",""))</f>
        <v/>
      </c>
      <c r="O126" s="0" t="str">
        <f aca="false">IF(OR($A126="",$D126=""),"",IF(AND(EDATE($D126,Milestones!$AA$140)&lt;=AsOfDate,IF($R126=0,$X126,IF(AND($T126&lt;&gt;"",EDATE($D126,Milestones!$AA$140)&gt;=$T126),$W126,IF(AND($S126&lt;&gt;"",EDATE($D126,Milestones!$AA$140)&gt;=$S126),$V126,$U126)))=Milestones!$AB$140),UPPER(TEXT(EDATE($D126,Milestones!$AA$140),"dd mmm yy"))&amp;" "&amp;Milestones!$AB$140&amp;" "&amp;Milestones!$AC$140&amp;";  ","")&amp;IF(AND(EDATE($D126,Milestones!$AA$141)&lt;=AsOfDate,IF($R126=0,$X126,IF(AND($T126&lt;&gt;"",EDATE($D126,Milestones!$AA$141)&gt;=$T126),$W126,IF(AND($S126&lt;&gt;"",EDATE($D126,Milestones!$AA$141)&gt;=$S126),$V126,$U126)))=Milestones!$AB$141),UPPER(TEXT(EDATE($D126,Milestones!$AA$141),"dd mmm yy"))&amp;" "&amp;Milestones!$AB$141&amp;" "&amp;Milestones!$AC$141&amp;";  ","")&amp;IF(AND(EDATE($D126,Milestones!$AA$142)&lt;=AsOfDate,IF($R126=0,$X126,IF(AND($T126&lt;&gt;"",EDATE($D126,Milestones!$AA$142)&gt;=$T126),$W126,IF(AND($S126&lt;&gt;"",EDATE($D126,Milestones!$AA$142)&gt;=$S126),$V126,$U126)))=Milestones!$AB$142),UPPER(TEXT(EDATE($D126,Milestones!$AA$142),"dd mmm yy"))&amp;" "&amp;Milestones!$AB$142&amp;" "&amp;Milestones!$AC$142&amp;";  ","")&amp;IF(AND(EDATE($D126,Milestones!$AA$143)&lt;=AsOfDate,IF($R126=0,$X126,IF(AND($T126&lt;&gt;"",EDATE($D126,Milestones!$AA$143)&gt;=$T126),$W126,IF(AND($S126&lt;&gt;"",EDATE($D126,Milestones!$AA$143)&gt;=$S126),$V126,$U126)))=Milestones!$AB$143),UPPER(TEXT(EDATE($D126,Milestones!$AA$143),"dd mmm yy"))&amp;" "&amp;Milestones!$AB$143&amp;" "&amp;Milestones!$AC$143&amp;";  ","")&amp;IF(AND(EDATE($D126,Milestones!$AA$144)&lt;=AsOfDate,IF($R126=0,$X126,IF(AND($T126&lt;&gt;"",EDATE($D126,Milestones!$AA$144)&gt;=$T126),$W126,IF(AND($S126&lt;&gt;"",EDATE($D126,Milestones!$AA$144)&gt;=$S126),$V126,$U126)))=Milestones!$AB$144),UPPER(TEXT(EDATE($D126,Milestones!$AA$144),"dd mmm yy"))&amp;" "&amp;Milestones!$AB$144&amp;" "&amp;Milestones!$AC$144&amp;";  ","")&amp;IF(AND(EDATE($D126,Milestones!$AA$145)&lt;=AsOfDate,IF($R126=0,$X126,IF(AND($T126&lt;&gt;"",EDATE($D126,Milestones!$AA$145)&gt;=$T126),$W126,IF(AND($S126&lt;&gt;"",EDATE($D126,Milestones!$AA$145)&gt;=$S126),$V126,$U126)))=Milestones!$AB$145),UPPER(TEXT(EDATE($D126,Milestones!$AA$145),"dd mmm yy"))&amp;" "&amp;Milestones!$AB$145&amp;" "&amp;Milestones!$AC$145&amp;";  ","")&amp;IF(AND(EDATE($D126,Milestones!$AA$146)&lt;=AsOfDate,IF($R126=0,$X126,IF(AND($T126&lt;&gt;"",EDATE($D126,Milestones!$AA$146)&gt;=$T126),$W126,IF(AND($S126&lt;&gt;"",EDATE($D126,Milestones!$AA$146)&gt;=$S126),$V126,$U126)))=Milestones!$AB$146),UPPER(TEXT(EDATE($D126,Milestones!$AA$146),"dd mmm yy"))&amp;" "&amp;Milestones!$AB$146&amp;" "&amp;Milestones!$AC$146&amp;";  ","")&amp;IF(AND(EDATE($D126,Milestones!$AA$147)&lt;=AsOfDate,IF($R126=0,$X126,IF(AND($T126&lt;&gt;"",EDATE($D126,Milestones!$AA$147)&gt;=$T126),$W126,IF(AND($S126&lt;&gt;"",EDATE($D126,Milestones!$AA$147)&gt;=$S126),$V126,$U126)))=Milestones!$AB$147),UPPER(TEXT(EDATE($D126,Milestones!$AA$147),"dd mmm yy"))&amp;" "&amp;Milestones!$AB$147&amp;" "&amp;Milestones!$AC$147&amp;";  ","")&amp;IF(AND(EDATE($D126,Milestones!$AA$148)&lt;=AsOfDate,IF($R126=0,$X126,IF(AND($T126&lt;&gt;"",EDATE($D126,Milestones!$AA$148)&gt;=$T126),$W126,IF(AND($S126&lt;&gt;"",EDATE($D126,Milestones!$AA$148)&gt;=$S126),$V126,$U126)))=Milestones!$AB$148),UPPER(TEXT(EDATE($D126,Milestones!$AA$148),"dd mmm yy"))&amp;" "&amp;Milestones!$AB$148&amp;" "&amp;Milestones!$AC$148&amp;";  ","")&amp;IF(AND(EDATE($D126,Milestones!$AA$149)&lt;=AsOfDate,IF($R126=0,$X126,IF(AND($T126&lt;&gt;"",EDATE($D126,Milestones!$AA$149)&gt;=$T126),$W126,IF(AND($S126&lt;&gt;"",EDATE($D126,Milestones!$AA$149)&gt;=$S126),$V126,$U126)))=Milestones!$AB$149),UPPER(TEXT(EDATE($D126,Milestones!$AA$149),"dd mmm yy"))&amp;" "&amp;Milestones!$AB$149&amp;" "&amp;Milestones!$AC$149&amp;";  ","")&amp;IF(AND(EDATE($D126,Milestones!$AA$150)&lt;=AsOfDate,IF($R126=0,$X126,IF(AND($T126&lt;&gt;"",EDATE($D126,Milestones!$AA$150)&gt;=$T126),$W126,IF(AND($S126&lt;&gt;"",EDATE($D126,Milestones!$AA$150)&gt;=$S126),$V126,$U126)))=Milestones!$AB$150),UPPER(TEXT(EDATE($D126,Milestones!$AA$150),"dd mmm yy"))&amp;" "&amp;Milestones!$AB$150&amp;" "&amp;Milestones!$AC$150&amp;";  ","")&amp;IF(AND(EDATE($D126,Milestones!$AA$151)&lt;=AsOfDate,IF($R126=0,$X126,IF(AND($T126&lt;&gt;"",EDATE($D126,Milestones!$AA$151)&gt;=$T126),$W126,IF(AND($S126&lt;&gt;"",EDATE($D126,Milestones!$AA$151)&gt;=$S126),$V126,$U126)))=Milestones!$AB$151),UPPER(TEXT(EDATE($D126,Milestones!$AA$151),"dd mmm yy"))&amp;" "&amp;Milestones!$AB$151&amp;" "&amp;Milestones!$AC$151&amp;";  ","")&amp;IF(AND(EDATE($D126,Milestones!$AA$152)&lt;=AsOfDate,IF($R126=0,$X126,IF(AND($T126&lt;&gt;"",EDATE($D126,Milestones!$AA$152)&gt;=$T126),$W126,IF(AND($S126&lt;&gt;"",EDATE($D126,Milestones!$AA$152)&gt;=$S126),$V126,$U126)))=Milestones!$AB$152),UPPER(TEXT(EDATE($D126,Milestones!$AA$152),"dd mmm yy"))&amp;" "&amp;Milestones!$AB$152&amp;" "&amp;Milestones!$AC$152&amp;";  ","")&amp;IF(AND(EDATE($D126,Milestones!$AA$153)&lt;=AsOfDate,IF($R126=0,$X126,IF(AND($T126&lt;&gt;"",EDATE($D126,Milestones!$AA$153)&gt;=$T126),$W126,IF(AND($S126&lt;&gt;"",EDATE($D126,Milestones!$AA$153)&gt;=$S126),$V126,$U126)))=Milestones!$AB$153),UPPER(TEXT(EDATE($D126,Milestones!$AA$153),"dd mmm yy"))&amp;" "&amp;Milestones!$AB$153&amp;" "&amp;Milestones!$AC$153&amp;";  ","")&amp;IF(AND(EDATE($D126,Milestones!$AA$154)&lt;=AsOfDate,IF($R126=0,$X126,IF(AND($T126&lt;&gt;"",EDATE($D126,Milestones!$AA$154)&gt;=$T126),$W126,IF(AND($S126&lt;&gt;"",EDATE($D126,Milestones!$AA$154)&gt;=$S126),$V126,$U126)))=Milestones!$AB$154),UPPER(TEXT(EDATE($D126,Milestones!$AA$154),"dd mmm yy"))&amp;" "&amp;Milestones!$AB$154&amp;" "&amp;Milestones!$AC$154&amp;";  ","")&amp;IF(AND(EDATE($D126,Milestones!$AA$155)&lt;=AsOfDate,IF($R126=0,$X126,IF(AND($T126&lt;&gt;"",EDATE($D126,Milestones!$AA$155)&gt;=$T126),$W126,IF(AND($S126&lt;&gt;"",EDATE($D126,Milestones!$AA$155)&gt;=$S126),$V126,$U126)))=Milestones!$AB$155),UPPER(TEXT(EDATE($D126,Milestones!$AA$155),"dd mmm yy"))&amp;" "&amp;Milestones!$AB$155&amp;" "&amp;Milestones!$AC$155&amp;";  ","")&amp;IF(AND(EDATE($D126,Milestones!$AA$156)&lt;=AsOfDate,IF($R126=0,$X126,IF(AND($T126&lt;&gt;"",EDATE($D126,Milestones!$AA$156)&gt;=$T126),$W126,IF(AND($S126&lt;&gt;"",EDATE($D126,Milestones!$AA$156)&gt;=$S126),$V126,$U126)))=Milestones!$AB$156),UPPER(TEXT(EDATE($D126,Milestones!$AA$156),"dd mmm yy"))&amp;" "&amp;Milestones!$AB$156&amp;" "&amp;Milestones!$AC$156&amp;";  ","")&amp;IF(AND(EDATE($D126,Milestones!$AA$157)&lt;=AsOfDate,IF($R126=0,$X126,IF(AND($T126&lt;&gt;"",EDATE($D126,Milestones!$AA$157)&gt;=$T126),$W126,IF(AND($S126&lt;&gt;"",EDATE($D126,Milestones!$AA$157)&gt;=$S126),$V126,$U126)))=Milestones!$AB$157),UPPER(TEXT(EDATE($D126,Milestones!$AA$157),"dd mmm yy"))&amp;" "&amp;Milestones!$AB$157&amp;" "&amp;Milestones!$AC$157&amp;";  ","")&amp;IF(AND(EDATE($D126,Milestones!$AA$158)&lt;=AsOfDate,IF($R126=0,$X126,IF(AND($T126&lt;&gt;"",EDATE($D126,Milestones!$AA$158)&gt;=$T126),$W126,IF(AND($S126&lt;&gt;"",EDATE($D126,Milestones!$AA$158)&gt;=$S126),$V126,$U126)))=Milestones!$AB$158),UPPER(TEXT(EDATE($D126,Milestones!$AA$158),"dd mmm yy"))&amp;" "&amp;Milestones!$AB$158&amp;" "&amp;Milestones!$AC$158&amp;";  ","")&amp;IF(AND(EDATE($D126,Milestones!$AA$159)&lt;=AsOfDate,IF($R126=0,$X126,IF(AND($T126&lt;&gt;"",EDATE($D126,Milestones!$AA$159)&gt;=$T126),$W126,IF(AND($S126&lt;&gt;"",EDATE($D126,Milestones!$AA$159)&gt;=$S126),$V126,$U126)))=Milestones!$AB$159),UPPER(TEXT(EDATE($D126,Milestones!$AA$159),"dd mmm yy"))&amp;" "&amp;Milestones!$AB$159&amp;" "&amp;Milestones!$AC$159&amp;";  ",""))</f>
        <v/>
      </c>
      <c r="P126" s="0" t="str">
        <f aca="false">IF(OR($A126="",$D126=""),"",IF(AND(EDATE($D126,Milestones!$AA$160)&lt;=AsOfDate,IF($R126=0,$X126,IF(AND($T126&lt;&gt;"",EDATE($D126,Milestones!$AA$160)&gt;=$T126),$W126,IF(AND($S126&lt;&gt;"",EDATE($D126,Milestones!$AA$160)&gt;=$S126),$V126,$U126)))=Milestones!$AB$160),UPPER(TEXT(EDATE($D126,Milestones!$AA$160),"dd mmm yy"))&amp;" "&amp;Milestones!$AB$160&amp;" "&amp;Milestones!$AC$160&amp;";  ","")&amp;IF(AND(EDATE($D126,Milestones!$AA$161)&lt;=AsOfDate,IF($R126=0,$X126,IF(AND($T126&lt;&gt;"",EDATE($D126,Milestones!$AA$161)&gt;=$T126),$W126,IF(AND($S126&lt;&gt;"",EDATE($D126,Milestones!$AA$161)&gt;=$S126),$V126,$U126)))=Milestones!$AB$161),UPPER(TEXT(EDATE($D126,Milestones!$AA$161),"dd mmm yy"))&amp;" "&amp;Milestones!$AB$161&amp;" "&amp;Milestones!$AC$161&amp;";  ","")&amp;IF(AND(EDATE($D126,Milestones!$AA$162)&lt;=AsOfDate,IF($R126=0,$X126,IF(AND($T126&lt;&gt;"",EDATE($D126,Milestones!$AA$162)&gt;=$T126),$W126,IF(AND($S126&lt;&gt;"",EDATE($D126,Milestones!$AA$162)&gt;=$S126),$V126,$U126)))=Milestones!$AB$162),UPPER(TEXT(EDATE($D126,Milestones!$AA$162),"dd mmm yy"))&amp;" "&amp;Milestones!$AB$162&amp;" "&amp;Milestones!$AC$162&amp;";  ","")&amp;IF(AND(EDATE($D126,Milestones!$AA$163)&lt;=AsOfDate,IF($R126=0,$X126,IF(AND($T126&lt;&gt;"",EDATE($D126,Milestones!$AA$163)&gt;=$T126),$W126,IF(AND($S126&lt;&gt;"",EDATE($D126,Milestones!$AA$163)&gt;=$S126),$V126,$U126)))=Milestones!$AB$163),UPPER(TEXT(EDATE($D126,Milestones!$AA$163),"dd mmm yy"))&amp;" "&amp;Milestones!$AB$163&amp;" "&amp;Milestones!$AC$163&amp;";  ","")&amp;IF(AND(EDATE($D126,Milestones!$AA$164)&lt;=AsOfDate,IF($R126=0,$X126,IF(AND($T126&lt;&gt;"",EDATE($D126,Milestones!$AA$164)&gt;=$T126),$W126,IF(AND($S126&lt;&gt;"",EDATE($D126,Milestones!$AA$164)&gt;=$S126),$V126,$U126)))=Milestones!$AB$164),UPPER(TEXT(EDATE($D126,Milestones!$AA$164),"dd mmm yy"))&amp;" "&amp;Milestones!$AB$164&amp;" "&amp;Milestones!$AC$164&amp;";  ","")&amp;IF(AND(EDATE($D126,Milestones!$AA$165)&lt;=AsOfDate,IF($R126=0,$X126,IF(AND($T126&lt;&gt;"",EDATE($D126,Milestones!$AA$165)&gt;=$T126),$W126,IF(AND($S126&lt;&gt;"",EDATE($D126,Milestones!$AA$165)&gt;=$S126),$V126,$U126)))=Milestones!$AB$165),UPPER(TEXT(EDATE($D126,Milestones!$AA$165),"dd mmm yy"))&amp;" "&amp;Milestones!$AB$165&amp;" "&amp;Milestones!$AC$165&amp;";  ","")&amp;IF(AND(EDATE($D126,Milestones!$AA$166)&lt;=AsOfDate,IF($R126=0,$X126,IF(AND($T126&lt;&gt;"",EDATE($D126,Milestones!$AA$166)&gt;=$T126),$W126,IF(AND($S126&lt;&gt;"",EDATE($D126,Milestones!$AA$166)&gt;=$S126),$V126,$U126)))=Milestones!$AB$166),UPPER(TEXT(EDATE($D126,Milestones!$AA$166),"dd mmm yy"))&amp;" "&amp;Milestones!$AB$166&amp;" "&amp;Milestones!$AC$166&amp;";  ","")&amp;IF(AND(EDATE($D126,Milestones!$AA$167)&lt;=AsOfDate,IF($R126=0,$X126,IF(AND($T126&lt;&gt;"",EDATE($D126,Milestones!$AA$167)&gt;=$T126),$W126,IF(AND($S126&lt;&gt;"",EDATE($D126,Milestones!$AA$167)&gt;=$S126),$V126,$U126)))=Milestones!$AB$167),UPPER(TEXT(EDATE($D126,Milestones!$AA$167),"dd mmm yy"))&amp;" "&amp;Milestones!$AB$167&amp;" "&amp;Milestones!$AC$167&amp;";  ","")&amp;IF(AND(EDATE($D126,Milestones!$AA$168)&lt;=AsOfDate,IF($R126=0,$X126,IF(AND($T126&lt;&gt;"",EDATE($D126,Milestones!$AA$168)&gt;=$T126),$W126,IF(AND($S126&lt;&gt;"",EDATE($D126,Milestones!$AA$168)&gt;=$S126),$V126,$U126)))=Milestones!$AB$168),UPPER(TEXT(EDATE($D126,Milestones!$AA$168),"dd mmm yy"))&amp;" "&amp;Milestones!$AB$168&amp;" "&amp;Milestones!$AC$168&amp;";  ","")&amp;IF(AND(EDATE($D126,Milestones!$AA$169)&lt;=AsOfDate,IF($R126=0,$X126,IF(AND($T126&lt;&gt;"",EDATE($D126,Milestones!$AA$169)&gt;=$T126),$W126,IF(AND($S126&lt;&gt;"",EDATE($D126,Milestones!$AA$169)&gt;=$S126),$V126,$U126)))=Milestones!$AB$169),UPPER(TEXT(EDATE($D126,Milestones!$AA$169),"dd mmm yy"))&amp;" "&amp;Milestones!$AB$169&amp;" "&amp;Milestones!$AC$169&amp;";  ","")&amp;IF(AND(EDATE($D126,Milestones!$AA$170)&lt;=AsOfDate,IF($R126=0,$X126,IF(AND($T126&lt;&gt;"",EDATE($D126,Milestones!$AA$170)&gt;=$T126),$W126,IF(AND($S126&lt;&gt;"",EDATE($D126,Milestones!$AA$170)&gt;=$S126),$V126,$U126)))=Milestones!$AB$170),UPPER(TEXT(EDATE($D126,Milestones!$AA$170),"dd mmm yy"))&amp;" "&amp;Milestones!$AB$170&amp;" "&amp;Milestones!$AC$170&amp;";  ","")&amp;IF(AND(EDATE($D126,Milestones!$AA$171)&lt;=AsOfDate,IF($R126=0,$X126,IF(AND($T126&lt;&gt;"",EDATE($D126,Milestones!$AA$171)&gt;=$T126),$W126,IF(AND($S126&lt;&gt;"",EDATE($D126,Milestones!$AA$171)&gt;=$S126),$V126,$U126)))=Milestones!$AB$171),UPPER(TEXT(EDATE($D126,Milestones!$AA$171),"dd mmm yy"))&amp;" "&amp;Milestones!$AB$171&amp;" "&amp;Milestones!$AC$171&amp;";  ","")&amp;IF(AND(EDATE($D126,Milestones!$AA$172)&lt;=AsOfDate,IF($R126=0,$X126,IF(AND($T126&lt;&gt;"",EDATE($D126,Milestones!$AA$172)&gt;=$T126),$W126,IF(AND($S126&lt;&gt;"",EDATE($D126,Milestones!$AA$172)&gt;=$S126),$V126,$U126)))=Milestones!$AB$172),UPPER(TEXT(EDATE($D126,Milestones!$AA$172),"dd mmm yy"))&amp;" "&amp;Milestones!$AB$172&amp;" "&amp;Milestones!$AC$172&amp;";  ","")&amp;IF(AND(EDATE($D126,Milestones!$AA$173)&lt;=AsOfDate,IF($R126=0,$X126,IF(AND($T126&lt;&gt;"",EDATE($D126,Milestones!$AA$173)&gt;=$T126),$W126,IF(AND($S126&lt;&gt;"",EDATE($D126,Milestones!$AA$173)&gt;=$S126),$V126,$U126)))=Milestones!$AB$173),UPPER(TEXT(EDATE($D126,Milestones!$AA$173),"dd mmm yy"))&amp;" "&amp;Milestones!$AB$173&amp;" "&amp;Milestones!$AC$173&amp;";  ","")&amp;IF(AND(EDATE($D126,Milestones!$AA$174)&lt;=AsOfDate,IF($R126=0,$X126,IF(AND($T126&lt;&gt;"",EDATE($D126,Milestones!$AA$174)&gt;=$T126),$W126,IF(AND($S126&lt;&gt;"",EDATE($D126,Milestones!$AA$174)&gt;=$S126),$V126,$U126)))=Milestones!$AB$174),UPPER(TEXT(EDATE($D126,Milestones!$AA$174),"dd mmm yy"))&amp;" "&amp;Milestones!$AB$174&amp;" "&amp;Milestones!$AC$174&amp;";  ","")&amp;IF(AND(EDATE($D126,Milestones!$AA$175)&lt;=AsOfDate,IF($R126=0,$X126,IF(AND($T126&lt;&gt;"",EDATE($D126,Milestones!$AA$175)&gt;=$T126),$W126,IF(AND($S126&lt;&gt;"",EDATE($D126,Milestones!$AA$175)&gt;=$S126),$V126,$U126)))=Milestones!$AB$175),UPPER(TEXT(EDATE($D126,Milestones!$AA$175),"dd mmm yy"))&amp;" "&amp;Milestones!$AB$175&amp;" "&amp;Milestones!$AC$175&amp;";  ","")&amp;IF(AND(EDATE($D126,Milestones!$AA$176)&lt;=AsOfDate,IF($R126=0,$X126,IF(AND($T126&lt;&gt;"",EDATE($D126,Milestones!$AA$176)&gt;=$T126),$W126,IF(AND($S126&lt;&gt;"",EDATE($D126,Milestones!$AA$176)&gt;=$S126),$V126,$U126)))=Milestones!$AB$176),UPPER(TEXT(EDATE($D126,Milestones!$AA$176),"dd mmm yy"))&amp;" "&amp;Milestones!$AB$176&amp;" "&amp;Milestones!$AC$176&amp;";  ","")&amp;IF(AND(EDATE($D126,Milestones!$AA$177)&lt;=AsOfDate,IF($R126=0,$X126,IF(AND($T126&lt;&gt;"",EDATE($D126,Milestones!$AA$177)&gt;=$T126),$W126,IF(AND($S126&lt;&gt;"",EDATE($D126,Milestones!$AA$177)&gt;=$S126),$V126,$U126)))=Milestones!$AB$177),UPPER(TEXT(EDATE($D126,Milestones!$AA$177),"dd mmm yy"))&amp;" "&amp;Milestones!$AB$177&amp;" "&amp;Milestones!$AC$177&amp;";  ","")&amp;IF(AND(EDATE($D126,Milestones!$AA$178)&lt;=AsOfDate,IF($R126=0,$X126,IF(AND($T126&lt;&gt;"",EDATE($D126,Milestones!$AA$178)&gt;=$T126),$W126,IF(AND($S126&lt;&gt;"",EDATE($D126,Milestones!$AA$178)&gt;=$S126),$V126,$U126)))=Milestones!$AB$178),UPPER(TEXT(EDATE($D126,Milestones!$AA$178),"dd mmm yy"))&amp;" "&amp;Milestones!$AB$178&amp;" "&amp;Milestones!$AC$178&amp;";  ","")&amp;IF(AND(EDATE($D126,Milestones!$AA$179)&lt;=AsOfDate,IF($R126=0,$X126,IF(AND($T126&lt;&gt;"",EDATE($D126,Milestones!$AA$179)&gt;=$T126),$W126,IF(AND($S126&lt;&gt;"",EDATE($D126,Milestones!$AA$179)&gt;=$S126),$V126,$U126)))=Milestones!$AB$179),UPPER(TEXT(EDATE($D126,Milestones!$AA$179),"dd mmm yy"))&amp;" "&amp;Milestones!$AB$179&amp;" "&amp;Milestones!$AC$179&amp;";  ",""))</f>
        <v/>
      </c>
      <c r="Q126" s="0" t="str">
        <f aca="false">IF(OR($A126="",$D126=""),"",IF(AND(EDATE($D126,Milestones!$AA$180)&lt;=AsOfDate,IF($R126=0,$X126,IF(AND($T126&lt;&gt;"",EDATE($D126,Milestones!$AA$180)&gt;=$T126),$W126,IF(AND($S126&lt;&gt;"",EDATE($D126,Milestones!$AA$180)&gt;=$S126),$V126,$U126)))=Milestones!$AB$180),UPPER(TEXT(EDATE($D126,Milestones!$AA$180),"dd mmm yy"))&amp;" "&amp;Milestones!$AB$180&amp;" "&amp;Milestones!$AC$180&amp;";  ","")&amp;IF(AND(EDATE($D126,Milestones!$AA$181)&lt;=AsOfDate,IF($R126=0,$X126,IF(AND($T126&lt;&gt;"",EDATE($D126,Milestones!$AA$181)&gt;=$T126),$W126,IF(AND($S126&lt;&gt;"",EDATE($D126,Milestones!$AA$181)&gt;=$S126),$V126,$U126)))=Milestones!$AB$181),UPPER(TEXT(EDATE($D126,Milestones!$AA$181),"dd mmm yy"))&amp;" "&amp;Milestones!$AB$181&amp;" "&amp;Milestones!$AC$181&amp;";  ","")&amp;IF(AND(EDATE($D126,Milestones!$AA$182)&lt;=AsOfDate,IF($R126=0,$X126,IF(AND($T126&lt;&gt;"",EDATE($D126,Milestones!$AA$182)&gt;=$T126),$W126,IF(AND($S126&lt;&gt;"",EDATE($D126,Milestones!$AA$182)&gt;=$S126),$V126,$U126)))=Milestones!$AB$182),UPPER(TEXT(EDATE($D126,Milestones!$AA$182),"dd mmm yy"))&amp;" "&amp;Milestones!$AB$182&amp;" "&amp;Milestones!$AC$182&amp;";  ","")&amp;IF(AND(EDATE($D126,Milestones!$AA$183)&lt;=AsOfDate,IF($R126=0,$X126,IF(AND($T126&lt;&gt;"",EDATE($D126,Milestones!$AA$183)&gt;=$T126),$W126,IF(AND($S126&lt;&gt;"",EDATE($D126,Milestones!$AA$183)&gt;=$S126),$V126,$U126)))=Milestones!$AB$183),UPPER(TEXT(EDATE($D126,Milestones!$AA$183),"dd mmm yy"))&amp;" "&amp;Milestones!$AB$183&amp;" "&amp;Milestones!$AC$183&amp;";  ","")&amp;IF(AND(EDATE($D126,Milestones!$AA$184)&lt;=AsOfDate,IF($R126=0,$X126,IF(AND($T126&lt;&gt;"",EDATE($D126,Milestones!$AA$184)&gt;=$T126),$W126,IF(AND($S126&lt;&gt;"",EDATE($D126,Milestones!$AA$184)&gt;=$S126),$V126,$U126)))=Milestones!$AB$184),UPPER(TEXT(EDATE($D126,Milestones!$AA$184),"dd mmm yy"))&amp;" "&amp;Milestones!$AB$184&amp;" "&amp;Milestones!$AC$184&amp;";  ","")&amp;IF(AND(EDATE($D126,Milestones!$AA$185)&lt;=AsOfDate,IF($R126=0,$X126,IF(AND($T126&lt;&gt;"",EDATE($D126,Milestones!$AA$185)&gt;=$T126),$W126,IF(AND($S126&lt;&gt;"",EDATE($D126,Milestones!$AA$185)&gt;=$S126),$V126,$U126)))=Milestones!$AB$185),UPPER(TEXT(EDATE($D126,Milestones!$AA$185),"dd mmm yy"))&amp;" "&amp;Milestones!$AB$185&amp;" "&amp;Milestones!$AC$185&amp;";  ","")&amp;IF(AND(EDATE($D126,Milestones!$AA$186)&lt;=AsOfDate,IF($R126=0,$X126,IF(AND($T126&lt;&gt;"",EDATE($D126,Milestones!$AA$186)&gt;=$T126),$W126,IF(AND($S126&lt;&gt;"",EDATE($D126,Milestones!$AA$186)&gt;=$S126),$V126,$U126)))=Milestones!$AB$186),UPPER(TEXT(EDATE($D126,Milestones!$AA$186),"dd mmm yy"))&amp;" "&amp;Milestones!$AB$186&amp;" "&amp;Milestones!$AC$186&amp;";  ","")&amp;IF(AND(EDATE($D126,Milestones!$AA$187)&lt;=AsOfDate,IF($R126=0,$X126,IF(AND($T126&lt;&gt;"",EDATE($D126,Milestones!$AA$187)&gt;=$T126),$W126,IF(AND($S126&lt;&gt;"",EDATE($D126,Milestones!$AA$187)&gt;=$S126),$V126,$U126)))=Milestones!$AB$187),UPPER(TEXT(EDATE($D126,Milestones!$AA$187),"dd mmm yy"))&amp;" "&amp;Milestones!$AB$187&amp;" "&amp;Milestones!$AC$187&amp;";  ","")&amp;IF(AND(EDATE($D126,Milestones!$AA$188)&lt;=AsOfDate,IF($R126=0,$X126,IF(AND($T126&lt;&gt;"",EDATE($D126,Milestones!$AA$188)&gt;=$T126),$W126,IF(AND($S126&lt;&gt;"",EDATE($D126,Milestones!$AA$188)&gt;=$S126),$V126,$U126)))=Milestones!$AB$188),UPPER(TEXT(EDATE($D126,Milestones!$AA$188),"dd mmm yy"))&amp;" "&amp;Milestones!$AB$188&amp;" "&amp;Milestones!$AC$188&amp;";  ","")&amp;IF(AND(EDATE($D126,Milestones!$AA$189)&lt;=AsOfDate,IF($R126=0,$X126,IF(AND($T126&lt;&gt;"",EDATE($D126,Milestones!$AA$189)&gt;=$T126),$W126,IF(AND($S126&lt;&gt;"",EDATE($D126,Milestones!$AA$189)&gt;=$S126),$V126,$U126)))=Milestones!$AB$189),UPPER(TEXT(EDATE($D126,Milestones!$AA$189),"dd mmm yy"))&amp;" "&amp;Milestones!$AB$189&amp;" "&amp;Milestones!$AC$189&amp;";  ","")&amp;IF(AND(EDATE($D126,Milestones!$AA$190)&lt;=AsOfDate,IF($R126=0,$X126,IF(AND($T126&lt;&gt;"",EDATE($D126,Milestones!$AA$190)&gt;=$T126),$W126,IF(AND($S126&lt;&gt;"",EDATE($D126,Milestones!$AA$190)&gt;=$S126),$V126,$U126)))=Milestones!$AB$190),UPPER(TEXT(EDATE($D126,Milestones!$AA$190),"dd mmm yy"))&amp;" "&amp;Milestones!$AB$190&amp;" "&amp;Milestones!$AC$190&amp;";  ","")&amp;IF(AND(EDATE($D126,Milestones!$AA$191)&lt;=AsOfDate,IF($R126=0,$X126,IF(AND($T126&lt;&gt;"",EDATE($D126,Milestones!$AA$191)&gt;=$T126),$W126,IF(AND($S126&lt;&gt;"",EDATE($D126,Milestones!$AA$191)&gt;=$S126),$V126,$U126)))=Milestones!$AB$191),UPPER(TEXT(EDATE($D126,Milestones!$AA$191),"dd mmm yy"))&amp;" "&amp;Milestones!$AB$191&amp;" "&amp;Milestones!$AC$191&amp;";  ","")&amp;IF(AND(EDATE($D126,Milestones!$AA$192)&lt;=AsOfDate,IF($R126=0,$X126,IF(AND($T126&lt;&gt;"",EDATE($D126,Milestones!$AA$192)&gt;=$T126),$W126,IF(AND($S126&lt;&gt;"",EDATE($D126,Milestones!$AA$192)&gt;=$S126),$V126,$U126)))=Milestones!$AB$192),UPPER(TEXT(EDATE($D126,Milestones!$AA$192),"dd mmm yy"))&amp;" "&amp;Milestones!$AB$192&amp;" "&amp;Milestones!$AC$192&amp;";  ","")&amp;IF(AND(EDATE($D126,Milestones!$AA$193)&lt;=AsOfDate,IF($R126=0,$X126,IF(AND($T126&lt;&gt;"",EDATE($D126,Milestones!$AA$193)&gt;=$T126),$W126,IF(AND($S126&lt;&gt;"",EDATE($D126,Milestones!$AA$193)&gt;=$S126),$V126,$U126)))=Milestones!$AB$193),UPPER(TEXT(EDATE($D126,Milestones!$AA$193),"dd mmm yy"))&amp;" "&amp;Milestones!$AB$193&amp;" "&amp;Milestones!$AC$193&amp;";  ","")&amp;IF(AND(EDATE($D126,Milestones!$AA$194)&lt;=AsOfDate,IF($R126=0,$X126,IF(AND($T126&lt;&gt;"",EDATE($D126,Milestones!$AA$194)&gt;=$T126),$W126,IF(AND($S126&lt;&gt;"",EDATE($D126,Milestones!$AA$194)&gt;=$S126),$V126,$U126)))=Milestones!$AB$194),UPPER(TEXT(EDATE($D126,Milestones!$AA$194),"dd mmm yy"))&amp;" "&amp;Milestones!$AB$194&amp;" "&amp;Milestones!$AC$194&amp;";  ","")&amp;IF(AND(EDATE($D126,Milestones!$AA$195)&lt;=AsOfDate,IF($R126=0,$X126,IF(AND($T126&lt;&gt;"",EDATE($D126,Milestones!$AA$195)&gt;=$T126),$W126,IF(AND($S126&lt;&gt;"",EDATE($D126,Milestones!$AA$195)&gt;=$S126),$V126,$U126)))=Milestones!$AB$195),UPPER(TEXT(EDATE($D126,Milestones!$AA$195),"dd mmm yy"))&amp;" "&amp;Milestones!$AB$195&amp;" "&amp;Milestones!$AC$195&amp;";  ","")&amp;IF(AND(EDATE($D126,Milestones!$AA$196)&lt;=AsOfDate,IF($R126=0,$X126,IF(AND($T126&lt;&gt;"",EDATE($D126,Milestones!$AA$196)&gt;=$T126),$W126,IF(AND($S126&lt;&gt;"",EDATE($D126,Milestones!$AA$196)&gt;=$S126),$V126,$U126)))=Milestones!$AB$196),UPPER(TEXT(EDATE($D126,Milestones!$AA$196),"dd mmm yy"))&amp;" "&amp;Milestones!$AB$196&amp;" "&amp;Milestones!$AC$196&amp;";  ","")&amp;IF(AND(EDATE($D126,Milestones!$AA$197)&lt;=AsOfDate,IF($R126=0,$X126,IF(AND($T126&lt;&gt;"",EDATE($D126,Milestones!$AA$197)&gt;=$T126),$W126,IF(AND($S126&lt;&gt;"",EDATE($D126,Milestones!$AA$197)&gt;=$S126),$V126,$U126)))=Milestones!$AB$197),UPPER(TEXT(EDATE($D126,Milestones!$AA$197),"dd mmm yy"))&amp;" "&amp;Milestones!$AB$197&amp;" "&amp;Milestones!$AC$197&amp;";  ","")&amp;IF(AND(EDATE($D126,Milestones!$AA$198)&lt;=AsOfDate,IF($R126=0,$X126,IF(AND($T126&lt;&gt;"",EDATE($D126,Milestones!$AA$198)&gt;=$T126),$W126,IF(AND($S126&lt;&gt;"",EDATE($D126,Milestones!$AA$198)&gt;=$S126),$V126,$U126)))=Milestones!$AB$198),UPPER(TEXT(EDATE($D126,Milestones!$AA$198),"dd mmm yy"))&amp;" "&amp;Milestones!$AB$198&amp;" "&amp;Milestones!$AC$198&amp;";  ","")&amp;IF(AND(EDATE($D126,Milestones!$AA$199)&lt;=AsOfDate,IF($R126=0,$X126,IF(AND($T126&lt;&gt;"",EDATE($D126,Milestones!$AA$199)&gt;=$T126),$W126,IF(AND($S126&lt;&gt;"",EDATE($D126,Milestones!$AA$199)&gt;=$S126),$V126,$U126)))=Milestones!$AB$199),UPPER(TEXT(EDATE($D126,Milestones!$AA$199),"dd mmm yy"))&amp;" "&amp;Milestones!$AB$199&amp;" "&amp;Milestones!$AC$199&amp;";  ",""))</f>
        <v/>
      </c>
      <c r="R126" s="0" t="str">
        <f aca="false">IF(Staff!$A126="","",Staff!$AI126)</f>
        <v/>
      </c>
      <c r="S126" s="0" t="str">
        <f aca="false">IF(Staff!$A126="","",Staff!$AK126)</f>
        <v/>
      </c>
      <c r="T126" s="0" t="str">
        <f aca="false">IF(Staff!$A126="","",Staff!$AL126)</f>
        <v/>
      </c>
      <c r="U126" s="0" t="str">
        <f aca="false">IF(Staff!$A126="","",Staff!$AP126)</f>
        <v/>
      </c>
      <c r="V126" s="0" t="str">
        <f aca="false">IF(Staff!$A126="","",Staff!$AQ126)</f>
        <v/>
      </c>
      <c r="W126" s="0" t="str">
        <f aca="false">IF(Staff!$A126="","",Staff!$AR126)</f>
        <v/>
      </c>
      <c r="X126" s="0" t="str">
        <f aca="false">IF(Staff!$A126="","",Staff!$AS126)</f>
        <v/>
      </c>
    </row>
    <row r="127" customFormat="false" ht="15" hidden="false" customHeight="false" outlineLevel="0" collapsed="false">
      <c r="A127" s="19" t="str">
        <f aca="false">IF(Staff!$A127="","",Staff!$A127)</f>
        <v/>
      </c>
      <c r="B127" s="19" t="str">
        <f aca="false">IF(Staff!$A127="","",Staff!$B127)</f>
        <v/>
      </c>
      <c r="C127" s="19" t="str">
        <f aca="false">IF(Staff!$A127="","",Staff!$C127)</f>
        <v/>
      </c>
      <c r="D127" s="17" t="str">
        <f aca="false">IF(Staff!$A127="","",Staff!$AH127)</f>
        <v/>
      </c>
      <c r="E127" s="19" t="str">
        <f aca="false">IF(Staff!$A127="","",Staff!$O127)</f>
        <v/>
      </c>
      <c r="F127" s="19" t="str">
        <f aca="false">IF(E127="","",E127*HoursPerDay)</f>
        <v/>
      </c>
      <c r="G127" s="19" t="str">
        <f aca="false">IF(Staff!$A127="","",Staff!$AE127)</f>
        <v/>
      </c>
      <c r="H127" s="32" t="str">
        <f aca="false">IF($A127="","",I127&amp;J127&amp;K127&amp;L127&amp;M127&amp;N127&amp;O127&amp;P127&amp;Q127)</f>
        <v/>
      </c>
      <c r="I127" s="0" t="str">
        <f aca="false">IF(OR($A127="",$D127=""),"",IF(AND(EDATE($D127,Milestones!$AA$20)&lt;=AsOfDate,IF($R127=0,$X127,IF(AND($T127&lt;&gt;"",EDATE($D127,Milestones!$AA$20)&gt;=$T127),$W127,IF(AND($S127&lt;&gt;"",EDATE($D127,Milestones!$AA$20)&gt;=$S127),$V127,$U127)))=Milestones!$AB$20),UPPER(TEXT(EDATE($D127,Milestones!$AA$20),"dd mmm yy"))&amp;" "&amp;Milestones!$AB$20&amp;" "&amp;Milestones!$AC$20&amp;";  ","")&amp;IF(AND(EDATE($D127,Milestones!$AA$21)&lt;=AsOfDate,IF($R127=0,$X127,IF(AND($T127&lt;&gt;"",EDATE($D127,Milestones!$AA$21)&gt;=$T127),$W127,IF(AND($S127&lt;&gt;"",EDATE($D127,Milestones!$AA$21)&gt;=$S127),$V127,$U127)))=Milestones!$AB$21),UPPER(TEXT(EDATE($D127,Milestones!$AA$21),"dd mmm yy"))&amp;" "&amp;Milestones!$AB$21&amp;" "&amp;Milestones!$AC$21&amp;";  ","")&amp;IF(AND(EDATE($D127,Milestones!$AA$22)&lt;=AsOfDate,IF($R127=0,$X127,IF(AND($T127&lt;&gt;"",EDATE($D127,Milestones!$AA$22)&gt;=$T127),$W127,IF(AND($S127&lt;&gt;"",EDATE($D127,Milestones!$AA$22)&gt;=$S127),$V127,$U127)))=Milestones!$AB$22),UPPER(TEXT(EDATE($D127,Milestones!$AA$22),"dd mmm yy"))&amp;" "&amp;Milestones!$AB$22&amp;" "&amp;Milestones!$AC$22&amp;";  ","")&amp;IF(AND(EDATE($D127,Milestones!$AA$23)&lt;=AsOfDate,IF($R127=0,$X127,IF(AND($T127&lt;&gt;"",EDATE($D127,Milestones!$AA$23)&gt;=$T127),$W127,IF(AND($S127&lt;&gt;"",EDATE($D127,Milestones!$AA$23)&gt;=$S127),$V127,$U127)))=Milestones!$AB$23),UPPER(TEXT(EDATE($D127,Milestones!$AA$23),"dd mmm yy"))&amp;" "&amp;Milestones!$AB$23&amp;" "&amp;Milestones!$AC$23&amp;";  ","")&amp;IF(AND(EDATE($D127,Milestones!$AA$24)&lt;=AsOfDate,IF($R127=0,$X127,IF(AND($T127&lt;&gt;"",EDATE($D127,Milestones!$AA$24)&gt;=$T127),$W127,IF(AND($S127&lt;&gt;"",EDATE($D127,Milestones!$AA$24)&gt;=$S127),$V127,$U127)))=Milestones!$AB$24),UPPER(TEXT(EDATE($D127,Milestones!$AA$24),"dd mmm yy"))&amp;" "&amp;Milestones!$AB$24&amp;" "&amp;Milestones!$AC$24&amp;";  ","")&amp;IF(AND(EDATE($D127,Milestones!$AA$25)&lt;=AsOfDate,IF($R127=0,$X127,IF(AND($T127&lt;&gt;"",EDATE($D127,Milestones!$AA$25)&gt;=$T127),$W127,IF(AND($S127&lt;&gt;"",EDATE($D127,Milestones!$AA$25)&gt;=$S127),$V127,$U127)))=Milestones!$AB$25),UPPER(TEXT(EDATE($D127,Milestones!$AA$25),"dd mmm yy"))&amp;" "&amp;Milestones!$AB$25&amp;" "&amp;Milestones!$AC$25&amp;";  ","")&amp;IF(AND(EDATE($D127,Milestones!$AA$26)&lt;=AsOfDate,IF($R127=0,$X127,IF(AND($T127&lt;&gt;"",EDATE($D127,Milestones!$AA$26)&gt;=$T127),$W127,IF(AND($S127&lt;&gt;"",EDATE($D127,Milestones!$AA$26)&gt;=$S127),$V127,$U127)))=Milestones!$AB$26),UPPER(TEXT(EDATE($D127,Milestones!$AA$26),"dd mmm yy"))&amp;" "&amp;Milestones!$AB$26&amp;" "&amp;Milestones!$AC$26&amp;";  ","")&amp;IF(AND(EDATE($D127,Milestones!$AA$27)&lt;=AsOfDate,IF($R127=0,$X127,IF(AND($T127&lt;&gt;"",EDATE($D127,Milestones!$AA$27)&gt;=$T127),$W127,IF(AND($S127&lt;&gt;"",EDATE($D127,Milestones!$AA$27)&gt;=$S127),$V127,$U127)))=Milestones!$AB$27),UPPER(TEXT(EDATE($D127,Milestones!$AA$27),"dd mmm yy"))&amp;" "&amp;Milestones!$AB$27&amp;" "&amp;Milestones!$AC$27&amp;";  ","")&amp;IF(AND(EDATE($D127,Milestones!$AA$28)&lt;=AsOfDate,IF($R127=0,$X127,IF(AND($T127&lt;&gt;"",EDATE($D127,Milestones!$AA$28)&gt;=$T127),$W127,IF(AND($S127&lt;&gt;"",EDATE($D127,Milestones!$AA$28)&gt;=$S127),$V127,$U127)))=Milestones!$AB$28),UPPER(TEXT(EDATE($D127,Milestones!$AA$28),"dd mmm yy"))&amp;" "&amp;Milestones!$AB$28&amp;" "&amp;Milestones!$AC$28&amp;";  ","")&amp;IF(AND(EDATE($D127,Milestones!$AA$29)&lt;=AsOfDate,IF($R127=0,$X127,IF(AND($T127&lt;&gt;"",EDATE($D127,Milestones!$AA$29)&gt;=$T127),$W127,IF(AND($S127&lt;&gt;"",EDATE($D127,Milestones!$AA$29)&gt;=$S127),$V127,$U127)))=Milestones!$AB$29),UPPER(TEXT(EDATE($D127,Milestones!$AA$29),"dd mmm yy"))&amp;" "&amp;Milestones!$AB$29&amp;" "&amp;Milestones!$AC$29&amp;";  ","")&amp;IF(AND(EDATE($D127,Milestones!$AA$30)&lt;=AsOfDate,IF($R127=0,$X127,IF(AND($T127&lt;&gt;"",EDATE($D127,Milestones!$AA$30)&gt;=$T127),$W127,IF(AND($S127&lt;&gt;"",EDATE($D127,Milestones!$AA$30)&gt;=$S127),$V127,$U127)))=Milestones!$AB$30),UPPER(TEXT(EDATE($D127,Milestones!$AA$30),"dd mmm yy"))&amp;" "&amp;Milestones!$AB$30&amp;" "&amp;Milestones!$AC$30&amp;";  ","")&amp;IF(AND(EDATE($D127,Milestones!$AA$31)&lt;=AsOfDate,IF($R127=0,$X127,IF(AND($T127&lt;&gt;"",EDATE($D127,Milestones!$AA$31)&gt;=$T127),$W127,IF(AND($S127&lt;&gt;"",EDATE($D127,Milestones!$AA$31)&gt;=$S127),$V127,$U127)))=Milestones!$AB$31),UPPER(TEXT(EDATE($D127,Milestones!$AA$31),"dd mmm yy"))&amp;" "&amp;Milestones!$AB$31&amp;" "&amp;Milestones!$AC$31&amp;";  ","")&amp;IF(AND(EDATE($D127,Milestones!$AA$32)&lt;=AsOfDate,IF($R127=0,$X127,IF(AND($T127&lt;&gt;"",EDATE($D127,Milestones!$AA$32)&gt;=$T127),$W127,IF(AND($S127&lt;&gt;"",EDATE($D127,Milestones!$AA$32)&gt;=$S127),$V127,$U127)))=Milestones!$AB$32),UPPER(TEXT(EDATE($D127,Milestones!$AA$32),"dd mmm yy"))&amp;" "&amp;Milestones!$AB$32&amp;" "&amp;Milestones!$AC$32&amp;";  ","")&amp;IF(AND(EDATE($D127,Milestones!$AA$33)&lt;=AsOfDate,IF($R127=0,$X127,IF(AND($T127&lt;&gt;"",EDATE($D127,Milestones!$AA$33)&gt;=$T127),$W127,IF(AND($S127&lt;&gt;"",EDATE($D127,Milestones!$AA$33)&gt;=$S127),$V127,$U127)))=Milestones!$AB$33),UPPER(TEXT(EDATE($D127,Milestones!$AA$33),"dd mmm yy"))&amp;" "&amp;Milestones!$AB$33&amp;" "&amp;Milestones!$AC$33&amp;";  ","")&amp;IF(AND(EDATE($D127,Milestones!$AA$34)&lt;=AsOfDate,IF($R127=0,$X127,IF(AND($T127&lt;&gt;"",EDATE($D127,Milestones!$AA$34)&gt;=$T127),$W127,IF(AND($S127&lt;&gt;"",EDATE($D127,Milestones!$AA$34)&gt;=$S127),$V127,$U127)))=Milestones!$AB$34),UPPER(TEXT(EDATE($D127,Milestones!$AA$34),"dd mmm yy"))&amp;" "&amp;Milestones!$AB$34&amp;" "&amp;Milestones!$AC$34&amp;";  ","")&amp;IF(AND(EDATE($D127,Milestones!$AA$35)&lt;=AsOfDate,IF($R127=0,$X127,IF(AND($T127&lt;&gt;"",EDATE($D127,Milestones!$AA$35)&gt;=$T127),$W127,IF(AND($S127&lt;&gt;"",EDATE($D127,Milestones!$AA$35)&gt;=$S127),$V127,$U127)))=Milestones!$AB$35),UPPER(TEXT(EDATE($D127,Milestones!$AA$35),"dd mmm yy"))&amp;" "&amp;Milestones!$AB$35&amp;" "&amp;Milestones!$AC$35&amp;";  ","")&amp;IF(AND(EDATE($D127,Milestones!$AA$36)&lt;=AsOfDate,IF($R127=0,$X127,IF(AND($T127&lt;&gt;"",EDATE($D127,Milestones!$AA$36)&gt;=$T127),$W127,IF(AND($S127&lt;&gt;"",EDATE($D127,Milestones!$AA$36)&gt;=$S127),$V127,$U127)))=Milestones!$AB$36),UPPER(TEXT(EDATE($D127,Milestones!$AA$36),"dd mmm yy"))&amp;" "&amp;Milestones!$AB$36&amp;" "&amp;Milestones!$AC$36&amp;";  ","")&amp;IF(AND(EDATE($D127,Milestones!$AA$37)&lt;=AsOfDate,IF($R127=0,$X127,IF(AND($T127&lt;&gt;"",EDATE($D127,Milestones!$AA$37)&gt;=$T127),$W127,IF(AND($S127&lt;&gt;"",EDATE($D127,Milestones!$AA$37)&gt;=$S127),$V127,$U127)))=Milestones!$AB$37),UPPER(TEXT(EDATE($D127,Milestones!$AA$37),"dd mmm yy"))&amp;" "&amp;Milestones!$AB$37&amp;" "&amp;Milestones!$AC$37&amp;";  ","")&amp;IF(AND(EDATE($D127,Milestones!$AA$38)&lt;=AsOfDate,IF($R127=0,$X127,IF(AND($T127&lt;&gt;"",EDATE($D127,Milestones!$AA$38)&gt;=$T127),$W127,IF(AND($S127&lt;&gt;"",EDATE($D127,Milestones!$AA$38)&gt;=$S127),$V127,$U127)))=Milestones!$AB$38),UPPER(TEXT(EDATE($D127,Milestones!$AA$38),"dd mmm yy"))&amp;" "&amp;Milestones!$AB$38&amp;" "&amp;Milestones!$AC$38&amp;";  ","")&amp;IF(AND(EDATE($D127,Milestones!$AA$39)&lt;=AsOfDate,IF($R127=0,$X127,IF(AND($T127&lt;&gt;"",EDATE($D127,Milestones!$AA$39)&gt;=$T127),$W127,IF(AND($S127&lt;&gt;"",EDATE($D127,Milestones!$AA$39)&gt;=$S127),$V127,$U127)))=Milestones!$AB$39),UPPER(TEXT(EDATE($D127,Milestones!$AA$39),"dd mmm yy"))&amp;" "&amp;Milestones!$AB$39&amp;" "&amp;Milestones!$AC$39&amp;";  ",""))</f>
        <v/>
      </c>
      <c r="J127" s="0" t="str">
        <f aca="false">IF(OR($A127="",$D127=""),"",IF(AND(EDATE($D127,Milestones!$AA$40)&lt;=AsOfDate,IF($R127=0,$X127,IF(AND($T127&lt;&gt;"",EDATE($D127,Milestones!$AA$40)&gt;=$T127),$W127,IF(AND($S127&lt;&gt;"",EDATE($D127,Milestones!$AA$40)&gt;=$S127),$V127,$U127)))=Milestones!$AB$40),UPPER(TEXT(EDATE($D127,Milestones!$AA$40),"dd mmm yy"))&amp;" "&amp;Milestones!$AB$40&amp;" "&amp;Milestones!$AC$40&amp;";  ","")&amp;IF(AND(EDATE($D127,Milestones!$AA$41)&lt;=AsOfDate,IF($R127=0,$X127,IF(AND($T127&lt;&gt;"",EDATE($D127,Milestones!$AA$41)&gt;=$T127),$W127,IF(AND($S127&lt;&gt;"",EDATE($D127,Milestones!$AA$41)&gt;=$S127),$V127,$U127)))=Milestones!$AB$41),UPPER(TEXT(EDATE($D127,Milestones!$AA$41),"dd mmm yy"))&amp;" "&amp;Milestones!$AB$41&amp;" "&amp;Milestones!$AC$41&amp;";  ","")&amp;IF(AND(EDATE($D127,Milestones!$AA$42)&lt;=AsOfDate,IF($R127=0,$X127,IF(AND($T127&lt;&gt;"",EDATE($D127,Milestones!$AA$42)&gt;=$T127),$W127,IF(AND($S127&lt;&gt;"",EDATE($D127,Milestones!$AA$42)&gt;=$S127),$V127,$U127)))=Milestones!$AB$42),UPPER(TEXT(EDATE($D127,Milestones!$AA$42),"dd mmm yy"))&amp;" "&amp;Milestones!$AB$42&amp;" "&amp;Milestones!$AC$42&amp;";  ","")&amp;IF(AND(EDATE($D127,Milestones!$AA$43)&lt;=AsOfDate,IF($R127=0,$X127,IF(AND($T127&lt;&gt;"",EDATE($D127,Milestones!$AA$43)&gt;=$T127),$W127,IF(AND($S127&lt;&gt;"",EDATE($D127,Milestones!$AA$43)&gt;=$S127),$V127,$U127)))=Milestones!$AB$43),UPPER(TEXT(EDATE($D127,Milestones!$AA$43),"dd mmm yy"))&amp;" "&amp;Milestones!$AB$43&amp;" "&amp;Milestones!$AC$43&amp;";  ","")&amp;IF(AND(EDATE($D127,Milestones!$AA$44)&lt;=AsOfDate,IF($R127=0,$X127,IF(AND($T127&lt;&gt;"",EDATE($D127,Milestones!$AA$44)&gt;=$T127),$W127,IF(AND($S127&lt;&gt;"",EDATE($D127,Milestones!$AA$44)&gt;=$S127),$V127,$U127)))=Milestones!$AB$44),UPPER(TEXT(EDATE($D127,Milestones!$AA$44),"dd mmm yy"))&amp;" "&amp;Milestones!$AB$44&amp;" "&amp;Milestones!$AC$44&amp;";  ","")&amp;IF(AND(EDATE($D127,Milestones!$AA$45)&lt;=AsOfDate,IF($R127=0,$X127,IF(AND($T127&lt;&gt;"",EDATE($D127,Milestones!$AA$45)&gt;=$T127),$W127,IF(AND($S127&lt;&gt;"",EDATE($D127,Milestones!$AA$45)&gt;=$S127),$V127,$U127)))=Milestones!$AB$45),UPPER(TEXT(EDATE($D127,Milestones!$AA$45),"dd mmm yy"))&amp;" "&amp;Milestones!$AB$45&amp;" "&amp;Milestones!$AC$45&amp;";  ","")&amp;IF(AND(EDATE($D127,Milestones!$AA$46)&lt;=AsOfDate,IF($R127=0,$X127,IF(AND($T127&lt;&gt;"",EDATE($D127,Milestones!$AA$46)&gt;=$T127),$W127,IF(AND($S127&lt;&gt;"",EDATE($D127,Milestones!$AA$46)&gt;=$S127),$V127,$U127)))=Milestones!$AB$46),UPPER(TEXT(EDATE($D127,Milestones!$AA$46),"dd mmm yy"))&amp;" "&amp;Milestones!$AB$46&amp;" "&amp;Milestones!$AC$46&amp;";  ","")&amp;IF(AND(EDATE($D127,Milestones!$AA$47)&lt;=AsOfDate,IF($R127=0,$X127,IF(AND($T127&lt;&gt;"",EDATE($D127,Milestones!$AA$47)&gt;=$T127),$W127,IF(AND($S127&lt;&gt;"",EDATE($D127,Milestones!$AA$47)&gt;=$S127),$V127,$U127)))=Milestones!$AB$47),UPPER(TEXT(EDATE($D127,Milestones!$AA$47),"dd mmm yy"))&amp;" "&amp;Milestones!$AB$47&amp;" "&amp;Milestones!$AC$47&amp;";  ","")&amp;IF(AND(EDATE($D127,Milestones!$AA$48)&lt;=AsOfDate,IF($R127=0,$X127,IF(AND($T127&lt;&gt;"",EDATE($D127,Milestones!$AA$48)&gt;=$T127),$W127,IF(AND($S127&lt;&gt;"",EDATE($D127,Milestones!$AA$48)&gt;=$S127),$V127,$U127)))=Milestones!$AB$48),UPPER(TEXT(EDATE($D127,Milestones!$AA$48),"dd mmm yy"))&amp;" "&amp;Milestones!$AB$48&amp;" "&amp;Milestones!$AC$48&amp;";  ","")&amp;IF(AND(EDATE($D127,Milestones!$AA$49)&lt;=AsOfDate,IF($R127=0,$X127,IF(AND($T127&lt;&gt;"",EDATE($D127,Milestones!$AA$49)&gt;=$T127),$W127,IF(AND($S127&lt;&gt;"",EDATE($D127,Milestones!$AA$49)&gt;=$S127),$V127,$U127)))=Milestones!$AB$49),UPPER(TEXT(EDATE($D127,Milestones!$AA$49),"dd mmm yy"))&amp;" "&amp;Milestones!$AB$49&amp;" "&amp;Milestones!$AC$49&amp;";  ","")&amp;IF(AND(EDATE($D127,Milestones!$AA$50)&lt;=AsOfDate,IF($R127=0,$X127,IF(AND($T127&lt;&gt;"",EDATE($D127,Milestones!$AA$50)&gt;=$T127),$W127,IF(AND($S127&lt;&gt;"",EDATE($D127,Milestones!$AA$50)&gt;=$S127),$V127,$U127)))=Milestones!$AB$50),UPPER(TEXT(EDATE($D127,Milestones!$AA$50),"dd mmm yy"))&amp;" "&amp;Milestones!$AB$50&amp;" "&amp;Milestones!$AC$50&amp;";  ","")&amp;IF(AND(EDATE($D127,Milestones!$AA$51)&lt;=AsOfDate,IF($R127=0,$X127,IF(AND($T127&lt;&gt;"",EDATE($D127,Milestones!$AA$51)&gt;=$T127),$W127,IF(AND($S127&lt;&gt;"",EDATE($D127,Milestones!$AA$51)&gt;=$S127),$V127,$U127)))=Milestones!$AB$51),UPPER(TEXT(EDATE($D127,Milestones!$AA$51),"dd mmm yy"))&amp;" "&amp;Milestones!$AB$51&amp;" "&amp;Milestones!$AC$51&amp;";  ","")&amp;IF(AND(EDATE($D127,Milestones!$AA$52)&lt;=AsOfDate,IF($R127=0,$X127,IF(AND($T127&lt;&gt;"",EDATE($D127,Milestones!$AA$52)&gt;=$T127),$W127,IF(AND($S127&lt;&gt;"",EDATE($D127,Milestones!$AA$52)&gt;=$S127),$V127,$U127)))=Milestones!$AB$52),UPPER(TEXT(EDATE($D127,Milestones!$AA$52),"dd mmm yy"))&amp;" "&amp;Milestones!$AB$52&amp;" "&amp;Milestones!$AC$52&amp;";  ","")&amp;IF(AND(EDATE($D127,Milestones!$AA$53)&lt;=AsOfDate,IF($R127=0,$X127,IF(AND($T127&lt;&gt;"",EDATE($D127,Milestones!$AA$53)&gt;=$T127),$W127,IF(AND($S127&lt;&gt;"",EDATE($D127,Milestones!$AA$53)&gt;=$S127),$V127,$U127)))=Milestones!$AB$53),UPPER(TEXT(EDATE($D127,Milestones!$AA$53),"dd mmm yy"))&amp;" "&amp;Milestones!$AB$53&amp;" "&amp;Milestones!$AC$53&amp;";  ","")&amp;IF(AND(EDATE($D127,Milestones!$AA$54)&lt;=AsOfDate,IF($R127=0,$X127,IF(AND($T127&lt;&gt;"",EDATE($D127,Milestones!$AA$54)&gt;=$T127),$W127,IF(AND($S127&lt;&gt;"",EDATE($D127,Milestones!$AA$54)&gt;=$S127),$V127,$U127)))=Milestones!$AB$54),UPPER(TEXT(EDATE($D127,Milestones!$AA$54),"dd mmm yy"))&amp;" "&amp;Milestones!$AB$54&amp;" "&amp;Milestones!$AC$54&amp;";  ","")&amp;IF(AND(EDATE($D127,Milestones!$AA$55)&lt;=AsOfDate,IF($R127=0,$X127,IF(AND($T127&lt;&gt;"",EDATE($D127,Milestones!$AA$55)&gt;=$T127),$W127,IF(AND($S127&lt;&gt;"",EDATE($D127,Milestones!$AA$55)&gt;=$S127),$V127,$U127)))=Milestones!$AB$55),UPPER(TEXT(EDATE($D127,Milestones!$AA$55),"dd mmm yy"))&amp;" "&amp;Milestones!$AB$55&amp;" "&amp;Milestones!$AC$55&amp;";  ","")&amp;IF(AND(EDATE($D127,Milestones!$AA$56)&lt;=AsOfDate,IF($R127=0,$X127,IF(AND($T127&lt;&gt;"",EDATE($D127,Milestones!$AA$56)&gt;=$T127),$W127,IF(AND($S127&lt;&gt;"",EDATE($D127,Milestones!$AA$56)&gt;=$S127),$V127,$U127)))=Milestones!$AB$56),UPPER(TEXT(EDATE($D127,Milestones!$AA$56),"dd mmm yy"))&amp;" "&amp;Milestones!$AB$56&amp;" "&amp;Milestones!$AC$56&amp;";  ","")&amp;IF(AND(EDATE($D127,Milestones!$AA$57)&lt;=AsOfDate,IF($R127=0,$X127,IF(AND($T127&lt;&gt;"",EDATE($D127,Milestones!$AA$57)&gt;=$T127),$W127,IF(AND($S127&lt;&gt;"",EDATE($D127,Milestones!$AA$57)&gt;=$S127),$V127,$U127)))=Milestones!$AB$57),UPPER(TEXT(EDATE($D127,Milestones!$AA$57),"dd mmm yy"))&amp;" "&amp;Milestones!$AB$57&amp;" "&amp;Milestones!$AC$57&amp;";  ","")&amp;IF(AND(EDATE($D127,Milestones!$AA$58)&lt;=AsOfDate,IF($R127=0,$X127,IF(AND($T127&lt;&gt;"",EDATE($D127,Milestones!$AA$58)&gt;=$T127),$W127,IF(AND($S127&lt;&gt;"",EDATE($D127,Milestones!$AA$58)&gt;=$S127),$V127,$U127)))=Milestones!$AB$58),UPPER(TEXT(EDATE($D127,Milestones!$AA$58),"dd mmm yy"))&amp;" "&amp;Milestones!$AB$58&amp;" "&amp;Milestones!$AC$58&amp;";  ","")&amp;IF(AND(EDATE($D127,Milestones!$AA$59)&lt;=AsOfDate,IF($R127=0,$X127,IF(AND($T127&lt;&gt;"",EDATE($D127,Milestones!$AA$59)&gt;=$T127),$W127,IF(AND($S127&lt;&gt;"",EDATE($D127,Milestones!$AA$59)&gt;=$S127),$V127,$U127)))=Milestones!$AB$59),UPPER(TEXT(EDATE($D127,Milestones!$AA$59),"dd mmm yy"))&amp;" "&amp;Milestones!$AB$59&amp;" "&amp;Milestones!$AC$59&amp;";  ",""))</f>
        <v/>
      </c>
      <c r="K127" s="0" t="str">
        <f aca="false">IF(OR($A127="",$D127=""),"",IF(AND(EDATE($D127,Milestones!$AA$60)&lt;=AsOfDate,IF($R127=0,$X127,IF(AND($T127&lt;&gt;"",EDATE($D127,Milestones!$AA$60)&gt;=$T127),$W127,IF(AND($S127&lt;&gt;"",EDATE($D127,Milestones!$AA$60)&gt;=$S127),$V127,$U127)))=Milestones!$AB$60),UPPER(TEXT(EDATE($D127,Milestones!$AA$60),"dd mmm yy"))&amp;" "&amp;Milestones!$AB$60&amp;" "&amp;Milestones!$AC$60&amp;";  ","")&amp;IF(AND(EDATE($D127,Milestones!$AA$61)&lt;=AsOfDate,IF($R127=0,$X127,IF(AND($T127&lt;&gt;"",EDATE($D127,Milestones!$AA$61)&gt;=$T127),$W127,IF(AND($S127&lt;&gt;"",EDATE($D127,Milestones!$AA$61)&gt;=$S127),$V127,$U127)))=Milestones!$AB$61),UPPER(TEXT(EDATE($D127,Milestones!$AA$61),"dd mmm yy"))&amp;" "&amp;Milestones!$AB$61&amp;" "&amp;Milestones!$AC$61&amp;";  ","")&amp;IF(AND(EDATE($D127,Milestones!$AA$62)&lt;=AsOfDate,IF($R127=0,$X127,IF(AND($T127&lt;&gt;"",EDATE($D127,Milestones!$AA$62)&gt;=$T127),$W127,IF(AND($S127&lt;&gt;"",EDATE($D127,Milestones!$AA$62)&gt;=$S127),$V127,$U127)))=Milestones!$AB$62),UPPER(TEXT(EDATE($D127,Milestones!$AA$62),"dd mmm yy"))&amp;" "&amp;Milestones!$AB$62&amp;" "&amp;Milestones!$AC$62&amp;";  ","")&amp;IF(AND(EDATE($D127,Milestones!$AA$63)&lt;=AsOfDate,IF($R127=0,$X127,IF(AND($T127&lt;&gt;"",EDATE($D127,Milestones!$AA$63)&gt;=$T127),$W127,IF(AND($S127&lt;&gt;"",EDATE($D127,Milestones!$AA$63)&gt;=$S127),$V127,$U127)))=Milestones!$AB$63),UPPER(TEXT(EDATE($D127,Milestones!$AA$63),"dd mmm yy"))&amp;" "&amp;Milestones!$AB$63&amp;" "&amp;Milestones!$AC$63&amp;";  ","")&amp;IF(AND(EDATE($D127,Milestones!$AA$64)&lt;=AsOfDate,IF($R127=0,$X127,IF(AND($T127&lt;&gt;"",EDATE($D127,Milestones!$AA$64)&gt;=$T127),$W127,IF(AND($S127&lt;&gt;"",EDATE($D127,Milestones!$AA$64)&gt;=$S127),$V127,$U127)))=Milestones!$AB$64),UPPER(TEXT(EDATE($D127,Milestones!$AA$64),"dd mmm yy"))&amp;" "&amp;Milestones!$AB$64&amp;" "&amp;Milestones!$AC$64&amp;";  ","")&amp;IF(AND(EDATE($D127,Milestones!$AA$65)&lt;=AsOfDate,IF($R127=0,$X127,IF(AND($T127&lt;&gt;"",EDATE($D127,Milestones!$AA$65)&gt;=$T127),$W127,IF(AND($S127&lt;&gt;"",EDATE($D127,Milestones!$AA$65)&gt;=$S127),$V127,$U127)))=Milestones!$AB$65),UPPER(TEXT(EDATE($D127,Milestones!$AA$65),"dd mmm yy"))&amp;" "&amp;Milestones!$AB$65&amp;" "&amp;Milestones!$AC$65&amp;";  ","")&amp;IF(AND(EDATE($D127,Milestones!$AA$66)&lt;=AsOfDate,IF($R127=0,$X127,IF(AND($T127&lt;&gt;"",EDATE($D127,Milestones!$AA$66)&gt;=$T127),$W127,IF(AND($S127&lt;&gt;"",EDATE($D127,Milestones!$AA$66)&gt;=$S127),$V127,$U127)))=Milestones!$AB$66),UPPER(TEXT(EDATE($D127,Milestones!$AA$66),"dd mmm yy"))&amp;" "&amp;Milestones!$AB$66&amp;" "&amp;Milestones!$AC$66&amp;";  ","")&amp;IF(AND(EDATE($D127,Milestones!$AA$67)&lt;=AsOfDate,IF($R127=0,$X127,IF(AND($T127&lt;&gt;"",EDATE($D127,Milestones!$AA$67)&gt;=$T127),$W127,IF(AND($S127&lt;&gt;"",EDATE($D127,Milestones!$AA$67)&gt;=$S127),$V127,$U127)))=Milestones!$AB$67),UPPER(TEXT(EDATE($D127,Milestones!$AA$67),"dd mmm yy"))&amp;" "&amp;Milestones!$AB$67&amp;" "&amp;Milestones!$AC$67&amp;";  ","")&amp;IF(AND(EDATE($D127,Milestones!$AA$68)&lt;=AsOfDate,IF($R127=0,$X127,IF(AND($T127&lt;&gt;"",EDATE($D127,Milestones!$AA$68)&gt;=$T127),$W127,IF(AND($S127&lt;&gt;"",EDATE($D127,Milestones!$AA$68)&gt;=$S127),$V127,$U127)))=Milestones!$AB$68),UPPER(TEXT(EDATE($D127,Milestones!$AA$68),"dd mmm yy"))&amp;" "&amp;Milestones!$AB$68&amp;" "&amp;Milestones!$AC$68&amp;";  ","")&amp;IF(AND(EDATE($D127,Milestones!$AA$69)&lt;=AsOfDate,IF($R127=0,$X127,IF(AND($T127&lt;&gt;"",EDATE($D127,Milestones!$AA$69)&gt;=$T127),$W127,IF(AND($S127&lt;&gt;"",EDATE($D127,Milestones!$AA$69)&gt;=$S127),$V127,$U127)))=Milestones!$AB$69),UPPER(TEXT(EDATE($D127,Milestones!$AA$69),"dd mmm yy"))&amp;" "&amp;Milestones!$AB$69&amp;" "&amp;Milestones!$AC$69&amp;";  ","")&amp;IF(AND(EDATE($D127,Milestones!$AA$70)&lt;=AsOfDate,IF($R127=0,$X127,IF(AND($T127&lt;&gt;"",EDATE($D127,Milestones!$AA$70)&gt;=$T127),$W127,IF(AND($S127&lt;&gt;"",EDATE($D127,Milestones!$AA$70)&gt;=$S127),$V127,$U127)))=Milestones!$AB$70),UPPER(TEXT(EDATE($D127,Milestones!$AA$70),"dd mmm yy"))&amp;" "&amp;Milestones!$AB$70&amp;" "&amp;Milestones!$AC$70&amp;";  ","")&amp;IF(AND(EDATE($D127,Milestones!$AA$71)&lt;=AsOfDate,IF($R127=0,$X127,IF(AND($T127&lt;&gt;"",EDATE($D127,Milestones!$AA$71)&gt;=$T127),$W127,IF(AND($S127&lt;&gt;"",EDATE($D127,Milestones!$AA$71)&gt;=$S127),$V127,$U127)))=Milestones!$AB$71),UPPER(TEXT(EDATE($D127,Milestones!$AA$71),"dd mmm yy"))&amp;" "&amp;Milestones!$AB$71&amp;" "&amp;Milestones!$AC$71&amp;";  ","")&amp;IF(AND(EDATE($D127,Milestones!$AA$72)&lt;=AsOfDate,IF($R127=0,$X127,IF(AND($T127&lt;&gt;"",EDATE($D127,Milestones!$AA$72)&gt;=$T127),$W127,IF(AND($S127&lt;&gt;"",EDATE($D127,Milestones!$AA$72)&gt;=$S127),$V127,$U127)))=Milestones!$AB$72),UPPER(TEXT(EDATE($D127,Milestones!$AA$72),"dd mmm yy"))&amp;" "&amp;Milestones!$AB$72&amp;" "&amp;Milestones!$AC$72&amp;";  ","")&amp;IF(AND(EDATE($D127,Milestones!$AA$73)&lt;=AsOfDate,IF($R127=0,$X127,IF(AND($T127&lt;&gt;"",EDATE($D127,Milestones!$AA$73)&gt;=$T127),$W127,IF(AND($S127&lt;&gt;"",EDATE($D127,Milestones!$AA$73)&gt;=$S127),$V127,$U127)))=Milestones!$AB$73),UPPER(TEXT(EDATE($D127,Milestones!$AA$73),"dd mmm yy"))&amp;" "&amp;Milestones!$AB$73&amp;" "&amp;Milestones!$AC$73&amp;";  ","")&amp;IF(AND(EDATE($D127,Milestones!$AA$74)&lt;=AsOfDate,IF($R127=0,$X127,IF(AND($T127&lt;&gt;"",EDATE($D127,Milestones!$AA$74)&gt;=$T127),$W127,IF(AND($S127&lt;&gt;"",EDATE($D127,Milestones!$AA$74)&gt;=$S127),$V127,$U127)))=Milestones!$AB$74),UPPER(TEXT(EDATE($D127,Milestones!$AA$74),"dd mmm yy"))&amp;" "&amp;Milestones!$AB$74&amp;" "&amp;Milestones!$AC$74&amp;";  ","")&amp;IF(AND(EDATE($D127,Milestones!$AA$75)&lt;=AsOfDate,IF($R127=0,$X127,IF(AND($T127&lt;&gt;"",EDATE($D127,Milestones!$AA$75)&gt;=$T127),$W127,IF(AND($S127&lt;&gt;"",EDATE($D127,Milestones!$AA$75)&gt;=$S127),$V127,$U127)))=Milestones!$AB$75),UPPER(TEXT(EDATE($D127,Milestones!$AA$75),"dd mmm yy"))&amp;" "&amp;Milestones!$AB$75&amp;" "&amp;Milestones!$AC$75&amp;";  ","")&amp;IF(AND(EDATE($D127,Milestones!$AA$76)&lt;=AsOfDate,IF($R127=0,$X127,IF(AND($T127&lt;&gt;"",EDATE($D127,Milestones!$AA$76)&gt;=$T127),$W127,IF(AND($S127&lt;&gt;"",EDATE($D127,Milestones!$AA$76)&gt;=$S127),$V127,$U127)))=Milestones!$AB$76),UPPER(TEXT(EDATE($D127,Milestones!$AA$76),"dd mmm yy"))&amp;" "&amp;Milestones!$AB$76&amp;" "&amp;Milestones!$AC$76&amp;";  ","")&amp;IF(AND(EDATE($D127,Milestones!$AA$77)&lt;=AsOfDate,IF($R127=0,$X127,IF(AND($T127&lt;&gt;"",EDATE($D127,Milestones!$AA$77)&gt;=$T127),$W127,IF(AND($S127&lt;&gt;"",EDATE($D127,Milestones!$AA$77)&gt;=$S127),$V127,$U127)))=Milestones!$AB$77),UPPER(TEXT(EDATE($D127,Milestones!$AA$77),"dd mmm yy"))&amp;" "&amp;Milestones!$AB$77&amp;" "&amp;Milestones!$AC$77&amp;";  ","")&amp;IF(AND(EDATE($D127,Milestones!$AA$78)&lt;=AsOfDate,IF($R127=0,$X127,IF(AND($T127&lt;&gt;"",EDATE($D127,Milestones!$AA$78)&gt;=$T127),$W127,IF(AND($S127&lt;&gt;"",EDATE($D127,Milestones!$AA$78)&gt;=$S127),$V127,$U127)))=Milestones!$AB$78),UPPER(TEXT(EDATE($D127,Milestones!$AA$78),"dd mmm yy"))&amp;" "&amp;Milestones!$AB$78&amp;" "&amp;Milestones!$AC$78&amp;";  ","")&amp;IF(AND(EDATE($D127,Milestones!$AA$79)&lt;=AsOfDate,IF($R127=0,$X127,IF(AND($T127&lt;&gt;"",EDATE($D127,Milestones!$AA$79)&gt;=$T127),$W127,IF(AND($S127&lt;&gt;"",EDATE($D127,Milestones!$AA$79)&gt;=$S127),$V127,$U127)))=Milestones!$AB$79),UPPER(TEXT(EDATE($D127,Milestones!$AA$79),"dd mmm yy"))&amp;" "&amp;Milestones!$AB$79&amp;" "&amp;Milestones!$AC$79&amp;";  ",""))</f>
        <v/>
      </c>
      <c r="L127" s="0" t="str">
        <f aca="false">IF(OR($A127="",$D127=""),"",IF(AND(EDATE($D127,Milestones!$AA$80)&lt;=AsOfDate,IF($R127=0,$X127,IF(AND($T127&lt;&gt;"",EDATE($D127,Milestones!$AA$80)&gt;=$T127),$W127,IF(AND($S127&lt;&gt;"",EDATE($D127,Milestones!$AA$80)&gt;=$S127),$V127,$U127)))=Milestones!$AB$80),UPPER(TEXT(EDATE($D127,Milestones!$AA$80),"dd mmm yy"))&amp;" "&amp;Milestones!$AB$80&amp;" "&amp;Milestones!$AC$80&amp;";  ","")&amp;IF(AND(EDATE($D127,Milestones!$AA$81)&lt;=AsOfDate,IF($R127=0,$X127,IF(AND($T127&lt;&gt;"",EDATE($D127,Milestones!$AA$81)&gt;=$T127),$W127,IF(AND($S127&lt;&gt;"",EDATE($D127,Milestones!$AA$81)&gt;=$S127),$V127,$U127)))=Milestones!$AB$81),UPPER(TEXT(EDATE($D127,Milestones!$AA$81),"dd mmm yy"))&amp;" "&amp;Milestones!$AB$81&amp;" "&amp;Milestones!$AC$81&amp;";  ","")&amp;IF(AND(EDATE($D127,Milestones!$AA$82)&lt;=AsOfDate,IF($R127=0,$X127,IF(AND($T127&lt;&gt;"",EDATE($D127,Milestones!$AA$82)&gt;=$T127),$W127,IF(AND($S127&lt;&gt;"",EDATE($D127,Milestones!$AA$82)&gt;=$S127),$V127,$U127)))=Milestones!$AB$82),UPPER(TEXT(EDATE($D127,Milestones!$AA$82),"dd mmm yy"))&amp;" "&amp;Milestones!$AB$82&amp;" "&amp;Milestones!$AC$82&amp;";  ","")&amp;IF(AND(EDATE($D127,Milestones!$AA$83)&lt;=AsOfDate,IF($R127=0,$X127,IF(AND($T127&lt;&gt;"",EDATE($D127,Milestones!$AA$83)&gt;=$T127),$W127,IF(AND($S127&lt;&gt;"",EDATE($D127,Milestones!$AA$83)&gt;=$S127),$V127,$U127)))=Milestones!$AB$83),UPPER(TEXT(EDATE($D127,Milestones!$AA$83),"dd mmm yy"))&amp;" "&amp;Milestones!$AB$83&amp;" "&amp;Milestones!$AC$83&amp;";  ","")&amp;IF(AND(EDATE($D127,Milestones!$AA$84)&lt;=AsOfDate,IF($R127=0,$X127,IF(AND($T127&lt;&gt;"",EDATE($D127,Milestones!$AA$84)&gt;=$T127),$W127,IF(AND($S127&lt;&gt;"",EDATE($D127,Milestones!$AA$84)&gt;=$S127),$V127,$U127)))=Milestones!$AB$84),UPPER(TEXT(EDATE($D127,Milestones!$AA$84),"dd mmm yy"))&amp;" "&amp;Milestones!$AB$84&amp;" "&amp;Milestones!$AC$84&amp;";  ","")&amp;IF(AND(EDATE($D127,Milestones!$AA$85)&lt;=AsOfDate,IF($R127=0,$X127,IF(AND($T127&lt;&gt;"",EDATE($D127,Milestones!$AA$85)&gt;=$T127),$W127,IF(AND($S127&lt;&gt;"",EDATE($D127,Milestones!$AA$85)&gt;=$S127),$V127,$U127)))=Milestones!$AB$85),UPPER(TEXT(EDATE($D127,Milestones!$AA$85),"dd mmm yy"))&amp;" "&amp;Milestones!$AB$85&amp;" "&amp;Milestones!$AC$85&amp;";  ","")&amp;IF(AND(EDATE($D127,Milestones!$AA$86)&lt;=AsOfDate,IF($R127=0,$X127,IF(AND($T127&lt;&gt;"",EDATE($D127,Milestones!$AA$86)&gt;=$T127),$W127,IF(AND($S127&lt;&gt;"",EDATE($D127,Milestones!$AA$86)&gt;=$S127),$V127,$U127)))=Milestones!$AB$86),UPPER(TEXT(EDATE($D127,Milestones!$AA$86),"dd mmm yy"))&amp;" "&amp;Milestones!$AB$86&amp;" "&amp;Milestones!$AC$86&amp;";  ","")&amp;IF(AND(EDATE($D127,Milestones!$AA$87)&lt;=AsOfDate,IF($R127=0,$X127,IF(AND($T127&lt;&gt;"",EDATE($D127,Milestones!$AA$87)&gt;=$T127),$W127,IF(AND($S127&lt;&gt;"",EDATE($D127,Milestones!$AA$87)&gt;=$S127),$V127,$U127)))=Milestones!$AB$87),UPPER(TEXT(EDATE($D127,Milestones!$AA$87),"dd mmm yy"))&amp;" "&amp;Milestones!$AB$87&amp;" "&amp;Milestones!$AC$87&amp;";  ","")&amp;IF(AND(EDATE($D127,Milestones!$AA$88)&lt;=AsOfDate,IF($R127=0,$X127,IF(AND($T127&lt;&gt;"",EDATE($D127,Milestones!$AA$88)&gt;=$T127),$W127,IF(AND($S127&lt;&gt;"",EDATE($D127,Milestones!$AA$88)&gt;=$S127),$V127,$U127)))=Milestones!$AB$88),UPPER(TEXT(EDATE($D127,Milestones!$AA$88),"dd mmm yy"))&amp;" "&amp;Milestones!$AB$88&amp;" "&amp;Milestones!$AC$88&amp;";  ","")&amp;IF(AND(EDATE($D127,Milestones!$AA$89)&lt;=AsOfDate,IF($R127=0,$X127,IF(AND($T127&lt;&gt;"",EDATE($D127,Milestones!$AA$89)&gt;=$T127),$W127,IF(AND($S127&lt;&gt;"",EDATE($D127,Milestones!$AA$89)&gt;=$S127),$V127,$U127)))=Milestones!$AB$89),UPPER(TEXT(EDATE($D127,Milestones!$AA$89),"dd mmm yy"))&amp;" "&amp;Milestones!$AB$89&amp;" "&amp;Milestones!$AC$89&amp;";  ","")&amp;IF(AND(EDATE($D127,Milestones!$AA$90)&lt;=AsOfDate,IF($R127=0,$X127,IF(AND($T127&lt;&gt;"",EDATE($D127,Milestones!$AA$90)&gt;=$T127),$W127,IF(AND($S127&lt;&gt;"",EDATE($D127,Milestones!$AA$90)&gt;=$S127),$V127,$U127)))=Milestones!$AB$90),UPPER(TEXT(EDATE($D127,Milestones!$AA$90),"dd mmm yy"))&amp;" "&amp;Milestones!$AB$90&amp;" "&amp;Milestones!$AC$90&amp;";  ","")&amp;IF(AND(EDATE($D127,Milestones!$AA$91)&lt;=AsOfDate,IF($R127=0,$X127,IF(AND($T127&lt;&gt;"",EDATE($D127,Milestones!$AA$91)&gt;=$T127),$W127,IF(AND($S127&lt;&gt;"",EDATE($D127,Milestones!$AA$91)&gt;=$S127),$V127,$U127)))=Milestones!$AB$91),UPPER(TEXT(EDATE($D127,Milestones!$AA$91),"dd mmm yy"))&amp;" "&amp;Milestones!$AB$91&amp;" "&amp;Milestones!$AC$91&amp;";  ","")&amp;IF(AND(EDATE($D127,Milestones!$AA$92)&lt;=AsOfDate,IF($R127=0,$X127,IF(AND($T127&lt;&gt;"",EDATE($D127,Milestones!$AA$92)&gt;=$T127),$W127,IF(AND($S127&lt;&gt;"",EDATE($D127,Milestones!$AA$92)&gt;=$S127),$V127,$U127)))=Milestones!$AB$92),UPPER(TEXT(EDATE($D127,Milestones!$AA$92),"dd mmm yy"))&amp;" "&amp;Milestones!$AB$92&amp;" "&amp;Milestones!$AC$92&amp;";  ","")&amp;IF(AND(EDATE($D127,Milestones!$AA$93)&lt;=AsOfDate,IF($R127=0,$X127,IF(AND($T127&lt;&gt;"",EDATE($D127,Milestones!$AA$93)&gt;=$T127),$W127,IF(AND($S127&lt;&gt;"",EDATE($D127,Milestones!$AA$93)&gt;=$S127),$V127,$U127)))=Milestones!$AB$93),UPPER(TEXT(EDATE($D127,Milestones!$AA$93),"dd mmm yy"))&amp;" "&amp;Milestones!$AB$93&amp;" "&amp;Milestones!$AC$93&amp;";  ","")&amp;IF(AND(EDATE($D127,Milestones!$AA$94)&lt;=AsOfDate,IF($R127=0,$X127,IF(AND($T127&lt;&gt;"",EDATE($D127,Milestones!$AA$94)&gt;=$T127),$W127,IF(AND($S127&lt;&gt;"",EDATE($D127,Milestones!$AA$94)&gt;=$S127),$V127,$U127)))=Milestones!$AB$94),UPPER(TEXT(EDATE($D127,Milestones!$AA$94),"dd mmm yy"))&amp;" "&amp;Milestones!$AB$94&amp;" "&amp;Milestones!$AC$94&amp;";  ","")&amp;IF(AND(EDATE($D127,Milestones!$AA$95)&lt;=AsOfDate,IF($R127=0,$X127,IF(AND($T127&lt;&gt;"",EDATE($D127,Milestones!$AA$95)&gt;=$T127),$W127,IF(AND($S127&lt;&gt;"",EDATE($D127,Milestones!$AA$95)&gt;=$S127),$V127,$U127)))=Milestones!$AB$95),UPPER(TEXT(EDATE($D127,Milestones!$AA$95),"dd mmm yy"))&amp;" "&amp;Milestones!$AB$95&amp;" "&amp;Milestones!$AC$95&amp;";  ","")&amp;IF(AND(EDATE($D127,Milestones!$AA$96)&lt;=AsOfDate,IF($R127=0,$X127,IF(AND($T127&lt;&gt;"",EDATE($D127,Milestones!$AA$96)&gt;=$T127),$W127,IF(AND($S127&lt;&gt;"",EDATE($D127,Milestones!$AA$96)&gt;=$S127),$V127,$U127)))=Milestones!$AB$96),UPPER(TEXT(EDATE($D127,Milestones!$AA$96),"dd mmm yy"))&amp;" "&amp;Milestones!$AB$96&amp;" "&amp;Milestones!$AC$96&amp;";  ","")&amp;IF(AND(EDATE($D127,Milestones!$AA$97)&lt;=AsOfDate,IF($R127=0,$X127,IF(AND($T127&lt;&gt;"",EDATE($D127,Milestones!$AA$97)&gt;=$T127),$W127,IF(AND($S127&lt;&gt;"",EDATE($D127,Milestones!$AA$97)&gt;=$S127),$V127,$U127)))=Milestones!$AB$97),UPPER(TEXT(EDATE($D127,Milestones!$AA$97),"dd mmm yy"))&amp;" "&amp;Milestones!$AB$97&amp;" "&amp;Milestones!$AC$97&amp;";  ","")&amp;IF(AND(EDATE($D127,Milestones!$AA$98)&lt;=AsOfDate,IF($R127=0,$X127,IF(AND($T127&lt;&gt;"",EDATE($D127,Milestones!$AA$98)&gt;=$T127),$W127,IF(AND($S127&lt;&gt;"",EDATE($D127,Milestones!$AA$98)&gt;=$S127),$V127,$U127)))=Milestones!$AB$98),UPPER(TEXT(EDATE($D127,Milestones!$AA$98),"dd mmm yy"))&amp;" "&amp;Milestones!$AB$98&amp;" "&amp;Milestones!$AC$98&amp;";  ","")&amp;IF(AND(EDATE($D127,Milestones!$AA$99)&lt;=AsOfDate,IF($R127=0,$X127,IF(AND($T127&lt;&gt;"",EDATE($D127,Milestones!$AA$99)&gt;=$T127),$W127,IF(AND($S127&lt;&gt;"",EDATE($D127,Milestones!$AA$99)&gt;=$S127),$V127,$U127)))=Milestones!$AB$99),UPPER(TEXT(EDATE($D127,Milestones!$AA$99),"dd mmm yy"))&amp;" "&amp;Milestones!$AB$99&amp;" "&amp;Milestones!$AC$99&amp;";  ",""))</f>
        <v/>
      </c>
      <c r="M127" s="0" t="str">
        <f aca="false">IF(OR($A127="",$D127=""),"",IF(AND(EDATE($D127,Milestones!$AA$100)&lt;=AsOfDate,IF($R127=0,$X127,IF(AND($T127&lt;&gt;"",EDATE($D127,Milestones!$AA$100)&gt;=$T127),$W127,IF(AND($S127&lt;&gt;"",EDATE($D127,Milestones!$AA$100)&gt;=$S127),$V127,$U127)))=Milestones!$AB$100),UPPER(TEXT(EDATE($D127,Milestones!$AA$100),"dd mmm yy"))&amp;" "&amp;Milestones!$AB$100&amp;" "&amp;Milestones!$AC$100&amp;";  ","")&amp;IF(AND(EDATE($D127,Milestones!$AA$101)&lt;=AsOfDate,IF($R127=0,$X127,IF(AND($T127&lt;&gt;"",EDATE($D127,Milestones!$AA$101)&gt;=$T127),$W127,IF(AND($S127&lt;&gt;"",EDATE($D127,Milestones!$AA$101)&gt;=$S127),$V127,$U127)))=Milestones!$AB$101),UPPER(TEXT(EDATE($D127,Milestones!$AA$101),"dd mmm yy"))&amp;" "&amp;Milestones!$AB$101&amp;" "&amp;Milestones!$AC$101&amp;";  ","")&amp;IF(AND(EDATE($D127,Milestones!$AA$102)&lt;=AsOfDate,IF($R127=0,$X127,IF(AND($T127&lt;&gt;"",EDATE($D127,Milestones!$AA$102)&gt;=$T127),$W127,IF(AND($S127&lt;&gt;"",EDATE($D127,Milestones!$AA$102)&gt;=$S127),$V127,$U127)))=Milestones!$AB$102),UPPER(TEXT(EDATE($D127,Milestones!$AA$102),"dd mmm yy"))&amp;" "&amp;Milestones!$AB$102&amp;" "&amp;Milestones!$AC$102&amp;";  ","")&amp;IF(AND(EDATE($D127,Milestones!$AA$103)&lt;=AsOfDate,IF($R127=0,$X127,IF(AND($T127&lt;&gt;"",EDATE($D127,Milestones!$AA$103)&gt;=$T127),$W127,IF(AND($S127&lt;&gt;"",EDATE($D127,Milestones!$AA$103)&gt;=$S127),$V127,$U127)))=Milestones!$AB$103),UPPER(TEXT(EDATE($D127,Milestones!$AA$103),"dd mmm yy"))&amp;" "&amp;Milestones!$AB$103&amp;" "&amp;Milestones!$AC$103&amp;";  ","")&amp;IF(AND(EDATE($D127,Milestones!$AA$104)&lt;=AsOfDate,IF($R127=0,$X127,IF(AND($T127&lt;&gt;"",EDATE($D127,Milestones!$AA$104)&gt;=$T127),$W127,IF(AND($S127&lt;&gt;"",EDATE($D127,Milestones!$AA$104)&gt;=$S127),$V127,$U127)))=Milestones!$AB$104),UPPER(TEXT(EDATE($D127,Milestones!$AA$104),"dd mmm yy"))&amp;" "&amp;Milestones!$AB$104&amp;" "&amp;Milestones!$AC$104&amp;";  ","")&amp;IF(AND(EDATE($D127,Milestones!$AA$105)&lt;=AsOfDate,IF($R127=0,$X127,IF(AND($T127&lt;&gt;"",EDATE($D127,Milestones!$AA$105)&gt;=$T127),$W127,IF(AND($S127&lt;&gt;"",EDATE($D127,Milestones!$AA$105)&gt;=$S127),$V127,$U127)))=Milestones!$AB$105),UPPER(TEXT(EDATE($D127,Milestones!$AA$105),"dd mmm yy"))&amp;" "&amp;Milestones!$AB$105&amp;" "&amp;Milestones!$AC$105&amp;";  ","")&amp;IF(AND(EDATE($D127,Milestones!$AA$106)&lt;=AsOfDate,IF($R127=0,$X127,IF(AND($T127&lt;&gt;"",EDATE($D127,Milestones!$AA$106)&gt;=$T127),$W127,IF(AND($S127&lt;&gt;"",EDATE($D127,Milestones!$AA$106)&gt;=$S127),$V127,$U127)))=Milestones!$AB$106),UPPER(TEXT(EDATE($D127,Milestones!$AA$106),"dd mmm yy"))&amp;" "&amp;Milestones!$AB$106&amp;" "&amp;Milestones!$AC$106&amp;";  ","")&amp;IF(AND(EDATE($D127,Milestones!$AA$107)&lt;=AsOfDate,IF($R127=0,$X127,IF(AND($T127&lt;&gt;"",EDATE($D127,Milestones!$AA$107)&gt;=$T127),$W127,IF(AND($S127&lt;&gt;"",EDATE($D127,Milestones!$AA$107)&gt;=$S127),$V127,$U127)))=Milestones!$AB$107),UPPER(TEXT(EDATE($D127,Milestones!$AA$107),"dd mmm yy"))&amp;" "&amp;Milestones!$AB$107&amp;" "&amp;Milestones!$AC$107&amp;";  ","")&amp;IF(AND(EDATE($D127,Milestones!$AA$108)&lt;=AsOfDate,IF($R127=0,$X127,IF(AND($T127&lt;&gt;"",EDATE($D127,Milestones!$AA$108)&gt;=$T127),$W127,IF(AND($S127&lt;&gt;"",EDATE($D127,Milestones!$AA$108)&gt;=$S127),$V127,$U127)))=Milestones!$AB$108),UPPER(TEXT(EDATE($D127,Milestones!$AA$108),"dd mmm yy"))&amp;" "&amp;Milestones!$AB$108&amp;" "&amp;Milestones!$AC$108&amp;";  ","")&amp;IF(AND(EDATE($D127,Milestones!$AA$109)&lt;=AsOfDate,IF($R127=0,$X127,IF(AND($T127&lt;&gt;"",EDATE($D127,Milestones!$AA$109)&gt;=$T127),$W127,IF(AND($S127&lt;&gt;"",EDATE($D127,Milestones!$AA$109)&gt;=$S127),$V127,$U127)))=Milestones!$AB$109),UPPER(TEXT(EDATE($D127,Milestones!$AA$109),"dd mmm yy"))&amp;" "&amp;Milestones!$AB$109&amp;" "&amp;Milestones!$AC$109&amp;";  ","")&amp;IF(AND(EDATE($D127,Milestones!$AA$110)&lt;=AsOfDate,IF($R127=0,$X127,IF(AND($T127&lt;&gt;"",EDATE($D127,Milestones!$AA$110)&gt;=$T127),$W127,IF(AND($S127&lt;&gt;"",EDATE($D127,Milestones!$AA$110)&gt;=$S127),$V127,$U127)))=Milestones!$AB$110),UPPER(TEXT(EDATE($D127,Milestones!$AA$110),"dd mmm yy"))&amp;" "&amp;Milestones!$AB$110&amp;" "&amp;Milestones!$AC$110&amp;";  ","")&amp;IF(AND(EDATE($D127,Milestones!$AA$111)&lt;=AsOfDate,IF($R127=0,$X127,IF(AND($T127&lt;&gt;"",EDATE($D127,Milestones!$AA$111)&gt;=$T127),$W127,IF(AND($S127&lt;&gt;"",EDATE($D127,Milestones!$AA$111)&gt;=$S127),$V127,$U127)))=Milestones!$AB$111),UPPER(TEXT(EDATE($D127,Milestones!$AA$111),"dd mmm yy"))&amp;" "&amp;Milestones!$AB$111&amp;" "&amp;Milestones!$AC$111&amp;";  ","")&amp;IF(AND(EDATE($D127,Milestones!$AA$112)&lt;=AsOfDate,IF($R127=0,$X127,IF(AND($T127&lt;&gt;"",EDATE($D127,Milestones!$AA$112)&gt;=$T127),$W127,IF(AND($S127&lt;&gt;"",EDATE($D127,Milestones!$AA$112)&gt;=$S127),$V127,$U127)))=Milestones!$AB$112),UPPER(TEXT(EDATE($D127,Milestones!$AA$112),"dd mmm yy"))&amp;" "&amp;Milestones!$AB$112&amp;" "&amp;Milestones!$AC$112&amp;";  ","")&amp;IF(AND(EDATE($D127,Milestones!$AA$113)&lt;=AsOfDate,IF($R127=0,$X127,IF(AND($T127&lt;&gt;"",EDATE($D127,Milestones!$AA$113)&gt;=$T127),$W127,IF(AND($S127&lt;&gt;"",EDATE($D127,Milestones!$AA$113)&gt;=$S127),$V127,$U127)))=Milestones!$AB$113),UPPER(TEXT(EDATE($D127,Milestones!$AA$113),"dd mmm yy"))&amp;" "&amp;Milestones!$AB$113&amp;" "&amp;Milestones!$AC$113&amp;";  ","")&amp;IF(AND(EDATE($D127,Milestones!$AA$114)&lt;=AsOfDate,IF($R127=0,$X127,IF(AND($T127&lt;&gt;"",EDATE($D127,Milestones!$AA$114)&gt;=$T127),$W127,IF(AND($S127&lt;&gt;"",EDATE($D127,Milestones!$AA$114)&gt;=$S127),$V127,$U127)))=Milestones!$AB$114),UPPER(TEXT(EDATE($D127,Milestones!$AA$114),"dd mmm yy"))&amp;" "&amp;Milestones!$AB$114&amp;" "&amp;Milestones!$AC$114&amp;";  ","")&amp;IF(AND(EDATE($D127,Milestones!$AA$115)&lt;=AsOfDate,IF($R127=0,$X127,IF(AND($T127&lt;&gt;"",EDATE($D127,Milestones!$AA$115)&gt;=$T127),$W127,IF(AND($S127&lt;&gt;"",EDATE($D127,Milestones!$AA$115)&gt;=$S127),$V127,$U127)))=Milestones!$AB$115),UPPER(TEXT(EDATE($D127,Milestones!$AA$115),"dd mmm yy"))&amp;" "&amp;Milestones!$AB$115&amp;" "&amp;Milestones!$AC$115&amp;";  ","")&amp;IF(AND(EDATE($D127,Milestones!$AA$116)&lt;=AsOfDate,IF($R127=0,$X127,IF(AND($T127&lt;&gt;"",EDATE($D127,Milestones!$AA$116)&gt;=$T127),$W127,IF(AND($S127&lt;&gt;"",EDATE($D127,Milestones!$AA$116)&gt;=$S127),$V127,$U127)))=Milestones!$AB$116),UPPER(TEXT(EDATE($D127,Milestones!$AA$116),"dd mmm yy"))&amp;" "&amp;Milestones!$AB$116&amp;" "&amp;Milestones!$AC$116&amp;";  ","")&amp;IF(AND(EDATE($D127,Milestones!$AA$117)&lt;=AsOfDate,IF($R127=0,$X127,IF(AND($T127&lt;&gt;"",EDATE($D127,Milestones!$AA$117)&gt;=$T127),$W127,IF(AND($S127&lt;&gt;"",EDATE($D127,Milestones!$AA$117)&gt;=$S127),$V127,$U127)))=Milestones!$AB$117),UPPER(TEXT(EDATE($D127,Milestones!$AA$117),"dd mmm yy"))&amp;" "&amp;Milestones!$AB$117&amp;" "&amp;Milestones!$AC$117&amp;";  ","")&amp;IF(AND(EDATE($D127,Milestones!$AA$118)&lt;=AsOfDate,IF($R127=0,$X127,IF(AND($T127&lt;&gt;"",EDATE($D127,Milestones!$AA$118)&gt;=$T127),$W127,IF(AND($S127&lt;&gt;"",EDATE($D127,Milestones!$AA$118)&gt;=$S127),$V127,$U127)))=Milestones!$AB$118),UPPER(TEXT(EDATE($D127,Milestones!$AA$118),"dd mmm yy"))&amp;" "&amp;Milestones!$AB$118&amp;" "&amp;Milestones!$AC$118&amp;";  ","")&amp;IF(AND(EDATE($D127,Milestones!$AA$119)&lt;=AsOfDate,IF($R127=0,$X127,IF(AND($T127&lt;&gt;"",EDATE($D127,Milestones!$AA$119)&gt;=$T127),$W127,IF(AND($S127&lt;&gt;"",EDATE($D127,Milestones!$AA$119)&gt;=$S127),$V127,$U127)))=Milestones!$AB$119),UPPER(TEXT(EDATE($D127,Milestones!$AA$119),"dd mmm yy"))&amp;" "&amp;Milestones!$AB$119&amp;" "&amp;Milestones!$AC$119&amp;";  ",""))</f>
        <v/>
      </c>
      <c r="N127" s="0" t="str">
        <f aca="false">IF(OR($A127="",$D127=""),"",IF(AND(EDATE($D127,Milestones!$AA$120)&lt;=AsOfDate,IF($R127=0,$X127,IF(AND($T127&lt;&gt;"",EDATE($D127,Milestones!$AA$120)&gt;=$T127),$W127,IF(AND($S127&lt;&gt;"",EDATE($D127,Milestones!$AA$120)&gt;=$S127),$V127,$U127)))=Milestones!$AB$120),UPPER(TEXT(EDATE($D127,Milestones!$AA$120),"dd mmm yy"))&amp;" "&amp;Milestones!$AB$120&amp;" "&amp;Milestones!$AC$120&amp;";  ","")&amp;IF(AND(EDATE($D127,Milestones!$AA$121)&lt;=AsOfDate,IF($R127=0,$X127,IF(AND($T127&lt;&gt;"",EDATE($D127,Milestones!$AA$121)&gt;=$T127),$W127,IF(AND($S127&lt;&gt;"",EDATE($D127,Milestones!$AA$121)&gt;=$S127),$V127,$U127)))=Milestones!$AB$121),UPPER(TEXT(EDATE($D127,Milestones!$AA$121),"dd mmm yy"))&amp;" "&amp;Milestones!$AB$121&amp;" "&amp;Milestones!$AC$121&amp;";  ","")&amp;IF(AND(EDATE($D127,Milestones!$AA$122)&lt;=AsOfDate,IF($R127=0,$X127,IF(AND($T127&lt;&gt;"",EDATE($D127,Milestones!$AA$122)&gt;=$T127),$W127,IF(AND($S127&lt;&gt;"",EDATE($D127,Milestones!$AA$122)&gt;=$S127),$V127,$U127)))=Milestones!$AB$122),UPPER(TEXT(EDATE($D127,Milestones!$AA$122),"dd mmm yy"))&amp;" "&amp;Milestones!$AB$122&amp;" "&amp;Milestones!$AC$122&amp;";  ","")&amp;IF(AND(EDATE($D127,Milestones!$AA$123)&lt;=AsOfDate,IF($R127=0,$X127,IF(AND($T127&lt;&gt;"",EDATE($D127,Milestones!$AA$123)&gt;=$T127),$W127,IF(AND($S127&lt;&gt;"",EDATE($D127,Milestones!$AA$123)&gt;=$S127),$V127,$U127)))=Milestones!$AB$123),UPPER(TEXT(EDATE($D127,Milestones!$AA$123),"dd mmm yy"))&amp;" "&amp;Milestones!$AB$123&amp;" "&amp;Milestones!$AC$123&amp;";  ","")&amp;IF(AND(EDATE($D127,Milestones!$AA$124)&lt;=AsOfDate,IF($R127=0,$X127,IF(AND($T127&lt;&gt;"",EDATE($D127,Milestones!$AA$124)&gt;=$T127),$W127,IF(AND($S127&lt;&gt;"",EDATE($D127,Milestones!$AA$124)&gt;=$S127),$V127,$U127)))=Milestones!$AB$124),UPPER(TEXT(EDATE($D127,Milestones!$AA$124),"dd mmm yy"))&amp;" "&amp;Milestones!$AB$124&amp;" "&amp;Milestones!$AC$124&amp;";  ","")&amp;IF(AND(EDATE($D127,Milestones!$AA$125)&lt;=AsOfDate,IF($R127=0,$X127,IF(AND($T127&lt;&gt;"",EDATE($D127,Milestones!$AA$125)&gt;=$T127),$W127,IF(AND($S127&lt;&gt;"",EDATE($D127,Milestones!$AA$125)&gt;=$S127),$V127,$U127)))=Milestones!$AB$125),UPPER(TEXT(EDATE($D127,Milestones!$AA$125),"dd mmm yy"))&amp;" "&amp;Milestones!$AB$125&amp;" "&amp;Milestones!$AC$125&amp;";  ","")&amp;IF(AND(EDATE($D127,Milestones!$AA$126)&lt;=AsOfDate,IF($R127=0,$X127,IF(AND($T127&lt;&gt;"",EDATE($D127,Milestones!$AA$126)&gt;=$T127),$W127,IF(AND($S127&lt;&gt;"",EDATE($D127,Milestones!$AA$126)&gt;=$S127),$V127,$U127)))=Milestones!$AB$126),UPPER(TEXT(EDATE($D127,Milestones!$AA$126),"dd mmm yy"))&amp;" "&amp;Milestones!$AB$126&amp;" "&amp;Milestones!$AC$126&amp;";  ","")&amp;IF(AND(EDATE($D127,Milestones!$AA$127)&lt;=AsOfDate,IF($R127=0,$X127,IF(AND($T127&lt;&gt;"",EDATE($D127,Milestones!$AA$127)&gt;=$T127),$W127,IF(AND($S127&lt;&gt;"",EDATE($D127,Milestones!$AA$127)&gt;=$S127),$V127,$U127)))=Milestones!$AB$127),UPPER(TEXT(EDATE($D127,Milestones!$AA$127),"dd mmm yy"))&amp;" "&amp;Milestones!$AB$127&amp;" "&amp;Milestones!$AC$127&amp;";  ","")&amp;IF(AND(EDATE($D127,Milestones!$AA$128)&lt;=AsOfDate,IF($R127=0,$X127,IF(AND($T127&lt;&gt;"",EDATE($D127,Milestones!$AA$128)&gt;=$T127),$W127,IF(AND($S127&lt;&gt;"",EDATE($D127,Milestones!$AA$128)&gt;=$S127),$V127,$U127)))=Milestones!$AB$128),UPPER(TEXT(EDATE($D127,Milestones!$AA$128),"dd mmm yy"))&amp;" "&amp;Milestones!$AB$128&amp;" "&amp;Milestones!$AC$128&amp;";  ","")&amp;IF(AND(EDATE($D127,Milestones!$AA$129)&lt;=AsOfDate,IF($R127=0,$X127,IF(AND($T127&lt;&gt;"",EDATE($D127,Milestones!$AA$129)&gt;=$T127),$W127,IF(AND($S127&lt;&gt;"",EDATE($D127,Milestones!$AA$129)&gt;=$S127),$V127,$U127)))=Milestones!$AB$129),UPPER(TEXT(EDATE($D127,Milestones!$AA$129),"dd mmm yy"))&amp;" "&amp;Milestones!$AB$129&amp;" "&amp;Milestones!$AC$129&amp;";  ","")&amp;IF(AND(EDATE($D127,Milestones!$AA$130)&lt;=AsOfDate,IF($R127=0,$X127,IF(AND($T127&lt;&gt;"",EDATE($D127,Milestones!$AA$130)&gt;=$T127),$W127,IF(AND($S127&lt;&gt;"",EDATE($D127,Milestones!$AA$130)&gt;=$S127),$V127,$U127)))=Milestones!$AB$130),UPPER(TEXT(EDATE($D127,Milestones!$AA$130),"dd mmm yy"))&amp;" "&amp;Milestones!$AB$130&amp;" "&amp;Milestones!$AC$130&amp;";  ","")&amp;IF(AND(EDATE($D127,Milestones!$AA$131)&lt;=AsOfDate,IF($R127=0,$X127,IF(AND($T127&lt;&gt;"",EDATE($D127,Milestones!$AA$131)&gt;=$T127),$W127,IF(AND($S127&lt;&gt;"",EDATE($D127,Milestones!$AA$131)&gt;=$S127),$V127,$U127)))=Milestones!$AB$131),UPPER(TEXT(EDATE($D127,Milestones!$AA$131),"dd mmm yy"))&amp;" "&amp;Milestones!$AB$131&amp;" "&amp;Milestones!$AC$131&amp;";  ","")&amp;IF(AND(EDATE($D127,Milestones!$AA$132)&lt;=AsOfDate,IF($R127=0,$X127,IF(AND($T127&lt;&gt;"",EDATE($D127,Milestones!$AA$132)&gt;=$T127),$W127,IF(AND($S127&lt;&gt;"",EDATE($D127,Milestones!$AA$132)&gt;=$S127),$V127,$U127)))=Milestones!$AB$132),UPPER(TEXT(EDATE($D127,Milestones!$AA$132),"dd mmm yy"))&amp;" "&amp;Milestones!$AB$132&amp;" "&amp;Milestones!$AC$132&amp;";  ","")&amp;IF(AND(EDATE($D127,Milestones!$AA$133)&lt;=AsOfDate,IF($R127=0,$X127,IF(AND($T127&lt;&gt;"",EDATE($D127,Milestones!$AA$133)&gt;=$T127),$W127,IF(AND($S127&lt;&gt;"",EDATE($D127,Milestones!$AA$133)&gt;=$S127),$V127,$U127)))=Milestones!$AB$133),UPPER(TEXT(EDATE($D127,Milestones!$AA$133),"dd mmm yy"))&amp;" "&amp;Milestones!$AB$133&amp;" "&amp;Milestones!$AC$133&amp;";  ","")&amp;IF(AND(EDATE($D127,Milestones!$AA$134)&lt;=AsOfDate,IF($R127=0,$X127,IF(AND($T127&lt;&gt;"",EDATE($D127,Milestones!$AA$134)&gt;=$T127),$W127,IF(AND($S127&lt;&gt;"",EDATE($D127,Milestones!$AA$134)&gt;=$S127),$V127,$U127)))=Milestones!$AB$134),UPPER(TEXT(EDATE($D127,Milestones!$AA$134),"dd mmm yy"))&amp;" "&amp;Milestones!$AB$134&amp;" "&amp;Milestones!$AC$134&amp;";  ","")&amp;IF(AND(EDATE($D127,Milestones!$AA$135)&lt;=AsOfDate,IF($R127=0,$X127,IF(AND($T127&lt;&gt;"",EDATE($D127,Milestones!$AA$135)&gt;=$T127),$W127,IF(AND($S127&lt;&gt;"",EDATE($D127,Milestones!$AA$135)&gt;=$S127),$V127,$U127)))=Milestones!$AB$135),UPPER(TEXT(EDATE($D127,Milestones!$AA$135),"dd mmm yy"))&amp;" "&amp;Milestones!$AB$135&amp;" "&amp;Milestones!$AC$135&amp;";  ","")&amp;IF(AND(EDATE($D127,Milestones!$AA$136)&lt;=AsOfDate,IF($R127=0,$X127,IF(AND($T127&lt;&gt;"",EDATE($D127,Milestones!$AA$136)&gt;=$T127),$W127,IF(AND($S127&lt;&gt;"",EDATE($D127,Milestones!$AA$136)&gt;=$S127),$V127,$U127)))=Milestones!$AB$136),UPPER(TEXT(EDATE($D127,Milestones!$AA$136),"dd mmm yy"))&amp;" "&amp;Milestones!$AB$136&amp;" "&amp;Milestones!$AC$136&amp;";  ","")&amp;IF(AND(EDATE($D127,Milestones!$AA$137)&lt;=AsOfDate,IF($R127=0,$X127,IF(AND($T127&lt;&gt;"",EDATE($D127,Milestones!$AA$137)&gt;=$T127),$W127,IF(AND($S127&lt;&gt;"",EDATE($D127,Milestones!$AA$137)&gt;=$S127),$V127,$U127)))=Milestones!$AB$137),UPPER(TEXT(EDATE($D127,Milestones!$AA$137),"dd mmm yy"))&amp;" "&amp;Milestones!$AB$137&amp;" "&amp;Milestones!$AC$137&amp;";  ","")&amp;IF(AND(EDATE($D127,Milestones!$AA$138)&lt;=AsOfDate,IF($R127=0,$X127,IF(AND($T127&lt;&gt;"",EDATE($D127,Milestones!$AA$138)&gt;=$T127),$W127,IF(AND($S127&lt;&gt;"",EDATE($D127,Milestones!$AA$138)&gt;=$S127),$V127,$U127)))=Milestones!$AB$138),UPPER(TEXT(EDATE($D127,Milestones!$AA$138),"dd mmm yy"))&amp;" "&amp;Milestones!$AB$138&amp;" "&amp;Milestones!$AC$138&amp;";  ","")&amp;IF(AND(EDATE($D127,Milestones!$AA$139)&lt;=AsOfDate,IF($R127=0,$X127,IF(AND($T127&lt;&gt;"",EDATE($D127,Milestones!$AA$139)&gt;=$T127),$W127,IF(AND($S127&lt;&gt;"",EDATE($D127,Milestones!$AA$139)&gt;=$S127),$V127,$U127)))=Milestones!$AB$139),UPPER(TEXT(EDATE($D127,Milestones!$AA$139),"dd mmm yy"))&amp;" "&amp;Milestones!$AB$139&amp;" "&amp;Milestones!$AC$139&amp;";  ",""))</f>
        <v/>
      </c>
      <c r="O127" s="0" t="str">
        <f aca="false">IF(OR($A127="",$D127=""),"",IF(AND(EDATE($D127,Milestones!$AA$140)&lt;=AsOfDate,IF($R127=0,$X127,IF(AND($T127&lt;&gt;"",EDATE($D127,Milestones!$AA$140)&gt;=$T127),$W127,IF(AND($S127&lt;&gt;"",EDATE($D127,Milestones!$AA$140)&gt;=$S127),$V127,$U127)))=Milestones!$AB$140),UPPER(TEXT(EDATE($D127,Milestones!$AA$140),"dd mmm yy"))&amp;" "&amp;Milestones!$AB$140&amp;" "&amp;Milestones!$AC$140&amp;";  ","")&amp;IF(AND(EDATE($D127,Milestones!$AA$141)&lt;=AsOfDate,IF($R127=0,$X127,IF(AND($T127&lt;&gt;"",EDATE($D127,Milestones!$AA$141)&gt;=$T127),$W127,IF(AND($S127&lt;&gt;"",EDATE($D127,Milestones!$AA$141)&gt;=$S127),$V127,$U127)))=Milestones!$AB$141),UPPER(TEXT(EDATE($D127,Milestones!$AA$141),"dd mmm yy"))&amp;" "&amp;Milestones!$AB$141&amp;" "&amp;Milestones!$AC$141&amp;";  ","")&amp;IF(AND(EDATE($D127,Milestones!$AA$142)&lt;=AsOfDate,IF($R127=0,$X127,IF(AND($T127&lt;&gt;"",EDATE($D127,Milestones!$AA$142)&gt;=$T127),$W127,IF(AND($S127&lt;&gt;"",EDATE($D127,Milestones!$AA$142)&gt;=$S127),$V127,$U127)))=Milestones!$AB$142),UPPER(TEXT(EDATE($D127,Milestones!$AA$142),"dd mmm yy"))&amp;" "&amp;Milestones!$AB$142&amp;" "&amp;Milestones!$AC$142&amp;";  ","")&amp;IF(AND(EDATE($D127,Milestones!$AA$143)&lt;=AsOfDate,IF($R127=0,$X127,IF(AND($T127&lt;&gt;"",EDATE($D127,Milestones!$AA$143)&gt;=$T127),$W127,IF(AND($S127&lt;&gt;"",EDATE($D127,Milestones!$AA$143)&gt;=$S127),$V127,$U127)))=Milestones!$AB$143),UPPER(TEXT(EDATE($D127,Milestones!$AA$143),"dd mmm yy"))&amp;" "&amp;Milestones!$AB$143&amp;" "&amp;Milestones!$AC$143&amp;";  ","")&amp;IF(AND(EDATE($D127,Milestones!$AA$144)&lt;=AsOfDate,IF($R127=0,$X127,IF(AND($T127&lt;&gt;"",EDATE($D127,Milestones!$AA$144)&gt;=$T127),$W127,IF(AND($S127&lt;&gt;"",EDATE($D127,Milestones!$AA$144)&gt;=$S127),$V127,$U127)))=Milestones!$AB$144),UPPER(TEXT(EDATE($D127,Milestones!$AA$144),"dd mmm yy"))&amp;" "&amp;Milestones!$AB$144&amp;" "&amp;Milestones!$AC$144&amp;";  ","")&amp;IF(AND(EDATE($D127,Milestones!$AA$145)&lt;=AsOfDate,IF($R127=0,$X127,IF(AND($T127&lt;&gt;"",EDATE($D127,Milestones!$AA$145)&gt;=$T127),$W127,IF(AND($S127&lt;&gt;"",EDATE($D127,Milestones!$AA$145)&gt;=$S127),$V127,$U127)))=Milestones!$AB$145),UPPER(TEXT(EDATE($D127,Milestones!$AA$145),"dd mmm yy"))&amp;" "&amp;Milestones!$AB$145&amp;" "&amp;Milestones!$AC$145&amp;";  ","")&amp;IF(AND(EDATE($D127,Milestones!$AA$146)&lt;=AsOfDate,IF($R127=0,$X127,IF(AND($T127&lt;&gt;"",EDATE($D127,Milestones!$AA$146)&gt;=$T127),$W127,IF(AND($S127&lt;&gt;"",EDATE($D127,Milestones!$AA$146)&gt;=$S127),$V127,$U127)))=Milestones!$AB$146),UPPER(TEXT(EDATE($D127,Milestones!$AA$146),"dd mmm yy"))&amp;" "&amp;Milestones!$AB$146&amp;" "&amp;Milestones!$AC$146&amp;";  ","")&amp;IF(AND(EDATE($D127,Milestones!$AA$147)&lt;=AsOfDate,IF($R127=0,$X127,IF(AND($T127&lt;&gt;"",EDATE($D127,Milestones!$AA$147)&gt;=$T127),$W127,IF(AND($S127&lt;&gt;"",EDATE($D127,Milestones!$AA$147)&gt;=$S127),$V127,$U127)))=Milestones!$AB$147),UPPER(TEXT(EDATE($D127,Milestones!$AA$147),"dd mmm yy"))&amp;" "&amp;Milestones!$AB$147&amp;" "&amp;Milestones!$AC$147&amp;";  ","")&amp;IF(AND(EDATE($D127,Milestones!$AA$148)&lt;=AsOfDate,IF($R127=0,$X127,IF(AND($T127&lt;&gt;"",EDATE($D127,Milestones!$AA$148)&gt;=$T127),$W127,IF(AND($S127&lt;&gt;"",EDATE($D127,Milestones!$AA$148)&gt;=$S127),$V127,$U127)))=Milestones!$AB$148),UPPER(TEXT(EDATE($D127,Milestones!$AA$148),"dd mmm yy"))&amp;" "&amp;Milestones!$AB$148&amp;" "&amp;Milestones!$AC$148&amp;";  ","")&amp;IF(AND(EDATE($D127,Milestones!$AA$149)&lt;=AsOfDate,IF($R127=0,$X127,IF(AND($T127&lt;&gt;"",EDATE($D127,Milestones!$AA$149)&gt;=$T127),$W127,IF(AND($S127&lt;&gt;"",EDATE($D127,Milestones!$AA$149)&gt;=$S127),$V127,$U127)))=Milestones!$AB$149),UPPER(TEXT(EDATE($D127,Milestones!$AA$149),"dd mmm yy"))&amp;" "&amp;Milestones!$AB$149&amp;" "&amp;Milestones!$AC$149&amp;";  ","")&amp;IF(AND(EDATE($D127,Milestones!$AA$150)&lt;=AsOfDate,IF($R127=0,$X127,IF(AND($T127&lt;&gt;"",EDATE($D127,Milestones!$AA$150)&gt;=$T127),$W127,IF(AND($S127&lt;&gt;"",EDATE($D127,Milestones!$AA$150)&gt;=$S127),$V127,$U127)))=Milestones!$AB$150),UPPER(TEXT(EDATE($D127,Milestones!$AA$150),"dd mmm yy"))&amp;" "&amp;Milestones!$AB$150&amp;" "&amp;Milestones!$AC$150&amp;";  ","")&amp;IF(AND(EDATE($D127,Milestones!$AA$151)&lt;=AsOfDate,IF($R127=0,$X127,IF(AND($T127&lt;&gt;"",EDATE($D127,Milestones!$AA$151)&gt;=$T127),$W127,IF(AND($S127&lt;&gt;"",EDATE($D127,Milestones!$AA$151)&gt;=$S127),$V127,$U127)))=Milestones!$AB$151),UPPER(TEXT(EDATE($D127,Milestones!$AA$151),"dd mmm yy"))&amp;" "&amp;Milestones!$AB$151&amp;" "&amp;Milestones!$AC$151&amp;";  ","")&amp;IF(AND(EDATE($D127,Milestones!$AA$152)&lt;=AsOfDate,IF($R127=0,$X127,IF(AND($T127&lt;&gt;"",EDATE($D127,Milestones!$AA$152)&gt;=$T127),$W127,IF(AND($S127&lt;&gt;"",EDATE($D127,Milestones!$AA$152)&gt;=$S127),$V127,$U127)))=Milestones!$AB$152),UPPER(TEXT(EDATE($D127,Milestones!$AA$152),"dd mmm yy"))&amp;" "&amp;Milestones!$AB$152&amp;" "&amp;Milestones!$AC$152&amp;";  ","")&amp;IF(AND(EDATE($D127,Milestones!$AA$153)&lt;=AsOfDate,IF($R127=0,$X127,IF(AND($T127&lt;&gt;"",EDATE($D127,Milestones!$AA$153)&gt;=$T127),$W127,IF(AND($S127&lt;&gt;"",EDATE($D127,Milestones!$AA$153)&gt;=$S127),$V127,$U127)))=Milestones!$AB$153),UPPER(TEXT(EDATE($D127,Milestones!$AA$153),"dd mmm yy"))&amp;" "&amp;Milestones!$AB$153&amp;" "&amp;Milestones!$AC$153&amp;";  ","")&amp;IF(AND(EDATE($D127,Milestones!$AA$154)&lt;=AsOfDate,IF($R127=0,$X127,IF(AND($T127&lt;&gt;"",EDATE($D127,Milestones!$AA$154)&gt;=$T127),$W127,IF(AND($S127&lt;&gt;"",EDATE($D127,Milestones!$AA$154)&gt;=$S127),$V127,$U127)))=Milestones!$AB$154),UPPER(TEXT(EDATE($D127,Milestones!$AA$154),"dd mmm yy"))&amp;" "&amp;Milestones!$AB$154&amp;" "&amp;Milestones!$AC$154&amp;";  ","")&amp;IF(AND(EDATE($D127,Milestones!$AA$155)&lt;=AsOfDate,IF($R127=0,$X127,IF(AND($T127&lt;&gt;"",EDATE($D127,Milestones!$AA$155)&gt;=$T127),$W127,IF(AND($S127&lt;&gt;"",EDATE($D127,Milestones!$AA$155)&gt;=$S127),$V127,$U127)))=Milestones!$AB$155),UPPER(TEXT(EDATE($D127,Milestones!$AA$155),"dd mmm yy"))&amp;" "&amp;Milestones!$AB$155&amp;" "&amp;Milestones!$AC$155&amp;";  ","")&amp;IF(AND(EDATE($D127,Milestones!$AA$156)&lt;=AsOfDate,IF($R127=0,$X127,IF(AND($T127&lt;&gt;"",EDATE($D127,Milestones!$AA$156)&gt;=$T127),$W127,IF(AND($S127&lt;&gt;"",EDATE($D127,Milestones!$AA$156)&gt;=$S127),$V127,$U127)))=Milestones!$AB$156),UPPER(TEXT(EDATE($D127,Milestones!$AA$156),"dd mmm yy"))&amp;" "&amp;Milestones!$AB$156&amp;" "&amp;Milestones!$AC$156&amp;";  ","")&amp;IF(AND(EDATE($D127,Milestones!$AA$157)&lt;=AsOfDate,IF($R127=0,$X127,IF(AND($T127&lt;&gt;"",EDATE($D127,Milestones!$AA$157)&gt;=$T127),$W127,IF(AND($S127&lt;&gt;"",EDATE($D127,Milestones!$AA$157)&gt;=$S127),$V127,$U127)))=Milestones!$AB$157),UPPER(TEXT(EDATE($D127,Milestones!$AA$157),"dd mmm yy"))&amp;" "&amp;Milestones!$AB$157&amp;" "&amp;Milestones!$AC$157&amp;";  ","")&amp;IF(AND(EDATE($D127,Milestones!$AA$158)&lt;=AsOfDate,IF($R127=0,$X127,IF(AND($T127&lt;&gt;"",EDATE($D127,Milestones!$AA$158)&gt;=$T127),$W127,IF(AND($S127&lt;&gt;"",EDATE($D127,Milestones!$AA$158)&gt;=$S127),$V127,$U127)))=Milestones!$AB$158),UPPER(TEXT(EDATE($D127,Milestones!$AA$158),"dd mmm yy"))&amp;" "&amp;Milestones!$AB$158&amp;" "&amp;Milestones!$AC$158&amp;";  ","")&amp;IF(AND(EDATE($D127,Milestones!$AA$159)&lt;=AsOfDate,IF($R127=0,$X127,IF(AND($T127&lt;&gt;"",EDATE($D127,Milestones!$AA$159)&gt;=$T127),$W127,IF(AND($S127&lt;&gt;"",EDATE($D127,Milestones!$AA$159)&gt;=$S127),$V127,$U127)))=Milestones!$AB$159),UPPER(TEXT(EDATE($D127,Milestones!$AA$159),"dd mmm yy"))&amp;" "&amp;Milestones!$AB$159&amp;" "&amp;Milestones!$AC$159&amp;";  ",""))</f>
        <v/>
      </c>
      <c r="P127" s="0" t="str">
        <f aca="false">IF(OR($A127="",$D127=""),"",IF(AND(EDATE($D127,Milestones!$AA$160)&lt;=AsOfDate,IF($R127=0,$X127,IF(AND($T127&lt;&gt;"",EDATE($D127,Milestones!$AA$160)&gt;=$T127),$W127,IF(AND($S127&lt;&gt;"",EDATE($D127,Milestones!$AA$160)&gt;=$S127),$V127,$U127)))=Milestones!$AB$160),UPPER(TEXT(EDATE($D127,Milestones!$AA$160),"dd mmm yy"))&amp;" "&amp;Milestones!$AB$160&amp;" "&amp;Milestones!$AC$160&amp;";  ","")&amp;IF(AND(EDATE($D127,Milestones!$AA$161)&lt;=AsOfDate,IF($R127=0,$X127,IF(AND($T127&lt;&gt;"",EDATE($D127,Milestones!$AA$161)&gt;=$T127),$W127,IF(AND($S127&lt;&gt;"",EDATE($D127,Milestones!$AA$161)&gt;=$S127),$V127,$U127)))=Milestones!$AB$161),UPPER(TEXT(EDATE($D127,Milestones!$AA$161),"dd mmm yy"))&amp;" "&amp;Milestones!$AB$161&amp;" "&amp;Milestones!$AC$161&amp;";  ","")&amp;IF(AND(EDATE($D127,Milestones!$AA$162)&lt;=AsOfDate,IF($R127=0,$X127,IF(AND($T127&lt;&gt;"",EDATE($D127,Milestones!$AA$162)&gt;=$T127),$W127,IF(AND($S127&lt;&gt;"",EDATE($D127,Milestones!$AA$162)&gt;=$S127),$V127,$U127)))=Milestones!$AB$162),UPPER(TEXT(EDATE($D127,Milestones!$AA$162),"dd mmm yy"))&amp;" "&amp;Milestones!$AB$162&amp;" "&amp;Milestones!$AC$162&amp;";  ","")&amp;IF(AND(EDATE($D127,Milestones!$AA$163)&lt;=AsOfDate,IF($R127=0,$X127,IF(AND($T127&lt;&gt;"",EDATE($D127,Milestones!$AA$163)&gt;=$T127),$W127,IF(AND($S127&lt;&gt;"",EDATE($D127,Milestones!$AA$163)&gt;=$S127),$V127,$U127)))=Milestones!$AB$163),UPPER(TEXT(EDATE($D127,Milestones!$AA$163),"dd mmm yy"))&amp;" "&amp;Milestones!$AB$163&amp;" "&amp;Milestones!$AC$163&amp;";  ","")&amp;IF(AND(EDATE($D127,Milestones!$AA$164)&lt;=AsOfDate,IF($R127=0,$X127,IF(AND($T127&lt;&gt;"",EDATE($D127,Milestones!$AA$164)&gt;=$T127),$W127,IF(AND($S127&lt;&gt;"",EDATE($D127,Milestones!$AA$164)&gt;=$S127),$V127,$U127)))=Milestones!$AB$164),UPPER(TEXT(EDATE($D127,Milestones!$AA$164),"dd mmm yy"))&amp;" "&amp;Milestones!$AB$164&amp;" "&amp;Milestones!$AC$164&amp;";  ","")&amp;IF(AND(EDATE($D127,Milestones!$AA$165)&lt;=AsOfDate,IF($R127=0,$X127,IF(AND($T127&lt;&gt;"",EDATE($D127,Milestones!$AA$165)&gt;=$T127),$W127,IF(AND($S127&lt;&gt;"",EDATE($D127,Milestones!$AA$165)&gt;=$S127),$V127,$U127)))=Milestones!$AB$165),UPPER(TEXT(EDATE($D127,Milestones!$AA$165),"dd mmm yy"))&amp;" "&amp;Milestones!$AB$165&amp;" "&amp;Milestones!$AC$165&amp;";  ","")&amp;IF(AND(EDATE($D127,Milestones!$AA$166)&lt;=AsOfDate,IF($R127=0,$X127,IF(AND($T127&lt;&gt;"",EDATE($D127,Milestones!$AA$166)&gt;=$T127),$W127,IF(AND($S127&lt;&gt;"",EDATE($D127,Milestones!$AA$166)&gt;=$S127),$V127,$U127)))=Milestones!$AB$166),UPPER(TEXT(EDATE($D127,Milestones!$AA$166),"dd mmm yy"))&amp;" "&amp;Milestones!$AB$166&amp;" "&amp;Milestones!$AC$166&amp;";  ","")&amp;IF(AND(EDATE($D127,Milestones!$AA$167)&lt;=AsOfDate,IF($R127=0,$X127,IF(AND($T127&lt;&gt;"",EDATE($D127,Milestones!$AA$167)&gt;=$T127),$W127,IF(AND($S127&lt;&gt;"",EDATE($D127,Milestones!$AA$167)&gt;=$S127),$V127,$U127)))=Milestones!$AB$167),UPPER(TEXT(EDATE($D127,Milestones!$AA$167),"dd mmm yy"))&amp;" "&amp;Milestones!$AB$167&amp;" "&amp;Milestones!$AC$167&amp;";  ","")&amp;IF(AND(EDATE($D127,Milestones!$AA$168)&lt;=AsOfDate,IF($R127=0,$X127,IF(AND($T127&lt;&gt;"",EDATE($D127,Milestones!$AA$168)&gt;=$T127),$W127,IF(AND($S127&lt;&gt;"",EDATE($D127,Milestones!$AA$168)&gt;=$S127),$V127,$U127)))=Milestones!$AB$168),UPPER(TEXT(EDATE($D127,Milestones!$AA$168),"dd mmm yy"))&amp;" "&amp;Milestones!$AB$168&amp;" "&amp;Milestones!$AC$168&amp;";  ","")&amp;IF(AND(EDATE($D127,Milestones!$AA$169)&lt;=AsOfDate,IF($R127=0,$X127,IF(AND($T127&lt;&gt;"",EDATE($D127,Milestones!$AA$169)&gt;=$T127),$W127,IF(AND($S127&lt;&gt;"",EDATE($D127,Milestones!$AA$169)&gt;=$S127),$V127,$U127)))=Milestones!$AB$169),UPPER(TEXT(EDATE($D127,Milestones!$AA$169),"dd mmm yy"))&amp;" "&amp;Milestones!$AB$169&amp;" "&amp;Milestones!$AC$169&amp;";  ","")&amp;IF(AND(EDATE($D127,Milestones!$AA$170)&lt;=AsOfDate,IF($R127=0,$X127,IF(AND($T127&lt;&gt;"",EDATE($D127,Milestones!$AA$170)&gt;=$T127),$W127,IF(AND($S127&lt;&gt;"",EDATE($D127,Milestones!$AA$170)&gt;=$S127),$V127,$U127)))=Milestones!$AB$170),UPPER(TEXT(EDATE($D127,Milestones!$AA$170),"dd mmm yy"))&amp;" "&amp;Milestones!$AB$170&amp;" "&amp;Milestones!$AC$170&amp;";  ","")&amp;IF(AND(EDATE($D127,Milestones!$AA$171)&lt;=AsOfDate,IF($R127=0,$X127,IF(AND($T127&lt;&gt;"",EDATE($D127,Milestones!$AA$171)&gt;=$T127),$W127,IF(AND($S127&lt;&gt;"",EDATE($D127,Milestones!$AA$171)&gt;=$S127),$V127,$U127)))=Milestones!$AB$171),UPPER(TEXT(EDATE($D127,Milestones!$AA$171),"dd mmm yy"))&amp;" "&amp;Milestones!$AB$171&amp;" "&amp;Milestones!$AC$171&amp;";  ","")&amp;IF(AND(EDATE($D127,Milestones!$AA$172)&lt;=AsOfDate,IF($R127=0,$X127,IF(AND($T127&lt;&gt;"",EDATE($D127,Milestones!$AA$172)&gt;=$T127),$W127,IF(AND($S127&lt;&gt;"",EDATE($D127,Milestones!$AA$172)&gt;=$S127),$V127,$U127)))=Milestones!$AB$172),UPPER(TEXT(EDATE($D127,Milestones!$AA$172),"dd mmm yy"))&amp;" "&amp;Milestones!$AB$172&amp;" "&amp;Milestones!$AC$172&amp;";  ","")&amp;IF(AND(EDATE($D127,Milestones!$AA$173)&lt;=AsOfDate,IF($R127=0,$X127,IF(AND($T127&lt;&gt;"",EDATE($D127,Milestones!$AA$173)&gt;=$T127),$W127,IF(AND($S127&lt;&gt;"",EDATE($D127,Milestones!$AA$173)&gt;=$S127),$V127,$U127)))=Milestones!$AB$173),UPPER(TEXT(EDATE($D127,Milestones!$AA$173),"dd mmm yy"))&amp;" "&amp;Milestones!$AB$173&amp;" "&amp;Milestones!$AC$173&amp;";  ","")&amp;IF(AND(EDATE($D127,Milestones!$AA$174)&lt;=AsOfDate,IF($R127=0,$X127,IF(AND($T127&lt;&gt;"",EDATE($D127,Milestones!$AA$174)&gt;=$T127),$W127,IF(AND($S127&lt;&gt;"",EDATE($D127,Milestones!$AA$174)&gt;=$S127),$V127,$U127)))=Milestones!$AB$174),UPPER(TEXT(EDATE($D127,Milestones!$AA$174),"dd mmm yy"))&amp;" "&amp;Milestones!$AB$174&amp;" "&amp;Milestones!$AC$174&amp;";  ","")&amp;IF(AND(EDATE($D127,Milestones!$AA$175)&lt;=AsOfDate,IF($R127=0,$X127,IF(AND($T127&lt;&gt;"",EDATE($D127,Milestones!$AA$175)&gt;=$T127),$W127,IF(AND($S127&lt;&gt;"",EDATE($D127,Milestones!$AA$175)&gt;=$S127),$V127,$U127)))=Milestones!$AB$175),UPPER(TEXT(EDATE($D127,Milestones!$AA$175),"dd mmm yy"))&amp;" "&amp;Milestones!$AB$175&amp;" "&amp;Milestones!$AC$175&amp;";  ","")&amp;IF(AND(EDATE($D127,Milestones!$AA$176)&lt;=AsOfDate,IF($R127=0,$X127,IF(AND($T127&lt;&gt;"",EDATE($D127,Milestones!$AA$176)&gt;=$T127),$W127,IF(AND($S127&lt;&gt;"",EDATE($D127,Milestones!$AA$176)&gt;=$S127),$V127,$U127)))=Milestones!$AB$176),UPPER(TEXT(EDATE($D127,Milestones!$AA$176),"dd mmm yy"))&amp;" "&amp;Milestones!$AB$176&amp;" "&amp;Milestones!$AC$176&amp;";  ","")&amp;IF(AND(EDATE($D127,Milestones!$AA$177)&lt;=AsOfDate,IF($R127=0,$X127,IF(AND($T127&lt;&gt;"",EDATE($D127,Milestones!$AA$177)&gt;=$T127),$W127,IF(AND($S127&lt;&gt;"",EDATE($D127,Milestones!$AA$177)&gt;=$S127),$V127,$U127)))=Milestones!$AB$177),UPPER(TEXT(EDATE($D127,Milestones!$AA$177),"dd mmm yy"))&amp;" "&amp;Milestones!$AB$177&amp;" "&amp;Milestones!$AC$177&amp;";  ","")&amp;IF(AND(EDATE($D127,Milestones!$AA$178)&lt;=AsOfDate,IF($R127=0,$X127,IF(AND($T127&lt;&gt;"",EDATE($D127,Milestones!$AA$178)&gt;=$T127),$W127,IF(AND($S127&lt;&gt;"",EDATE($D127,Milestones!$AA$178)&gt;=$S127),$V127,$U127)))=Milestones!$AB$178),UPPER(TEXT(EDATE($D127,Milestones!$AA$178),"dd mmm yy"))&amp;" "&amp;Milestones!$AB$178&amp;" "&amp;Milestones!$AC$178&amp;";  ","")&amp;IF(AND(EDATE($D127,Milestones!$AA$179)&lt;=AsOfDate,IF($R127=0,$X127,IF(AND($T127&lt;&gt;"",EDATE($D127,Milestones!$AA$179)&gt;=$T127),$W127,IF(AND($S127&lt;&gt;"",EDATE($D127,Milestones!$AA$179)&gt;=$S127),$V127,$U127)))=Milestones!$AB$179),UPPER(TEXT(EDATE($D127,Milestones!$AA$179),"dd mmm yy"))&amp;" "&amp;Milestones!$AB$179&amp;" "&amp;Milestones!$AC$179&amp;";  ",""))</f>
        <v/>
      </c>
      <c r="Q127" s="0" t="str">
        <f aca="false">IF(OR($A127="",$D127=""),"",IF(AND(EDATE($D127,Milestones!$AA$180)&lt;=AsOfDate,IF($R127=0,$X127,IF(AND($T127&lt;&gt;"",EDATE($D127,Milestones!$AA$180)&gt;=$T127),$W127,IF(AND($S127&lt;&gt;"",EDATE($D127,Milestones!$AA$180)&gt;=$S127),$V127,$U127)))=Milestones!$AB$180),UPPER(TEXT(EDATE($D127,Milestones!$AA$180),"dd mmm yy"))&amp;" "&amp;Milestones!$AB$180&amp;" "&amp;Milestones!$AC$180&amp;";  ","")&amp;IF(AND(EDATE($D127,Milestones!$AA$181)&lt;=AsOfDate,IF($R127=0,$X127,IF(AND($T127&lt;&gt;"",EDATE($D127,Milestones!$AA$181)&gt;=$T127),$W127,IF(AND($S127&lt;&gt;"",EDATE($D127,Milestones!$AA$181)&gt;=$S127),$V127,$U127)))=Milestones!$AB$181),UPPER(TEXT(EDATE($D127,Milestones!$AA$181),"dd mmm yy"))&amp;" "&amp;Milestones!$AB$181&amp;" "&amp;Milestones!$AC$181&amp;";  ","")&amp;IF(AND(EDATE($D127,Milestones!$AA$182)&lt;=AsOfDate,IF($R127=0,$X127,IF(AND($T127&lt;&gt;"",EDATE($D127,Milestones!$AA$182)&gt;=$T127),$W127,IF(AND($S127&lt;&gt;"",EDATE($D127,Milestones!$AA$182)&gt;=$S127),$V127,$U127)))=Milestones!$AB$182),UPPER(TEXT(EDATE($D127,Milestones!$AA$182),"dd mmm yy"))&amp;" "&amp;Milestones!$AB$182&amp;" "&amp;Milestones!$AC$182&amp;";  ","")&amp;IF(AND(EDATE($D127,Milestones!$AA$183)&lt;=AsOfDate,IF($R127=0,$X127,IF(AND($T127&lt;&gt;"",EDATE($D127,Milestones!$AA$183)&gt;=$T127),$W127,IF(AND($S127&lt;&gt;"",EDATE($D127,Milestones!$AA$183)&gt;=$S127),$V127,$U127)))=Milestones!$AB$183),UPPER(TEXT(EDATE($D127,Milestones!$AA$183),"dd mmm yy"))&amp;" "&amp;Milestones!$AB$183&amp;" "&amp;Milestones!$AC$183&amp;";  ","")&amp;IF(AND(EDATE($D127,Milestones!$AA$184)&lt;=AsOfDate,IF($R127=0,$X127,IF(AND($T127&lt;&gt;"",EDATE($D127,Milestones!$AA$184)&gt;=$T127),$W127,IF(AND($S127&lt;&gt;"",EDATE($D127,Milestones!$AA$184)&gt;=$S127),$V127,$U127)))=Milestones!$AB$184),UPPER(TEXT(EDATE($D127,Milestones!$AA$184),"dd mmm yy"))&amp;" "&amp;Milestones!$AB$184&amp;" "&amp;Milestones!$AC$184&amp;";  ","")&amp;IF(AND(EDATE($D127,Milestones!$AA$185)&lt;=AsOfDate,IF($R127=0,$X127,IF(AND($T127&lt;&gt;"",EDATE($D127,Milestones!$AA$185)&gt;=$T127),$W127,IF(AND($S127&lt;&gt;"",EDATE($D127,Milestones!$AA$185)&gt;=$S127),$V127,$U127)))=Milestones!$AB$185),UPPER(TEXT(EDATE($D127,Milestones!$AA$185),"dd mmm yy"))&amp;" "&amp;Milestones!$AB$185&amp;" "&amp;Milestones!$AC$185&amp;";  ","")&amp;IF(AND(EDATE($D127,Milestones!$AA$186)&lt;=AsOfDate,IF($R127=0,$X127,IF(AND($T127&lt;&gt;"",EDATE($D127,Milestones!$AA$186)&gt;=$T127),$W127,IF(AND($S127&lt;&gt;"",EDATE($D127,Milestones!$AA$186)&gt;=$S127),$V127,$U127)))=Milestones!$AB$186),UPPER(TEXT(EDATE($D127,Milestones!$AA$186),"dd mmm yy"))&amp;" "&amp;Milestones!$AB$186&amp;" "&amp;Milestones!$AC$186&amp;";  ","")&amp;IF(AND(EDATE($D127,Milestones!$AA$187)&lt;=AsOfDate,IF($R127=0,$X127,IF(AND($T127&lt;&gt;"",EDATE($D127,Milestones!$AA$187)&gt;=$T127),$W127,IF(AND($S127&lt;&gt;"",EDATE($D127,Milestones!$AA$187)&gt;=$S127),$V127,$U127)))=Milestones!$AB$187),UPPER(TEXT(EDATE($D127,Milestones!$AA$187),"dd mmm yy"))&amp;" "&amp;Milestones!$AB$187&amp;" "&amp;Milestones!$AC$187&amp;";  ","")&amp;IF(AND(EDATE($D127,Milestones!$AA$188)&lt;=AsOfDate,IF($R127=0,$X127,IF(AND($T127&lt;&gt;"",EDATE($D127,Milestones!$AA$188)&gt;=$T127),$W127,IF(AND($S127&lt;&gt;"",EDATE($D127,Milestones!$AA$188)&gt;=$S127),$V127,$U127)))=Milestones!$AB$188),UPPER(TEXT(EDATE($D127,Milestones!$AA$188),"dd mmm yy"))&amp;" "&amp;Milestones!$AB$188&amp;" "&amp;Milestones!$AC$188&amp;";  ","")&amp;IF(AND(EDATE($D127,Milestones!$AA$189)&lt;=AsOfDate,IF($R127=0,$X127,IF(AND($T127&lt;&gt;"",EDATE($D127,Milestones!$AA$189)&gt;=$T127),$W127,IF(AND($S127&lt;&gt;"",EDATE($D127,Milestones!$AA$189)&gt;=$S127),$V127,$U127)))=Milestones!$AB$189),UPPER(TEXT(EDATE($D127,Milestones!$AA$189),"dd mmm yy"))&amp;" "&amp;Milestones!$AB$189&amp;" "&amp;Milestones!$AC$189&amp;";  ","")&amp;IF(AND(EDATE($D127,Milestones!$AA$190)&lt;=AsOfDate,IF($R127=0,$X127,IF(AND($T127&lt;&gt;"",EDATE($D127,Milestones!$AA$190)&gt;=$T127),$W127,IF(AND($S127&lt;&gt;"",EDATE($D127,Milestones!$AA$190)&gt;=$S127),$V127,$U127)))=Milestones!$AB$190),UPPER(TEXT(EDATE($D127,Milestones!$AA$190),"dd mmm yy"))&amp;" "&amp;Milestones!$AB$190&amp;" "&amp;Milestones!$AC$190&amp;";  ","")&amp;IF(AND(EDATE($D127,Milestones!$AA$191)&lt;=AsOfDate,IF($R127=0,$X127,IF(AND($T127&lt;&gt;"",EDATE($D127,Milestones!$AA$191)&gt;=$T127),$W127,IF(AND($S127&lt;&gt;"",EDATE($D127,Milestones!$AA$191)&gt;=$S127),$V127,$U127)))=Milestones!$AB$191),UPPER(TEXT(EDATE($D127,Milestones!$AA$191),"dd mmm yy"))&amp;" "&amp;Milestones!$AB$191&amp;" "&amp;Milestones!$AC$191&amp;";  ","")&amp;IF(AND(EDATE($D127,Milestones!$AA$192)&lt;=AsOfDate,IF($R127=0,$X127,IF(AND($T127&lt;&gt;"",EDATE($D127,Milestones!$AA$192)&gt;=$T127),$W127,IF(AND($S127&lt;&gt;"",EDATE($D127,Milestones!$AA$192)&gt;=$S127),$V127,$U127)))=Milestones!$AB$192),UPPER(TEXT(EDATE($D127,Milestones!$AA$192),"dd mmm yy"))&amp;" "&amp;Milestones!$AB$192&amp;" "&amp;Milestones!$AC$192&amp;";  ","")&amp;IF(AND(EDATE($D127,Milestones!$AA$193)&lt;=AsOfDate,IF($R127=0,$X127,IF(AND($T127&lt;&gt;"",EDATE($D127,Milestones!$AA$193)&gt;=$T127),$W127,IF(AND($S127&lt;&gt;"",EDATE($D127,Milestones!$AA$193)&gt;=$S127),$V127,$U127)))=Milestones!$AB$193),UPPER(TEXT(EDATE($D127,Milestones!$AA$193),"dd mmm yy"))&amp;" "&amp;Milestones!$AB$193&amp;" "&amp;Milestones!$AC$193&amp;";  ","")&amp;IF(AND(EDATE($D127,Milestones!$AA$194)&lt;=AsOfDate,IF($R127=0,$X127,IF(AND($T127&lt;&gt;"",EDATE($D127,Milestones!$AA$194)&gt;=$T127),$W127,IF(AND($S127&lt;&gt;"",EDATE($D127,Milestones!$AA$194)&gt;=$S127),$V127,$U127)))=Milestones!$AB$194),UPPER(TEXT(EDATE($D127,Milestones!$AA$194),"dd mmm yy"))&amp;" "&amp;Milestones!$AB$194&amp;" "&amp;Milestones!$AC$194&amp;";  ","")&amp;IF(AND(EDATE($D127,Milestones!$AA$195)&lt;=AsOfDate,IF($R127=0,$X127,IF(AND($T127&lt;&gt;"",EDATE($D127,Milestones!$AA$195)&gt;=$T127),$W127,IF(AND($S127&lt;&gt;"",EDATE($D127,Milestones!$AA$195)&gt;=$S127),$V127,$U127)))=Milestones!$AB$195),UPPER(TEXT(EDATE($D127,Milestones!$AA$195),"dd mmm yy"))&amp;" "&amp;Milestones!$AB$195&amp;" "&amp;Milestones!$AC$195&amp;";  ","")&amp;IF(AND(EDATE($D127,Milestones!$AA$196)&lt;=AsOfDate,IF($R127=0,$X127,IF(AND($T127&lt;&gt;"",EDATE($D127,Milestones!$AA$196)&gt;=$T127),$W127,IF(AND($S127&lt;&gt;"",EDATE($D127,Milestones!$AA$196)&gt;=$S127),$V127,$U127)))=Milestones!$AB$196),UPPER(TEXT(EDATE($D127,Milestones!$AA$196),"dd mmm yy"))&amp;" "&amp;Milestones!$AB$196&amp;" "&amp;Milestones!$AC$196&amp;";  ","")&amp;IF(AND(EDATE($D127,Milestones!$AA$197)&lt;=AsOfDate,IF($R127=0,$X127,IF(AND($T127&lt;&gt;"",EDATE($D127,Milestones!$AA$197)&gt;=$T127),$W127,IF(AND($S127&lt;&gt;"",EDATE($D127,Milestones!$AA$197)&gt;=$S127),$V127,$U127)))=Milestones!$AB$197),UPPER(TEXT(EDATE($D127,Milestones!$AA$197),"dd mmm yy"))&amp;" "&amp;Milestones!$AB$197&amp;" "&amp;Milestones!$AC$197&amp;";  ","")&amp;IF(AND(EDATE($D127,Milestones!$AA$198)&lt;=AsOfDate,IF($R127=0,$X127,IF(AND($T127&lt;&gt;"",EDATE($D127,Milestones!$AA$198)&gt;=$T127),$W127,IF(AND($S127&lt;&gt;"",EDATE($D127,Milestones!$AA$198)&gt;=$S127),$V127,$U127)))=Milestones!$AB$198),UPPER(TEXT(EDATE($D127,Milestones!$AA$198),"dd mmm yy"))&amp;" "&amp;Milestones!$AB$198&amp;" "&amp;Milestones!$AC$198&amp;";  ","")&amp;IF(AND(EDATE($D127,Milestones!$AA$199)&lt;=AsOfDate,IF($R127=0,$X127,IF(AND($T127&lt;&gt;"",EDATE($D127,Milestones!$AA$199)&gt;=$T127),$W127,IF(AND($S127&lt;&gt;"",EDATE($D127,Milestones!$AA$199)&gt;=$S127),$V127,$U127)))=Milestones!$AB$199),UPPER(TEXT(EDATE($D127,Milestones!$AA$199),"dd mmm yy"))&amp;" "&amp;Milestones!$AB$199&amp;" "&amp;Milestones!$AC$199&amp;";  ",""))</f>
        <v/>
      </c>
      <c r="R127" s="0" t="str">
        <f aca="false">IF(Staff!$A127="","",Staff!$AI127)</f>
        <v/>
      </c>
      <c r="S127" s="0" t="str">
        <f aca="false">IF(Staff!$A127="","",Staff!$AK127)</f>
        <v/>
      </c>
      <c r="T127" s="0" t="str">
        <f aca="false">IF(Staff!$A127="","",Staff!$AL127)</f>
        <v/>
      </c>
      <c r="U127" s="0" t="str">
        <f aca="false">IF(Staff!$A127="","",Staff!$AP127)</f>
        <v/>
      </c>
      <c r="V127" s="0" t="str">
        <f aca="false">IF(Staff!$A127="","",Staff!$AQ127)</f>
        <v/>
      </c>
      <c r="W127" s="0" t="str">
        <f aca="false">IF(Staff!$A127="","",Staff!$AR127)</f>
        <v/>
      </c>
      <c r="X127" s="0" t="str">
        <f aca="false">IF(Staff!$A127="","",Staff!$AS127)</f>
        <v/>
      </c>
    </row>
    <row r="128" customFormat="false" ht="15" hidden="false" customHeight="false" outlineLevel="0" collapsed="false">
      <c r="A128" s="19" t="str">
        <f aca="false">IF(Staff!$A128="","",Staff!$A128)</f>
        <v/>
      </c>
      <c r="B128" s="19" t="str">
        <f aca="false">IF(Staff!$A128="","",Staff!$B128)</f>
        <v/>
      </c>
      <c r="C128" s="19" t="str">
        <f aca="false">IF(Staff!$A128="","",Staff!$C128)</f>
        <v/>
      </c>
      <c r="D128" s="17" t="str">
        <f aca="false">IF(Staff!$A128="","",Staff!$AH128)</f>
        <v/>
      </c>
      <c r="E128" s="19" t="str">
        <f aca="false">IF(Staff!$A128="","",Staff!$O128)</f>
        <v/>
      </c>
      <c r="F128" s="19" t="str">
        <f aca="false">IF(E128="","",E128*HoursPerDay)</f>
        <v/>
      </c>
      <c r="G128" s="19" t="str">
        <f aca="false">IF(Staff!$A128="","",Staff!$AE128)</f>
        <v/>
      </c>
      <c r="H128" s="32" t="str">
        <f aca="false">IF($A128="","",I128&amp;J128&amp;K128&amp;L128&amp;M128&amp;N128&amp;O128&amp;P128&amp;Q128)</f>
        <v/>
      </c>
      <c r="I128" s="0" t="str">
        <f aca="false">IF(OR($A128="",$D128=""),"",IF(AND(EDATE($D128,Milestones!$AA$20)&lt;=AsOfDate,IF($R128=0,$X128,IF(AND($T128&lt;&gt;"",EDATE($D128,Milestones!$AA$20)&gt;=$T128),$W128,IF(AND($S128&lt;&gt;"",EDATE($D128,Milestones!$AA$20)&gt;=$S128),$V128,$U128)))=Milestones!$AB$20),UPPER(TEXT(EDATE($D128,Milestones!$AA$20),"dd mmm yy"))&amp;" "&amp;Milestones!$AB$20&amp;" "&amp;Milestones!$AC$20&amp;";  ","")&amp;IF(AND(EDATE($D128,Milestones!$AA$21)&lt;=AsOfDate,IF($R128=0,$X128,IF(AND($T128&lt;&gt;"",EDATE($D128,Milestones!$AA$21)&gt;=$T128),$W128,IF(AND($S128&lt;&gt;"",EDATE($D128,Milestones!$AA$21)&gt;=$S128),$V128,$U128)))=Milestones!$AB$21),UPPER(TEXT(EDATE($D128,Milestones!$AA$21),"dd mmm yy"))&amp;" "&amp;Milestones!$AB$21&amp;" "&amp;Milestones!$AC$21&amp;";  ","")&amp;IF(AND(EDATE($D128,Milestones!$AA$22)&lt;=AsOfDate,IF($R128=0,$X128,IF(AND($T128&lt;&gt;"",EDATE($D128,Milestones!$AA$22)&gt;=$T128),$W128,IF(AND($S128&lt;&gt;"",EDATE($D128,Milestones!$AA$22)&gt;=$S128),$V128,$U128)))=Milestones!$AB$22),UPPER(TEXT(EDATE($D128,Milestones!$AA$22),"dd mmm yy"))&amp;" "&amp;Milestones!$AB$22&amp;" "&amp;Milestones!$AC$22&amp;";  ","")&amp;IF(AND(EDATE($D128,Milestones!$AA$23)&lt;=AsOfDate,IF($R128=0,$X128,IF(AND($T128&lt;&gt;"",EDATE($D128,Milestones!$AA$23)&gt;=$T128),$W128,IF(AND($S128&lt;&gt;"",EDATE($D128,Milestones!$AA$23)&gt;=$S128),$V128,$U128)))=Milestones!$AB$23),UPPER(TEXT(EDATE($D128,Milestones!$AA$23),"dd mmm yy"))&amp;" "&amp;Milestones!$AB$23&amp;" "&amp;Milestones!$AC$23&amp;";  ","")&amp;IF(AND(EDATE($D128,Milestones!$AA$24)&lt;=AsOfDate,IF($R128=0,$X128,IF(AND($T128&lt;&gt;"",EDATE($D128,Milestones!$AA$24)&gt;=$T128),$W128,IF(AND($S128&lt;&gt;"",EDATE($D128,Milestones!$AA$24)&gt;=$S128),$V128,$U128)))=Milestones!$AB$24),UPPER(TEXT(EDATE($D128,Milestones!$AA$24),"dd mmm yy"))&amp;" "&amp;Milestones!$AB$24&amp;" "&amp;Milestones!$AC$24&amp;";  ","")&amp;IF(AND(EDATE($D128,Milestones!$AA$25)&lt;=AsOfDate,IF($R128=0,$X128,IF(AND($T128&lt;&gt;"",EDATE($D128,Milestones!$AA$25)&gt;=$T128),$W128,IF(AND($S128&lt;&gt;"",EDATE($D128,Milestones!$AA$25)&gt;=$S128),$V128,$U128)))=Milestones!$AB$25),UPPER(TEXT(EDATE($D128,Milestones!$AA$25),"dd mmm yy"))&amp;" "&amp;Milestones!$AB$25&amp;" "&amp;Milestones!$AC$25&amp;";  ","")&amp;IF(AND(EDATE($D128,Milestones!$AA$26)&lt;=AsOfDate,IF($R128=0,$X128,IF(AND($T128&lt;&gt;"",EDATE($D128,Milestones!$AA$26)&gt;=$T128),$W128,IF(AND($S128&lt;&gt;"",EDATE($D128,Milestones!$AA$26)&gt;=$S128),$V128,$U128)))=Milestones!$AB$26),UPPER(TEXT(EDATE($D128,Milestones!$AA$26),"dd mmm yy"))&amp;" "&amp;Milestones!$AB$26&amp;" "&amp;Milestones!$AC$26&amp;";  ","")&amp;IF(AND(EDATE($D128,Milestones!$AA$27)&lt;=AsOfDate,IF($R128=0,$X128,IF(AND($T128&lt;&gt;"",EDATE($D128,Milestones!$AA$27)&gt;=$T128),$W128,IF(AND($S128&lt;&gt;"",EDATE($D128,Milestones!$AA$27)&gt;=$S128),$V128,$U128)))=Milestones!$AB$27),UPPER(TEXT(EDATE($D128,Milestones!$AA$27),"dd mmm yy"))&amp;" "&amp;Milestones!$AB$27&amp;" "&amp;Milestones!$AC$27&amp;";  ","")&amp;IF(AND(EDATE($D128,Milestones!$AA$28)&lt;=AsOfDate,IF($R128=0,$X128,IF(AND($T128&lt;&gt;"",EDATE($D128,Milestones!$AA$28)&gt;=$T128),$W128,IF(AND($S128&lt;&gt;"",EDATE($D128,Milestones!$AA$28)&gt;=$S128),$V128,$U128)))=Milestones!$AB$28),UPPER(TEXT(EDATE($D128,Milestones!$AA$28),"dd mmm yy"))&amp;" "&amp;Milestones!$AB$28&amp;" "&amp;Milestones!$AC$28&amp;";  ","")&amp;IF(AND(EDATE($D128,Milestones!$AA$29)&lt;=AsOfDate,IF($R128=0,$X128,IF(AND($T128&lt;&gt;"",EDATE($D128,Milestones!$AA$29)&gt;=$T128),$W128,IF(AND($S128&lt;&gt;"",EDATE($D128,Milestones!$AA$29)&gt;=$S128),$V128,$U128)))=Milestones!$AB$29),UPPER(TEXT(EDATE($D128,Milestones!$AA$29),"dd mmm yy"))&amp;" "&amp;Milestones!$AB$29&amp;" "&amp;Milestones!$AC$29&amp;";  ","")&amp;IF(AND(EDATE($D128,Milestones!$AA$30)&lt;=AsOfDate,IF($R128=0,$X128,IF(AND($T128&lt;&gt;"",EDATE($D128,Milestones!$AA$30)&gt;=$T128),$W128,IF(AND($S128&lt;&gt;"",EDATE($D128,Milestones!$AA$30)&gt;=$S128),$V128,$U128)))=Milestones!$AB$30),UPPER(TEXT(EDATE($D128,Milestones!$AA$30),"dd mmm yy"))&amp;" "&amp;Milestones!$AB$30&amp;" "&amp;Milestones!$AC$30&amp;";  ","")&amp;IF(AND(EDATE($D128,Milestones!$AA$31)&lt;=AsOfDate,IF($R128=0,$X128,IF(AND($T128&lt;&gt;"",EDATE($D128,Milestones!$AA$31)&gt;=$T128),$W128,IF(AND($S128&lt;&gt;"",EDATE($D128,Milestones!$AA$31)&gt;=$S128),$V128,$U128)))=Milestones!$AB$31),UPPER(TEXT(EDATE($D128,Milestones!$AA$31),"dd mmm yy"))&amp;" "&amp;Milestones!$AB$31&amp;" "&amp;Milestones!$AC$31&amp;";  ","")&amp;IF(AND(EDATE($D128,Milestones!$AA$32)&lt;=AsOfDate,IF($R128=0,$X128,IF(AND($T128&lt;&gt;"",EDATE($D128,Milestones!$AA$32)&gt;=$T128),$W128,IF(AND($S128&lt;&gt;"",EDATE($D128,Milestones!$AA$32)&gt;=$S128),$V128,$U128)))=Milestones!$AB$32),UPPER(TEXT(EDATE($D128,Milestones!$AA$32),"dd mmm yy"))&amp;" "&amp;Milestones!$AB$32&amp;" "&amp;Milestones!$AC$32&amp;";  ","")&amp;IF(AND(EDATE($D128,Milestones!$AA$33)&lt;=AsOfDate,IF($R128=0,$X128,IF(AND($T128&lt;&gt;"",EDATE($D128,Milestones!$AA$33)&gt;=$T128),$W128,IF(AND($S128&lt;&gt;"",EDATE($D128,Milestones!$AA$33)&gt;=$S128),$V128,$U128)))=Milestones!$AB$33),UPPER(TEXT(EDATE($D128,Milestones!$AA$33),"dd mmm yy"))&amp;" "&amp;Milestones!$AB$33&amp;" "&amp;Milestones!$AC$33&amp;";  ","")&amp;IF(AND(EDATE($D128,Milestones!$AA$34)&lt;=AsOfDate,IF($R128=0,$X128,IF(AND($T128&lt;&gt;"",EDATE($D128,Milestones!$AA$34)&gt;=$T128),$W128,IF(AND($S128&lt;&gt;"",EDATE($D128,Milestones!$AA$34)&gt;=$S128),$V128,$U128)))=Milestones!$AB$34),UPPER(TEXT(EDATE($D128,Milestones!$AA$34),"dd mmm yy"))&amp;" "&amp;Milestones!$AB$34&amp;" "&amp;Milestones!$AC$34&amp;";  ","")&amp;IF(AND(EDATE($D128,Milestones!$AA$35)&lt;=AsOfDate,IF($R128=0,$X128,IF(AND($T128&lt;&gt;"",EDATE($D128,Milestones!$AA$35)&gt;=$T128),$W128,IF(AND($S128&lt;&gt;"",EDATE($D128,Milestones!$AA$35)&gt;=$S128),$V128,$U128)))=Milestones!$AB$35),UPPER(TEXT(EDATE($D128,Milestones!$AA$35),"dd mmm yy"))&amp;" "&amp;Milestones!$AB$35&amp;" "&amp;Milestones!$AC$35&amp;";  ","")&amp;IF(AND(EDATE($D128,Milestones!$AA$36)&lt;=AsOfDate,IF($R128=0,$X128,IF(AND($T128&lt;&gt;"",EDATE($D128,Milestones!$AA$36)&gt;=$T128),$W128,IF(AND($S128&lt;&gt;"",EDATE($D128,Milestones!$AA$36)&gt;=$S128),$V128,$U128)))=Milestones!$AB$36),UPPER(TEXT(EDATE($D128,Milestones!$AA$36),"dd mmm yy"))&amp;" "&amp;Milestones!$AB$36&amp;" "&amp;Milestones!$AC$36&amp;";  ","")&amp;IF(AND(EDATE($D128,Milestones!$AA$37)&lt;=AsOfDate,IF($R128=0,$X128,IF(AND($T128&lt;&gt;"",EDATE($D128,Milestones!$AA$37)&gt;=$T128),$W128,IF(AND($S128&lt;&gt;"",EDATE($D128,Milestones!$AA$37)&gt;=$S128),$V128,$U128)))=Milestones!$AB$37),UPPER(TEXT(EDATE($D128,Milestones!$AA$37),"dd mmm yy"))&amp;" "&amp;Milestones!$AB$37&amp;" "&amp;Milestones!$AC$37&amp;";  ","")&amp;IF(AND(EDATE($D128,Milestones!$AA$38)&lt;=AsOfDate,IF($R128=0,$X128,IF(AND($T128&lt;&gt;"",EDATE($D128,Milestones!$AA$38)&gt;=$T128),$W128,IF(AND($S128&lt;&gt;"",EDATE($D128,Milestones!$AA$38)&gt;=$S128),$V128,$U128)))=Milestones!$AB$38),UPPER(TEXT(EDATE($D128,Milestones!$AA$38),"dd mmm yy"))&amp;" "&amp;Milestones!$AB$38&amp;" "&amp;Milestones!$AC$38&amp;";  ","")&amp;IF(AND(EDATE($D128,Milestones!$AA$39)&lt;=AsOfDate,IF($R128=0,$X128,IF(AND($T128&lt;&gt;"",EDATE($D128,Milestones!$AA$39)&gt;=$T128),$W128,IF(AND($S128&lt;&gt;"",EDATE($D128,Milestones!$AA$39)&gt;=$S128),$V128,$U128)))=Milestones!$AB$39),UPPER(TEXT(EDATE($D128,Milestones!$AA$39),"dd mmm yy"))&amp;" "&amp;Milestones!$AB$39&amp;" "&amp;Milestones!$AC$39&amp;";  ",""))</f>
        <v/>
      </c>
      <c r="J128" s="0" t="str">
        <f aca="false">IF(OR($A128="",$D128=""),"",IF(AND(EDATE($D128,Milestones!$AA$40)&lt;=AsOfDate,IF($R128=0,$X128,IF(AND($T128&lt;&gt;"",EDATE($D128,Milestones!$AA$40)&gt;=$T128),$W128,IF(AND($S128&lt;&gt;"",EDATE($D128,Milestones!$AA$40)&gt;=$S128),$V128,$U128)))=Milestones!$AB$40),UPPER(TEXT(EDATE($D128,Milestones!$AA$40),"dd mmm yy"))&amp;" "&amp;Milestones!$AB$40&amp;" "&amp;Milestones!$AC$40&amp;";  ","")&amp;IF(AND(EDATE($D128,Milestones!$AA$41)&lt;=AsOfDate,IF($R128=0,$X128,IF(AND($T128&lt;&gt;"",EDATE($D128,Milestones!$AA$41)&gt;=$T128),$W128,IF(AND($S128&lt;&gt;"",EDATE($D128,Milestones!$AA$41)&gt;=$S128),$V128,$U128)))=Milestones!$AB$41),UPPER(TEXT(EDATE($D128,Milestones!$AA$41),"dd mmm yy"))&amp;" "&amp;Milestones!$AB$41&amp;" "&amp;Milestones!$AC$41&amp;";  ","")&amp;IF(AND(EDATE($D128,Milestones!$AA$42)&lt;=AsOfDate,IF($R128=0,$X128,IF(AND($T128&lt;&gt;"",EDATE($D128,Milestones!$AA$42)&gt;=$T128),$W128,IF(AND($S128&lt;&gt;"",EDATE($D128,Milestones!$AA$42)&gt;=$S128),$V128,$U128)))=Milestones!$AB$42),UPPER(TEXT(EDATE($D128,Milestones!$AA$42),"dd mmm yy"))&amp;" "&amp;Milestones!$AB$42&amp;" "&amp;Milestones!$AC$42&amp;";  ","")&amp;IF(AND(EDATE($D128,Milestones!$AA$43)&lt;=AsOfDate,IF($R128=0,$X128,IF(AND($T128&lt;&gt;"",EDATE($D128,Milestones!$AA$43)&gt;=$T128),$W128,IF(AND($S128&lt;&gt;"",EDATE($D128,Milestones!$AA$43)&gt;=$S128),$V128,$U128)))=Milestones!$AB$43),UPPER(TEXT(EDATE($D128,Milestones!$AA$43),"dd mmm yy"))&amp;" "&amp;Milestones!$AB$43&amp;" "&amp;Milestones!$AC$43&amp;";  ","")&amp;IF(AND(EDATE($D128,Milestones!$AA$44)&lt;=AsOfDate,IF($R128=0,$X128,IF(AND($T128&lt;&gt;"",EDATE($D128,Milestones!$AA$44)&gt;=$T128),$W128,IF(AND($S128&lt;&gt;"",EDATE($D128,Milestones!$AA$44)&gt;=$S128),$V128,$U128)))=Milestones!$AB$44),UPPER(TEXT(EDATE($D128,Milestones!$AA$44),"dd mmm yy"))&amp;" "&amp;Milestones!$AB$44&amp;" "&amp;Milestones!$AC$44&amp;";  ","")&amp;IF(AND(EDATE($D128,Milestones!$AA$45)&lt;=AsOfDate,IF($R128=0,$X128,IF(AND($T128&lt;&gt;"",EDATE($D128,Milestones!$AA$45)&gt;=$T128),$W128,IF(AND($S128&lt;&gt;"",EDATE($D128,Milestones!$AA$45)&gt;=$S128),$V128,$U128)))=Milestones!$AB$45),UPPER(TEXT(EDATE($D128,Milestones!$AA$45),"dd mmm yy"))&amp;" "&amp;Milestones!$AB$45&amp;" "&amp;Milestones!$AC$45&amp;";  ","")&amp;IF(AND(EDATE($D128,Milestones!$AA$46)&lt;=AsOfDate,IF($R128=0,$X128,IF(AND($T128&lt;&gt;"",EDATE($D128,Milestones!$AA$46)&gt;=$T128),$W128,IF(AND($S128&lt;&gt;"",EDATE($D128,Milestones!$AA$46)&gt;=$S128),$V128,$U128)))=Milestones!$AB$46),UPPER(TEXT(EDATE($D128,Milestones!$AA$46),"dd mmm yy"))&amp;" "&amp;Milestones!$AB$46&amp;" "&amp;Milestones!$AC$46&amp;";  ","")&amp;IF(AND(EDATE($D128,Milestones!$AA$47)&lt;=AsOfDate,IF($R128=0,$X128,IF(AND($T128&lt;&gt;"",EDATE($D128,Milestones!$AA$47)&gt;=$T128),$W128,IF(AND($S128&lt;&gt;"",EDATE($D128,Milestones!$AA$47)&gt;=$S128),$V128,$U128)))=Milestones!$AB$47),UPPER(TEXT(EDATE($D128,Milestones!$AA$47),"dd mmm yy"))&amp;" "&amp;Milestones!$AB$47&amp;" "&amp;Milestones!$AC$47&amp;";  ","")&amp;IF(AND(EDATE($D128,Milestones!$AA$48)&lt;=AsOfDate,IF($R128=0,$X128,IF(AND($T128&lt;&gt;"",EDATE($D128,Milestones!$AA$48)&gt;=$T128),$W128,IF(AND($S128&lt;&gt;"",EDATE($D128,Milestones!$AA$48)&gt;=$S128),$V128,$U128)))=Milestones!$AB$48),UPPER(TEXT(EDATE($D128,Milestones!$AA$48),"dd mmm yy"))&amp;" "&amp;Milestones!$AB$48&amp;" "&amp;Milestones!$AC$48&amp;";  ","")&amp;IF(AND(EDATE($D128,Milestones!$AA$49)&lt;=AsOfDate,IF($R128=0,$X128,IF(AND($T128&lt;&gt;"",EDATE($D128,Milestones!$AA$49)&gt;=$T128),$W128,IF(AND($S128&lt;&gt;"",EDATE($D128,Milestones!$AA$49)&gt;=$S128),$V128,$U128)))=Milestones!$AB$49),UPPER(TEXT(EDATE($D128,Milestones!$AA$49),"dd mmm yy"))&amp;" "&amp;Milestones!$AB$49&amp;" "&amp;Milestones!$AC$49&amp;";  ","")&amp;IF(AND(EDATE($D128,Milestones!$AA$50)&lt;=AsOfDate,IF($R128=0,$X128,IF(AND($T128&lt;&gt;"",EDATE($D128,Milestones!$AA$50)&gt;=$T128),$W128,IF(AND($S128&lt;&gt;"",EDATE($D128,Milestones!$AA$50)&gt;=$S128),$V128,$U128)))=Milestones!$AB$50),UPPER(TEXT(EDATE($D128,Milestones!$AA$50),"dd mmm yy"))&amp;" "&amp;Milestones!$AB$50&amp;" "&amp;Milestones!$AC$50&amp;";  ","")&amp;IF(AND(EDATE($D128,Milestones!$AA$51)&lt;=AsOfDate,IF($R128=0,$X128,IF(AND($T128&lt;&gt;"",EDATE($D128,Milestones!$AA$51)&gt;=$T128),$W128,IF(AND($S128&lt;&gt;"",EDATE($D128,Milestones!$AA$51)&gt;=$S128),$V128,$U128)))=Milestones!$AB$51),UPPER(TEXT(EDATE($D128,Milestones!$AA$51),"dd mmm yy"))&amp;" "&amp;Milestones!$AB$51&amp;" "&amp;Milestones!$AC$51&amp;";  ","")&amp;IF(AND(EDATE($D128,Milestones!$AA$52)&lt;=AsOfDate,IF($R128=0,$X128,IF(AND($T128&lt;&gt;"",EDATE($D128,Milestones!$AA$52)&gt;=$T128),$W128,IF(AND($S128&lt;&gt;"",EDATE($D128,Milestones!$AA$52)&gt;=$S128),$V128,$U128)))=Milestones!$AB$52),UPPER(TEXT(EDATE($D128,Milestones!$AA$52),"dd mmm yy"))&amp;" "&amp;Milestones!$AB$52&amp;" "&amp;Milestones!$AC$52&amp;";  ","")&amp;IF(AND(EDATE($D128,Milestones!$AA$53)&lt;=AsOfDate,IF($R128=0,$X128,IF(AND($T128&lt;&gt;"",EDATE($D128,Milestones!$AA$53)&gt;=$T128),$W128,IF(AND($S128&lt;&gt;"",EDATE($D128,Milestones!$AA$53)&gt;=$S128),$V128,$U128)))=Milestones!$AB$53),UPPER(TEXT(EDATE($D128,Milestones!$AA$53),"dd mmm yy"))&amp;" "&amp;Milestones!$AB$53&amp;" "&amp;Milestones!$AC$53&amp;";  ","")&amp;IF(AND(EDATE($D128,Milestones!$AA$54)&lt;=AsOfDate,IF($R128=0,$X128,IF(AND($T128&lt;&gt;"",EDATE($D128,Milestones!$AA$54)&gt;=$T128),$W128,IF(AND($S128&lt;&gt;"",EDATE($D128,Milestones!$AA$54)&gt;=$S128),$V128,$U128)))=Milestones!$AB$54),UPPER(TEXT(EDATE($D128,Milestones!$AA$54),"dd mmm yy"))&amp;" "&amp;Milestones!$AB$54&amp;" "&amp;Milestones!$AC$54&amp;";  ","")&amp;IF(AND(EDATE($D128,Milestones!$AA$55)&lt;=AsOfDate,IF($R128=0,$X128,IF(AND($T128&lt;&gt;"",EDATE($D128,Milestones!$AA$55)&gt;=$T128),$W128,IF(AND($S128&lt;&gt;"",EDATE($D128,Milestones!$AA$55)&gt;=$S128),$V128,$U128)))=Milestones!$AB$55),UPPER(TEXT(EDATE($D128,Milestones!$AA$55),"dd mmm yy"))&amp;" "&amp;Milestones!$AB$55&amp;" "&amp;Milestones!$AC$55&amp;";  ","")&amp;IF(AND(EDATE($D128,Milestones!$AA$56)&lt;=AsOfDate,IF($R128=0,$X128,IF(AND($T128&lt;&gt;"",EDATE($D128,Milestones!$AA$56)&gt;=$T128),$W128,IF(AND($S128&lt;&gt;"",EDATE($D128,Milestones!$AA$56)&gt;=$S128),$V128,$U128)))=Milestones!$AB$56),UPPER(TEXT(EDATE($D128,Milestones!$AA$56),"dd mmm yy"))&amp;" "&amp;Milestones!$AB$56&amp;" "&amp;Milestones!$AC$56&amp;";  ","")&amp;IF(AND(EDATE($D128,Milestones!$AA$57)&lt;=AsOfDate,IF($R128=0,$X128,IF(AND($T128&lt;&gt;"",EDATE($D128,Milestones!$AA$57)&gt;=$T128),$W128,IF(AND($S128&lt;&gt;"",EDATE($D128,Milestones!$AA$57)&gt;=$S128),$V128,$U128)))=Milestones!$AB$57),UPPER(TEXT(EDATE($D128,Milestones!$AA$57),"dd mmm yy"))&amp;" "&amp;Milestones!$AB$57&amp;" "&amp;Milestones!$AC$57&amp;";  ","")&amp;IF(AND(EDATE($D128,Milestones!$AA$58)&lt;=AsOfDate,IF($R128=0,$X128,IF(AND($T128&lt;&gt;"",EDATE($D128,Milestones!$AA$58)&gt;=$T128),$W128,IF(AND($S128&lt;&gt;"",EDATE($D128,Milestones!$AA$58)&gt;=$S128),$V128,$U128)))=Milestones!$AB$58),UPPER(TEXT(EDATE($D128,Milestones!$AA$58),"dd mmm yy"))&amp;" "&amp;Milestones!$AB$58&amp;" "&amp;Milestones!$AC$58&amp;";  ","")&amp;IF(AND(EDATE($D128,Milestones!$AA$59)&lt;=AsOfDate,IF($R128=0,$X128,IF(AND($T128&lt;&gt;"",EDATE($D128,Milestones!$AA$59)&gt;=$T128),$W128,IF(AND($S128&lt;&gt;"",EDATE($D128,Milestones!$AA$59)&gt;=$S128),$V128,$U128)))=Milestones!$AB$59),UPPER(TEXT(EDATE($D128,Milestones!$AA$59),"dd mmm yy"))&amp;" "&amp;Milestones!$AB$59&amp;" "&amp;Milestones!$AC$59&amp;";  ",""))</f>
        <v/>
      </c>
      <c r="K128" s="0" t="str">
        <f aca="false">IF(OR($A128="",$D128=""),"",IF(AND(EDATE($D128,Milestones!$AA$60)&lt;=AsOfDate,IF($R128=0,$X128,IF(AND($T128&lt;&gt;"",EDATE($D128,Milestones!$AA$60)&gt;=$T128),$W128,IF(AND($S128&lt;&gt;"",EDATE($D128,Milestones!$AA$60)&gt;=$S128),$V128,$U128)))=Milestones!$AB$60),UPPER(TEXT(EDATE($D128,Milestones!$AA$60),"dd mmm yy"))&amp;" "&amp;Milestones!$AB$60&amp;" "&amp;Milestones!$AC$60&amp;";  ","")&amp;IF(AND(EDATE($D128,Milestones!$AA$61)&lt;=AsOfDate,IF($R128=0,$X128,IF(AND($T128&lt;&gt;"",EDATE($D128,Milestones!$AA$61)&gt;=$T128),$W128,IF(AND($S128&lt;&gt;"",EDATE($D128,Milestones!$AA$61)&gt;=$S128),$V128,$U128)))=Milestones!$AB$61),UPPER(TEXT(EDATE($D128,Milestones!$AA$61),"dd mmm yy"))&amp;" "&amp;Milestones!$AB$61&amp;" "&amp;Milestones!$AC$61&amp;";  ","")&amp;IF(AND(EDATE($D128,Milestones!$AA$62)&lt;=AsOfDate,IF($R128=0,$X128,IF(AND($T128&lt;&gt;"",EDATE($D128,Milestones!$AA$62)&gt;=$T128),$W128,IF(AND($S128&lt;&gt;"",EDATE($D128,Milestones!$AA$62)&gt;=$S128),$V128,$U128)))=Milestones!$AB$62),UPPER(TEXT(EDATE($D128,Milestones!$AA$62),"dd mmm yy"))&amp;" "&amp;Milestones!$AB$62&amp;" "&amp;Milestones!$AC$62&amp;";  ","")&amp;IF(AND(EDATE($D128,Milestones!$AA$63)&lt;=AsOfDate,IF($R128=0,$X128,IF(AND($T128&lt;&gt;"",EDATE($D128,Milestones!$AA$63)&gt;=$T128),$W128,IF(AND($S128&lt;&gt;"",EDATE($D128,Milestones!$AA$63)&gt;=$S128),$V128,$U128)))=Milestones!$AB$63),UPPER(TEXT(EDATE($D128,Milestones!$AA$63),"dd mmm yy"))&amp;" "&amp;Milestones!$AB$63&amp;" "&amp;Milestones!$AC$63&amp;";  ","")&amp;IF(AND(EDATE($D128,Milestones!$AA$64)&lt;=AsOfDate,IF($R128=0,$X128,IF(AND($T128&lt;&gt;"",EDATE($D128,Milestones!$AA$64)&gt;=$T128),$W128,IF(AND($S128&lt;&gt;"",EDATE($D128,Milestones!$AA$64)&gt;=$S128),$V128,$U128)))=Milestones!$AB$64),UPPER(TEXT(EDATE($D128,Milestones!$AA$64),"dd mmm yy"))&amp;" "&amp;Milestones!$AB$64&amp;" "&amp;Milestones!$AC$64&amp;";  ","")&amp;IF(AND(EDATE($D128,Milestones!$AA$65)&lt;=AsOfDate,IF($R128=0,$X128,IF(AND($T128&lt;&gt;"",EDATE($D128,Milestones!$AA$65)&gt;=$T128),$W128,IF(AND($S128&lt;&gt;"",EDATE($D128,Milestones!$AA$65)&gt;=$S128),$V128,$U128)))=Milestones!$AB$65),UPPER(TEXT(EDATE($D128,Milestones!$AA$65),"dd mmm yy"))&amp;" "&amp;Milestones!$AB$65&amp;" "&amp;Milestones!$AC$65&amp;";  ","")&amp;IF(AND(EDATE($D128,Milestones!$AA$66)&lt;=AsOfDate,IF($R128=0,$X128,IF(AND($T128&lt;&gt;"",EDATE($D128,Milestones!$AA$66)&gt;=$T128),$W128,IF(AND($S128&lt;&gt;"",EDATE($D128,Milestones!$AA$66)&gt;=$S128),$V128,$U128)))=Milestones!$AB$66),UPPER(TEXT(EDATE($D128,Milestones!$AA$66),"dd mmm yy"))&amp;" "&amp;Milestones!$AB$66&amp;" "&amp;Milestones!$AC$66&amp;";  ","")&amp;IF(AND(EDATE($D128,Milestones!$AA$67)&lt;=AsOfDate,IF($R128=0,$X128,IF(AND($T128&lt;&gt;"",EDATE($D128,Milestones!$AA$67)&gt;=$T128),$W128,IF(AND($S128&lt;&gt;"",EDATE($D128,Milestones!$AA$67)&gt;=$S128),$V128,$U128)))=Milestones!$AB$67),UPPER(TEXT(EDATE($D128,Milestones!$AA$67),"dd mmm yy"))&amp;" "&amp;Milestones!$AB$67&amp;" "&amp;Milestones!$AC$67&amp;";  ","")&amp;IF(AND(EDATE($D128,Milestones!$AA$68)&lt;=AsOfDate,IF($R128=0,$X128,IF(AND($T128&lt;&gt;"",EDATE($D128,Milestones!$AA$68)&gt;=$T128),$W128,IF(AND($S128&lt;&gt;"",EDATE($D128,Milestones!$AA$68)&gt;=$S128),$V128,$U128)))=Milestones!$AB$68),UPPER(TEXT(EDATE($D128,Milestones!$AA$68),"dd mmm yy"))&amp;" "&amp;Milestones!$AB$68&amp;" "&amp;Milestones!$AC$68&amp;";  ","")&amp;IF(AND(EDATE($D128,Milestones!$AA$69)&lt;=AsOfDate,IF($R128=0,$X128,IF(AND($T128&lt;&gt;"",EDATE($D128,Milestones!$AA$69)&gt;=$T128),$W128,IF(AND($S128&lt;&gt;"",EDATE($D128,Milestones!$AA$69)&gt;=$S128),$V128,$U128)))=Milestones!$AB$69),UPPER(TEXT(EDATE($D128,Milestones!$AA$69),"dd mmm yy"))&amp;" "&amp;Milestones!$AB$69&amp;" "&amp;Milestones!$AC$69&amp;";  ","")&amp;IF(AND(EDATE($D128,Milestones!$AA$70)&lt;=AsOfDate,IF($R128=0,$X128,IF(AND($T128&lt;&gt;"",EDATE($D128,Milestones!$AA$70)&gt;=$T128),$W128,IF(AND($S128&lt;&gt;"",EDATE($D128,Milestones!$AA$70)&gt;=$S128),$V128,$U128)))=Milestones!$AB$70),UPPER(TEXT(EDATE($D128,Milestones!$AA$70),"dd mmm yy"))&amp;" "&amp;Milestones!$AB$70&amp;" "&amp;Milestones!$AC$70&amp;";  ","")&amp;IF(AND(EDATE($D128,Milestones!$AA$71)&lt;=AsOfDate,IF($R128=0,$X128,IF(AND($T128&lt;&gt;"",EDATE($D128,Milestones!$AA$71)&gt;=$T128),$W128,IF(AND($S128&lt;&gt;"",EDATE($D128,Milestones!$AA$71)&gt;=$S128),$V128,$U128)))=Milestones!$AB$71),UPPER(TEXT(EDATE($D128,Milestones!$AA$71),"dd mmm yy"))&amp;" "&amp;Milestones!$AB$71&amp;" "&amp;Milestones!$AC$71&amp;";  ","")&amp;IF(AND(EDATE($D128,Milestones!$AA$72)&lt;=AsOfDate,IF($R128=0,$X128,IF(AND($T128&lt;&gt;"",EDATE($D128,Milestones!$AA$72)&gt;=$T128),$W128,IF(AND($S128&lt;&gt;"",EDATE($D128,Milestones!$AA$72)&gt;=$S128),$V128,$U128)))=Milestones!$AB$72),UPPER(TEXT(EDATE($D128,Milestones!$AA$72),"dd mmm yy"))&amp;" "&amp;Milestones!$AB$72&amp;" "&amp;Milestones!$AC$72&amp;";  ","")&amp;IF(AND(EDATE($D128,Milestones!$AA$73)&lt;=AsOfDate,IF($R128=0,$X128,IF(AND($T128&lt;&gt;"",EDATE($D128,Milestones!$AA$73)&gt;=$T128),$W128,IF(AND($S128&lt;&gt;"",EDATE($D128,Milestones!$AA$73)&gt;=$S128),$V128,$U128)))=Milestones!$AB$73),UPPER(TEXT(EDATE($D128,Milestones!$AA$73),"dd mmm yy"))&amp;" "&amp;Milestones!$AB$73&amp;" "&amp;Milestones!$AC$73&amp;";  ","")&amp;IF(AND(EDATE($D128,Milestones!$AA$74)&lt;=AsOfDate,IF($R128=0,$X128,IF(AND($T128&lt;&gt;"",EDATE($D128,Milestones!$AA$74)&gt;=$T128),$W128,IF(AND($S128&lt;&gt;"",EDATE($D128,Milestones!$AA$74)&gt;=$S128),$V128,$U128)))=Milestones!$AB$74),UPPER(TEXT(EDATE($D128,Milestones!$AA$74),"dd mmm yy"))&amp;" "&amp;Milestones!$AB$74&amp;" "&amp;Milestones!$AC$74&amp;";  ","")&amp;IF(AND(EDATE($D128,Milestones!$AA$75)&lt;=AsOfDate,IF($R128=0,$X128,IF(AND($T128&lt;&gt;"",EDATE($D128,Milestones!$AA$75)&gt;=$T128),$W128,IF(AND($S128&lt;&gt;"",EDATE($D128,Milestones!$AA$75)&gt;=$S128),$V128,$U128)))=Milestones!$AB$75),UPPER(TEXT(EDATE($D128,Milestones!$AA$75),"dd mmm yy"))&amp;" "&amp;Milestones!$AB$75&amp;" "&amp;Milestones!$AC$75&amp;";  ","")&amp;IF(AND(EDATE($D128,Milestones!$AA$76)&lt;=AsOfDate,IF($R128=0,$X128,IF(AND($T128&lt;&gt;"",EDATE($D128,Milestones!$AA$76)&gt;=$T128),$W128,IF(AND($S128&lt;&gt;"",EDATE($D128,Milestones!$AA$76)&gt;=$S128),$V128,$U128)))=Milestones!$AB$76),UPPER(TEXT(EDATE($D128,Milestones!$AA$76),"dd mmm yy"))&amp;" "&amp;Milestones!$AB$76&amp;" "&amp;Milestones!$AC$76&amp;";  ","")&amp;IF(AND(EDATE($D128,Milestones!$AA$77)&lt;=AsOfDate,IF($R128=0,$X128,IF(AND($T128&lt;&gt;"",EDATE($D128,Milestones!$AA$77)&gt;=$T128),$W128,IF(AND($S128&lt;&gt;"",EDATE($D128,Milestones!$AA$77)&gt;=$S128),$V128,$U128)))=Milestones!$AB$77),UPPER(TEXT(EDATE($D128,Milestones!$AA$77),"dd mmm yy"))&amp;" "&amp;Milestones!$AB$77&amp;" "&amp;Milestones!$AC$77&amp;";  ","")&amp;IF(AND(EDATE($D128,Milestones!$AA$78)&lt;=AsOfDate,IF($R128=0,$X128,IF(AND($T128&lt;&gt;"",EDATE($D128,Milestones!$AA$78)&gt;=$T128),$W128,IF(AND($S128&lt;&gt;"",EDATE($D128,Milestones!$AA$78)&gt;=$S128),$V128,$U128)))=Milestones!$AB$78),UPPER(TEXT(EDATE($D128,Milestones!$AA$78),"dd mmm yy"))&amp;" "&amp;Milestones!$AB$78&amp;" "&amp;Milestones!$AC$78&amp;";  ","")&amp;IF(AND(EDATE($D128,Milestones!$AA$79)&lt;=AsOfDate,IF($R128=0,$X128,IF(AND($T128&lt;&gt;"",EDATE($D128,Milestones!$AA$79)&gt;=$T128),$W128,IF(AND($S128&lt;&gt;"",EDATE($D128,Milestones!$AA$79)&gt;=$S128),$V128,$U128)))=Milestones!$AB$79),UPPER(TEXT(EDATE($D128,Milestones!$AA$79),"dd mmm yy"))&amp;" "&amp;Milestones!$AB$79&amp;" "&amp;Milestones!$AC$79&amp;";  ",""))</f>
        <v/>
      </c>
      <c r="L128" s="0" t="str">
        <f aca="false">IF(OR($A128="",$D128=""),"",IF(AND(EDATE($D128,Milestones!$AA$80)&lt;=AsOfDate,IF($R128=0,$X128,IF(AND($T128&lt;&gt;"",EDATE($D128,Milestones!$AA$80)&gt;=$T128),$W128,IF(AND($S128&lt;&gt;"",EDATE($D128,Milestones!$AA$80)&gt;=$S128),$V128,$U128)))=Milestones!$AB$80),UPPER(TEXT(EDATE($D128,Milestones!$AA$80),"dd mmm yy"))&amp;" "&amp;Milestones!$AB$80&amp;" "&amp;Milestones!$AC$80&amp;";  ","")&amp;IF(AND(EDATE($D128,Milestones!$AA$81)&lt;=AsOfDate,IF($R128=0,$X128,IF(AND($T128&lt;&gt;"",EDATE($D128,Milestones!$AA$81)&gt;=$T128),$W128,IF(AND($S128&lt;&gt;"",EDATE($D128,Milestones!$AA$81)&gt;=$S128),$V128,$U128)))=Milestones!$AB$81),UPPER(TEXT(EDATE($D128,Milestones!$AA$81),"dd mmm yy"))&amp;" "&amp;Milestones!$AB$81&amp;" "&amp;Milestones!$AC$81&amp;";  ","")&amp;IF(AND(EDATE($D128,Milestones!$AA$82)&lt;=AsOfDate,IF($R128=0,$X128,IF(AND($T128&lt;&gt;"",EDATE($D128,Milestones!$AA$82)&gt;=$T128),$W128,IF(AND($S128&lt;&gt;"",EDATE($D128,Milestones!$AA$82)&gt;=$S128),$V128,$U128)))=Milestones!$AB$82),UPPER(TEXT(EDATE($D128,Milestones!$AA$82),"dd mmm yy"))&amp;" "&amp;Milestones!$AB$82&amp;" "&amp;Milestones!$AC$82&amp;";  ","")&amp;IF(AND(EDATE($D128,Milestones!$AA$83)&lt;=AsOfDate,IF($R128=0,$X128,IF(AND($T128&lt;&gt;"",EDATE($D128,Milestones!$AA$83)&gt;=$T128),$W128,IF(AND($S128&lt;&gt;"",EDATE($D128,Milestones!$AA$83)&gt;=$S128),$V128,$U128)))=Milestones!$AB$83),UPPER(TEXT(EDATE($D128,Milestones!$AA$83),"dd mmm yy"))&amp;" "&amp;Milestones!$AB$83&amp;" "&amp;Milestones!$AC$83&amp;";  ","")&amp;IF(AND(EDATE($D128,Milestones!$AA$84)&lt;=AsOfDate,IF($R128=0,$X128,IF(AND($T128&lt;&gt;"",EDATE($D128,Milestones!$AA$84)&gt;=$T128),$W128,IF(AND($S128&lt;&gt;"",EDATE($D128,Milestones!$AA$84)&gt;=$S128),$V128,$U128)))=Milestones!$AB$84),UPPER(TEXT(EDATE($D128,Milestones!$AA$84),"dd mmm yy"))&amp;" "&amp;Milestones!$AB$84&amp;" "&amp;Milestones!$AC$84&amp;";  ","")&amp;IF(AND(EDATE($D128,Milestones!$AA$85)&lt;=AsOfDate,IF($R128=0,$X128,IF(AND($T128&lt;&gt;"",EDATE($D128,Milestones!$AA$85)&gt;=$T128),$W128,IF(AND($S128&lt;&gt;"",EDATE($D128,Milestones!$AA$85)&gt;=$S128),$V128,$U128)))=Milestones!$AB$85),UPPER(TEXT(EDATE($D128,Milestones!$AA$85),"dd mmm yy"))&amp;" "&amp;Milestones!$AB$85&amp;" "&amp;Milestones!$AC$85&amp;";  ","")&amp;IF(AND(EDATE($D128,Milestones!$AA$86)&lt;=AsOfDate,IF($R128=0,$X128,IF(AND($T128&lt;&gt;"",EDATE($D128,Milestones!$AA$86)&gt;=$T128),$W128,IF(AND($S128&lt;&gt;"",EDATE($D128,Milestones!$AA$86)&gt;=$S128),$V128,$U128)))=Milestones!$AB$86),UPPER(TEXT(EDATE($D128,Milestones!$AA$86),"dd mmm yy"))&amp;" "&amp;Milestones!$AB$86&amp;" "&amp;Milestones!$AC$86&amp;";  ","")&amp;IF(AND(EDATE($D128,Milestones!$AA$87)&lt;=AsOfDate,IF($R128=0,$X128,IF(AND($T128&lt;&gt;"",EDATE($D128,Milestones!$AA$87)&gt;=$T128),$W128,IF(AND($S128&lt;&gt;"",EDATE($D128,Milestones!$AA$87)&gt;=$S128),$V128,$U128)))=Milestones!$AB$87),UPPER(TEXT(EDATE($D128,Milestones!$AA$87),"dd mmm yy"))&amp;" "&amp;Milestones!$AB$87&amp;" "&amp;Milestones!$AC$87&amp;";  ","")&amp;IF(AND(EDATE($D128,Milestones!$AA$88)&lt;=AsOfDate,IF($R128=0,$X128,IF(AND($T128&lt;&gt;"",EDATE($D128,Milestones!$AA$88)&gt;=$T128),$W128,IF(AND($S128&lt;&gt;"",EDATE($D128,Milestones!$AA$88)&gt;=$S128),$V128,$U128)))=Milestones!$AB$88),UPPER(TEXT(EDATE($D128,Milestones!$AA$88),"dd mmm yy"))&amp;" "&amp;Milestones!$AB$88&amp;" "&amp;Milestones!$AC$88&amp;";  ","")&amp;IF(AND(EDATE($D128,Milestones!$AA$89)&lt;=AsOfDate,IF($R128=0,$X128,IF(AND($T128&lt;&gt;"",EDATE($D128,Milestones!$AA$89)&gt;=$T128),$W128,IF(AND($S128&lt;&gt;"",EDATE($D128,Milestones!$AA$89)&gt;=$S128),$V128,$U128)))=Milestones!$AB$89),UPPER(TEXT(EDATE($D128,Milestones!$AA$89),"dd mmm yy"))&amp;" "&amp;Milestones!$AB$89&amp;" "&amp;Milestones!$AC$89&amp;";  ","")&amp;IF(AND(EDATE($D128,Milestones!$AA$90)&lt;=AsOfDate,IF($R128=0,$X128,IF(AND($T128&lt;&gt;"",EDATE($D128,Milestones!$AA$90)&gt;=$T128),$W128,IF(AND($S128&lt;&gt;"",EDATE($D128,Milestones!$AA$90)&gt;=$S128),$V128,$U128)))=Milestones!$AB$90),UPPER(TEXT(EDATE($D128,Milestones!$AA$90),"dd mmm yy"))&amp;" "&amp;Milestones!$AB$90&amp;" "&amp;Milestones!$AC$90&amp;";  ","")&amp;IF(AND(EDATE($D128,Milestones!$AA$91)&lt;=AsOfDate,IF($R128=0,$X128,IF(AND($T128&lt;&gt;"",EDATE($D128,Milestones!$AA$91)&gt;=$T128),$W128,IF(AND($S128&lt;&gt;"",EDATE($D128,Milestones!$AA$91)&gt;=$S128),$V128,$U128)))=Milestones!$AB$91),UPPER(TEXT(EDATE($D128,Milestones!$AA$91),"dd mmm yy"))&amp;" "&amp;Milestones!$AB$91&amp;" "&amp;Milestones!$AC$91&amp;";  ","")&amp;IF(AND(EDATE($D128,Milestones!$AA$92)&lt;=AsOfDate,IF($R128=0,$X128,IF(AND($T128&lt;&gt;"",EDATE($D128,Milestones!$AA$92)&gt;=$T128),$W128,IF(AND($S128&lt;&gt;"",EDATE($D128,Milestones!$AA$92)&gt;=$S128),$V128,$U128)))=Milestones!$AB$92),UPPER(TEXT(EDATE($D128,Milestones!$AA$92),"dd mmm yy"))&amp;" "&amp;Milestones!$AB$92&amp;" "&amp;Milestones!$AC$92&amp;";  ","")&amp;IF(AND(EDATE($D128,Milestones!$AA$93)&lt;=AsOfDate,IF($R128=0,$X128,IF(AND($T128&lt;&gt;"",EDATE($D128,Milestones!$AA$93)&gt;=$T128),$W128,IF(AND($S128&lt;&gt;"",EDATE($D128,Milestones!$AA$93)&gt;=$S128),$V128,$U128)))=Milestones!$AB$93),UPPER(TEXT(EDATE($D128,Milestones!$AA$93),"dd mmm yy"))&amp;" "&amp;Milestones!$AB$93&amp;" "&amp;Milestones!$AC$93&amp;";  ","")&amp;IF(AND(EDATE($D128,Milestones!$AA$94)&lt;=AsOfDate,IF($R128=0,$X128,IF(AND($T128&lt;&gt;"",EDATE($D128,Milestones!$AA$94)&gt;=$T128),$W128,IF(AND($S128&lt;&gt;"",EDATE($D128,Milestones!$AA$94)&gt;=$S128),$V128,$U128)))=Milestones!$AB$94),UPPER(TEXT(EDATE($D128,Milestones!$AA$94),"dd mmm yy"))&amp;" "&amp;Milestones!$AB$94&amp;" "&amp;Milestones!$AC$94&amp;";  ","")&amp;IF(AND(EDATE($D128,Milestones!$AA$95)&lt;=AsOfDate,IF($R128=0,$X128,IF(AND($T128&lt;&gt;"",EDATE($D128,Milestones!$AA$95)&gt;=$T128),$W128,IF(AND($S128&lt;&gt;"",EDATE($D128,Milestones!$AA$95)&gt;=$S128),$V128,$U128)))=Milestones!$AB$95),UPPER(TEXT(EDATE($D128,Milestones!$AA$95),"dd mmm yy"))&amp;" "&amp;Milestones!$AB$95&amp;" "&amp;Milestones!$AC$95&amp;";  ","")&amp;IF(AND(EDATE($D128,Milestones!$AA$96)&lt;=AsOfDate,IF($R128=0,$X128,IF(AND($T128&lt;&gt;"",EDATE($D128,Milestones!$AA$96)&gt;=$T128),$W128,IF(AND($S128&lt;&gt;"",EDATE($D128,Milestones!$AA$96)&gt;=$S128),$V128,$U128)))=Milestones!$AB$96),UPPER(TEXT(EDATE($D128,Milestones!$AA$96),"dd mmm yy"))&amp;" "&amp;Milestones!$AB$96&amp;" "&amp;Milestones!$AC$96&amp;";  ","")&amp;IF(AND(EDATE($D128,Milestones!$AA$97)&lt;=AsOfDate,IF($R128=0,$X128,IF(AND($T128&lt;&gt;"",EDATE($D128,Milestones!$AA$97)&gt;=$T128),$W128,IF(AND($S128&lt;&gt;"",EDATE($D128,Milestones!$AA$97)&gt;=$S128),$V128,$U128)))=Milestones!$AB$97),UPPER(TEXT(EDATE($D128,Milestones!$AA$97),"dd mmm yy"))&amp;" "&amp;Milestones!$AB$97&amp;" "&amp;Milestones!$AC$97&amp;";  ","")&amp;IF(AND(EDATE($D128,Milestones!$AA$98)&lt;=AsOfDate,IF($R128=0,$X128,IF(AND($T128&lt;&gt;"",EDATE($D128,Milestones!$AA$98)&gt;=$T128),$W128,IF(AND($S128&lt;&gt;"",EDATE($D128,Milestones!$AA$98)&gt;=$S128),$V128,$U128)))=Milestones!$AB$98),UPPER(TEXT(EDATE($D128,Milestones!$AA$98),"dd mmm yy"))&amp;" "&amp;Milestones!$AB$98&amp;" "&amp;Milestones!$AC$98&amp;";  ","")&amp;IF(AND(EDATE($D128,Milestones!$AA$99)&lt;=AsOfDate,IF($R128=0,$X128,IF(AND($T128&lt;&gt;"",EDATE($D128,Milestones!$AA$99)&gt;=$T128),$W128,IF(AND($S128&lt;&gt;"",EDATE($D128,Milestones!$AA$99)&gt;=$S128),$V128,$U128)))=Milestones!$AB$99),UPPER(TEXT(EDATE($D128,Milestones!$AA$99),"dd mmm yy"))&amp;" "&amp;Milestones!$AB$99&amp;" "&amp;Milestones!$AC$99&amp;";  ",""))</f>
        <v/>
      </c>
      <c r="M128" s="0" t="str">
        <f aca="false">IF(OR($A128="",$D128=""),"",IF(AND(EDATE($D128,Milestones!$AA$100)&lt;=AsOfDate,IF($R128=0,$X128,IF(AND($T128&lt;&gt;"",EDATE($D128,Milestones!$AA$100)&gt;=$T128),$W128,IF(AND($S128&lt;&gt;"",EDATE($D128,Milestones!$AA$100)&gt;=$S128),$V128,$U128)))=Milestones!$AB$100),UPPER(TEXT(EDATE($D128,Milestones!$AA$100),"dd mmm yy"))&amp;" "&amp;Milestones!$AB$100&amp;" "&amp;Milestones!$AC$100&amp;";  ","")&amp;IF(AND(EDATE($D128,Milestones!$AA$101)&lt;=AsOfDate,IF($R128=0,$X128,IF(AND($T128&lt;&gt;"",EDATE($D128,Milestones!$AA$101)&gt;=$T128),$W128,IF(AND($S128&lt;&gt;"",EDATE($D128,Milestones!$AA$101)&gt;=$S128),$V128,$U128)))=Milestones!$AB$101),UPPER(TEXT(EDATE($D128,Milestones!$AA$101),"dd mmm yy"))&amp;" "&amp;Milestones!$AB$101&amp;" "&amp;Milestones!$AC$101&amp;";  ","")&amp;IF(AND(EDATE($D128,Milestones!$AA$102)&lt;=AsOfDate,IF($R128=0,$X128,IF(AND($T128&lt;&gt;"",EDATE($D128,Milestones!$AA$102)&gt;=$T128),$W128,IF(AND($S128&lt;&gt;"",EDATE($D128,Milestones!$AA$102)&gt;=$S128),$V128,$U128)))=Milestones!$AB$102),UPPER(TEXT(EDATE($D128,Milestones!$AA$102),"dd mmm yy"))&amp;" "&amp;Milestones!$AB$102&amp;" "&amp;Milestones!$AC$102&amp;";  ","")&amp;IF(AND(EDATE($D128,Milestones!$AA$103)&lt;=AsOfDate,IF($R128=0,$X128,IF(AND($T128&lt;&gt;"",EDATE($D128,Milestones!$AA$103)&gt;=$T128),$W128,IF(AND($S128&lt;&gt;"",EDATE($D128,Milestones!$AA$103)&gt;=$S128),$V128,$U128)))=Milestones!$AB$103),UPPER(TEXT(EDATE($D128,Milestones!$AA$103),"dd mmm yy"))&amp;" "&amp;Milestones!$AB$103&amp;" "&amp;Milestones!$AC$103&amp;";  ","")&amp;IF(AND(EDATE($D128,Milestones!$AA$104)&lt;=AsOfDate,IF($R128=0,$X128,IF(AND($T128&lt;&gt;"",EDATE($D128,Milestones!$AA$104)&gt;=$T128),$W128,IF(AND($S128&lt;&gt;"",EDATE($D128,Milestones!$AA$104)&gt;=$S128),$V128,$U128)))=Milestones!$AB$104),UPPER(TEXT(EDATE($D128,Milestones!$AA$104),"dd mmm yy"))&amp;" "&amp;Milestones!$AB$104&amp;" "&amp;Milestones!$AC$104&amp;";  ","")&amp;IF(AND(EDATE($D128,Milestones!$AA$105)&lt;=AsOfDate,IF($R128=0,$X128,IF(AND($T128&lt;&gt;"",EDATE($D128,Milestones!$AA$105)&gt;=$T128),$W128,IF(AND($S128&lt;&gt;"",EDATE($D128,Milestones!$AA$105)&gt;=$S128),$V128,$U128)))=Milestones!$AB$105),UPPER(TEXT(EDATE($D128,Milestones!$AA$105),"dd mmm yy"))&amp;" "&amp;Milestones!$AB$105&amp;" "&amp;Milestones!$AC$105&amp;";  ","")&amp;IF(AND(EDATE($D128,Milestones!$AA$106)&lt;=AsOfDate,IF($R128=0,$X128,IF(AND($T128&lt;&gt;"",EDATE($D128,Milestones!$AA$106)&gt;=$T128),$W128,IF(AND($S128&lt;&gt;"",EDATE($D128,Milestones!$AA$106)&gt;=$S128),$V128,$U128)))=Milestones!$AB$106),UPPER(TEXT(EDATE($D128,Milestones!$AA$106),"dd mmm yy"))&amp;" "&amp;Milestones!$AB$106&amp;" "&amp;Milestones!$AC$106&amp;";  ","")&amp;IF(AND(EDATE($D128,Milestones!$AA$107)&lt;=AsOfDate,IF($R128=0,$X128,IF(AND($T128&lt;&gt;"",EDATE($D128,Milestones!$AA$107)&gt;=$T128),$W128,IF(AND($S128&lt;&gt;"",EDATE($D128,Milestones!$AA$107)&gt;=$S128),$V128,$U128)))=Milestones!$AB$107),UPPER(TEXT(EDATE($D128,Milestones!$AA$107),"dd mmm yy"))&amp;" "&amp;Milestones!$AB$107&amp;" "&amp;Milestones!$AC$107&amp;";  ","")&amp;IF(AND(EDATE($D128,Milestones!$AA$108)&lt;=AsOfDate,IF($R128=0,$X128,IF(AND($T128&lt;&gt;"",EDATE($D128,Milestones!$AA$108)&gt;=$T128),$W128,IF(AND($S128&lt;&gt;"",EDATE($D128,Milestones!$AA$108)&gt;=$S128),$V128,$U128)))=Milestones!$AB$108),UPPER(TEXT(EDATE($D128,Milestones!$AA$108),"dd mmm yy"))&amp;" "&amp;Milestones!$AB$108&amp;" "&amp;Milestones!$AC$108&amp;";  ","")&amp;IF(AND(EDATE($D128,Milestones!$AA$109)&lt;=AsOfDate,IF($R128=0,$X128,IF(AND($T128&lt;&gt;"",EDATE($D128,Milestones!$AA$109)&gt;=$T128),$W128,IF(AND($S128&lt;&gt;"",EDATE($D128,Milestones!$AA$109)&gt;=$S128),$V128,$U128)))=Milestones!$AB$109),UPPER(TEXT(EDATE($D128,Milestones!$AA$109),"dd mmm yy"))&amp;" "&amp;Milestones!$AB$109&amp;" "&amp;Milestones!$AC$109&amp;";  ","")&amp;IF(AND(EDATE($D128,Milestones!$AA$110)&lt;=AsOfDate,IF($R128=0,$X128,IF(AND($T128&lt;&gt;"",EDATE($D128,Milestones!$AA$110)&gt;=$T128),$W128,IF(AND($S128&lt;&gt;"",EDATE($D128,Milestones!$AA$110)&gt;=$S128),$V128,$U128)))=Milestones!$AB$110),UPPER(TEXT(EDATE($D128,Milestones!$AA$110),"dd mmm yy"))&amp;" "&amp;Milestones!$AB$110&amp;" "&amp;Milestones!$AC$110&amp;";  ","")&amp;IF(AND(EDATE($D128,Milestones!$AA$111)&lt;=AsOfDate,IF($R128=0,$X128,IF(AND($T128&lt;&gt;"",EDATE($D128,Milestones!$AA$111)&gt;=$T128),$W128,IF(AND($S128&lt;&gt;"",EDATE($D128,Milestones!$AA$111)&gt;=$S128),$V128,$U128)))=Milestones!$AB$111),UPPER(TEXT(EDATE($D128,Milestones!$AA$111),"dd mmm yy"))&amp;" "&amp;Milestones!$AB$111&amp;" "&amp;Milestones!$AC$111&amp;";  ","")&amp;IF(AND(EDATE($D128,Milestones!$AA$112)&lt;=AsOfDate,IF($R128=0,$X128,IF(AND($T128&lt;&gt;"",EDATE($D128,Milestones!$AA$112)&gt;=$T128),$W128,IF(AND($S128&lt;&gt;"",EDATE($D128,Milestones!$AA$112)&gt;=$S128),$V128,$U128)))=Milestones!$AB$112),UPPER(TEXT(EDATE($D128,Milestones!$AA$112),"dd mmm yy"))&amp;" "&amp;Milestones!$AB$112&amp;" "&amp;Milestones!$AC$112&amp;";  ","")&amp;IF(AND(EDATE($D128,Milestones!$AA$113)&lt;=AsOfDate,IF($R128=0,$X128,IF(AND($T128&lt;&gt;"",EDATE($D128,Milestones!$AA$113)&gt;=$T128),$W128,IF(AND($S128&lt;&gt;"",EDATE($D128,Milestones!$AA$113)&gt;=$S128),$V128,$U128)))=Milestones!$AB$113),UPPER(TEXT(EDATE($D128,Milestones!$AA$113),"dd mmm yy"))&amp;" "&amp;Milestones!$AB$113&amp;" "&amp;Milestones!$AC$113&amp;";  ","")&amp;IF(AND(EDATE($D128,Milestones!$AA$114)&lt;=AsOfDate,IF($R128=0,$X128,IF(AND($T128&lt;&gt;"",EDATE($D128,Milestones!$AA$114)&gt;=$T128),$W128,IF(AND($S128&lt;&gt;"",EDATE($D128,Milestones!$AA$114)&gt;=$S128),$V128,$U128)))=Milestones!$AB$114),UPPER(TEXT(EDATE($D128,Milestones!$AA$114),"dd mmm yy"))&amp;" "&amp;Milestones!$AB$114&amp;" "&amp;Milestones!$AC$114&amp;";  ","")&amp;IF(AND(EDATE($D128,Milestones!$AA$115)&lt;=AsOfDate,IF($R128=0,$X128,IF(AND($T128&lt;&gt;"",EDATE($D128,Milestones!$AA$115)&gt;=$T128),$W128,IF(AND($S128&lt;&gt;"",EDATE($D128,Milestones!$AA$115)&gt;=$S128),$V128,$U128)))=Milestones!$AB$115),UPPER(TEXT(EDATE($D128,Milestones!$AA$115),"dd mmm yy"))&amp;" "&amp;Milestones!$AB$115&amp;" "&amp;Milestones!$AC$115&amp;";  ","")&amp;IF(AND(EDATE($D128,Milestones!$AA$116)&lt;=AsOfDate,IF($R128=0,$X128,IF(AND($T128&lt;&gt;"",EDATE($D128,Milestones!$AA$116)&gt;=$T128),$W128,IF(AND($S128&lt;&gt;"",EDATE($D128,Milestones!$AA$116)&gt;=$S128),$V128,$U128)))=Milestones!$AB$116),UPPER(TEXT(EDATE($D128,Milestones!$AA$116),"dd mmm yy"))&amp;" "&amp;Milestones!$AB$116&amp;" "&amp;Milestones!$AC$116&amp;";  ","")&amp;IF(AND(EDATE($D128,Milestones!$AA$117)&lt;=AsOfDate,IF($R128=0,$X128,IF(AND($T128&lt;&gt;"",EDATE($D128,Milestones!$AA$117)&gt;=$T128),$W128,IF(AND($S128&lt;&gt;"",EDATE($D128,Milestones!$AA$117)&gt;=$S128),$V128,$U128)))=Milestones!$AB$117),UPPER(TEXT(EDATE($D128,Milestones!$AA$117),"dd mmm yy"))&amp;" "&amp;Milestones!$AB$117&amp;" "&amp;Milestones!$AC$117&amp;";  ","")&amp;IF(AND(EDATE($D128,Milestones!$AA$118)&lt;=AsOfDate,IF($R128=0,$X128,IF(AND($T128&lt;&gt;"",EDATE($D128,Milestones!$AA$118)&gt;=$T128),$W128,IF(AND($S128&lt;&gt;"",EDATE($D128,Milestones!$AA$118)&gt;=$S128),$V128,$U128)))=Milestones!$AB$118),UPPER(TEXT(EDATE($D128,Milestones!$AA$118),"dd mmm yy"))&amp;" "&amp;Milestones!$AB$118&amp;" "&amp;Milestones!$AC$118&amp;";  ","")&amp;IF(AND(EDATE($D128,Milestones!$AA$119)&lt;=AsOfDate,IF($R128=0,$X128,IF(AND($T128&lt;&gt;"",EDATE($D128,Milestones!$AA$119)&gt;=$T128),$W128,IF(AND($S128&lt;&gt;"",EDATE($D128,Milestones!$AA$119)&gt;=$S128),$V128,$U128)))=Milestones!$AB$119),UPPER(TEXT(EDATE($D128,Milestones!$AA$119),"dd mmm yy"))&amp;" "&amp;Milestones!$AB$119&amp;" "&amp;Milestones!$AC$119&amp;";  ",""))</f>
        <v/>
      </c>
      <c r="N128" s="0" t="str">
        <f aca="false">IF(OR($A128="",$D128=""),"",IF(AND(EDATE($D128,Milestones!$AA$120)&lt;=AsOfDate,IF($R128=0,$X128,IF(AND($T128&lt;&gt;"",EDATE($D128,Milestones!$AA$120)&gt;=$T128),$W128,IF(AND($S128&lt;&gt;"",EDATE($D128,Milestones!$AA$120)&gt;=$S128),$V128,$U128)))=Milestones!$AB$120),UPPER(TEXT(EDATE($D128,Milestones!$AA$120),"dd mmm yy"))&amp;" "&amp;Milestones!$AB$120&amp;" "&amp;Milestones!$AC$120&amp;";  ","")&amp;IF(AND(EDATE($D128,Milestones!$AA$121)&lt;=AsOfDate,IF($R128=0,$X128,IF(AND($T128&lt;&gt;"",EDATE($D128,Milestones!$AA$121)&gt;=$T128),$W128,IF(AND($S128&lt;&gt;"",EDATE($D128,Milestones!$AA$121)&gt;=$S128),$V128,$U128)))=Milestones!$AB$121),UPPER(TEXT(EDATE($D128,Milestones!$AA$121),"dd mmm yy"))&amp;" "&amp;Milestones!$AB$121&amp;" "&amp;Milestones!$AC$121&amp;";  ","")&amp;IF(AND(EDATE($D128,Milestones!$AA$122)&lt;=AsOfDate,IF($R128=0,$X128,IF(AND($T128&lt;&gt;"",EDATE($D128,Milestones!$AA$122)&gt;=$T128),$W128,IF(AND($S128&lt;&gt;"",EDATE($D128,Milestones!$AA$122)&gt;=$S128),$V128,$U128)))=Milestones!$AB$122),UPPER(TEXT(EDATE($D128,Milestones!$AA$122),"dd mmm yy"))&amp;" "&amp;Milestones!$AB$122&amp;" "&amp;Milestones!$AC$122&amp;";  ","")&amp;IF(AND(EDATE($D128,Milestones!$AA$123)&lt;=AsOfDate,IF($R128=0,$X128,IF(AND($T128&lt;&gt;"",EDATE($D128,Milestones!$AA$123)&gt;=$T128),$W128,IF(AND($S128&lt;&gt;"",EDATE($D128,Milestones!$AA$123)&gt;=$S128),$V128,$U128)))=Milestones!$AB$123),UPPER(TEXT(EDATE($D128,Milestones!$AA$123),"dd mmm yy"))&amp;" "&amp;Milestones!$AB$123&amp;" "&amp;Milestones!$AC$123&amp;";  ","")&amp;IF(AND(EDATE($D128,Milestones!$AA$124)&lt;=AsOfDate,IF($R128=0,$X128,IF(AND($T128&lt;&gt;"",EDATE($D128,Milestones!$AA$124)&gt;=$T128),$W128,IF(AND($S128&lt;&gt;"",EDATE($D128,Milestones!$AA$124)&gt;=$S128),$V128,$U128)))=Milestones!$AB$124),UPPER(TEXT(EDATE($D128,Milestones!$AA$124),"dd mmm yy"))&amp;" "&amp;Milestones!$AB$124&amp;" "&amp;Milestones!$AC$124&amp;";  ","")&amp;IF(AND(EDATE($D128,Milestones!$AA$125)&lt;=AsOfDate,IF($R128=0,$X128,IF(AND($T128&lt;&gt;"",EDATE($D128,Milestones!$AA$125)&gt;=$T128),$W128,IF(AND($S128&lt;&gt;"",EDATE($D128,Milestones!$AA$125)&gt;=$S128),$V128,$U128)))=Milestones!$AB$125),UPPER(TEXT(EDATE($D128,Milestones!$AA$125),"dd mmm yy"))&amp;" "&amp;Milestones!$AB$125&amp;" "&amp;Milestones!$AC$125&amp;";  ","")&amp;IF(AND(EDATE($D128,Milestones!$AA$126)&lt;=AsOfDate,IF($R128=0,$X128,IF(AND($T128&lt;&gt;"",EDATE($D128,Milestones!$AA$126)&gt;=$T128),$W128,IF(AND($S128&lt;&gt;"",EDATE($D128,Milestones!$AA$126)&gt;=$S128),$V128,$U128)))=Milestones!$AB$126),UPPER(TEXT(EDATE($D128,Milestones!$AA$126),"dd mmm yy"))&amp;" "&amp;Milestones!$AB$126&amp;" "&amp;Milestones!$AC$126&amp;";  ","")&amp;IF(AND(EDATE($D128,Milestones!$AA$127)&lt;=AsOfDate,IF($R128=0,$X128,IF(AND($T128&lt;&gt;"",EDATE($D128,Milestones!$AA$127)&gt;=$T128),$W128,IF(AND($S128&lt;&gt;"",EDATE($D128,Milestones!$AA$127)&gt;=$S128),$V128,$U128)))=Milestones!$AB$127),UPPER(TEXT(EDATE($D128,Milestones!$AA$127),"dd mmm yy"))&amp;" "&amp;Milestones!$AB$127&amp;" "&amp;Milestones!$AC$127&amp;";  ","")&amp;IF(AND(EDATE($D128,Milestones!$AA$128)&lt;=AsOfDate,IF($R128=0,$X128,IF(AND($T128&lt;&gt;"",EDATE($D128,Milestones!$AA$128)&gt;=$T128),$W128,IF(AND($S128&lt;&gt;"",EDATE($D128,Milestones!$AA$128)&gt;=$S128),$V128,$U128)))=Milestones!$AB$128),UPPER(TEXT(EDATE($D128,Milestones!$AA$128),"dd mmm yy"))&amp;" "&amp;Milestones!$AB$128&amp;" "&amp;Milestones!$AC$128&amp;";  ","")&amp;IF(AND(EDATE($D128,Milestones!$AA$129)&lt;=AsOfDate,IF($R128=0,$X128,IF(AND($T128&lt;&gt;"",EDATE($D128,Milestones!$AA$129)&gt;=$T128),$W128,IF(AND($S128&lt;&gt;"",EDATE($D128,Milestones!$AA$129)&gt;=$S128),$V128,$U128)))=Milestones!$AB$129),UPPER(TEXT(EDATE($D128,Milestones!$AA$129),"dd mmm yy"))&amp;" "&amp;Milestones!$AB$129&amp;" "&amp;Milestones!$AC$129&amp;";  ","")&amp;IF(AND(EDATE($D128,Milestones!$AA$130)&lt;=AsOfDate,IF($R128=0,$X128,IF(AND($T128&lt;&gt;"",EDATE($D128,Milestones!$AA$130)&gt;=$T128),$W128,IF(AND($S128&lt;&gt;"",EDATE($D128,Milestones!$AA$130)&gt;=$S128),$V128,$U128)))=Milestones!$AB$130),UPPER(TEXT(EDATE($D128,Milestones!$AA$130),"dd mmm yy"))&amp;" "&amp;Milestones!$AB$130&amp;" "&amp;Milestones!$AC$130&amp;";  ","")&amp;IF(AND(EDATE($D128,Milestones!$AA$131)&lt;=AsOfDate,IF($R128=0,$X128,IF(AND($T128&lt;&gt;"",EDATE($D128,Milestones!$AA$131)&gt;=$T128),$W128,IF(AND($S128&lt;&gt;"",EDATE($D128,Milestones!$AA$131)&gt;=$S128),$V128,$U128)))=Milestones!$AB$131),UPPER(TEXT(EDATE($D128,Milestones!$AA$131),"dd mmm yy"))&amp;" "&amp;Milestones!$AB$131&amp;" "&amp;Milestones!$AC$131&amp;";  ","")&amp;IF(AND(EDATE($D128,Milestones!$AA$132)&lt;=AsOfDate,IF($R128=0,$X128,IF(AND($T128&lt;&gt;"",EDATE($D128,Milestones!$AA$132)&gt;=$T128),$W128,IF(AND($S128&lt;&gt;"",EDATE($D128,Milestones!$AA$132)&gt;=$S128),$V128,$U128)))=Milestones!$AB$132),UPPER(TEXT(EDATE($D128,Milestones!$AA$132),"dd mmm yy"))&amp;" "&amp;Milestones!$AB$132&amp;" "&amp;Milestones!$AC$132&amp;";  ","")&amp;IF(AND(EDATE($D128,Milestones!$AA$133)&lt;=AsOfDate,IF($R128=0,$X128,IF(AND($T128&lt;&gt;"",EDATE($D128,Milestones!$AA$133)&gt;=$T128),$W128,IF(AND($S128&lt;&gt;"",EDATE($D128,Milestones!$AA$133)&gt;=$S128),$V128,$U128)))=Milestones!$AB$133),UPPER(TEXT(EDATE($D128,Milestones!$AA$133),"dd mmm yy"))&amp;" "&amp;Milestones!$AB$133&amp;" "&amp;Milestones!$AC$133&amp;";  ","")&amp;IF(AND(EDATE($D128,Milestones!$AA$134)&lt;=AsOfDate,IF($R128=0,$X128,IF(AND($T128&lt;&gt;"",EDATE($D128,Milestones!$AA$134)&gt;=$T128),$W128,IF(AND($S128&lt;&gt;"",EDATE($D128,Milestones!$AA$134)&gt;=$S128),$V128,$U128)))=Milestones!$AB$134),UPPER(TEXT(EDATE($D128,Milestones!$AA$134),"dd mmm yy"))&amp;" "&amp;Milestones!$AB$134&amp;" "&amp;Milestones!$AC$134&amp;";  ","")&amp;IF(AND(EDATE($D128,Milestones!$AA$135)&lt;=AsOfDate,IF($R128=0,$X128,IF(AND($T128&lt;&gt;"",EDATE($D128,Milestones!$AA$135)&gt;=$T128),$W128,IF(AND($S128&lt;&gt;"",EDATE($D128,Milestones!$AA$135)&gt;=$S128),$V128,$U128)))=Milestones!$AB$135),UPPER(TEXT(EDATE($D128,Milestones!$AA$135),"dd mmm yy"))&amp;" "&amp;Milestones!$AB$135&amp;" "&amp;Milestones!$AC$135&amp;";  ","")&amp;IF(AND(EDATE($D128,Milestones!$AA$136)&lt;=AsOfDate,IF($R128=0,$X128,IF(AND($T128&lt;&gt;"",EDATE($D128,Milestones!$AA$136)&gt;=$T128),$W128,IF(AND($S128&lt;&gt;"",EDATE($D128,Milestones!$AA$136)&gt;=$S128),$V128,$U128)))=Milestones!$AB$136),UPPER(TEXT(EDATE($D128,Milestones!$AA$136),"dd mmm yy"))&amp;" "&amp;Milestones!$AB$136&amp;" "&amp;Milestones!$AC$136&amp;";  ","")&amp;IF(AND(EDATE($D128,Milestones!$AA$137)&lt;=AsOfDate,IF($R128=0,$X128,IF(AND($T128&lt;&gt;"",EDATE($D128,Milestones!$AA$137)&gt;=$T128),$W128,IF(AND($S128&lt;&gt;"",EDATE($D128,Milestones!$AA$137)&gt;=$S128),$V128,$U128)))=Milestones!$AB$137),UPPER(TEXT(EDATE($D128,Milestones!$AA$137),"dd mmm yy"))&amp;" "&amp;Milestones!$AB$137&amp;" "&amp;Milestones!$AC$137&amp;";  ","")&amp;IF(AND(EDATE($D128,Milestones!$AA$138)&lt;=AsOfDate,IF($R128=0,$X128,IF(AND($T128&lt;&gt;"",EDATE($D128,Milestones!$AA$138)&gt;=$T128),$W128,IF(AND($S128&lt;&gt;"",EDATE($D128,Milestones!$AA$138)&gt;=$S128),$V128,$U128)))=Milestones!$AB$138),UPPER(TEXT(EDATE($D128,Milestones!$AA$138),"dd mmm yy"))&amp;" "&amp;Milestones!$AB$138&amp;" "&amp;Milestones!$AC$138&amp;";  ","")&amp;IF(AND(EDATE($D128,Milestones!$AA$139)&lt;=AsOfDate,IF($R128=0,$X128,IF(AND($T128&lt;&gt;"",EDATE($D128,Milestones!$AA$139)&gt;=$T128),$W128,IF(AND($S128&lt;&gt;"",EDATE($D128,Milestones!$AA$139)&gt;=$S128),$V128,$U128)))=Milestones!$AB$139),UPPER(TEXT(EDATE($D128,Milestones!$AA$139),"dd mmm yy"))&amp;" "&amp;Milestones!$AB$139&amp;" "&amp;Milestones!$AC$139&amp;";  ",""))</f>
        <v/>
      </c>
      <c r="O128" s="0" t="str">
        <f aca="false">IF(OR($A128="",$D128=""),"",IF(AND(EDATE($D128,Milestones!$AA$140)&lt;=AsOfDate,IF($R128=0,$X128,IF(AND($T128&lt;&gt;"",EDATE($D128,Milestones!$AA$140)&gt;=$T128),$W128,IF(AND($S128&lt;&gt;"",EDATE($D128,Milestones!$AA$140)&gt;=$S128),$V128,$U128)))=Milestones!$AB$140),UPPER(TEXT(EDATE($D128,Milestones!$AA$140),"dd mmm yy"))&amp;" "&amp;Milestones!$AB$140&amp;" "&amp;Milestones!$AC$140&amp;";  ","")&amp;IF(AND(EDATE($D128,Milestones!$AA$141)&lt;=AsOfDate,IF($R128=0,$X128,IF(AND($T128&lt;&gt;"",EDATE($D128,Milestones!$AA$141)&gt;=$T128),$W128,IF(AND($S128&lt;&gt;"",EDATE($D128,Milestones!$AA$141)&gt;=$S128),$V128,$U128)))=Milestones!$AB$141),UPPER(TEXT(EDATE($D128,Milestones!$AA$141),"dd mmm yy"))&amp;" "&amp;Milestones!$AB$141&amp;" "&amp;Milestones!$AC$141&amp;";  ","")&amp;IF(AND(EDATE($D128,Milestones!$AA$142)&lt;=AsOfDate,IF($R128=0,$X128,IF(AND($T128&lt;&gt;"",EDATE($D128,Milestones!$AA$142)&gt;=$T128),$W128,IF(AND($S128&lt;&gt;"",EDATE($D128,Milestones!$AA$142)&gt;=$S128),$V128,$U128)))=Milestones!$AB$142),UPPER(TEXT(EDATE($D128,Milestones!$AA$142),"dd mmm yy"))&amp;" "&amp;Milestones!$AB$142&amp;" "&amp;Milestones!$AC$142&amp;";  ","")&amp;IF(AND(EDATE($D128,Milestones!$AA$143)&lt;=AsOfDate,IF($R128=0,$X128,IF(AND($T128&lt;&gt;"",EDATE($D128,Milestones!$AA$143)&gt;=$T128),$W128,IF(AND($S128&lt;&gt;"",EDATE($D128,Milestones!$AA$143)&gt;=$S128),$V128,$U128)))=Milestones!$AB$143),UPPER(TEXT(EDATE($D128,Milestones!$AA$143),"dd mmm yy"))&amp;" "&amp;Milestones!$AB$143&amp;" "&amp;Milestones!$AC$143&amp;";  ","")&amp;IF(AND(EDATE($D128,Milestones!$AA$144)&lt;=AsOfDate,IF($R128=0,$X128,IF(AND($T128&lt;&gt;"",EDATE($D128,Milestones!$AA$144)&gt;=$T128),$W128,IF(AND($S128&lt;&gt;"",EDATE($D128,Milestones!$AA$144)&gt;=$S128),$V128,$U128)))=Milestones!$AB$144),UPPER(TEXT(EDATE($D128,Milestones!$AA$144),"dd mmm yy"))&amp;" "&amp;Milestones!$AB$144&amp;" "&amp;Milestones!$AC$144&amp;";  ","")&amp;IF(AND(EDATE($D128,Milestones!$AA$145)&lt;=AsOfDate,IF($R128=0,$X128,IF(AND($T128&lt;&gt;"",EDATE($D128,Milestones!$AA$145)&gt;=$T128),$W128,IF(AND($S128&lt;&gt;"",EDATE($D128,Milestones!$AA$145)&gt;=$S128),$V128,$U128)))=Milestones!$AB$145),UPPER(TEXT(EDATE($D128,Milestones!$AA$145),"dd mmm yy"))&amp;" "&amp;Milestones!$AB$145&amp;" "&amp;Milestones!$AC$145&amp;";  ","")&amp;IF(AND(EDATE($D128,Milestones!$AA$146)&lt;=AsOfDate,IF($R128=0,$X128,IF(AND($T128&lt;&gt;"",EDATE($D128,Milestones!$AA$146)&gt;=$T128),$W128,IF(AND($S128&lt;&gt;"",EDATE($D128,Milestones!$AA$146)&gt;=$S128),$V128,$U128)))=Milestones!$AB$146),UPPER(TEXT(EDATE($D128,Milestones!$AA$146),"dd mmm yy"))&amp;" "&amp;Milestones!$AB$146&amp;" "&amp;Milestones!$AC$146&amp;";  ","")&amp;IF(AND(EDATE($D128,Milestones!$AA$147)&lt;=AsOfDate,IF($R128=0,$X128,IF(AND($T128&lt;&gt;"",EDATE($D128,Milestones!$AA$147)&gt;=$T128),$W128,IF(AND($S128&lt;&gt;"",EDATE($D128,Milestones!$AA$147)&gt;=$S128),$V128,$U128)))=Milestones!$AB$147),UPPER(TEXT(EDATE($D128,Milestones!$AA$147),"dd mmm yy"))&amp;" "&amp;Milestones!$AB$147&amp;" "&amp;Milestones!$AC$147&amp;";  ","")&amp;IF(AND(EDATE($D128,Milestones!$AA$148)&lt;=AsOfDate,IF($R128=0,$X128,IF(AND($T128&lt;&gt;"",EDATE($D128,Milestones!$AA$148)&gt;=$T128),$W128,IF(AND($S128&lt;&gt;"",EDATE($D128,Milestones!$AA$148)&gt;=$S128),$V128,$U128)))=Milestones!$AB$148),UPPER(TEXT(EDATE($D128,Milestones!$AA$148),"dd mmm yy"))&amp;" "&amp;Milestones!$AB$148&amp;" "&amp;Milestones!$AC$148&amp;";  ","")&amp;IF(AND(EDATE($D128,Milestones!$AA$149)&lt;=AsOfDate,IF($R128=0,$X128,IF(AND($T128&lt;&gt;"",EDATE($D128,Milestones!$AA$149)&gt;=$T128),$W128,IF(AND($S128&lt;&gt;"",EDATE($D128,Milestones!$AA$149)&gt;=$S128),$V128,$U128)))=Milestones!$AB$149),UPPER(TEXT(EDATE($D128,Milestones!$AA$149),"dd mmm yy"))&amp;" "&amp;Milestones!$AB$149&amp;" "&amp;Milestones!$AC$149&amp;";  ","")&amp;IF(AND(EDATE($D128,Milestones!$AA$150)&lt;=AsOfDate,IF($R128=0,$X128,IF(AND($T128&lt;&gt;"",EDATE($D128,Milestones!$AA$150)&gt;=$T128),$W128,IF(AND($S128&lt;&gt;"",EDATE($D128,Milestones!$AA$150)&gt;=$S128),$V128,$U128)))=Milestones!$AB$150),UPPER(TEXT(EDATE($D128,Milestones!$AA$150),"dd mmm yy"))&amp;" "&amp;Milestones!$AB$150&amp;" "&amp;Milestones!$AC$150&amp;";  ","")&amp;IF(AND(EDATE($D128,Milestones!$AA$151)&lt;=AsOfDate,IF($R128=0,$X128,IF(AND($T128&lt;&gt;"",EDATE($D128,Milestones!$AA$151)&gt;=$T128),$W128,IF(AND($S128&lt;&gt;"",EDATE($D128,Milestones!$AA$151)&gt;=$S128),$V128,$U128)))=Milestones!$AB$151),UPPER(TEXT(EDATE($D128,Milestones!$AA$151),"dd mmm yy"))&amp;" "&amp;Milestones!$AB$151&amp;" "&amp;Milestones!$AC$151&amp;";  ","")&amp;IF(AND(EDATE($D128,Milestones!$AA$152)&lt;=AsOfDate,IF($R128=0,$X128,IF(AND($T128&lt;&gt;"",EDATE($D128,Milestones!$AA$152)&gt;=$T128),$W128,IF(AND($S128&lt;&gt;"",EDATE($D128,Milestones!$AA$152)&gt;=$S128),$V128,$U128)))=Milestones!$AB$152),UPPER(TEXT(EDATE($D128,Milestones!$AA$152),"dd mmm yy"))&amp;" "&amp;Milestones!$AB$152&amp;" "&amp;Milestones!$AC$152&amp;";  ","")&amp;IF(AND(EDATE($D128,Milestones!$AA$153)&lt;=AsOfDate,IF($R128=0,$X128,IF(AND($T128&lt;&gt;"",EDATE($D128,Milestones!$AA$153)&gt;=$T128),$W128,IF(AND($S128&lt;&gt;"",EDATE($D128,Milestones!$AA$153)&gt;=$S128),$V128,$U128)))=Milestones!$AB$153),UPPER(TEXT(EDATE($D128,Milestones!$AA$153),"dd mmm yy"))&amp;" "&amp;Milestones!$AB$153&amp;" "&amp;Milestones!$AC$153&amp;";  ","")&amp;IF(AND(EDATE($D128,Milestones!$AA$154)&lt;=AsOfDate,IF($R128=0,$X128,IF(AND($T128&lt;&gt;"",EDATE($D128,Milestones!$AA$154)&gt;=$T128),$W128,IF(AND($S128&lt;&gt;"",EDATE($D128,Milestones!$AA$154)&gt;=$S128),$V128,$U128)))=Milestones!$AB$154),UPPER(TEXT(EDATE($D128,Milestones!$AA$154),"dd mmm yy"))&amp;" "&amp;Milestones!$AB$154&amp;" "&amp;Milestones!$AC$154&amp;";  ","")&amp;IF(AND(EDATE($D128,Milestones!$AA$155)&lt;=AsOfDate,IF($R128=0,$X128,IF(AND($T128&lt;&gt;"",EDATE($D128,Milestones!$AA$155)&gt;=$T128),$W128,IF(AND($S128&lt;&gt;"",EDATE($D128,Milestones!$AA$155)&gt;=$S128),$V128,$U128)))=Milestones!$AB$155),UPPER(TEXT(EDATE($D128,Milestones!$AA$155),"dd mmm yy"))&amp;" "&amp;Milestones!$AB$155&amp;" "&amp;Milestones!$AC$155&amp;";  ","")&amp;IF(AND(EDATE($D128,Milestones!$AA$156)&lt;=AsOfDate,IF($R128=0,$X128,IF(AND($T128&lt;&gt;"",EDATE($D128,Milestones!$AA$156)&gt;=$T128),$W128,IF(AND($S128&lt;&gt;"",EDATE($D128,Milestones!$AA$156)&gt;=$S128),$V128,$U128)))=Milestones!$AB$156),UPPER(TEXT(EDATE($D128,Milestones!$AA$156),"dd mmm yy"))&amp;" "&amp;Milestones!$AB$156&amp;" "&amp;Milestones!$AC$156&amp;";  ","")&amp;IF(AND(EDATE($D128,Milestones!$AA$157)&lt;=AsOfDate,IF($R128=0,$X128,IF(AND($T128&lt;&gt;"",EDATE($D128,Milestones!$AA$157)&gt;=$T128),$W128,IF(AND($S128&lt;&gt;"",EDATE($D128,Milestones!$AA$157)&gt;=$S128),$V128,$U128)))=Milestones!$AB$157),UPPER(TEXT(EDATE($D128,Milestones!$AA$157),"dd mmm yy"))&amp;" "&amp;Milestones!$AB$157&amp;" "&amp;Milestones!$AC$157&amp;";  ","")&amp;IF(AND(EDATE($D128,Milestones!$AA$158)&lt;=AsOfDate,IF($R128=0,$X128,IF(AND($T128&lt;&gt;"",EDATE($D128,Milestones!$AA$158)&gt;=$T128),$W128,IF(AND($S128&lt;&gt;"",EDATE($D128,Milestones!$AA$158)&gt;=$S128),$V128,$U128)))=Milestones!$AB$158),UPPER(TEXT(EDATE($D128,Milestones!$AA$158),"dd mmm yy"))&amp;" "&amp;Milestones!$AB$158&amp;" "&amp;Milestones!$AC$158&amp;";  ","")&amp;IF(AND(EDATE($D128,Milestones!$AA$159)&lt;=AsOfDate,IF($R128=0,$X128,IF(AND($T128&lt;&gt;"",EDATE($D128,Milestones!$AA$159)&gt;=$T128),$W128,IF(AND($S128&lt;&gt;"",EDATE($D128,Milestones!$AA$159)&gt;=$S128),$V128,$U128)))=Milestones!$AB$159),UPPER(TEXT(EDATE($D128,Milestones!$AA$159),"dd mmm yy"))&amp;" "&amp;Milestones!$AB$159&amp;" "&amp;Milestones!$AC$159&amp;";  ",""))</f>
        <v/>
      </c>
      <c r="P128" s="0" t="str">
        <f aca="false">IF(OR($A128="",$D128=""),"",IF(AND(EDATE($D128,Milestones!$AA$160)&lt;=AsOfDate,IF($R128=0,$X128,IF(AND($T128&lt;&gt;"",EDATE($D128,Milestones!$AA$160)&gt;=$T128),$W128,IF(AND($S128&lt;&gt;"",EDATE($D128,Milestones!$AA$160)&gt;=$S128),$V128,$U128)))=Milestones!$AB$160),UPPER(TEXT(EDATE($D128,Milestones!$AA$160),"dd mmm yy"))&amp;" "&amp;Milestones!$AB$160&amp;" "&amp;Milestones!$AC$160&amp;";  ","")&amp;IF(AND(EDATE($D128,Milestones!$AA$161)&lt;=AsOfDate,IF($R128=0,$X128,IF(AND($T128&lt;&gt;"",EDATE($D128,Milestones!$AA$161)&gt;=$T128),$W128,IF(AND($S128&lt;&gt;"",EDATE($D128,Milestones!$AA$161)&gt;=$S128),$V128,$U128)))=Milestones!$AB$161),UPPER(TEXT(EDATE($D128,Milestones!$AA$161),"dd mmm yy"))&amp;" "&amp;Milestones!$AB$161&amp;" "&amp;Milestones!$AC$161&amp;";  ","")&amp;IF(AND(EDATE($D128,Milestones!$AA$162)&lt;=AsOfDate,IF($R128=0,$X128,IF(AND($T128&lt;&gt;"",EDATE($D128,Milestones!$AA$162)&gt;=$T128),$W128,IF(AND($S128&lt;&gt;"",EDATE($D128,Milestones!$AA$162)&gt;=$S128),$V128,$U128)))=Milestones!$AB$162),UPPER(TEXT(EDATE($D128,Milestones!$AA$162),"dd mmm yy"))&amp;" "&amp;Milestones!$AB$162&amp;" "&amp;Milestones!$AC$162&amp;";  ","")&amp;IF(AND(EDATE($D128,Milestones!$AA$163)&lt;=AsOfDate,IF($R128=0,$X128,IF(AND($T128&lt;&gt;"",EDATE($D128,Milestones!$AA$163)&gt;=$T128),$W128,IF(AND($S128&lt;&gt;"",EDATE($D128,Milestones!$AA$163)&gt;=$S128),$V128,$U128)))=Milestones!$AB$163),UPPER(TEXT(EDATE($D128,Milestones!$AA$163),"dd mmm yy"))&amp;" "&amp;Milestones!$AB$163&amp;" "&amp;Milestones!$AC$163&amp;";  ","")&amp;IF(AND(EDATE($D128,Milestones!$AA$164)&lt;=AsOfDate,IF($R128=0,$X128,IF(AND($T128&lt;&gt;"",EDATE($D128,Milestones!$AA$164)&gt;=$T128),$W128,IF(AND($S128&lt;&gt;"",EDATE($D128,Milestones!$AA$164)&gt;=$S128),$V128,$U128)))=Milestones!$AB$164),UPPER(TEXT(EDATE($D128,Milestones!$AA$164),"dd mmm yy"))&amp;" "&amp;Milestones!$AB$164&amp;" "&amp;Milestones!$AC$164&amp;";  ","")&amp;IF(AND(EDATE($D128,Milestones!$AA$165)&lt;=AsOfDate,IF($R128=0,$X128,IF(AND($T128&lt;&gt;"",EDATE($D128,Milestones!$AA$165)&gt;=$T128),$W128,IF(AND($S128&lt;&gt;"",EDATE($D128,Milestones!$AA$165)&gt;=$S128),$V128,$U128)))=Milestones!$AB$165),UPPER(TEXT(EDATE($D128,Milestones!$AA$165),"dd mmm yy"))&amp;" "&amp;Milestones!$AB$165&amp;" "&amp;Milestones!$AC$165&amp;";  ","")&amp;IF(AND(EDATE($D128,Milestones!$AA$166)&lt;=AsOfDate,IF($R128=0,$X128,IF(AND($T128&lt;&gt;"",EDATE($D128,Milestones!$AA$166)&gt;=$T128),$W128,IF(AND($S128&lt;&gt;"",EDATE($D128,Milestones!$AA$166)&gt;=$S128),$V128,$U128)))=Milestones!$AB$166),UPPER(TEXT(EDATE($D128,Milestones!$AA$166),"dd mmm yy"))&amp;" "&amp;Milestones!$AB$166&amp;" "&amp;Milestones!$AC$166&amp;";  ","")&amp;IF(AND(EDATE($D128,Milestones!$AA$167)&lt;=AsOfDate,IF($R128=0,$X128,IF(AND($T128&lt;&gt;"",EDATE($D128,Milestones!$AA$167)&gt;=$T128),$W128,IF(AND($S128&lt;&gt;"",EDATE($D128,Milestones!$AA$167)&gt;=$S128),$V128,$U128)))=Milestones!$AB$167),UPPER(TEXT(EDATE($D128,Milestones!$AA$167),"dd mmm yy"))&amp;" "&amp;Milestones!$AB$167&amp;" "&amp;Milestones!$AC$167&amp;";  ","")&amp;IF(AND(EDATE($D128,Milestones!$AA$168)&lt;=AsOfDate,IF($R128=0,$X128,IF(AND($T128&lt;&gt;"",EDATE($D128,Milestones!$AA$168)&gt;=$T128),$W128,IF(AND($S128&lt;&gt;"",EDATE($D128,Milestones!$AA$168)&gt;=$S128),$V128,$U128)))=Milestones!$AB$168),UPPER(TEXT(EDATE($D128,Milestones!$AA$168),"dd mmm yy"))&amp;" "&amp;Milestones!$AB$168&amp;" "&amp;Milestones!$AC$168&amp;";  ","")&amp;IF(AND(EDATE($D128,Milestones!$AA$169)&lt;=AsOfDate,IF($R128=0,$X128,IF(AND($T128&lt;&gt;"",EDATE($D128,Milestones!$AA$169)&gt;=$T128),$W128,IF(AND($S128&lt;&gt;"",EDATE($D128,Milestones!$AA$169)&gt;=$S128),$V128,$U128)))=Milestones!$AB$169),UPPER(TEXT(EDATE($D128,Milestones!$AA$169),"dd mmm yy"))&amp;" "&amp;Milestones!$AB$169&amp;" "&amp;Milestones!$AC$169&amp;";  ","")&amp;IF(AND(EDATE($D128,Milestones!$AA$170)&lt;=AsOfDate,IF($R128=0,$X128,IF(AND($T128&lt;&gt;"",EDATE($D128,Milestones!$AA$170)&gt;=$T128),$W128,IF(AND($S128&lt;&gt;"",EDATE($D128,Milestones!$AA$170)&gt;=$S128),$V128,$U128)))=Milestones!$AB$170),UPPER(TEXT(EDATE($D128,Milestones!$AA$170),"dd mmm yy"))&amp;" "&amp;Milestones!$AB$170&amp;" "&amp;Milestones!$AC$170&amp;";  ","")&amp;IF(AND(EDATE($D128,Milestones!$AA$171)&lt;=AsOfDate,IF($R128=0,$X128,IF(AND($T128&lt;&gt;"",EDATE($D128,Milestones!$AA$171)&gt;=$T128),$W128,IF(AND($S128&lt;&gt;"",EDATE($D128,Milestones!$AA$171)&gt;=$S128),$V128,$U128)))=Milestones!$AB$171),UPPER(TEXT(EDATE($D128,Milestones!$AA$171),"dd mmm yy"))&amp;" "&amp;Milestones!$AB$171&amp;" "&amp;Milestones!$AC$171&amp;";  ","")&amp;IF(AND(EDATE($D128,Milestones!$AA$172)&lt;=AsOfDate,IF($R128=0,$X128,IF(AND($T128&lt;&gt;"",EDATE($D128,Milestones!$AA$172)&gt;=$T128),$W128,IF(AND($S128&lt;&gt;"",EDATE($D128,Milestones!$AA$172)&gt;=$S128),$V128,$U128)))=Milestones!$AB$172),UPPER(TEXT(EDATE($D128,Milestones!$AA$172),"dd mmm yy"))&amp;" "&amp;Milestones!$AB$172&amp;" "&amp;Milestones!$AC$172&amp;";  ","")&amp;IF(AND(EDATE($D128,Milestones!$AA$173)&lt;=AsOfDate,IF($R128=0,$X128,IF(AND($T128&lt;&gt;"",EDATE($D128,Milestones!$AA$173)&gt;=$T128),$W128,IF(AND($S128&lt;&gt;"",EDATE($D128,Milestones!$AA$173)&gt;=$S128),$V128,$U128)))=Milestones!$AB$173),UPPER(TEXT(EDATE($D128,Milestones!$AA$173),"dd mmm yy"))&amp;" "&amp;Milestones!$AB$173&amp;" "&amp;Milestones!$AC$173&amp;";  ","")&amp;IF(AND(EDATE($D128,Milestones!$AA$174)&lt;=AsOfDate,IF($R128=0,$X128,IF(AND($T128&lt;&gt;"",EDATE($D128,Milestones!$AA$174)&gt;=$T128),$W128,IF(AND($S128&lt;&gt;"",EDATE($D128,Milestones!$AA$174)&gt;=$S128),$V128,$U128)))=Milestones!$AB$174),UPPER(TEXT(EDATE($D128,Milestones!$AA$174),"dd mmm yy"))&amp;" "&amp;Milestones!$AB$174&amp;" "&amp;Milestones!$AC$174&amp;";  ","")&amp;IF(AND(EDATE($D128,Milestones!$AA$175)&lt;=AsOfDate,IF($R128=0,$X128,IF(AND($T128&lt;&gt;"",EDATE($D128,Milestones!$AA$175)&gt;=$T128),$W128,IF(AND($S128&lt;&gt;"",EDATE($D128,Milestones!$AA$175)&gt;=$S128),$V128,$U128)))=Milestones!$AB$175),UPPER(TEXT(EDATE($D128,Milestones!$AA$175),"dd mmm yy"))&amp;" "&amp;Milestones!$AB$175&amp;" "&amp;Milestones!$AC$175&amp;";  ","")&amp;IF(AND(EDATE($D128,Milestones!$AA$176)&lt;=AsOfDate,IF($R128=0,$X128,IF(AND($T128&lt;&gt;"",EDATE($D128,Milestones!$AA$176)&gt;=$T128),$W128,IF(AND($S128&lt;&gt;"",EDATE($D128,Milestones!$AA$176)&gt;=$S128),$V128,$U128)))=Milestones!$AB$176),UPPER(TEXT(EDATE($D128,Milestones!$AA$176),"dd mmm yy"))&amp;" "&amp;Milestones!$AB$176&amp;" "&amp;Milestones!$AC$176&amp;";  ","")&amp;IF(AND(EDATE($D128,Milestones!$AA$177)&lt;=AsOfDate,IF($R128=0,$X128,IF(AND($T128&lt;&gt;"",EDATE($D128,Milestones!$AA$177)&gt;=$T128),$W128,IF(AND($S128&lt;&gt;"",EDATE($D128,Milestones!$AA$177)&gt;=$S128),$V128,$U128)))=Milestones!$AB$177),UPPER(TEXT(EDATE($D128,Milestones!$AA$177),"dd mmm yy"))&amp;" "&amp;Milestones!$AB$177&amp;" "&amp;Milestones!$AC$177&amp;";  ","")&amp;IF(AND(EDATE($D128,Milestones!$AA$178)&lt;=AsOfDate,IF($R128=0,$X128,IF(AND($T128&lt;&gt;"",EDATE($D128,Milestones!$AA$178)&gt;=$T128),$W128,IF(AND($S128&lt;&gt;"",EDATE($D128,Milestones!$AA$178)&gt;=$S128),$V128,$U128)))=Milestones!$AB$178),UPPER(TEXT(EDATE($D128,Milestones!$AA$178),"dd mmm yy"))&amp;" "&amp;Milestones!$AB$178&amp;" "&amp;Milestones!$AC$178&amp;";  ","")&amp;IF(AND(EDATE($D128,Milestones!$AA$179)&lt;=AsOfDate,IF($R128=0,$X128,IF(AND($T128&lt;&gt;"",EDATE($D128,Milestones!$AA$179)&gt;=$T128),$W128,IF(AND($S128&lt;&gt;"",EDATE($D128,Milestones!$AA$179)&gt;=$S128),$V128,$U128)))=Milestones!$AB$179),UPPER(TEXT(EDATE($D128,Milestones!$AA$179),"dd mmm yy"))&amp;" "&amp;Milestones!$AB$179&amp;" "&amp;Milestones!$AC$179&amp;";  ",""))</f>
        <v/>
      </c>
      <c r="Q128" s="0" t="str">
        <f aca="false">IF(OR($A128="",$D128=""),"",IF(AND(EDATE($D128,Milestones!$AA$180)&lt;=AsOfDate,IF($R128=0,$X128,IF(AND($T128&lt;&gt;"",EDATE($D128,Milestones!$AA$180)&gt;=$T128),$W128,IF(AND($S128&lt;&gt;"",EDATE($D128,Milestones!$AA$180)&gt;=$S128),$V128,$U128)))=Milestones!$AB$180),UPPER(TEXT(EDATE($D128,Milestones!$AA$180),"dd mmm yy"))&amp;" "&amp;Milestones!$AB$180&amp;" "&amp;Milestones!$AC$180&amp;";  ","")&amp;IF(AND(EDATE($D128,Milestones!$AA$181)&lt;=AsOfDate,IF($R128=0,$X128,IF(AND($T128&lt;&gt;"",EDATE($D128,Milestones!$AA$181)&gt;=$T128),$W128,IF(AND($S128&lt;&gt;"",EDATE($D128,Milestones!$AA$181)&gt;=$S128),$V128,$U128)))=Milestones!$AB$181),UPPER(TEXT(EDATE($D128,Milestones!$AA$181),"dd mmm yy"))&amp;" "&amp;Milestones!$AB$181&amp;" "&amp;Milestones!$AC$181&amp;";  ","")&amp;IF(AND(EDATE($D128,Milestones!$AA$182)&lt;=AsOfDate,IF($R128=0,$X128,IF(AND($T128&lt;&gt;"",EDATE($D128,Milestones!$AA$182)&gt;=$T128),$W128,IF(AND($S128&lt;&gt;"",EDATE($D128,Milestones!$AA$182)&gt;=$S128),$V128,$U128)))=Milestones!$AB$182),UPPER(TEXT(EDATE($D128,Milestones!$AA$182),"dd mmm yy"))&amp;" "&amp;Milestones!$AB$182&amp;" "&amp;Milestones!$AC$182&amp;";  ","")&amp;IF(AND(EDATE($D128,Milestones!$AA$183)&lt;=AsOfDate,IF($R128=0,$X128,IF(AND($T128&lt;&gt;"",EDATE($D128,Milestones!$AA$183)&gt;=$T128),$W128,IF(AND($S128&lt;&gt;"",EDATE($D128,Milestones!$AA$183)&gt;=$S128),$V128,$U128)))=Milestones!$AB$183),UPPER(TEXT(EDATE($D128,Milestones!$AA$183),"dd mmm yy"))&amp;" "&amp;Milestones!$AB$183&amp;" "&amp;Milestones!$AC$183&amp;";  ","")&amp;IF(AND(EDATE($D128,Milestones!$AA$184)&lt;=AsOfDate,IF($R128=0,$X128,IF(AND($T128&lt;&gt;"",EDATE($D128,Milestones!$AA$184)&gt;=$T128),$W128,IF(AND($S128&lt;&gt;"",EDATE($D128,Milestones!$AA$184)&gt;=$S128),$V128,$U128)))=Milestones!$AB$184),UPPER(TEXT(EDATE($D128,Milestones!$AA$184),"dd mmm yy"))&amp;" "&amp;Milestones!$AB$184&amp;" "&amp;Milestones!$AC$184&amp;";  ","")&amp;IF(AND(EDATE($D128,Milestones!$AA$185)&lt;=AsOfDate,IF($R128=0,$X128,IF(AND($T128&lt;&gt;"",EDATE($D128,Milestones!$AA$185)&gt;=$T128),$W128,IF(AND($S128&lt;&gt;"",EDATE($D128,Milestones!$AA$185)&gt;=$S128),$V128,$U128)))=Milestones!$AB$185),UPPER(TEXT(EDATE($D128,Milestones!$AA$185),"dd mmm yy"))&amp;" "&amp;Milestones!$AB$185&amp;" "&amp;Milestones!$AC$185&amp;";  ","")&amp;IF(AND(EDATE($D128,Milestones!$AA$186)&lt;=AsOfDate,IF($R128=0,$X128,IF(AND($T128&lt;&gt;"",EDATE($D128,Milestones!$AA$186)&gt;=$T128),$W128,IF(AND($S128&lt;&gt;"",EDATE($D128,Milestones!$AA$186)&gt;=$S128),$V128,$U128)))=Milestones!$AB$186),UPPER(TEXT(EDATE($D128,Milestones!$AA$186),"dd mmm yy"))&amp;" "&amp;Milestones!$AB$186&amp;" "&amp;Milestones!$AC$186&amp;";  ","")&amp;IF(AND(EDATE($D128,Milestones!$AA$187)&lt;=AsOfDate,IF($R128=0,$X128,IF(AND($T128&lt;&gt;"",EDATE($D128,Milestones!$AA$187)&gt;=$T128),$W128,IF(AND($S128&lt;&gt;"",EDATE($D128,Milestones!$AA$187)&gt;=$S128),$V128,$U128)))=Milestones!$AB$187),UPPER(TEXT(EDATE($D128,Milestones!$AA$187),"dd mmm yy"))&amp;" "&amp;Milestones!$AB$187&amp;" "&amp;Milestones!$AC$187&amp;";  ","")&amp;IF(AND(EDATE($D128,Milestones!$AA$188)&lt;=AsOfDate,IF($R128=0,$X128,IF(AND($T128&lt;&gt;"",EDATE($D128,Milestones!$AA$188)&gt;=$T128),$W128,IF(AND($S128&lt;&gt;"",EDATE($D128,Milestones!$AA$188)&gt;=$S128),$V128,$U128)))=Milestones!$AB$188),UPPER(TEXT(EDATE($D128,Milestones!$AA$188),"dd mmm yy"))&amp;" "&amp;Milestones!$AB$188&amp;" "&amp;Milestones!$AC$188&amp;";  ","")&amp;IF(AND(EDATE($D128,Milestones!$AA$189)&lt;=AsOfDate,IF($R128=0,$X128,IF(AND($T128&lt;&gt;"",EDATE($D128,Milestones!$AA$189)&gt;=$T128),$W128,IF(AND($S128&lt;&gt;"",EDATE($D128,Milestones!$AA$189)&gt;=$S128),$V128,$U128)))=Milestones!$AB$189),UPPER(TEXT(EDATE($D128,Milestones!$AA$189),"dd mmm yy"))&amp;" "&amp;Milestones!$AB$189&amp;" "&amp;Milestones!$AC$189&amp;";  ","")&amp;IF(AND(EDATE($D128,Milestones!$AA$190)&lt;=AsOfDate,IF($R128=0,$X128,IF(AND($T128&lt;&gt;"",EDATE($D128,Milestones!$AA$190)&gt;=$T128),$W128,IF(AND($S128&lt;&gt;"",EDATE($D128,Milestones!$AA$190)&gt;=$S128),$V128,$U128)))=Milestones!$AB$190),UPPER(TEXT(EDATE($D128,Milestones!$AA$190),"dd mmm yy"))&amp;" "&amp;Milestones!$AB$190&amp;" "&amp;Milestones!$AC$190&amp;";  ","")&amp;IF(AND(EDATE($D128,Milestones!$AA$191)&lt;=AsOfDate,IF($R128=0,$X128,IF(AND($T128&lt;&gt;"",EDATE($D128,Milestones!$AA$191)&gt;=$T128),$W128,IF(AND($S128&lt;&gt;"",EDATE($D128,Milestones!$AA$191)&gt;=$S128),$V128,$U128)))=Milestones!$AB$191),UPPER(TEXT(EDATE($D128,Milestones!$AA$191),"dd mmm yy"))&amp;" "&amp;Milestones!$AB$191&amp;" "&amp;Milestones!$AC$191&amp;";  ","")&amp;IF(AND(EDATE($D128,Milestones!$AA$192)&lt;=AsOfDate,IF($R128=0,$X128,IF(AND($T128&lt;&gt;"",EDATE($D128,Milestones!$AA$192)&gt;=$T128),$W128,IF(AND($S128&lt;&gt;"",EDATE($D128,Milestones!$AA$192)&gt;=$S128),$V128,$U128)))=Milestones!$AB$192),UPPER(TEXT(EDATE($D128,Milestones!$AA$192),"dd mmm yy"))&amp;" "&amp;Milestones!$AB$192&amp;" "&amp;Milestones!$AC$192&amp;";  ","")&amp;IF(AND(EDATE($D128,Milestones!$AA$193)&lt;=AsOfDate,IF($R128=0,$X128,IF(AND($T128&lt;&gt;"",EDATE($D128,Milestones!$AA$193)&gt;=$T128),$W128,IF(AND($S128&lt;&gt;"",EDATE($D128,Milestones!$AA$193)&gt;=$S128),$V128,$U128)))=Milestones!$AB$193),UPPER(TEXT(EDATE($D128,Milestones!$AA$193),"dd mmm yy"))&amp;" "&amp;Milestones!$AB$193&amp;" "&amp;Milestones!$AC$193&amp;";  ","")&amp;IF(AND(EDATE($D128,Milestones!$AA$194)&lt;=AsOfDate,IF($R128=0,$X128,IF(AND($T128&lt;&gt;"",EDATE($D128,Milestones!$AA$194)&gt;=$T128),$W128,IF(AND($S128&lt;&gt;"",EDATE($D128,Milestones!$AA$194)&gt;=$S128),$V128,$U128)))=Milestones!$AB$194),UPPER(TEXT(EDATE($D128,Milestones!$AA$194),"dd mmm yy"))&amp;" "&amp;Milestones!$AB$194&amp;" "&amp;Milestones!$AC$194&amp;";  ","")&amp;IF(AND(EDATE($D128,Milestones!$AA$195)&lt;=AsOfDate,IF($R128=0,$X128,IF(AND($T128&lt;&gt;"",EDATE($D128,Milestones!$AA$195)&gt;=$T128),$W128,IF(AND($S128&lt;&gt;"",EDATE($D128,Milestones!$AA$195)&gt;=$S128),$V128,$U128)))=Milestones!$AB$195),UPPER(TEXT(EDATE($D128,Milestones!$AA$195),"dd mmm yy"))&amp;" "&amp;Milestones!$AB$195&amp;" "&amp;Milestones!$AC$195&amp;";  ","")&amp;IF(AND(EDATE($D128,Milestones!$AA$196)&lt;=AsOfDate,IF($R128=0,$X128,IF(AND($T128&lt;&gt;"",EDATE($D128,Milestones!$AA$196)&gt;=$T128),$W128,IF(AND($S128&lt;&gt;"",EDATE($D128,Milestones!$AA$196)&gt;=$S128),$V128,$U128)))=Milestones!$AB$196),UPPER(TEXT(EDATE($D128,Milestones!$AA$196),"dd mmm yy"))&amp;" "&amp;Milestones!$AB$196&amp;" "&amp;Milestones!$AC$196&amp;";  ","")&amp;IF(AND(EDATE($D128,Milestones!$AA$197)&lt;=AsOfDate,IF($R128=0,$X128,IF(AND($T128&lt;&gt;"",EDATE($D128,Milestones!$AA$197)&gt;=$T128),$W128,IF(AND($S128&lt;&gt;"",EDATE($D128,Milestones!$AA$197)&gt;=$S128),$V128,$U128)))=Milestones!$AB$197),UPPER(TEXT(EDATE($D128,Milestones!$AA$197),"dd mmm yy"))&amp;" "&amp;Milestones!$AB$197&amp;" "&amp;Milestones!$AC$197&amp;";  ","")&amp;IF(AND(EDATE($D128,Milestones!$AA$198)&lt;=AsOfDate,IF($R128=0,$X128,IF(AND($T128&lt;&gt;"",EDATE($D128,Milestones!$AA$198)&gt;=$T128),$W128,IF(AND($S128&lt;&gt;"",EDATE($D128,Milestones!$AA$198)&gt;=$S128),$V128,$U128)))=Milestones!$AB$198),UPPER(TEXT(EDATE($D128,Milestones!$AA$198),"dd mmm yy"))&amp;" "&amp;Milestones!$AB$198&amp;" "&amp;Milestones!$AC$198&amp;";  ","")&amp;IF(AND(EDATE($D128,Milestones!$AA$199)&lt;=AsOfDate,IF($R128=0,$X128,IF(AND($T128&lt;&gt;"",EDATE($D128,Milestones!$AA$199)&gt;=$T128),$W128,IF(AND($S128&lt;&gt;"",EDATE($D128,Milestones!$AA$199)&gt;=$S128),$V128,$U128)))=Milestones!$AB$199),UPPER(TEXT(EDATE($D128,Milestones!$AA$199),"dd mmm yy"))&amp;" "&amp;Milestones!$AB$199&amp;" "&amp;Milestones!$AC$199&amp;";  ",""))</f>
        <v/>
      </c>
      <c r="R128" s="0" t="str">
        <f aca="false">IF(Staff!$A128="","",Staff!$AI128)</f>
        <v/>
      </c>
      <c r="S128" s="0" t="str">
        <f aca="false">IF(Staff!$A128="","",Staff!$AK128)</f>
        <v/>
      </c>
      <c r="T128" s="0" t="str">
        <f aca="false">IF(Staff!$A128="","",Staff!$AL128)</f>
        <v/>
      </c>
      <c r="U128" s="0" t="str">
        <f aca="false">IF(Staff!$A128="","",Staff!$AP128)</f>
        <v/>
      </c>
      <c r="V128" s="0" t="str">
        <f aca="false">IF(Staff!$A128="","",Staff!$AQ128)</f>
        <v/>
      </c>
      <c r="W128" s="0" t="str">
        <f aca="false">IF(Staff!$A128="","",Staff!$AR128)</f>
        <v/>
      </c>
      <c r="X128" s="0" t="str">
        <f aca="false">IF(Staff!$A128="","",Staff!$AS128)</f>
        <v/>
      </c>
    </row>
    <row r="129" customFormat="false" ht="15" hidden="false" customHeight="false" outlineLevel="0" collapsed="false">
      <c r="A129" s="19" t="str">
        <f aca="false">IF(Staff!$A129="","",Staff!$A129)</f>
        <v/>
      </c>
      <c r="B129" s="19" t="str">
        <f aca="false">IF(Staff!$A129="","",Staff!$B129)</f>
        <v/>
      </c>
      <c r="C129" s="19" t="str">
        <f aca="false">IF(Staff!$A129="","",Staff!$C129)</f>
        <v/>
      </c>
      <c r="D129" s="17" t="str">
        <f aca="false">IF(Staff!$A129="","",Staff!$AH129)</f>
        <v/>
      </c>
      <c r="E129" s="19" t="str">
        <f aca="false">IF(Staff!$A129="","",Staff!$O129)</f>
        <v/>
      </c>
      <c r="F129" s="19" t="str">
        <f aca="false">IF(E129="","",E129*HoursPerDay)</f>
        <v/>
      </c>
      <c r="G129" s="19" t="str">
        <f aca="false">IF(Staff!$A129="","",Staff!$AE129)</f>
        <v/>
      </c>
      <c r="H129" s="32" t="str">
        <f aca="false">IF($A129="","",I129&amp;J129&amp;K129&amp;L129&amp;M129&amp;N129&amp;O129&amp;P129&amp;Q129)</f>
        <v/>
      </c>
      <c r="I129" s="0" t="str">
        <f aca="false">IF(OR($A129="",$D129=""),"",IF(AND(EDATE($D129,Milestones!$AA$20)&lt;=AsOfDate,IF($R129=0,$X129,IF(AND($T129&lt;&gt;"",EDATE($D129,Milestones!$AA$20)&gt;=$T129),$W129,IF(AND($S129&lt;&gt;"",EDATE($D129,Milestones!$AA$20)&gt;=$S129),$V129,$U129)))=Milestones!$AB$20),UPPER(TEXT(EDATE($D129,Milestones!$AA$20),"dd mmm yy"))&amp;" "&amp;Milestones!$AB$20&amp;" "&amp;Milestones!$AC$20&amp;";  ","")&amp;IF(AND(EDATE($D129,Milestones!$AA$21)&lt;=AsOfDate,IF($R129=0,$X129,IF(AND($T129&lt;&gt;"",EDATE($D129,Milestones!$AA$21)&gt;=$T129),$W129,IF(AND($S129&lt;&gt;"",EDATE($D129,Milestones!$AA$21)&gt;=$S129),$V129,$U129)))=Milestones!$AB$21),UPPER(TEXT(EDATE($D129,Milestones!$AA$21),"dd mmm yy"))&amp;" "&amp;Milestones!$AB$21&amp;" "&amp;Milestones!$AC$21&amp;";  ","")&amp;IF(AND(EDATE($D129,Milestones!$AA$22)&lt;=AsOfDate,IF($R129=0,$X129,IF(AND($T129&lt;&gt;"",EDATE($D129,Milestones!$AA$22)&gt;=$T129),$W129,IF(AND($S129&lt;&gt;"",EDATE($D129,Milestones!$AA$22)&gt;=$S129),$V129,$U129)))=Milestones!$AB$22),UPPER(TEXT(EDATE($D129,Milestones!$AA$22),"dd mmm yy"))&amp;" "&amp;Milestones!$AB$22&amp;" "&amp;Milestones!$AC$22&amp;";  ","")&amp;IF(AND(EDATE($D129,Milestones!$AA$23)&lt;=AsOfDate,IF($R129=0,$X129,IF(AND($T129&lt;&gt;"",EDATE($D129,Milestones!$AA$23)&gt;=$T129),$W129,IF(AND($S129&lt;&gt;"",EDATE($D129,Milestones!$AA$23)&gt;=$S129),$V129,$U129)))=Milestones!$AB$23),UPPER(TEXT(EDATE($D129,Milestones!$AA$23),"dd mmm yy"))&amp;" "&amp;Milestones!$AB$23&amp;" "&amp;Milestones!$AC$23&amp;";  ","")&amp;IF(AND(EDATE($D129,Milestones!$AA$24)&lt;=AsOfDate,IF($R129=0,$X129,IF(AND($T129&lt;&gt;"",EDATE($D129,Milestones!$AA$24)&gt;=$T129),$W129,IF(AND($S129&lt;&gt;"",EDATE($D129,Milestones!$AA$24)&gt;=$S129),$V129,$U129)))=Milestones!$AB$24),UPPER(TEXT(EDATE($D129,Milestones!$AA$24),"dd mmm yy"))&amp;" "&amp;Milestones!$AB$24&amp;" "&amp;Milestones!$AC$24&amp;";  ","")&amp;IF(AND(EDATE($D129,Milestones!$AA$25)&lt;=AsOfDate,IF($R129=0,$X129,IF(AND($T129&lt;&gt;"",EDATE($D129,Milestones!$AA$25)&gt;=$T129),$W129,IF(AND($S129&lt;&gt;"",EDATE($D129,Milestones!$AA$25)&gt;=$S129),$V129,$U129)))=Milestones!$AB$25),UPPER(TEXT(EDATE($D129,Milestones!$AA$25),"dd mmm yy"))&amp;" "&amp;Milestones!$AB$25&amp;" "&amp;Milestones!$AC$25&amp;";  ","")&amp;IF(AND(EDATE($D129,Milestones!$AA$26)&lt;=AsOfDate,IF($R129=0,$X129,IF(AND($T129&lt;&gt;"",EDATE($D129,Milestones!$AA$26)&gt;=$T129),$W129,IF(AND($S129&lt;&gt;"",EDATE($D129,Milestones!$AA$26)&gt;=$S129),$V129,$U129)))=Milestones!$AB$26),UPPER(TEXT(EDATE($D129,Milestones!$AA$26),"dd mmm yy"))&amp;" "&amp;Milestones!$AB$26&amp;" "&amp;Milestones!$AC$26&amp;";  ","")&amp;IF(AND(EDATE($D129,Milestones!$AA$27)&lt;=AsOfDate,IF($R129=0,$X129,IF(AND($T129&lt;&gt;"",EDATE($D129,Milestones!$AA$27)&gt;=$T129),$W129,IF(AND($S129&lt;&gt;"",EDATE($D129,Milestones!$AA$27)&gt;=$S129),$V129,$U129)))=Milestones!$AB$27),UPPER(TEXT(EDATE($D129,Milestones!$AA$27),"dd mmm yy"))&amp;" "&amp;Milestones!$AB$27&amp;" "&amp;Milestones!$AC$27&amp;";  ","")&amp;IF(AND(EDATE($D129,Milestones!$AA$28)&lt;=AsOfDate,IF($R129=0,$X129,IF(AND($T129&lt;&gt;"",EDATE($D129,Milestones!$AA$28)&gt;=$T129),$W129,IF(AND($S129&lt;&gt;"",EDATE($D129,Milestones!$AA$28)&gt;=$S129),$V129,$U129)))=Milestones!$AB$28),UPPER(TEXT(EDATE($D129,Milestones!$AA$28),"dd mmm yy"))&amp;" "&amp;Milestones!$AB$28&amp;" "&amp;Milestones!$AC$28&amp;";  ","")&amp;IF(AND(EDATE($D129,Milestones!$AA$29)&lt;=AsOfDate,IF($R129=0,$X129,IF(AND($T129&lt;&gt;"",EDATE($D129,Milestones!$AA$29)&gt;=$T129),$W129,IF(AND($S129&lt;&gt;"",EDATE($D129,Milestones!$AA$29)&gt;=$S129),$V129,$U129)))=Milestones!$AB$29),UPPER(TEXT(EDATE($D129,Milestones!$AA$29),"dd mmm yy"))&amp;" "&amp;Milestones!$AB$29&amp;" "&amp;Milestones!$AC$29&amp;";  ","")&amp;IF(AND(EDATE($D129,Milestones!$AA$30)&lt;=AsOfDate,IF($R129=0,$X129,IF(AND($T129&lt;&gt;"",EDATE($D129,Milestones!$AA$30)&gt;=$T129),$W129,IF(AND($S129&lt;&gt;"",EDATE($D129,Milestones!$AA$30)&gt;=$S129),$V129,$U129)))=Milestones!$AB$30),UPPER(TEXT(EDATE($D129,Milestones!$AA$30),"dd mmm yy"))&amp;" "&amp;Milestones!$AB$30&amp;" "&amp;Milestones!$AC$30&amp;";  ","")&amp;IF(AND(EDATE($D129,Milestones!$AA$31)&lt;=AsOfDate,IF($R129=0,$X129,IF(AND($T129&lt;&gt;"",EDATE($D129,Milestones!$AA$31)&gt;=$T129),$W129,IF(AND($S129&lt;&gt;"",EDATE($D129,Milestones!$AA$31)&gt;=$S129),$V129,$U129)))=Milestones!$AB$31),UPPER(TEXT(EDATE($D129,Milestones!$AA$31),"dd mmm yy"))&amp;" "&amp;Milestones!$AB$31&amp;" "&amp;Milestones!$AC$31&amp;";  ","")&amp;IF(AND(EDATE($D129,Milestones!$AA$32)&lt;=AsOfDate,IF($R129=0,$X129,IF(AND($T129&lt;&gt;"",EDATE($D129,Milestones!$AA$32)&gt;=$T129),$W129,IF(AND($S129&lt;&gt;"",EDATE($D129,Milestones!$AA$32)&gt;=$S129),$V129,$U129)))=Milestones!$AB$32),UPPER(TEXT(EDATE($D129,Milestones!$AA$32),"dd mmm yy"))&amp;" "&amp;Milestones!$AB$32&amp;" "&amp;Milestones!$AC$32&amp;";  ","")&amp;IF(AND(EDATE($D129,Milestones!$AA$33)&lt;=AsOfDate,IF($R129=0,$X129,IF(AND($T129&lt;&gt;"",EDATE($D129,Milestones!$AA$33)&gt;=$T129),$W129,IF(AND($S129&lt;&gt;"",EDATE($D129,Milestones!$AA$33)&gt;=$S129),$V129,$U129)))=Milestones!$AB$33),UPPER(TEXT(EDATE($D129,Milestones!$AA$33),"dd mmm yy"))&amp;" "&amp;Milestones!$AB$33&amp;" "&amp;Milestones!$AC$33&amp;";  ","")&amp;IF(AND(EDATE($D129,Milestones!$AA$34)&lt;=AsOfDate,IF($R129=0,$X129,IF(AND($T129&lt;&gt;"",EDATE($D129,Milestones!$AA$34)&gt;=$T129),$W129,IF(AND($S129&lt;&gt;"",EDATE($D129,Milestones!$AA$34)&gt;=$S129),$V129,$U129)))=Milestones!$AB$34),UPPER(TEXT(EDATE($D129,Milestones!$AA$34),"dd mmm yy"))&amp;" "&amp;Milestones!$AB$34&amp;" "&amp;Milestones!$AC$34&amp;";  ","")&amp;IF(AND(EDATE($D129,Milestones!$AA$35)&lt;=AsOfDate,IF($R129=0,$X129,IF(AND($T129&lt;&gt;"",EDATE($D129,Milestones!$AA$35)&gt;=$T129),$W129,IF(AND($S129&lt;&gt;"",EDATE($D129,Milestones!$AA$35)&gt;=$S129),$V129,$U129)))=Milestones!$AB$35),UPPER(TEXT(EDATE($D129,Milestones!$AA$35),"dd mmm yy"))&amp;" "&amp;Milestones!$AB$35&amp;" "&amp;Milestones!$AC$35&amp;";  ","")&amp;IF(AND(EDATE($D129,Milestones!$AA$36)&lt;=AsOfDate,IF($R129=0,$X129,IF(AND($T129&lt;&gt;"",EDATE($D129,Milestones!$AA$36)&gt;=$T129),$W129,IF(AND($S129&lt;&gt;"",EDATE($D129,Milestones!$AA$36)&gt;=$S129),$V129,$U129)))=Milestones!$AB$36),UPPER(TEXT(EDATE($D129,Milestones!$AA$36),"dd mmm yy"))&amp;" "&amp;Milestones!$AB$36&amp;" "&amp;Milestones!$AC$36&amp;";  ","")&amp;IF(AND(EDATE($D129,Milestones!$AA$37)&lt;=AsOfDate,IF($R129=0,$X129,IF(AND($T129&lt;&gt;"",EDATE($D129,Milestones!$AA$37)&gt;=$T129),$W129,IF(AND($S129&lt;&gt;"",EDATE($D129,Milestones!$AA$37)&gt;=$S129),$V129,$U129)))=Milestones!$AB$37),UPPER(TEXT(EDATE($D129,Milestones!$AA$37),"dd mmm yy"))&amp;" "&amp;Milestones!$AB$37&amp;" "&amp;Milestones!$AC$37&amp;";  ","")&amp;IF(AND(EDATE($D129,Milestones!$AA$38)&lt;=AsOfDate,IF($R129=0,$X129,IF(AND($T129&lt;&gt;"",EDATE($D129,Milestones!$AA$38)&gt;=$T129),$W129,IF(AND($S129&lt;&gt;"",EDATE($D129,Milestones!$AA$38)&gt;=$S129),$V129,$U129)))=Milestones!$AB$38),UPPER(TEXT(EDATE($D129,Milestones!$AA$38),"dd mmm yy"))&amp;" "&amp;Milestones!$AB$38&amp;" "&amp;Milestones!$AC$38&amp;";  ","")&amp;IF(AND(EDATE($D129,Milestones!$AA$39)&lt;=AsOfDate,IF($R129=0,$X129,IF(AND($T129&lt;&gt;"",EDATE($D129,Milestones!$AA$39)&gt;=$T129),$W129,IF(AND($S129&lt;&gt;"",EDATE($D129,Milestones!$AA$39)&gt;=$S129),$V129,$U129)))=Milestones!$AB$39),UPPER(TEXT(EDATE($D129,Milestones!$AA$39),"dd mmm yy"))&amp;" "&amp;Milestones!$AB$39&amp;" "&amp;Milestones!$AC$39&amp;";  ",""))</f>
        <v/>
      </c>
      <c r="J129" s="0" t="str">
        <f aca="false">IF(OR($A129="",$D129=""),"",IF(AND(EDATE($D129,Milestones!$AA$40)&lt;=AsOfDate,IF($R129=0,$X129,IF(AND($T129&lt;&gt;"",EDATE($D129,Milestones!$AA$40)&gt;=$T129),$W129,IF(AND($S129&lt;&gt;"",EDATE($D129,Milestones!$AA$40)&gt;=$S129),$V129,$U129)))=Milestones!$AB$40),UPPER(TEXT(EDATE($D129,Milestones!$AA$40),"dd mmm yy"))&amp;" "&amp;Milestones!$AB$40&amp;" "&amp;Milestones!$AC$40&amp;";  ","")&amp;IF(AND(EDATE($D129,Milestones!$AA$41)&lt;=AsOfDate,IF($R129=0,$X129,IF(AND($T129&lt;&gt;"",EDATE($D129,Milestones!$AA$41)&gt;=$T129),$W129,IF(AND($S129&lt;&gt;"",EDATE($D129,Milestones!$AA$41)&gt;=$S129),$V129,$U129)))=Milestones!$AB$41),UPPER(TEXT(EDATE($D129,Milestones!$AA$41),"dd mmm yy"))&amp;" "&amp;Milestones!$AB$41&amp;" "&amp;Milestones!$AC$41&amp;";  ","")&amp;IF(AND(EDATE($D129,Milestones!$AA$42)&lt;=AsOfDate,IF($R129=0,$X129,IF(AND($T129&lt;&gt;"",EDATE($D129,Milestones!$AA$42)&gt;=$T129),$W129,IF(AND($S129&lt;&gt;"",EDATE($D129,Milestones!$AA$42)&gt;=$S129),$V129,$U129)))=Milestones!$AB$42),UPPER(TEXT(EDATE($D129,Milestones!$AA$42),"dd mmm yy"))&amp;" "&amp;Milestones!$AB$42&amp;" "&amp;Milestones!$AC$42&amp;";  ","")&amp;IF(AND(EDATE($D129,Milestones!$AA$43)&lt;=AsOfDate,IF($R129=0,$X129,IF(AND($T129&lt;&gt;"",EDATE($D129,Milestones!$AA$43)&gt;=$T129),$W129,IF(AND($S129&lt;&gt;"",EDATE($D129,Milestones!$AA$43)&gt;=$S129),$V129,$U129)))=Milestones!$AB$43),UPPER(TEXT(EDATE($D129,Milestones!$AA$43),"dd mmm yy"))&amp;" "&amp;Milestones!$AB$43&amp;" "&amp;Milestones!$AC$43&amp;";  ","")&amp;IF(AND(EDATE($D129,Milestones!$AA$44)&lt;=AsOfDate,IF($R129=0,$X129,IF(AND($T129&lt;&gt;"",EDATE($D129,Milestones!$AA$44)&gt;=$T129),$W129,IF(AND($S129&lt;&gt;"",EDATE($D129,Milestones!$AA$44)&gt;=$S129),$V129,$U129)))=Milestones!$AB$44),UPPER(TEXT(EDATE($D129,Milestones!$AA$44),"dd mmm yy"))&amp;" "&amp;Milestones!$AB$44&amp;" "&amp;Milestones!$AC$44&amp;";  ","")&amp;IF(AND(EDATE($D129,Milestones!$AA$45)&lt;=AsOfDate,IF($R129=0,$X129,IF(AND($T129&lt;&gt;"",EDATE($D129,Milestones!$AA$45)&gt;=$T129),$W129,IF(AND($S129&lt;&gt;"",EDATE($D129,Milestones!$AA$45)&gt;=$S129),$V129,$U129)))=Milestones!$AB$45),UPPER(TEXT(EDATE($D129,Milestones!$AA$45),"dd mmm yy"))&amp;" "&amp;Milestones!$AB$45&amp;" "&amp;Milestones!$AC$45&amp;";  ","")&amp;IF(AND(EDATE($D129,Milestones!$AA$46)&lt;=AsOfDate,IF($R129=0,$X129,IF(AND($T129&lt;&gt;"",EDATE($D129,Milestones!$AA$46)&gt;=$T129),$W129,IF(AND($S129&lt;&gt;"",EDATE($D129,Milestones!$AA$46)&gt;=$S129),$V129,$U129)))=Milestones!$AB$46),UPPER(TEXT(EDATE($D129,Milestones!$AA$46),"dd mmm yy"))&amp;" "&amp;Milestones!$AB$46&amp;" "&amp;Milestones!$AC$46&amp;";  ","")&amp;IF(AND(EDATE($D129,Milestones!$AA$47)&lt;=AsOfDate,IF($R129=0,$X129,IF(AND($T129&lt;&gt;"",EDATE($D129,Milestones!$AA$47)&gt;=$T129),$W129,IF(AND($S129&lt;&gt;"",EDATE($D129,Milestones!$AA$47)&gt;=$S129),$V129,$U129)))=Milestones!$AB$47),UPPER(TEXT(EDATE($D129,Milestones!$AA$47),"dd mmm yy"))&amp;" "&amp;Milestones!$AB$47&amp;" "&amp;Milestones!$AC$47&amp;";  ","")&amp;IF(AND(EDATE($D129,Milestones!$AA$48)&lt;=AsOfDate,IF($R129=0,$X129,IF(AND($T129&lt;&gt;"",EDATE($D129,Milestones!$AA$48)&gt;=$T129),$W129,IF(AND($S129&lt;&gt;"",EDATE($D129,Milestones!$AA$48)&gt;=$S129),$V129,$U129)))=Milestones!$AB$48),UPPER(TEXT(EDATE($D129,Milestones!$AA$48),"dd mmm yy"))&amp;" "&amp;Milestones!$AB$48&amp;" "&amp;Milestones!$AC$48&amp;";  ","")&amp;IF(AND(EDATE($D129,Milestones!$AA$49)&lt;=AsOfDate,IF($R129=0,$X129,IF(AND($T129&lt;&gt;"",EDATE($D129,Milestones!$AA$49)&gt;=$T129),$W129,IF(AND($S129&lt;&gt;"",EDATE($D129,Milestones!$AA$49)&gt;=$S129),$V129,$U129)))=Milestones!$AB$49),UPPER(TEXT(EDATE($D129,Milestones!$AA$49),"dd mmm yy"))&amp;" "&amp;Milestones!$AB$49&amp;" "&amp;Milestones!$AC$49&amp;";  ","")&amp;IF(AND(EDATE($D129,Milestones!$AA$50)&lt;=AsOfDate,IF($R129=0,$X129,IF(AND($T129&lt;&gt;"",EDATE($D129,Milestones!$AA$50)&gt;=$T129),$W129,IF(AND($S129&lt;&gt;"",EDATE($D129,Milestones!$AA$50)&gt;=$S129),$V129,$U129)))=Milestones!$AB$50),UPPER(TEXT(EDATE($D129,Milestones!$AA$50),"dd mmm yy"))&amp;" "&amp;Milestones!$AB$50&amp;" "&amp;Milestones!$AC$50&amp;";  ","")&amp;IF(AND(EDATE($D129,Milestones!$AA$51)&lt;=AsOfDate,IF($R129=0,$X129,IF(AND($T129&lt;&gt;"",EDATE($D129,Milestones!$AA$51)&gt;=$T129),$W129,IF(AND($S129&lt;&gt;"",EDATE($D129,Milestones!$AA$51)&gt;=$S129),$V129,$U129)))=Milestones!$AB$51),UPPER(TEXT(EDATE($D129,Milestones!$AA$51),"dd mmm yy"))&amp;" "&amp;Milestones!$AB$51&amp;" "&amp;Milestones!$AC$51&amp;";  ","")&amp;IF(AND(EDATE($D129,Milestones!$AA$52)&lt;=AsOfDate,IF($R129=0,$X129,IF(AND($T129&lt;&gt;"",EDATE($D129,Milestones!$AA$52)&gt;=$T129),$W129,IF(AND($S129&lt;&gt;"",EDATE($D129,Milestones!$AA$52)&gt;=$S129),$V129,$U129)))=Milestones!$AB$52),UPPER(TEXT(EDATE($D129,Milestones!$AA$52),"dd mmm yy"))&amp;" "&amp;Milestones!$AB$52&amp;" "&amp;Milestones!$AC$52&amp;";  ","")&amp;IF(AND(EDATE($D129,Milestones!$AA$53)&lt;=AsOfDate,IF($R129=0,$X129,IF(AND($T129&lt;&gt;"",EDATE($D129,Milestones!$AA$53)&gt;=$T129),$W129,IF(AND($S129&lt;&gt;"",EDATE($D129,Milestones!$AA$53)&gt;=$S129),$V129,$U129)))=Milestones!$AB$53),UPPER(TEXT(EDATE($D129,Milestones!$AA$53),"dd mmm yy"))&amp;" "&amp;Milestones!$AB$53&amp;" "&amp;Milestones!$AC$53&amp;";  ","")&amp;IF(AND(EDATE($D129,Milestones!$AA$54)&lt;=AsOfDate,IF($R129=0,$X129,IF(AND($T129&lt;&gt;"",EDATE($D129,Milestones!$AA$54)&gt;=$T129),$W129,IF(AND($S129&lt;&gt;"",EDATE($D129,Milestones!$AA$54)&gt;=$S129),$V129,$U129)))=Milestones!$AB$54),UPPER(TEXT(EDATE($D129,Milestones!$AA$54),"dd mmm yy"))&amp;" "&amp;Milestones!$AB$54&amp;" "&amp;Milestones!$AC$54&amp;";  ","")&amp;IF(AND(EDATE($D129,Milestones!$AA$55)&lt;=AsOfDate,IF($R129=0,$X129,IF(AND($T129&lt;&gt;"",EDATE($D129,Milestones!$AA$55)&gt;=$T129),$W129,IF(AND($S129&lt;&gt;"",EDATE($D129,Milestones!$AA$55)&gt;=$S129),$V129,$U129)))=Milestones!$AB$55),UPPER(TEXT(EDATE($D129,Milestones!$AA$55),"dd mmm yy"))&amp;" "&amp;Milestones!$AB$55&amp;" "&amp;Milestones!$AC$55&amp;";  ","")&amp;IF(AND(EDATE($D129,Milestones!$AA$56)&lt;=AsOfDate,IF($R129=0,$X129,IF(AND($T129&lt;&gt;"",EDATE($D129,Milestones!$AA$56)&gt;=$T129),$W129,IF(AND($S129&lt;&gt;"",EDATE($D129,Milestones!$AA$56)&gt;=$S129),$V129,$U129)))=Milestones!$AB$56),UPPER(TEXT(EDATE($D129,Milestones!$AA$56),"dd mmm yy"))&amp;" "&amp;Milestones!$AB$56&amp;" "&amp;Milestones!$AC$56&amp;";  ","")&amp;IF(AND(EDATE($D129,Milestones!$AA$57)&lt;=AsOfDate,IF($R129=0,$X129,IF(AND($T129&lt;&gt;"",EDATE($D129,Milestones!$AA$57)&gt;=$T129),$W129,IF(AND($S129&lt;&gt;"",EDATE($D129,Milestones!$AA$57)&gt;=$S129),$V129,$U129)))=Milestones!$AB$57),UPPER(TEXT(EDATE($D129,Milestones!$AA$57),"dd mmm yy"))&amp;" "&amp;Milestones!$AB$57&amp;" "&amp;Milestones!$AC$57&amp;";  ","")&amp;IF(AND(EDATE($D129,Milestones!$AA$58)&lt;=AsOfDate,IF($R129=0,$X129,IF(AND($T129&lt;&gt;"",EDATE($D129,Milestones!$AA$58)&gt;=$T129),$W129,IF(AND($S129&lt;&gt;"",EDATE($D129,Milestones!$AA$58)&gt;=$S129),$V129,$U129)))=Milestones!$AB$58),UPPER(TEXT(EDATE($D129,Milestones!$AA$58),"dd mmm yy"))&amp;" "&amp;Milestones!$AB$58&amp;" "&amp;Milestones!$AC$58&amp;";  ","")&amp;IF(AND(EDATE($D129,Milestones!$AA$59)&lt;=AsOfDate,IF($R129=0,$X129,IF(AND($T129&lt;&gt;"",EDATE($D129,Milestones!$AA$59)&gt;=$T129),$W129,IF(AND($S129&lt;&gt;"",EDATE($D129,Milestones!$AA$59)&gt;=$S129),$V129,$U129)))=Milestones!$AB$59),UPPER(TEXT(EDATE($D129,Milestones!$AA$59),"dd mmm yy"))&amp;" "&amp;Milestones!$AB$59&amp;" "&amp;Milestones!$AC$59&amp;";  ",""))</f>
        <v/>
      </c>
      <c r="K129" s="0" t="str">
        <f aca="false">IF(OR($A129="",$D129=""),"",IF(AND(EDATE($D129,Milestones!$AA$60)&lt;=AsOfDate,IF($R129=0,$X129,IF(AND($T129&lt;&gt;"",EDATE($D129,Milestones!$AA$60)&gt;=$T129),$W129,IF(AND($S129&lt;&gt;"",EDATE($D129,Milestones!$AA$60)&gt;=$S129),$V129,$U129)))=Milestones!$AB$60),UPPER(TEXT(EDATE($D129,Milestones!$AA$60),"dd mmm yy"))&amp;" "&amp;Milestones!$AB$60&amp;" "&amp;Milestones!$AC$60&amp;";  ","")&amp;IF(AND(EDATE($D129,Milestones!$AA$61)&lt;=AsOfDate,IF($R129=0,$X129,IF(AND($T129&lt;&gt;"",EDATE($D129,Milestones!$AA$61)&gt;=$T129),$W129,IF(AND($S129&lt;&gt;"",EDATE($D129,Milestones!$AA$61)&gt;=$S129),$V129,$U129)))=Milestones!$AB$61),UPPER(TEXT(EDATE($D129,Milestones!$AA$61),"dd mmm yy"))&amp;" "&amp;Milestones!$AB$61&amp;" "&amp;Milestones!$AC$61&amp;";  ","")&amp;IF(AND(EDATE($D129,Milestones!$AA$62)&lt;=AsOfDate,IF($R129=0,$X129,IF(AND($T129&lt;&gt;"",EDATE($D129,Milestones!$AA$62)&gt;=$T129),$W129,IF(AND($S129&lt;&gt;"",EDATE($D129,Milestones!$AA$62)&gt;=$S129),$V129,$U129)))=Milestones!$AB$62),UPPER(TEXT(EDATE($D129,Milestones!$AA$62),"dd mmm yy"))&amp;" "&amp;Milestones!$AB$62&amp;" "&amp;Milestones!$AC$62&amp;";  ","")&amp;IF(AND(EDATE($D129,Milestones!$AA$63)&lt;=AsOfDate,IF($R129=0,$X129,IF(AND($T129&lt;&gt;"",EDATE($D129,Milestones!$AA$63)&gt;=$T129),$W129,IF(AND($S129&lt;&gt;"",EDATE($D129,Milestones!$AA$63)&gt;=$S129),$V129,$U129)))=Milestones!$AB$63),UPPER(TEXT(EDATE($D129,Milestones!$AA$63),"dd mmm yy"))&amp;" "&amp;Milestones!$AB$63&amp;" "&amp;Milestones!$AC$63&amp;";  ","")&amp;IF(AND(EDATE($D129,Milestones!$AA$64)&lt;=AsOfDate,IF($R129=0,$X129,IF(AND($T129&lt;&gt;"",EDATE($D129,Milestones!$AA$64)&gt;=$T129),$W129,IF(AND($S129&lt;&gt;"",EDATE($D129,Milestones!$AA$64)&gt;=$S129),$V129,$U129)))=Milestones!$AB$64),UPPER(TEXT(EDATE($D129,Milestones!$AA$64),"dd mmm yy"))&amp;" "&amp;Milestones!$AB$64&amp;" "&amp;Milestones!$AC$64&amp;";  ","")&amp;IF(AND(EDATE($D129,Milestones!$AA$65)&lt;=AsOfDate,IF($R129=0,$X129,IF(AND($T129&lt;&gt;"",EDATE($D129,Milestones!$AA$65)&gt;=$T129),$W129,IF(AND($S129&lt;&gt;"",EDATE($D129,Milestones!$AA$65)&gt;=$S129),$V129,$U129)))=Milestones!$AB$65),UPPER(TEXT(EDATE($D129,Milestones!$AA$65),"dd mmm yy"))&amp;" "&amp;Milestones!$AB$65&amp;" "&amp;Milestones!$AC$65&amp;";  ","")&amp;IF(AND(EDATE($D129,Milestones!$AA$66)&lt;=AsOfDate,IF($R129=0,$X129,IF(AND($T129&lt;&gt;"",EDATE($D129,Milestones!$AA$66)&gt;=$T129),$W129,IF(AND($S129&lt;&gt;"",EDATE($D129,Milestones!$AA$66)&gt;=$S129),$V129,$U129)))=Milestones!$AB$66),UPPER(TEXT(EDATE($D129,Milestones!$AA$66),"dd mmm yy"))&amp;" "&amp;Milestones!$AB$66&amp;" "&amp;Milestones!$AC$66&amp;";  ","")&amp;IF(AND(EDATE($D129,Milestones!$AA$67)&lt;=AsOfDate,IF($R129=0,$X129,IF(AND($T129&lt;&gt;"",EDATE($D129,Milestones!$AA$67)&gt;=$T129),$W129,IF(AND($S129&lt;&gt;"",EDATE($D129,Milestones!$AA$67)&gt;=$S129),$V129,$U129)))=Milestones!$AB$67),UPPER(TEXT(EDATE($D129,Milestones!$AA$67),"dd mmm yy"))&amp;" "&amp;Milestones!$AB$67&amp;" "&amp;Milestones!$AC$67&amp;";  ","")&amp;IF(AND(EDATE($D129,Milestones!$AA$68)&lt;=AsOfDate,IF($R129=0,$X129,IF(AND($T129&lt;&gt;"",EDATE($D129,Milestones!$AA$68)&gt;=$T129),$W129,IF(AND($S129&lt;&gt;"",EDATE($D129,Milestones!$AA$68)&gt;=$S129),$V129,$U129)))=Milestones!$AB$68),UPPER(TEXT(EDATE($D129,Milestones!$AA$68),"dd mmm yy"))&amp;" "&amp;Milestones!$AB$68&amp;" "&amp;Milestones!$AC$68&amp;";  ","")&amp;IF(AND(EDATE($D129,Milestones!$AA$69)&lt;=AsOfDate,IF($R129=0,$X129,IF(AND($T129&lt;&gt;"",EDATE($D129,Milestones!$AA$69)&gt;=$T129),$W129,IF(AND($S129&lt;&gt;"",EDATE($D129,Milestones!$AA$69)&gt;=$S129),$V129,$U129)))=Milestones!$AB$69),UPPER(TEXT(EDATE($D129,Milestones!$AA$69),"dd mmm yy"))&amp;" "&amp;Milestones!$AB$69&amp;" "&amp;Milestones!$AC$69&amp;";  ","")&amp;IF(AND(EDATE($D129,Milestones!$AA$70)&lt;=AsOfDate,IF($R129=0,$X129,IF(AND($T129&lt;&gt;"",EDATE($D129,Milestones!$AA$70)&gt;=$T129),$W129,IF(AND($S129&lt;&gt;"",EDATE($D129,Milestones!$AA$70)&gt;=$S129),$V129,$U129)))=Milestones!$AB$70),UPPER(TEXT(EDATE($D129,Milestones!$AA$70),"dd mmm yy"))&amp;" "&amp;Milestones!$AB$70&amp;" "&amp;Milestones!$AC$70&amp;";  ","")&amp;IF(AND(EDATE($D129,Milestones!$AA$71)&lt;=AsOfDate,IF($R129=0,$X129,IF(AND($T129&lt;&gt;"",EDATE($D129,Milestones!$AA$71)&gt;=$T129),$W129,IF(AND($S129&lt;&gt;"",EDATE($D129,Milestones!$AA$71)&gt;=$S129),$V129,$U129)))=Milestones!$AB$71),UPPER(TEXT(EDATE($D129,Milestones!$AA$71),"dd mmm yy"))&amp;" "&amp;Milestones!$AB$71&amp;" "&amp;Milestones!$AC$71&amp;";  ","")&amp;IF(AND(EDATE($D129,Milestones!$AA$72)&lt;=AsOfDate,IF($R129=0,$X129,IF(AND($T129&lt;&gt;"",EDATE($D129,Milestones!$AA$72)&gt;=$T129),$W129,IF(AND($S129&lt;&gt;"",EDATE($D129,Milestones!$AA$72)&gt;=$S129),$V129,$U129)))=Milestones!$AB$72),UPPER(TEXT(EDATE($D129,Milestones!$AA$72),"dd mmm yy"))&amp;" "&amp;Milestones!$AB$72&amp;" "&amp;Milestones!$AC$72&amp;";  ","")&amp;IF(AND(EDATE($D129,Milestones!$AA$73)&lt;=AsOfDate,IF($R129=0,$X129,IF(AND($T129&lt;&gt;"",EDATE($D129,Milestones!$AA$73)&gt;=$T129),$W129,IF(AND($S129&lt;&gt;"",EDATE($D129,Milestones!$AA$73)&gt;=$S129),$V129,$U129)))=Milestones!$AB$73),UPPER(TEXT(EDATE($D129,Milestones!$AA$73),"dd mmm yy"))&amp;" "&amp;Milestones!$AB$73&amp;" "&amp;Milestones!$AC$73&amp;";  ","")&amp;IF(AND(EDATE($D129,Milestones!$AA$74)&lt;=AsOfDate,IF($R129=0,$X129,IF(AND($T129&lt;&gt;"",EDATE($D129,Milestones!$AA$74)&gt;=$T129),$W129,IF(AND($S129&lt;&gt;"",EDATE($D129,Milestones!$AA$74)&gt;=$S129),$V129,$U129)))=Milestones!$AB$74),UPPER(TEXT(EDATE($D129,Milestones!$AA$74),"dd mmm yy"))&amp;" "&amp;Milestones!$AB$74&amp;" "&amp;Milestones!$AC$74&amp;";  ","")&amp;IF(AND(EDATE($D129,Milestones!$AA$75)&lt;=AsOfDate,IF($R129=0,$X129,IF(AND($T129&lt;&gt;"",EDATE($D129,Milestones!$AA$75)&gt;=$T129),$W129,IF(AND($S129&lt;&gt;"",EDATE($D129,Milestones!$AA$75)&gt;=$S129),$V129,$U129)))=Milestones!$AB$75),UPPER(TEXT(EDATE($D129,Milestones!$AA$75),"dd mmm yy"))&amp;" "&amp;Milestones!$AB$75&amp;" "&amp;Milestones!$AC$75&amp;";  ","")&amp;IF(AND(EDATE($D129,Milestones!$AA$76)&lt;=AsOfDate,IF($R129=0,$X129,IF(AND($T129&lt;&gt;"",EDATE($D129,Milestones!$AA$76)&gt;=$T129),$W129,IF(AND($S129&lt;&gt;"",EDATE($D129,Milestones!$AA$76)&gt;=$S129),$V129,$U129)))=Milestones!$AB$76),UPPER(TEXT(EDATE($D129,Milestones!$AA$76),"dd mmm yy"))&amp;" "&amp;Milestones!$AB$76&amp;" "&amp;Milestones!$AC$76&amp;";  ","")&amp;IF(AND(EDATE($D129,Milestones!$AA$77)&lt;=AsOfDate,IF($R129=0,$X129,IF(AND($T129&lt;&gt;"",EDATE($D129,Milestones!$AA$77)&gt;=$T129),$W129,IF(AND($S129&lt;&gt;"",EDATE($D129,Milestones!$AA$77)&gt;=$S129),$V129,$U129)))=Milestones!$AB$77),UPPER(TEXT(EDATE($D129,Milestones!$AA$77),"dd mmm yy"))&amp;" "&amp;Milestones!$AB$77&amp;" "&amp;Milestones!$AC$77&amp;";  ","")&amp;IF(AND(EDATE($D129,Milestones!$AA$78)&lt;=AsOfDate,IF($R129=0,$X129,IF(AND($T129&lt;&gt;"",EDATE($D129,Milestones!$AA$78)&gt;=$T129),$W129,IF(AND($S129&lt;&gt;"",EDATE($D129,Milestones!$AA$78)&gt;=$S129),$V129,$U129)))=Milestones!$AB$78),UPPER(TEXT(EDATE($D129,Milestones!$AA$78),"dd mmm yy"))&amp;" "&amp;Milestones!$AB$78&amp;" "&amp;Milestones!$AC$78&amp;";  ","")&amp;IF(AND(EDATE($D129,Milestones!$AA$79)&lt;=AsOfDate,IF($R129=0,$X129,IF(AND($T129&lt;&gt;"",EDATE($D129,Milestones!$AA$79)&gt;=$T129),$W129,IF(AND($S129&lt;&gt;"",EDATE($D129,Milestones!$AA$79)&gt;=$S129),$V129,$U129)))=Milestones!$AB$79),UPPER(TEXT(EDATE($D129,Milestones!$AA$79),"dd mmm yy"))&amp;" "&amp;Milestones!$AB$79&amp;" "&amp;Milestones!$AC$79&amp;";  ",""))</f>
        <v/>
      </c>
      <c r="L129" s="0" t="str">
        <f aca="false">IF(OR($A129="",$D129=""),"",IF(AND(EDATE($D129,Milestones!$AA$80)&lt;=AsOfDate,IF($R129=0,$X129,IF(AND($T129&lt;&gt;"",EDATE($D129,Milestones!$AA$80)&gt;=$T129),$W129,IF(AND($S129&lt;&gt;"",EDATE($D129,Milestones!$AA$80)&gt;=$S129),$V129,$U129)))=Milestones!$AB$80),UPPER(TEXT(EDATE($D129,Milestones!$AA$80),"dd mmm yy"))&amp;" "&amp;Milestones!$AB$80&amp;" "&amp;Milestones!$AC$80&amp;";  ","")&amp;IF(AND(EDATE($D129,Milestones!$AA$81)&lt;=AsOfDate,IF($R129=0,$X129,IF(AND($T129&lt;&gt;"",EDATE($D129,Milestones!$AA$81)&gt;=$T129),$W129,IF(AND($S129&lt;&gt;"",EDATE($D129,Milestones!$AA$81)&gt;=$S129),$V129,$U129)))=Milestones!$AB$81),UPPER(TEXT(EDATE($D129,Milestones!$AA$81),"dd mmm yy"))&amp;" "&amp;Milestones!$AB$81&amp;" "&amp;Milestones!$AC$81&amp;";  ","")&amp;IF(AND(EDATE($D129,Milestones!$AA$82)&lt;=AsOfDate,IF($R129=0,$X129,IF(AND($T129&lt;&gt;"",EDATE($D129,Milestones!$AA$82)&gt;=$T129),$W129,IF(AND($S129&lt;&gt;"",EDATE($D129,Milestones!$AA$82)&gt;=$S129),$V129,$U129)))=Milestones!$AB$82),UPPER(TEXT(EDATE($D129,Milestones!$AA$82),"dd mmm yy"))&amp;" "&amp;Milestones!$AB$82&amp;" "&amp;Milestones!$AC$82&amp;";  ","")&amp;IF(AND(EDATE($D129,Milestones!$AA$83)&lt;=AsOfDate,IF($R129=0,$X129,IF(AND($T129&lt;&gt;"",EDATE($D129,Milestones!$AA$83)&gt;=$T129),$W129,IF(AND($S129&lt;&gt;"",EDATE($D129,Milestones!$AA$83)&gt;=$S129),$V129,$U129)))=Milestones!$AB$83),UPPER(TEXT(EDATE($D129,Milestones!$AA$83),"dd mmm yy"))&amp;" "&amp;Milestones!$AB$83&amp;" "&amp;Milestones!$AC$83&amp;";  ","")&amp;IF(AND(EDATE($D129,Milestones!$AA$84)&lt;=AsOfDate,IF($R129=0,$X129,IF(AND($T129&lt;&gt;"",EDATE($D129,Milestones!$AA$84)&gt;=$T129),$W129,IF(AND($S129&lt;&gt;"",EDATE($D129,Milestones!$AA$84)&gt;=$S129),$V129,$U129)))=Milestones!$AB$84),UPPER(TEXT(EDATE($D129,Milestones!$AA$84),"dd mmm yy"))&amp;" "&amp;Milestones!$AB$84&amp;" "&amp;Milestones!$AC$84&amp;";  ","")&amp;IF(AND(EDATE($D129,Milestones!$AA$85)&lt;=AsOfDate,IF($R129=0,$X129,IF(AND($T129&lt;&gt;"",EDATE($D129,Milestones!$AA$85)&gt;=$T129),$W129,IF(AND($S129&lt;&gt;"",EDATE($D129,Milestones!$AA$85)&gt;=$S129),$V129,$U129)))=Milestones!$AB$85),UPPER(TEXT(EDATE($D129,Milestones!$AA$85),"dd mmm yy"))&amp;" "&amp;Milestones!$AB$85&amp;" "&amp;Milestones!$AC$85&amp;";  ","")&amp;IF(AND(EDATE($D129,Milestones!$AA$86)&lt;=AsOfDate,IF($R129=0,$X129,IF(AND($T129&lt;&gt;"",EDATE($D129,Milestones!$AA$86)&gt;=$T129),$W129,IF(AND($S129&lt;&gt;"",EDATE($D129,Milestones!$AA$86)&gt;=$S129),$V129,$U129)))=Milestones!$AB$86),UPPER(TEXT(EDATE($D129,Milestones!$AA$86),"dd mmm yy"))&amp;" "&amp;Milestones!$AB$86&amp;" "&amp;Milestones!$AC$86&amp;";  ","")&amp;IF(AND(EDATE($D129,Milestones!$AA$87)&lt;=AsOfDate,IF($R129=0,$X129,IF(AND($T129&lt;&gt;"",EDATE($D129,Milestones!$AA$87)&gt;=$T129),$W129,IF(AND($S129&lt;&gt;"",EDATE($D129,Milestones!$AA$87)&gt;=$S129),$V129,$U129)))=Milestones!$AB$87),UPPER(TEXT(EDATE($D129,Milestones!$AA$87),"dd mmm yy"))&amp;" "&amp;Milestones!$AB$87&amp;" "&amp;Milestones!$AC$87&amp;";  ","")&amp;IF(AND(EDATE($D129,Milestones!$AA$88)&lt;=AsOfDate,IF($R129=0,$X129,IF(AND($T129&lt;&gt;"",EDATE($D129,Milestones!$AA$88)&gt;=$T129),$W129,IF(AND($S129&lt;&gt;"",EDATE($D129,Milestones!$AA$88)&gt;=$S129),$V129,$U129)))=Milestones!$AB$88),UPPER(TEXT(EDATE($D129,Milestones!$AA$88),"dd mmm yy"))&amp;" "&amp;Milestones!$AB$88&amp;" "&amp;Milestones!$AC$88&amp;";  ","")&amp;IF(AND(EDATE($D129,Milestones!$AA$89)&lt;=AsOfDate,IF($R129=0,$X129,IF(AND($T129&lt;&gt;"",EDATE($D129,Milestones!$AA$89)&gt;=$T129),$W129,IF(AND($S129&lt;&gt;"",EDATE($D129,Milestones!$AA$89)&gt;=$S129),$V129,$U129)))=Milestones!$AB$89),UPPER(TEXT(EDATE($D129,Milestones!$AA$89),"dd mmm yy"))&amp;" "&amp;Milestones!$AB$89&amp;" "&amp;Milestones!$AC$89&amp;";  ","")&amp;IF(AND(EDATE($D129,Milestones!$AA$90)&lt;=AsOfDate,IF($R129=0,$X129,IF(AND($T129&lt;&gt;"",EDATE($D129,Milestones!$AA$90)&gt;=$T129),$W129,IF(AND($S129&lt;&gt;"",EDATE($D129,Milestones!$AA$90)&gt;=$S129),$V129,$U129)))=Milestones!$AB$90),UPPER(TEXT(EDATE($D129,Milestones!$AA$90),"dd mmm yy"))&amp;" "&amp;Milestones!$AB$90&amp;" "&amp;Milestones!$AC$90&amp;";  ","")&amp;IF(AND(EDATE($D129,Milestones!$AA$91)&lt;=AsOfDate,IF($R129=0,$X129,IF(AND($T129&lt;&gt;"",EDATE($D129,Milestones!$AA$91)&gt;=$T129),$W129,IF(AND($S129&lt;&gt;"",EDATE($D129,Milestones!$AA$91)&gt;=$S129),$V129,$U129)))=Milestones!$AB$91),UPPER(TEXT(EDATE($D129,Milestones!$AA$91),"dd mmm yy"))&amp;" "&amp;Milestones!$AB$91&amp;" "&amp;Milestones!$AC$91&amp;";  ","")&amp;IF(AND(EDATE($D129,Milestones!$AA$92)&lt;=AsOfDate,IF($R129=0,$X129,IF(AND($T129&lt;&gt;"",EDATE($D129,Milestones!$AA$92)&gt;=$T129),$W129,IF(AND($S129&lt;&gt;"",EDATE($D129,Milestones!$AA$92)&gt;=$S129),$V129,$U129)))=Milestones!$AB$92),UPPER(TEXT(EDATE($D129,Milestones!$AA$92),"dd mmm yy"))&amp;" "&amp;Milestones!$AB$92&amp;" "&amp;Milestones!$AC$92&amp;";  ","")&amp;IF(AND(EDATE($D129,Milestones!$AA$93)&lt;=AsOfDate,IF($R129=0,$X129,IF(AND($T129&lt;&gt;"",EDATE($D129,Milestones!$AA$93)&gt;=$T129),$W129,IF(AND($S129&lt;&gt;"",EDATE($D129,Milestones!$AA$93)&gt;=$S129),$V129,$U129)))=Milestones!$AB$93),UPPER(TEXT(EDATE($D129,Milestones!$AA$93),"dd mmm yy"))&amp;" "&amp;Milestones!$AB$93&amp;" "&amp;Milestones!$AC$93&amp;";  ","")&amp;IF(AND(EDATE($D129,Milestones!$AA$94)&lt;=AsOfDate,IF($R129=0,$X129,IF(AND($T129&lt;&gt;"",EDATE($D129,Milestones!$AA$94)&gt;=$T129),$W129,IF(AND($S129&lt;&gt;"",EDATE($D129,Milestones!$AA$94)&gt;=$S129),$V129,$U129)))=Milestones!$AB$94),UPPER(TEXT(EDATE($D129,Milestones!$AA$94),"dd mmm yy"))&amp;" "&amp;Milestones!$AB$94&amp;" "&amp;Milestones!$AC$94&amp;";  ","")&amp;IF(AND(EDATE($D129,Milestones!$AA$95)&lt;=AsOfDate,IF($R129=0,$X129,IF(AND($T129&lt;&gt;"",EDATE($D129,Milestones!$AA$95)&gt;=$T129),$W129,IF(AND($S129&lt;&gt;"",EDATE($D129,Milestones!$AA$95)&gt;=$S129),$V129,$U129)))=Milestones!$AB$95),UPPER(TEXT(EDATE($D129,Milestones!$AA$95),"dd mmm yy"))&amp;" "&amp;Milestones!$AB$95&amp;" "&amp;Milestones!$AC$95&amp;";  ","")&amp;IF(AND(EDATE($D129,Milestones!$AA$96)&lt;=AsOfDate,IF($R129=0,$X129,IF(AND($T129&lt;&gt;"",EDATE($D129,Milestones!$AA$96)&gt;=$T129),$W129,IF(AND($S129&lt;&gt;"",EDATE($D129,Milestones!$AA$96)&gt;=$S129),$V129,$U129)))=Milestones!$AB$96),UPPER(TEXT(EDATE($D129,Milestones!$AA$96),"dd mmm yy"))&amp;" "&amp;Milestones!$AB$96&amp;" "&amp;Milestones!$AC$96&amp;";  ","")&amp;IF(AND(EDATE($D129,Milestones!$AA$97)&lt;=AsOfDate,IF($R129=0,$X129,IF(AND($T129&lt;&gt;"",EDATE($D129,Milestones!$AA$97)&gt;=$T129),$W129,IF(AND($S129&lt;&gt;"",EDATE($D129,Milestones!$AA$97)&gt;=$S129),$V129,$U129)))=Milestones!$AB$97),UPPER(TEXT(EDATE($D129,Milestones!$AA$97),"dd mmm yy"))&amp;" "&amp;Milestones!$AB$97&amp;" "&amp;Milestones!$AC$97&amp;";  ","")&amp;IF(AND(EDATE($D129,Milestones!$AA$98)&lt;=AsOfDate,IF($R129=0,$X129,IF(AND($T129&lt;&gt;"",EDATE($D129,Milestones!$AA$98)&gt;=$T129),$W129,IF(AND($S129&lt;&gt;"",EDATE($D129,Milestones!$AA$98)&gt;=$S129),$V129,$U129)))=Milestones!$AB$98),UPPER(TEXT(EDATE($D129,Milestones!$AA$98),"dd mmm yy"))&amp;" "&amp;Milestones!$AB$98&amp;" "&amp;Milestones!$AC$98&amp;";  ","")&amp;IF(AND(EDATE($D129,Milestones!$AA$99)&lt;=AsOfDate,IF($R129=0,$X129,IF(AND($T129&lt;&gt;"",EDATE($D129,Milestones!$AA$99)&gt;=$T129),$W129,IF(AND($S129&lt;&gt;"",EDATE($D129,Milestones!$AA$99)&gt;=$S129),$V129,$U129)))=Milestones!$AB$99),UPPER(TEXT(EDATE($D129,Milestones!$AA$99),"dd mmm yy"))&amp;" "&amp;Milestones!$AB$99&amp;" "&amp;Milestones!$AC$99&amp;";  ",""))</f>
        <v/>
      </c>
      <c r="M129" s="0" t="str">
        <f aca="false">IF(OR($A129="",$D129=""),"",IF(AND(EDATE($D129,Milestones!$AA$100)&lt;=AsOfDate,IF($R129=0,$X129,IF(AND($T129&lt;&gt;"",EDATE($D129,Milestones!$AA$100)&gt;=$T129),$W129,IF(AND($S129&lt;&gt;"",EDATE($D129,Milestones!$AA$100)&gt;=$S129),$V129,$U129)))=Milestones!$AB$100),UPPER(TEXT(EDATE($D129,Milestones!$AA$100),"dd mmm yy"))&amp;" "&amp;Milestones!$AB$100&amp;" "&amp;Milestones!$AC$100&amp;";  ","")&amp;IF(AND(EDATE($D129,Milestones!$AA$101)&lt;=AsOfDate,IF($R129=0,$X129,IF(AND($T129&lt;&gt;"",EDATE($D129,Milestones!$AA$101)&gt;=$T129),$W129,IF(AND($S129&lt;&gt;"",EDATE($D129,Milestones!$AA$101)&gt;=$S129),$V129,$U129)))=Milestones!$AB$101),UPPER(TEXT(EDATE($D129,Milestones!$AA$101),"dd mmm yy"))&amp;" "&amp;Milestones!$AB$101&amp;" "&amp;Milestones!$AC$101&amp;";  ","")&amp;IF(AND(EDATE($D129,Milestones!$AA$102)&lt;=AsOfDate,IF($R129=0,$X129,IF(AND($T129&lt;&gt;"",EDATE($D129,Milestones!$AA$102)&gt;=$T129),$W129,IF(AND($S129&lt;&gt;"",EDATE($D129,Milestones!$AA$102)&gt;=$S129),$V129,$U129)))=Milestones!$AB$102),UPPER(TEXT(EDATE($D129,Milestones!$AA$102),"dd mmm yy"))&amp;" "&amp;Milestones!$AB$102&amp;" "&amp;Milestones!$AC$102&amp;";  ","")&amp;IF(AND(EDATE($D129,Milestones!$AA$103)&lt;=AsOfDate,IF($R129=0,$X129,IF(AND($T129&lt;&gt;"",EDATE($D129,Milestones!$AA$103)&gt;=$T129),$W129,IF(AND($S129&lt;&gt;"",EDATE($D129,Milestones!$AA$103)&gt;=$S129),$V129,$U129)))=Milestones!$AB$103),UPPER(TEXT(EDATE($D129,Milestones!$AA$103),"dd mmm yy"))&amp;" "&amp;Milestones!$AB$103&amp;" "&amp;Milestones!$AC$103&amp;";  ","")&amp;IF(AND(EDATE($D129,Milestones!$AA$104)&lt;=AsOfDate,IF($R129=0,$X129,IF(AND($T129&lt;&gt;"",EDATE($D129,Milestones!$AA$104)&gt;=$T129),$W129,IF(AND($S129&lt;&gt;"",EDATE($D129,Milestones!$AA$104)&gt;=$S129),$V129,$U129)))=Milestones!$AB$104),UPPER(TEXT(EDATE($D129,Milestones!$AA$104),"dd mmm yy"))&amp;" "&amp;Milestones!$AB$104&amp;" "&amp;Milestones!$AC$104&amp;";  ","")&amp;IF(AND(EDATE($D129,Milestones!$AA$105)&lt;=AsOfDate,IF($R129=0,$X129,IF(AND($T129&lt;&gt;"",EDATE($D129,Milestones!$AA$105)&gt;=$T129),$W129,IF(AND($S129&lt;&gt;"",EDATE($D129,Milestones!$AA$105)&gt;=$S129),$V129,$U129)))=Milestones!$AB$105),UPPER(TEXT(EDATE($D129,Milestones!$AA$105),"dd mmm yy"))&amp;" "&amp;Milestones!$AB$105&amp;" "&amp;Milestones!$AC$105&amp;";  ","")&amp;IF(AND(EDATE($D129,Milestones!$AA$106)&lt;=AsOfDate,IF($R129=0,$X129,IF(AND($T129&lt;&gt;"",EDATE($D129,Milestones!$AA$106)&gt;=$T129),$W129,IF(AND($S129&lt;&gt;"",EDATE($D129,Milestones!$AA$106)&gt;=$S129),$V129,$U129)))=Milestones!$AB$106),UPPER(TEXT(EDATE($D129,Milestones!$AA$106),"dd mmm yy"))&amp;" "&amp;Milestones!$AB$106&amp;" "&amp;Milestones!$AC$106&amp;";  ","")&amp;IF(AND(EDATE($D129,Milestones!$AA$107)&lt;=AsOfDate,IF($R129=0,$X129,IF(AND($T129&lt;&gt;"",EDATE($D129,Milestones!$AA$107)&gt;=$T129),$W129,IF(AND($S129&lt;&gt;"",EDATE($D129,Milestones!$AA$107)&gt;=$S129),$V129,$U129)))=Milestones!$AB$107),UPPER(TEXT(EDATE($D129,Milestones!$AA$107),"dd mmm yy"))&amp;" "&amp;Milestones!$AB$107&amp;" "&amp;Milestones!$AC$107&amp;";  ","")&amp;IF(AND(EDATE($D129,Milestones!$AA$108)&lt;=AsOfDate,IF($R129=0,$X129,IF(AND($T129&lt;&gt;"",EDATE($D129,Milestones!$AA$108)&gt;=$T129),$W129,IF(AND($S129&lt;&gt;"",EDATE($D129,Milestones!$AA$108)&gt;=$S129),$V129,$U129)))=Milestones!$AB$108),UPPER(TEXT(EDATE($D129,Milestones!$AA$108),"dd mmm yy"))&amp;" "&amp;Milestones!$AB$108&amp;" "&amp;Milestones!$AC$108&amp;";  ","")&amp;IF(AND(EDATE($D129,Milestones!$AA$109)&lt;=AsOfDate,IF($R129=0,$X129,IF(AND($T129&lt;&gt;"",EDATE($D129,Milestones!$AA$109)&gt;=$T129),$W129,IF(AND($S129&lt;&gt;"",EDATE($D129,Milestones!$AA$109)&gt;=$S129),$V129,$U129)))=Milestones!$AB$109),UPPER(TEXT(EDATE($D129,Milestones!$AA$109),"dd mmm yy"))&amp;" "&amp;Milestones!$AB$109&amp;" "&amp;Milestones!$AC$109&amp;";  ","")&amp;IF(AND(EDATE($D129,Milestones!$AA$110)&lt;=AsOfDate,IF($R129=0,$X129,IF(AND($T129&lt;&gt;"",EDATE($D129,Milestones!$AA$110)&gt;=$T129),$W129,IF(AND($S129&lt;&gt;"",EDATE($D129,Milestones!$AA$110)&gt;=$S129),$V129,$U129)))=Milestones!$AB$110),UPPER(TEXT(EDATE($D129,Milestones!$AA$110),"dd mmm yy"))&amp;" "&amp;Milestones!$AB$110&amp;" "&amp;Milestones!$AC$110&amp;";  ","")&amp;IF(AND(EDATE($D129,Milestones!$AA$111)&lt;=AsOfDate,IF($R129=0,$X129,IF(AND($T129&lt;&gt;"",EDATE($D129,Milestones!$AA$111)&gt;=$T129),$W129,IF(AND($S129&lt;&gt;"",EDATE($D129,Milestones!$AA$111)&gt;=$S129),$V129,$U129)))=Milestones!$AB$111),UPPER(TEXT(EDATE($D129,Milestones!$AA$111),"dd mmm yy"))&amp;" "&amp;Milestones!$AB$111&amp;" "&amp;Milestones!$AC$111&amp;";  ","")&amp;IF(AND(EDATE($D129,Milestones!$AA$112)&lt;=AsOfDate,IF($R129=0,$X129,IF(AND($T129&lt;&gt;"",EDATE($D129,Milestones!$AA$112)&gt;=$T129),$W129,IF(AND($S129&lt;&gt;"",EDATE($D129,Milestones!$AA$112)&gt;=$S129),$V129,$U129)))=Milestones!$AB$112),UPPER(TEXT(EDATE($D129,Milestones!$AA$112),"dd mmm yy"))&amp;" "&amp;Milestones!$AB$112&amp;" "&amp;Milestones!$AC$112&amp;";  ","")&amp;IF(AND(EDATE($D129,Milestones!$AA$113)&lt;=AsOfDate,IF($R129=0,$X129,IF(AND($T129&lt;&gt;"",EDATE($D129,Milestones!$AA$113)&gt;=$T129),$W129,IF(AND($S129&lt;&gt;"",EDATE($D129,Milestones!$AA$113)&gt;=$S129),$V129,$U129)))=Milestones!$AB$113),UPPER(TEXT(EDATE($D129,Milestones!$AA$113),"dd mmm yy"))&amp;" "&amp;Milestones!$AB$113&amp;" "&amp;Milestones!$AC$113&amp;";  ","")&amp;IF(AND(EDATE($D129,Milestones!$AA$114)&lt;=AsOfDate,IF($R129=0,$X129,IF(AND($T129&lt;&gt;"",EDATE($D129,Milestones!$AA$114)&gt;=$T129),$W129,IF(AND($S129&lt;&gt;"",EDATE($D129,Milestones!$AA$114)&gt;=$S129),$V129,$U129)))=Milestones!$AB$114),UPPER(TEXT(EDATE($D129,Milestones!$AA$114),"dd mmm yy"))&amp;" "&amp;Milestones!$AB$114&amp;" "&amp;Milestones!$AC$114&amp;";  ","")&amp;IF(AND(EDATE($D129,Milestones!$AA$115)&lt;=AsOfDate,IF($R129=0,$X129,IF(AND($T129&lt;&gt;"",EDATE($D129,Milestones!$AA$115)&gt;=$T129),$W129,IF(AND($S129&lt;&gt;"",EDATE($D129,Milestones!$AA$115)&gt;=$S129),$V129,$U129)))=Milestones!$AB$115),UPPER(TEXT(EDATE($D129,Milestones!$AA$115),"dd mmm yy"))&amp;" "&amp;Milestones!$AB$115&amp;" "&amp;Milestones!$AC$115&amp;";  ","")&amp;IF(AND(EDATE($D129,Milestones!$AA$116)&lt;=AsOfDate,IF($R129=0,$X129,IF(AND($T129&lt;&gt;"",EDATE($D129,Milestones!$AA$116)&gt;=$T129),$W129,IF(AND($S129&lt;&gt;"",EDATE($D129,Milestones!$AA$116)&gt;=$S129),$V129,$U129)))=Milestones!$AB$116),UPPER(TEXT(EDATE($D129,Milestones!$AA$116),"dd mmm yy"))&amp;" "&amp;Milestones!$AB$116&amp;" "&amp;Milestones!$AC$116&amp;";  ","")&amp;IF(AND(EDATE($D129,Milestones!$AA$117)&lt;=AsOfDate,IF($R129=0,$X129,IF(AND($T129&lt;&gt;"",EDATE($D129,Milestones!$AA$117)&gt;=$T129),$W129,IF(AND($S129&lt;&gt;"",EDATE($D129,Milestones!$AA$117)&gt;=$S129),$V129,$U129)))=Milestones!$AB$117),UPPER(TEXT(EDATE($D129,Milestones!$AA$117),"dd mmm yy"))&amp;" "&amp;Milestones!$AB$117&amp;" "&amp;Milestones!$AC$117&amp;";  ","")&amp;IF(AND(EDATE($D129,Milestones!$AA$118)&lt;=AsOfDate,IF($R129=0,$X129,IF(AND($T129&lt;&gt;"",EDATE($D129,Milestones!$AA$118)&gt;=$T129),$W129,IF(AND($S129&lt;&gt;"",EDATE($D129,Milestones!$AA$118)&gt;=$S129),$V129,$U129)))=Milestones!$AB$118),UPPER(TEXT(EDATE($D129,Milestones!$AA$118),"dd mmm yy"))&amp;" "&amp;Milestones!$AB$118&amp;" "&amp;Milestones!$AC$118&amp;";  ","")&amp;IF(AND(EDATE($D129,Milestones!$AA$119)&lt;=AsOfDate,IF($R129=0,$X129,IF(AND($T129&lt;&gt;"",EDATE($D129,Milestones!$AA$119)&gt;=$T129),$W129,IF(AND($S129&lt;&gt;"",EDATE($D129,Milestones!$AA$119)&gt;=$S129),$V129,$U129)))=Milestones!$AB$119),UPPER(TEXT(EDATE($D129,Milestones!$AA$119),"dd mmm yy"))&amp;" "&amp;Milestones!$AB$119&amp;" "&amp;Milestones!$AC$119&amp;";  ",""))</f>
        <v/>
      </c>
      <c r="N129" s="0" t="str">
        <f aca="false">IF(OR($A129="",$D129=""),"",IF(AND(EDATE($D129,Milestones!$AA$120)&lt;=AsOfDate,IF($R129=0,$X129,IF(AND($T129&lt;&gt;"",EDATE($D129,Milestones!$AA$120)&gt;=$T129),$W129,IF(AND($S129&lt;&gt;"",EDATE($D129,Milestones!$AA$120)&gt;=$S129),$V129,$U129)))=Milestones!$AB$120),UPPER(TEXT(EDATE($D129,Milestones!$AA$120),"dd mmm yy"))&amp;" "&amp;Milestones!$AB$120&amp;" "&amp;Milestones!$AC$120&amp;";  ","")&amp;IF(AND(EDATE($D129,Milestones!$AA$121)&lt;=AsOfDate,IF($R129=0,$X129,IF(AND($T129&lt;&gt;"",EDATE($D129,Milestones!$AA$121)&gt;=$T129),$W129,IF(AND($S129&lt;&gt;"",EDATE($D129,Milestones!$AA$121)&gt;=$S129),$V129,$U129)))=Milestones!$AB$121),UPPER(TEXT(EDATE($D129,Milestones!$AA$121),"dd mmm yy"))&amp;" "&amp;Milestones!$AB$121&amp;" "&amp;Milestones!$AC$121&amp;";  ","")&amp;IF(AND(EDATE($D129,Milestones!$AA$122)&lt;=AsOfDate,IF($R129=0,$X129,IF(AND($T129&lt;&gt;"",EDATE($D129,Milestones!$AA$122)&gt;=$T129),$W129,IF(AND($S129&lt;&gt;"",EDATE($D129,Milestones!$AA$122)&gt;=$S129),$V129,$U129)))=Milestones!$AB$122),UPPER(TEXT(EDATE($D129,Milestones!$AA$122),"dd mmm yy"))&amp;" "&amp;Milestones!$AB$122&amp;" "&amp;Milestones!$AC$122&amp;";  ","")&amp;IF(AND(EDATE($D129,Milestones!$AA$123)&lt;=AsOfDate,IF($R129=0,$X129,IF(AND($T129&lt;&gt;"",EDATE($D129,Milestones!$AA$123)&gt;=$T129),$W129,IF(AND($S129&lt;&gt;"",EDATE($D129,Milestones!$AA$123)&gt;=$S129),$V129,$U129)))=Milestones!$AB$123),UPPER(TEXT(EDATE($D129,Milestones!$AA$123),"dd mmm yy"))&amp;" "&amp;Milestones!$AB$123&amp;" "&amp;Milestones!$AC$123&amp;";  ","")&amp;IF(AND(EDATE($D129,Milestones!$AA$124)&lt;=AsOfDate,IF($R129=0,$X129,IF(AND($T129&lt;&gt;"",EDATE($D129,Milestones!$AA$124)&gt;=$T129),$W129,IF(AND($S129&lt;&gt;"",EDATE($D129,Milestones!$AA$124)&gt;=$S129),$V129,$U129)))=Milestones!$AB$124),UPPER(TEXT(EDATE($D129,Milestones!$AA$124),"dd mmm yy"))&amp;" "&amp;Milestones!$AB$124&amp;" "&amp;Milestones!$AC$124&amp;";  ","")&amp;IF(AND(EDATE($D129,Milestones!$AA$125)&lt;=AsOfDate,IF($R129=0,$X129,IF(AND($T129&lt;&gt;"",EDATE($D129,Milestones!$AA$125)&gt;=$T129),$W129,IF(AND($S129&lt;&gt;"",EDATE($D129,Milestones!$AA$125)&gt;=$S129),$V129,$U129)))=Milestones!$AB$125),UPPER(TEXT(EDATE($D129,Milestones!$AA$125),"dd mmm yy"))&amp;" "&amp;Milestones!$AB$125&amp;" "&amp;Milestones!$AC$125&amp;";  ","")&amp;IF(AND(EDATE($D129,Milestones!$AA$126)&lt;=AsOfDate,IF($R129=0,$X129,IF(AND($T129&lt;&gt;"",EDATE($D129,Milestones!$AA$126)&gt;=$T129),$W129,IF(AND($S129&lt;&gt;"",EDATE($D129,Milestones!$AA$126)&gt;=$S129),$V129,$U129)))=Milestones!$AB$126),UPPER(TEXT(EDATE($D129,Milestones!$AA$126),"dd mmm yy"))&amp;" "&amp;Milestones!$AB$126&amp;" "&amp;Milestones!$AC$126&amp;";  ","")&amp;IF(AND(EDATE($D129,Milestones!$AA$127)&lt;=AsOfDate,IF($R129=0,$X129,IF(AND($T129&lt;&gt;"",EDATE($D129,Milestones!$AA$127)&gt;=$T129),$W129,IF(AND($S129&lt;&gt;"",EDATE($D129,Milestones!$AA$127)&gt;=$S129),$V129,$U129)))=Milestones!$AB$127),UPPER(TEXT(EDATE($D129,Milestones!$AA$127),"dd mmm yy"))&amp;" "&amp;Milestones!$AB$127&amp;" "&amp;Milestones!$AC$127&amp;";  ","")&amp;IF(AND(EDATE($D129,Milestones!$AA$128)&lt;=AsOfDate,IF($R129=0,$X129,IF(AND($T129&lt;&gt;"",EDATE($D129,Milestones!$AA$128)&gt;=$T129),$W129,IF(AND($S129&lt;&gt;"",EDATE($D129,Milestones!$AA$128)&gt;=$S129),$V129,$U129)))=Milestones!$AB$128),UPPER(TEXT(EDATE($D129,Milestones!$AA$128),"dd mmm yy"))&amp;" "&amp;Milestones!$AB$128&amp;" "&amp;Milestones!$AC$128&amp;";  ","")&amp;IF(AND(EDATE($D129,Milestones!$AA$129)&lt;=AsOfDate,IF($R129=0,$X129,IF(AND($T129&lt;&gt;"",EDATE($D129,Milestones!$AA$129)&gt;=$T129),$W129,IF(AND($S129&lt;&gt;"",EDATE($D129,Milestones!$AA$129)&gt;=$S129),$V129,$U129)))=Milestones!$AB$129),UPPER(TEXT(EDATE($D129,Milestones!$AA$129),"dd mmm yy"))&amp;" "&amp;Milestones!$AB$129&amp;" "&amp;Milestones!$AC$129&amp;";  ","")&amp;IF(AND(EDATE($D129,Milestones!$AA$130)&lt;=AsOfDate,IF($R129=0,$X129,IF(AND($T129&lt;&gt;"",EDATE($D129,Milestones!$AA$130)&gt;=$T129),$W129,IF(AND($S129&lt;&gt;"",EDATE($D129,Milestones!$AA$130)&gt;=$S129),$V129,$U129)))=Milestones!$AB$130),UPPER(TEXT(EDATE($D129,Milestones!$AA$130),"dd mmm yy"))&amp;" "&amp;Milestones!$AB$130&amp;" "&amp;Milestones!$AC$130&amp;";  ","")&amp;IF(AND(EDATE($D129,Milestones!$AA$131)&lt;=AsOfDate,IF($R129=0,$X129,IF(AND($T129&lt;&gt;"",EDATE($D129,Milestones!$AA$131)&gt;=$T129),$W129,IF(AND($S129&lt;&gt;"",EDATE($D129,Milestones!$AA$131)&gt;=$S129),$V129,$U129)))=Milestones!$AB$131),UPPER(TEXT(EDATE($D129,Milestones!$AA$131),"dd mmm yy"))&amp;" "&amp;Milestones!$AB$131&amp;" "&amp;Milestones!$AC$131&amp;";  ","")&amp;IF(AND(EDATE($D129,Milestones!$AA$132)&lt;=AsOfDate,IF($R129=0,$X129,IF(AND($T129&lt;&gt;"",EDATE($D129,Milestones!$AA$132)&gt;=$T129),$W129,IF(AND($S129&lt;&gt;"",EDATE($D129,Milestones!$AA$132)&gt;=$S129),$V129,$U129)))=Milestones!$AB$132),UPPER(TEXT(EDATE($D129,Milestones!$AA$132),"dd mmm yy"))&amp;" "&amp;Milestones!$AB$132&amp;" "&amp;Milestones!$AC$132&amp;";  ","")&amp;IF(AND(EDATE($D129,Milestones!$AA$133)&lt;=AsOfDate,IF($R129=0,$X129,IF(AND($T129&lt;&gt;"",EDATE($D129,Milestones!$AA$133)&gt;=$T129),$W129,IF(AND($S129&lt;&gt;"",EDATE($D129,Milestones!$AA$133)&gt;=$S129),$V129,$U129)))=Milestones!$AB$133),UPPER(TEXT(EDATE($D129,Milestones!$AA$133),"dd mmm yy"))&amp;" "&amp;Milestones!$AB$133&amp;" "&amp;Milestones!$AC$133&amp;";  ","")&amp;IF(AND(EDATE($D129,Milestones!$AA$134)&lt;=AsOfDate,IF($R129=0,$X129,IF(AND($T129&lt;&gt;"",EDATE($D129,Milestones!$AA$134)&gt;=$T129),$W129,IF(AND($S129&lt;&gt;"",EDATE($D129,Milestones!$AA$134)&gt;=$S129),$V129,$U129)))=Milestones!$AB$134),UPPER(TEXT(EDATE($D129,Milestones!$AA$134),"dd mmm yy"))&amp;" "&amp;Milestones!$AB$134&amp;" "&amp;Milestones!$AC$134&amp;";  ","")&amp;IF(AND(EDATE($D129,Milestones!$AA$135)&lt;=AsOfDate,IF($R129=0,$X129,IF(AND($T129&lt;&gt;"",EDATE($D129,Milestones!$AA$135)&gt;=$T129),$W129,IF(AND($S129&lt;&gt;"",EDATE($D129,Milestones!$AA$135)&gt;=$S129),$V129,$U129)))=Milestones!$AB$135),UPPER(TEXT(EDATE($D129,Milestones!$AA$135),"dd mmm yy"))&amp;" "&amp;Milestones!$AB$135&amp;" "&amp;Milestones!$AC$135&amp;";  ","")&amp;IF(AND(EDATE($D129,Milestones!$AA$136)&lt;=AsOfDate,IF($R129=0,$X129,IF(AND($T129&lt;&gt;"",EDATE($D129,Milestones!$AA$136)&gt;=$T129),$W129,IF(AND($S129&lt;&gt;"",EDATE($D129,Milestones!$AA$136)&gt;=$S129),$V129,$U129)))=Milestones!$AB$136),UPPER(TEXT(EDATE($D129,Milestones!$AA$136),"dd mmm yy"))&amp;" "&amp;Milestones!$AB$136&amp;" "&amp;Milestones!$AC$136&amp;";  ","")&amp;IF(AND(EDATE($D129,Milestones!$AA$137)&lt;=AsOfDate,IF($R129=0,$X129,IF(AND($T129&lt;&gt;"",EDATE($D129,Milestones!$AA$137)&gt;=$T129),$W129,IF(AND($S129&lt;&gt;"",EDATE($D129,Milestones!$AA$137)&gt;=$S129),$V129,$U129)))=Milestones!$AB$137),UPPER(TEXT(EDATE($D129,Milestones!$AA$137),"dd mmm yy"))&amp;" "&amp;Milestones!$AB$137&amp;" "&amp;Milestones!$AC$137&amp;";  ","")&amp;IF(AND(EDATE($D129,Milestones!$AA$138)&lt;=AsOfDate,IF($R129=0,$X129,IF(AND($T129&lt;&gt;"",EDATE($D129,Milestones!$AA$138)&gt;=$T129),$W129,IF(AND($S129&lt;&gt;"",EDATE($D129,Milestones!$AA$138)&gt;=$S129),$V129,$U129)))=Milestones!$AB$138),UPPER(TEXT(EDATE($D129,Milestones!$AA$138),"dd mmm yy"))&amp;" "&amp;Milestones!$AB$138&amp;" "&amp;Milestones!$AC$138&amp;";  ","")&amp;IF(AND(EDATE($D129,Milestones!$AA$139)&lt;=AsOfDate,IF($R129=0,$X129,IF(AND($T129&lt;&gt;"",EDATE($D129,Milestones!$AA$139)&gt;=$T129),$W129,IF(AND($S129&lt;&gt;"",EDATE($D129,Milestones!$AA$139)&gt;=$S129),$V129,$U129)))=Milestones!$AB$139),UPPER(TEXT(EDATE($D129,Milestones!$AA$139),"dd mmm yy"))&amp;" "&amp;Milestones!$AB$139&amp;" "&amp;Milestones!$AC$139&amp;";  ",""))</f>
        <v/>
      </c>
      <c r="O129" s="0" t="str">
        <f aca="false">IF(OR($A129="",$D129=""),"",IF(AND(EDATE($D129,Milestones!$AA$140)&lt;=AsOfDate,IF($R129=0,$X129,IF(AND($T129&lt;&gt;"",EDATE($D129,Milestones!$AA$140)&gt;=$T129),$W129,IF(AND($S129&lt;&gt;"",EDATE($D129,Milestones!$AA$140)&gt;=$S129),$V129,$U129)))=Milestones!$AB$140),UPPER(TEXT(EDATE($D129,Milestones!$AA$140),"dd mmm yy"))&amp;" "&amp;Milestones!$AB$140&amp;" "&amp;Milestones!$AC$140&amp;";  ","")&amp;IF(AND(EDATE($D129,Milestones!$AA$141)&lt;=AsOfDate,IF($R129=0,$X129,IF(AND($T129&lt;&gt;"",EDATE($D129,Milestones!$AA$141)&gt;=$T129),$W129,IF(AND($S129&lt;&gt;"",EDATE($D129,Milestones!$AA$141)&gt;=$S129),$V129,$U129)))=Milestones!$AB$141),UPPER(TEXT(EDATE($D129,Milestones!$AA$141),"dd mmm yy"))&amp;" "&amp;Milestones!$AB$141&amp;" "&amp;Milestones!$AC$141&amp;";  ","")&amp;IF(AND(EDATE($D129,Milestones!$AA$142)&lt;=AsOfDate,IF($R129=0,$X129,IF(AND($T129&lt;&gt;"",EDATE($D129,Milestones!$AA$142)&gt;=$T129),$W129,IF(AND($S129&lt;&gt;"",EDATE($D129,Milestones!$AA$142)&gt;=$S129),$V129,$U129)))=Milestones!$AB$142),UPPER(TEXT(EDATE($D129,Milestones!$AA$142),"dd mmm yy"))&amp;" "&amp;Milestones!$AB$142&amp;" "&amp;Milestones!$AC$142&amp;";  ","")&amp;IF(AND(EDATE($D129,Milestones!$AA$143)&lt;=AsOfDate,IF($R129=0,$X129,IF(AND($T129&lt;&gt;"",EDATE($D129,Milestones!$AA$143)&gt;=$T129),$W129,IF(AND($S129&lt;&gt;"",EDATE($D129,Milestones!$AA$143)&gt;=$S129),$V129,$U129)))=Milestones!$AB$143),UPPER(TEXT(EDATE($D129,Milestones!$AA$143),"dd mmm yy"))&amp;" "&amp;Milestones!$AB$143&amp;" "&amp;Milestones!$AC$143&amp;";  ","")&amp;IF(AND(EDATE($D129,Milestones!$AA$144)&lt;=AsOfDate,IF($R129=0,$X129,IF(AND($T129&lt;&gt;"",EDATE($D129,Milestones!$AA$144)&gt;=$T129),$W129,IF(AND($S129&lt;&gt;"",EDATE($D129,Milestones!$AA$144)&gt;=$S129),$V129,$U129)))=Milestones!$AB$144),UPPER(TEXT(EDATE($D129,Milestones!$AA$144),"dd mmm yy"))&amp;" "&amp;Milestones!$AB$144&amp;" "&amp;Milestones!$AC$144&amp;";  ","")&amp;IF(AND(EDATE($D129,Milestones!$AA$145)&lt;=AsOfDate,IF($R129=0,$X129,IF(AND($T129&lt;&gt;"",EDATE($D129,Milestones!$AA$145)&gt;=$T129),$W129,IF(AND($S129&lt;&gt;"",EDATE($D129,Milestones!$AA$145)&gt;=$S129),$V129,$U129)))=Milestones!$AB$145),UPPER(TEXT(EDATE($D129,Milestones!$AA$145),"dd mmm yy"))&amp;" "&amp;Milestones!$AB$145&amp;" "&amp;Milestones!$AC$145&amp;";  ","")&amp;IF(AND(EDATE($D129,Milestones!$AA$146)&lt;=AsOfDate,IF($R129=0,$X129,IF(AND($T129&lt;&gt;"",EDATE($D129,Milestones!$AA$146)&gt;=$T129),$W129,IF(AND($S129&lt;&gt;"",EDATE($D129,Milestones!$AA$146)&gt;=$S129),$V129,$U129)))=Milestones!$AB$146),UPPER(TEXT(EDATE($D129,Milestones!$AA$146),"dd mmm yy"))&amp;" "&amp;Milestones!$AB$146&amp;" "&amp;Milestones!$AC$146&amp;";  ","")&amp;IF(AND(EDATE($D129,Milestones!$AA$147)&lt;=AsOfDate,IF($R129=0,$X129,IF(AND($T129&lt;&gt;"",EDATE($D129,Milestones!$AA$147)&gt;=$T129),$W129,IF(AND($S129&lt;&gt;"",EDATE($D129,Milestones!$AA$147)&gt;=$S129),$V129,$U129)))=Milestones!$AB$147),UPPER(TEXT(EDATE($D129,Milestones!$AA$147),"dd mmm yy"))&amp;" "&amp;Milestones!$AB$147&amp;" "&amp;Milestones!$AC$147&amp;";  ","")&amp;IF(AND(EDATE($D129,Milestones!$AA$148)&lt;=AsOfDate,IF($R129=0,$X129,IF(AND($T129&lt;&gt;"",EDATE($D129,Milestones!$AA$148)&gt;=$T129),$W129,IF(AND($S129&lt;&gt;"",EDATE($D129,Milestones!$AA$148)&gt;=$S129),$V129,$U129)))=Milestones!$AB$148),UPPER(TEXT(EDATE($D129,Milestones!$AA$148),"dd mmm yy"))&amp;" "&amp;Milestones!$AB$148&amp;" "&amp;Milestones!$AC$148&amp;";  ","")&amp;IF(AND(EDATE($D129,Milestones!$AA$149)&lt;=AsOfDate,IF($R129=0,$X129,IF(AND($T129&lt;&gt;"",EDATE($D129,Milestones!$AA$149)&gt;=$T129),$W129,IF(AND($S129&lt;&gt;"",EDATE($D129,Milestones!$AA$149)&gt;=$S129),$V129,$U129)))=Milestones!$AB$149),UPPER(TEXT(EDATE($D129,Milestones!$AA$149),"dd mmm yy"))&amp;" "&amp;Milestones!$AB$149&amp;" "&amp;Milestones!$AC$149&amp;";  ","")&amp;IF(AND(EDATE($D129,Milestones!$AA$150)&lt;=AsOfDate,IF($R129=0,$X129,IF(AND($T129&lt;&gt;"",EDATE($D129,Milestones!$AA$150)&gt;=$T129),$W129,IF(AND($S129&lt;&gt;"",EDATE($D129,Milestones!$AA$150)&gt;=$S129),$V129,$U129)))=Milestones!$AB$150),UPPER(TEXT(EDATE($D129,Milestones!$AA$150),"dd mmm yy"))&amp;" "&amp;Milestones!$AB$150&amp;" "&amp;Milestones!$AC$150&amp;";  ","")&amp;IF(AND(EDATE($D129,Milestones!$AA$151)&lt;=AsOfDate,IF($R129=0,$X129,IF(AND($T129&lt;&gt;"",EDATE($D129,Milestones!$AA$151)&gt;=$T129),$W129,IF(AND($S129&lt;&gt;"",EDATE($D129,Milestones!$AA$151)&gt;=$S129),$V129,$U129)))=Milestones!$AB$151),UPPER(TEXT(EDATE($D129,Milestones!$AA$151),"dd mmm yy"))&amp;" "&amp;Milestones!$AB$151&amp;" "&amp;Milestones!$AC$151&amp;";  ","")&amp;IF(AND(EDATE($D129,Milestones!$AA$152)&lt;=AsOfDate,IF($R129=0,$X129,IF(AND($T129&lt;&gt;"",EDATE($D129,Milestones!$AA$152)&gt;=$T129),$W129,IF(AND($S129&lt;&gt;"",EDATE($D129,Milestones!$AA$152)&gt;=$S129),$V129,$U129)))=Milestones!$AB$152),UPPER(TEXT(EDATE($D129,Milestones!$AA$152),"dd mmm yy"))&amp;" "&amp;Milestones!$AB$152&amp;" "&amp;Milestones!$AC$152&amp;";  ","")&amp;IF(AND(EDATE($D129,Milestones!$AA$153)&lt;=AsOfDate,IF($R129=0,$X129,IF(AND($T129&lt;&gt;"",EDATE($D129,Milestones!$AA$153)&gt;=$T129),$W129,IF(AND($S129&lt;&gt;"",EDATE($D129,Milestones!$AA$153)&gt;=$S129),$V129,$U129)))=Milestones!$AB$153),UPPER(TEXT(EDATE($D129,Milestones!$AA$153),"dd mmm yy"))&amp;" "&amp;Milestones!$AB$153&amp;" "&amp;Milestones!$AC$153&amp;";  ","")&amp;IF(AND(EDATE($D129,Milestones!$AA$154)&lt;=AsOfDate,IF($R129=0,$X129,IF(AND($T129&lt;&gt;"",EDATE($D129,Milestones!$AA$154)&gt;=$T129),$W129,IF(AND($S129&lt;&gt;"",EDATE($D129,Milestones!$AA$154)&gt;=$S129),$V129,$U129)))=Milestones!$AB$154),UPPER(TEXT(EDATE($D129,Milestones!$AA$154),"dd mmm yy"))&amp;" "&amp;Milestones!$AB$154&amp;" "&amp;Milestones!$AC$154&amp;";  ","")&amp;IF(AND(EDATE($D129,Milestones!$AA$155)&lt;=AsOfDate,IF($R129=0,$X129,IF(AND($T129&lt;&gt;"",EDATE($D129,Milestones!$AA$155)&gt;=$T129),$W129,IF(AND($S129&lt;&gt;"",EDATE($D129,Milestones!$AA$155)&gt;=$S129),$V129,$U129)))=Milestones!$AB$155),UPPER(TEXT(EDATE($D129,Milestones!$AA$155),"dd mmm yy"))&amp;" "&amp;Milestones!$AB$155&amp;" "&amp;Milestones!$AC$155&amp;";  ","")&amp;IF(AND(EDATE($D129,Milestones!$AA$156)&lt;=AsOfDate,IF($R129=0,$X129,IF(AND($T129&lt;&gt;"",EDATE($D129,Milestones!$AA$156)&gt;=$T129),$W129,IF(AND($S129&lt;&gt;"",EDATE($D129,Milestones!$AA$156)&gt;=$S129),$V129,$U129)))=Milestones!$AB$156),UPPER(TEXT(EDATE($D129,Milestones!$AA$156),"dd mmm yy"))&amp;" "&amp;Milestones!$AB$156&amp;" "&amp;Milestones!$AC$156&amp;";  ","")&amp;IF(AND(EDATE($D129,Milestones!$AA$157)&lt;=AsOfDate,IF($R129=0,$X129,IF(AND($T129&lt;&gt;"",EDATE($D129,Milestones!$AA$157)&gt;=$T129),$W129,IF(AND($S129&lt;&gt;"",EDATE($D129,Milestones!$AA$157)&gt;=$S129),$V129,$U129)))=Milestones!$AB$157),UPPER(TEXT(EDATE($D129,Milestones!$AA$157),"dd mmm yy"))&amp;" "&amp;Milestones!$AB$157&amp;" "&amp;Milestones!$AC$157&amp;";  ","")&amp;IF(AND(EDATE($D129,Milestones!$AA$158)&lt;=AsOfDate,IF($R129=0,$X129,IF(AND($T129&lt;&gt;"",EDATE($D129,Milestones!$AA$158)&gt;=$T129),$W129,IF(AND($S129&lt;&gt;"",EDATE($D129,Milestones!$AA$158)&gt;=$S129),$V129,$U129)))=Milestones!$AB$158),UPPER(TEXT(EDATE($D129,Milestones!$AA$158),"dd mmm yy"))&amp;" "&amp;Milestones!$AB$158&amp;" "&amp;Milestones!$AC$158&amp;";  ","")&amp;IF(AND(EDATE($D129,Milestones!$AA$159)&lt;=AsOfDate,IF($R129=0,$X129,IF(AND($T129&lt;&gt;"",EDATE($D129,Milestones!$AA$159)&gt;=$T129),$W129,IF(AND($S129&lt;&gt;"",EDATE($D129,Milestones!$AA$159)&gt;=$S129),$V129,$U129)))=Milestones!$AB$159),UPPER(TEXT(EDATE($D129,Milestones!$AA$159),"dd mmm yy"))&amp;" "&amp;Milestones!$AB$159&amp;" "&amp;Milestones!$AC$159&amp;";  ",""))</f>
        <v/>
      </c>
      <c r="P129" s="0" t="str">
        <f aca="false">IF(OR($A129="",$D129=""),"",IF(AND(EDATE($D129,Milestones!$AA$160)&lt;=AsOfDate,IF($R129=0,$X129,IF(AND($T129&lt;&gt;"",EDATE($D129,Milestones!$AA$160)&gt;=$T129),$W129,IF(AND($S129&lt;&gt;"",EDATE($D129,Milestones!$AA$160)&gt;=$S129),$V129,$U129)))=Milestones!$AB$160),UPPER(TEXT(EDATE($D129,Milestones!$AA$160),"dd mmm yy"))&amp;" "&amp;Milestones!$AB$160&amp;" "&amp;Milestones!$AC$160&amp;";  ","")&amp;IF(AND(EDATE($D129,Milestones!$AA$161)&lt;=AsOfDate,IF($R129=0,$X129,IF(AND($T129&lt;&gt;"",EDATE($D129,Milestones!$AA$161)&gt;=$T129),$W129,IF(AND($S129&lt;&gt;"",EDATE($D129,Milestones!$AA$161)&gt;=$S129),$V129,$U129)))=Milestones!$AB$161),UPPER(TEXT(EDATE($D129,Milestones!$AA$161),"dd mmm yy"))&amp;" "&amp;Milestones!$AB$161&amp;" "&amp;Milestones!$AC$161&amp;";  ","")&amp;IF(AND(EDATE($D129,Milestones!$AA$162)&lt;=AsOfDate,IF($R129=0,$X129,IF(AND($T129&lt;&gt;"",EDATE($D129,Milestones!$AA$162)&gt;=$T129),$W129,IF(AND($S129&lt;&gt;"",EDATE($D129,Milestones!$AA$162)&gt;=$S129),$V129,$U129)))=Milestones!$AB$162),UPPER(TEXT(EDATE($D129,Milestones!$AA$162),"dd mmm yy"))&amp;" "&amp;Milestones!$AB$162&amp;" "&amp;Milestones!$AC$162&amp;";  ","")&amp;IF(AND(EDATE($D129,Milestones!$AA$163)&lt;=AsOfDate,IF($R129=0,$X129,IF(AND($T129&lt;&gt;"",EDATE($D129,Milestones!$AA$163)&gt;=$T129),$W129,IF(AND($S129&lt;&gt;"",EDATE($D129,Milestones!$AA$163)&gt;=$S129),$V129,$U129)))=Milestones!$AB$163),UPPER(TEXT(EDATE($D129,Milestones!$AA$163),"dd mmm yy"))&amp;" "&amp;Milestones!$AB$163&amp;" "&amp;Milestones!$AC$163&amp;";  ","")&amp;IF(AND(EDATE($D129,Milestones!$AA$164)&lt;=AsOfDate,IF($R129=0,$X129,IF(AND($T129&lt;&gt;"",EDATE($D129,Milestones!$AA$164)&gt;=$T129),$W129,IF(AND($S129&lt;&gt;"",EDATE($D129,Milestones!$AA$164)&gt;=$S129),$V129,$U129)))=Milestones!$AB$164),UPPER(TEXT(EDATE($D129,Milestones!$AA$164),"dd mmm yy"))&amp;" "&amp;Milestones!$AB$164&amp;" "&amp;Milestones!$AC$164&amp;";  ","")&amp;IF(AND(EDATE($D129,Milestones!$AA$165)&lt;=AsOfDate,IF($R129=0,$X129,IF(AND($T129&lt;&gt;"",EDATE($D129,Milestones!$AA$165)&gt;=$T129),$W129,IF(AND($S129&lt;&gt;"",EDATE($D129,Milestones!$AA$165)&gt;=$S129),$V129,$U129)))=Milestones!$AB$165),UPPER(TEXT(EDATE($D129,Milestones!$AA$165),"dd mmm yy"))&amp;" "&amp;Milestones!$AB$165&amp;" "&amp;Milestones!$AC$165&amp;";  ","")&amp;IF(AND(EDATE($D129,Milestones!$AA$166)&lt;=AsOfDate,IF($R129=0,$X129,IF(AND($T129&lt;&gt;"",EDATE($D129,Milestones!$AA$166)&gt;=$T129),$W129,IF(AND($S129&lt;&gt;"",EDATE($D129,Milestones!$AA$166)&gt;=$S129),$V129,$U129)))=Milestones!$AB$166),UPPER(TEXT(EDATE($D129,Milestones!$AA$166),"dd mmm yy"))&amp;" "&amp;Milestones!$AB$166&amp;" "&amp;Milestones!$AC$166&amp;";  ","")&amp;IF(AND(EDATE($D129,Milestones!$AA$167)&lt;=AsOfDate,IF($R129=0,$X129,IF(AND($T129&lt;&gt;"",EDATE($D129,Milestones!$AA$167)&gt;=$T129),$W129,IF(AND($S129&lt;&gt;"",EDATE($D129,Milestones!$AA$167)&gt;=$S129),$V129,$U129)))=Milestones!$AB$167),UPPER(TEXT(EDATE($D129,Milestones!$AA$167),"dd mmm yy"))&amp;" "&amp;Milestones!$AB$167&amp;" "&amp;Milestones!$AC$167&amp;";  ","")&amp;IF(AND(EDATE($D129,Milestones!$AA$168)&lt;=AsOfDate,IF($R129=0,$X129,IF(AND($T129&lt;&gt;"",EDATE($D129,Milestones!$AA$168)&gt;=$T129),$W129,IF(AND($S129&lt;&gt;"",EDATE($D129,Milestones!$AA$168)&gt;=$S129),$V129,$U129)))=Milestones!$AB$168),UPPER(TEXT(EDATE($D129,Milestones!$AA$168),"dd mmm yy"))&amp;" "&amp;Milestones!$AB$168&amp;" "&amp;Milestones!$AC$168&amp;";  ","")&amp;IF(AND(EDATE($D129,Milestones!$AA$169)&lt;=AsOfDate,IF($R129=0,$X129,IF(AND($T129&lt;&gt;"",EDATE($D129,Milestones!$AA$169)&gt;=$T129),$W129,IF(AND($S129&lt;&gt;"",EDATE($D129,Milestones!$AA$169)&gt;=$S129),$V129,$U129)))=Milestones!$AB$169),UPPER(TEXT(EDATE($D129,Milestones!$AA$169),"dd mmm yy"))&amp;" "&amp;Milestones!$AB$169&amp;" "&amp;Milestones!$AC$169&amp;";  ","")&amp;IF(AND(EDATE($D129,Milestones!$AA$170)&lt;=AsOfDate,IF($R129=0,$X129,IF(AND($T129&lt;&gt;"",EDATE($D129,Milestones!$AA$170)&gt;=$T129),$W129,IF(AND($S129&lt;&gt;"",EDATE($D129,Milestones!$AA$170)&gt;=$S129),$V129,$U129)))=Milestones!$AB$170),UPPER(TEXT(EDATE($D129,Milestones!$AA$170),"dd mmm yy"))&amp;" "&amp;Milestones!$AB$170&amp;" "&amp;Milestones!$AC$170&amp;";  ","")&amp;IF(AND(EDATE($D129,Milestones!$AA$171)&lt;=AsOfDate,IF($R129=0,$X129,IF(AND($T129&lt;&gt;"",EDATE($D129,Milestones!$AA$171)&gt;=$T129),$W129,IF(AND($S129&lt;&gt;"",EDATE($D129,Milestones!$AA$171)&gt;=$S129),$V129,$U129)))=Milestones!$AB$171),UPPER(TEXT(EDATE($D129,Milestones!$AA$171),"dd mmm yy"))&amp;" "&amp;Milestones!$AB$171&amp;" "&amp;Milestones!$AC$171&amp;";  ","")&amp;IF(AND(EDATE($D129,Milestones!$AA$172)&lt;=AsOfDate,IF($R129=0,$X129,IF(AND($T129&lt;&gt;"",EDATE($D129,Milestones!$AA$172)&gt;=$T129),$W129,IF(AND($S129&lt;&gt;"",EDATE($D129,Milestones!$AA$172)&gt;=$S129),$V129,$U129)))=Milestones!$AB$172),UPPER(TEXT(EDATE($D129,Milestones!$AA$172),"dd mmm yy"))&amp;" "&amp;Milestones!$AB$172&amp;" "&amp;Milestones!$AC$172&amp;";  ","")&amp;IF(AND(EDATE($D129,Milestones!$AA$173)&lt;=AsOfDate,IF($R129=0,$X129,IF(AND($T129&lt;&gt;"",EDATE($D129,Milestones!$AA$173)&gt;=$T129),$W129,IF(AND($S129&lt;&gt;"",EDATE($D129,Milestones!$AA$173)&gt;=$S129),$V129,$U129)))=Milestones!$AB$173),UPPER(TEXT(EDATE($D129,Milestones!$AA$173),"dd mmm yy"))&amp;" "&amp;Milestones!$AB$173&amp;" "&amp;Milestones!$AC$173&amp;";  ","")&amp;IF(AND(EDATE($D129,Milestones!$AA$174)&lt;=AsOfDate,IF($R129=0,$X129,IF(AND($T129&lt;&gt;"",EDATE($D129,Milestones!$AA$174)&gt;=$T129),$W129,IF(AND($S129&lt;&gt;"",EDATE($D129,Milestones!$AA$174)&gt;=$S129),$V129,$U129)))=Milestones!$AB$174),UPPER(TEXT(EDATE($D129,Milestones!$AA$174),"dd mmm yy"))&amp;" "&amp;Milestones!$AB$174&amp;" "&amp;Milestones!$AC$174&amp;";  ","")&amp;IF(AND(EDATE($D129,Milestones!$AA$175)&lt;=AsOfDate,IF($R129=0,$X129,IF(AND($T129&lt;&gt;"",EDATE($D129,Milestones!$AA$175)&gt;=$T129),$W129,IF(AND($S129&lt;&gt;"",EDATE($D129,Milestones!$AA$175)&gt;=$S129),$V129,$U129)))=Milestones!$AB$175),UPPER(TEXT(EDATE($D129,Milestones!$AA$175),"dd mmm yy"))&amp;" "&amp;Milestones!$AB$175&amp;" "&amp;Milestones!$AC$175&amp;";  ","")&amp;IF(AND(EDATE($D129,Milestones!$AA$176)&lt;=AsOfDate,IF($R129=0,$X129,IF(AND($T129&lt;&gt;"",EDATE($D129,Milestones!$AA$176)&gt;=$T129),$W129,IF(AND($S129&lt;&gt;"",EDATE($D129,Milestones!$AA$176)&gt;=$S129),$V129,$U129)))=Milestones!$AB$176),UPPER(TEXT(EDATE($D129,Milestones!$AA$176),"dd mmm yy"))&amp;" "&amp;Milestones!$AB$176&amp;" "&amp;Milestones!$AC$176&amp;";  ","")&amp;IF(AND(EDATE($D129,Milestones!$AA$177)&lt;=AsOfDate,IF($R129=0,$X129,IF(AND($T129&lt;&gt;"",EDATE($D129,Milestones!$AA$177)&gt;=$T129),$W129,IF(AND($S129&lt;&gt;"",EDATE($D129,Milestones!$AA$177)&gt;=$S129),$V129,$U129)))=Milestones!$AB$177),UPPER(TEXT(EDATE($D129,Milestones!$AA$177),"dd mmm yy"))&amp;" "&amp;Milestones!$AB$177&amp;" "&amp;Milestones!$AC$177&amp;";  ","")&amp;IF(AND(EDATE($D129,Milestones!$AA$178)&lt;=AsOfDate,IF($R129=0,$X129,IF(AND($T129&lt;&gt;"",EDATE($D129,Milestones!$AA$178)&gt;=$T129),$W129,IF(AND($S129&lt;&gt;"",EDATE($D129,Milestones!$AA$178)&gt;=$S129),$V129,$U129)))=Milestones!$AB$178),UPPER(TEXT(EDATE($D129,Milestones!$AA$178),"dd mmm yy"))&amp;" "&amp;Milestones!$AB$178&amp;" "&amp;Milestones!$AC$178&amp;";  ","")&amp;IF(AND(EDATE($D129,Milestones!$AA$179)&lt;=AsOfDate,IF($R129=0,$X129,IF(AND($T129&lt;&gt;"",EDATE($D129,Milestones!$AA$179)&gt;=$T129),$W129,IF(AND($S129&lt;&gt;"",EDATE($D129,Milestones!$AA$179)&gt;=$S129),$V129,$U129)))=Milestones!$AB$179),UPPER(TEXT(EDATE($D129,Milestones!$AA$179),"dd mmm yy"))&amp;" "&amp;Milestones!$AB$179&amp;" "&amp;Milestones!$AC$179&amp;";  ",""))</f>
        <v/>
      </c>
      <c r="Q129" s="0" t="str">
        <f aca="false">IF(OR($A129="",$D129=""),"",IF(AND(EDATE($D129,Milestones!$AA$180)&lt;=AsOfDate,IF($R129=0,$X129,IF(AND($T129&lt;&gt;"",EDATE($D129,Milestones!$AA$180)&gt;=$T129),$W129,IF(AND($S129&lt;&gt;"",EDATE($D129,Milestones!$AA$180)&gt;=$S129),$V129,$U129)))=Milestones!$AB$180),UPPER(TEXT(EDATE($D129,Milestones!$AA$180),"dd mmm yy"))&amp;" "&amp;Milestones!$AB$180&amp;" "&amp;Milestones!$AC$180&amp;";  ","")&amp;IF(AND(EDATE($D129,Milestones!$AA$181)&lt;=AsOfDate,IF($R129=0,$X129,IF(AND($T129&lt;&gt;"",EDATE($D129,Milestones!$AA$181)&gt;=$T129),$W129,IF(AND($S129&lt;&gt;"",EDATE($D129,Milestones!$AA$181)&gt;=$S129),$V129,$U129)))=Milestones!$AB$181),UPPER(TEXT(EDATE($D129,Milestones!$AA$181),"dd mmm yy"))&amp;" "&amp;Milestones!$AB$181&amp;" "&amp;Milestones!$AC$181&amp;";  ","")&amp;IF(AND(EDATE($D129,Milestones!$AA$182)&lt;=AsOfDate,IF($R129=0,$X129,IF(AND($T129&lt;&gt;"",EDATE($D129,Milestones!$AA$182)&gt;=$T129),$W129,IF(AND($S129&lt;&gt;"",EDATE($D129,Milestones!$AA$182)&gt;=$S129),$V129,$U129)))=Milestones!$AB$182),UPPER(TEXT(EDATE($D129,Milestones!$AA$182),"dd mmm yy"))&amp;" "&amp;Milestones!$AB$182&amp;" "&amp;Milestones!$AC$182&amp;";  ","")&amp;IF(AND(EDATE($D129,Milestones!$AA$183)&lt;=AsOfDate,IF($R129=0,$X129,IF(AND($T129&lt;&gt;"",EDATE($D129,Milestones!$AA$183)&gt;=$T129),$W129,IF(AND($S129&lt;&gt;"",EDATE($D129,Milestones!$AA$183)&gt;=$S129),$V129,$U129)))=Milestones!$AB$183),UPPER(TEXT(EDATE($D129,Milestones!$AA$183),"dd mmm yy"))&amp;" "&amp;Milestones!$AB$183&amp;" "&amp;Milestones!$AC$183&amp;";  ","")&amp;IF(AND(EDATE($D129,Milestones!$AA$184)&lt;=AsOfDate,IF($R129=0,$X129,IF(AND($T129&lt;&gt;"",EDATE($D129,Milestones!$AA$184)&gt;=$T129),$W129,IF(AND($S129&lt;&gt;"",EDATE($D129,Milestones!$AA$184)&gt;=$S129),$V129,$U129)))=Milestones!$AB$184),UPPER(TEXT(EDATE($D129,Milestones!$AA$184),"dd mmm yy"))&amp;" "&amp;Milestones!$AB$184&amp;" "&amp;Milestones!$AC$184&amp;";  ","")&amp;IF(AND(EDATE($D129,Milestones!$AA$185)&lt;=AsOfDate,IF($R129=0,$X129,IF(AND($T129&lt;&gt;"",EDATE($D129,Milestones!$AA$185)&gt;=$T129),$W129,IF(AND($S129&lt;&gt;"",EDATE($D129,Milestones!$AA$185)&gt;=$S129),$V129,$U129)))=Milestones!$AB$185),UPPER(TEXT(EDATE($D129,Milestones!$AA$185),"dd mmm yy"))&amp;" "&amp;Milestones!$AB$185&amp;" "&amp;Milestones!$AC$185&amp;";  ","")&amp;IF(AND(EDATE($D129,Milestones!$AA$186)&lt;=AsOfDate,IF($R129=0,$X129,IF(AND($T129&lt;&gt;"",EDATE($D129,Milestones!$AA$186)&gt;=$T129),$W129,IF(AND($S129&lt;&gt;"",EDATE($D129,Milestones!$AA$186)&gt;=$S129),$V129,$U129)))=Milestones!$AB$186),UPPER(TEXT(EDATE($D129,Milestones!$AA$186),"dd mmm yy"))&amp;" "&amp;Milestones!$AB$186&amp;" "&amp;Milestones!$AC$186&amp;";  ","")&amp;IF(AND(EDATE($D129,Milestones!$AA$187)&lt;=AsOfDate,IF($R129=0,$X129,IF(AND($T129&lt;&gt;"",EDATE($D129,Milestones!$AA$187)&gt;=$T129),$W129,IF(AND($S129&lt;&gt;"",EDATE($D129,Milestones!$AA$187)&gt;=$S129),$V129,$U129)))=Milestones!$AB$187),UPPER(TEXT(EDATE($D129,Milestones!$AA$187),"dd mmm yy"))&amp;" "&amp;Milestones!$AB$187&amp;" "&amp;Milestones!$AC$187&amp;";  ","")&amp;IF(AND(EDATE($D129,Milestones!$AA$188)&lt;=AsOfDate,IF($R129=0,$X129,IF(AND($T129&lt;&gt;"",EDATE($D129,Milestones!$AA$188)&gt;=$T129),$W129,IF(AND($S129&lt;&gt;"",EDATE($D129,Milestones!$AA$188)&gt;=$S129),$V129,$U129)))=Milestones!$AB$188),UPPER(TEXT(EDATE($D129,Milestones!$AA$188),"dd mmm yy"))&amp;" "&amp;Milestones!$AB$188&amp;" "&amp;Milestones!$AC$188&amp;";  ","")&amp;IF(AND(EDATE($D129,Milestones!$AA$189)&lt;=AsOfDate,IF($R129=0,$X129,IF(AND($T129&lt;&gt;"",EDATE($D129,Milestones!$AA$189)&gt;=$T129),$W129,IF(AND($S129&lt;&gt;"",EDATE($D129,Milestones!$AA$189)&gt;=$S129),$V129,$U129)))=Milestones!$AB$189),UPPER(TEXT(EDATE($D129,Milestones!$AA$189),"dd mmm yy"))&amp;" "&amp;Milestones!$AB$189&amp;" "&amp;Milestones!$AC$189&amp;";  ","")&amp;IF(AND(EDATE($D129,Milestones!$AA$190)&lt;=AsOfDate,IF($R129=0,$X129,IF(AND($T129&lt;&gt;"",EDATE($D129,Milestones!$AA$190)&gt;=$T129),$W129,IF(AND($S129&lt;&gt;"",EDATE($D129,Milestones!$AA$190)&gt;=$S129),$V129,$U129)))=Milestones!$AB$190),UPPER(TEXT(EDATE($D129,Milestones!$AA$190),"dd mmm yy"))&amp;" "&amp;Milestones!$AB$190&amp;" "&amp;Milestones!$AC$190&amp;";  ","")&amp;IF(AND(EDATE($D129,Milestones!$AA$191)&lt;=AsOfDate,IF($R129=0,$X129,IF(AND($T129&lt;&gt;"",EDATE($D129,Milestones!$AA$191)&gt;=$T129),$W129,IF(AND($S129&lt;&gt;"",EDATE($D129,Milestones!$AA$191)&gt;=$S129),$V129,$U129)))=Milestones!$AB$191),UPPER(TEXT(EDATE($D129,Milestones!$AA$191),"dd mmm yy"))&amp;" "&amp;Milestones!$AB$191&amp;" "&amp;Milestones!$AC$191&amp;";  ","")&amp;IF(AND(EDATE($D129,Milestones!$AA$192)&lt;=AsOfDate,IF($R129=0,$X129,IF(AND($T129&lt;&gt;"",EDATE($D129,Milestones!$AA$192)&gt;=$T129),$W129,IF(AND($S129&lt;&gt;"",EDATE($D129,Milestones!$AA$192)&gt;=$S129),$V129,$U129)))=Milestones!$AB$192),UPPER(TEXT(EDATE($D129,Milestones!$AA$192),"dd mmm yy"))&amp;" "&amp;Milestones!$AB$192&amp;" "&amp;Milestones!$AC$192&amp;";  ","")&amp;IF(AND(EDATE($D129,Milestones!$AA$193)&lt;=AsOfDate,IF($R129=0,$X129,IF(AND($T129&lt;&gt;"",EDATE($D129,Milestones!$AA$193)&gt;=$T129),$W129,IF(AND($S129&lt;&gt;"",EDATE($D129,Milestones!$AA$193)&gt;=$S129),$V129,$U129)))=Milestones!$AB$193),UPPER(TEXT(EDATE($D129,Milestones!$AA$193),"dd mmm yy"))&amp;" "&amp;Milestones!$AB$193&amp;" "&amp;Milestones!$AC$193&amp;";  ","")&amp;IF(AND(EDATE($D129,Milestones!$AA$194)&lt;=AsOfDate,IF($R129=0,$X129,IF(AND($T129&lt;&gt;"",EDATE($D129,Milestones!$AA$194)&gt;=$T129),$W129,IF(AND($S129&lt;&gt;"",EDATE($D129,Milestones!$AA$194)&gt;=$S129),$V129,$U129)))=Milestones!$AB$194),UPPER(TEXT(EDATE($D129,Milestones!$AA$194),"dd mmm yy"))&amp;" "&amp;Milestones!$AB$194&amp;" "&amp;Milestones!$AC$194&amp;";  ","")&amp;IF(AND(EDATE($D129,Milestones!$AA$195)&lt;=AsOfDate,IF($R129=0,$X129,IF(AND($T129&lt;&gt;"",EDATE($D129,Milestones!$AA$195)&gt;=$T129),$W129,IF(AND($S129&lt;&gt;"",EDATE($D129,Milestones!$AA$195)&gt;=$S129),$V129,$U129)))=Milestones!$AB$195),UPPER(TEXT(EDATE($D129,Milestones!$AA$195),"dd mmm yy"))&amp;" "&amp;Milestones!$AB$195&amp;" "&amp;Milestones!$AC$195&amp;";  ","")&amp;IF(AND(EDATE($D129,Milestones!$AA$196)&lt;=AsOfDate,IF($R129=0,$X129,IF(AND($T129&lt;&gt;"",EDATE($D129,Milestones!$AA$196)&gt;=$T129),$W129,IF(AND($S129&lt;&gt;"",EDATE($D129,Milestones!$AA$196)&gt;=$S129),$V129,$U129)))=Milestones!$AB$196),UPPER(TEXT(EDATE($D129,Milestones!$AA$196),"dd mmm yy"))&amp;" "&amp;Milestones!$AB$196&amp;" "&amp;Milestones!$AC$196&amp;";  ","")&amp;IF(AND(EDATE($D129,Milestones!$AA$197)&lt;=AsOfDate,IF($R129=0,$X129,IF(AND($T129&lt;&gt;"",EDATE($D129,Milestones!$AA$197)&gt;=$T129),$W129,IF(AND($S129&lt;&gt;"",EDATE($D129,Milestones!$AA$197)&gt;=$S129),$V129,$U129)))=Milestones!$AB$197),UPPER(TEXT(EDATE($D129,Milestones!$AA$197),"dd mmm yy"))&amp;" "&amp;Milestones!$AB$197&amp;" "&amp;Milestones!$AC$197&amp;";  ","")&amp;IF(AND(EDATE($D129,Milestones!$AA$198)&lt;=AsOfDate,IF($R129=0,$X129,IF(AND($T129&lt;&gt;"",EDATE($D129,Milestones!$AA$198)&gt;=$T129),$W129,IF(AND($S129&lt;&gt;"",EDATE($D129,Milestones!$AA$198)&gt;=$S129),$V129,$U129)))=Milestones!$AB$198),UPPER(TEXT(EDATE($D129,Milestones!$AA$198),"dd mmm yy"))&amp;" "&amp;Milestones!$AB$198&amp;" "&amp;Milestones!$AC$198&amp;";  ","")&amp;IF(AND(EDATE($D129,Milestones!$AA$199)&lt;=AsOfDate,IF($R129=0,$X129,IF(AND($T129&lt;&gt;"",EDATE($D129,Milestones!$AA$199)&gt;=$T129),$W129,IF(AND($S129&lt;&gt;"",EDATE($D129,Milestones!$AA$199)&gt;=$S129),$V129,$U129)))=Milestones!$AB$199),UPPER(TEXT(EDATE($D129,Milestones!$AA$199),"dd mmm yy"))&amp;" "&amp;Milestones!$AB$199&amp;" "&amp;Milestones!$AC$199&amp;";  ",""))</f>
        <v/>
      </c>
      <c r="R129" s="0" t="str">
        <f aca="false">IF(Staff!$A129="","",Staff!$AI129)</f>
        <v/>
      </c>
      <c r="S129" s="0" t="str">
        <f aca="false">IF(Staff!$A129="","",Staff!$AK129)</f>
        <v/>
      </c>
      <c r="T129" s="0" t="str">
        <f aca="false">IF(Staff!$A129="","",Staff!$AL129)</f>
        <v/>
      </c>
      <c r="U129" s="0" t="str">
        <f aca="false">IF(Staff!$A129="","",Staff!$AP129)</f>
        <v/>
      </c>
      <c r="V129" s="0" t="str">
        <f aca="false">IF(Staff!$A129="","",Staff!$AQ129)</f>
        <v/>
      </c>
      <c r="W129" s="0" t="str">
        <f aca="false">IF(Staff!$A129="","",Staff!$AR129)</f>
        <v/>
      </c>
      <c r="X129" s="0" t="str">
        <f aca="false">IF(Staff!$A129="","",Staff!$AS129)</f>
        <v/>
      </c>
    </row>
    <row r="130" customFormat="false" ht="15" hidden="false" customHeight="false" outlineLevel="0" collapsed="false">
      <c r="A130" s="19" t="str">
        <f aca="false">IF(Staff!$A130="","",Staff!$A130)</f>
        <v/>
      </c>
      <c r="B130" s="19" t="str">
        <f aca="false">IF(Staff!$A130="","",Staff!$B130)</f>
        <v/>
      </c>
      <c r="C130" s="19" t="str">
        <f aca="false">IF(Staff!$A130="","",Staff!$C130)</f>
        <v/>
      </c>
      <c r="D130" s="17" t="str">
        <f aca="false">IF(Staff!$A130="","",Staff!$AH130)</f>
        <v/>
      </c>
      <c r="E130" s="19" t="str">
        <f aca="false">IF(Staff!$A130="","",Staff!$O130)</f>
        <v/>
      </c>
      <c r="F130" s="19" t="str">
        <f aca="false">IF(E130="","",E130*HoursPerDay)</f>
        <v/>
      </c>
      <c r="G130" s="19" t="str">
        <f aca="false">IF(Staff!$A130="","",Staff!$AE130)</f>
        <v/>
      </c>
      <c r="H130" s="32" t="str">
        <f aca="false">IF($A130="","",I130&amp;J130&amp;K130&amp;L130&amp;M130&amp;N130&amp;O130&amp;P130&amp;Q130)</f>
        <v/>
      </c>
      <c r="I130" s="0" t="str">
        <f aca="false">IF(OR($A130="",$D130=""),"",IF(AND(EDATE($D130,Milestones!$AA$20)&lt;=AsOfDate,IF($R130=0,$X130,IF(AND($T130&lt;&gt;"",EDATE($D130,Milestones!$AA$20)&gt;=$T130),$W130,IF(AND($S130&lt;&gt;"",EDATE($D130,Milestones!$AA$20)&gt;=$S130),$V130,$U130)))=Milestones!$AB$20),UPPER(TEXT(EDATE($D130,Milestones!$AA$20),"dd mmm yy"))&amp;" "&amp;Milestones!$AB$20&amp;" "&amp;Milestones!$AC$20&amp;";  ","")&amp;IF(AND(EDATE($D130,Milestones!$AA$21)&lt;=AsOfDate,IF($R130=0,$X130,IF(AND($T130&lt;&gt;"",EDATE($D130,Milestones!$AA$21)&gt;=$T130),$W130,IF(AND($S130&lt;&gt;"",EDATE($D130,Milestones!$AA$21)&gt;=$S130),$V130,$U130)))=Milestones!$AB$21),UPPER(TEXT(EDATE($D130,Milestones!$AA$21),"dd mmm yy"))&amp;" "&amp;Milestones!$AB$21&amp;" "&amp;Milestones!$AC$21&amp;";  ","")&amp;IF(AND(EDATE($D130,Milestones!$AA$22)&lt;=AsOfDate,IF($R130=0,$X130,IF(AND($T130&lt;&gt;"",EDATE($D130,Milestones!$AA$22)&gt;=$T130),$W130,IF(AND($S130&lt;&gt;"",EDATE($D130,Milestones!$AA$22)&gt;=$S130),$V130,$U130)))=Milestones!$AB$22),UPPER(TEXT(EDATE($D130,Milestones!$AA$22),"dd mmm yy"))&amp;" "&amp;Milestones!$AB$22&amp;" "&amp;Milestones!$AC$22&amp;";  ","")&amp;IF(AND(EDATE($D130,Milestones!$AA$23)&lt;=AsOfDate,IF($R130=0,$X130,IF(AND($T130&lt;&gt;"",EDATE($D130,Milestones!$AA$23)&gt;=$T130),$W130,IF(AND($S130&lt;&gt;"",EDATE($D130,Milestones!$AA$23)&gt;=$S130),$V130,$U130)))=Milestones!$AB$23),UPPER(TEXT(EDATE($D130,Milestones!$AA$23),"dd mmm yy"))&amp;" "&amp;Milestones!$AB$23&amp;" "&amp;Milestones!$AC$23&amp;";  ","")&amp;IF(AND(EDATE($D130,Milestones!$AA$24)&lt;=AsOfDate,IF($R130=0,$X130,IF(AND($T130&lt;&gt;"",EDATE($D130,Milestones!$AA$24)&gt;=$T130),$W130,IF(AND($S130&lt;&gt;"",EDATE($D130,Milestones!$AA$24)&gt;=$S130),$V130,$U130)))=Milestones!$AB$24),UPPER(TEXT(EDATE($D130,Milestones!$AA$24),"dd mmm yy"))&amp;" "&amp;Milestones!$AB$24&amp;" "&amp;Milestones!$AC$24&amp;";  ","")&amp;IF(AND(EDATE($D130,Milestones!$AA$25)&lt;=AsOfDate,IF($R130=0,$X130,IF(AND($T130&lt;&gt;"",EDATE($D130,Milestones!$AA$25)&gt;=$T130),$W130,IF(AND($S130&lt;&gt;"",EDATE($D130,Milestones!$AA$25)&gt;=$S130),$V130,$U130)))=Milestones!$AB$25),UPPER(TEXT(EDATE($D130,Milestones!$AA$25),"dd mmm yy"))&amp;" "&amp;Milestones!$AB$25&amp;" "&amp;Milestones!$AC$25&amp;";  ","")&amp;IF(AND(EDATE($D130,Milestones!$AA$26)&lt;=AsOfDate,IF($R130=0,$X130,IF(AND($T130&lt;&gt;"",EDATE($D130,Milestones!$AA$26)&gt;=$T130),$W130,IF(AND($S130&lt;&gt;"",EDATE($D130,Milestones!$AA$26)&gt;=$S130),$V130,$U130)))=Milestones!$AB$26),UPPER(TEXT(EDATE($D130,Milestones!$AA$26),"dd mmm yy"))&amp;" "&amp;Milestones!$AB$26&amp;" "&amp;Milestones!$AC$26&amp;";  ","")&amp;IF(AND(EDATE($D130,Milestones!$AA$27)&lt;=AsOfDate,IF($R130=0,$X130,IF(AND($T130&lt;&gt;"",EDATE($D130,Milestones!$AA$27)&gt;=$T130),$W130,IF(AND($S130&lt;&gt;"",EDATE($D130,Milestones!$AA$27)&gt;=$S130),$V130,$U130)))=Milestones!$AB$27),UPPER(TEXT(EDATE($D130,Milestones!$AA$27),"dd mmm yy"))&amp;" "&amp;Milestones!$AB$27&amp;" "&amp;Milestones!$AC$27&amp;";  ","")&amp;IF(AND(EDATE($D130,Milestones!$AA$28)&lt;=AsOfDate,IF($R130=0,$X130,IF(AND($T130&lt;&gt;"",EDATE($D130,Milestones!$AA$28)&gt;=$T130),$W130,IF(AND($S130&lt;&gt;"",EDATE($D130,Milestones!$AA$28)&gt;=$S130),$V130,$U130)))=Milestones!$AB$28),UPPER(TEXT(EDATE($D130,Milestones!$AA$28),"dd mmm yy"))&amp;" "&amp;Milestones!$AB$28&amp;" "&amp;Milestones!$AC$28&amp;";  ","")&amp;IF(AND(EDATE($D130,Milestones!$AA$29)&lt;=AsOfDate,IF($R130=0,$X130,IF(AND($T130&lt;&gt;"",EDATE($D130,Milestones!$AA$29)&gt;=$T130),$W130,IF(AND($S130&lt;&gt;"",EDATE($D130,Milestones!$AA$29)&gt;=$S130),$V130,$U130)))=Milestones!$AB$29),UPPER(TEXT(EDATE($D130,Milestones!$AA$29),"dd mmm yy"))&amp;" "&amp;Milestones!$AB$29&amp;" "&amp;Milestones!$AC$29&amp;";  ","")&amp;IF(AND(EDATE($D130,Milestones!$AA$30)&lt;=AsOfDate,IF($R130=0,$X130,IF(AND($T130&lt;&gt;"",EDATE($D130,Milestones!$AA$30)&gt;=$T130),$W130,IF(AND($S130&lt;&gt;"",EDATE($D130,Milestones!$AA$30)&gt;=$S130),$V130,$U130)))=Milestones!$AB$30),UPPER(TEXT(EDATE($D130,Milestones!$AA$30),"dd mmm yy"))&amp;" "&amp;Milestones!$AB$30&amp;" "&amp;Milestones!$AC$30&amp;";  ","")&amp;IF(AND(EDATE($D130,Milestones!$AA$31)&lt;=AsOfDate,IF($R130=0,$X130,IF(AND($T130&lt;&gt;"",EDATE($D130,Milestones!$AA$31)&gt;=$T130),$W130,IF(AND($S130&lt;&gt;"",EDATE($D130,Milestones!$AA$31)&gt;=$S130),$V130,$U130)))=Milestones!$AB$31),UPPER(TEXT(EDATE($D130,Milestones!$AA$31),"dd mmm yy"))&amp;" "&amp;Milestones!$AB$31&amp;" "&amp;Milestones!$AC$31&amp;";  ","")&amp;IF(AND(EDATE($D130,Milestones!$AA$32)&lt;=AsOfDate,IF($R130=0,$X130,IF(AND($T130&lt;&gt;"",EDATE($D130,Milestones!$AA$32)&gt;=$T130),$W130,IF(AND($S130&lt;&gt;"",EDATE($D130,Milestones!$AA$32)&gt;=$S130),$V130,$U130)))=Milestones!$AB$32),UPPER(TEXT(EDATE($D130,Milestones!$AA$32),"dd mmm yy"))&amp;" "&amp;Milestones!$AB$32&amp;" "&amp;Milestones!$AC$32&amp;";  ","")&amp;IF(AND(EDATE($D130,Milestones!$AA$33)&lt;=AsOfDate,IF($R130=0,$X130,IF(AND($T130&lt;&gt;"",EDATE($D130,Milestones!$AA$33)&gt;=$T130),$W130,IF(AND($S130&lt;&gt;"",EDATE($D130,Milestones!$AA$33)&gt;=$S130),$V130,$U130)))=Milestones!$AB$33),UPPER(TEXT(EDATE($D130,Milestones!$AA$33),"dd mmm yy"))&amp;" "&amp;Milestones!$AB$33&amp;" "&amp;Milestones!$AC$33&amp;";  ","")&amp;IF(AND(EDATE($D130,Milestones!$AA$34)&lt;=AsOfDate,IF($R130=0,$X130,IF(AND($T130&lt;&gt;"",EDATE($D130,Milestones!$AA$34)&gt;=$T130),$W130,IF(AND($S130&lt;&gt;"",EDATE($D130,Milestones!$AA$34)&gt;=$S130),$V130,$U130)))=Milestones!$AB$34),UPPER(TEXT(EDATE($D130,Milestones!$AA$34),"dd mmm yy"))&amp;" "&amp;Milestones!$AB$34&amp;" "&amp;Milestones!$AC$34&amp;";  ","")&amp;IF(AND(EDATE($D130,Milestones!$AA$35)&lt;=AsOfDate,IF($R130=0,$X130,IF(AND($T130&lt;&gt;"",EDATE($D130,Milestones!$AA$35)&gt;=$T130),$W130,IF(AND($S130&lt;&gt;"",EDATE($D130,Milestones!$AA$35)&gt;=$S130),$V130,$U130)))=Milestones!$AB$35),UPPER(TEXT(EDATE($D130,Milestones!$AA$35),"dd mmm yy"))&amp;" "&amp;Milestones!$AB$35&amp;" "&amp;Milestones!$AC$35&amp;";  ","")&amp;IF(AND(EDATE($D130,Milestones!$AA$36)&lt;=AsOfDate,IF($R130=0,$X130,IF(AND($T130&lt;&gt;"",EDATE($D130,Milestones!$AA$36)&gt;=$T130),$W130,IF(AND($S130&lt;&gt;"",EDATE($D130,Milestones!$AA$36)&gt;=$S130),$V130,$U130)))=Milestones!$AB$36),UPPER(TEXT(EDATE($D130,Milestones!$AA$36),"dd mmm yy"))&amp;" "&amp;Milestones!$AB$36&amp;" "&amp;Milestones!$AC$36&amp;";  ","")&amp;IF(AND(EDATE($D130,Milestones!$AA$37)&lt;=AsOfDate,IF($R130=0,$X130,IF(AND($T130&lt;&gt;"",EDATE($D130,Milestones!$AA$37)&gt;=$T130),$W130,IF(AND($S130&lt;&gt;"",EDATE($D130,Milestones!$AA$37)&gt;=$S130),$V130,$U130)))=Milestones!$AB$37),UPPER(TEXT(EDATE($D130,Milestones!$AA$37),"dd mmm yy"))&amp;" "&amp;Milestones!$AB$37&amp;" "&amp;Milestones!$AC$37&amp;";  ","")&amp;IF(AND(EDATE($D130,Milestones!$AA$38)&lt;=AsOfDate,IF($R130=0,$X130,IF(AND($T130&lt;&gt;"",EDATE($D130,Milestones!$AA$38)&gt;=$T130),$W130,IF(AND($S130&lt;&gt;"",EDATE($D130,Milestones!$AA$38)&gt;=$S130),$V130,$U130)))=Milestones!$AB$38),UPPER(TEXT(EDATE($D130,Milestones!$AA$38),"dd mmm yy"))&amp;" "&amp;Milestones!$AB$38&amp;" "&amp;Milestones!$AC$38&amp;";  ","")&amp;IF(AND(EDATE($D130,Milestones!$AA$39)&lt;=AsOfDate,IF($R130=0,$X130,IF(AND($T130&lt;&gt;"",EDATE($D130,Milestones!$AA$39)&gt;=$T130),$W130,IF(AND($S130&lt;&gt;"",EDATE($D130,Milestones!$AA$39)&gt;=$S130),$V130,$U130)))=Milestones!$AB$39),UPPER(TEXT(EDATE($D130,Milestones!$AA$39),"dd mmm yy"))&amp;" "&amp;Milestones!$AB$39&amp;" "&amp;Milestones!$AC$39&amp;";  ",""))</f>
        <v/>
      </c>
      <c r="J130" s="0" t="str">
        <f aca="false">IF(OR($A130="",$D130=""),"",IF(AND(EDATE($D130,Milestones!$AA$40)&lt;=AsOfDate,IF($R130=0,$X130,IF(AND($T130&lt;&gt;"",EDATE($D130,Milestones!$AA$40)&gt;=$T130),$W130,IF(AND($S130&lt;&gt;"",EDATE($D130,Milestones!$AA$40)&gt;=$S130),$V130,$U130)))=Milestones!$AB$40),UPPER(TEXT(EDATE($D130,Milestones!$AA$40),"dd mmm yy"))&amp;" "&amp;Milestones!$AB$40&amp;" "&amp;Milestones!$AC$40&amp;";  ","")&amp;IF(AND(EDATE($D130,Milestones!$AA$41)&lt;=AsOfDate,IF($R130=0,$X130,IF(AND($T130&lt;&gt;"",EDATE($D130,Milestones!$AA$41)&gt;=$T130),$W130,IF(AND($S130&lt;&gt;"",EDATE($D130,Milestones!$AA$41)&gt;=$S130),$V130,$U130)))=Milestones!$AB$41),UPPER(TEXT(EDATE($D130,Milestones!$AA$41),"dd mmm yy"))&amp;" "&amp;Milestones!$AB$41&amp;" "&amp;Milestones!$AC$41&amp;";  ","")&amp;IF(AND(EDATE($D130,Milestones!$AA$42)&lt;=AsOfDate,IF($R130=0,$X130,IF(AND($T130&lt;&gt;"",EDATE($D130,Milestones!$AA$42)&gt;=$T130),$W130,IF(AND($S130&lt;&gt;"",EDATE($D130,Milestones!$AA$42)&gt;=$S130),$V130,$U130)))=Milestones!$AB$42),UPPER(TEXT(EDATE($D130,Milestones!$AA$42),"dd mmm yy"))&amp;" "&amp;Milestones!$AB$42&amp;" "&amp;Milestones!$AC$42&amp;";  ","")&amp;IF(AND(EDATE($D130,Milestones!$AA$43)&lt;=AsOfDate,IF($R130=0,$X130,IF(AND($T130&lt;&gt;"",EDATE($D130,Milestones!$AA$43)&gt;=$T130),$W130,IF(AND($S130&lt;&gt;"",EDATE($D130,Milestones!$AA$43)&gt;=$S130),$V130,$U130)))=Milestones!$AB$43),UPPER(TEXT(EDATE($D130,Milestones!$AA$43),"dd mmm yy"))&amp;" "&amp;Milestones!$AB$43&amp;" "&amp;Milestones!$AC$43&amp;";  ","")&amp;IF(AND(EDATE($D130,Milestones!$AA$44)&lt;=AsOfDate,IF($R130=0,$X130,IF(AND($T130&lt;&gt;"",EDATE($D130,Milestones!$AA$44)&gt;=$T130),$W130,IF(AND($S130&lt;&gt;"",EDATE($D130,Milestones!$AA$44)&gt;=$S130),$V130,$U130)))=Milestones!$AB$44),UPPER(TEXT(EDATE($D130,Milestones!$AA$44),"dd mmm yy"))&amp;" "&amp;Milestones!$AB$44&amp;" "&amp;Milestones!$AC$44&amp;";  ","")&amp;IF(AND(EDATE($D130,Milestones!$AA$45)&lt;=AsOfDate,IF($R130=0,$X130,IF(AND($T130&lt;&gt;"",EDATE($D130,Milestones!$AA$45)&gt;=$T130),$W130,IF(AND($S130&lt;&gt;"",EDATE($D130,Milestones!$AA$45)&gt;=$S130),$V130,$U130)))=Milestones!$AB$45),UPPER(TEXT(EDATE($D130,Milestones!$AA$45),"dd mmm yy"))&amp;" "&amp;Milestones!$AB$45&amp;" "&amp;Milestones!$AC$45&amp;";  ","")&amp;IF(AND(EDATE($D130,Milestones!$AA$46)&lt;=AsOfDate,IF($R130=0,$X130,IF(AND($T130&lt;&gt;"",EDATE($D130,Milestones!$AA$46)&gt;=$T130),$W130,IF(AND($S130&lt;&gt;"",EDATE($D130,Milestones!$AA$46)&gt;=$S130),$V130,$U130)))=Milestones!$AB$46),UPPER(TEXT(EDATE($D130,Milestones!$AA$46),"dd mmm yy"))&amp;" "&amp;Milestones!$AB$46&amp;" "&amp;Milestones!$AC$46&amp;";  ","")&amp;IF(AND(EDATE($D130,Milestones!$AA$47)&lt;=AsOfDate,IF($R130=0,$X130,IF(AND($T130&lt;&gt;"",EDATE($D130,Milestones!$AA$47)&gt;=$T130),$W130,IF(AND($S130&lt;&gt;"",EDATE($D130,Milestones!$AA$47)&gt;=$S130),$V130,$U130)))=Milestones!$AB$47),UPPER(TEXT(EDATE($D130,Milestones!$AA$47),"dd mmm yy"))&amp;" "&amp;Milestones!$AB$47&amp;" "&amp;Milestones!$AC$47&amp;";  ","")&amp;IF(AND(EDATE($D130,Milestones!$AA$48)&lt;=AsOfDate,IF($R130=0,$X130,IF(AND($T130&lt;&gt;"",EDATE($D130,Milestones!$AA$48)&gt;=$T130),$W130,IF(AND($S130&lt;&gt;"",EDATE($D130,Milestones!$AA$48)&gt;=$S130),$V130,$U130)))=Milestones!$AB$48),UPPER(TEXT(EDATE($D130,Milestones!$AA$48),"dd mmm yy"))&amp;" "&amp;Milestones!$AB$48&amp;" "&amp;Milestones!$AC$48&amp;";  ","")&amp;IF(AND(EDATE($D130,Milestones!$AA$49)&lt;=AsOfDate,IF($R130=0,$X130,IF(AND($T130&lt;&gt;"",EDATE($D130,Milestones!$AA$49)&gt;=$T130),$W130,IF(AND($S130&lt;&gt;"",EDATE($D130,Milestones!$AA$49)&gt;=$S130),$V130,$U130)))=Milestones!$AB$49),UPPER(TEXT(EDATE($D130,Milestones!$AA$49),"dd mmm yy"))&amp;" "&amp;Milestones!$AB$49&amp;" "&amp;Milestones!$AC$49&amp;";  ","")&amp;IF(AND(EDATE($D130,Milestones!$AA$50)&lt;=AsOfDate,IF($R130=0,$X130,IF(AND($T130&lt;&gt;"",EDATE($D130,Milestones!$AA$50)&gt;=$T130),$W130,IF(AND($S130&lt;&gt;"",EDATE($D130,Milestones!$AA$50)&gt;=$S130),$V130,$U130)))=Milestones!$AB$50),UPPER(TEXT(EDATE($D130,Milestones!$AA$50),"dd mmm yy"))&amp;" "&amp;Milestones!$AB$50&amp;" "&amp;Milestones!$AC$50&amp;";  ","")&amp;IF(AND(EDATE($D130,Milestones!$AA$51)&lt;=AsOfDate,IF($R130=0,$X130,IF(AND($T130&lt;&gt;"",EDATE($D130,Milestones!$AA$51)&gt;=$T130),$W130,IF(AND($S130&lt;&gt;"",EDATE($D130,Milestones!$AA$51)&gt;=$S130),$V130,$U130)))=Milestones!$AB$51),UPPER(TEXT(EDATE($D130,Milestones!$AA$51),"dd mmm yy"))&amp;" "&amp;Milestones!$AB$51&amp;" "&amp;Milestones!$AC$51&amp;";  ","")&amp;IF(AND(EDATE($D130,Milestones!$AA$52)&lt;=AsOfDate,IF($R130=0,$X130,IF(AND($T130&lt;&gt;"",EDATE($D130,Milestones!$AA$52)&gt;=$T130),$W130,IF(AND($S130&lt;&gt;"",EDATE($D130,Milestones!$AA$52)&gt;=$S130),$V130,$U130)))=Milestones!$AB$52),UPPER(TEXT(EDATE($D130,Milestones!$AA$52),"dd mmm yy"))&amp;" "&amp;Milestones!$AB$52&amp;" "&amp;Milestones!$AC$52&amp;";  ","")&amp;IF(AND(EDATE($D130,Milestones!$AA$53)&lt;=AsOfDate,IF($R130=0,$X130,IF(AND($T130&lt;&gt;"",EDATE($D130,Milestones!$AA$53)&gt;=$T130),$W130,IF(AND($S130&lt;&gt;"",EDATE($D130,Milestones!$AA$53)&gt;=$S130),$V130,$U130)))=Milestones!$AB$53),UPPER(TEXT(EDATE($D130,Milestones!$AA$53),"dd mmm yy"))&amp;" "&amp;Milestones!$AB$53&amp;" "&amp;Milestones!$AC$53&amp;";  ","")&amp;IF(AND(EDATE($D130,Milestones!$AA$54)&lt;=AsOfDate,IF($R130=0,$X130,IF(AND($T130&lt;&gt;"",EDATE($D130,Milestones!$AA$54)&gt;=$T130),$W130,IF(AND($S130&lt;&gt;"",EDATE($D130,Milestones!$AA$54)&gt;=$S130),$V130,$U130)))=Milestones!$AB$54),UPPER(TEXT(EDATE($D130,Milestones!$AA$54),"dd mmm yy"))&amp;" "&amp;Milestones!$AB$54&amp;" "&amp;Milestones!$AC$54&amp;";  ","")&amp;IF(AND(EDATE($D130,Milestones!$AA$55)&lt;=AsOfDate,IF($R130=0,$X130,IF(AND($T130&lt;&gt;"",EDATE($D130,Milestones!$AA$55)&gt;=$T130),$W130,IF(AND($S130&lt;&gt;"",EDATE($D130,Milestones!$AA$55)&gt;=$S130),$V130,$U130)))=Milestones!$AB$55),UPPER(TEXT(EDATE($D130,Milestones!$AA$55),"dd mmm yy"))&amp;" "&amp;Milestones!$AB$55&amp;" "&amp;Milestones!$AC$55&amp;";  ","")&amp;IF(AND(EDATE($D130,Milestones!$AA$56)&lt;=AsOfDate,IF($R130=0,$X130,IF(AND($T130&lt;&gt;"",EDATE($D130,Milestones!$AA$56)&gt;=$T130),$W130,IF(AND($S130&lt;&gt;"",EDATE($D130,Milestones!$AA$56)&gt;=$S130),$V130,$U130)))=Milestones!$AB$56),UPPER(TEXT(EDATE($D130,Milestones!$AA$56),"dd mmm yy"))&amp;" "&amp;Milestones!$AB$56&amp;" "&amp;Milestones!$AC$56&amp;";  ","")&amp;IF(AND(EDATE($D130,Milestones!$AA$57)&lt;=AsOfDate,IF($R130=0,$X130,IF(AND($T130&lt;&gt;"",EDATE($D130,Milestones!$AA$57)&gt;=$T130),$W130,IF(AND($S130&lt;&gt;"",EDATE($D130,Milestones!$AA$57)&gt;=$S130),$V130,$U130)))=Milestones!$AB$57),UPPER(TEXT(EDATE($D130,Milestones!$AA$57),"dd mmm yy"))&amp;" "&amp;Milestones!$AB$57&amp;" "&amp;Milestones!$AC$57&amp;";  ","")&amp;IF(AND(EDATE($D130,Milestones!$AA$58)&lt;=AsOfDate,IF($R130=0,$X130,IF(AND($T130&lt;&gt;"",EDATE($D130,Milestones!$AA$58)&gt;=$T130),$W130,IF(AND($S130&lt;&gt;"",EDATE($D130,Milestones!$AA$58)&gt;=$S130),$V130,$U130)))=Milestones!$AB$58),UPPER(TEXT(EDATE($D130,Milestones!$AA$58),"dd mmm yy"))&amp;" "&amp;Milestones!$AB$58&amp;" "&amp;Milestones!$AC$58&amp;";  ","")&amp;IF(AND(EDATE($D130,Milestones!$AA$59)&lt;=AsOfDate,IF($R130=0,$X130,IF(AND($T130&lt;&gt;"",EDATE($D130,Milestones!$AA$59)&gt;=$T130),$W130,IF(AND($S130&lt;&gt;"",EDATE($D130,Milestones!$AA$59)&gt;=$S130),$V130,$U130)))=Milestones!$AB$59),UPPER(TEXT(EDATE($D130,Milestones!$AA$59),"dd mmm yy"))&amp;" "&amp;Milestones!$AB$59&amp;" "&amp;Milestones!$AC$59&amp;";  ",""))</f>
        <v/>
      </c>
      <c r="K130" s="0" t="str">
        <f aca="false">IF(OR($A130="",$D130=""),"",IF(AND(EDATE($D130,Milestones!$AA$60)&lt;=AsOfDate,IF($R130=0,$X130,IF(AND($T130&lt;&gt;"",EDATE($D130,Milestones!$AA$60)&gt;=$T130),$W130,IF(AND($S130&lt;&gt;"",EDATE($D130,Milestones!$AA$60)&gt;=$S130),$V130,$U130)))=Milestones!$AB$60),UPPER(TEXT(EDATE($D130,Milestones!$AA$60),"dd mmm yy"))&amp;" "&amp;Milestones!$AB$60&amp;" "&amp;Milestones!$AC$60&amp;";  ","")&amp;IF(AND(EDATE($D130,Milestones!$AA$61)&lt;=AsOfDate,IF($R130=0,$X130,IF(AND($T130&lt;&gt;"",EDATE($D130,Milestones!$AA$61)&gt;=$T130),$W130,IF(AND($S130&lt;&gt;"",EDATE($D130,Milestones!$AA$61)&gt;=$S130),$V130,$U130)))=Milestones!$AB$61),UPPER(TEXT(EDATE($D130,Milestones!$AA$61),"dd mmm yy"))&amp;" "&amp;Milestones!$AB$61&amp;" "&amp;Milestones!$AC$61&amp;";  ","")&amp;IF(AND(EDATE($D130,Milestones!$AA$62)&lt;=AsOfDate,IF($R130=0,$X130,IF(AND($T130&lt;&gt;"",EDATE($D130,Milestones!$AA$62)&gt;=$T130),$W130,IF(AND($S130&lt;&gt;"",EDATE($D130,Milestones!$AA$62)&gt;=$S130),$V130,$U130)))=Milestones!$AB$62),UPPER(TEXT(EDATE($D130,Milestones!$AA$62),"dd mmm yy"))&amp;" "&amp;Milestones!$AB$62&amp;" "&amp;Milestones!$AC$62&amp;";  ","")&amp;IF(AND(EDATE($D130,Milestones!$AA$63)&lt;=AsOfDate,IF($R130=0,$X130,IF(AND($T130&lt;&gt;"",EDATE($D130,Milestones!$AA$63)&gt;=$T130),$W130,IF(AND($S130&lt;&gt;"",EDATE($D130,Milestones!$AA$63)&gt;=$S130),$V130,$U130)))=Milestones!$AB$63),UPPER(TEXT(EDATE($D130,Milestones!$AA$63),"dd mmm yy"))&amp;" "&amp;Milestones!$AB$63&amp;" "&amp;Milestones!$AC$63&amp;";  ","")&amp;IF(AND(EDATE($D130,Milestones!$AA$64)&lt;=AsOfDate,IF($R130=0,$X130,IF(AND($T130&lt;&gt;"",EDATE($D130,Milestones!$AA$64)&gt;=$T130),$W130,IF(AND($S130&lt;&gt;"",EDATE($D130,Milestones!$AA$64)&gt;=$S130),$V130,$U130)))=Milestones!$AB$64),UPPER(TEXT(EDATE($D130,Milestones!$AA$64),"dd mmm yy"))&amp;" "&amp;Milestones!$AB$64&amp;" "&amp;Milestones!$AC$64&amp;";  ","")&amp;IF(AND(EDATE($D130,Milestones!$AA$65)&lt;=AsOfDate,IF($R130=0,$X130,IF(AND($T130&lt;&gt;"",EDATE($D130,Milestones!$AA$65)&gt;=$T130),$W130,IF(AND($S130&lt;&gt;"",EDATE($D130,Milestones!$AA$65)&gt;=$S130),$V130,$U130)))=Milestones!$AB$65),UPPER(TEXT(EDATE($D130,Milestones!$AA$65),"dd mmm yy"))&amp;" "&amp;Milestones!$AB$65&amp;" "&amp;Milestones!$AC$65&amp;";  ","")&amp;IF(AND(EDATE($D130,Milestones!$AA$66)&lt;=AsOfDate,IF($R130=0,$X130,IF(AND($T130&lt;&gt;"",EDATE($D130,Milestones!$AA$66)&gt;=$T130),$W130,IF(AND($S130&lt;&gt;"",EDATE($D130,Milestones!$AA$66)&gt;=$S130),$V130,$U130)))=Milestones!$AB$66),UPPER(TEXT(EDATE($D130,Milestones!$AA$66),"dd mmm yy"))&amp;" "&amp;Milestones!$AB$66&amp;" "&amp;Milestones!$AC$66&amp;";  ","")&amp;IF(AND(EDATE($D130,Milestones!$AA$67)&lt;=AsOfDate,IF($R130=0,$X130,IF(AND($T130&lt;&gt;"",EDATE($D130,Milestones!$AA$67)&gt;=$T130),$W130,IF(AND($S130&lt;&gt;"",EDATE($D130,Milestones!$AA$67)&gt;=$S130),$V130,$U130)))=Milestones!$AB$67),UPPER(TEXT(EDATE($D130,Milestones!$AA$67),"dd mmm yy"))&amp;" "&amp;Milestones!$AB$67&amp;" "&amp;Milestones!$AC$67&amp;";  ","")&amp;IF(AND(EDATE($D130,Milestones!$AA$68)&lt;=AsOfDate,IF($R130=0,$X130,IF(AND($T130&lt;&gt;"",EDATE($D130,Milestones!$AA$68)&gt;=$T130),$W130,IF(AND($S130&lt;&gt;"",EDATE($D130,Milestones!$AA$68)&gt;=$S130),$V130,$U130)))=Milestones!$AB$68),UPPER(TEXT(EDATE($D130,Milestones!$AA$68),"dd mmm yy"))&amp;" "&amp;Milestones!$AB$68&amp;" "&amp;Milestones!$AC$68&amp;";  ","")&amp;IF(AND(EDATE($D130,Milestones!$AA$69)&lt;=AsOfDate,IF($R130=0,$X130,IF(AND($T130&lt;&gt;"",EDATE($D130,Milestones!$AA$69)&gt;=$T130),$W130,IF(AND($S130&lt;&gt;"",EDATE($D130,Milestones!$AA$69)&gt;=$S130),$V130,$U130)))=Milestones!$AB$69),UPPER(TEXT(EDATE($D130,Milestones!$AA$69),"dd mmm yy"))&amp;" "&amp;Milestones!$AB$69&amp;" "&amp;Milestones!$AC$69&amp;";  ","")&amp;IF(AND(EDATE($D130,Milestones!$AA$70)&lt;=AsOfDate,IF($R130=0,$X130,IF(AND($T130&lt;&gt;"",EDATE($D130,Milestones!$AA$70)&gt;=$T130),$W130,IF(AND($S130&lt;&gt;"",EDATE($D130,Milestones!$AA$70)&gt;=$S130),$V130,$U130)))=Milestones!$AB$70),UPPER(TEXT(EDATE($D130,Milestones!$AA$70),"dd mmm yy"))&amp;" "&amp;Milestones!$AB$70&amp;" "&amp;Milestones!$AC$70&amp;";  ","")&amp;IF(AND(EDATE($D130,Milestones!$AA$71)&lt;=AsOfDate,IF($R130=0,$X130,IF(AND($T130&lt;&gt;"",EDATE($D130,Milestones!$AA$71)&gt;=$T130),$W130,IF(AND($S130&lt;&gt;"",EDATE($D130,Milestones!$AA$71)&gt;=$S130),$V130,$U130)))=Milestones!$AB$71),UPPER(TEXT(EDATE($D130,Milestones!$AA$71),"dd mmm yy"))&amp;" "&amp;Milestones!$AB$71&amp;" "&amp;Milestones!$AC$71&amp;";  ","")&amp;IF(AND(EDATE($D130,Milestones!$AA$72)&lt;=AsOfDate,IF($R130=0,$X130,IF(AND($T130&lt;&gt;"",EDATE($D130,Milestones!$AA$72)&gt;=$T130),$W130,IF(AND($S130&lt;&gt;"",EDATE($D130,Milestones!$AA$72)&gt;=$S130),$V130,$U130)))=Milestones!$AB$72),UPPER(TEXT(EDATE($D130,Milestones!$AA$72),"dd mmm yy"))&amp;" "&amp;Milestones!$AB$72&amp;" "&amp;Milestones!$AC$72&amp;";  ","")&amp;IF(AND(EDATE($D130,Milestones!$AA$73)&lt;=AsOfDate,IF($R130=0,$X130,IF(AND($T130&lt;&gt;"",EDATE($D130,Milestones!$AA$73)&gt;=$T130),$W130,IF(AND($S130&lt;&gt;"",EDATE($D130,Milestones!$AA$73)&gt;=$S130),$V130,$U130)))=Milestones!$AB$73),UPPER(TEXT(EDATE($D130,Milestones!$AA$73),"dd mmm yy"))&amp;" "&amp;Milestones!$AB$73&amp;" "&amp;Milestones!$AC$73&amp;";  ","")&amp;IF(AND(EDATE($D130,Milestones!$AA$74)&lt;=AsOfDate,IF($R130=0,$X130,IF(AND($T130&lt;&gt;"",EDATE($D130,Milestones!$AA$74)&gt;=$T130),$W130,IF(AND($S130&lt;&gt;"",EDATE($D130,Milestones!$AA$74)&gt;=$S130),$V130,$U130)))=Milestones!$AB$74),UPPER(TEXT(EDATE($D130,Milestones!$AA$74),"dd mmm yy"))&amp;" "&amp;Milestones!$AB$74&amp;" "&amp;Milestones!$AC$74&amp;";  ","")&amp;IF(AND(EDATE($D130,Milestones!$AA$75)&lt;=AsOfDate,IF($R130=0,$X130,IF(AND($T130&lt;&gt;"",EDATE($D130,Milestones!$AA$75)&gt;=$T130),$W130,IF(AND($S130&lt;&gt;"",EDATE($D130,Milestones!$AA$75)&gt;=$S130),$V130,$U130)))=Milestones!$AB$75),UPPER(TEXT(EDATE($D130,Milestones!$AA$75),"dd mmm yy"))&amp;" "&amp;Milestones!$AB$75&amp;" "&amp;Milestones!$AC$75&amp;";  ","")&amp;IF(AND(EDATE($D130,Milestones!$AA$76)&lt;=AsOfDate,IF($R130=0,$X130,IF(AND($T130&lt;&gt;"",EDATE($D130,Milestones!$AA$76)&gt;=$T130),$W130,IF(AND($S130&lt;&gt;"",EDATE($D130,Milestones!$AA$76)&gt;=$S130),$V130,$U130)))=Milestones!$AB$76),UPPER(TEXT(EDATE($D130,Milestones!$AA$76),"dd mmm yy"))&amp;" "&amp;Milestones!$AB$76&amp;" "&amp;Milestones!$AC$76&amp;";  ","")&amp;IF(AND(EDATE($D130,Milestones!$AA$77)&lt;=AsOfDate,IF($R130=0,$X130,IF(AND($T130&lt;&gt;"",EDATE($D130,Milestones!$AA$77)&gt;=$T130),$W130,IF(AND($S130&lt;&gt;"",EDATE($D130,Milestones!$AA$77)&gt;=$S130),$V130,$U130)))=Milestones!$AB$77),UPPER(TEXT(EDATE($D130,Milestones!$AA$77),"dd mmm yy"))&amp;" "&amp;Milestones!$AB$77&amp;" "&amp;Milestones!$AC$77&amp;";  ","")&amp;IF(AND(EDATE($D130,Milestones!$AA$78)&lt;=AsOfDate,IF($R130=0,$X130,IF(AND($T130&lt;&gt;"",EDATE($D130,Milestones!$AA$78)&gt;=$T130),$W130,IF(AND($S130&lt;&gt;"",EDATE($D130,Milestones!$AA$78)&gt;=$S130),$V130,$U130)))=Milestones!$AB$78),UPPER(TEXT(EDATE($D130,Milestones!$AA$78),"dd mmm yy"))&amp;" "&amp;Milestones!$AB$78&amp;" "&amp;Milestones!$AC$78&amp;";  ","")&amp;IF(AND(EDATE($D130,Milestones!$AA$79)&lt;=AsOfDate,IF($R130=0,$X130,IF(AND($T130&lt;&gt;"",EDATE($D130,Milestones!$AA$79)&gt;=$T130),$W130,IF(AND($S130&lt;&gt;"",EDATE($D130,Milestones!$AA$79)&gt;=$S130),$V130,$U130)))=Milestones!$AB$79),UPPER(TEXT(EDATE($D130,Milestones!$AA$79),"dd mmm yy"))&amp;" "&amp;Milestones!$AB$79&amp;" "&amp;Milestones!$AC$79&amp;";  ",""))</f>
        <v/>
      </c>
      <c r="L130" s="0" t="str">
        <f aca="false">IF(OR($A130="",$D130=""),"",IF(AND(EDATE($D130,Milestones!$AA$80)&lt;=AsOfDate,IF($R130=0,$X130,IF(AND($T130&lt;&gt;"",EDATE($D130,Milestones!$AA$80)&gt;=$T130),$W130,IF(AND($S130&lt;&gt;"",EDATE($D130,Milestones!$AA$80)&gt;=$S130),$V130,$U130)))=Milestones!$AB$80),UPPER(TEXT(EDATE($D130,Milestones!$AA$80),"dd mmm yy"))&amp;" "&amp;Milestones!$AB$80&amp;" "&amp;Milestones!$AC$80&amp;";  ","")&amp;IF(AND(EDATE($D130,Milestones!$AA$81)&lt;=AsOfDate,IF($R130=0,$X130,IF(AND($T130&lt;&gt;"",EDATE($D130,Milestones!$AA$81)&gt;=$T130),$W130,IF(AND($S130&lt;&gt;"",EDATE($D130,Milestones!$AA$81)&gt;=$S130),$V130,$U130)))=Milestones!$AB$81),UPPER(TEXT(EDATE($D130,Milestones!$AA$81),"dd mmm yy"))&amp;" "&amp;Milestones!$AB$81&amp;" "&amp;Milestones!$AC$81&amp;";  ","")&amp;IF(AND(EDATE($D130,Milestones!$AA$82)&lt;=AsOfDate,IF($R130=0,$X130,IF(AND($T130&lt;&gt;"",EDATE($D130,Milestones!$AA$82)&gt;=$T130),$W130,IF(AND($S130&lt;&gt;"",EDATE($D130,Milestones!$AA$82)&gt;=$S130),$V130,$U130)))=Milestones!$AB$82),UPPER(TEXT(EDATE($D130,Milestones!$AA$82),"dd mmm yy"))&amp;" "&amp;Milestones!$AB$82&amp;" "&amp;Milestones!$AC$82&amp;";  ","")&amp;IF(AND(EDATE($D130,Milestones!$AA$83)&lt;=AsOfDate,IF($R130=0,$X130,IF(AND($T130&lt;&gt;"",EDATE($D130,Milestones!$AA$83)&gt;=$T130),$W130,IF(AND($S130&lt;&gt;"",EDATE($D130,Milestones!$AA$83)&gt;=$S130),$V130,$U130)))=Milestones!$AB$83),UPPER(TEXT(EDATE($D130,Milestones!$AA$83),"dd mmm yy"))&amp;" "&amp;Milestones!$AB$83&amp;" "&amp;Milestones!$AC$83&amp;";  ","")&amp;IF(AND(EDATE($D130,Milestones!$AA$84)&lt;=AsOfDate,IF($R130=0,$X130,IF(AND($T130&lt;&gt;"",EDATE($D130,Milestones!$AA$84)&gt;=$T130),$W130,IF(AND($S130&lt;&gt;"",EDATE($D130,Milestones!$AA$84)&gt;=$S130),$V130,$U130)))=Milestones!$AB$84),UPPER(TEXT(EDATE($D130,Milestones!$AA$84),"dd mmm yy"))&amp;" "&amp;Milestones!$AB$84&amp;" "&amp;Milestones!$AC$84&amp;";  ","")&amp;IF(AND(EDATE($D130,Milestones!$AA$85)&lt;=AsOfDate,IF($R130=0,$X130,IF(AND($T130&lt;&gt;"",EDATE($D130,Milestones!$AA$85)&gt;=$T130),$W130,IF(AND($S130&lt;&gt;"",EDATE($D130,Milestones!$AA$85)&gt;=$S130),$V130,$U130)))=Milestones!$AB$85),UPPER(TEXT(EDATE($D130,Milestones!$AA$85),"dd mmm yy"))&amp;" "&amp;Milestones!$AB$85&amp;" "&amp;Milestones!$AC$85&amp;";  ","")&amp;IF(AND(EDATE($D130,Milestones!$AA$86)&lt;=AsOfDate,IF($R130=0,$X130,IF(AND($T130&lt;&gt;"",EDATE($D130,Milestones!$AA$86)&gt;=$T130),$W130,IF(AND($S130&lt;&gt;"",EDATE($D130,Milestones!$AA$86)&gt;=$S130),$V130,$U130)))=Milestones!$AB$86),UPPER(TEXT(EDATE($D130,Milestones!$AA$86),"dd mmm yy"))&amp;" "&amp;Milestones!$AB$86&amp;" "&amp;Milestones!$AC$86&amp;";  ","")&amp;IF(AND(EDATE($D130,Milestones!$AA$87)&lt;=AsOfDate,IF($R130=0,$X130,IF(AND($T130&lt;&gt;"",EDATE($D130,Milestones!$AA$87)&gt;=$T130),$W130,IF(AND($S130&lt;&gt;"",EDATE($D130,Milestones!$AA$87)&gt;=$S130),$V130,$U130)))=Milestones!$AB$87),UPPER(TEXT(EDATE($D130,Milestones!$AA$87),"dd mmm yy"))&amp;" "&amp;Milestones!$AB$87&amp;" "&amp;Milestones!$AC$87&amp;";  ","")&amp;IF(AND(EDATE($D130,Milestones!$AA$88)&lt;=AsOfDate,IF($R130=0,$X130,IF(AND($T130&lt;&gt;"",EDATE($D130,Milestones!$AA$88)&gt;=$T130),$W130,IF(AND($S130&lt;&gt;"",EDATE($D130,Milestones!$AA$88)&gt;=$S130),$V130,$U130)))=Milestones!$AB$88),UPPER(TEXT(EDATE($D130,Milestones!$AA$88),"dd mmm yy"))&amp;" "&amp;Milestones!$AB$88&amp;" "&amp;Milestones!$AC$88&amp;";  ","")&amp;IF(AND(EDATE($D130,Milestones!$AA$89)&lt;=AsOfDate,IF($R130=0,$X130,IF(AND($T130&lt;&gt;"",EDATE($D130,Milestones!$AA$89)&gt;=$T130),$W130,IF(AND($S130&lt;&gt;"",EDATE($D130,Milestones!$AA$89)&gt;=$S130),$V130,$U130)))=Milestones!$AB$89),UPPER(TEXT(EDATE($D130,Milestones!$AA$89),"dd mmm yy"))&amp;" "&amp;Milestones!$AB$89&amp;" "&amp;Milestones!$AC$89&amp;";  ","")&amp;IF(AND(EDATE($D130,Milestones!$AA$90)&lt;=AsOfDate,IF($R130=0,$X130,IF(AND($T130&lt;&gt;"",EDATE($D130,Milestones!$AA$90)&gt;=$T130),$W130,IF(AND($S130&lt;&gt;"",EDATE($D130,Milestones!$AA$90)&gt;=$S130),$V130,$U130)))=Milestones!$AB$90),UPPER(TEXT(EDATE($D130,Milestones!$AA$90),"dd mmm yy"))&amp;" "&amp;Milestones!$AB$90&amp;" "&amp;Milestones!$AC$90&amp;";  ","")&amp;IF(AND(EDATE($D130,Milestones!$AA$91)&lt;=AsOfDate,IF($R130=0,$X130,IF(AND($T130&lt;&gt;"",EDATE($D130,Milestones!$AA$91)&gt;=$T130),$W130,IF(AND($S130&lt;&gt;"",EDATE($D130,Milestones!$AA$91)&gt;=$S130),$V130,$U130)))=Milestones!$AB$91),UPPER(TEXT(EDATE($D130,Milestones!$AA$91),"dd mmm yy"))&amp;" "&amp;Milestones!$AB$91&amp;" "&amp;Milestones!$AC$91&amp;";  ","")&amp;IF(AND(EDATE($D130,Milestones!$AA$92)&lt;=AsOfDate,IF($R130=0,$X130,IF(AND($T130&lt;&gt;"",EDATE($D130,Milestones!$AA$92)&gt;=$T130),$W130,IF(AND($S130&lt;&gt;"",EDATE($D130,Milestones!$AA$92)&gt;=$S130),$V130,$U130)))=Milestones!$AB$92),UPPER(TEXT(EDATE($D130,Milestones!$AA$92),"dd mmm yy"))&amp;" "&amp;Milestones!$AB$92&amp;" "&amp;Milestones!$AC$92&amp;";  ","")&amp;IF(AND(EDATE($D130,Milestones!$AA$93)&lt;=AsOfDate,IF($R130=0,$X130,IF(AND($T130&lt;&gt;"",EDATE($D130,Milestones!$AA$93)&gt;=$T130),$W130,IF(AND($S130&lt;&gt;"",EDATE($D130,Milestones!$AA$93)&gt;=$S130),$V130,$U130)))=Milestones!$AB$93),UPPER(TEXT(EDATE($D130,Milestones!$AA$93),"dd mmm yy"))&amp;" "&amp;Milestones!$AB$93&amp;" "&amp;Milestones!$AC$93&amp;";  ","")&amp;IF(AND(EDATE($D130,Milestones!$AA$94)&lt;=AsOfDate,IF($R130=0,$X130,IF(AND($T130&lt;&gt;"",EDATE($D130,Milestones!$AA$94)&gt;=$T130),$W130,IF(AND($S130&lt;&gt;"",EDATE($D130,Milestones!$AA$94)&gt;=$S130),$V130,$U130)))=Milestones!$AB$94),UPPER(TEXT(EDATE($D130,Milestones!$AA$94),"dd mmm yy"))&amp;" "&amp;Milestones!$AB$94&amp;" "&amp;Milestones!$AC$94&amp;";  ","")&amp;IF(AND(EDATE($D130,Milestones!$AA$95)&lt;=AsOfDate,IF($R130=0,$X130,IF(AND($T130&lt;&gt;"",EDATE($D130,Milestones!$AA$95)&gt;=$T130),$W130,IF(AND($S130&lt;&gt;"",EDATE($D130,Milestones!$AA$95)&gt;=$S130),$V130,$U130)))=Milestones!$AB$95),UPPER(TEXT(EDATE($D130,Milestones!$AA$95),"dd mmm yy"))&amp;" "&amp;Milestones!$AB$95&amp;" "&amp;Milestones!$AC$95&amp;";  ","")&amp;IF(AND(EDATE($D130,Milestones!$AA$96)&lt;=AsOfDate,IF($R130=0,$X130,IF(AND($T130&lt;&gt;"",EDATE($D130,Milestones!$AA$96)&gt;=$T130),$W130,IF(AND($S130&lt;&gt;"",EDATE($D130,Milestones!$AA$96)&gt;=$S130),$V130,$U130)))=Milestones!$AB$96),UPPER(TEXT(EDATE($D130,Milestones!$AA$96),"dd mmm yy"))&amp;" "&amp;Milestones!$AB$96&amp;" "&amp;Milestones!$AC$96&amp;";  ","")&amp;IF(AND(EDATE($D130,Milestones!$AA$97)&lt;=AsOfDate,IF($R130=0,$X130,IF(AND($T130&lt;&gt;"",EDATE($D130,Milestones!$AA$97)&gt;=$T130),$W130,IF(AND($S130&lt;&gt;"",EDATE($D130,Milestones!$AA$97)&gt;=$S130),$V130,$U130)))=Milestones!$AB$97),UPPER(TEXT(EDATE($D130,Milestones!$AA$97),"dd mmm yy"))&amp;" "&amp;Milestones!$AB$97&amp;" "&amp;Milestones!$AC$97&amp;";  ","")&amp;IF(AND(EDATE($D130,Milestones!$AA$98)&lt;=AsOfDate,IF($R130=0,$X130,IF(AND($T130&lt;&gt;"",EDATE($D130,Milestones!$AA$98)&gt;=$T130),$W130,IF(AND($S130&lt;&gt;"",EDATE($D130,Milestones!$AA$98)&gt;=$S130),$V130,$U130)))=Milestones!$AB$98),UPPER(TEXT(EDATE($D130,Milestones!$AA$98),"dd mmm yy"))&amp;" "&amp;Milestones!$AB$98&amp;" "&amp;Milestones!$AC$98&amp;";  ","")&amp;IF(AND(EDATE($D130,Milestones!$AA$99)&lt;=AsOfDate,IF($R130=0,$X130,IF(AND($T130&lt;&gt;"",EDATE($D130,Milestones!$AA$99)&gt;=$T130),$W130,IF(AND($S130&lt;&gt;"",EDATE($D130,Milestones!$AA$99)&gt;=$S130),$V130,$U130)))=Milestones!$AB$99),UPPER(TEXT(EDATE($D130,Milestones!$AA$99),"dd mmm yy"))&amp;" "&amp;Milestones!$AB$99&amp;" "&amp;Milestones!$AC$99&amp;";  ",""))</f>
        <v/>
      </c>
      <c r="M130" s="0" t="str">
        <f aca="false">IF(OR($A130="",$D130=""),"",IF(AND(EDATE($D130,Milestones!$AA$100)&lt;=AsOfDate,IF($R130=0,$X130,IF(AND($T130&lt;&gt;"",EDATE($D130,Milestones!$AA$100)&gt;=$T130),$W130,IF(AND($S130&lt;&gt;"",EDATE($D130,Milestones!$AA$100)&gt;=$S130),$V130,$U130)))=Milestones!$AB$100),UPPER(TEXT(EDATE($D130,Milestones!$AA$100),"dd mmm yy"))&amp;" "&amp;Milestones!$AB$100&amp;" "&amp;Milestones!$AC$100&amp;";  ","")&amp;IF(AND(EDATE($D130,Milestones!$AA$101)&lt;=AsOfDate,IF($R130=0,$X130,IF(AND($T130&lt;&gt;"",EDATE($D130,Milestones!$AA$101)&gt;=$T130),$W130,IF(AND($S130&lt;&gt;"",EDATE($D130,Milestones!$AA$101)&gt;=$S130),$V130,$U130)))=Milestones!$AB$101),UPPER(TEXT(EDATE($D130,Milestones!$AA$101),"dd mmm yy"))&amp;" "&amp;Milestones!$AB$101&amp;" "&amp;Milestones!$AC$101&amp;";  ","")&amp;IF(AND(EDATE($D130,Milestones!$AA$102)&lt;=AsOfDate,IF($R130=0,$X130,IF(AND($T130&lt;&gt;"",EDATE($D130,Milestones!$AA$102)&gt;=$T130),$W130,IF(AND($S130&lt;&gt;"",EDATE($D130,Milestones!$AA$102)&gt;=$S130),$V130,$U130)))=Milestones!$AB$102),UPPER(TEXT(EDATE($D130,Milestones!$AA$102),"dd mmm yy"))&amp;" "&amp;Milestones!$AB$102&amp;" "&amp;Milestones!$AC$102&amp;";  ","")&amp;IF(AND(EDATE($D130,Milestones!$AA$103)&lt;=AsOfDate,IF($R130=0,$X130,IF(AND($T130&lt;&gt;"",EDATE($D130,Milestones!$AA$103)&gt;=$T130),$W130,IF(AND($S130&lt;&gt;"",EDATE($D130,Milestones!$AA$103)&gt;=$S130),$V130,$U130)))=Milestones!$AB$103),UPPER(TEXT(EDATE($D130,Milestones!$AA$103),"dd mmm yy"))&amp;" "&amp;Milestones!$AB$103&amp;" "&amp;Milestones!$AC$103&amp;";  ","")&amp;IF(AND(EDATE($D130,Milestones!$AA$104)&lt;=AsOfDate,IF($R130=0,$X130,IF(AND($T130&lt;&gt;"",EDATE($D130,Milestones!$AA$104)&gt;=$T130),$W130,IF(AND($S130&lt;&gt;"",EDATE($D130,Milestones!$AA$104)&gt;=$S130),$V130,$U130)))=Milestones!$AB$104),UPPER(TEXT(EDATE($D130,Milestones!$AA$104),"dd mmm yy"))&amp;" "&amp;Milestones!$AB$104&amp;" "&amp;Milestones!$AC$104&amp;";  ","")&amp;IF(AND(EDATE($D130,Milestones!$AA$105)&lt;=AsOfDate,IF($R130=0,$X130,IF(AND($T130&lt;&gt;"",EDATE($D130,Milestones!$AA$105)&gt;=$T130),$W130,IF(AND($S130&lt;&gt;"",EDATE($D130,Milestones!$AA$105)&gt;=$S130),$V130,$U130)))=Milestones!$AB$105),UPPER(TEXT(EDATE($D130,Milestones!$AA$105),"dd mmm yy"))&amp;" "&amp;Milestones!$AB$105&amp;" "&amp;Milestones!$AC$105&amp;";  ","")&amp;IF(AND(EDATE($D130,Milestones!$AA$106)&lt;=AsOfDate,IF($R130=0,$X130,IF(AND($T130&lt;&gt;"",EDATE($D130,Milestones!$AA$106)&gt;=$T130),$W130,IF(AND($S130&lt;&gt;"",EDATE($D130,Milestones!$AA$106)&gt;=$S130),$V130,$U130)))=Milestones!$AB$106),UPPER(TEXT(EDATE($D130,Milestones!$AA$106),"dd mmm yy"))&amp;" "&amp;Milestones!$AB$106&amp;" "&amp;Milestones!$AC$106&amp;";  ","")&amp;IF(AND(EDATE($D130,Milestones!$AA$107)&lt;=AsOfDate,IF($R130=0,$X130,IF(AND($T130&lt;&gt;"",EDATE($D130,Milestones!$AA$107)&gt;=$T130),$W130,IF(AND($S130&lt;&gt;"",EDATE($D130,Milestones!$AA$107)&gt;=$S130),$V130,$U130)))=Milestones!$AB$107),UPPER(TEXT(EDATE($D130,Milestones!$AA$107),"dd mmm yy"))&amp;" "&amp;Milestones!$AB$107&amp;" "&amp;Milestones!$AC$107&amp;";  ","")&amp;IF(AND(EDATE($D130,Milestones!$AA$108)&lt;=AsOfDate,IF($R130=0,$X130,IF(AND($T130&lt;&gt;"",EDATE($D130,Milestones!$AA$108)&gt;=$T130),$W130,IF(AND($S130&lt;&gt;"",EDATE($D130,Milestones!$AA$108)&gt;=$S130),$V130,$U130)))=Milestones!$AB$108),UPPER(TEXT(EDATE($D130,Milestones!$AA$108),"dd mmm yy"))&amp;" "&amp;Milestones!$AB$108&amp;" "&amp;Milestones!$AC$108&amp;";  ","")&amp;IF(AND(EDATE($D130,Milestones!$AA$109)&lt;=AsOfDate,IF($R130=0,$X130,IF(AND($T130&lt;&gt;"",EDATE($D130,Milestones!$AA$109)&gt;=$T130),$W130,IF(AND($S130&lt;&gt;"",EDATE($D130,Milestones!$AA$109)&gt;=$S130),$V130,$U130)))=Milestones!$AB$109),UPPER(TEXT(EDATE($D130,Milestones!$AA$109),"dd mmm yy"))&amp;" "&amp;Milestones!$AB$109&amp;" "&amp;Milestones!$AC$109&amp;";  ","")&amp;IF(AND(EDATE($D130,Milestones!$AA$110)&lt;=AsOfDate,IF($R130=0,$X130,IF(AND($T130&lt;&gt;"",EDATE($D130,Milestones!$AA$110)&gt;=$T130),$W130,IF(AND($S130&lt;&gt;"",EDATE($D130,Milestones!$AA$110)&gt;=$S130),$V130,$U130)))=Milestones!$AB$110),UPPER(TEXT(EDATE($D130,Milestones!$AA$110),"dd mmm yy"))&amp;" "&amp;Milestones!$AB$110&amp;" "&amp;Milestones!$AC$110&amp;";  ","")&amp;IF(AND(EDATE($D130,Milestones!$AA$111)&lt;=AsOfDate,IF($R130=0,$X130,IF(AND($T130&lt;&gt;"",EDATE($D130,Milestones!$AA$111)&gt;=$T130),$W130,IF(AND($S130&lt;&gt;"",EDATE($D130,Milestones!$AA$111)&gt;=$S130),$V130,$U130)))=Milestones!$AB$111),UPPER(TEXT(EDATE($D130,Milestones!$AA$111),"dd mmm yy"))&amp;" "&amp;Milestones!$AB$111&amp;" "&amp;Milestones!$AC$111&amp;";  ","")&amp;IF(AND(EDATE($D130,Milestones!$AA$112)&lt;=AsOfDate,IF($R130=0,$X130,IF(AND($T130&lt;&gt;"",EDATE($D130,Milestones!$AA$112)&gt;=$T130),$W130,IF(AND($S130&lt;&gt;"",EDATE($D130,Milestones!$AA$112)&gt;=$S130),$V130,$U130)))=Milestones!$AB$112),UPPER(TEXT(EDATE($D130,Milestones!$AA$112),"dd mmm yy"))&amp;" "&amp;Milestones!$AB$112&amp;" "&amp;Milestones!$AC$112&amp;";  ","")&amp;IF(AND(EDATE($D130,Milestones!$AA$113)&lt;=AsOfDate,IF($R130=0,$X130,IF(AND($T130&lt;&gt;"",EDATE($D130,Milestones!$AA$113)&gt;=$T130),$W130,IF(AND($S130&lt;&gt;"",EDATE($D130,Milestones!$AA$113)&gt;=$S130),$V130,$U130)))=Milestones!$AB$113),UPPER(TEXT(EDATE($D130,Milestones!$AA$113),"dd mmm yy"))&amp;" "&amp;Milestones!$AB$113&amp;" "&amp;Milestones!$AC$113&amp;";  ","")&amp;IF(AND(EDATE($D130,Milestones!$AA$114)&lt;=AsOfDate,IF($R130=0,$X130,IF(AND($T130&lt;&gt;"",EDATE($D130,Milestones!$AA$114)&gt;=$T130),$W130,IF(AND($S130&lt;&gt;"",EDATE($D130,Milestones!$AA$114)&gt;=$S130),$V130,$U130)))=Milestones!$AB$114),UPPER(TEXT(EDATE($D130,Milestones!$AA$114),"dd mmm yy"))&amp;" "&amp;Milestones!$AB$114&amp;" "&amp;Milestones!$AC$114&amp;";  ","")&amp;IF(AND(EDATE($D130,Milestones!$AA$115)&lt;=AsOfDate,IF($R130=0,$X130,IF(AND($T130&lt;&gt;"",EDATE($D130,Milestones!$AA$115)&gt;=$T130),$W130,IF(AND($S130&lt;&gt;"",EDATE($D130,Milestones!$AA$115)&gt;=$S130),$V130,$U130)))=Milestones!$AB$115),UPPER(TEXT(EDATE($D130,Milestones!$AA$115),"dd mmm yy"))&amp;" "&amp;Milestones!$AB$115&amp;" "&amp;Milestones!$AC$115&amp;";  ","")&amp;IF(AND(EDATE($D130,Milestones!$AA$116)&lt;=AsOfDate,IF($R130=0,$X130,IF(AND($T130&lt;&gt;"",EDATE($D130,Milestones!$AA$116)&gt;=$T130),$W130,IF(AND($S130&lt;&gt;"",EDATE($D130,Milestones!$AA$116)&gt;=$S130),$V130,$U130)))=Milestones!$AB$116),UPPER(TEXT(EDATE($D130,Milestones!$AA$116),"dd mmm yy"))&amp;" "&amp;Milestones!$AB$116&amp;" "&amp;Milestones!$AC$116&amp;";  ","")&amp;IF(AND(EDATE($D130,Milestones!$AA$117)&lt;=AsOfDate,IF($R130=0,$X130,IF(AND($T130&lt;&gt;"",EDATE($D130,Milestones!$AA$117)&gt;=$T130),$W130,IF(AND($S130&lt;&gt;"",EDATE($D130,Milestones!$AA$117)&gt;=$S130),$V130,$U130)))=Milestones!$AB$117),UPPER(TEXT(EDATE($D130,Milestones!$AA$117),"dd mmm yy"))&amp;" "&amp;Milestones!$AB$117&amp;" "&amp;Milestones!$AC$117&amp;";  ","")&amp;IF(AND(EDATE($D130,Milestones!$AA$118)&lt;=AsOfDate,IF($R130=0,$X130,IF(AND($T130&lt;&gt;"",EDATE($D130,Milestones!$AA$118)&gt;=$T130),$W130,IF(AND($S130&lt;&gt;"",EDATE($D130,Milestones!$AA$118)&gt;=$S130),$V130,$U130)))=Milestones!$AB$118),UPPER(TEXT(EDATE($D130,Milestones!$AA$118),"dd mmm yy"))&amp;" "&amp;Milestones!$AB$118&amp;" "&amp;Milestones!$AC$118&amp;";  ","")&amp;IF(AND(EDATE($D130,Milestones!$AA$119)&lt;=AsOfDate,IF($R130=0,$X130,IF(AND($T130&lt;&gt;"",EDATE($D130,Milestones!$AA$119)&gt;=$T130),$W130,IF(AND($S130&lt;&gt;"",EDATE($D130,Milestones!$AA$119)&gt;=$S130),$V130,$U130)))=Milestones!$AB$119),UPPER(TEXT(EDATE($D130,Milestones!$AA$119),"dd mmm yy"))&amp;" "&amp;Milestones!$AB$119&amp;" "&amp;Milestones!$AC$119&amp;";  ",""))</f>
        <v/>
      </c>
      <c r="N130" s="0" t="str">
        <f aca="false">IF(OR($A130="",$D130=""),"",IF(AND(EDATE($D130,Milestones!$AA$120)&lt;=AsOfDate,IF($R130=0,$X130,IF(AND($T130&lt;&gt;"",EDATE($D130,Milestones!$AA$120)&gt;=$T130),$W130,IF(AND($S130&lt;&gt;"",EDATE($D130,Milestones!$AA$120)&gt;=$S130),$V130,$U130)))=Milestones!$AB$120),UPPER(TEXT(EDATE($D130,Milestones!$AA$120),"dd mmm yy"))&amp;" "&amp;Milestones!$AB$120&amp;" "&amp;Milestones!$AC$120&amp;";  ","")&amp;IF(AND(EDATE($D130,Milestones!$AA$121)&lt;=AsOfDate,IF($R130=0,$X130,IF(AND($T130&lt;&gt;"",EDATE($D130,Milestones!$AA$121)&gt;=$T130),$W130,IF(AND($S130&lt;&gt;"",EDATE($D130,Milestones!$AA$121)&gt;=$S130),$V130,$U130)))=Milestones!$AB$121),UPPER(TEXT(EDATE($D130,Milestones!$AA$121),"dd mmm yy"))&amp;" "&amp;Milestones!$AB$121&amp;" "&amp;Milestones!$AC$121&amp;";  ","")&amp;IF(AND(EDATE($D130,Milestones!$AA$122)&lt;=AsOfDate,IF($R130=0,$X130,IF(AND($T130&lt;&gt;"",EDATE($D130,Milestones!$AA$122)&gt;=$T130),$W130,IF(AND($S130&lt;&gt;"",EDATE($D130,Milestones!$AA$122)&gt;=$S130),$V130,$U130)))=Milestones!$AB$122),UPPER(TEXT(EDATE($D130,Milestones!$AA$122),"dd mmm yy"))&amp;" "&amp;Milestones!$AB$122&amp;" "&amp;Milestones!$AC$122&amp;";  ","")&amp;IF(AND(EDATE($D130,Milestones!$AA$123)&lt;=AsOfDate,IF($R130=0,$X130,IF(AND($T130&lt;&gt;"",EDATE($D130,Milestones!$AA$123)&gt;=$T130),$W130,IF(AND($S130&lt;&gt;"",EDATE($D130,Milestones!$AA$123)&gt;=$S130),$V130,$U130)))=Milestones!$AB$123),UPPER(TEXT(EDATE($D130,Milestones!$AA$123),"dd mmm yy"))&amp;" "&amp;Milestones!$AB$123&amp;" "&amp;Milestones!$AC$123&amp;";  ","")&amp;IF(AND(EDATE($D130,Milestones!$AA$124)&lt;=AsOfDate,IF($R130=0,$X130,IF(AND($T130&lt;&gt;"",EDATE($D130,Milestones!$AA$124)&gt;=$T130),$W130,IF(AND($S130&lt;&gt;"",EDATE($D130,Milestones!$AA$124)&gt;=$S130),$V130,$U130)))=Milestones!$AB$124),UPPER(TEXT(EDATE($D130,Milestones!$AA$124),"dd mmm yy"))&amp;" "&amp;Milestones!$AB$124&amp;" "&amp;Milestones!$AC$124&amp;";  ","")&amp;IF(AND(EDATE($D130,Milestones!$AA$125)&lt;=AsOfDate,IF($R130=0,$X130,IF(AND($T130&lt;&gt;"",EDATE($D130,Milestones!$AA$125)&gt;=$T130),$W130,IF(AND($S130&lt;&gt;"",EDATE($D130,Milestones!$AA$125)&gt;=$S130),$V130,$U130)))=Milestones!$AB$125),UPPER(TEXT(EDATE($D130,Milestones!$AA$125),"dd mmm yy"))&amp;" "&amp;Milestones!$AB$125&amp;" "&amp;Milestones!$AC$125&amp;";  ","")&amp;IF(AND(EDATE($D130,Milestones!$AA$126)&lt;=AsOfDate,IF($R130=0,$X130,IF(AND($T130&lt;&gt;"",EDATE($D130,Milestones!$AA$126)&gt;=$T130),$W130,IF(AND($S130&lt;&gt;"",EDATE($D130,Milestones!$AA$126)&gt;=$S130),$V130,$U130)))=Milestones!$AB$126),UPPER(TEXT(EDATE($D130,Milestones!$AA$126),"dd mmm yy"))&amp;" "&amp;Milestones!$AB$126&amp;" "&amp;Milestones!$AC$126&amp;";  ","")&amp;IF(AND(EDATE($D130,Milestones!$AA$127)&lt;=AsOfDate,IF($R130=0,$X130,IF(AND($T130&lt;&gt;"",EDATE($D130,Milestones!$AA$127)&gt;=$T130),$W130,IF(AND($S130&lt;&gt;"",EDATE($D130,Milestones!$AA$127)&gt;=$S130),$V130,$U130)))=Milestones!$AB$127),UPPER(TEXT(EDATE($D130,Milestones!$AA$127),"dd mmm yy"))&amp;" "&amp;Milestones!$AB$127&amp;" "&amp;Milestones!$AC$127&amp;";  ","")&amp;IF(AND(EDATE($D130,Milestones!$AA$128)&lt;=AsOfDate,IF($R130=0,$X130,IF(AND($T130&lt;&gt;"",EDATE($D130,Milestones!$AA$128)&gt;=$T130),$W130,IF(AND($S130&lt;&gt;"",EDATE($D130,Milestones!$AA$128)&gt;=$S130),$V130,$U130)))=Milestones!$AB$128),UPPER(TEXT(EDATE($D130,Milestones!$AA$128),"dd mmm yy"))&amp;" "&amp;Milestones!$AB$128&amp;" "&amp;Milestones!$AC$128&amp;";  ","")&amp;IF(AND(EDATE($D130,Milestones!$AA$129)&lt;=AsOfDate,IF($R130=0,$X130,IF(AND($T130&lt;&gt;"",EDATE($D130,Milestones!$AA$129)&gt;=$T130),$W130,IF(AND($S130&lt;&gt;"",EDATE($D130,Milestones!$AA$129)&gt;=$S130),$V130,$U130)))=Milestones!$AB$129),UPPER(TEXT(EDATE($D130,Milestones!$AA$129),"dd mmm yy"))&amp;" "&amp;Milestones!$AB$129&amp;" "&amp;Milestones!$AC$129&amp;";  ","")&amp;IF(AND(EDATE($D130,Milestones!$AA$130)&lt;=AsOfDate,IF($R130=0,$X130,IF(AND($T130&lt;&gt;"",EDATE($D130,Milestones!$AA$130)&gt;=$T130),$W130,IF(AND($S130&lt;&gt;"",EDATE($D130,Milestones!$AA$130)&gt;=$S130),$V130,$U130)))=Milestones!$AB$130),UPPER(TEXT(EDATE($D130,Milestones!$AA$130),"dd mmm yy"))&amp;" "&amp;Milestones!$AB$130&amp;" "&amp;Milestones!$AC$130&amp;";  ","")&amp;IF(AND(EDATE($D130,Milestones!$AA$131)&lt;=AsOfDate,IF($R130=0,$X130,IF(AND($T130&lt;&gt;"",EDATE($D130,Milestones!$AA$131)&gt;=$T130),$W130,IF(AND($S130&lt;&gt;"",EDATE($D130,Milestones!$AA$131)&gt;=$S130),$V130,$U130)))=Milestones!$AB$131),UPPER(TEXT(EDATE($D130,Milestones!$AA$131),"dd mmm yy"))&amp;" "&amp;Milestones!$AB$131&amp;" "&amp;Milestones!$AC$131&amp;";  ","")&amp;IF(AND(EDATE($D130,Milestones!$AA$132)&lt;=AsOfDate,IF($R130=0,$X130,IF(AND($T130&lt;&gt;"",EDATE($D130,Milestones!$AA$132)&gt;=$T130),$W130,IF(AND($S130&lt;&gt;"",EDATE($D130,Milestones!$AA$132)&gt;=$S130),$V130,$U130)))=Milestones!$AB$132),UPPER(TEXT(EDATE($D130,Milestones!$AA$132),"dd mmm yy"))&amp;" "&amp;Milestones!$AB$132&amp;" "&amp;Milestones!$AC$132&amp;";  ","")&amp;IF(AND(EDATE($D130,Milestones!$AA$133)&lt;=AsOfDate,IF($R130=0,$X130,IF(AND($T130&lt;&gt;"",EDATE($D130,Milestones!$AA$133)&gt;=$T130),$W130,IF(AND($S130&lt;&gt;"",EDATE($D130,Milestones!$AA$133)&gt;=$S130),$V130,$U130)))=Milestones!$AB$133),UPPER(TEXT(EDATE($D130,Milestones!$AA$133),"dd mmm yy"))&amp;" "&amp;Milestones!$AB$133&amp;" "&amp;Milestones!$AC$133&amp;";  ","")&amp;IF(AND(EDATE($D130,Milestones!$AA$134)&lt;=AsOfDate,IF($R130=0,$X130,IF(AND($T130&lt;&gt;"",EDATE($D130,Milestones!$AA$134)&gt;=$T130),$W130,IF(AND($S130&lt;&gt;"",EDATE($D130,Milestones!$AA$134)&gt;=$S130),$V130,$U130)))=Milestones!$AB$134),UPPER(TEXT(EDATE($D130,Milestones!$AA$134),"dd mmm yy"))&amp;" "&amp;Milestones!$AB$134&amp;" "&amp;Milestones!$AC$134&amp;";  ","")&amp;IF(AND(EDATE($D130,Milestones!$AA$135)&lt;=AsOfDate,IF($R130=0,$X130,IF(AND($T130&lt;&gt;"",EDATE($D130,Milestones!$AA$135)&gt;=$T130),$W130,IF(AND($S130&lt;&gt;"",EDATE($D130,Milestones!$AA$135)&gt;=$S130),$V130,$U130)))=Milestones!$AB$135),UPPER(TEXT(EDATE($D130,Milestones!$AA$135),"dd mmm yy"))&amp;" "&amp;Milestones!$AB$135&amp;" "&amp;Milestones!$AC$135&amp;";  ","")&amp;IF(AND(EDATE($D130,Milestones!$AA$136)&lt;=AsOfDate,IF($R130=0,$X130,IF(AND($T130&lt;&gt;"",EDATE($D130,Milestones!$AA$136)&gt;=$T130),$W130,IF(AND($S130&lt;&gt;"",EDATE($D130,Milestones!$AA$136)&gt;=$S130),$V130,$U130)))=Milestones!$AB$136),UPPER(TEXT(EDATE($D130,Milestones!$AA$136),"dd mmm yy"))&amp;" "&amp;Milestones!$AB$136&amp;" "&amp;Milestones!$AC$136&amp;";  ","")&amp;IF(AND(EDATE($D130,Milestones!$AA$137)&lt;=AsOfDate,IF($R130=0,$X130,IF(AND($T130&lt;&gt;"",EDATE($D130,Milestones!$AA$137)&gt;=$T130),$W130,IF(AND($S130&lt;&gt;"",EDATE($D130,Milestones!$AA$137)&gt;=$S130),$V130,$U130)))=Milestones!$AB$137),UPPER(TEXT(EDATE($D130,Milestones!$AA$137),"dd mmm yy"))&amp;" "&amp;Milestones!$AB$137&amp;" "&amp;Milestones!$AC$137&amp;";  ","")&amp;IF(AND(EDATE($D130,Milestones!$AA$138)&lt;=AsOfDate,IF($R130=0,$X130,IF(AND($T130&lt;&gt;"",EDATE($D130,Milestones!$AA$138)&gt;=$T130),$W130,IF(AND($S130&lt;&gt;"",EDATE($D130,Milestones!$AA$138)&gt;=$S130),$V130,$U130)))=Milestones!$AB$138),UPPER(TEXT(EDATE($D130,Milestones!$AA$138),"dd mmm yy"))&amp;" "&amp;Milestones!$AB$138&amp;" "&amp;Milestones!$AC$138&amp;";  ","")&amp;IF(AND(EDATE($D130,Milestones!$AA$139)&lt;=AsOfDate,IF($R130=0,$X130,IF(AND($T130&lt;&gt;"",EDATE($D130,Milestones!$AA$139)&gt;=$T130),$W130,IF(AND($S130&lt;&gt;"",EDATE($D130,Milestones!$AA$139)&gt;=$S130),$V130,$U130)))=Milestones!$AB$139),UPPER(TEXT(EDATE($D130,Milestones!$AA$139),"dd mmm yy"))&amp;" "&amp;Milestones!$AB$139&amp;" "&amp;Milestones!$AC$139&amp;";  ",""))</f>
        <v/>
      </c>
      <c r="O130" s="0" t="str">
        <f aca="false">IF(OR($A130="",$D130=""),"",IF(AND(EDATE($D130,Milestones!$AA$140)&lt;=AsOfDate,IF($R130=0,$X130,IF(AND($T130&lt;&gt;"",EDATE($D130,Milestones!$AA$140)&gt;=$T130),$W130,IF(AND($S130&lt;&gt;"",EDATE($D130,Milestones!$AA$140)&gt;=$S130),$V130,$U130)))=Milestones!$AB$140),UPPER(TEXT(EDATE($D130,Milestones!$AA$140),"dd mmm yy"))&amp;" "&amp;Milestones!$AB$140&amp;" "&amp;Milestones!$AC$140&amp;";  ","")&amp;IF(AND(EDATE($D130,Milestones!$AA$141)&lt;=AsOfDate,IF($R130=0,$X130,IF(AND($T130&lt;&gt;"",EDATE($D130,Milestones!$AA$141)&gt;=$T130),$W130,IF(AND($S130&lt;&gt;"",EDATE($D130,Milestones!$AA$141)&gt;=$S130),$V130,$U130)))=Milestones!$AB$141),UPPER(TEXT(EDATE($D130,Milestones!$AA$141),"dd mmm yy"))&amp;" "&amp;Milestones!$AB$141&amp;" "&amp;Milestones!$AC$141&amp;";  ","")&amp;IF(AND(EDATE($D130,Milestones!$AA$142)&lt;=AsOfDate,IF($R130=0,$X130,IF(AND($T130&lt;&gt;"",EDATE($D130,Milestones!$AA$142)&gt;=$T130),$W130,IF(AND($S130&lt;&gt;"",EDATE($D130,Milestones!$AA$142)&gt;=$S130),$V130,$U130)))=Milestones!$AB$142),UPPER(TEXT(EDATE($D130,Milestones!$AA$142),"dd mmm yy"))&amp;" "&amp;Milestones!$AB$142&amp;" "&amp;Milestones!$AC$142&amp;";  ","")&amp;IF(AND(EDATE($D130,Milestones!$AA$143)&lt;=AsOfDate,IF($R130=0,$X130,IF(AND($T130&lt;&gt;"",EDATE($D130,Milestones!$AA$143)&gt;=$T130),$W130,IF(AND($S130&lt;&gt;"",EDATE($D130,Milestones!$AA$143)&gt;=$S130),$V130,$U130)))=Milestones!$AB$143),UPPER(TEXT(EDATE($D130,Milestones!$AA$143),"dd mmm yy"))&amp;" "&amp;Milestones!$AB$143&amp;" "&amp;Milestones!$AC$143&amp;";  ","")&amp;IF(AND(EDATE($D130,Milestones!$AA$144)&lt;=AsOfDate,IF($R130=0,$X130,IF(AND($T130&lt;&gt;"",EDATE($D130,Milestones!$AA$144)&gt;=$T130),$W130,IF(AND($S130&lt;&gt;"",EDATE($D130,Milestones!$AA$144)&gt;=$S130),$V130,$U130)))=Milestones!$AB$144),UPPER(TEXT(EDATE($D130,Milestones!$AA$144),"dd mmm yy"))&amp;" "&amp;Milestones!$AB$144&amp;" "&amp;Milestones!$AC$144&amp;";  ","")&amp;IF(AND(EDATE($D130,Milestones!$AA$145)&lt;=AsOfDate,IF($R130=0,$X130,IF(AND($T130&lt;&gt;"",EDATE($D130,Milestones!$AA$145)&gt;=$T130),$W130,IF(AND($S130&lt;&gt;"",EDATE($D130,Milestones!$AA$145)&gt;=$S130),$V130,$U130)))=Milestones!$AB$145),UPPER(TEXT(EDATE($D130,Milestones!$AA$145),"dd mmm yy"))&amp;" "&amp;Milestones!$AB$145&amp;" "&amp;Milestones!$AC$145&amp;";  ","")&amp;IF(AND(EDATE($D130,Milestones!$AA$146)&lt;=AsOfDate,IF($R130=0,$X130,IF(AND($T130&lt;&gt;"",EDATE($D130,Milestones!$AA$146)&gt;=$T130),$W130,IF(AND($S130&lt;&gt;"",EDATE($D130,Milestones!$AA$146)&gt;=$S130),$V130,$U130)))=Milestones!$AB$146),UPPER(TEXT(EDATE($D130,Milestones!$AA$146),"dd mmm yy"))&amp;" "&amp;Milestones!$AB$146&amp;" "&amp;Milestones!$AC$146&amp;";  ","")&amp;IF(AND(EDATE($D130,Milestones!$AA$147)&lt;=AsOfDate,IF($R130=0,$X130,IF(AND($T130&lt;&gt;"",EDATE($D130,Milestones!$AA$147)&gt;=$T130),$W130,IF(AND($S130&lt;&gt;"",EDATE($D130,Milestones!$AA$147)&gt;=$S130),$V130,$U130)))=Milestones!$AB$147),UPPER(TEXT(EDATE($D130,Milestones!$AA$147),"dd mmm yy"))&amp;" "&amp;Milestones!$AB$147&amp;" "&amp;Milestones!$AC$147&amp;";  ","")&amp;IF(AND(EDATE($D130,Milestones!$AA$148)&lt;=AsOfDate,IF($R130=0,$X130,IF(AND($T130&lt;&gt;"",EDATE($D130,Milestones!$AA$148)&gt;=$T130),$W130,IF(AND($S130&lt;&gt;"",EDATE($D130,Milestones!$AA$148)&gt;=$S130),$V130,$U130)))=Milestones!$AB$148),UPPER(TEXT(EDATE($D130,Milestones!$AA$148),"dd mmm yy"))&amp;" "&amp;Milestones!$AB$148&amp;" "&amp;Milestones!$AC$148&amp;";  ","")&amp;IF(AND(EDATE($D130,Milestones!$AA$149)&lt;=AsOfDate,IF($R130=0,$X130,IF(AND($T130&lt;&gt;"",EDATE($D130,Milestones!$AA$149)&gt;=$T130),$W130,IF(AND($S130&lt;&gt;"",EDATE($D130,Milestones!$AA$149)&gt;=$S130),$V130,$U130)))=Milestones!$AB$149),UPPER(TEXT(EDATE($D130,Milestones!$AA$149),"dd mmm yy"))&amp;" "&amp;Milestones!$AB$149&amp;" "&amp;Milestones!$AC$149&amp;";  ","")&amp;IF(AND(EDATE($D130,Milestones!$AA$150)&lt;=AsOfDate,IF($R130=0,$X130,IF(AND($T130&lt;&gt;"",EDATE($D130,Milestones!$AA$150)&gt;=$T130),$W130,IF(AND($S130&lt;&gt;"",EDATE($D130,Milestones!$AA$150)&gt;=$S130),$V130,$U130)))=Milestones!$AB$150),UPPER(TEXT(EDATE($D130,Milestones!$AA$150),"dd mmm yy"))&amp;" "&amp;Milestones!$AB$150&amp;" "&amp;Milestones!$AC$150&amp;";  ","")&amp;IF(AND(EDATE($D130,Milestones!$AA$151)&lt;=AsOfDate,IF($R130=0,$X130,IF(AND($T130&lt;&gt;"",EDATE($D130,Milestones!$AA$151)&gt;=$T130),$W130,IF(AND($S130&lt;&gt;"",EDATE($D130,Milestones!$AA$151)&gt;=$S130),$V130,$U130)))=Milestones!$AB$151),UPPER(TEXT(EDATE($D130,Milestones!$AA$151),"dd mmm yy"))&amp;" "&amp;Milestones!$AB$151&amp;" "&amp;Milestones!$AC$151&amp;";  ","")&amp;IF(AND(EDATE($D130,Milestones!$AA$152)&lt;=AsOfDate,IF($R130=0,$X130,IF(AND($T130&lt;&gt;"",EDATE($D130,Milestones!$AA$152)&gt;=$T130),$W130,IF(AND($S130&lt;&gt;"",EDATE($D130,Milestones!$AA$152)&gt;=$S130),$V130,$U130)))=Milestones!$AB$152),UPPER(TEXT(EDATE($D130,Milestones!$AA$152),"dd mmm yy"))&amp;" "&amp;Milestones!$AB$152&amp;" "&amp;Milestones!$AC$152&amp;";  ","")&amp;IF(AND(EDATE($D130,Milestones!$AA$153)&lt;=AsOfDate,IF($R130=0,$X130,IF(AND($T130&lt;&gt;"",EDATE($D130,Milestones!$AA$153)&gt;=$T130),$W130,IF(AND($S130&lt;&gt;"",EDATE($D130,Milestones!$AA$153)&gt;=$S130),$V130,$U130)))=Milestones!$AB$153),UPPER(TEXT(EDATE($D130,Milestones!$AA$153),"dd mmm yy"))&amp;" "&amp;Milestones!$AB$153&amp;" "&amp;Milestones!$AC$153&amp;";  ","")&amp;IF(AND(EDATE($D130,Milestones!$AA$154)&lt;=AsOfDate,IF($R130=0,$X130,IF(AND($T130&lt;&gt;"",EDATE($D130,Milestones!$AA$154)&gt;=$T130),$W130,IF(AND($S130&lt;&gt;"",EDATE($D130,Milestones!$AA$154)&gt;=$S130),$V130,$U130)))=Milestones!$AB$154),UPPER(TEXT(EDATE($D130,Milestones!$AA$154),"dd mmm yy"))&amp;" "&amp;Milestones!$AB$154&amp;" "&amp;Milestones!$AC$154&amp;";  ","")&amp;IF(AND(EDATE($D130,Milestones!$AA$155)&lt;=AsOfDate,IF($R130=0,$X130,IF(AND($T130&lt;&gt;"",EDATE($D130,Milestones!$AA$155)&gt;=$T130),$W130,IF(AND($S130&lt;&gt;"",EDATE($D130,Milestones!$AA$155)&gt;=$S130),$V130,$U130)))=Milestones!$AB$155),UPPER(TEXT(EDATE($D130,Milestones!$AA$155),"dd mmm yy"))&amp;" "&amp;Milestones!$AB$155&amp;" "&amp;Milestones!$AC$155&amp;";  ","")&amp;IF(AND(EDATE($D130,Milestones!$AA$156)&lt;=AsOfDate,IF($R130=0,$X130,IF(AND($T130&lt;&gt;"",EDATE($D130,Milestones!$AA$156)&gt;=$T130),$W130,IF(AND($S130&lt;&gt;"",EDATE($D130,Milestones!$AA$156)&gt;=$S130),$V130,$U130)))=Milestones!$AB$156),UPPER(TEXT(EDATE($D130,Milestones!$AA$156),"dd mmm yy"))&amp;" "&amp;Milestones!$AB$156&amp;" "&amp;Milestones!$AC$156&amp;";  ","")&amp;IF(AND(EDATE($D130,Milestones!$AA$157)&lt;=AsOfDate,IF($R130=0,$X130,IF(AND($T130&lt;&gt;"",EDATE($D130,Milestones!$AA$157)&gt;=$T130),$W130,IF(AND($S130&lt;&gt;"",EDATE($D130,Milestones!$AA$157)&gt;=$S130),$V130,$U130)))=Milestones!$AB$157),UPPER(TEXT(EDATE($D130,Milestones!$AA$157),"dd mmm yy"))&amp;" "&amp;Milestones!$AB$157&amp;" "&amp;Milestones!$AC$157&amp;";  ","")&amp;IF(AND(EDATE($D130,Milestones!$AA$158)&lt;=AsOfDate,IF($R130=0,$X130,IF(AND($T130&lt;&gt;"",EDATE($D130,Milestones!$AA$158)&gt;=$T130),$W130,IF(AND($S130&lt;&gt;"",EDATE($D130,Milestones!$AA$158)&gt;=$S130),$V130,$U130)))=Milestones!$AB$158),UPPER(TEXT(EDATE($D130,Milestones!$AA$158),"dd mmm yy"))&amp;" "&amp;Milestones!$AB$158&amp;" "&amp;Milestones!$AC$158&amp;";  ","")&amp;IF(AND(EDATE($D130,Milestones!$AA$159)&lt;=AsOfDate,IF($R130=0,$X130,IF(AND($T130&lt;&gt;"",EDATE($D130,Milestones!$AA$159)&gt;=$T130),$W130,IF(AND($S130&lt;&gt;"",EDATE($D130,Milestones!$AA$159)&gt;=$S130),$V130,$U130)))=Milestones!$AB$159),UPPER(TEXT(EDATE($D130,Milestones!$AA$159),"dd mmm yy"))&amp;" "&amp;Milestones!$AB$159&amp;" "&amp;Milestones!$AC$159&amp;";  ",""))</f>
        <v/>
      </c>
      <c r="P130" s="0" t="str">
        <f aca="false">IF(OR($A130="",$D130=""),"",IF(AND(EDATE($D130,Milestones!$AA$160)&lt;=AsOfDate,IF($R130=0,$X130,IF(AND($T130&lt;&gt;"",EDATE($D130,Milestones!$AA$160)&gt;=$T130),$W130,IF(AND($S130&lt;&gt;"",EDATE($D130,Milestones!$AA$160)&gt;=$S130),$V130,$U130)))=Milestones!$AB$160),UPPER(TEXT(EDATE($D130,Milestones!$AA$160),"dd mmm yy"))&amp;" "&amp;Milestones!$AB$160&amp;" "&amp;Milestones!$AC$160&amp;";  ","")&amp;IF(AND(EDATE($D130,Milestones!$AA$161)&lt;=AsOfDate,IF($R130=0,$X130,IF(AND($T130&lt;&gt;"",EDATE($D130,Milestones!$AA$161)&gt;=$T130),$W130,IF(AND($S130&lt;&gt;"",EDATE($D130,Milestones!$AA$161)&gt;=$S130),$V130,$U130)))=Milestones!$AB$161),UPPER(TEXT(EDATE($D130,Milestones!$AA$161),"dd mmm yy"))&amp;" "&amp;Milestones!$AB$161&amp;" "&amp;Milestones!$AC$161&amp;";  ","")&amp;IF(AND(EDATE($D130,Milestones!$AA$162)&lt;=AsOfDate,IF($R130=0,$X130,IF(AND($T130&lt;&gt;"",EDATE($D130,Milestones!$AA$162)&gt;=$T130),$W130,IF(AND($S130&lt;&gt;"",EDATE($D130,Milestones!$AA$162)&gt;=$S130),$V130,$U130)))=Milestones!$AB$162),UPPER(TEXT(EDATE($D130,Milestones!$AA$162),"dd mmm yy"))&amp;" "&amp;Milestones!$AB$162&amp;" "&amp;Milestones!$AC$162&amp;";  ","")&amp;IF(AND(EDATE($D130,Milestones!$AA$163)&lt;=AsOfDate,IF($R130=0,$X130,IF(AND($T130&lt;&gt;"",EDATE($D130,Milestones!$AA$163)&gt;=$T130),$W130,IF(AND($S130&lt;&gt;"",EDATE($D130,Milestones!$AA$163)&gt;=$S130),$V130,$U130)))=Milestones!$AB$163),UPPER(TEXT(EDATE($D130,Milestones!$AA$163),"dd mmm yy"))&amp;" "&amp;Milestones!$AB$163&amp;" "&amp;Milestones!$AC$163&amp;";  ","")&amp;IF(AND(EDATE($D130,Milestones!$AA$164)&lt;=AsOfDate,IF($R130=0,$X130,IF(AND($T130&lt;&gt;"",EDATE($D130,Milestones!$AA$164)&gt;=$T130),$W130,IF(AND($S130&lt;&gt;"",EDATE($D130,Milestones!$AA$164)&gt;=$S130),$V130,$U130)))=Milestones!$AB$164),UPPER(TEXT(EDATE($D130,Milestones!$AA$164),"dd mmm yy"))&amp;" "&amp;Milestones!$AB$164&amp;" "&amp;Milestones!$AC$164&amp;";  ","")&amp;IF(AND(EDATE($D130,Milestones!$AA$165)&lt;=AsOfDate,IF($R130=0,$X130,IF(AND($T130&lt;&gt;"",EDATE($D130,Milestones!$AA$165)&gt;=$T130),$W130,IF(AND($S130&lt;&gt;"",EDATE($D130,Milestones!$AA$165)&gt;=$S130),$V130,$U130)))=Milestones!$AB$165),UPPER(TEXT(EDATE($D130,Milestones!$AA$165),"dd mmm yy"))&amp;" "&amp;Milestones!$AB$165&amp;" "&amp;Milestones!$AC$165&amp;";  ","")&amp;IF(AND(EDATE($D130,Milestones!$AA$166)&lt;=AsOfDate,IF($R130=0,$X130,IF(AND($T130&lt;&gt;"",EDATE($D130,Milestones!$AA$166)&gt;=$T130),$W130,IF(AND($S130&lt;&gt;"",EDATE($D130,Milestones!$AA$166)&gt;=$S130),$V130,$U130)))=Milestones!$AB$166),UPPER(TEXT(EDATE($D130,Milestones!$AA$166),"dd mmm yy"))&amp;" "&amp;Milestones!$AB$166&amp;" "&amp;Milestones!$AC$166&amp;";  ","")&amp;IF(AND(EDATE($D130,Milestones!$AA$167)&lt;=AsOfDate,IF($R130=0,$X130,IF(AND($T130&lt;&gt;"",EDATE($D130,Milestones!$AA$167)&gt;=$T130),$W130,IF(AND($S130&lt;&gt;"",EDATE($D130,Milestones!$AA$167)&gt;=$S130),$V130,$U130)))=Milestones!$AB$167),UPPER(TEXT(EDATE($D130,Milestones!$AA$167),"dd mmm yy"))&amp;" "&amp;Milestones!$AB$167&amp;" "&amp;Milestones!$AC$167&amp;";  ","")&amp;IF(AND(EDATE($D130,Milestones!$AA$168)&lt;=AsOfDate,IF($R130=0,$X130,IF(AND($T130&lt;&gt;"",EDATE($D130,Milestones!$AA$168)&gt;=$T130),$W130,IF(AND($S130&lt;&gt;"",EDATE($D130,Milestones!$AA$168)&gt;=$S130),$V130,$U130)))=Milestones!$AB$168),UPPER(TEXT(EDATE($D130,Milestones!$AA$168),"dd mmm yy"))&amp;" "&amp;Milestones!$AB$168&amp;" "&amp;Milestones!$AC$168&amp;";  ","")&amp;IF(AND(EDATE($D130,Milestones!$AA$169)&lt;=AsOfDate,IF($R130=0,$X130,IF(AND($T130&lt;&gt;"",EDATE($D130,Milestones!$AA$169)&gt;=$T130),$W130,IF(AND($S130&lt;&gt;"",EDATE($D130,Milestones!$AA$169)&gt;=$S130),$V130,$U130)))=Milestones!$AB$169),UPPER(TEXT(EDATE($D130,Milestones!$AA$169),"dd mmm yy"))&amp;" "&amp;Milestones!$AB$169&amp;" "&amp;Milestones!$AC$169&amp;";  ","")&amp;IF(AND(EDATE($D130,Milestones!$AA$170)&lt;=AsOfDate,IF($R130=0,$X130,IF(AND($T130&lt;&gt;"",EDATE($D130,Milestones!$AA$170)&gt;=$T130),$W130,IF(AND($S130&lt;&gt;"",EDATE($D130,Milestones!$AA$170)&gt;=$S130),$V130,$U130)))=Milestones!$AB$170),UPPER(TEXT(EDATE($D130,Milestones!$AA$170),"dd mmm yy"))&amp;" "&amp;Milestones!$AB$170&amp;" "&amp;Milestones!$AC$170&amp;";  ","")&amp;IF(AND(EDATE($D130,Milestones!$AA$171)&lt;=AsOfDate,IF($R130=0,$X130,IF(AND($T130&lt;&gt;"",EDATE($D130,Milestones!$AA$171)&gt;=$T130),$W130,IF(AND($S130&lt;&gt;"",EDATE($D130,Milestones!$AA$171)&gt;=$S130),$V130,$U130)))=Milestones!$AB$171),UPPER(TEXT(EDATE($D130,Milestones!$AA$171),"dd mmm yy"))&amp;" "&amp;Milestones!$AB$171&amp;" "&amp;Milestones!$AC$171&amp;";  ","")&amp;IF(AND(EDATE($D130,Milestones!$AA$172)&lt;=AsOfDate,IF($R130=0,$X130,IF(AND($T130&lt;&gt;"",EDATE($D130,Milestones!$AA$172)&gt;=$T130),$W130,IF(AND($S130&lt;&gt;"",EDATE($D130,Milestones!$AA$172)&gt;=$S130),$V130,$U130)))=Milestones!$AB$172),UPPER(TEXT(EDATE($D130,Milestones!$AA$172),"dd mmm yy"))&amp;" "&amp;Milestones!$AB$172&amp;" "&amp;Milestones!$AC$172&amp;";  ","")&amp;IF(AND(EDATE($D130,Milestones!$AA$173)&lt;=AsOfDate,IF($R130=0,$X130,IF(AND($T130&lt;&gt;"",EDATE($D130,Milestones!$AA$173)&gt;=$T130),$W130,IF(AND($S130&lt;&gt;"",EDATE($D130,Milestones!$AA$173)&gt;=$S130),$V130,$U130)))=Milestones!$AB$173),UPPER(TEXT(EDATE($D130,Milestones!$AA$173),"dd mmm yy"))&amp;" "&amp;Milestones!$AB$173&amp;" "&amp;Milestones!$AC$173&amp;";  ","")&amp;IF(AND(EDATE($D130,Milestones!$AA$174)&lt;=AsOfDate,IF($R130=0,$X130,IF(AND($T130&lt;&gt;"",EDATE($D130,Milestones!$AA$174)&gt;=$T130),$W130,IF(AND($S130&lt;&gt;"",EDATE($D130,Milestones!$AA$174)&gt;=$S130),$V130,$U130)))=Milestones!$AB$174),UPPER(TEXT(EDATE($D130,Milestones!$AA$174),"dd mmm yy"))&amp;" "&amp;Milestones!$AB$174&amp;" "&amp;Milestones!$AC$174&amp;";  ","")&amp;IF(AND(EDATE($D130,Milestones!$AA$175)&lt;=AsOfDate,IF($R130=0,$X130,IF(AND($T130&lt;&gt;"",EDATE($D130,Milestones!$AA$175)&gt;=$T130),$W130,IF(AND($S130&lt;&gt;"",EDATE($D130,Milestones!$AA$175)&gt;=$S130),$V130,$U130)))=Milestones!$AB$175),UPPER(TEXT(EDATE($D130,Milestones!$AA$175),"dd mmm yy"))&amp;" "&amp;Milestones!$AB$175&amp;" "&amp;Milestones!$AC$175&amp;";  ","")&amp;IF(AND(EDATE($D130,Milestones!$AA$176)&lt;=AsOfDate,IF($R130=0,$X130,IF(AND($T130&lt;&gt;"",EDATE($D130,Milestones!$AA$176)&gt;=$T130),$W130,IF(AND($S130&lt;&gt;"",EDATE($D130,Milestones!$AA$176)&gt;=$S130),$V130,$U130)))=Milestones!$AB$176),UPPER(TEXT(EDATE($D130,Milestones!$AA$176),"dd mmm yy"))&amp;" "&amp;Milestones!$AB$176&amp;" "&amp;Milestones!$AC$176&amp;";  ","")&amp;IF(AND(EDATE($D130,Milestones!$AA$177)&lt;=AsOfDate,IF($R130=0,$X130,IF(AND($T130&lt;&gt;"",EDATE($D130,Milestones!$AA$177)&gt;=$T130),$W130,IF(AND($S130&lt;&gt;"",EDATE($D130,Milestones!$AA$177)&gt;=$S130),$V130,$U130)))=Milestones!$AB$177),UPPER(TEXT(EDATE($D130,Milestones!$AA$177),"dd mmm yy"))&amp;" "&amp;Milestones!$AB$177&amp;" "&amp;Milestones!$AC$177&amp;";  ","")&amp;IF(AND(EDATE($D130,Milestones!$AA$178)&lt;=AsOfDate,IF($R130=0,$X130,IF(AND($T130&lt;&gt;"",EDATE($D130,Milestones!$AA$178)&gt;=$T130),$W130,IF(AND($S130&lt;&gt;"",EDATE($D130,Milestones!$AA$178)&gt;=$S130),$V130,$U130)))=Milestones!$AB$178),UPPER(TEXT(EDATE($D130,Milestones!$AA$178),"dd mmm yy"))&amp;" "&amp;Milestones!$AB$178&amp;" "&amp;Milestones!$AC$178&amp;";  ","")&amp;IF(AND(EDATE($D130,Milestones!$AA$179)&lt;=AsOfDate,IF($R130=0,$X130,IF(AND($T130&lt;&gt;"",EDATE($D130,Milestones!$AA$179)&gt;=$T130),$W130,IF(AND($S130&lt;&gt;"",EDATE($D130,Milestones!$AA$179)&gt;=$S130),$V130,$U130)))=Milestones!$AB$179),UPPER(TEXT(EDATE($D130,Milestones!$AA$179),"dd mmm yy"))&amp;" "&amp;Milestones!$AB$179&amp;" "&amp;Milestones!$AC$179&amp;";  ",""))</f>
        <v/>
      </c>
      <c r="Q130" s="0" t="str">
        <f aca="false">IF(OR($A130="",$D130=""),"",IF(AND(EDATE($D130,Milestones!$AA$180)&lt;=AsOfDate,IF($R130=0,$X130,IF(AND($T130&lt;&gt;"",EDATE($D130,Milestones!$AA$180)&gt;=$T130),$W130,IF(AND($S130&lt;&gt;"",EDATE($D130,Milestones!$AA$180)&gt;=$S130),$V130,$U130)))=Milestones!$AB$180),UPPER(TEXT(EDATE($D130,Milestones!$AA$180),"dd mmm yy"))&amp;" "&amp;Milestones!$AB$180&amp;" "&amp;Milestones!$AC$180&amp;";  ","")&amp;IF(AND(EDATE($D130,Milestones!$AA$181)&lt;=AsOfDate,IF($R130=0,$X130,IF(AND($T130&lt;&gt;"",EDATE($D130,Milestones!$AA$181)&gt;=$T130),$W130,IF(AND($S130&lt;&gt;"",EDATE($D130,Milestones!$AA$181)&gt;=$S130),$V130,$U130)))=Milestones!$AB$181),UPPER(TEXT(EDATE($D130,Milestones!$AA$181),"dd mmm yy"))&amp;" "&amp;Milestones!$AB$181&amp;" "&amp;Milestones!$AC$181&amp;";  ","")&amp;IF(AND(EDATE($D130,Milestones!$AA$182)&lt;=AsOfDate,IF($R130=0,$X130,IF(AND($T130&lt;&gt;"",EDATE($D130,Milestones!$AA$182)&gt;=$T130),$W130,IF(AND($S130&lt;&gt;"",EDATE($D130,Milestones!$AA$182)&gt;=$S130),$V130,$U130)))=Milestones!$AB$182),UPPER(TEXT(EDATE($D130,Milestones!$AA$182),"dd mmm yy"))&amp;" "&amp;Milestones!$AB$182&amp;" "&amp;Milestones!$AC$182&amp;";  ","")&amp;IF(AND(EDATE($D130,Milestones!$AA$183)&lt;=AsOfDate,IF($R130=0,$X130,IF(AND($T130&lt;&gt;"",EDATE($D130,Milestones!$AA$183)&gt;=$T130),$W130,IF(AND($S130&lt;&gt;"",EDATE($D130,Milestones!$AA$183)&gt;=$S130),$V130,$U130)))=Milestones!$AB$183),UPPER(TEXT(EDATE($D130,Milestones!$AA$183),"dd mmm yy"))&amp;" "&amp;Milestones!$AB$183&amp;" "&amp;Milestones!$AC$183&amp;";  ","")&amp;IF(AND(EDATE($D130,Milestones!$AA$184)&lt;=AsOfDate,IF($R130=0,$X130,IF(AND($T130&lt;&gt;"",EDATE($D130,Milestones!$AA$184)&gt;=$T130),$W130,IF(AND($S130&lt;&gt;"",EDATE($D130,Milestones!$AA$184)&gt;=$S130),$V130,$U130)))=Milestones!$AB$184),UPPER(TEXT(EDATE($D130,Milestones!$AA$184),"dd mmm yy"))&amp;" "&amp;Milestones!$AB$184&amp;" "&amp;Milestones!$AC$184&amp;";  ","")&amp;IF(AND(EDATE($D130,Milestones!$AA$185)&lt;=AsOfDate,IF($R130=0,$X130,IF(AND($T130&lt;&gt;"",EDATE($D130,Milestones!$AA$185)&gt;=$T130),$W130,IF(AND($S130&lt;&gt;"",EDATE($D130,Milestones!$AA$185)&gt;=$S130),$V130,$U130)))=Milestones!$AB$185),UPPER(TEXT(EDATE($D130,Milestones!$AA$185),"dd mmm yy"))&amp;" "&amp;Milestones!$AB$185&amp;" "&amp;Milestones!$AC$185&amp;";  ","")&amp;IF(AND(EDATE($D130,Milestones!$AA$186)&lt;=AsOfDate,IF($R130=0,$X130,IF(AND($T130&lt;&gt;"",EDATE($D130,Milestones!$AA$186)&gt;=$T130),$W130,IF(AND($S130&lt;&gt;"",EDATE($D130,Milestones!$AA$186)&gt;=$S130),$V130,$U130)))=Milestones!$AB$186),UPPER(TEXT(EDATE($D130,Milestones!$AA$186),"dd mmm yy"))&amp;" "&amp;Milestones!$AB$186&amp;" "&amp;Milestones!$AC$186&amp;";  ","")&amp;IF(AND(EDATE($D130,Milestones!$AA$187)&lt;=AsOfDate,IF($R130=0,$X130,IF(AND($T130&lt;&gt;"",EDATE($D130,Milestones!$AA$187)&gt;=$T130),$W130,IF(AND($S130&lt;&gt;"",EDATE($D130,Milestones!$AA$187)&gt;=$S130),$V130,$U130)))=Milestones!$AB$187),UPPER(TEXT(EDATE($D130,Milestones!$AA$187),"dd mmm yy"))&amp;" "&amp;Milestones!$AB$187&amp;" "&amp;Milestones!$AC$187&amp;";  ","")&amp;IF(AND(EDATE($D130,Milestones!$AA$188)&lt;=AsOfDate,IF($R130=0,$X130,IF(AND($T130&lt;&gt;"",EDATE($D130,Milestones!$AA$188)&gt;=$T130),$W130,IF(AND($S130&lt;&gt;"",EDATE($D130,Milestones!$AA$188)&gt;=$S130),$V130,$U130)))=Milestones!$AB$188),UPPER(TEXT(EDATE($D130,Milestones!$AA$188),"dd mmm yy"))&amp;" "&amp;Milestones!$AB$188&amp;" "&amp;Milestones!$AC$188&amp;";  ","")&amp;IF(AND(EDATE($D130,Milestones!$AA$189)&lt;=AsOfDate,IF($R130=0,$X130,IF(AND($T130&lt;&gt;"",EDATE($D130,Milestones!$AA$189)&gt;=$T130),$W130,IF(AND($S130&lt;&gt;"",EDATE($D130,Milestones!$AA$189)&gt;=$S130),$V130,$U130)))=Milestones!$AB$189),UPPER(TEXT(EDATE($D130,Milestones!$AA$189),"dd mmm yy"))&amp;" "&amp;Milestones!$AB$189&amp;" "&amp;Milestones!$AC$189&amp;";  ","")&amp;IF(AND(EDATE($D130,Milestones!$AA$190)&lt;=AsOfDate,IF($R130=0,$X130,IF(AND($T130&lt;&gt;"",EDATE($D130,Milestones!$AA$190)&gt;=$T130),$W130,IF(AND($S130&lt;&gt;"",EDATE($D130,Milestones!$AA$190)&gt;=$S130),$V130,$U130)))=Milestones!$AB$190),UPPER(TEXT(EDATE($D130,Milestones!$AA$190),"dd mmm yy"))&amp;" "&amp;Milestones!$AB$190&amp;" "&amp;Milestones!$AC$190&amp;";  ","")&amp;IF(AND(EDATE($D130,Milestones!$AA$191)&lt;=AsOfDate,IF($R130=0,$X130,IF(AND($T130&lt;&gt;"",EDATE($D130,Milestones!$AA$191)&gt;=$T130),$W130,IF(AND($S130&lt;&gt;"",EDATE($D130,Milestones!$AA$191)&gt;=$S130),$V130,$U130)))=Milestones!$AB$191),UPPER(TEXT(EDATE($D130,Milestones!$AA$191),"dd mmm yy"))&amp;" "&amp;Milestones!$AB$191&amp;" "&amp;Milestones!$AC$191&amp;";  ","")&amp;IF(AND(EDATE($D130,Milestones!$AA$192)&lt;=AsOfDate,IF($R130=0,$X130,IF(AND($T130&lt;&gt;"",EDATE($D130,Milestones!$AA$192)&gt;=$T130),$W130,IF(AND($S130&lt;&gt;"",EDATE($D130,Milestones!$AA$192)&gt;=$S130),$V130,$U130)))=Milestones!$AB$192),UPPER(TEXT(EDATE($D130,Milestones!$AA$192),"dd mmm yy"))&amp;" "&amp;Milestones!$AB$192&amp;" "&amp;Milestones!$AC$192&amp;";  ","")&amp;IF(AND(EDATE($D130,Milestones!$AA$193)&lt;=AsOfDate,IF($R130=0,$X130,IF(AND($T130&lt;&gt;"",EDATE($D130,Milestones!$AA$193)&gt;=$T130),$W130,IF(AND($S130&lt;&gt;"",EDATE($D130,Milestones!$AA$193)&gt;=$S130),$V130,$U130)))=Milestones!$AB$193),UPPER(TEXT(EDATE($D130,Milestones!$AA$193),"dd mmm yy"))&amp;" "&amp;Milestones!$AB$193&amp;" "&amp;Milestones!$AC$193&amp;";  ","")&amp;IF(AND(EDATE($D130,Milestones!$AA$194)&lt;=AsOfDate,IF($R130=0,$X130,IF(AND($T130&lt;&gt;"",EDATE($D130,Milestones!$AA$194)&gt;=$T130),$W130,IF(AND($S130&lt;&gt;"",EDATE($D130,Milestones!$AA$194)&gt;=$S130),$V130,$U130)))=Milestones!$AB$194),UPPER(TEXT(EDATE($D130,Milestones!$AA$194),"dd mmm yy"))&amp;" "&amp;Milestones!$AB$194&amp;" "&amp;Milestones!$AC$194&amp;";  ","")&amp;IF(AND(EDATE($D130,Milestones!$AA$195)&lt;=AsOfDate,IF($R130=0,$X130,IF(AND($T130&lt;&gt;"",EDATE($D130,Milestones!$AA$195)&gt;=$T130),$W130,IF(AND($S130&lt;&gt;"",EDATE($D130,Milestones!$AA$195)&gt;=$S130),$V130,$U130)))=Milestones!$AB$195),UPPER(TEXT(EDATE($D130,Milestones!$AA$195),"dd mmm yy"))&amp;" "&amp;Milestones!$AB$195&amp;" "&amp;Milestones!$AC$195&amp;";  ","")&amp;IF(AND(EDATE($D130,Milestones!$AA$196)&lt;=AsOfDate,IF($R130=0,$X130,IF(AND($T130&lt;&gt;"",EDATE($D130,Milestones!$AA$196)&gt;=$T130),$W130,IF(AND($S130&lt;&gt;"",EDATE($D130,Milestones!$AA$196)&gt;=$S130),$V130,$U130)))=Milestones!$AB$196),UPPER(TEXT(EDATE($D130,Milestones!$AA$196),"dd mmm yy"))&amp;" "&amp;Milestones!$AB$196&amp;" "&amp;Milestones!$AC$196&amp;";  ","")&amp;IF(AND(EDATE($D130,Milestones!$AA$197)&lt;=AsOfDate,IF($R130=0,$X130,IF(AND($T130&lt;&gt;"",EDATE($D130,Milestones!$AA$197)&gt;=$T130),$W130,IF(AND($S130&lt;&gt;"",EDATE($D130,Milestones!$AA$197)&gt;=$S130),$V130,$U130)))=Milestones!$AB$197),UPPER(TEXT(EDATE($D130,Milestones!$AA$197),"dd mmm yy"))&amp;" "&amp;Milestones!$AB$197&amp;" "&amp;Milestones!$AC$197&amp;";  ","")&amp;IF(AND(EDATE($D130,Milestones!$AA$198)&lt;=AsOfDate,IF($R130=0,$X130,IF(AND($T130&lt;&gt;"",EDATE($D130,Milestones!$AA$198)&gt;=$T130),$W130,IF(AND($S130&lt;&gt;"",EDATE($D130,Milestones!$AA$198)&gt;=$S130),$V130,$U130)))=Milestones!$AB$198),UPPER(TEXT(EDATE($D130,Milestones!$AA$198),"dd mmm yy"))&amp;" "&amp;Milestones!$AB$198&amp;" "&amp;Milestones!$AC$198&amp;";  ","")&amp;IF(AND(EDATE($D130,Milestones!$AA$199)&lt;=AsOfDate,IF($R130=0,$X130,IF(AND($T130&lt;&gt;"",EDATE($D130,Milestones!$AA$199)&gt;=$T130),$W130,IF(AND($S130&lt;&gt;"",EDATE($D130,Milestones!$AA$199)&gt;=$S130),$V130,$U130)))=Milestones!$AB$199),UPPER(TEXT(EDATE($D130,Milestones!$AA$199),"dd mmm yy"))&amp;" "&amp;Milestones!$AB$199&amp;" "&amp;Milestones!$AC$199&amp;";  ",""))</f>
        <v/>
      </c>
      <c r="R130" s="0" t="str">
        <f aca="false">IF(Staff!$A130="","",Staff!$AI130)</f>
        <v/>
      </c>
      <c r="S130" s="0" t="str">
        <f aca="false">IF(Staff!$A130="","",Staff!$AK130)</f>
        <v/>
      </c>
      <c r="T130" s="0" t="str">
        <f aca="false">IF(Staff!$A130="","",Staff!$AL130)</f>
        <v/>
      </c>
      <c r="U130" s="0" t="str">
        <f aca="false">IF(Staff!$A130="","",Staff!$AP130)</f>
        <v/>
      </c>
      <c r="V130" s="0" t="str">
        <f aca="false">IF(Staff!$A130="","",Staff!$AQ130)</f>
        <v/>
      </c>
      <c r="W130" s="0" t="str">
        <f aca="false">IF(Staff!$A130="","",Staff!$AR130)</f>
        <v/>
      </c>
      <c r="X130" s="0" t="str">
        <f aca="false">IF(Staff!$A130="","",Staff!$AS130)</f>
        <v/>
      </c>
    </row>
    <row r="131" customFormat="false" ht="15" hidden="false" customHeight="false" outlineLevel="0" collapsed="false">
      <c r="A131" s="19" t="str">
        <f aca="false">IF(Staff!$A131="","",Staff!$A131)</f>
        <v/>
      </c>
      <c r="B131" s="19" t="str">
        <f aca="false">IF(Staff!$A131="","",Staff!$B131)</f>
        <v/>
      </c>
      <c r="C131" s="19" t="str">
        <f aca="false">IF(Staff!$A131="","",Staff!$C131)</f>
        <v/>
      </c>
      <c r="D131" s="17" t="str">
        <f aca="false">IF(Staff!$A131="","",Staff!$AH131)</f>
        <v/>
      </c>
      <c r="E131" s="19" t="str">
        <f aca="false">IF(Staff!$A131="","",Staff!$O131)</f>
        <v/>
      </c>
      <c r="F131" s="19" t="str">
        <f aca="false">IF(E131="","",E131*HoursPerDay)</f>
        <v/>
      </c>
      <c r="G131" s="19" t="str">
        <f aca="false">IF(Staff!$A131="","",Staff!$AE131)</f>
        <v/>
      </c>
      <c r="H131" s="32" t="str">
        <f aca="false">IF($A131="","",I131&amp;J131&amp;K131&amp;L131&amp;M131&amp;N131&amp;O131&amp;P131&amp;Q131)</f>
        <v/>
      </c>
      <c r="I131" s="0" t="str">
        <f aca="false">IF(OR($A131="",$D131=""),"",IF(AND(EDATE($D131,Milestones!$AA$20)&lt;=AsOfDate,IF($R131=0,$X131,IF(AND($T131&lt;&gt;"",EDATE($D131,Milestones!$AA$20)&gt;=$T131),$W131,IF(AND($S131&lt;&gt;"",EDATE($D131,Milestones!$AA$20)&gt;=$S131),$V131,$U131)))=Milestones!$AB$20),UPPER(TEXT(EDATE($D131,Milestones!$AA$20),"dd mmm yy"))&amp;" "&amp;Milestones!$AB$20&amp;" "&amp;Milestones!$AC$20&amp;";  ","")&amp;IF(AND(EDATE($D131,Milestones!$AA$21)&lt;=AsOfDate,IF($R131=0,$X131,IF(AND($T131&lt;&gt;"",EDATE($D131,Milestones!$AA$21)&gt;=$T131),$W131,IF(AND($S131&lt;&gt;"",EDATE($D131,Milestones!$AA$21)&gt;=$S131),$V131,$U131)))=Milestones!$AB$21),UPPER(TEXT(EDATE($D131,Milestones!$AA$21),"dd mmm yy"))&amp;" "&amp;Milestones!$AB$21&amp;" "&amp;Milestones!$AC$21&amp;";  ","")&amp;IF(AND(EDATE($D131,Milestones!$AA$22)&lt;=AsOfDate,IF($R131=0,$X131,IF(AND($T131&lt;&gt;"",EDATE($D131,Milestones!$AA$22)&gt;=$T131),$W131,IF(AND($S131&lt;&gt;"",EDATE($D131,Milestones!$AA$22)&gt;=$S131),$V131,$U131)))=Milestones!$AB$22),UPPER(TEXT(EDATE($D131,Milestones!$AA$22),"dd mmm yy"))&amp;" "&amp;Milestones!$AB$22&amp;" "&amp;Milestones!$AC$22&amp;";  ","")&amp;IF(AND(EDATE($D131,Milestones!$AA$23)&lt;=AsOfDate,IF($R131=0,$X131,IF(AND($T131&lt;&gt;"",EDATE($D131,Milestones!$AA$23)&gt;=$T131),$W131,IF(AND($S131&lt;&gt;"",EDATE($D131,Milestones!$AA$23)&gt;=$S131),$V131,$U131)))=Milestones!$AB$23),UPPER(TEXT(EDATE($D131,Milestones!$AA$23),"dd mmm yy"))&amp;" "&amp;Milestones!$AB$23&amp;" "&amp;Milestones!$AC$23&amp;";  ","")&amp;IF(AND(EDATE($D131,Milestones!$AA$24)&lt;=AsOfDate,IF($R131=0,$X131,IF(AND($T131&lt;&gt;"",EDATE($D131,Milestones!$AA$24)&gt;=$T131),$W131,IF(AND($S131&lt;&gt;"",EDATE($D131,Milestones!$AA$24)&gt;=$S131),$V131,$U131)))=Milestones!$AB$24),UPPER(TEXT(EDATE($D131,Milestones!$AA$24),"dd mmm yy"))&amp;" "&amp;Milestones!$AB$24&amp;" "&amp;Milestones!$AC$24&amp;";  ","")&amp;IF(AND(EDATE($D131,Milestones!$AA$25)&lt;=AsOfDate,IF($R131=0,$X131,IF(AND($T131&lt;&gt;"",EDATE($D131,Milestones!$AA$25)&gt;=$T131),$W131,IF(AND($S131&lt;&gt;"",EDATE($D131,Milestones!$AA$25)&gt;=$S131),$V131,$U131)))=Milestones!$AB$25),UPPER(TEXT(EDATE($D131,Milestones!$AA$25),"dd mmm yy"))&amp;" "&amp;Milestones!$AB$25&amp;" "&amp;Milestones!$AC$25&amp;";  ","")&amp;IF(AND(EDATE($D131,Milestones!$AA$26)&lt;=AsOfDate,IF($R131=0,$X131,IF(AND($T131&lt;&gt;"",EDATE($D131,Milestones!$AA$26)&gt;=$T131),$W131,IF(AND($S131&lt;&gt;"",EDATE($D131,Milestones!$AA$26)&gt;=$S131),$V131,$U131)))=Milestones!$AB$26),UPPER(TEXT(EDATE($D131,Milestones!$AA$26),"dd mmm yy"))&amp;" "&amp;Milestones!$AB$26&amp;" "&amp;Milestones!$AC$26&amp;";  ","")&amp;IF(AND(EDATE($D131,Milestones!$AA$27)&lt;=AsOfDate,IF($R131=0,$X131,IF(AND($T131&lt;&gt;"",EDATE($D131,Milestones!$AA$27)&gt;=$T131),$W131,IF(AND($S131&lt;&gt;"",EDATE($D131,Milestones!$AA$27)&gt;=$S131),$V131,$U131)))=Milestones!$AB$27),UPPER(TEXT(EDATE($D131,Milestones!$AA$27),"dd mmm yy"))&amp;" "&amp;Milestones!$AB$27&amp;" "&amp;Milestones!$AC$27&amp;";  ","")&amp;IF(AND(EDATE($D131,Milestones!$AA$28)&lt;=AsOfDate,IF($R131=0,$X131,IF(AND($T131&lt;&gt;"",EDATE($D131,Milestones!$AA$28)&gt;=$T131),$W131,IF(AND($S131&lt;&gt;"",EDATE($D131,Milestones!$AA$28)&gt;=$S131),$V131,$U131)))=Milestones!$AB$28),UPPER(TEXT(EDATE($D131,Milestones!$AA$28),"dd mmm yy"))&amp;" "&amp;Milestones!$AB$28&amp;" "&amp;Milestones!$AC$28&amp;";  ","")&amp;IF(AND(EDATE($D131,Milestones!$AA$29)&lt;=AsOfDate,IF($R131=0,$X131,IF(AND($T131&lt;&gt;"",EDATE($D131,Milestones!$AA$29)&gt;=$T131),$W131,IF(AND($S131&lt;&gt;"",EDATE($D131,Milestones!$AA$29)&gt;=$S131),$V131,$U131)))=Milestones!$AB$29),UPPER(TEXT(EDATE($D131,Milestones!$AA$29),"dd mmm yy"))&amp;" "&amp;Milestones!$AB$29&amp;" "&amp;Milestones!$AC$29&amp;";  ","")&amp;IF(AND(EDATE($D131,Milestones!$AA$30)&lt;=AsOfDate,IF($R131=0,$X131,IF(AND($T131&lt;&gt;"",EDATE($D131,Milestones!$AA$30)&gt;=$T131),$W131,IF(AND($S131&lt;&gt;"",EDATE($D131,Milestones!$AA$30)&gt;=$S131),$V131,$U131)))=Milestones!$AB$30),UPPER(TEXT(EDATE($D131,Milestones!$AA$30),"dd mmm yy"))&amp;" "&amp;Milestones!$AB$30&amp;" "&amp;Milestones!$AC$30&amp;";  ","")&amp;IF(AND(EDATE($D131,Milestones!$AA$31)&lt;=AsOfDate,IF($R131=0,$X131,IF(AND($T131&lt;&gt;"",EDATE($D131,Milestones!$AA$31)&gt;=$T131),$W131,IF(AND($S131&lt;&gt;"",EDATE($D131,Milestones!$AA$31)&gt;=$S131),$V131,$U131)))=Milestones!$AB$31),UPPER(TEXT(EDATE($D131,Milestones!$AA$31),"dd mmm yy"))&amp;" "&amp;Milestones!$AB$31&amp;" "&amp;Milestones!$AC$31&amp;";  ","")&amp;IF(AND(EDATE($D131,Milestones!$AA$32)&lt;=AsOfDate,IF($R131=0,$X131,IF(AND($T131&lt;&gt;"",EDATE($D131,Milestones!$AA$32)&gt;=$T131),$W131,IF(AND($S131&lt;&gt;"",EDATE($D131,Milestones!$AA$32)&gt;=$S131),$V131,$U131)))=Milestones!$AB$32),UPPER(TEXT(EDATE($D131,Milestones!$AA$32),"dd mmm yy"))&amp;" "&amp;Milestones!$AB$32&amp;" "&amp;Milestones!$AC$32&amp;";  ","")&amp;IF(AND(EDATE($D131,Milestones!$AA$33)&lt;=AsOfDate,IF($R131=0,$X131,IF(AND($T131&lt;&gt;"",EDATE($D131,Milestones!$AA$33)&gt;=$T131),$W131,IF(AND($S131&lt;&gt;"",EDATE($D131,Milestones!$AA$33)&gt;=$S131),$V131,$U131)))=Milestones!$AB$33),UPPER(TEXT(EDATE($D131,Milestones!$AA$33),"dd mmm yy"))&amp;" "&amp;Milestones!$AB$33&amp;" "&amp;Milestones!$AC$33&amp;";  ","")&amp;IF(AND(EDATE($D131,Milestones!$AA$34)&lt;=AsOfDate,IF($R131=0,$X131,IF(AND($T131&lt;&gt;"",EDATE($D131,Milestones!$AA$34)&gt;=$T131),$W131,IF(AND($S131&lt;&gt;"",EDATE($D131,Milestones!$AA$34)&gt;=$S131),$V131,$U131)))=Milestones!$AB$34),UPPER(TEXT(EDATE($D131,Milestones!$AA$34),"dd mmm yy"))&amp;" "&amp;Milestones!$AB$34&amp;" "&amp;Milestones!$AC$34&amp;";  ","")&amp;IF(AND(EDATE($D131,Milestones!$AA$35)&lt;=AsOfDate,IF($R131=0,$X131,IF(AND($T131&lt;&gt;"",EDATE($D131,Milestones!$AA$35)&gt;=$T131),$W131,IF(AND($S131&lt;&gt;"",EDATE($D131,Milestones!$AA$35)&gt;=$S131),$V131,$U131)))=Milestones!$AB$35),UPPER(TEXT(EDATE($D131,Milestones!$AA$35),"dd mmm yy"))&amp;" "&amp;Milestones!$AB$35&amp;" "&amp;Milestones!$AC$35&amp;";  ","")&amp;IF(AND(EDATE($D131,Milestones!$AA$36)&lt;=AsOfDate,IF($R131=0,$X131,IF(AND($T131&lt;&gt;"",EDATE($D131,Milestones!$AA$36)&gt;=$T131),$W131,IF(AND($S131&lt;&gt;"",EDATE($D131,Milestones!$AA$36)&gt;=$S131),$V131,$U131)))=Milestones!$AB$36),UPPER(TEXT(EDATE($D131,Milestones!$AA$36),"dd mmm yy"))&amp;" "&amp;Milestones!$AB$36&amp;" "&amp;Milestones!$AC$36&amp;";  ","")&amp;IF(AND(EDATE($D131,Milestones!$AA$37)&lt;=AsOfDate,IF($R131=0,$X131,IF(AND($T131&lt;&gt;"",EDATE($D131,Milestones!$AA$37)&gt;=$T131),$W131,IF(AND($S131&lt;&gt;"",EDATE($D131,Milestones!$AA$37)&gt;=$S131),$V131,$U131)))=Milestones!$AB$37),UPPER(TEXT(EDATE($D131,Milestones!$AA$37),"dd mmm yy"))&amp;" "&amp;Milestones!$AB$37&amp;" "&amp;Milestones!$AC$37&amp;";  ","")&amp;IF(AND(EDATE($D131,Milestones!$AA$38)&lt;=AsOfDate,IF($R131=0,$X131,IF(AND($T131&lt;&gt;"",EDATE($D131,Milestones!$AA$38)&gt;=$T131),$W131,IF(AND($S131&lt;&gt;"",EDATE($D131,Milestones!$AA$38)&gt;=$S131),$V131,$U131)))=Milestones!$AB$38),UPPER(TEXT(EDATE($D131,Milestones!$AA$38),"dd mmm yy"))&amp;" "&amp;Milestones!$AB$38&amp;" "&amp;Milestones!$AC$38&amp;";  ","")&amp;IF(AND(EDATE($D131,Milestones!$AA$39)&lt;=AsOfDate,IF($R131=0,$X131,IF(AND($T131&lt;&gt;"",EDATE($D131,Milestones!$AA$39)&gt;=$T131),$W131,IF(AND($S131&lt;&gt;"",EDATE($D131,Milestones!$AA$39)&gt;=$S131),$V131,$U131)))=Milestones!$AB$39),UPPER(TEXT(EDATE($D131,Milestones!$AA$39),"dd mmm yy"))&amp;" "&amp;Milestones!$AB$39&amp;" "&amp;Milestones!$AC$39&amp;";  ",""))</f>
        <v/>
      </c>
      <c r="J131" s="0" t="str">
        <f aca="false">IF(OR($A131="",$D131=""),"",IF(AND(EDATE($D131,Milestones!$AA$40)&lt;=AsOfDate,IF($R131=0,$X131,IF(AND($T131&lt;&gt;"",EDATE($D131,Milestones!$AA$40)&gt;=$T131),$W131,IF(AND($S131&lt;&gt;"",EDATE($D131,Milestones!$AA$40)&gt;=$S131),$V131,$U131)))=Milestones!$AB$40),UPPER(TEXT(EDATE($D131,Milestones!$AA$40),"dd mmm yy"))&amp;" "&amp;Milestones!$AB$40&amp;" "&amp;Milestones!$AC$40&amp;";  ","")&amp;IF(AND(EDATE($D131,Milestones!$AA$41)&lt;=AsOfDate,IF($R131=0,$X131,IF(AND($T131&lt;&gt;"",EDATE($D131,Milestones!$AA$41)&gt;=$T131),$W131,IF(AND($S131&lt;&gt;"",EDATE($D131,Milestones!$AA$41)&gt;=$S131),$V131,$U131)))=Milestones!$AB$41),UPPER(TEXT(EDATE($D131,Milestones!$AA$41),"dd mmm yy"))&amp;" "&amp;Milestones!$AB$41&amp;" "&amp;Milestones!$AC$41&amp;";  ","")&amp;IF(AND(EDATE($D131,Milestones!$AA$42)&lt;=AsOfDate,IF($R131=0,$X131,IF(AND($T131&lt;&gt;"",EDATE($D131,Milestones!$AA$42)&gt;=$T131),$W131,IF(AND($S131&lt;&gt;"",EDATE($D131,Milestones!$AA$42)&gt;=$S131),$V131,$U131)))=Milestones!$AB$42),UPPER(TEXT(EDATE($D131,Milestones!$AA$42),"dd mmm yy"))&amp;" "&amp;Milestones!$AB$42&amp;" "&amp;Milestones!$AC$42&amp;";  ","")&amp;IF(AND(EDATE($D131,Milestones!$AA$43)&lt;=AsOfDate,IF($R131=0,$X131,IF(AND($T131&lt;&gt;"",EDATE($D131,Milestones!$AA$43)&gt;=$T131),$W131,IF(AND($S131&lt;&gt;"",EDATE($D131,Milestones!$AA$43)&gt;=$S131),$V131,$U131)))=Milestones!$AB$43),UPPER(TEXT(EDATE($D131,Milestones!$AA$43),"dd mmm yy"))&amp;" "&amp;Milestones!$AB$43&amp;" "&amp;Milestones!$AC$43&amp;";  ","")&amp;IF(AND(EDATE($D131,Milestones!$AA$44)&lt;=AsOfDate,IF($R131=0,$X131,IF(AND($T131&lt;&gt;"",EDATE($D131,Milestones!$AA$44)&gt;=$T131),$W131,IF(AND($S131&lt;&gt;"",EDATE($D131,Milestones!$AA$44)&gt;=$S131),$V131,$U131)))=Milestones!$AB$44),UPPER(TEXT(EDATE($D131,Milestones!$AA$44),"dd mmm yy"))&amp;" "&amp;Milestones!$AB$44&amp;" "&amp;Milestones!$AC$44&amp;";  ","")&amp;IF(AND(EDATE($D131,Milestones!$AA$45)&lt;=AsOfDate,IF($R131=0,$X131,IF(AND($T131&lt;&gt;"",EDATE($D131,Milestones!$AA$45)&gt;=$T131),$W131,IF(AND($S131&lt;&gt;"",EDATE($D131,Milestones!$AA$45)&gt;=$S131),$V131,$U131)))=Milestones!$AB$45),UPPER(TEXT(EDATE($D131,Milestones!$AA$45),"dd mmm yy"))&amp;" "&amp;Milestones!$AB$45&amp;" "&amp;Milestones!$AC$45&amp;";  ","")&amp;IF(AND(EDATE($D131,Milestones!$AA$46)&lt;=AsOfDate,IF($R131=0,$X131,IF(AND($T131&lt;&gt;"",EDATE($D131,Milestones!$AA$46)&gt;=$T131),$W131,IF(AND($S131&lt;&gt;"",EDATE($D131,Milestones!$AA$46)&gt;=$S131),$V131,$U131)))=Milestones!$AB$46),UPPER(TEXT(EDATE($D131,Milestones!$AA$46),"dd mmm yy"))&amp;" "&amp;Milestones!$AB$46&amp;" "&amp;Milestones!$AC$46&amp;";  ","")&amp;IF(AND(EDATE($D131,Milestones!$AA$47)&lt;=AsOfDate,IF($R131=0,$X131,IF(AND($T131&lt;&gt;"",EDATE($D131,Milestones!$AA$47)&gt;=$T131),$W131,IF(AND($S131&lt;&gt;"",EDATE($D131,Milestones!$AA$47)&gt;=$S131),$V131,$U131)))=Milestones!$AB$47),UPPER(TEXT(EDATE($D131,Milestones!$AA$47),"dd mmm yy"))&amp;" "&amp;Milestones!$AB$47&amp;" "&amp;Milestones!$AC$47&amp;";  ","")&amp;IF(AND(EDATE($D131,Milestones!$AA$48)&lt;=AsOfDate,IF($R131=0,$X131,IF(AND($T131&lt;&gt;"",EDATE($D131,Milestones!$AA$48)&gt;=$T131),$W131,IF(AND($S131&lt;&gt;"",EDATE($D131,Milestones!$AA$48)&gt;=$S131),$V131,$U131)))=Milestones!$AB$48),UPPER(TEXT(EDATE($D131,Milestones!$AA$48),"dd mmm yy"))&amp;" "&amp;Milestones!$AB$48&amp;" "&amp;Milestones!$AC$48&amp;";  ","")&amp;IF(AND(EDATE($D131,Milestones!$AA$49)&lt;=AsOfDate,IF($R131=0,$X131,IF(AND($T131&lt;&gt;"",EDATE($D131,Milestones!$AA$49)&gt;=$T131),$W131,IF(AND($S131&lt;&gt;"",EDATE($D131,Milestones!$AA$49)&gt;=$S131),$V131,$U131)))=Milestones!$AB$49),UPPER(TEXT(EDATE($D131,Milestones!$AA$49),"dd mmm yy"))&amp;" "&amp;Milestones!$AB$49&amp;" "&amp;Milestones!$AC$49&amp;";  ","")&amp;IF(AND(EDATE($D131,Milestones!$AA$50)&lt;=AsOfDate,IF($R131=0,$X131,IF(AND($T131&lt;&gt;"",EDATE($D131,Milestones!$AA$50)&gt;=$T131),$W131,IF(AND($S131&lt;&gt;"",EDATE($D131,Milestones!$AA$50)&gt;=$S131),$V131,$U131)))=Milestones!$AB$50),UPPER(TEXT(EDATE($D131,Milestones!$AA$50),"dd mmm yy"))&amp;" "&amp;Milestones!$AB$50&amp;" "&amp;Milestones!$AC$50&amp;";  ","")&amp;IF(AND(EDATE($D131,Milestones!$AA$51)&lt;=AsOfDate,IF($R131=0,$X131,IF(AND($T131&lt;&gt;"",EDATE($D131,Milestones!$AA$51)&gt;=$T131),$W131,IF(AND($S131&lt;&gt;"",EDATE($D131,Milestones!$AA$51)&gt;=$S131),$V131,$U131)))=Milestones!$AB$51),UPPER(TEXT(EDATE($D131,Milestones!$AA$51),"dd mmm yy"))&amp;" "&amp;Milestones!$AB$51&amp;" "&amp;Milestones!$AC$51&amp;";  ","")&amp;IF(AND(EDATE($D131,Milestones!$AA$52)&lt;=AsOfDate,IF($R131=0,$X131,IF(AND($T131&lt;&gt;"",EDATE($D131,Milestones!$AA$52)&gt;=$T131),$W131,IF(AND($S131&lt;&gt;"",EDATE($D131,Milestones!$AA$52)&gt;=$S131),$V131,$U131)))=Milestones!$AB$52),UPPER(TEXT(EDATE($D131,Milestones!$AA$52),"dd mmm yy"))&amp;" "&amp;Milestones!$AB$52&amp;" "&amp;Milestones!$AC$52&amp;";  ","")&amp;IF(AND(EDATE($D131,Milestones!$AA$53)&lt;=AsOfDate,IF($R131=0,$X131,IF(AND($T131&lt;&gt;"",EDATE($D131,Milestones!$AA$53)&gt;=$T131),$W131,IF(AND($S131&lt;&gt;"",EDATE($D131,Milestones!$AA$53)&gt;=$S131),$V131,$U131)))=Milestones!$AB$53),UPPER(TEXT(EDATE($D131,Milestones!$AA$53),"dd mmm yy"))&amp;" "&amp;Milestones!$AB$53&amp;" "&amp;Milestones!$AC$53&amp;";  ","")&amp;IF(AND(EDATE($D131,Milestones!$AA$54)&lt;=AsOfDate,IF($R131=0,$X131,IF(AND($T131&lt;&gt;"",EDATE($D131,Milestones!$AA$54)&gt;=$T131),$W131,IF(AND($S131&lt;&gt;"",EDATE($D131,Milestones!$AA$54)&gt;=$S131),$V131,$U131)))=Milestones!$AB$54),UPPER(TEXT(EDATE($D131,Milestones!$AA$54),"dd mmm yy"))&amp;" "&amp;Milestones!$AB$54&amp;" "&amp;Milestones!$AC$54&amp;";  ","")&amp;IF(AND(EDATE($D131,Milestones!$AA$55)&lt;=AsOfDate,IF($R131=0,$X131,IF(AND($T131&lt;&gt;"",EDATE($D131,Milestones!$AA$55)&gt;=$T131),$W131,IF(AND($S131&lt;&gt;"",EDATE($D131,Milestones!$AA$55)&gt;=$S131),$V131,$U131)))=Milestones!$AB$55),UPPER(TEXT(EDATE($D131,Milestones!$AA$55),"dd mmm yy"))&amp;" "&amp;Milestones!$AB$55&amp;" "&amp;Milestones!$AC$55&amp;";  ","")&amp;IF(AND(EDATE($D131,Milestones!$AA$56)&lt;=AsOfDate,IF($R131=0,$X131,IF(AND($T131&lt;&gt;"",EDATE($D131,Milestones!$AA$56)&gt;=$T131),$W131,IF(AND($S131&lt;&gt;"",EDATE($D131,Milestones!$AA$56)&gt;=$S131),$V131,$U131)))=Milestones!$AB$56),UPPER(TEXT(EDATE($D131,Milestones!$AA$56),"dd mmm yy"))&amp;" "&amp;Milestones!$AB$56&amp;" "&amp;Milestones!$AC$56&amp;";  ","")&amp;IF(AND(EDATE($D131,Milestones!$AA$57)&lt;=AsOfDate,IF($R131=0,$X131,IF(AND($T131&lt;&gt;"",EDATE($D131,Milestones!$AA$57)&gt;=$T131),$W131,IF(AND($S131&lt;&gt;"",EDATE($D131,Milestones!$AA$57)&gt;=$S131),$V131,$U131)))=Milestones!$AB$57),UPPER(TEXT(EDATE($D131,Milestones!$AA$57),"dd mmm yy"))&amp;" "&amp;Milestones!$AB$57&amp;" "&amp;Milestones!$AC$57&amp;";  ","")&amp;IF(AND(EDATE($D131,Milestones!$AA$58)&lt;=AsOfDate,IF($R131=0,$X131,IF(AND($T131&lt;&gt;"",EDATE($D131,Milestones!$AA$58)&gt;=$T131),$W131,IF(AND($S131&lt;&gt;"",EDATE($D131,Milestones!$AA$58)&gt;=$S131),$V131,$U131)))=Milestones!$AB$58),UPPER(TEXT(EDATE($D131,Milestones!$AA$58),"dd mmm yy"))&amp;" "&amp;Milestones!$AB$58&amp;" "&amp;Milestones!$AC$58&amp;";  ","")&amp;IF(AND(EDATE($D131,Milestones!$AA$59)&lt;=AsOfDate,IF($R131=0,$X131,IF(AND($T131&lt;&gt;"",EDATE($D131,Milestones!$AA$59)&gt;=$T131),$W131,IF(AND($S131&lt;&gt;"",EDATE($D131,Milestones!$AA$59)&gt;=$S131),$V131,$U131)))=Milestones!$AB$59),UPPER(TEXT(EDATE($D131,Milestones!$AA$59),"dd mmm yy"))&amp;" "&amp;Milestones!$AB$59&amp;" "&amp;Milestones!$AC$59&amp;";  ",""))</f>
        <v/>
      </c>
      <c r="K131" s="0" t="str">
        <f aca="false">IF(OR($A131="",$D131=""),"",IF(AND(EDATE($D131,Milestones!$AA$60)&lt;=AsOfDate,IF($R131=0,$X131,IF(AND($T131&lt;&gt;"",EDATE($D131,Milestones!$AA$60)&gt;=$T131),$W131,IF(AND($S131&lt;&gt;"",EDATE($D131,Milestones!$AA$60)&gt;=$S131),$V131,$U131)))=Milestones!$AB$60),UPPER(TEXT(EDATE($D131,Milestones!$AA$60),"dd mmm yy"))&amp;" "&amp;Milestones!$AB$60&amp;" "&amp;Milestones!$AC$60&amp;";  ","")&amp;IF(AND(EDATE($D131,Milestones!$AA$61)&lt;=AsOfDate,IF($R131=0,$X131,IF(AND($T131&lt;&gt;"",EDATE($D131,Milestones!$AA$61)&gt;=$T131),$W131,IF(AND($S131&lt;&gt;"",EDATE($D131,Milestones!$AA$61)&gt;=$S131),$V131,$U131)))=Milestones!$AB$61),UPPER(TEXT(EDATE($D131,Milestones!$AA$61),"dd mmm yy"))&amp;" "&amp;Milestones!$AB$61&amp;" "&amp;Milestones!$AC$61&amp;";  ","")&amp;IF(AND(EDATE($D131,Milestones!$AA$62)&lt;=AsOfDate,IF($R131=0,$X131,IF(AND($T131&lt;&gt;"",EDATE($D131,Milestones!$AA$62)&gt;=$T131),$W131,IF(AND($S131&lt;&gt;"",EDATE($D131,Milestones!$AA$62)&gt;=$S131),$V131,$U131)))=Milestones!$AB$62),UPPER(TEXT(EDATE($D131,Milestones!$AA$62),"dd mmm yy"))&amp;" "&amp;Milestones!$AB$62&amp;" "&amp;Milestones!$AC$62&amp;";  ","")&amp;IF(AND(EDATE($D131,Milestones!$AA$63)&lt;=AsOfDate,IF($R131=0,$X131,IF(AND($T131&lt;&gt;"",EDATE($D131,Milestones!$AA$63)&gt;=$T131),$W131,IF(AND($S131&lt;&gt;"",EDATE($D131,Milestones!$AA$63)&gt;=$S131),$V131,$U131)))=Milestones!$AB$63),UPPER(TEXT(EDATE($D131,Milestones!$AA$63),"dd mmm yy"))&amp;" "&amp;Milestones!$AB$63&amp;" "&amp;Milestones!$AC$63&amp;";  ","")&amp;IF(AND(EDATE($D131,Milestones!$AA$64)&lt;=AsOfDate,IF($R131=0,$X131,IF(AND($T131&lt;&gt;"",EDATE($D131,Milestones!$AA$64)&gt;=$T131),$W131,IF(AND($S131&lt;&gt;"",EDATE($D131,Milestones!$AA$64)&gt;=$S131),$V131,$U131)))=Milestones!$AB$64),UPPER(TEXT(EDATE($D131,Milestones!$AA$64),"dd mmm yy"))&amp;" "&amp;Milestones!$AB$64&amp;" "&amp;Milestones!$AC$64&amp;";  ","")&amp;IF(AND(EDATE($D131,Milestones!$AA$65)&lt;=AsOfDate,IF($R131=0,$X131,IF(AND($T131&lt;&gt;"",EDATE($D131,Milestones!$AA$65)&gt;=$T131),$W131,IF(AND($S131&lt;&gt;"",EDATE($D131,Milestones!$AA$65)&gt;=$S131),$V131,$U131)))=Milestones!$AB$65),UPPER(TEXT(EDATE($D131,Milestones!$AA$65),"dd mmm yy"))&amp;" "&amp;Milestones!$AB$65&amp;" "&amp;Milestones!$AC$65&amp;";  ","")&amp;IF(AND(EDATE($D131,Milestones!$AA$66)&lt;=AsOfDate,IF($R131=0,$X131,IF(AND($T131&lt;&gt;"",EDATE($D131,Milestones!$AA$66)&gt;=$T131),$W131,IF(AND($S131&lt;&gt;"",EDATE($D131,Milestones!$AA$66)&gt;=$S131),$V131,$U131)))=Milestones!$AB$66),UPPER(TEXT(EDATE($D131,Milestones!$AA$66),"dd mmm yy"))&amp;" "&amp;Milestones!$AB$66&amp;" "&amp;Milestones!$AC$66&amp;";  ","")&amp;IF(AND(EDATE($D131,Milestones!$AA$67)&lt;=AsOfDate,IF($R131=0,$X131,IF(AND($T131&lt;&gt;"",EDATE($D131,Milestones!$AA$67)&gt;=$T131),$W131,IF(AND($S131&lt;&gt;"",EDATE($D131,Milestones!$AA$67)&gt;=$S131),$V131,$U131)))=Milestones!$AB$67),UPPER(TEXT(EDATE($D131,Milestones!$AA$67),"dd mmm yy"))&amp;" "&amp;Milestones!$AB$67&amp;" "&amp;Milestones!$AC$67&amp;";  ","")&amp;IF(AND(EDATE($D131,Milestones!$AA$68)&lt;=AsOfDate,IF($R131=0,$X131,IF(AND($T131&lt;&gt;"",EDATE($D131,Milestones!$AA$68)&gt;=$T131),$W131,IF(AND($S131&lt;&gt;"",EDATE($D131,Milestones!$AA$68)&gt;=$S131),$V131,$U131)))=Milestones!$AB$68),UPPER(TEXT(EDATE($D131,Milestones!$AA$68),"dd mmm yy"))&amp;" "&amp;Milestones!$AB$68&amp;" "&amp;Milestones!$AC$68&amp;";  ","")&amp;IF(AND(EDATE($D131,Milestones!$AA$69)&lt;=AsOfDate,IF($R131=0,$X131,IF(AND($T131&lt;&gt;"",EDATE($D131,Milestones!$AA$69)&gt;=$T131),$W131,IF(AND($S131&lt;&gt;"",EDATE($D131,Milestones!$AA$69)&gt;=$S131),$V131,$U131)))=Milestones!$AB$69),UPPER(TEXT(EDATE($D131,Milestones!$AA$69),"dd mmm yy"))&amp;" "&amp;Milestones!$AB$69&amp;" "&amp;Milestones!$AC$69&amp;";  ","")&amp;IF(AND(EDATE($D131,Milestones!$AA$70)&lt;=AsOfDate,IF($R131=0,$X131,IF(AND($T131&lt;&gt;"",EDATE($D131,Milestones!$AA$70)&gt;=$T131),$W131,IF(AND($S131&lt;&gt;"",EDATE($D131,Milestones!$AA$70)&gt;=$S131),$V131,$U131)))=Milestones!$AB$70),UPPER(TEXT(EDATE($D131,Milestones!$AA$70),"dd mmm yy"))&amp;" "&amp;Milestones!$AB$70&amp;" "&amp;Milestones!$AC$70&amp;";  ","")&amp;IF(AND(EDATE($D131,Milestones!$AA$71)&lt;=AsOfDate,IF($R131=0,$X131,IF(AND($T131&lt;&gt;"",EDATE($D131,Milestones!$AA$71)&gt;=$T131),$W131,IF(AND($S131&lt;&gt;"",EDATE($D131,Milestones!$AA$71)&gt;=$S131),$V131,$U131)))=Milestones!$AB$71),UPPER(TEXT(EDATE($D131,Milestones!$AA$71),"dd mmm yy"))&amp;" "&amp;Milestones!$AB$71&amp;" "&amp;Milestones!$AC$71&amp;";  ","")&amp;IF(AND(EDATE($D131,Milestones!$AA$72)&lt;=AsOfDate,IF($R131=0,$X131,IF(AND($T131&lt;&gt;"",EDATE($D131,Milestones!$AA$72)&gt;=$T131),$W131,IF(AND($S131&lt;&gt;"",EDATE($D131,Milestones!$AA$72)&gt;=$S131),$V131,$U131)))=Milestones!$AB$72),UPPER(TEXT(EDATE($D131,Milestones!$AA$72),"dd mmm yy"))&amp;" "&amp;Milestones!$AB$72&amp;" "&amp;Milestones!$AC$72&amp;";  ","")&amp;IF(AND(EDATE($D131,Milestones!$AA$73)&lt;=AsOfDate,IF($R131=0,$X131,IF(AND($T131&lt;&gt;"",EDATE($D131,Milestones!$AA$73)&gt;=$T131),$W131,IF(AND($S131&lt;&gt;"",EDATE($D131,Milestones!$AA$73)&gt;=$S131),$V131,$U131)))=Milestones!$AB$73),UPPER(TEXT(EDATE($D131,Milestones!$AA$73),"dd mmm yy"))&amp;" "&amp;Milestones!$AB$73&amp;" "&amp;Milestones!$AC$73&amp;";  ","")&amp;IF(AND(EDATE($D131,Milestones!$AA$74)&lt;=AsOfDate,IF($R131=0,$X131,IF(AND($T131&lt;&gt;"",EDATE($D131,Milestones!$AA$74)&gt;=$T131),$W131,IF(AND($S131&lt;&gt;"",EDATE($D131,Milestones!$AA$74)&gt;=$S131),$V131,$U131)))=Milestones!$AB$74),UPPER(TEXT(EDATE($D131,Milestones!$AA$74),"dd mmm yy"))&amp;" "&amp;Milestones!$AB$74&amp;" "&amp;Milestones!$AC$74&amp;";  ","")&amp;IF(AND(EDATE($D131,Milestones!$AA$75)&lt;=AsOfDate,IF($R131=0,$X131,IF(AND($T131&lt;&gt;"",EDATE($D131,Milestones!$AA$75)&gt;=$T131),$W131,IF(AND($S131&lt;&gt;"",EDATE($D131,Milestones!$AA$75)&gt;=$S131),$V131,$U131)))=Milestones!$AB$75),UPPER(TEXT(EDATE($D131,Milestones!$AA$75),"dd mmm yy"))&amp;" "&amp;Milestones!$AB$75&amp;" "&amp;Milestones!$AC$75&amp;";  ","")&amp;IF(AND(EDATE($D131,Milestones!$AA$76)&lt;=AsOfDate,IF($R131=0,$X131,IF(AND($T131&lt;&gt;"",EDATE($D131,Milestones!$AA$76)&gt;=$T131),$W131,IF(AND($S131&lt;&gt;"",EDATE($D131,Milestones!$AA$76)&gt;=$S131),$V131,$U131)))=Milestones!$AB$76),UPPER(TEXT(EDATE($D131,Milestones!$AA$76),"dd mmm yy"))&amp;" "&amp;Milestones!$AB$76&amp;" "&amp;Milestones!$AC$76&amp;";  ","")&amp;IF(AND(EDATE($D131,Milestones!$AA$77)&lt;=AsOfDate,IF($R131=0,$X131,IF(AND($T131&lt;&gt;"",EDATE($D131,Milestones!$AA$77)&gt;=$T131),$W131,IF(AND($S131&lt;&gt;"",EDATE($D131,Milestones!$AA$77)&gt;=$S131),$V131,$U131)))=Milestones!$AB$77),UPPER(TEXT(EDATE($D131,Milestones!$AA$77),"dd mmm yy"))&amp;" "&amp;Milestones!$AB$77&amp;" "&amp;Milestones!$AC$77&amp;";  ","")&amp;IF(AND(EDATE($D131,Milestones!$AA$78)&lt;=AsOfDate,IF($R131=0,$X131,IF(AND($T131&lt;&gt;"",EDATE($D131,Milestones!$AA$78)&gt;=$T131),$W131,IF(AND($S131&lt;&gt;"",EDATE($D131,Milestones!$AA$78)&gt;=$S131),$V131,$U131)))=Milestones!$AB$78),UPPER(TEXT(EDATE($D131,Milestones!$AA$78),"dd mmm yy"))&amp;" "&amp;Milestones!$AB$78&amp;" "&amp;Milestones!$AC$78&amp;";  ","")&amp;IF(AND(EDATE($D131,Milestones!$AA$79)&lt;=AsOfDate,IF($R131=0,$X131,IF(AND($T131&lt;&gt;"",EDATE($D131,Milestones!$AA$79)&gt;=$T131),$W131,IF(AND($S131&lt;&gt;"",EDATE($D131,Milestones!$AA$79)&gt;=$S131),$V131,$U131)))=Milestones!$AB$79),UPPER(TEXT(EDATE($D131,Milestones!$AA$79),"dd mmm yy"))&amp;" "&amp;Milestones!$AB$79&amp;" "&amp;Milestones!$AC$79&amp;";  ",""))</f>
        <v/>
      </c>
      <c r="L131" s="0" t="str">
        <f aca="false">IF(OR($A131="",$D131=""),"",IF(AND(EDATE($D131,Milestones!$AA$80)&lt;=AsOfDate,IF($R131=0,$X131,IF(AND($T131&lt;&gt;"",EDATE($D131,Milestones!$AA$80)&gt;=$T131),$W131,IF(AND($S131&lt;&gt;"",EDATE($D131,Milestones!$AA$80)&gt;=$S131),$V131,$U131)))=Milestones!$AB$80),UPPER(TEXT(EDATE($D131,Milestones!$AA$80),"dd mmm yy"))&amp;" "&amp;Milestones!$AB$80&amp;" "&amp;Milestones!$AC$80&amp;";  ","")&amp;IF(AND(EDATE($D131,Milestones!$AA$81)&lt;=AsOfDate,IF($R131=0,$X131,IF(AND($T131&lt;&gt;"",EDATE($D131,Milestones!$AA$81)&gt;=$T131),$W131,IF(AND($S131&lt;&gt;"",EDATE($D131,Milestones!$AA$81)&gt;=$S131),$V131,$U131)))=Milestones!$AB$81),UPPER(TEXT(EDATE($D131,Milestones!$AA$81),"dd mmm yy"))&amp;" "&amp;Milestones!$AB$81&amp;" "&amp;Milestones!$AC$81&amp;";  ","")&amp;IF(AND(EDATE($D131,Milestones!$AA$82)&lt;=AsOfDate,IF($R131=0,$X131,IF(AND($T131&lt;&gt;"",EDATE($D131,Milestones!$AA$82)&gt;=$T131),$W131,IF(AND($S131&lt;&gt;"",EDATE($D131,Milestones!$AA$82)&gt;=$S131),$V131,$U131)))=Milestones!$AB$82),UPPER(TEXT(EDATE($D131,Milestones!$AA$82),"dd mmm yy"))&amp;" "&amp;Milestones!$AB$82&amp;" "&amp;Milestones!$AC$82&amp;";  ","")&amp;IF(AND(EDATE($D131,Milestones!$AA$83)&lt;=AsOfDate,IF($R131=0,$X131,IF(AND($T131&lt;&gt;"",EDATE($D131,Milestones!$AA$83)&gt;=$T131),$W131,IF(AND($S131&lt;&gt;"",EDATE($D131,Milestones!$AA$83)&gt;=$S131),$V131,$U131)))=Milestones!$AB$83),UPPER(TEXT(EDATE($D131,Milestones!$AA$83),"dd mmm yy"))&amp;" "&amp;Milestones!$AB$83&amp;" "&amp;Milestones!$AC$83&amp;";  ","")&amp;IF(AND(EDATE($D131,Milestones!$AA$84)&lt;=AsOfDate,IF($R131=0,$X131,IF(AND($T131&lt;&gt;"",EDATE($D131,Milestones!$AA$84)&gt;=$T131),$W131,IF(AND($S131&lt;&gt;"",EDATE($D131,Milestones!$AA$84)&gt;=$S131),$V131,$U131)))=Milestones!$AB$84),UPPER(TEXT(EDATE($D131,Milestones!$AA$84),"dd mmm yy"))&amp;" "&amp;Milestones!$AB$84&amp;" "&amp;Milestones!$AC$84&amp;";  ","")&amp;IF(AND(EDATE($D131,Milestones!$AA$85)&lt;=AsOfDate,IF($R131=0,$X131,IF(AND($T131&lt;&gt;"",EDATE($D131,Milestones!$AA$85)&gt;=$T131),$W131,IF(AND($S131&lt;&gt;"",EDATE($D131,Milestones!$AA$85)&gt;=$S131),$V131,$U131)))=Milestones!$AB$85),UPPER(TEXT(EDATE($D131,Milestones!$AA$85),"dd mmm yy"))&amp;" "&amp;Milestones!$AB$85&amp;" "&amp;Milestones!$AC$85&amp;";  ","")&amp;IF(AND(EDATE($D131,Milestones!$AA$86)&lt;=AsOfDate,IF($R131=0,$X131,IF(AND($T131&lt;&gt;"",EDATE($D131,Milestones!$AA$86)&gt;=$T131),$W131,IF(AND($S131&lt;&gt;"",EDATE($D131,Milestones!$AA$86)&gt;=$S131),$V131,$U131)))=Milestones!$AB$86),UPPER(TEXT(EDATE($D131,Milestones!$AA$86),"dd mmm yy"))&amp;" "&amp;Milestones!$AB$86&amp;" "&amp;Milestones!$AC$86&amp;";  ","")&amp;IF(AND(EDATE($D131,Milestones!$AA$87)&lt;=AsOfDate,IF($R131=0,$X131,IF(AND($T131&lt;&gt;"",EDATE($D131,Milestones!$AA$87)&gt;=$T131),$W131,IF(AND($S131&lt;&gt;"",EDATE($D131,Milestones!$AA$87)&gt;=$S131),$V131,$U131)))=Milestones!$AB$87),UPPER(TEXT(EDATE($D131,Milestones!$AA$87),"dd mmm yy"))&amp;" "&amp;Milestones!$AB$87&amp;" "&amp;Milestones!$AC$87&amp;";  ","")&amp;IF(AND(EDATE($D131,Milestones!$AA$88)&lt;=AsOfDate,IF($R131=0,$X131,IF(AND($T131&lt;&gt;"",EDATE($D131,Milestones!$AA$88)&gt;=$T131),$W131,IF(AND($S131&lt;&gt;"",EDATE($D131,Milestones!$AA$88)&gt;=$S131),$V131,$U131)))=Milestones!$AB$88),UPPER(TEXT(EDATE($D131,Milestones!$AA$88),"dd mmm yy"))&amp;" "&amp;Milestones!$AB$88&amp;" "&amp;Milestones!$AC$88&amp;";  ","")&amp;IF(AND(EDATE($D131,Milestones!$AA$89)&lt;=AsOfDate,IF($R131=0,$X131,IF(AND($T131&lt;&gt;"",EDATE($D131,Milestones!$AA$89)&gt;=$T131),$W131,IF(AND($S131&lt;&gt;"",EDATE($D131,Milestones!$AA$89)&gt;=$S131),$V131,$U131)))=Milestones!$AB$89),UPPER(TEXT(EDATE($D131,Milestones!$AA$89),"dd mmm yy"))&amp;" "&amp;Milestones!$AB$89&amp;" "&amp;Milestones!$AC$89&amp;";  ","")&amp;IF(AND(EDATE($D131,Milestones!$AA$90)&lt;=AsOfDate,IF($R131=0,$X131,IF(AND($T131&lt;&gt;"",EDATE($D131,Milestones!$AA$90)&gt;=$T131),$W131,IF(AND($S131&lt;&gt;"",EDATE($D131,Milestones!$AA$90)&gt;=$S131),$V131,$U131)))=Milestones!$AB$90),UPPER(TEXT(EDATE($D131,Milestones!$AA$90),"dd mmm yy"))&amp;" "&amp;Milestones!$AB$90&amp;" "&amp;Milestones!$AC$90&amp;";  ","")&amp;IF(AND(EDATE($D131,Milestones!$AA$91)&lt;=AsOfDate,IF($R131=0,$X131,IF(AND($T131&lt;&gt;"",EDATE($D131,Milestones!$AA$91)&gt;=$T131),$W131,IF(AND($S131&lt;&gt;"",EDATE($D131,Milestones!$AA$91)&gt;=$S131),$V131,$U131)))=Milestones!$AB$91),UPPER(TEXT(EDATE($D131,Milestones!$AA$91),"dd mmm yy"))&amp;" "&amp;Milestones!$AB$91&amp;" "&amp;Milestones!$AC$91&amp;";  ","")&amp;IF(AND(EDATE($D131,Milestones!$AA$92)&lt;=AsOfDate,IF($R131=0,$X131,IF(AND($T131&lt;&gt;"",EDATE($D131,Milestones!$AA$92)&gt;=$T131),$W131,IF(AND($S131&lt;&gt;"",EDATE($D131,Milestones!$AA$92)&gt;=$S131),$V131,$U131)))=Milestones!$AB$92),UPPER(TEXT(EDATE($D131,Milestones!$AA$92),"dd mmm yy"))&amp;" "&amp;Milestones!$AB$92&amp;" "&amp;Milestones!$AC$92&amp;";  ","")&amp;IF(AND(EDATE($D131,Milestones!$AA$93)&lt;=AsOfDate,IF($R131=0,$X131,IF(AND($T131&lt;&gt;"",EDATE($D131,Milestones!$AA$93)&gt;=$T131),$W131,IF(AND($S131&lt;&gt;"",EDATE($D131,Milestones!$AA$93)&gt;=$S131),$V131,$U131)))=Milestones!$AB$93),UPPER(TEXT(EDATE($D131,Milestones!$AA$93),"dd mmm yy"))&amp;" "&amp;Milestones!$AB$93&amp;" "&amp;Milestones!$AC$93&amp;";  ","")&amp;IF(AND(EDATE($D131,Milestones!$AA$94)&lt;=AsOfDate,IF($R131=0,$X131,IF(AND($T131&lt;&gt;"",EDATE($D131,Milestones!$AA$94)&gt;=$T131),$W131,IF(AND($S131&lt;&gt;"",EDATE($D131,Milestones!$AA$94)&gt;=$S131),$V131,$U131)))=Milestones!$AB$94),UPPER(TEXT(EDATE($D131,Milestones!$AA$94),"dd mmm yy"))&amp;" "&amp;Milestones!$AB$94&amp;" "&amp;Milestones!$AC$94&amp;";  ","")&amp;IF(AND(EDATE($D131,Milestones!$AA$95)&lt;=AsOfDate,IF($R131=0,$X131,IF(AND($T131&lt;&gt;"",EDATE($D131,Milestones!$AA$95)&gt;=$T131),$W131,IF(AND($S131&lt;&gt;"",EDATE($D131,Milestones!$AA$95)&gt;=$S131),$V131,$U131)))=Milestones!$AB$95),UPPER(TEXT(EDATE($D131,Milestones!$AA$95),"dd mmm yy"))&amp;" "&amp;Milestones!$AB$95&amp;" "&amp;Milestones!$AC$95&amp;";  ","")&amp;IF(AND(EDATE($D131,Milestones!$AA$96)&lt;=AsOfDate,IF($R131=0,$X131,IF(AND($T131&lt;&gt;"",EDATE($D131,Milestones!$AA$96)&gt;=$T131),$W131,IF(AND($S131&lt;&gt;"",EDATE($D131,Milestones!$AA$96)&gt;=$S131),$V131,$U131)))=Milestones!$AB$96),UPPER(TEXT(EDATE($D131,Milestones!$AA$96),"dd mmm yy"))&amp;" "&amp;Milestones!$AB$96&amp;" "&amp;Milestones!$AC$96&amp;";  ","")&amp;IF(AND(EDATE($D131,Milestones!$AA$97)&lt;=AsOfDate,IF($R131=0,$X131,IF(AND($T131&lt;&gt;"",EDATE($D131,Milestones!$AA$97)&gt;=$T131),$W131,IF(AND($S131&lt;&gt;"",EDATE($D131,Milestones!$AA$97)&gt;=$S131),$V131,$U131)))=Milestones!$AB$97),UPPER(TEXT(EDATE($D131,Milestones!$AA$97),"dd mmm yy"))&amp;" "&amp;Milestones!$AB$97&amp;" "&amp;Milestones!$AC$97&amp;";  ","")&amp;IF(AND(EDATE($D131,Milestones!$AA$98)&lt;=AsOfDate,IF($R131=0,$X131,IF(AND($T131&lt;&gt;"",EDATE($D131,Milestones!$AA$98)&gt;=$T131),$W131,IF(AND($S131&lt;&gt;"",EDATE($D131,Milestones!$AA$98)&gt;=$S131),$V131,$U131)))=Milestones!$AB$98),UPPER(TEXT(EDATE($D131,Milestones!$AA$98),"dd mmm yy"))&amp;" "&amp;Milestones!$AB$98&amp;" "&amp;Milestones!$AC$98&amp;";  ","")&amp;IF(AND(EDATE($D131,Milestones!$AA$99)&lt;=AsOfDate,IF($R131=0,$X131,IF(AND($T131&lt;&gt;"",EDATE($D131,Milestones!$AA$99)&gt;=$T131),$W131,IF(AND($S131&lt;&gt;"",EDATE($D131,Milestones!$AA$99)&gt;=$S131),$V131,$U131)))=Milestones!$AB$99),UPPER(TEXT(EDATE($D131,Milestones!$AA$99),"dd mmm yy"))&amp;" "&amp;Milestones!$AB$99&amp;" "&amp;Milestones!$AC$99&amp;";  ",""))</f>
        <v/>
      </c>
      <c r="M131" s="0" t="str">
        <f aca="false">IF(OR($A131="",$D131=""),"",IF(AND(EDATE($D131,Milestones!$AA$100)&lt;=AsOfDate,IF($R131=0,$X131,IF(AND($T131&lt;&gt;"",EDATE($D131,Milestones!$AA$100)&gt;=$T131),$W131,IF(AND($S131&lt;&gt;"",EDATE($D131,Milestones!$AA$100)&gt;=$S131),$V131,$U131)))=Milestones!$AB$100),UPPER(TEXT(EDATE($D131,Milestones!$AA$100),"dd mmm yy"))&amp;" "&amp;Milestones!$AB$100&amp;" "&amp;Milestones!$AC$100&amp;";  ","")&amp;IF(AND(EDATE($D131,Milestones!$AA$101)&lt;=AsOfDate,IF($R131=0,$X131,IF(AND($T131&lt;&gt;"",EDATE($D131,Milestones!$AA$101)&gt;=$T131),$W131,IF(AND($S131&lt;&gt;"",EDATE($D131,Milestones!$AA$101)&gt;=$S131),$V131,$U131)))=Milestones!$AB$101),UPPER(TEXT(EDATE($D131,Milestones!$AA$101),"dd mmm yy"))&amp;" "&amp;Milestones!$AB$101&amp;" "&amp;Milestones!$AC$101&amp;";  ","")&amp;IF(AND(EDATE($D131,Milestones!$AA$102)&lt;=AsOfDate,IF($R131=0,$X131,IF(AND($T131&lt;&gt;"",EDATE($D131,Milestones!$AA$102)&gt;=$T131),$W131,IF(AND($S131&lt;&gt;"",EDATE($D131,Milestones!$AA$102)&gt;=$S131),$V131,$U131)))=Milestones!$AB$102),UPPER(TEXT(EDATE($D131,Milestones!$AA$102),"dd mmm yy"))&amp;" "&amp;Milestones!$AB$102&amp;" "&amp;Milestones!$AC$102&amp;";  ","")&amp;IF(AND(EDATE($D131,Milestones!$AA$103)&lt;=AsOfDate,IF($R131=0,$X131,IF(AND($T131&lt;&gt;"",EDATE($D131,Milestones!$AA$103)&gt;=$T131),$W131,IF(AND($S131&lt;&gt;"",EDATE($D131,Milestones!$AA$103)&gt;=$S131),$V131,$U131)))=Milestones!$AB$103),UPPER(TEXT(EDATE($D131,Milestones!$AA$103),"dd mmm yy"))&amp;" "&amp;Milestones!$AB$103&amp;" "&amp;Milestones!$AC$103&amp;";  ","")&amp;IF(AND(EDATE($D131,Milestones!$AA$104)&lt;=AsOfDate,IF($R131=0,$X131,IF(AND($T131&lt;&gt;"",EDATE($D131,Milestones!$AA$104)&gt;=$T131),$W131,IF(AND($S131&lt;&gt;"",EDATE($D131,Milestones!$AA$104)&gt;=$S131),$V131,$U131)))=Milestones!$AB$104),UPPER(TEXT(EDATE($D131,Milestones!$AA$104),"dd mmm yy"))&amp;" "&amp;Milestones!$AB$104&amp;" "&amp;Milestones!$AC$104&amp;";  ","")&amp;IF(AND(EDATE($D131,Milestones!$AA$105)&lt;=AsOfDate,IF($R131=0,$X131,IF(AND($T131&lt;&gt;"",EDATE($D131,Milestones!$AA$105)&gt;=$T131),$W131,IF(AND($S131&lt;&gt;"",EDATE($D131,Milestones!$AA$105)&gt;=$S131),$V131,$U131)))=Milestones!$AB$105),UPPER(TEXT(EDATE($D131,Milestones!$AA$105),"dd mmm yy"))&amp;" "&amp;Milestones!$AB$105&amp;" "&amp;Milestones!$AC$105&amp;";  ","")&amp;IF(AND(EDATE($D131,Milestones!$AA$106)&lt;=AsOfDate,IF($R131=0,$X131,IF(AND($T131&lt;&gt;"",EDATE($D131,Milestones!$AA$106)&gt;=$T131),$W131,IF(AND($S131&lt;&gt;"",EDATE($D131,Milestones!$AA$106)&gt;=$S131),$V131,$U131)))=Milestones!$AB$106),UPPER(TEXT(EDATE($D131,Milestones!$AA$106),"dd mmm yy"))&amp;" "&amp;Milestones!$AB$106&amp;" "&amp;Milestones!$AC$106&amp;";  ","")&amp;IF(AND(EDATE($D131,Milestones!$AA$107)&lt;=AsOfDate,IF($R131=0,$X131,IF(AND($T131&lt;&gt;"",EDATE($D131,Milestones!$AA$107)&gt;=$T131),$W131,IF(AND($S131&lt;&gt;"",EDATE($D131,Milestones!$AA$107)&gt;=$S131),$V131,$U131)))=Milestones!$AB$107),UPPER(TEXT(EDATE($D131,Milestones!$AA$107),"dd mmm yy"))&amp;" "&amp;Milestones!$AB$107&amp;" "&amp;Milestones!$AC$107&amp;";  ","")&amp;IF(AND(EDATE($D131,Milestones!$AA$108)&lt;=AsOfDate,IF($R131=0,$X131,IF(AND($T131&lt;&gt;"",EDATE($D131,Milestones!$AA$108)&gt;=$T131),$W131,IF(AND($S131&lt;&gt;"",EDATE($D131,Milestones!$AA$108)&gt;=$S131),$V131,$U131)))=Milestones!$AB$108),UPPER(TEXT(EDATE($D131,Milestones!$AA$108),"dd mmm yy"))&amp;" "&amp;Milestones!$AB$108&amp;" "&amp;Milestones!$AC$108&amp;";  ","")&amp;IF(AND(EDATE($D131,Milestones!$AA$109)&lt;=AsOfDate,IF($R131=0,$X131,IF(AND($T131&lt;&gt;"",EDATE($D131,Milestones!$AA$109)&gt;=$T131),$W131,IF(AND($S131&lt;&gt;"",EDATE($D131,Milestones!$AA$109)&gt;=$S131),$V131,$U131)))=Milestones!$AB$109),UPPER(TEXT(EDATE($D131,Milestones!$AA$109),"dd mmm yy"))&amp;" "&amp;Milestones!$AB$109&amp;" "&amp;Milestones!$AC$109&amp;";  ","")&amp;IF(AND(EDATE($D131,Milestones!$AA$110)&lt;=AsOfDate,IF($R131=0,$X131,IF(AND($T131&lt;&gt;"",EDATE($D131,Milestones!$AA$110)&gt;=$T131),$W131,IF(AND($S131&lt;&gt;"",EDATE($D131,Milestones!$AA$110)&gt;=$S131),$V131,$U131)))=Milestones!$AB$110),UPPER(TEXT(EDATE($D131,Milestones!$AA$110),"dd mmm yy"))&amp;" "&amp;Milestones!$AB$110&amp;" "&amp;Milestones!$AC$110&amp;";  ","")&amp;IF(AND(EDATE($D131,Milestones!$AA$111)&lt;=AsOfDate,IF($R131=0,$X131,IF(AND($T131&lt;&gt;"",EDATE($D131,Milestones!$AA$111)&gt;=$T131),$W131,IF(AND($S131&lt;&gt;"",EDATE($D131,Milestones!$AA$111)&gt;=$S131),$V131,$U131)))=Milestones!$AB$111),UPPER(TEXT(EDATE($D131,Milestones!$AA$111),"dd mmm yy"))&amp;" "&amp;Milestones!$AB$111&amp;" "&amp;Milestones!$AC$111&amp;";  ","")&amp;IF(AND(EDATE($D131,Milestones!$AA$112)&lt;=AsOfDate,IF($R131=0,$X131,IF(AND($T131&lt;&gt;"",EDATE($D131,Milestones!$AA$112)&gt;=$T131),$W131,IF(AND($S131&lt;&gt;"",EDATE($D131,Milestones!$AA$112)&gt;=$S131),$V131,$U131)))=Milestones!$AB$112),UPPER(TEXT(EDATE($D131,Milestones!$AA$112),"dd mmm yy"))&amp;" "&amp;Milestones!$AB$112&amp;" "&amp;Milestones!$AC$112&amp;";  ","")&amp;IF(AND(EDATE($D131,Milestones!$AA$113)&lt;=AsOfDate,IF($R131=0,$X131,IF(AND($T131&lt;&gt;"",EDATE($D131,Milestones!$AA$113)&gt;=$T131),$W131,IF(AND($S131&lt;&gt;"",EDATE($D131,Milestones!$AA$113)&gt;=$S131),$V131,$U131)))=Milestones!$AB$113),UPPER(TEXT(EDATE($D131,Milestones!$AA$113),"dd mmm yy"))&amp;" "&amp;Milestones!$AB$113&amp;" "&amp;Milestones!$AC$113&amp;";  ","")&amp;IF(AND(EDATE($D131,Milestones!$AA$114)&lt;=AsOfDate,IF($R131=0,$X131,IF(AND($T131&lt;&gt;"",EDATE($D131,Milestones!$AA$114)&gt;=$T131),$W131,IF(AND($S131&lt;&gt;"",EDATE($D131,Milestones!$AA$114)&gt;=$S131),$V131,$U131)))=Milestones!$AB$114),UPPER(TEXT(EDATE($D131,Milestones!$AA$114),"dd mmm yy"))&amp;" "&amp;Milestones!$AB$114&amp;" "&amp;Milestones!$AC$114&amp;";  ","")&amp;IF(AND(EDATE($D131,Milestones!$AA$115)&lt;=AsOfDate,IF($R131=0,$X131,IF(AND($T131&lt;&gt;"",EDATE($D131,Milestones!$AA$115)&gt;=$T131),$W131,IF(AND($S131&lt;&gt;"",EDATE($D131,Milestones!$AA$115)&gt;=$S131),$V131,$U131)))=Milestones!$AB$115),UPPER(TEXT(EDATE($D131,Milestones!$AA$115),"dd mmm yy"))&amp;" "&amp;Milestones!$AB$115&amp;" "&amp;Milestones!$AC$115&amp;";  ","")&amp;IF(AND(EDATE($D131,Milestones!$AA$116)&lt;=AsOfDate,IF($R131=0,$X131,IF(AND($T131&lt;&gt;"",EDATE($D131,Milestones!$AA$116)&gt;=$T131),$W131,IF(AND($S131&lt;&gt;"",EDATE($D131,Milestones!$AA$116)&gt;=$S131),$V131,$U131)))=Milestones!$AB$116),UPPER(TEXT(EDATE($D131,Milestones!$AA$116),"dd mmm yy"))&amp;" "&amp;Milestones!$AB$116&amp;" "&amp;Milestones!$AC$116&amp;";  ","")&amp;IF(AND(EDATE($D131,Milestones!$AA$117)&lt;=AsOfDate,IF($R131=0,$X131,IF(AND($T131&lt;&gt;"",EDATE($D131,Milestones!$AA$117)&gt;=$T131),$W131,IF(AND($S131&lt;&gt;"",EDATE($D131,Milestones!$AA$117)&gt;=$S131),$V131,$U131)))=Milestones!$AB$117),UPPER(TEXT(EDATE($D131,Milestones!$AA$117),"dd mmm yy"))&amp;" "&amp;Milestones!$AB$117&amp;" "&amp;Milestones!$AC$117&amp;";  ","")&amp;IF(AND(EDATE($D131,Milestones!$AA$118)&lt;=AsOfDate,IF($R131=0,$X131,IF(AND($T131&lt;&gt;"",EDATE($D131,Milestones!$AA$118)&gt;=$T131),$W131,IF(AND($S131&lt;&gt;"",EDATE($D131,Milestones!$AA$118)&gt;=$S131),$V131,$U131)))=Milestones!$AB$118),UPPER(TEXT(EDATE($D131,Milestones!$AA$118),"dd mmm yy"))&amp;" "&amp;Milestones!$AB$118&amp;" "&amp;Milestones!$AC$118&amp;";  ","")&amp;IF(AND(EDATE($D131,Milestones!$AA$119)&lt;=AsOfDate,IF($R131=0,$X131,IF(AND($T131&lt;&gt;"",EDATE($D131,Milestones!$AA$119)&gt;=$T131),$W131,IF(AND($S131&lt;&gt;"",EDATE($D131,Milestones!$AA$119)&gt;=$S131),$V131,$U131)))=Milestones!$AB$119),UPPER(TEXT(EDATE($D131,Milestones!$AA$119),"dd mmm yy"))&amp;" "&amp;Milestones!$AB$119&amp;" "&amp;Milestones!$AC$119&amp;";  ",""))</f>
        <v/>
      </c>
      <c r="N131" s="0" t="str">
        <f aca="false">IF(OR($A131="",$D131=""),"",IF(AND(EDATE($D131,Milestones!$AA$120)&lt;=AsOfDate,IF($R131=0,$X131,IF(AND($T131&lt;&gt;"",EDATE($D131,Milestones!$AA$120)&gt;=$T131),$W131,IF(AND($S131&lt;&gt;"",EDATE($D131,Milestones!$AA$120)&gt;=$S131),$V131,$U131)))=Milestones!$AB$120),UPPER(TEXT(EDATE($D131,Milestones!$AA$120),"dd mmm yy"))&amp;" "&amp;Milestones!$AB$120&amp;" "&amp;Milestones!$AC$120&amp;";  ","")&amp;IF(AND(EDATE($D131,Milestones!$AA$121)&lt;=AsOfDate,IF($R131=0,$X131,IF(AND($T131&lt;&gt;"",EDATE($D131,Milestones!$AA$121)&gt;=$T131),$W131,IF(AND($S131&lt;&gt;"",EDATE($D131,Milestones!$AA$121)&gt;=$S131),$V131,$U131)))=Milestones!$AB$121),UPPER(TEXT(EDATE($D131,Milestones!$AA$121),"dd mmm yy"))&amp;" "&amp;Milestones!$AB$121&amp;" "&amp;Milestones!$AC$121&amp;";  ","")&amp;IF(AND(EDATE($D131,Milestones!$AA$122)&lt;=AsOfDate,IF($R131=0,$X131,IF(AND($T131&lt;&gt;"",EDATE($D131,Milestones!$AA$122)&gt;=$T131),$W131,IF(AND($S131&lt;&gt;"",EDATE($D131,Milestones!$AA$122)&gt;=$S131),$V131,$U131)))=Milestones!$AB$122),UPPER(TEXT(EDATE($D131,Milestones!$AA$122),"dd mmm yy"))&amp;" "&amp;Milestones!$AB$122&amp;" "&amp;Milestones!$AC$122&amp;";  ","")&amp;IF(AND(EDATE($D131,Milestones!$AA$123)&lt;=AsOfDate,IF($R131=0,$X131,IF(AND($T131&lt;&gt;"",EDATE($D131,Milestones!$AA$123)&gt;=$T131),$W131,IF(AND($S131&lt;&gt;"",EDATE($D131,Milestones!$AA$123)&gt;=$S131),$V131,$U131)))=Milestones!$AB$123),UPPER(TEXT(EDATE($D131,Milestones!$AA$123),"dd mmm yy"))&amp;" "&amp;Milestones!$AB$123&amp;" "&amp;Milestones!$AC$123&amp;";  ","")&amp;IF(AND(EDATE($D131,Milestones!$AA$124)&lt;=AsOfDate,IF($R131=0,$X131,IF(AND($T131&lt;&gt;"",EDATE($D131,Milestones!$AA$124)&gt;=$T131),$W131,IF(AND($S131&lt;&gt;"",EDATE($D131,Milestones!$AA$124)&gt;=$S131),$V131,$U131)))=Milestones!$AB$124),UPPER(TEXT(EDATE($D131,Milestones!$AA$124),"dd mmm yy"))&amp;" "&amp;Milestones!$AB$124&amp;" "&amp;Milestones!$AC$124&amp;";  ","")&amp;IF(AND(EDATE($D131,Milestones!$AA$125)&lt;=AsOfDate,IF($R131=0,$X131,IF(AND($T131&lt;&gt;"",EDATE($D131,Milestones!$AA$125)&gt;=$T131),$W131,IF(AND($S131&lt;&gt;"",EDATE($D131,Milestones!$AA$125)&gt;=$S131),$V131,$U131)))=Milestones!$AB$125),UPPER(TEXT(EDATE($D131,Milestones!$AA$125),"dd mmm yy"))&amp;" "&amp;Milestones!$AB$125&amp;" "&amp;Milestones!$AC$125&amp;";  ","")&amp;IF(AND(EDATE($D131,Milestones!$AA$126)&lt;=AsOfDate,IF($R131=0,$X131,IF(AND($T131&lt;&gt;"",EDATE($D131,Milestones!$AA$126)&gt;=$T131),$W131,IF(AND($S131&lt;&gt;"",EDATE($D131,Milestones!$AA$126)&gt;=$S131),$V131,$U131)))=Milestones!$AB$126),UPPER(TEXT(EDATE($D131,Milestones!$AA$126),"dd mmm yy"))&amp;" "&amp;Milestones!$AB$126&amp;" "&amp;Milestones!$AC$126&amp;";  ","")&amp;IF(AND(EDATE($D131,Milestones!$AA$127)&lt;=AsOfDate,IF($R131=0,$X131,IF(AND($T131&lt;&gt;"",EDATE($D131,Milestones!$AA$127)&gt;=$T131),$W131,IF(AND($S131&lt;&gt;"",EDATE($D131,Milestones!$AA$127)&gt;=$S131),$V131,$U131)))=Milestones!$AB$127),UPPER(TEXT(EDATE($D131,Milestones!$AA$127),"dd mmm yy"))&amp;" "&amp;Milestones!$AB$127&amp;" "&amp;Milestones!$AC$127&amp;";  ","")&amp;IF(AND(EDATE($D131,Milestones!$AA$128)&lt;=AsOfDate,IF($R131=0,$X131,IF(AND($T131&lt;&gt;"",EDATE($D131,Milestones!$AA$128)&gt;=$T131),$W131,IF(AND($S131&lt;&gt;"",EDATE($D131,Milestones!$AA$128)&gt;=$S131),$V131,$U131)))=Milestones!$AB$128),UPPER(TEXT(EDATE($D131,Milestones!$AA$128),"dd mmm yy"))&amp;" "&amp;Milestones!$AB$128&amp;" "&amp;Milestones!$AC$128&amp;";  ","")&amp;IF(AND(EDATE($D131,Milestones!$AA$129)&lt;=AsOfDate,IF($R131=0,$X131,IF(AND($T131&lt;&gt;"",EDATE($D131,Milestones!$AA$129)&gt;=$T131),$W131,IF(AND($S131&lt;&gt;"",EDATE($D131,Milestones!$AA$129)&gt;=$S131),$V131,$U131)))=Milestones!$AB$129),UPPER(TEXT(EDATE($D131,Milestones!$AA$129),"dd mmm yy"))&amp;" "&amp;Milestones!$AB$129&amp;" "&amp;Milestones!$AC$129&amp;";  ","")&amp;IF(AND(EDATE($D131,Milestones!$AA$130)&lt;=AsOfDate,IF($R131=0,$X131,IF(AND($T131&lt;&gt;"",EDATE($D131,Milestones!$AA$130)&gt;=$T131),$W131,IF(AND($S131&lt;&gt;"",EDATE($D131,Milestones!$AA$130)&gt;=$S131),$V131,$U131)))=Milestones!$AB$130),UPPER(TEXT(EDATE($D131,Milestones!$AA$130),"dd mmm yy"))&amp;" "&amp;Milestones!$AB$130&amp;" "&amp;Milestones!$AC$130&amp;";  ","")&amp;IF(AND(EDATE($D131,Milestones!$AA$131)&lt;=AsOfDate,IF($R131=0,$X131,IF(AND($T131&lt;&gt;"",EDATE($D131,Milestones!$AA$131)&gt;=$T131),$W131,IF(AND($S131&lt;&gt;"",EDATE($D131,Milestones!$AA$131)&gt;=$S131),$V131,$U131)))=Milestones!$AB$131),UPPER(TEXT(EDATE($D131,Milestones!$AA$131),"dd mmm yy"))&amp;" "&amp;Milestones!$AB$131&amp;" "&amp;Milestones!$AC$131&amp;";  ","")&amp;IF(AND(EDATE($D131,Milestones!$AA$132)&lt;=AsOfDate,IF($R131=0,$X131,IF(AND($T131&lt;&gt;"",EDATE($D131,Milestones!$AA$132)&gt;=$T131),$W131,IF(AND($S131&lt;&gt;"",EDATE($D131,Milestones!$AA$132)&gt;=$S131),$V131,$U131)))=Milestones!$AB$132),UPPER(TEXT(EDATE($D131,Milestones!$AA$132),"dd mmm yy"))&amp;" "&amp;Milestones!$AB$132&amp;" "&amp;Milestones!$AC$132&amp;";  ","")&amp;IF(AND(EDATE($D131,Milestones!$AA$133)&lt;=AsOfDate,IF($R131=0,$X131,IF(AND($T131&lt;&gt;"",EDATE($D131,Milestones!$AA$133)&gt;=$T131),$W131,IF(AND($S131&lt;&gt;"",EDATE($D131,Milestones!$AA$133)&gt;=$S131),$V131,$U131)))=Milestones!$AB$133),UPPER(TEXT(EDATE($D131,Milestones!$AA$133),"dd mmm yy"))&amp;" "&amp;Milestones!$AB$133&amp;" "&amp;Milestones!$AC$133&amp;";  ","")&amp;IF(AND(EDATE($D131,Milestones!$AA$134)&lt;=AsOfDate,IF($R131=0,$X131,IF(AND($T131&lt;&gt;"",EDATE($D131,Milestones!$AA$134)&gt;=$T131),$W131,IF(AND($S131&lt;&gt;"",EDATE($D131,Milestones!$AA$134)&gt;=$S131),$V131,$U131)))=Milestones!$AB$134),UPPER(TEXT(EDATE($D131,Milestones!$AA$134),"dd mmm yy"))&amp;" "&amp;Milestones!$AB$134&amp;" "&amp;Milestones!$AC$134&amp;";  ","")&amp;IF(AND(EDATE($D131,Milestones!$AA$135)&lt;=AsOfDate,IF($R131=0,$X131,IF(AND($T131&lt;&gt;"",EDATE($D131,Milestones!$AA$135)&gt;=$T131),$W131,IF(AND($S131&lt;&gt;"",EDATE($D131,Milestones!$AA$135)&gt;=$S131),$V131,$U131)))=Milestones!$AB$135),UPPER(TEXT(EDATE($D131,Milestones!$AA$135),"dd mmm yy"))&amp;" "&amp;Milestones!$AB$135&amp;" "&amp;Milestones!$AC$135&amp;";  ","")&amp;IF(AND(EDATE($D131,Milestones!$AA$136)&lt;=AsOfDate,IF($R131=0,$X131,IF(AND($T131&lt;&gt;"",EDATE($D131,Milestones!$AA$136)&gt;=$T131),$W131,IF(AND($S131&lt;&gt;"",EDATE($D131,Milestones!$AA$136)&gt;=$S131),$V131,$U131)))=Milestones!$AB$136),UPPER(TEXT(EDATE($D131,Milestones!$AA$136),"dd mmm yy"))&amp;" "&amp;Milestones!$AB$136&amp;" "&amp;Milestones!$AC$136&amp;";  ","")&amp;IF(AND(EDATE($D131,Milestones!$AA$137)&lt;=AsOfDate,IF($R131=0,$X131,IF(AND($T131&lt;&gt;"",EDATE($D131,Milestones!$AA$137)&gt;=$T131),$W131,IF(AND($S131&lt;&gt;"",EDATE($D131,Milestones!$AA$137)&gt;=$S131),$V131,$U131)))=Milestones!$AB$137),UPPER(TEXT(EDATE($D131,Milestones!$AA$137),"dd mmm yy"))&amp;" "&amp;Milestones!$AB$137&amp;" "&amp;Milestones!$AC$137&amp;";  ","")&amp;IF(AND(EDATE($D131,Milestones!$AA$138)&lt;=AsOfDate,IF($R131=0,$X131,IF(AND($T131&lt;&gt;"",EDATE($D131,Milestones!$AA$138)&gt;=$T131),$W131,IF(AND($S131&lt;&gt;"",EDATE($D131,Milestones!$AA$138)&gt;=$S131),$V131,$U131)))=Milestones!$AB$138),UPPER(TEXT(EDATE($D131,Milestones!$AA$138),"dd mmm yy"))&amp;" "&amp;Milestones!$AB$138&amp;" "&amp;Milestones!$AC$138&amp;";  ","")&amp;IF(AND(EDATE($D131,Milestones!$AA$139)&lt;=AsOfDate,IF($R131=0,$X131,IF(AND($T131&lt;&gt;"",EDATE($D131,Milestones!$AA$139)&gt;=$T131),$W131,IF(AND($S131&lt;&gt;"",EDATE($D131,Milestones!$AA$139)&gt;=$S131),$V131,$U131)))=Milestones!$AB$139),UPPER(TEXT(EDATE($D131,Milestones!$AA$139),"dd mmm yy"))&amp;" "&amp;Milestones!$AB$139&amp;" "&amp;Milestones!$AC$139&amp;";  ",""))</f>
        <v/>
      </c>
      <c r="O131" s="0" t="str">
        <f aca="false">IF(OR($A131="",$D131=""),"",IF(AND(EDATE($D131,Milestones!$AA$140)&lt;=AsOfDate,IF($R131=0,$X131,IF(AND($T131&lt;&gt;"",EDATE($D131,Milestones!$AA$140)&gt;=$T131),$W131,IF(AND($S131&lt;&gt;"",EDATE($D131,Milestones!$AA$140)&gt;=$S131),$V131,$U131)))=Milestones!$AB$140),UPPER(TEXT(EDATE($D131,Milestones!$AA$140),"dd mmm yy"))&amp;" "&amp;Milestones!$AB$140&amp;" "&amp;Milestones!$AC$140&amp;";  ","")&amp;IF(AND(EDATE($D131,Milestones!$AA$141)&lt;=AsOfDate,IF($R131=0,$X131,IF(AND($T131&lt;&gt;"",EDATE($D131,Milestones!$AA$141)&gt;=$T131),$W131,IF(AND($S131&lt;&gt;"",EDATE($D131,Milestones!$AA$141)&gt;=$S131),$V131,$U131)))=Milestones!$AB$141),UPPER(TEXT(EDATE($D131,Milestones!$AA$141),"dd mmm yy"))&amp;" "&amp;Milestones!$AB$141&amp;" "&amp;Milestones!$AC$141&amp;";  ","")&amp;IF(AND(EDATE($D131,Milestones!$AA$142)&lt;=AsOfDate,IF($R131=0,$X131,IF(AND($T131&lt;&gt;"",EDATE($D131,Milestones!$AA$142)&gt;=$T131),$W131,IF(AND($S131&lt;&gt;"",EDATE($D131,Milestones!$AA$142)&gt;=$S131),$V131,$U131)))=Milestones!$AB$142),UPPER(TEXT(EDATE($D131,Milestones!$AA$142),"dd mmm yy"))&amp;" "&amp;Milestones!$AB$142&amp;" "&amp;Milestones!$AC$142&amp;";  ","")&amp;IF(AND(EDATE($D131,Milestones!$AA$143)&lt;=AsOfDate,IF($R131=0,$X131,IF(AND($T131&lt;&gt;"",EDATE($D131,Milestones!$AA$143)&gt;=$T131),$W131,IF(AND($S131&lt;&gt;"",EDATE($D131,Milestones!$AA$143)&gt;=$S131),$V131,$U131)))=Milestones!$AB$143),UPPER(TEXT(EDATE($D131,Milestones!$AA$143),"dd mmm yy"))&amp;" "&amp;Milestones!$AB$143&amp;" "&amp;Milestones!$AC$143&amp;";  ","")&amp;IF(AND(EDATE($D131,Milestones!$AA$144)&lt;=AsOfDate,IF($R131=0,$X131,IF(AND($T131&lt;&gt;"",EDATE($D131,Milestones!$AA$144)&gt;=$T131),$W131,IF(AND($S131&lt;&gt;"",EDATE($D131,Milestones!$AA$144)&gt;=$S131),$V131,$U131)))=Milestones!$AB$144),UPPER(TEXT(EDATE($D131,Milestones!$AA$144),"dd mmm yy"))&amp;" "&amp;Milestones!$AB$144&amp;" "&amp;Milestones!$AC$144&amp;";  ","")&amp;IF(AND(EDATE($D131,Milestones!$AA$145)&lt;=AsOfDate,IF($R131=0,$X131,IF(AND($T131&lt;&gt;"",EDATE($D131,Milestones!$AA$145)&gt;=$T131),$W131,IF(AND($S131&lt;&gt;"",EDATE($D131,Milestones!$AA$145)&gt;=$S131),$V131,$U131)))=Milestones!$AB$145),UPPER(TEXT(EDATE($D131,Milestones!$AA$145),"dd mmm yy"))&amp;" "&amp;Milestones!$AB$145&amp;" "&amp;Milestones!$AC$145&amp;";  ","")&amp;IF(AND(EDATE($D131,Milestones!$AA$146)&lt;=AsOfDate,IF($R131=0,$X131,IF(AND($T131&lt;&gt;"",EDATE($D131,Milestones!$AA$146)&gt;=$T131),$W131,IF(AND($S131&lt;&gt;"",EDATE($D131,Milestones!$AA$146)&gt;=$S131),$V131,$U131)))=Milestones!$AB$146),UPPER(TEXT(EDATE($D131,Milestones!$AA$146),"dd mmm yy"))&amp;" "&amp;Milestones!$AB$146&amp;" "&amp;Milestones!$AC$146&amp;";  ","")&amp;IF(AND(EDATE($D131,Milestones!$AA$147)&lt;=AsOfDate,IF($R131=0,$X131,IF(AND($T131&lt;&gt;"",EDATE($D131,Milestones!$AA$147)&gt;=$T131),$W131,IF(AND($S131&lt;&gt;"",EDATE($D131,Milestones!$AA$147)&gt;=$S131),$V131,$U131)))=Milestones!$AB$147),UPPER(TEXT(EDATE($D131,Milestones!$AA$147),"dd mmm yy"))&amp;" "&amp;Milestones!$AB$147&amp;" "&amp;Milestones!$AC$147&amp;";  ","")&amp;IF(AND(EDATE($D131,Milestones!$AA$148)&lt;=AsOfDate,IF($R131=0,$X131,IF(AND($T131&lt;&gt;"",EDATE($D131,Milestones!$AA$148)&gt;=$T131),$W131,IF(AND($S131&lt;&gt;"",EDATE($D131,Milestones!$AA$148)&gt;=$S131),$V131,$U131)))=Milestones!$AB$148),UPPER(TEXT(EDATE($D131,Milestones!$AA$148),"dd mmm yy"))&amp;" "&amp;Milestones!$AB$148&amp;" "&amp;Milestones!$AC$148&amp;";  ","")&amp;IF(AND(EDATE($D131,Milestones!$AA$149)&lt;=AsOfDate,IF($R131=0,$X131,IF(AND($T131&lt;&gt;"",EDATE($D131,Milestones!$AA$149)&gt;=$T131),$W131,IF(AND($S131&lt;&gt;"",EDATE($D131,Milestones!$AA$149)&gt;=$S131),$V131,$U131)))=Milestones!$AB$149),UPPER(TEXT(EDATE($D131,Milestones!$AA$149),"dd mmm yy"))&amp;" "&amp;Milestones!$AB$149&amp;" "&amp;Milestones!$AC$149&amp;";  ","")&amp;IF(AND(EDATE($D131,Milestones!$AA$150)&lt;=AsOfDate,IF($R131=0,$X131,IF(AND($T131&lt;&gt;"",EDATE($D131,Milestones!$AA$150)&gt;=$T131),$W131,IF(AND($S131&lt;&gt;"",EDATE($D131,Milestones!$AA$150)&gt;=$S131),$V131,$U131)))=Milestones!$AB$150),UPPER(TEXT(EDATE($D131,Milestones!$AA$150),"dd mmm yy"))&amp;" "&amp;Milestones!$AB$150&amp;" "&amp;Milestones!$AC$150&amp;";  ","")&amp;IF(AND(EDATE($D131,Milestones!$AA$151)&lt;=AsOfDate,IF($R131=0,$X131,IF(AND($T131&lt;&gt;"",EDATE($D131,Milestones!$AA$151)&gt;=$T131),$W131,IF(AND($S131&lt;&gt;"",EDATE($D131,Milestones!$AA$151)&gt;=$S131),$V131,$U131)))=Milestones!$AB$151),UPPER(TEXT(EDATE($D131,Milestones!$AA$151),"dd mmm yy"))&amp;" "&amp;Milestones!$AB$151&amp;" "&amp;Milestones!$AC$151&amp;";  ","")&amp;IF(AND(EDATE($D131,Milestones!$AA$152)&lt;=AsOfDate,IF($R131=0,$X131,IF(AND($T131&lt;&gt;"",EDATE($D131,Milestones!$AA$152)&gt;=$T131),$W131,IF(AND($S131&lt;&gt;"",EDATE($D131,Milestones!$AA$152)&gt;=$S131),$V131,$U131)))=Milestones!$AB$152),UPPER(TEXT(EDATE($D131,Milestones!$AA$152),"dd mmm yy"))&amp;" "&amp;Milestones!$AB$152&amp;" "&amp;Milestones!$AC$152&amp;";  ","")&amp;IF(AND(EDATE($D131,Milestones!$AA$153)&lt;=AsOfDate,IF($R131=0,$X131,IF(AND($T131&lt;&gt;"",EDATE($D131,Milestones!$AA$153)&gt;=$T131),$W131,IF(AND($S131&lt;&gt;"",EDATE($D131,Milestones!$AA$153)&gt;=$S131),$V131,$U131)))=Milestones!$AB$153),UPPER(TEXT(EDATE($D131,Milestones!$AA$153),"dd mmm yy"))&amp;" "&amp;Milestones!$AB$153&amp;" "&amp;Milestones!$AC$153&amp;";  ","")&amp;IF(AND(EDATE($D131,Milestones!$AA$154)&lt;=AsOfDate,IF($R131=0,$X131,IF(AND($T131&lt;&gt;"",EDATE($D131,Milestones!$AA$154)&gt;=$T131),$W131,IF(AND($S131&lt;&gt;"",EDATE($D131,Milestones!$AA$154)&gt;=$S131),$V131,$U131)))=Milestones!$AB$154),UPPER(TEXT(EDATE($D131,Milestones!$AA$154),"dd mmm yy"))&amp;" "&amp;Milestones!$AB$154&amp;" "&amp;Milestones!$AC$154&amp;";  ","")&amp;IF(AND(EDATE($D131,Milestones!$AA$155)&lt;=AsOfDate,IF($R131=0,$X131,IF(AND($T131&lt;&gt;"",EDATE($D131,Milestones!$AA$155)&gt;=$T131),$W131,IF(AND($S131&lt;&gt;"",EDATE($D131,Milestones!$AA$155)&gt;=$S131),$V131,$U131)))=Milestones!$AB$155),UPPER(TEXT(EDATE($D131,Milestones!$AA$155),"dd mmm yy"))&amp;" "&amp;Milestones!$AB$155&amp;" "&amp;Milestones!$AC$155&amp;";  ","")&amp;IF(AND(EDATE($D131,Milestones!$AA$156)&lt;=AsOfDate,IF($R131=0,$X131,IF(AND($T131&lt;&gt;"",EDATE($D131,Milestones!$AA$156)&gt;=$T131),$W131,IF(AND($S131&lt;&gt;"",EDATE($D131,Milestones!$AA$156)&gt;=$S131),$V131,$U131)))=Milestones!$AB$156),UPPER(TEXT(EDATE($D131,Milestones!$AA$156),"dd mmm yy"))&amp;" "&amp;Milestones!$AB$156&amp;" "&amp;Milestones!$AC$156&amp;";  ","")&amp;IF(AND(EDATE($D131,Milestones!$AA$157)&lt;=AsOfDate,IF($R131=0,$X131,IF(AND($T131&lt;&gt;"",EDATE($D131,Milestones!$AA$157)&gt;=$T131),$W131,IF(AND($S131&lt;&gt;"",EDATE($D131,Milestones!$AA$157)&gt;=$S131),$V131,$U131)))=Milestones!$AB$157),UPPER(TEXT(EDATE($D131,Milestones!$AA$157),"dd mmm yy"))&amp;" "&amp;Milestones!$AB$157&amp;" "&amp;Milestones!$AC$157&amp;";  ","")&amp;IF(AND(EDATE($D131,Milestones!$AA$158)&lt;=AsOfDate,IF($R131=0,$X131,IF(AND($T131&lt;&gt;"",EDATE($D131,Milestones!$AA$158)&gt;=$T131),$W131,IF(AND($S131&lt;&gt;"",EDATE($D131,Milestones!$AA$158)&gt;=$S131),$V131,$U131)))=Milestones!$AB$158),UPPER(TEXT(EDATE($D131,Milestones!$AA$158),"dd mmm yy"))&amp;" "&amp;Milestones!$AB$158&amp;" "&amp;Milestones!$AC$158&amp;";  ","")&amp;IF(AND(EDATE($D131,Milestones!$AA$159)&lt;=AsOfDate,IF($R131=0,$X131,IF(AND($T131&lt;&gt;"",EDATE($D131,Milestones!$AA$159)&gt;=$T131),$W131,IF(AND($S131&lt;&gt;"",EDATE($D131,Milestones!$AA$159)&gt;=$S131),$V131,$U131)))=Milestones!$AB$159),UPPER(TEXT(EDATE($D131,Milestones!$AA$159),"dd mmm yy"))&amp;" "&amp;Milestones!$AB$159&amp;" "&amp;Milestones!$AC$159&amp;";  ",""))</f>
        <v/>
      </c>
      <c r="P131" s="0" t="str">
        <f aca="false">IF(OR($A131="",$D131=""),"",IF(AND(EDATE($D131,Milestones!$AA$160)&lt;=AsOfDate,IF($R131=0,$X131,IF(AND($T131&lt;&gt;"",EDATE($D131,Milestones!$AA$160)&gt;=$T131),$W131,IF(AND($S131&lt;&gt;"",EDATE($D131,Milestones!$AA$160)&gt;=$S131),$V131,$U131)))=Milestones!$AB$160),UPPER(TEXT(EDATE($D131,Milestones!$AA$160),"dd mmm yy"))&amp;" "&amp;Milestones!$AB$160&amp;" "&amp;Milestones!$AC$160&amp;";  ","")&amp;IF(AND(EDATE($D131,Milestones!$AA$161)&lt;=AsOfDate,IF($R131=0,$X131,IF(AND($T131&lt;&gt;"",EDATE($D131,Milestones!$AA$161)&gt;=$T131),$W131,IF(AND($S131&lt;&gt;"",EDATE($D131,Milestones!$AA$161)&gt;=$S131),$V131,$U131)))=Milestones!$AB$161),UPPER(TEXT(EDATE($D131,Milestones!$AA$161),"dd mmm yy"))&amp;" "&amp;Milestones!$AB$161&amp;" "&amp;Milestones!$AC$161&amp;";  ","")&amp;IF(AND(EDATE($D131,Milestones!$AA$162)&lt;=AsOfDate,IF($R131=0,$X131,IF(AND($T131&lt;&gt;"",EDATE($D131,Milestones!$AA$162)&gt;=$T131),$W131,IF(AND($S131&lt;&gt;"",EDATE($D131,Milestones!$AA$162)&gt;=$S131),$V131,$U131)))=Milestones!$AB$162),UPPER(TEXT(EDATE($D131,Milestones!$AA$162),"dd mmm yy"))&amp;" "&amp;Milestones!$AB$162&amp;" "&amp;Milestones!$AC$162&amp;";  ","")&amp;IF(AND(EDATE($D131,Milestones!$AA$163)&lt;=AsOfDate,IF($R131=0,$X131,IF(AND($T131&lt;&gt;"",EDATE($D131,Milestones!$AA$163)&gt;=$T131),$W131,IF(AND($S131&lt;&gt;"",EDATE($D131,Milestones!$AA$163)&gt;=$S131),$V131,$U131)))=Milestones!$AB$163),UPPER(TEXT(EDATE($D131,Milestones!$AA$163),"dd mmm yy"))&amp;" "&amp;Milestones!$AB$163&amp;" "&amp;Milestones!$AC$163&amp;";  ","")&amp;IF(AND(EDATE($D131,Milestones!$AA$164)&lt;=AsOfDate,IF($R131=0,$X131,IF(AND($T131&lt;&gt;"",EDATE($D131,Milestones!$AA$164)&gt;=$T131),$W131,IF(AND($S131&lt;&gt;"",EDATE($D131,Milestones!$AA$164)&gt;=$S131),$V131,$U131)))=Milestones!$AB$164),UPPER(TEXT(EDATE($D131,Milestones!$AA$164),"dd mmm yy"))&amp;" "&amp;Milestones!$AB$164&amp;" "&amp;Milestones!$AC$164&amp;";  ","")&amp;IF(AND(EDATE($D131,Milestones!$AA$165)&lt;=AsOfDate,IF($R131=0,$X131,IF(AND($T131&lt;&gt;"",EDATE($D131,Milestones!$AA$165)&gt;=$T131),$W131,IF(AND($S131&lt;&gt;"",EDATE($D131,Milestones!$AA$165)&gt;=$S131),$V131,$U131)))=Milestones!$AB$165),UPPER(TEXT(EDATE($D131,Milestones!$AA$165),"dd mmm yy"))&amp;" "&amp;Milestones!$AB$165&amp;" "&amp;Milestones!$AC$165&amp;";  ","")&amp;IF(AND(EDATE($D131,Milestones!$AA$166)&lt;=AsOfDate,IF($R131=0,$X131,IF(AND($T131&lt;&gt;"",EDATE($D131,Milestones!$AA$166)&gt;=$T131),$W131,IF(AND($S131&lt;&gt;"",EDATE($D131,Milestones!$AA$166)&gt;=$S131),$V131,$U131)))=Milestones!$AB$166),UPPER(TEXT(EDATE($D131,Milestones!$AA$166),"dd mmm yy"))&amp;" "&amp;Milestones!$AB$166&amp;" "&amp;Milestones!$AC$166&amp;";  ","")&amp;IF(AND(EDATE($D131,Milestones!$AA$167)&lt;=AsOfDate,IF($R131=0,$X131,IF(AND($T131&lt;&gt;"",EDATE($D131,Milestones!$AA$167)&gt;=$T131),$W131,IF(AND($S131&lt;&gt;"",EDATE($D131,Milestones!$AA$167)&gt;=$S131),$V131,$U131)))=Milestones!$AB$167),UPPER(TEXT(EDATE($D131,Milestones!$AA$167),"dd mmm yy"))&amp;" "&amp;Milestones!$AB$167&amp;" "&amp;Milestones!$AC$167&amp;";  ","")&amp;IF(AND(EDATE($D131,Milestones!$AA$168)&lt;=AsOfDate,IF($R131=0,$X131,IF(AND($T131&lt;&gt;"",EDATE($D131,Milestones!$AA$168)&gt;=$T131),$W131,IF(AND($S131&lt;&gt;"",EDATE($D131,Milestones!$AA$168)&gt;=$S131),$V131,$U131)))=Milestones!$AB$168),UPPER(TEXT(EDATE($D131,Milestones!$AA$168),"dd mmm yy"))&amp;" "&amp;Milestones!$AB$168&amp;" "&amp;Milestones!$AC$168&amp;";  ","")&amp;IF(AND(EDATE($D131,Milestones!$AA$169)&lt;=AsOfDate,IF($R131=0,$X131,IF(AND($T131&lt;&gt;"",EDATE($D131,Milestones!$AA$169)&gt;=$T131),$W131,IF(AND($S131&lt;&gt;"",EDATE($D131,Milestones!$AA$169)&gt;=$S131),$V131,$U131)))=Milestones!$AB$169),UPPER(TEXT(EDATE($D131,Milestones!$AA$169),"dd mmm yy"))&amp;" "&amp;Milestones!$AB$169&amp;" "&amp;Milestones!$AC$169&amp;";  ","")&amp;IF(AND(EDATE($D131,Milestones!$AA$170)&lt;=AsOfDate,IF($R131=0,$X131,IF(AND($T131&lt;&gt;"",EDATE($D131,Milestones!$AA$170)&gt;=$T131),$W131,IF(AND($S131&lt;&gt;"",EDATE($D131,Milestones!$AA$170)&gt;=$S131),$V131,$U131)))=Milestones!$AB$170),UPPER(TEXT(EDATE($D131,Milestones!$AA$170),"dd mmm yy"))&amp;" "&amp;Milestones!$AB$170&amp;" "&amp;Milestones!$AC$170&amp;";  ","")&amp;IF(AND(EDATE($D131,Milestones!$AA$171)&lt;=AsOfDate,IF($R131=0,$X131,IF(AND($T131&lt;&gt;"",EDATE($D131,Milestones!$AA$171)&gt;=$T131),$W131,IF(AND($S131&lt;&gt;"",EDATE($D131,Milestones!$AA$171)&gt;=$S131),$V131,$U131)))=Milestones!$AB$171),UPPER(TEXT(EDATE($D131,Milestones!$AA$171),"dd mmm yy"))&amp;" "&amp;Milestones!$AB$171&amp;" "&amp;Milestones!$AC$171&amp;";  ","")&amp;IF(AND(EDATE($D131,Milestones!$AA$172)&lt;=AsOfDate,IF($R131=0,$X131,IF(AND($T131&lt;&gt;"",EDATE($D131,Milestones!$AA$172)&gt;=$T131),$W131,IF(AND($S131&lt;&gt;"",EDATE($D131,Milestones!$AA$172)&gt;=$S131),$V131,$U131)))=Milestones!$AB$172),UPPER(TEXT(EDATE($D131,Milestones!$AA$172),"dd mmm yy"))&amp;" "&amp;Milestones!$AB$172&amp;" "&amp;Milestones!$AC$172&amp;";  ","")&amp;IF(AND(EDATE($D131,Milestones!$AA$173)&lt;=AsOfDate,IF($R131=0,$X131,IF(AND($T131&lt;&gt;"",EDATE($D131,Milestones!$AA$173)&gt;=$T131),$W131,IF(AND($S131&lt;&gt;"",EDATE($D131,Milestones!$AA$173)&gt;=$S131),$V131,$U131)))=Milestones!$AB$173),UPPER(TEXT(EDATE($D131,Milestones!$AA$173),"dd mmm yy"))&amp;" "&amp;Milestones!$AB$173&amp;" "&amp;Milestones!$AC$173&amp;";  ","")&amp;IF(AND(EDATE($D131,Milestones!$AA$174)&lt;=AsOfDate,IF($R131=0,$X131,IF(AND($T131&lt;&gt;"",EDATE($D131,Milestones!$AA$174)&gt;=$T131),$W131,IF(AND($S131&lt;&gt;"",EDATE($D131,Milestones!$AA$174)&gt;=$S131),$V131,$U131)))=Milestones!$AB$174),UPPER(TEXT(EDATE($D131,Milestones!$AA$174),"dd mmm yy"))&amp;" "&amp;Milestones!$AB$174&amp;" "&amp;Milestones!$AC$174&amp;";  ","")&amp;IF(AND(EDATE($D131,Milestones!$AA$175)&lt;=AsOfDate,IF($R131=0,$X131,IF(AND($T131&lt;&gt;"",EDATE($D131,Milestones!$AA$175)&gt;=$T131),$W131,IF(AND($S131&lt;&gt;"",EDATE($D131,Milestones!$AA$175)&gt;=$S131),$V131,$U131)))=Milestones!$AB$175),UPPER(TEXT(EDATE($D131,Milestones!$AA$175),"dd mmm yy"))&amp;" "&amp;Milestones!$AB$175&amp;" "&amp;Milestones!$AC$175&amp;";  ","")&amp;IF(AND(EDATE($D131,Milestones!$AA$176)&lt;=AsOfDate,IF($R131=0,$X131,IF(AND($T131&lt;&gt;"",EDATE($D131,Milestones!$AA$176)&gt;=$T131),$W131,IF(AND($S131&lt;&gt;"",EDATE($D131,Milestones!$AA$176)&gt;=$S131),$V131,$U131)))=Milestones!$AB$176),UPPER(TEXT(EDATE($D131,Milestones!$AA$176),"dd mmm yy"))&amp;" "&amp;Milestones!$AB$176&amp;" "&amp;Milestones!$AC$176&amp;";  ","")&amp;IF(AND(EDATE($D131,Milestones!$AA$177)&lt;=AsOfDate,IF($R131=0,$X131,IF(AND($T131&lt;&gt;"",EDATE($D131,Milestones!$AA$177)&gt;=$T131),$W131,IF(AND($S131&lt;&gt;"",EDATE($D131,Milestones!$AA$177)&gt;=$S131),$V131,$U131)))=Milestones!$AB$177),UPPER(TEXT(EDATE($D131,Milestones!$AA$177),"dd mmm yy"))&amp;" "&amp;Milestones!$AB$177&amp;" "&amp;Milestones!$AC$177&amp;";  ","")&amp;IF(AND(EDATE($D131,Milestones!$AA$178)&lt;=AsOfDate,IF($R131=0,$X131,IF(AND($T131&lt;&gt;"",EDATE($D131,Milestones!$AA$178)&gt;=$T131),$W131,IF(AND($S131&lt;&gt;"",EDATE($D131,Milestones!$AA$178)&gt;=$S131),$V131,$U131)))=Milestones!$AB$178),UPPER(TEXT(EDATE($D131,Milestones!$AA$178),"dd mmm yy"))&amp;" "&amp;Milestones!$AB$178&amp;" "&amp;Milestones!$AC$178&amp;";  ","")&amp;IF(AND(EDATE($D131,Milestones!$AA$179)&lt;=AsOfDate,IF($R131=0,$X131,IF(AND($T131&lt;&gt;"",EDATE($D131,Milestones!$AA$179)&gt;=$T131),$W131,IF(AND($S131&lt;&gt;"",EDATE($D131,Milestones!$AA$179)&gt;=$S131),$V131,$U131)))=Milestones!$AB$179),UPPER(TEXT(EDATE($D131,Milestones!$AA$179),"dd mmm yy"))&amp;" "&amp;Milestones!$AB$179&amp;" "&amp;Milestones!$AC$179&amp;";  ",""))</f>
        <v/>
      </c>
      <c r="Q131" s="0" t="str">
        <f aca="false">IF(OR($A131="",$D131=""),"",IF(AND(EDATE($D131,Milestones!$AA$180)&lt;=AsOfDate,IF($R131=0,$X131,IF(AND($T131&lt;&gt;"",EDATE($D131,Milestones!$AA$180)&gt;=$T131),$W131,IF(AND($S131&lt;&gt;"",EDATE($D131,Milestones!$AA$180)&gt;=$S131),$V131,$U131)))=Milestones!$AB$180),UPPER(TEXT(EDATE($D131,Milestones!$AA$180),"dd mmm yy"))&amp;" "&amp;Milestones!$AB$180&amp;" "&amp;Milestones!$AC$180&amp;";  ","")&amp;IF(AND(EDATE($D131,Milestones!$AA$181)&lt;=AsOfDate,IF($R131=0,$X131,IF(AND($T131&lt;&gt;"",EDATE($D131,Milestones!$AA$181)&gt;=$T131),$W131,IF(AND($S131&lt;&gt;"",EDATE($D131,Milestones!$AA$181)&gt;=$S131),$V131,$U131)))=Milestones!$AB$181),UPPER(TEXT(EDATE($D131,Milestones!$AA$181),"dd mmm yy"))&amp;" "&amp;Milestones!$AB$181&amp;" "&amp;Milestones!$AC$181&amp;";  ","")&amp;IF(AND(EDATE($D131,Milestones!$AA$182)&lt;=AsOfDate,IF($R131=0,$X131,IF(AND($T131&lt;&gt;"",EDATE($D131,Milestones!$AA$182)&gt;=$T131),$W131,IF(AND($S131&lt;&gt;"",EDATE($D131,Milestones!$AA$182)&gt;=$S131),$V131,$U131)))=Milestones!$AB$182),UPPER(TEXT(EDATE($D131,Milestones!$AA$182),"dd mmm yy"))&amp;" "&amp;Milestones!$AB$182&amp;" "&amp;Milestones!$AC$182&amp;";  ","")&amp;IF(AND(EDATE($D131,Milestones!$AA$183)&lt;=AsOfDate,IF($R131=0,$X131,IF(AND($T131&lt;&gt;"",EDATE($D131,Milestones!$AA$183)&gt;=$T131),$W131,IF(AND($S131&lt;&gt;"",EDATE($D131,Milestones!$AA$183)&gt;=$S131),$V131,$U131)))=Milestones!$AB$183),UPPER(TEXT(EDATE($D131,Milestones!$AA$183),"dd mmm yy"))&amp;" "&amp;Milestones!$AB$183&amp;" "&amp;Milestones!$AC$183&amp;";  ","")&amp;IF(AND(EDATE($D131,Milestones!$AA$184)&lt;=AsOfDate,IF($R131=0,$X131,IF(AND($T131&lt;&gt;"",EDATE($D131,Milestones!$AA$184)&gt;=$T131),$W131,IF(AND($S131&lt;&gt;"",EDATE($D131,Milestones!$AA$184)&gt;=$S131),$V131,$U131)))=Milestones!$AB$184),UPPER(TEXT(EDATE($D131,Milestones!$AA$184),"dd mmm yy"))&amp;" "&amp;Milestones!$AB$184&amp;" "&amp;Milestones!$AC$184&amp;";  ","")&amp;IF(AND(EDATE($D131,Milestones!$AA$185)&lt;=AsOfDate,IF($R131=0,$X131,IF(AND($T131&lt;&gt;"",EDATE($D131,Milestones!$AA$185)&gt;=$T131),$W131,IF(AND($S131&lt;&gt;"",EDATE($D131,Milestones!$AA$185)&gt;=$S131),$V131,$U131)))=Milestones!$AB$185),UPPER(TEXT(EDATE($D131,Milestones!$AA$185),"dd mmm yy"))&amp;" "&amp;Milestones!$AB$185&amp;" "&amp;Milestones!$AC$185&amp;";  ","")&amp;IF(AND(EDATE($D131,Milestones!$AA$186)&lt;=AsOfDate,IF($R131=0,$X131,IF(AND($T131&lt;&gt;"",EDATE($D131,Milestones!$AA$186)&gt;=$T131),$W131,IF(AND($S131&lt;&gt;"",EDATE($D131,Milestones!$AA$186)&gt;=$S131),$V131,$U131)))=Milestones!$AB$186),UPPER(TEXT(EDATE($D131,Milestones!$AA$186),"dd mmm yy"))&amp;" "&amp;Milestones!$AB$186&amp;" "&amp;Milestones!$AC$186&amp;";  ","")&amp;IF(AND(EDATE($D131,Milestones!$AA$187)&lt;=AsOfDate,IF($R131=0,$X131,IF(AND($T131&lt;&gt;"",EDATE($D131,Milestones!$AA$187)&gt;=$T131),$W131,IF(AND($S131&lt;&gt;"",EDATE($D131,Milestones!$AA$187)&gt;=$S131),$V131,$U131)))=Milestones!$AB$187),UPPER(TEXT(EDATE($D131,Milestones!$AA$187),"dd mmm yy"))&amp;" "&amp;Milestones!$AB$187&amp;" "&amp;Milestones!$AC$187&amp;";  ","")&amp;IF(AND(EDATE($D131,Milestones!$AA$188)&lt;=AsOfDate,IF($R131=0,$X131,IF(AND($T131&lt;&gt;"",EDATE($D131,Milestones!$AA$188)&gt;=$T131),$W131,IF(AND($S131&lt;&gt;"",EDATE($D131,Milestones!$AA$188)&gt;=$S131),$V131,$U131)))=Milestones!$AB$188),UPPER(TEXT(EDATE($D131,Milestones!$AA$188),"dd mmm yy"))&amp;" "&amp;Milestones!$AB$188&amp;" "&amp;Milestones!$AC$188&amp;";  ","")&amp;IF(AND(EDATE($D131,Milestones!$AA$189)&lt;=AsOfDate,IF($R131=0,$X131,IF(AND($T131&lt;&gt;"",EDATE($D131,Milestones!$AA$189)&gt;=$T131),$W131,IF(AND($S131&lt;&gt;"",EDATE($D131,Milestones!$AA$189)&gt;=$S131),$V131,$U131)))=Milestones!$AB$189),UPPER(TEXT(EDATE($D131,Milestones!$AA$189),"dd mmm yy"))&amp;" "&amp;Milestones!$AB$189&amp;" "&amp;Milestones!$AC$189&amp;";  ","")&amp;IF(AND(EDATE($D131,Milestones!$AA$190)&lt;=AsOfDate,IF($R131=0,$X131,IF(AND($T131&lt;&gt;"",EDATE($D131,Milestones!$AA$190)&gt;=$T131),$W131,IF(AND($S131&lt;&gt;"",EDATE($D131,Milestones!$AA$190)&gt;=$S131),$V131,$U131)))=Milestones!$AB$190),UPPER(TEXT(EDATE($D131,Milestones!$AA$190),"dd mmm yy"))&amp;" "&amp;Milestones!$AB$190&amp;" "&amp;Milestones!$AC$190&amp;";  ","")&amp;IF(AND(EDATE($D131,Milestones!$AA$191)&lt;=AsOfDate,IF($R131=0,$X131,IF(AND($T131&lt;&gt;"",EDATE($D131,Milestones!$AA$191)&gt;=$T131),$W131,IF(AND($S131&lt;&gt;"",EDATE($D131,Milestones!$AA$191)&gt;=$S131),$V131,$U131)))=Milestones!$AB$191),UPPER(TEXT(EDATE($D131,Milestones!$AA$191),"dd mmm yy"))&amp;" "&amp;Milestones!$AB$191&amp;" "&amp;Milestones!$AC$191&amp;";  ","")&amp;IF(AND(EDATE($D131,Milestones!$AA$192)&lt;=AsOfDate,IF($R131=0,$X131,IF(AND($T131&lt;&gt;"",EDATE($D131,Milestones!$AA$192)&gt;=$T131),$W131,IF(AND($S131&lt;&gt;"",EDATE($D131,Milestones!$AA$192)&gt;=$S131),$V131,$U131)))=Milestones!$AB$192),UPPER(TEXT(EDATE($D131,Milestones!$AA$192),"dd mmm yy"))&amp;" "&amp;Milestones!$AB$192&amp;" "&amp;Milestones!$AC$192&amp;";  ","")&amp;IF(AND(EDATE($D131,Milestones!$AA$193)&lt;=AsOfDate,IF($R131=0,$X131,IF(AND($T131&lt;&gt;"",EDATE($D131,Milestones!$AA$193)&gt;=$T131),$W131,IF(AND($S131&lt;&gt;"",EDATE($D131,Milestones!$AA$193)&gt;=$S131),$V131,$U131)))=Milestones!$AB$193),UPPER(TEXT(EDATE($D131,Milestones!$AA$193),"dd mmm yy"))&amp;" "&amp;Milestones!$AB$193&amp;" "&amp;Milestones!$AC$193&amp;";  ","")&amp;IF(AND(EDATE($D131,Milestones!$AA$194)&lt;=AsOfDate,IF($R131=0,$X131,IF(AND($T131&lt;&gt;"",EDATE($D131,Milestones!$AA$194)&gt;=$T131),$W131,IF(AND($S131&lt;&gt;"",EDATE($D131,Milestones!$AA$194)&gt;=$S131),$V131,$U131)))=Milestones!$AB$194),UPPER(TEXT(EDATE($D131,Milestones!$AA$194),"dd mmm yy"))&amp;" "&amp;Milestones!$AB$194&amp;" "&amp;Milestones!$AC$194&amp;";  ","")&amp;IF(AND(EDATE($D131,Milestones!$AA$195)&lt;=AsOfDate,IF($R131=0,$X131,IF(AND($T131&lt;&gt;"",EDATE($D131,Milestones!$AA$195)&gt;=$T131),$W131,IF(AND($S131&lt;&gt;"",EDATE($D131,Milestones!$AA$195)&gt;=$S131),$V131,$U131)))=Milestones!$AB$195),UPPER(TEXT(EDATE($D131,Milestones!$AA$195),"dd mmm yy"))&amp;" "&amp;Milestones!$AB$195&amp;" "&amp;Milestones!$AC$195&amp;";  ","")&amp;IF(AND(EDATE($D131,Milestones!$AA$196)&lt;=AsOfDate,IF($R131=0,$X131,IF(AND($T131&lt;&gt;"",EDATE($D131,Milestones!$AA$196)&gt;=$T131),$W131,IF(AND($S131&lt;&gt;"",EDATE($D131,Milestones!$AA$196)&gt;=$S131),$V131,$U131)))=Milestones!$AB$196),UPPER(TEXT(EDATE($D131,Milestones!$AA$196),"dd mmm yy"))&amp;" "&amp;Milestones!$AB$196&amp;" "&amp;Milestones!$AC$196&amp;";  ","")&amp;IF(AND(EDATE($D131,Milestones!$AA$197)&lt;=AsOfDate,IF($R131=0,$X131,IF(AND($T131&lt;&gt;"",EDATE($D131,Milestones!$AA$197)&gt;=$T131),$W131,IF(AND($S131&lt;&gt;"",EDATE($D131,Milestones!$AA$197)&gt;=$S131),$V131,$U131)))=Milestones!$AB$197),UPPER(TEXT(EDATE($D131,Milestones!$AA$197),"dd mmm yy"))&amp;" "&amp;Milestones!$AB$197&amp;" "&amp;Milestones!$AC$197&amp;";  ","")&amp;IF(AND(EDATE($D131,Milestones!$AA$198)&lt;=AsOfDate,IF($R131=0,$X131,IF(AND($T131&lt;&gt;"",EDATE($D131,Milestones!$AA$198)&gt;=$T131),$W131,IF(AND($S131&lt;&gt;"",EDATE($D131,Milestones!$AA$198)&gt;=$S131),$V131,$U131)))=Milestones!$AB$198),UPPER(TEXT(EDATE($D131,Milestones!$AA$198),"dd mmm yy"))&amp;" "&amp;Milestones!$AB$198&amp;" "&amp;Milestones!$AC$198&amp;";  ","")&amp;IF(AND(EDATE($D131,Milestones!$AA$199)&lt;=AsOfDate,IF($R131=0,$X131,IF(AND($T131&lt;&gt;"",EDATE($D131,Milestones!$AA$199)&gt;=$T131),$W131,IF(AND($S131&lt;&gt;"",EDATE($D131,Milestones!$AA$199)&gt;=$S131),$V131,$U131)))=Milestones!$AB$199),UPPER(TEXT(EDATE($D131,Milestones!$AA$199),"dd mmm yy"))&amp;" "&amp;Milestones!$AB$199&amp;" "&amp;Milestones!$AC$199&amp;";  ",""))</f>
        <v/>
      </c>
      <c r="R131" s="0" t="str">
        <f aca="false">IF(Staff!$A131="","",Staff!$AI131)</f>
        <v/>
      </c>
      <c r="S131" s="0" t="str">
        <f aca="false">IF(Staff!$A131="","",Staff!$AK131)</f>
        <v/>
      </c>
      <c r="T131" s="0" t="str">
        <f aca="false">IF(Staff!$A131="","",Staff!$AL131)</f>
        <v/>
      </c>
      <c r="U131" s="0" t="str">
        <f aca="false">IF(Staff!$A131="","",Staff!$AP131)</f>
        <v/>
      </c>
      <c r="V131" s="0" t="str">
        <f aca="false">IF(Staff!$A131="","",Staff!$AQ131)</f>
        <v/>
      </c>
      <c r="W131" s="0" t="str">
        <f aca="false">IF(Staff!$A131="","",Staff!$AR131)</f>
        <v/>
      </c>
      <c r="X131" s="0" t="str">
        <f aca="false">IF(Staff!$A131="","",Staff!$AS131)</f>
        <v/>
      </c>
    </row>
    <row r="132" customFormat="false" ht="15" hidden="false" customHeight="false" outlineLevel="0" collapsed="false">
      <c r="A132" s="19" t="str">
        <f aca="false">IF(Staff!$A132="","",Staff!$A132)</f>
        <v/>
      </c>
      <c r="B132" s="19" t="str">
        <f aca="false">IF(Staff!$A132="","",Staff!$B132)</f>
        <v/>
      </c>
      <c r="C132" s="19" t="str">
        <f aca="false">IF(Staff!$A132="","",Staff!$C132)</f>
        <v/>
      </c>
      <c r="D132" s="17" t="str">
        <f aca="false">IF(Staff!$A132="","",Staff!$AH132)</f>
        <v/>
      </c>
      <c r="E132" s="19" t="str">
        <f aca="false">IF(Staff!$A132="","",Staff!$O132)</f>
        <v/>
      </c>
      <c r="F132" s="19" t="str">
        <f aca="false">IF(E132="","",E132*HoursPerDay)</f>
        <v/>
      </c>
      <c r="G132" s="19" t="str">
        <f aca="false">IF(Staff!$A132="","",Staff!$AE132)</f>
        <v/>
      </c>
      <c r="H132" s="32" t="str">
        <f aca="false">IF($A132="","",I132&amp;J132&amp;K132&amp;L132&amp;M132&amp;N132&amp;O132&amp;P132&amp;Q132)</f>
        <v/>
      </c>
      <c r="I132" s="0" t="str">
        <f aca="false">IF(OR($A132="",$D132=""),"",IF(AND(EDATE($D132,Milestones!$AA$20)&lt;=AsOfDate,IF($R132=0,$X132,IF(AND($T132&lt;&gt;"",EDATE($D132,Milestones!$AA$20)&gt;=$T132),$W132,IF(AND($S132&lt;&gt;"",EDATE($D132,Milestones!$AA$20)&gt;=$S132),$V132,$U132)))=Milestones!$AB$20),UPPER(TEXT(EDATE($D132,Milestones!$AA$20),"dd mmm yy"))&amp;" "&amp;Milestones!$AB$20&amp;" "&amp;Milestones!$AC$20&amp;";  ","")&amp;IF(AND(EDATE($D132,Milestones!$AA$21)&lt;=AsOfDate,IF($R132=0,$X132,IF(AND($T132&lt;&gt;"",EDATE($D132,Milestones!$AA$21)&gt;=$T132),$W132,IF(AND($S132&lt;&gt;"",EDATE($D132,Milestones!$AA$21)&gt;=$S132),$V132,$U132)))=Milestones!$AB$21),UPPER(TEXT(EDATE($D132,Milestones!$AA$21),"dd mmm yy"))&amp;" "&amp;Milestones!$AB$21&amp;" "&amp;Milestones!$AC$21&amp;";  ","")&amp;IF(AND(EDATE($D132,Milestones!$AA$22)&lt;=AsOfDate,IF($R132=0,$X132,IF(AND($T132&lt;&gt;"",EDATE($D132,Milestones!$AA$22)&gt;=$T132),$W132,IF(AND($S132&lt;&gt;"",EDATE($D132,Milestones!$AA$22)&gt;=$S132),$V132,$U132)))=Milestones!$AB$22),UPPER(TEXT(EDATE($D132,Milestones!$AA$22),"dd mmm yy"))&amp;" "&amp;Milestones!$AB$22&amp;" "&amp;Milestones!$AC$22&amp;";  ","")&amp;IF(AND(EDATE($D132,Milestones!$AA$23)&lt;=AsOfDate,IF($R132=0,$X132,IF(AND($T132&lt;&gt;"",EDATE($D132,Milestones!$AA$23)&gt;=$T132),$W132,IF(AND($S132&lt;&gt;"",EDATE($D132,Milestones!$AA$23)&gt;=$S132),$V132,$U132)))=Milestones!$AB$23),UPPER(TEXT(EDATE($D132,Milestones!$AA$23),"dd mmm yy"))&amp;" "&amp;Milestones!$AB$23&amp;" "&amp;Milestones!$AC$23&amp;";  ","")&amp;IF(AND(EDATE($D132,Milestones!$AA$24)&lt;=AsOfDate,IF($R132=0,$X132,IF(AND($T132&lt;&gt;"",EDATE($D132,Milestones!$AA$24)&gt;=$T132),$W132,IF(AND($S132&lt;&gt;"",EDATE($D132,Milestones!$AA$24)&gt;=$S132),$V132,$U132)))=Milestones!$AB$24),UPPER(TEXT(EDATE($D132,Milestones!$AA$24),"dd mmm yy"))&amp;" "&amp;Milestones!$AB$24&amp;" "&amp;Milestones!$AC$24&amp;";  ","")&amp;IF(AND(EDATE($D132,Milestones!$AA$25)&lt;=AsOfDate,IF($R132=0,$X132,IF(AND($T132&lt;&gt;"",EDATE($D132,Milestones!$AA$25)&gt;=$T132),$W132,IF(AND($S132&lt;&gt;"",EDATE($D132,Milestones!$AA$25)&gt;=$S132),$V132,$U132)))=Milestones!$AB$25),UPPER(TEXT(EDATE($D132,Milestones!$AA$25),"dd mmm yy"))&amp;" "&amp;Milestones!$AB$25&amp;" "&amp;Milestones!$AC$25&amp;";  ","")&amp;IF(AND(EDATE($D132,Milestones!$AA$26)&lt;=AsOfDate,IF($R132=0,$X132,IF(AND($T132&lt;&gt;"",EDATE($D132,Milestones!$AA$26)&gt;=$T132),$W132,IF(AND($S132&lt;&gt;"",EDATE($D132,Milestones!$AA$26)&gt;=$S132),$V132,$U132)))=Milestones!$AB$26),UPPER(TEXT(EDATE($D132,Milestones!$AA$26),"dd mmm yy"))&amp;" "&amp;Milestones!$AB$26&amp;" "&amp;Milestones!$AC$26&amp;";  ","")&amp;IF(AND(EDATE($D132,Milestones!$AA$27)&lt;=AsOfDate,IF($R132=0,$X132,IF(AND($T132&lt;&gt;"",EDATE($D132,Milestones!$AA$27)&gt;=$T132),$W132,IF(AND($S132&lt;&gt;"",EDATE($D132,Milestones!$AA$27)&gt;=$S132),$V132,$U132)))=Milestones!$AB$27),UPPER(TEXT(EDATE($D132,Milestones!$AA$27),"dd mmm yy"))&amp;" "&amp;Milestones!$AB$27&amp;" "&amp;Milestones!$AC$27&amp;";  ","")&amp;IF(AND(EDATE($D132,Milestones!$AA$28)&lt;=AsOfDate,IF($R132=0,$X132,IF(AND($T132&lt;&gt;"",EDATE($D132,Milestones!$AA$28)&gt;=$T132),$W132,IF(AND($S132&lt;&gt;"",EDATE($D132,Milestones!$AA$28)&gt;=$S132),$V132,$U132)))=Milestones!$AB$28),UPPER(TEXT(EDATE($D132,Milestones!$AA$28),"dd mmm yy"))&amp;" "&amp;Milestones!$AB$28&amp;" "&amp;Milestones!$AC$28&amp;";  ","")&amp;IF(AND(EDATE($D132,Milestones!$AA$29)&lt;=AsOfDate,IF($R132=0,$X132,IF(AND($T132&lt;&gt;"",EDATE($D132,Milestones!$AA$29)&gt;=$T132),$W132,IF(AND($S132&lt;&gt;"",EDATE($D132,Milestones!$AA$29)&gt;=$S132),$V132,$U132)))=Milestones!$AB$29),UPPER(TEXT(EDATE($D132,Milestones!$AA$29),"dd mmm yy"))&amp;" "&amp;Milestones!$AB$29&amp;" "&amp;Milestones!$AC$29&amp;";  ","")&amp;IF(AND(EDATE($D132,Milestones!$AA$30)&lt;=AsOfDate,IF($R132=0,$X132,IF(AND($T132&lt;&gt;"",EDATE($D132,Milestones!$AA$30)&gt;=$T132),$W132,IF(AND($S132&lt;&gt;"",EDATE($D132,Milestones!$AA$30)&gt;=$S132),$V132,$U132)))=Milestones!$AB$30),UPPER(TEXT(EDATE($D132,Milestones!$AA$30),"dd mmm yy"))&amp;" "&amp;Milestones!$AB$30&amp;" "&amp;Milestones!$AC$30&amp;";  ","")&amp;IF(AND(EDATE($D132,Milestones!$AA$31)&lt;=AsOfDate,IF($R132=0,$X132,IF(AND($T132&lt;&gt;"",EDATE($D132,Milestones!$AA$31)&gt;=$T132),$W132,IF(AND($S132&lt;&gt;"",EDATE($D132,Milestones!$AA$31)&gt;=$S132),$V132,$U132)))=Milestones!$AB$31),UPPER(TEXT(EDATE($D132,Milestones!$AA$31),"dd mmm yy"))&amp;" "&amp;Milestones!$AB$31&amp;" "&amp;Milestones!$AC$31&amp;";  ","")&amp;IF(AND(EDATE($D132,Milestones!$AA$32)&lt;=AsOfDate,IF($R132=0,$X132,IF(AND($T132&lt;&gt;"",EDATE($D132,Milestones!$AA$32)&gt;=$T132),$W132,IF(AND($S132&lt;&gt;"",EDATE($D132,Milestones!$AA$32)&gt;=$S132),$V132,$U132)))=Milestones!$AB$32),UPPER(TEXT(EDATE($D132,Milestones!$AA$32),"dd mmm yy"))&amp;" "&amp;Milestones!$AB$32&amp;" "&amp;Milestones!$AC$32&amp;";  ","")&amp;IF(AND(EDATE($D132,Milestones!$AA$33)&lt;=AsOfDate,IF($R132=0,$X132,IF(AND($T132&lt;&gt;"",EDATE($D132,Milestones!$AA$33)&gt;=$T132),$W132,IF(AND($S132&lt;&gt;"",EDATE($D132,Milestones!$AA$33)&gt;=$S132),$V132,$U132)))=Milestones!$AB$33),UPPER(TEXT(EDATE($D132,Milestones!$AA$33),"dd mmm yy"))&amp;" "&amp;Milestones!$AB$33&amp;" "&amp;Milestones!$AC$33&amp;";  ","")&amp;IF(AND(EDATE($D132,Milestones!$AA$34)&lt;=AsOfDate,IF($R132=0,$X132,IF(AND($T132&lt;&gt;"",EDATE($D132,Milestones!$AA$34)&gt;=$T132),$W132,IF(AND($S132&lt;&gt;"",EDATE($D132,Milestones!$AA$34)&gt;=$S132),$V132,$U132)))=Milestones!$AB$34),UPPER(TEXT(EDATE($D132,Milestones!$AA$34),"dd mmm yy"))&amp;" "&amp;Milestones!$AB$34&amp;" "&amp;Milestones!$AC$34&amp;";  ","")&amp;IF(AND(EDATE($D132,Milestones!$AA$35)&lt;=AsOfDate,IF($R132=0,$X132,IF(AND($T132&lt;&gt;"",EDATE($D132,Milestones!$AA$35)&gt;=$T132),$W132,IF(AND($S132&lt;&gt;"",EDATE($D132,Milestones!$AA$35)&gt;=$S132),$V132,$U132)))=Milestones!$AB$35),UPPER(TEXT(EDATE($D132,Milestones!$AA$35),"dd mmm yy"))&amp;" "&amp;Milestones!$AB$35&amp;" "&amp;Milestones!$AC$35&amp;";  ","")&amp;IF(AND(EDATE($D132,Milestones!$AA$36)&lt;=AsOfDate,IF($R132=0,$X132,IF(AND($T132&lt;&gt;"",EDATE($D132,Milestones!$AA$36)&gt;=$T132),$W132,IF(AND($S132&lt;&gt;"",EDATE($D132,Milestones!$AA$36)&gt;=$S132),$V132,$U132)))=Milestones!$AB$36),UPPER(TEXT(EDATE($D132,Milestones!$AA$36),"dd mmm yy"))&amp;" "&amp;Milestones!$AB$36&amp;" "&amp;Milestones!$AC$36&amp;";  ","")&amp;IF(AND(EDATE($D132,Milestones!$AA$37)&lt;=AsOfDate,IF($R132=0,$X132,IF(AND($T132&lt;&gt;"",EDATE($D132,Milestones!$AA$37)&gt;=$T132),$W132,IF(AND($S132&lt;&gt;"",EDATE($D132,Milestones!$AA$37)&gt;=$S132),$V132,$U132)))=Milestones!$AB$37),UPPER(TEXT(EDATE($D132,Milestones!$AA$37),"dd mmm yy"))&amp;" "&amp;Milestones!$AB$37&amp;" "&amp;Milestones!$AC$37&amp;";  ","")&amp;IF(AND(EDATE($D132,Milestones!$AA$38)&lt;=AsOfDate,IF($R132=0,$X132,IF(AND($T132&lt;&gt;"",EDATE($D132,Milestones!$AA$38)&gt;=$T132),$W132,IF(AND($S132&lt;&gt;"",EDATE($D132,Milestones!$AA$38)&gt;=$S132),$V132,$U132)))=Milestones!$AB$38),UPPER(TEXT(EDATE($D132,Milestones!$AA$38),"dd mmm yy"))&amp;" "&amp;Milestones!$AB$38&amp;" "&amp;Milestones!$AC$38&amp;";  ","")&amp;IF(AND(EDATE($D132,Milestones!$AA$39)&lt;=AsOfDate,IF($R132=0,$X132,IF(AND($T132&lt;&gt;"",EDATE($D132,Milestones!$AA$39)&gt;=$T132),$W132,IF(AND($S132&lt;&gt;"",EDATE($D132,Milestones!$AA$39)&gt;=$S132),$V132,$U132)))=Milestones!$AB$39),UPPER(TEXT(EDATE($D132,Milestones!$AA$39),"dd mmm yy"))&amp;" "&amp;Milestones!$AB$39&amp;" "&amp;Milestones!$AC$39&amp;";  ",""))</f>
        <v/>
      </c>
      <c r="J132" s="0" t="str">
        <f aca="false">IF(OR($A132="",$D132=""),"",IF(AND(EDATE($D132,Milestones!$AA$40)&lt;=AsOfDate,IF($R132=0,$X132,IF(AND($T132&lt;&gt;"",EDATE($D132,Milestones!$AA$40)&gt;=$T132),$W132,IF(AND($S132&lt;&gt;"",EDATE($D132,Milestones!$AA$40)&gt;=$S132),$V132,$U132)))=Milestones!$AB$40),UPPER(TEXT(EDATE($D132,Milestones!$AA$40),"dd mmm yy"))&amp;" "&amp;Milestones!$AB$40&amp;" "&amp;Milestones!$AC$40&amp;";  ","")&amp;IF(AND(EDATE($D132,Milestones!$AA$41)&lt;=AsOfDate,IF($R132=0,$X132,IF(AND($T132&lt;&gt;"",EDATE($D132,Milestones!$AA$41)&gt;=$T132),$W132,IF(AND($S132&lt;&gt;"",EDATE($D132,Milestones!$AA$41)&gt;=$S132),$V132,$U132)))=Milestones!$AB$41),UPPER(TEXT(EDATE($D132,Milestones!$AA$41),"dd mmm yy"))&amp;" "&amp;Milestones!$AB$41&amp;" "&amp;Milestones!$AC$41&amp;";  ","")&amp;IF(AND(EDATE($D132,Milestones!$AA$42)&lt;=AsOfDate,IF($R132=0,$X132,IF(AND($T132&lt;&gt;"",EDATE($D132,Milestones!$AA$42)&gt;=$T132),$W132,IF(AND($S132&lt;&gt;"",EDATE($D132,Milestones!$AA$42)&gt;=$S132),$V132,$U132)))=Milestones!$AB$42),UPPER(TEXT(EDATE($D132,Milestones!$AA$42),"dd mmm yy"))&amp;" "&amp;Milestones!$AB$42&amp;" "&amp;Milestones!$AC$42&amp;";  ","")&amp;IF(AND(EDATE($D132,Milestones!$AA$43)&lt;=AsOfDate,IF($R132=0,$X132,IF(AND($T132&lt;&gt;"",EDATE($D132,Milestones!$AA$43)&gt;=$T132),$W132,IF(AND($S132&lt;&gt;"",EDATE($D132,Milestones!$AA$43)&gt;=$S132),$V132,$U132)))=Milestones!$AB$43),UPPER(TEXT(EDATE($D132,Milestones!$AA$43),"dd mmm yy"))&amp;" "&amp;Milestones!$AB$43&amp;" "&amp;Milestones!$AC$43&amp;";  ","")&amp;IF(AND(EDATE($D132,Milestones!$AA$44)&lt;=AsOfDate,IF($R132=0,$X132,IF(AND($T132&lt;&gt;"",EDATE($D132,Milestones!$AA$44)&gt;=$T132),$W132,IF(AND($S132&lt;&gt;"",EDATE($D132,Milestones!$AA$44)&gt;=$S132),$V132,$U132)))=Milestones!$AB$44),UPPER(TEXT(EDATE($D132,Milestones!$AA$44),"dd mmm yy"))&amp;" "&amp;Milestones!$AB$44&amp;" "&amp;Milestones!$AC$44&amp;";  ","")&amp;IF(AND(EDATE($D132,Milestones!$AA$45)&lt;=AsOfDate,IF($R132=0,$X132,IF(AND($T132&lt;&gt;"",EDATE($D132,Milestones!$AA$45)&gt;=$T132),$W132,IF(AND($S132&lt;&gt;"",EDATE($D132,Milestones!$AA$45)&gt;=$S132),$V132,$U132)))=Milestones!$AB$45),UPPER(TEXT(EDATE($D132,Milestones!$AA$45),"dd mmm yy"))&amp;" "&amp;Milestones!$AB$45&amp;" "&amp;Milestones!$AC$45&amp;";  ","")&amp;IF(AND(EDATE($D132,Milestones!$AA$46)&lt;=AsOfDate,IF($R132=0,$X132,IF(AND($T132&lt;&gt;"",EDATE($D132,Milestones!$AA$46)&gt;=$T132),$W132,IF(AND($S132&lt;&gt;"",EDATE($D132,Milestones!$AA$46)&gt;=$S132),$V132,$U132)))=Milestones!$AB$46),UPPER(TEXT(EDATE($D132,Milestones!$AA$46),"dd mmm yy"))&amp;" "&amp;Milestones!$AB$46&amp;" "&amp;Milestones!$AC$46&amp;";  ","")&amp;IF(AND(EDATE($D132,Milestones!$AA$47)&lt;=AsOfDate,IF($R132=0,$X132,IF(AND($T132&lt;&gt;"",EDATE($D132,Milestones!$AA$47)&gt;=$T132),$W132,IF(AND($S132&lt;&gt;"",EDATE($D132,Milestones!$AA$47)&gt;=$S132),$V132,$U132)))=Milestones!$AB$47),UPPER(TEXT(EDATE($D132,Milestones!$AA$47),"dd mmm yy"))&amp;" "&amp;Milestones!$AB$47&amp;" "&amp;Milestones!$AC$47&amp;";  ","")&amp;IF(AND(EDATE($D132,Milestones!$AA$48)&lt;=AsOfDate,IF($R132=0,$X132,IF(AND($T132&lt;&gt;"",EDATE($D132,Milestones!$AA$48)&gt;=$T132),$W132,IF(AND($S132&lt;&gt;"",EDATE($D132,Milestones!$AA$48)&gt;=$S132),$V132,$U132)))=Milestones!$AB$48),UPPER(TEXT(EDATE($D132,Milestones!$AA$48),"dd mmm yy"))&amp;" "&amp;Milestones!$AB$48&amp;" "&amp;Milestones!$AC$48&amp;";  ","")&amp;IF(AND(EDATE($D132,Milestones!$AA$49)&lt;=AsOfDate,IF($R132=0,$X132,IF(AND($T132&lt;&gt;"",EDATE($D132,Milestones!$AA$49)&gt;=$T132),$W132,IF(AND($S132&lt;&gt;"",EDATE($D132,Milestones!$AA$49)&gt;=$S132),$V132,$U132)))=Milestones!$AB$49),UPPER(TEXT(EDATE($D132,Milestones!$AA$49),"dd mmm yy"))&amp;" "&amp;Milestones!$AB$49&amp;" "&amp;Milestones!$AC$49&amp;";  ","")&amp;IF(AND(EDATE($D132,Milestones!$AA$50)&lt;=AsOfDate,IF($R132=0,$X132,IF(AND($T132&lt;&gt;"",EDATE($D132,Milestones!$AA$50)&gt;=$T132),$W132,IF(AND($S132&lt;&gt;"",EDATE($D132,Milestones!$AA$50)&gt;=$S132),$V132,$U132)))=Milestones!$AB$50),UPPER(TEXT(EDATE($D132,Milestones!$AA$50),"dd mmm yy"))&amp;" "&amp;Milestones!$AB$50&amp;" "&amp;Milestones!$AC$50&amp;";  ","")&amp;IF(AND(EDATE($D132,Milestones!$AA$51)&lt;=AsOfDate,IF($R132=0,$X132,IF(AND($T132&lt;&gt;"",EDATE($D132,Milestones!$AA$51)&gt;=$T132),$W132,IF(AND($S132&lt;&gt;"",EDATE($D132,Milestones!$AA$51)&gt;=$S132),$V132,$U132)))=Milestones!$AB$51),UPPER(TEXT(EDATE($D132,Milestones!$AA$51),"dd mmm yy"))&amp;" "&amp;Milestones!$AB$51&amp;" "&amp;Milestones!$AC$51&amp;";  ","")&amp;IF(AND(EDATE($D132,Milestones!$AA$52)&lt;=AsOfDate,IF($R132=0,$X132,IF(AND($T132&lt;&gt;"",EDATE($D132,Milestones!$AA$52)&gt;=$T132),$W132,IF(AND($S132&lt;&gt;"",EDATE($D132,Milestones!$AA$52)&gt;=$S132),$V132,$U132)))=Milestones!$AB$52),UPPER(TEXT(EDATE($D132,Milestones!$AA$52),"dd mmm yy"))&amp;" "&amp;Milestones!$AB$52&amp;" "&amp;Milestones!$AC$52&amp;";  ","")&amp;IF(AND(EDATE($D132,Milestones!$AA$53)&lt;=AsOfDate,IF($R132=0,$X132,IF(AND($T132&lt;&gt;"",EDATE($D132,Milestones!$AA$53)&gt;=$T132),$W132,IF(AND($S132&lt;&gt;"",EDATE($D132,Milestones!$AA$53)&gt;=$S132),$V132,$U132)))=Milestones!$AB$53),UPPER(TEXT(EDATE($D132,Milestones!$AA$53),"dd mmm yy"))&amp;" "&amp;Milestones!$AB$53&amp;" "&amp;Milestones!$AC$53&amp;";  ","")&amp;IF(AND(EDATE($D132,Milestones!$AA$54)&lt;=AsOfDate,IF($R132=0,$X132,IF(AND($T132&lt;&gt;"",EDATE($D132,Milestones!$AA$54)&gt;=$T132),$W132,IF(AND($S132&lt;&gt;"",EDATE($D132,Milestones!$AA$54)&gt;=$S132),$V132,$U132)))=Milestones!$AB$54),UPPER(TEXT(EDATE($D132,Milestones!$AA$54),"dd mmm yy"))&amp;" "&amp;Milestones!$AB$54&amp;" "&amp;Milestones!$AC$54&amp;";  ","")&amp;IF(AND(EDATE($D132,Milestones!$AA$55)&lt;=AsOfDate,IF($R132=0,$X132,IF(AND($T132&lt;&gt;"",EDATE($D132,Milestones!$AA$55)&gt;=$T132),$W132,IF(AND($S132&lt;&gt;"",EDATE($D132,Milestones!$AA$55)&gt;=$S132),$V132,$U132)))=Milestones!$AB$55),UPPER(TEXT(EDATE($D132,Milestones!$AA$55),"dd mmm yy"))&amp;" "&amp;Milestones!$AB$55&amp;" "&amp;Milestones!$AC$55&amp;";  ","")&amp;IF(AND(EDATE($D132,Milestones!$AA$56)&lt;=AsOfDate,IF($R132=0,$X132,IF(AND($T132&lt;&gt;"",EDATE($D132,Milestones!$AA$56)&gt;=$T132),$W132,IF(AND($S132&lt;&gt;"",EDATE($D132,Milestones!$AA$56)&gt;=$S132),$V132,$U132)))=Milestones!$AB$56),UPPER(TEXT(EDATE($D132,Milestones!$AA$56),"dd mmm yy"))&amp;" "&amp;Milestones!$AB$56&amp;" "&amp;Milestones!$AC$56&amp;";  ","")&amp;IF(AND(EDATE($D132,Milestones!$AA$57)&lt;=AsOfDate,IF($R132=0,$X132,IF(AND($T132&lt;&gt;"",EDATE($D132,Milestones!$AA$57)&gt;=$T132),$W132,IF(AND($S132&lt;&gt;"",EDATE($D132,Milestones!$AA$57)&gt;=$S132),$V132,$U132)))=Milestones!$AB$57),UPPER(TEXT(EDATE($D132,Milestones!$AA$57),"dd mmm yy"))&amp;" "&amp;Milestones!$AB$57&amp;" "&amp;Milestones!$AC$57&amp;";  ","")&amp;IF(AND(EDATE($D132,Milestones!$AA$58)&lt;=AsOfDate,IF($R132=0,$X132,IF(AND($T132&lt;&gt;"",EDATE($D132,Milestones!$AA$58)&gt;=$T132),$W132,IF(AND($S132&lt;&gt;"",EDATE($D132,Milestones!$AA$58)&gt;=$S132),$V132,$U132)))=Milestones!$AB$58),UPPER(TEXT(EDATE($D132,Milestones!$AA$58),"dd mmm yy"))&amp;" "&amp;Milestones!$AB$58&amp;" "&amp;Milestones!$AC$58&amp;";  ","")&amp;IF(AND(EDATE($D132,Milestones!$AA$59)&lt;=AsOfDate,IF($R132=0,$X132,IF(AND($T132&lt;&gt;"",EDATE($D132,Milestones!$AA$59)&gt;=$T132),$W132,IF(AND($S132&lt;&gt;"",EDATE($D132,Milestones!$AA$59)&gt;=$S132),$V132,$U132)))=Milestones!$AB$59),UPPER(TEXT(EDATE($D132,Milestones!$AA$59),"dd mmm yy"))&amp;" "&amp;Milestones!$AB$59&amp;" "&amp;Milestones!$AC$59&amp;";  ",""))</f>
        <v/>
      </c>
      <c r="K132" s="0" t="str">
        <f aca="false">IF(OR($A132="",$D132=""),"",IF(AND(EDATE($D132,Milestones!$AA$60)&lt;=AsOfDate,IF($R132=0,$X132,IF(AND($T132&lt;&gt;"",EDATE($D132,Milestones!$AA$60)&gt;=$T132),$W132,IF(AND($S132&lt;&gt;"",EDATE($D132,Milestones!$AA$60)&gt;=$S132),$V132,$U132)))=Milestones!$AB$60),UPPER(TEXT(EDATE($D132,Milestones!$AA$60),"dd mmm yy"))&amp;" "&amp;Milestones!$AB$60&amp;" "&amp;Milestones!$AC$60&amp;";  ","")&amp;IF(AND(EDATE($D132,Milestones!$AA$61)&lt;=AsOfDate,IF($R132=0,$X132,IF(AND($T132&lt;&gt;"",EDATE($D132,Milestones!$AA$61)&gt;=$T132),$W132,IF(AND($S132&lt;&gt;"",EDATE($D132,Milestones!$AA$61)&gt;=$S132),$V132,$U132)))=Milestones!$AB$61),UPPER(TEXT(EDATE($D132,Milestones!$AA$61),"dd mmm yy"))&amp;" "&amp;Milestones!$AB$61&amp;" "&amp;Milestones!$AC$61&amp;";  ","")&amp;IF(AND(EDATE($D132,Milestones!$AA$62)&lt;=AsOfDate,IF($R132=0,$X132,IF(AND($T132&lt;&gt;"",EDATE($D132,Milestones!$AA$62)&gt;=$T132),$W132,IF(AND($S132&lt;&gt;"",EDATE($D132,Milestones!$AA$62)&gt;=$S132),$V132,$U132)))=Milestones!$AB$62),UPPER(TEXT(EDATE($D132,Milestones!$AA$62),"dd mmm yy"))&amp;" "&amp;Milestones!$AB$62&amp;" "&amp;Milestones!$AC$62&amp;";  ","")&amp;IF(AND(EDATE($D132,Milestones!$AA$63)&lt;=AsOfDate,IF($R132=0,$X132,IF(AND($T132&lt;&gt;"",EDATE($D132,Milestones!$AA$63)&gt;=$T132),$W132,IF(AND($S132&lt;&gt;"",EDATE($D132,Milestones!$AA$63)&gt;=$S132),$V132,$U132)))=Milestones!$AB$63),UPPER(TEXT(EDATE($D132,Milestones!$AA$63),"dd mmm yy"))&amp;" "&amp;Milestones!$AB$63&amp;" "&amp;Milestones!$AC$63&amp;";  ","")&amp;IF(AND(EDATE($D132,Milestones!$AA$64)&lt;=AsOfDate,IF($R132=0,$X132,IF(AND($T132&lt;&gt;"",EDATE($D132,Milestones!$AA$64)&gt;=$T132),$W132,IF(AND($S132&lt;&gt;"",EDATE($D132,Milestones!$AA$64)&gt;=$S132),$V132,$U132)))=Milestones!$AB$64),UPPER(TEXT(EDATE($D132,Milestones!$AA$64),"dd mmm yy"))&amp;" "&amp;Milestones!$AB$64&amp;" "&amp;Milestones!$AC$64&amp;";  ","")&amp;IF(AND(EDATE($D132,Milestones!$AA$65)&lt;=AsOfDate,IF($R132=0,$X132,IF(AND($T132&lt;&gt;"",EDATE($D132,Milestones!$AA$65)&gt;=$T132),$W132,IF(AND($S132&lt;&gt;"",EDATE($D132,Milestones!$AA$65)&gt;=$S132),$V132,$U132)))=Milestones!$AB$65),UPPER(TEXT(EDATE($D132,Milestones!$AA$65),"dd mmm yy"))&amp;" "&amp;Milestones!$AB$65&amp;" "&amp;Milestones!$AC$65&amp;";  ","")&amp;IF(AND(EDATE($D132,Milestones!$AA$66)&lt;=AsOfDate,IF($R132=0,$X132,IF(AND($T132&lt;&gt;"",EDATE($D132,Milestones!$AA$66)&gt;=$T132),$W132,IF(AND($S132&lt;&gt;"",EDATE($D132,Milestones!$AA$66)&gt;=$S132),$V132,$U132)))=Milestones!$AB$66),UPPER(TEXT(EDATE($D132,Milestones!$AA$66),"dd mmm yy"))&amp;" "&amp;Milestones!$AB$66&amp;" "&amp;Milestones!$AC$66&amp;";  ","")&amp;IF(AND(EDATE($D132,Milestones!$AA$67)&lt;=AsOfDate,IF($R132=0,$X132,IF(AND($T132&lt;&gt;"",EDATE($D132,Milestones!$AA$67)&gt;=$T132),$W132,IF(AND($S132&lt;&gt;"",EDATE($D132,Milestones!$AA$67)&gt;=$S132),$V132,$U132)))=Milestones!$AB$67),UPPER(TEXT(EDATE($D132,Milestones!$AA$67),"dd mmm yy"))&amp;" "&amp;Milestones!$AB$67&amp;" "&amp;Milestones!$AC$67&amp;";  ","")&amp;IF(AND(EDATE($D132,Milestones!$AA$68)&lt;=AsOfDate,IF($R132=0,$X132,IF(AND($T132&lt;&gt;"",EDATE($D132,Milestones!$AA$68)&gt;=$T132),$W132,IF(AND($S132&lt;&gt;"",EDATE($D132,Milestones!$AA$68)&gt;=$S132),$V132,$U132)))=Milestones!$AB$68),UPPER(TEXT(EDATE($D132,Milestones!$AA$68),"dd mmm yy"))&amp;" "&amp;Milestones!$AB$68&amp;" "&amp;Milestones!$AC$68&amp;";  ","")&amp;IF(AND(EDATE($D132,Milestones!$AA$69)&lt;=AsOfDate,IF($R132=0,$X132,IF(AND($T132&lt;&gt;"",EDATE($D132,Milestones!$AA$69)&gt;=$T132),$W132,IF(AND($S132&lt;&gt;"",EDATE($D132,Milestones!$AA$69)&gt;=$S132),$V132,$U132)))=Milestones!$AB$69),UPPER(TEXT(EDATE($D132,Milestones!$AA$69),"dd mmm yy"))&amp;" "&amp;Milestones!$AB$69&amp;" "&amp;Milestones!$AC$69&amp;";  ","")&amp;IF(AND(EDATE($D132,Milestones!$AA$70)&lt;=AsOfDate,IF($R132=0,$X132,IF(AND($T132&lt;&gt;"",EDATE($D132,Milestones!$AA$70)&gt;=$T132),$W132,IF(AND($S132&lt;&gt;"",EDATE($D132,Milestones!$AA$70)&gt;=$S132),$V132,$U132)))=Milestones!$AB$70),UPPER(TEXT(EDATE($D132,Milestones!$AA$70),"dd mmm yy"))&amp;" "&amp;Milestones!$AB$70&amp;" "&amp;Milestones!$AC$70&amp;";  ","")&amp;IF(AND(EDATE($D132,Milestones!$AA$71)&lt;=AsOfDate,IF($R132=0,$X132,IF(AND($T132&lt;&gt;"",EDATE($D132,Milestones!$AA$71)&gt;=$T132),$W132,IF(AND($S132&lt;&gt;"",EDATE($D132,Milestones!$AA$71)&gt;=$S132),$V132,$U132)))=Milestones!$AB$71),UPPER(TEXT(EDATE($D132,Milestones!$AA$71),"dd mmm yy"))&amp;" "&amp;Milestones!$AB$71&amp;" "&amp;Milestones!$AC$71&amp;";  ","")&amp;IF(AND(EDATE($D132,Milestones!$AA$72)&lt;=AsOfDate,IF($R132=0,$X132,IF(AND($T132&lt;&gt;"",EDATE($D132,Milestones!$AA$72)&gt;=$T132),$W132,IF(AND($S132&lt;&gt;"",EDATE($D132,Milestones!$AA$72)&gt;=$S132),$V132,$U132)))=Milestones!$AB$72),UPPER(TEXT(EDATE($D132,Milestones!$AA$72),"dd mmm yy"))&amp;" "&amp;Milestones!$AB$72&amp;" "&amp;Milestones!$AC$72&amp;";  ","")&amp;IF(AND(EDATE($D132,Milestones!$AA$73)&lt;=AsOfDate,IF($R132=0,$X132,IF(AND($T132&lt;&gt;"",EDATE($D132,Milestones!$AA$73)&gt;=$T132),$W132,IF(AND($S132&lt;&gt;"",EDATE($D132,Milestones!$AA$73)&gt;=$S132),$V132,$U132)))=Milestones!$AB$73),UPPER(TEXT(EDATE($D132,Milestones!$AA$73),"dd mmm yy"))&amp;" "&amp;Milestones!$AB$73&amp;" "&amp;Milestones!$AC$73&amp;";  ","")&amp;IF(AND(EDATE($D132,Milestones!$AA$74)&lt;=AsOfDate,IF($R132=0,$X132,IF(AND($T132&lt;&gt;"",EDATE($D132,Milestones!$AA$74)&gt;=$T132),$W132,IF(AND($S132&lt;&gt;"",EDATE($D132,Milestones!$AA$74)&gt;=$S132),$V132,$U132)))=Milestones!$AB$74),UPPER(TEXT(EDATE($D132,Milestones!$AA$74),"dd mmm yy"))&amp;" "&amp;Milestones!$AB$74&amp;" "&amp;Milestones!$AC$74&amp;";  ","")&amp;IF(AND(EDATE($D132,Milestones!$AA$75)&lt;=AsOfDate,IF($R132=0,$X132,IF(AND($T132&lt;&gt;"",EDATE($D132,Milestones!$AA$75)&gt;=$T132),$W132,IF(AND($S132&lt;&gt;"",EDATE($D132,Milestones!$AA$75)&gt;=$S132),$V132,$U132)))=Milestones!$AB$75),UPPER(TEXT(EDATE($D132,Milestones!$AA$75),"dd mmm yy"))&amp;" "&amp;Milestones!$AB$75&amp;" "&amp;Milestones!$AC$75&amp;";  ","")&amp;IF(AND(EDATE($D132,Milestones!$AA$76)&lt;=AsOfDate,IF($R132=0,$X132,IF(AND($T132&lt;&gt;"",EDATE($D132,Milestones!$AA$76)&gt;=$T132),$W132,IF(AND($S132&lt;&gt;"",EDATE($D132,Milestones!$AA$76)&gt;=$S132),$V132,$U132)))=Milestones!$AB$76),UPPER(TEXT(EDATE($D132,Milestones!$AA$76),"dd mmm yy"))&amp;" "&amp;Milestones!$AB$76&amp;" "&amp;Milestones!$AC$76&amp;";  ","")&amp;IF(AND(EDATE($D132,Milestones!$AA$77)&lt;=AsOfDate,IF($R132=0,$X132,IF(AND($T132&lt;&gt;"",EDATE($D132,Milestones!$AA$77)&gt;=$T132),$W132,IF(AND($S132&lt;&gt;"",EDATE($D132,Milestones!$AA$77)&gt;=$S132),$V132,$U132)))=Milestones!$AB$77),UPPER(TEXT(EDATE($D132,Milestones!$AA$77),"dd mmm yy"))&amp;" "&amp;Milestones!$AB$77&amp;" "&amp;Milestones!$AC$77&amp;";  ","")&amp;IF(AND(EDATE($D132,Milestones!$AA$78)&lt;=AsOfDate,IF($R132=0,$X132,IF(AND($T132&lt;&gt;"",EDATE($D132,Milestones!$AA$78)&gt;=$T132),$W132,IF(AND($S132&lt;&gt;"",EDATE($D132,Milestones!$AA$78)&gt;=$S132),$V132,$U132)))=Milestones!$AB$78),UPPER(TEXT(EDATE($D132,Milestones!$AA$78),"dd mmm yy"))&amp;" "&amp;Milestones!$AB$78&amp;" "&amp;Milestones!$AC$78&amp;";  ","")&amp;IF(AND(EDATE($D132,Milestones!$AA$79)&lt;=AsOfDate,IF($R132=0,$X132,IF(AND($T132&lt;&gt;"",EDATE($D132,Milestones!$AA$79)&gt;=$T132),$W132,IF(AND($S132&lt;&gt;"",EDATE($D132,Milestones!$AA$79)&gt;=$S132),$V132,$U132)))=Milestones!$AB$79),UPPER(TEXT(EDATE($D132,Milestones!$AA$79),"dd mmm yy"))&amp;" "&amp;Milestones!$AB$79&amp;" "&amp;Milestones!$AC$79&amp;";  ",""))</f>
        <v/>
      </c>
      <c r="L132" s="0" t="str">
        <f aca="false">IF(OR($A132="",$D132=""),"",IF(AND(EDATE($D132,Milestones!$AA$80)&lt;=AsOfDate,IF($R132=0,$X132,IF(AND($T132&lt;&gt;"",EDATE($D132,Milestones!$AA$80)&gt;=$T132),$W132,IF(AND($S132&lt;&gt;"",EDATE($D132,Milestones!$AA$80)&gt;=$S132),$V132,$U132)))=Milestones!$AB$80),UPPER(TEXT(EDATE($D132,Milestones!$AA$80),"dd mmm yy"))&amp;" "&amp;Milestones!$AB$80&amp;" "&amp;Milestones!$AC$80&amp;";  ","")&amp;IF(AND(EDATE($D132,Milestones!$AA$81)&lt;=AsOfDate,IF($R132=0,$X132,IF(AND($T132&lt;&gt;"",EDATE($D132,Milestones!$AA$81)&gt;=$T132),$W132,IF(AND($S132&lt;&gt;"",EDATE($D132,Milestones!$AA$81)&gt;=$S132),$V132,$U132)))=Milestones!$AB$81),UPPER(TEXT(EDATE($D132,Milestones!$AA$81),"dd mmm yy"))&amp;" "&amp;Milestones!$AB$81&amp;" "&amp;Milestones!$AC$81&amp;";  ","")&amp;IF(AND(EDATE($D132,Milestones!$AA$82)&lt;=AsOfDate,IF($R132=0,$X132,IF(AND($T132&lt;&gt;"",EDATE($D132,Milestones!$AA$82)&gt;=$T132),$W132,IF(AND($S132&lt;&gt;"",EDATE($D132,Milestones!$AA$82)&gt;=$S132),$V132,$U132)))=Milestones!$AB$82),UPPER(TEXT(EDATE($D132,Milestones!$AA$82),"dd mmm yy"))&amp;" "&amp;Milestones!$AB$82&amp;" "&amp;Milestones!$AC$82&amp;";  ","")&amp;IF(AND(EDATE($D132,Milestones!$AA$83)&lt;=AsOfDate,IF($R132=0,$X132,IF(AND($T132&lt;&gt;"",EDATE($D132,Milestones!$AA$83)&gt;=$T132),$W132,IF(AND($S132&lt;&gt;"",EDATE($D132,Milestones!$AA$83)&gt;=$S132),$V132,$U132)))=Milestones!$AB$83),UPPER(TEXT(EDATE($D132,Milestones!$AA$83),"dd mmm yy"))&amp;" "&amp;Milestones!$AB$83&amp;" "&amp;Milestones!$AC$83&amp;";  ","")&amp;IF(AND(EDATE($D132,Milestones!$AA$84)&lt;=AsOfDate,IF($R132=0,$X132,IF(AND($T132&lt;&gt;"",EDATE($D132,Milestones!$AA$84)&gt;=$T132),$W132,IF(AND($S132&lt;&gt;"",EDATE($D132,Milestones!$AA$84)&gt;=$S132),$V132,$U132)))=Milestones!$AB$84),UPPER(TEXT(EDATE($D132,Milestones!$AA$84),"dd mmm yy"))&amp;" "&amp;Milestones!$AB$84&amp;" "&amp;Milestones!$AC$84&amp;";  ","")&amp;IF(AND(EDATE($D132,Milestones!$AA$85)&lt;=AsOfDate,IF($R132=0,$X132,IF(AND($T132&lt;&gt;"",EDATE($D132,Milestones!$AA$85)&gt;=$T132),$W132,IF(AND($S132&lt;&gt;"",EDATE($D132,Milestones!$AA$85)&gt;=$S132),$V132,$U132)))=Milestones!$AB$85),UPPER(TEXT(EDATE($D132,Milestones!$AA$85),"dd mmm yy"))&amp;" "&amp;Milestones!$AB$85&amp;" "&amp;Milestones!$AC$85&amp;";  ","")&amp;IF(AND(EDATE($D132,Milestones!$AA$86)&lt;=AsOfDate,IF($R132=0,$X132,IF(AND($T132&lt;&gt;"",EDATE($D132,Milestones!$AA$86)&gt;=$T132),$W132,IF(AND($S132&lt;&gt;"",EDATE($D132,Milestones!$AA$86)&gt;=$S132),$V132,$U132)))=Milestones!$AB$86),UPPER(TEXT(EDATE($D132,Milestones!$AA$86),"dd mmm yy"))&amp;" "&amp;Milestones!$AB$86&amp;" "&amp;Milestones!$AC$86&amp;";  ","")&amp;IF(AND(EDATE($D132,Milestones!$AA$87)&lt;=AsOfDate,IF($R132=0,$X132,IF(AND($T132&lt;&gt;"",EDATE($D132,Milestones!$AA$87)&gt;=$T132),$W132,IF(AND($S132&lt;&gt;"",EDATE($D132,Milestones!$AA$87)&gt;=$S132),$V132,$U132)))=Milestones!$AB$87),UPPER(TEXT(EDATE($D132,Milestones!$AA$87),"dd mmm yy"))&amp;" "&amp;Milestones!$AB$87&amp;" "&amp;Milestones!$AC$87&amp;";  ","")&amp;IF(AND(EDATE($D132,Milestones!$AA$88)&lt;=AsOfDate,IF($R132=0,$X132,IF(AND($T132&lt;&gt;"",EDATE($D132,Milestones!$AA$88)&gt;=$T132),$W132,IF(AND($S132&lt;&gt;"",EDATE($D132,Milestones!$AA$88)&gt;=$S132),$V132,$U132)))=Milestones!$AB$88),UPPER(TEXT(EDATE($D132,Milestones!$AA$88),"dd mmm yy"))&amp;" "&amp;Milestones!$AB$88&amp;" "&amp;Milestones!$AC$88&amp;";  ","")&amp;IF(AND(EDATE($D132,Milestones!$AA$89)&lt;=AsOfDate,IF($R132=0,$X132,IF(AND($T132&lt;&gt;"",EDATE($D132,Milestones!$AA$89)&gt;=$T132),$W132,IF(AND($S132&lt;&gt;"",EDATE($D132,Milestones!$AA$89)&gt;=$S132),$V132,$U132)))=Milestones!$AB$89),UPPER(TEXT(EDATE($D132,Milestones!$AA$89),"dd mmm yy"))&amp;" "&amp;Milestones!$AB$89&amp;" "&amp;Milestones!$AC$89&amp;";  ","")&amp;IF(AND(EDATE($D132,Milestones!$AA$90)&lt;=AsOfDate,IF($R132=0,$X132,IF(AND($T132&lt;&gt;"",EDATE($D132,Milestones!$AA$90)&gt;=$T132),$W132,IF(AND($S132&lt;&gt;"",EDATE($D132,Milestones!$AA$90)&gt;=$S132),$V132,$U132)))=Milestones!$AB$90),UPPER(TEXT(EDATE($D132,Milestones!$AA$90),"dd mmm yy"))&amp;" "&amp;Milestones!$AB$90&amp;" "&amp;Milestones!$AC$90&amp;";  ","")&amp;IF(AND(EDATE($D132,Milestones!$AA$91)&lt;=AsOfDate,IF($R132=0,$X132,IF(AND($T132&lt;&gt;"",EDATE($D132,Milestones!$AA$91)&gt;=$T132),$W132,IF(AND($S132&lt;&gt;"",EDATE($D132,Milestones!$AA$91)&gt;=$S132),$V132,$U132)))=Milestones!$AB$91),UPPER(TEXT(EDATE($D132,Milestones!$AA$91),"dd mmm yy"))&amp;" "&amp;Milestones!$AB$91&amp;" "&amp;Milestones!$AC$91&amp;";  ","")&amp;IF(AND(EDATE($D132,Milestones!$AA$92)&lt;=AsOfDate,IF($R132=0,$X132,IF(AND($T132&lt;&gt;"",EDATE($D132,Milestones!$AA$92)&gt;=$T132),$W132,IF(AND($S132&lt;&gt;"",EDATE($D132,Milestones!$AA$92)&gt;=$S132),$V132,$U132)))=Milestones!$AB$92),UPPER(TEXT(EDATE($D132,Milestones!$AA$92),"dd mmm yy"))&amp;" "&amp;Milestones!$AB$92&amp;" "&amp;Milestones!$AC$92&amp;";  ","")&amp;IF(AND(EDATE($D132,Milestones!$AA$93)&lt;=AsOfDate,IF($R132=0,$X132,IF(AND($T132&lt;&gt;"",EDATE($D132,Milestones!$AA$93)&gt;=$T132),$W132,IF(AND($S132&lt;&gt;"",EDATE($D132,Milestones!$AA$93)&gt;=$S132),$V132,$U132)))=Milestones!$AB$93),UPPER(TEXT(EDATE($D132,Milestones!$AA$93),"dd mmm yy"))&amp;" "&amp;Milestones!$AB$93&amp;" "&amp;Milestones!$AC$93&amp;";  ","")&amp;IF(AND(EDATE($D132,Milestones!$AA$94)&lt;=AsOfDate,IF($R132=0,$X132,IF(AND($T132&lt;&gt;"",EDATE($D132,Milestones!$AA$94)&gt;=$T132),$W132,IF(AND($S132&lt;&gt;"",EDATE($D132,Milestones!$AA$94)&gt;=$S132),$V132,$U132)))=Milestones!$AB$94),UPPER(TEXT(EDATE($D132,Milestones!$AA$94),"dd mmm yy"))&amp;" "&amp;Milestones!$AB$94&amp;" "&amp;Milestones!$AC$94&amp;";  ","")&amp;IF(AND(EDATE($D132,Milestones!$AA$95)&lt;=AsOfDate,IF($R132=0,$X132,IF(AND($T132&lt;&gt;"",EDATE($D132,Milestones!$AA$95)&gt;=$T132),$W132,IF(AND($S132&lt;&gt;"",EDATE($D132,Milestones!$AA$95)&gt;=$S132),$V132,$U132)))=Milestones!$AB$95),UPPER(TEXT(EDATE($D132,Milestones!$AA$95),"dd mmm yy"))&amp;" "&amp;Milestones!$AB$95&amp;" "&amp;Milestones!$AC$95&amp;";  ","")&amp;IF(AND(EDATE($D132,Milestones!$AA$96)&lt;=AsOfDate,IF($R132=0,$X132,IF(AND($T132&lt;&gt;"",EDATE($D132,Milestones!$AA$96)&gt;=$T132),$W132,IF(AND($S132&lt;&gt;"",EDATE($D132,Milestones!$AA$96)&gt;=$S132),$V132,$U132)))=Milestones!$AB$96),UPPER(TEXT(EDATE($D132,Milestones!$AA$96),"dd mmm yy"))&amp;" "&amp;Milestones!$AB$96&amp;" "&amp;Milestones!$AC$96&amp;";  ","")&amp;IF(AND(EDATE($D132,Milestones!$AA$97)&lt;=AsOfDate,IF($R132=0,$X132,IF(AND($T132&lt;&gt;"",EDATE($D132,Milestones!$AA$97)&gt;=$T132),$W132,IF(AND($S132&lt;&gt;"",EDATE($D132,Milestones!$AA$97)&gt;=$S132),$V132,$U132)))=Milestones!$AB$97),UPPER(TEXT(EDATE($D132,Milestones!$AA$97),"dd mmm yy"))&amp;" "&amp;Milestones!$AB$97&amp;" "&amp;Milestones!$AC$97&amp;";  ","")&amp;IF(AND(EDATE($D132,Milestones!$AA$98)&lt;=AsOfDate,IF($R132=0,$X132,IF(AND($T132&lt;&gt;"",EDATE($D132,Milestones!$AA$98)&gt;=$T132),$W132,IF(AND($S132&lt;&gt;"",EDATE($D132,Milestones!$AA$98)&gt;=$S132),$V132,$U132)))=Milestones!$AB$98),UPPER(TEXT(EDATE($D132,Milestones!$AA$98),"dd mmm yy"))&amp;" "&amp;Milestones!$AB$98&amp;" "&amp;Milestones!$AC$98&amp;";  ","")&amp;IF(AND(EDATE($D132,Milestones!$AA$99)&lt;=AsOfDate,IF($R132=0,$X132,IF(AND($T132&lt;&gt;"",EDATE($D132,Milestones!$AA$99)&gt;=$T132),$W132,IF(AND($S132&lt;&gt;"",EDATE($D132,Milestones!$AA$99)&gt;=$S132),$V132,$U132)))=Milestones!$AB$99),UPPER(TEXT(EDATE($D132,Milestones!$AA$99),"dd mmm yy"))&amp;" "&amp;Milestones!$AB$99&amp;" "&amp;Milestones!$AC$99&amp;";  ",""))</f>
        <v/>
      </c>
      <c r="M132" s="0" t="str">
        <f aca="false">IF(OR($A132="",$D132=""),"",IF(AND(EDATE($D132,Milestones!$AA$100)&lt;=AsOfDate,IF($R132=0,$X132,IF(AND($T132&lt;&gt;"",EDATE($D132,Milestones!$AA$100)&gt;=$T132),$W132,IF(AND($S132&lt;&gt;"",EDATE($D132,Milestones!$AA$100)&gt;=$S132),$V132,$U132)))=Milestones!$AB$100),UPPER(TEXT(EDATE($D132,Milestones!$AA$100),"dd mmm yy"))&amp;" "&amp;Milestones!$AB$100&amp;" "&amp;Milestones!$AC$100&amp;";  ","")&amp;IF(AND(EDATE($D132,Milestones!$AA$101)&lt;=AsOfDate,IF($R132=0,$X132,IF(AND($T132&lt;&gt;"",EDATE($D132,Milestones!$AA$101)&gt;=$T132),$W132,IF(AND($S132&lt;&gt;"",EDATE($D132,Milestones!$AA$101)&gt;=$S132),$V132,$U132)))=Milestones!$AB$101),UPPER(TEXT(EDATE($D132,Milestones!$AA$101),"dd mmm yy"))&amp;" "&amp;Milestones!$AB$101&amp;" "&amp;Milestones!$AC$101&amp;";  ","")&amp;IF(AND(EDATE($D132,Milestones!$AA$102)&lt;=AsOfDate,IF($R132=0,$X132,IF(AND($T132&lt;&gt;"",EDATE($D132,Milestones!$AA$102)&gt;=$T132),$W132,IF(AND($S132&lt;&gt;"",EDATE($D132,Milestones!$AA$102)&gt;=$S132),$V132,$U132)))=Milestones!$AB$102),UPPER(TEXT(EDATE($D132,Milestones!$AA$102),"dd mmm yy"))&amp;" "&amp;Milestones!$AB$102&amp;" "&amp;Milestones!$AC$102&amp;";  ","")&amp;IF(AND(EDATE($D132,Milestones!$AA$103)&lt;=AsOfDate,IF($R132=0,$X132,IF(AND($T132&lt;&gt;"",EDATE($D132,Milestones!$AA$103)&gt;=$T132),$W132,IF(AND($S132&lt;&gt;"",EDATE($D132,Milestones!$AA$103)&gt;=$S132),$V132,$U132)))=Milestones!$AB$103),UPPER(TEXT(EDATE($D132,Milestones!$AA$103),"dd mmm yy"))&amp;" "&amp;Milestones!$AB$103&amp;" "&amp;Milestones!$AC$103&amp;";  ","")&amp;IF(AND(EDATE($D132,Milestones!$AA$104)&lt;=AsOfDate,IF($R132=0,$X132,IF(AND($T132&lt;&gt;"",EDATE($D132,Milestones!$AA$104)&gt;=$T132),$W132,IF(AND($S132&lt;&gt;"",EDATE($D132,Milestones!$AA$104)&gt;=$S132),$V132,$U132)))=Milestones!$AB$104),UPPER(TEXT(EDATE($D132,Milestones!$AA$104),"dd mmm yy"))&amp;" "&amp;Milestones!$AB$104&amp;" "&amp;Milestones!$AC$104&amp;";  ","")&amp;IF(AND(EDATE($D132,Milestones!$AA$105)&lt;=AsOfDate,IF($R132=0,$X132,IF(AND($T132&lt;&gt;"",EDATE($D132,Milestones!$AA$105)&gt;=$T132),$W132,IF(AND($S132&lt;&gt;"",EDATE($D132,Milestones!$AA$105)&gt;=$S132),$V132,$U132)))=Milestones!$AB$105),UPPER(TEXT(EDATE($D132,Milestones!$AA$105),"dd mmm yy"))&amp;" "&amp;Milestones!$AB$105&amp;" "&amp;Milestones!$AC$105&amp;";  ","")&amp;IF(AND(EDATE($D132,Milestones!$AA$106)&lt;=AsOfDate,IF($R132=0,$X132,IF(AND($T132&lt;&gt;"",EDATE($D132,Milestones!$AA$106)&gt;=$T132),$W132,IF(AND($S132&lt;&gt;"",EDATE($D132,Milestones!$AA$106)&gt;=$S132),$V132,$U132)))=Milestones!$AB$106),UPPER(TEXT(EDATE($D132,Milestones!$AA$106),"dd mmm yy"))&amp;" "&amp;Milestones!$AB$106&amp;" "&amp;Milestones!$AC$106&amp;";  ","")&amp;IF(AND(EDATE($D132,Milestones!$AA$107)&lt;=AsOfDate,IF($R132=0,$X132,IF(AND($T132&lt;&gt;"",EDATE($D132,Milestones!$AA$107)&gt;=$T132),$W132,IF(AND($S132&lt;&gt;"",EDATE($D132,Milestones!$AA$107)&gt;=$S132),$V132,$U132)))=Milestones!$AB$107),UPPER(TEXT(EDATE($D132,Milestones!$AA$107),"dd mmm yy"))&amp;" "&amp;Milestones!$AB$107&amp;" "&amp;Milestones!$AC$107&amp;";  ","")&amp;IF(AND(EDATE($D132,Milestones!$AA$108)&lt;=AsOfDate,IF($R132=0,$X132,IF(AND($T132&lt;&gt;"",EDATE($D132,Milestones!$AA$108)&gt;=$T132),$W132,IF(AND($S132&lt;&gt;"",EDATE($D132,Milestones!$AA$108)&gt;=$S132),$V132,$U132)))=Milestones!$AB$108),UPPER(TEXT(EDATE($D132,Milestones!$AA$108),"dd mmm yy"))&amp;" "&amp;Milestones!$AB$108&amp;" "&amp;Milestones!$AC$108&amp;";  ","")&amp;IF(AND(EDATE($D132,Milestones!$AA$109)&lt;=AsOfDate,IF($R132=0,$X132,IF(AND($T132&lt;&gt;"",EDATE($D132,Milestones!$AA$109)&gt;=$T132),$W132,IF(AND($S132&lt;&gt;"",EDATE($D132,Milestones!$AA$109)&gt;=$S132),$V132,$U132)))=Milestones!$AB$109),UPPER(TEXT(EDATE($D132,Milestones!$AA$109),"dd mmm yy"))&amp;" "&amp;Milestones!$AB$109&amp;" "&amp;Milestones!$AC$109&amp;";  ","")&amp;IF(AND(EDATE($D132,Milestones!$AA$110)&lt;=AsOfDate,IF($R132=0,$X132,IF(AND($T132&lt;&gt;"",EDATE($D132,Milestones!$AA$110)&gt;=$T132),$W132,IF(AND($S132&lt;&gt;"",EDATE($D132,Milestones!$AA$110)&gt;=$S132),$V132,$U132)))=Milestones!$AB$110),UPPER(TEXT(EDATE($D132,Milestones!$AA$110),"dd mmm yy"))&amp;" "&amp;Milestones!$AB$110&amp;" "&amp;Milestones!$AC$110&amp;";  ","")&amp;IF(AND(EDATE($D132,Milestones!$AA$111)&lt;=AsOfDate,IF($R132=0,$X132,IF(AND($T132&lt;&gt;"",EDATE($D132,Milestones!$AA$111)&gt;=$T132),$W132,IF(AND($S132&lt;&gt;"",EDATE($D132,Milestones!$AA$111)&gt;=$S132),$V132,$U132)))=Milestones!$AB$111),UPPER(TEXT(EDATE($D132,Milestones!$AA$111),"dd mmm yy"))&amp;" "&amp;Milestones!$AB$111&amp;" "&amp;Milestones!$AC$111&amp;";  ","")&amp;IF(AND(EDATE($D132,Milestones!$AA$112)&lt;=AsOfDate,IF($R132=0,$X132,IF(AND($T132&lt;&gt;"",EDATE($D132,Milestones!$AA$112)&gt;=$T132),$W132,IF(AND($S132&lt;&gt;"",EDATE($D132,Milestones!$AA$112)&gt;=$S132),$V132,$U132)))=Milestones!$AB$112),UPPER(TEXT(EDATE($D132,Milestones!$AA$112),"dd mmm yy"))&amp;" "&amp;Milestones!$AB$112&amp;" "&amp;Milestones!$AC$112&amp;";  ","")&amp;IF(AND(EDATE($D132,Milestones!$AA$113)&lt;=AsOfDate,IF($R132=0,$X132,IF(AND($T132&lt;&gt;"",EDATE($D132,Milestones!$AA$113)&gt;=$T132),$W132,IF(AND($S132&lt;&gt;"",EDATE($D132,Milestones!$AA$113)&gt;=$S132),$V132,$U132)))=Milestones!$AB$113),UPPER(TEXT(EDATE($D132,Milestones!$AA$113),"dd mmm yy"))&amp;" "&amp;Milestones!$AB$113&amp;" "&amp;Milestones!$AC$113&amp;";  ","")&amp;IF(AND(EDATE($D132,Milestones!$AA$114)&lt;=AsOfDate,IF($R132=0,$X132,IF(AND($T132&lt;&gt;"",EDATE($D132,Milestones!$AA$114)&gt;=$T132),$W132,IF(AND($S132&lt;&gt;"",EDATE($D132,Milestones!$AA$114)&gt;=$S132),$V132,$U132)))=Milestones!$AB$114),UPPER(TEXT(EDATE($D132,Milestones!$AA$114),"dd mmm yy"))&amp;" "&amp;Milestones!$AB$114&amp;" "&amp;Milestones!$AC$114&amp;";  ","")&amp;IF(AND(EDATE($D132,Milestones!$AA$115)&lt;=AsOfDate,IF($R132=0,$X132,IF(AND($T132&lt;&gt;"",EDATE($D132,Milestones!$AA$115)&gt;=$T132),$W132,IF(AND($S132&lt;&gt;"",EDATE($D132,Milestones!$AA$115)&gt;=$S132),$V132,$U132)))=Milestones!$AB$115),UPPER(TEXT(EDATE($D132,Milestones!$AA$115),"dd mmm yy"))&amp;" "&amp;Milestones!$AB$115&amp;" "&amp;Milestones!$AC$115&amp;";  ","")&amp;IF(AND(EDATE($D132,Milestones!$AA$116)&lt;=AsOfDate,IF($R132=0,$X132,IF(AND($T132&lt;&gt;"",EDATE($D132,Milestones!$AA$116)&gt;=$T132),$W132,IF(AND($S132&lt;&gt;"",EDATE($D132,Milestones!$AA$116)&gt;=$S132),$V132,$U132)))=Milestones!$AB$116),UPPER(TEXT(EDATE($D132,Milestones!$AA$116),"dd mmm yy"))&amp;" "&amp;Milestones!$AB$116&amp;" "&amp;Milestones!$AC$116&amp;";  ","")&amp;IF(AND(EDATE($D132,Milestones!$AA$117)&lt;=AsOfDate,IF($R132=0,$X132,IF(AND($T132&lt;&gt;"",EDATE($D132,Milestones!$AA$117)&gt;=$T132),$W132,IF(AND($S132&lt;&gt;"",EDATE($D132,Milestones!$AA$117)&gt;=$S132),$V132,$U132)))=Milestones!$AB$117),UPPER(TEXT(EDATE($D132,Milestones!$AA$117),"dd mmm yy"))&amp;" "&amp;Milestones!$AB$117&amp;" "&amp;Milestones!$AC$117&amp;";  ","")&amp;IF(AND(EDATE($D132,Milestones!$AA$118)&lt;=AsOfDate,IF($R132=0,$X132,IF(AND($T132&lt;&gt;"",EDATE($D132,Milestones!$AA$118)&gt;=$T132),$W132,IF(AND($S132&lt;&gt;"",EDATE($D132,Milestones!$AA$118)&gt;=$S132),$V132,$U132)))=Milestones!$AB$118),UPPER(TEXT(EDATE($D132,Milestones!$AA$118),"dd mmm yy"))&amp;" "&amp;Milestones!$AB$118&amp;" "&amp;Milestones!$AC$118&amp;";  ","")&amp;IF(AND(EDATE($D132,Milestones!$AA$119)&lt;=AsOfDate,IF($R132=0,$X132,IF(AND($T132&lt;&gt;"",EDATE($D132,Milestones!$AA$119)&gt;=$T132),$W132,IF(AND($S132&lt;&gt;"",EDATE($D132,Milestones!$AA$119)&gt;=$S132),$V132,$U132)))=Milestones!$AB$119),UPPER(TEXT(EDATE($D132,Milestones!$AA$119),"dd mmm yy"))&amp;" "&amp;Milestones!$AB$119&amp;" "&amp;Milestones!$AC$119&amp;";  ",""))</f>
        <v/>
      </c>
      <c r="N132" s="0" t="str">
        <f aca="false">IF(OR($A132="",$D132=""),"",IF(AND(EDATE($D132,Milestones!$AA$120)&lt;=AsOfDate,IF($R132=0,$X132,IF(AND($T132&lt;&gt;"",EDATE($D132,Milestones!$AA$120)&gt;=$T132),$W132,IF(AND($S132&lt;&gt;"",EDATE($D132,Milestones!$AA$120)&gt;=$S132),$V132,$U132)))=Milestones!$AB$120),UPPER(TEXT(EDATE($D132,Milestones!$AA$120),"dd mmm yy"))&amp;" "&amp;Milestones!$AB$120&amp;" "&amp;Milestones!$AC$120&amp;";  ","")&amp;IF(AND(EDATE($D132,Milestones!$AA$121)&lt;=AsOfDate,IF($R132=0,$X132,IF(AND($T132&lt;&gt;"",EDATE($D132,Milestones!$AA$121)&gt;=$T132),$W132,IF(AND($S132&lt;&gt;"",EDATE($D132,Milestones!$AA$121)&gt;=$S132),$V132,$U132)))=Milestones!$AB$121),UPPER(TEXT(EDATE($D132,Milestones!$AA$121),"dd mmm yy"))&amp;" "&amp;Milestones!$AB$121&amp;" "&amp;Milestones!$AC$121&amp;";  ","")&amp;IF(AND(EDATE($D132,Milestones!$AA$122)&lt;=AsOfDate,IF($R132=0,$X132,IF(AND($T132&lt;&gt;"",EDATE($D132,Milestones!$AA$122)&gt;=$T132),$W132,IF(AND($S132&lt;&gt;"",EDATE($D132,Milestones!$AA$122)&gt;=$S132),$V132,$U132)))=Milestones!$AB$122),UPPER(TEXT(EDATE($D132,Milestones!$AA$122),"dd mmm yy"))&amp;" "&amp;Milestones!$AB$122&amp;" "&amp;Milestones!$AC$122&amp;";  ","")&amp;IF(AND(EDATE($D132,Milestones!$AA$123)&lt;=AsOfDate,IF($R132=0,$X132,IF(AND($T132&lt;&gt;"",EDATE($D132,Milestones!$AA$123)&gt;=$T132),$W132,IF(AND($S132&lt;&gt;"",EDATE($D132,Milestones!$AA$123)&gt;=$S132),$V132,$U132)))=Milestones!$AB$123),UPPER(TEXT(EDATE($D132,Milestones!$AA$123),"dd mmm yy"))&amp;" "&amp;Milestones!$AB$123&amp;" "&amp;Milestones!$AC$123&amp;";  ","")&amp;IF(AND(EDATE($D132,Milestones!$AA$124)&lt;=AsOfDate,IF($R132=0,$X132,IF(AND($T132&lt;&gt;"",EDATE($D132,Milestones!$AA$124)&gt;=$T132),$W132,IF(AND($S132&lt;&gt;"",EDATE($D132,Milestones!$AA$124)&gt;=$S132),$V132,$U132)))=Milestones!$AB$124),UPPER(TEXT(EDATE($D132,Milestones!$AA$124),"dd mmm yy"))&amp;" "&amp;Milestones!$AB$124&amp;" "&amp;Milestones!$AC$124&amp;";  ","")&amp;IF(AND(EDATE($D132,Milestones!$AA$125)&lt;=AsOfDate,IF($R132=0,$X132,IF(AND($T132&lt;&gt;"",EDATE($D132,Milestones!$AA$125)&gt;=$T132),$W132,IF(AND($S132&lt;&gt;"",EDATE($D132,Milestones!$AA$125)&gt;=$S132),$V132,$U132)))=Milestones!$AB$125),UPPER(TEXT(EDATE($D132,Milestones!$AA$125),"dd mmm yy"))&amp;" "&amp;Milestones!$AB$125&amp;" "&amp;Milestones!$AC$125&amp;";  ","")&amp;IF(AND(EDATE($D132,Milestones!$AA$126)&lt;=AsOfDate,IF($R132=0,$X132,IF(AND($T132&lt;&gt;"",EDATE($D132,Milestones!$AA$126)&gt;=$T132),$W132,IF(AND($S132&lt;&gt;"",EDATE($D132,Milestones!$AA$126)&gt;=$S132),$V132,$U132)))=Milestones!$AB$126),UPPER(TEXT(EDATE($D132,Milestones!$AA$126),"dd mmm yy"))&amp;" "&amp;Milestones!$AB$126&amp;" "&amp;Milestones!$AC$126&amp;";  ","")&amp;IF(AND(EDATE($D132,Milestones!$AA$127)&lt;=AsOfDate,IF($R132=0,$X132,IF(AND($T132&lt;&gt;"",EDATE($D132,Milestones!$AA$127)&gt;=$T132),$W132,IF(AND($S132&lt;&gt;"",EDATE($D132,Milestones!$AA$127)&gt;=$S132),$V132,$U132)))=Milestones!$AB$127),UPPER(TEXT(EDATE($D132,Milestones!$AA$127),"dd mmm yy"))&amp;" "&amp;Milestones!$AB$127&amp;" "&amp;Milestones!$AC$127&amp;";  ","")&amp;IF(AND(EDATE($D132,Milestones!$AA$128)&lt;=AsOfDate,IF($R132=0,$X132,IF(AND($T132&lt;&gt;"",EDATE($D132,Milestones!$AA$128)&gt;=$T132),$W132,IF(AND($S132&lt;&gt;"",EDATE($D132,Milestones!$AA$128)&gt;=$S132),$V132,$U132)))=Milestones!$AB$128),UPPER(TEXT(EDATE($D132,Milestones!$AA$128),"dd mmm yy"))&amp;" "&amp;Milestones!$AB$128&amp;" "&amp;Milestones!$AC$128&amp;";  ","")&amp;IF(AND(EDATE($D132,Milestones!$AA$129)&lt;=AsOfDate,IF($R132=0,$X132,IF(AND($T132&lt;&gt;"",EDATE($D132,Milestones!$AA$129)&gt;=$T132),$W132,IF(AND($S132&lt;&gt;"",EDATE($D132,Milestones!$AA$129)&gt;=$S132),$V132,$U132)))=Milestones!$AB$129),UPPER(TEXT(EDATE($D132,Milestones!$AA$129),"dd mmm yy"))&amp;" "&amp;Milestones!$AB$129&amp;" "&amp;Milestones!$AC$129&amp;";  ","")&amp;IF(AND(EDATE($D132,Milestones!$AA$130)&lt;=AsOfDate,IF($R132=0,$X132,IF(AND($T132&lt;&gt;"",EDATE($D132,Milestones!$AA$130)&gt;=$T132),$W132,IF(AND($S132&lt;&gt;"",EDATE($D132,Milestones!$AA$130)&gt;=$S132),$V132,$U132)))=Milestones!$AB$130),UPPER(TEXT(EDATE($D132,Milestones!$AA$130),"dd mmm yy"))&amp;" "&amp;Milestones!$AB$130&amp;" "&amp;Milestones!$AC$130&amp;";  ","")&amp;IF(AND(EDATE($D132,Milestones!$AA$131)&lt;=AsOfDate,IF($R132=0,$X132,IF(AND($T132&lt;&gt;"",EDATE($D132,Milestones!$AA$131)&gt;=$T132),$W132,IF(AND($S132&lt;&gt;"",EDATE($D132,Milestones!$AA$131)&gt;=$S132),$V132,$U132)))=Milestones!$AB$131),UPPER(TEXT(EDATE($D132,Milestones!$AA$131),"dd mmm yy"))&amp;" "&amp;Milestones!$AB$131&amp;" "&amp;Milestones!$AC$131&amp;";  ","")&amp;IF(AND(EDATE($D132,Milestones!$AA$132)&lt;=AsOfDate,IF($R132=0,$X132,IF(AND($T132&lt;&gt;"",EDATE($D132,Milestones!$AA$132)&gt;=$T132),$W132,IF(AND($S132&lt;&gt;"",EDATE($D132,Milestones!$AA$132)&gt;=$S132),$V132,$U132)))=Milestones!$AB$132),UPPER(TEXT(EDATE($D132,Milestones!$AA$132),"dd mmm yy"))&amp;" "&amp;Milestones!$AB$132&amp;" "&amp;Milestones!$AC$132&amp;";  ","")&amp;IF(AND(EDATE($D132,Milestones!$AA$133)&lt;=AsOfDate,IF($R132=0,$X132,IF(AND($T132&lt;&gt;"",EDATE($D132,Milestones!$AA$133)&gt;=$T132),$W132,IF(AND($S132&lt;&gt;"",EDATE($D132,Milestones!$AA$133)&gt;=$S132),$V132,$U132)))=Milestones!$AB$133),UPPER(TEXT(EDATE($D132,Milestones!$AA$133),"dd mmm yy"))&amp;" "&amp;Milestones!$AB$133&amp;" "&amp;Milestones!$AC$133&amp;";  ","")&amp;IF(AND(EDATE($D132,Milestones!$AA$134)&lt;=AsOfDate,IF($R132=0,$X132,IF(AND($T132&lt;&gt;"",EDATE($D132,Milestones!$AA$134)&gt;=$T132),$W132,IF(AND($S132&lt;&gt;"",EDATE($D132,Milestones!$AA$134)&gt;=$S132),$V132,$U132)))=Milestones!$AB$134),UPPER(TEXT(EDATE($D132,Milestones!$AA$134),"dd mmm yy"))&amp;" "&amp;Milestones!$AB$134&amp;" "&amp;Milestones!$AC$134&amp;";  ","")&amp;IF(AND(EDATE($D132,Milestones!$AA$135)&lt;=AsOfDate,IF($R132=0,$X132,IF(AND($T132&lt;&gt;"",EDATE($D132,Milestones!$AA$135)&gt;=$T132),$W132,IF(AND($S132&lt;&gt;"",EDATE($D132,Milestones!$AA$135)&gt;=$S132),$V132,$U132)))=Milestones!$AB$135),UPPER(TEXT(EDATE($D132,Milestones!$AA$135),"dd mmm yy"))&amp;" "&amp;Milestones!$AB$135&amp;" "&amp;Milestones!$AC$135&amp;";  ","")&amp;IF(AND(EDATE($D132,Milestones!$AA$136)&lt;=AsOfDate,IF($R132=0,$X132,IF(AND($T132&lt;&gt;"",EDATE($D132,Milestones!$AA$136)&gt;=$T132),$W132,IF(AND($S132&lt;&gt;"",EDATE($D132,Milestones!$AA$136)&gt;=$S132),$V132,$U132)))=Milestones!$AB$136),UPPER(TEXT(EDATE($D132,Milestones!$AA$136),"dd mmm yy"))&amp;" "&amp;Milestones!$AB$136&amp;" "&amp;Milestones!$AC$136&amp;";  ","")&amp;IF(AND(EDATE($D132,Milestones!$AA$137)&lt;=AsOfDate,IF($R132=0,$X132,IF(AND($T132&lt;&gt;"",EDATE($D132,Milestones!$AA$137)&gt;=$T132),$W132,IF(AND($S132&lt;&gt;"",EDATE($D132,Milestones!$AA$137)&gt;=$S132),$V132,$U132)))=Milestones!$AB$137),UPPER(TEXT(EDATE($D132,Milestones!$AA$137),"dd mmm yy"))&amp;" "&amp;Milestones!$AB$137&amp;" "&amp;Milestones!$AC$137&amp;";  ","")&amp;IF(AND(EDATE($D132,Milestones!$AA$138)&lt;=AsOfDate,IF($R132=0,$X132,IF(AND($T132&lt;&gt;"",EDATE($D132,Milestones!$AA$138)&gt;=$T132),$W132,IF(AND($S132&lt;&gt;"",EDATE($D132,Milestones!$AA$138)&gt;=$S132),$V132,$U132)))=Milestones!$AB$138),UPPER(TEXT(EDATE($D132,Milestones!$AA$138),"dd mmm yy"))&amp;" "&amp;Milestones!$AB$138&amp;" "&amp;Milestones!$AC$138&amp;";  ","")&amp;IF(AND(EDATE($D132,Milestones!$AA$139)&lt;=AsOfDate,IF($R132=0,$X132,IF(AND($T132&lt;&gt;"",EDATE($D132,Milestones!$AA$139)&gt;=$T132),$W132,IF(AND($S132&lt;&gt;"",EDATE($D132,Milestones!$AA$139)&gt;=$S132),$V132,$U132)))=Milestones!$AB$139),UPPER(TEXT(EDATE($D132,Milestones!$AA$139),"dd mmm yy"))&amp;" "&amp;Milestones!$AB$139&amp;" "&amp;Milestones!$AC$139&amp;";  ",""))</f>
        <v/>
      </c>
      <c r="O132" s="0" t="str">
        <f aca="false">IF(OR($A132="",$D132=""),"",IF(AND(EDATE($D132,Milestones!$AA$140)&lt;=AsOfDate,IF($R132=0,$X132,IF(AND($T132&lt;&gt;"",EDATE($D132,Milestones!$AA$140)&gt;=$T132),$W132,IF(AND($S132&lt;&gt;"",EDATE($D132,Milestones!$AA$140)&gt;=$S132),$V132,$U132)))=Milestones!$AB$140),UPPER(TEXT(EDATE($D132,Milestones!$AA$140),"dd mmm yy"))&amp;" "&amp;Milestones!$AB$140&amp;" "&amp;Milestones!$AC$140&amp;";  ","")&amp;IF(AND(EDATE($D132,Milestones!$AA$141)&lt;=AsOfDate,IF($R132=0,$X132,IF(AND($T132&lt;&gt;"",EDATE($D132,Milestones!$AA$141)&gt;=$T132),$W132,IF(AND($S132&lt;&gt;"",EDATE($D132,Milestones!$AA$141)&gt;=$S132),$V132,$U132)))=Milestones!$AB$141),UPPER(TEXT(EDATE($D132,Milestones!$AA$141),"dd mmm yy"))&amp;" "&amp;Milestones!$AB$141&amp;" "&amp;Milestones!$AC$141&amp;";  ","")&amp;IF(AND(EDATE($D132,Milestones!$AA$142)&lt;=AsOfDate,IF($R132=0,$X132,IF(AND($T132&lt;&gt;"",EDATE($D132,Milestones!$AA$142)&gt;=$T132),$W132,IF(AND($S132&lt;&gt;"",EDATE($D132,Milestones!$AA$142)&gt;=$S132),$V132,$U132)))=Milestones!$AB$142),UPPER(TEXT(EDATE($D132,Milestones!$AA$142),"dd mmm yy"))&amp;" "&amp;Milestones!$AB$142&amp;" "&amp;Milestones!$AC$142&amp;";  ","")&amp;IF(AND(EDATE($D132,Milestones!$AA$143)&lt;=AsOfDate,IF($R132=0,$X132,IF(AND($T132&lt;&gt;"",EDATE($D132,Milestones!$AA$143)&gt;=$T132),$W132,IF(AND($S132&lt;&gt;"",EDATE($D132,Milestones!$AA$143)&gt;=$S132),$V132,$U132)))=Milestones!$AB$143),UPPER(TEXT(EDATE($D132,Milestones!$AA$143),"dd mmm yy"))&amp;" "&amp;Milestones!$AB$143&amp;" "&amp;Milestones!$AC$143&amp;";  ","")&amp;IF(AND(EDATE($D132,Milestones!$AA$144)&lt;=AsOfDate,IF($R132=0,$X132,IF(AND($T132&lt;&gt;"",EDATE($D132,Milestones!$AA$144)&gt;=$T132),$W132,IF(AND($S132&lt;&gt;"",EDATE($D132,Milestones!$AA$144)&gt;=$S132),$V132,$U132)))=Milestones!$AB$144),UPPER(TEXT(EDATE($D132,Milestones!$AA$144),"dd mmm yy"))&amp;" "&amp;Milestones!$AB$144&amp;" "&amp;Milestones!$AC$144&amp;";  ","")&amp;IF(AND(EDATE($D132,Milestones!$AA$145)&lt;=AsOfDate,IF($R132=0,$X132,IF(AND($T132&lt;&gt;"",EDATE($D132,Milestones!$AA$145)&gt;=$T132),$W132,IF(AND($S132&lt;&gt;"",EDATE($D132,Milestones!$AA$145)&gt;=$S132),$V132,$U132)))=Milestones!$AB$145),UPPER(TEXT(EDATE($D132,Milestones!$AA$145),"dd mmm yy"))&amp;" "&amp;Milestones!$AB$145&amp;" "&amp;Milestones!$AC$145&amp;";  ","")&amp;IF(AND(EDATE($D132,Milestones!$AA$146)&lt;=AsOfDate,IF($R132=0,$X132,IF(AND($T132&lt;&gt;"",EDATE($D132,Milestones!$AA$146)&gt;=$T132),$W132,IF(AND($S132&lt;&gt;"",EDATE($D132,Milestones!$AA$146)&gt;=$S132),$V132,$U132)))=Milestones!$AB$146),UPPER(TEXT(EDATE($D132,Milestones!$AA$146),"dd mmm yy"))&amp;" "&amp;Milestones!$AB$146&amp;" "&amp;Milestones!$AC$146&amp;";  ","")&amp;IF(AND(EDATE($D132,Milestones!$AA$147)&lt;=AsOfDate,IF($R132=0,$X132,IF(AND($T132&lt;&gt;"",EDATE($D132,Milestones!$AA$147)&gt;=$T132),$W132,IF(AND($S132&lt;&gt;"",EDATE($D132,Milestones!$AA$147)&gt;=$S132),$V132,$U132)))=Milestones!$AB$147),UPPER(TEXT(EDATE($D132,Milestones!$AA$147),"dd mmm yy"))&amp;" "&amp;Milestones!$AB$147&amp;" "&amp;Milestones!$AC$147&amp;";  ","")&amp;IF(AND(EDATE($D132,Milestones!$AA$148)&lt;=AsOfDate,IF($R132=0,$X132,IF(AND($T132&lt;&gt;"",EDATE($D132,Milestones!$AA$148)&gt;=$T132),$W132,IF(AND($S132&lt;&gt;"",EDATE($D132,Milestones!$AA$148)&gt;=$S132),$V132,$U132)))=Milestones!$AB$148),UPPER(TEXT(EDATE($D132,Milestones!$AA$148),"dd mmm yy"))&amp;" "&amp;Milestones!$AB$148&amp;" "&amp;Milestones!$AC$148&amp;";  ","")&amp;IF(AND(EDATE($D132,Milestones!$AA$149)&lt;=AsOfDate,IF($R132=0,$X132,IF(AND($T132&lt;&gt;"",EDATE($D132,Milestones!$AA$149)&gt;=$T132),$W132,IF(AND($S132&lt;&gt;"",EDATE($D132,Milestones!$AA$149)&gt;=$S132),$V132,$U132)))=Milestones!$AB$149),UPPER(TEXT(EDATE($D132,Milestones!$AA$149),"dd mmm yy"))&amp;" "&amp;Milestones!$AB$149&amp;" "&amp;Milestones!$AC$149&amp;";  ","")&amp;IF(AND(EDATE($D132,Milestones!$AA$150)&lt;=AsOfDate,IF($R132=0,$X132,IF(AND($T132&lt;&gt;"",EDATE($D132,Milestones!$AA$150)&gt;=$T132),$W132,IF(AND($S132&lt;&gt;"",EDATE($D132,Milestones!$AA$150)&gt;=$S132),$V132,$U132)))=Milestones!$AB$150),UPPER(TEXT(EDATE($D132,Milestones!$AA$150),"dd mmm yy"))&amp;" "&amp;Milestones!$AB$150&amp;" "&amp;Milestones!$AC$150&amp;";  ","")&amp;IF(AND(EDATE($D132,Milestones!$AA$151)&lt;=AsOfDate,IF($R132=0,$X132,IF(AND($T132&lt;&gt;"",EDATE($D132,Milestones!$AA$151)&gt;=$T132),$W132,IF(AND($S132&lt;&gt;"",EDATE($D132,Milestones!$AA$151)&gt;=$S132),$V132,$U132)))=Milestones!$AB$151),UPPER(TEXT(EDATE($D132,Milestones!$AA$151),"dd mmm yy"))&amp;" "&amp;Milestones!$AB$151&amp;" "&amp;Milestones!$AC$151&amp;";  ","")&amp;IF(AND(EDATE($D132,Milestones!$AA$152)&lt;=AsOfDate,IF($R132=0,$X132,IF(AND($T132&lt;&gt;"",EDATE($D132,Milestones!$AA$152)&gt;=$T132),$W132,IF(AND($S132&lt;&gt;"",EDATE($D132,Milestones!$AA$152)&gt;=$S132),$V132,$U132)))=Milestones!$AB$152),UPPER(TEXT(EDATE($D132,Milestones!$AA$152),"dd mmm yy"))&amp;" "&amp;Milestones!$AB$152&amp;" "&amp;Milestones!$AC$152&amp;";  ","")&amp;IF(AND(EDATE($D132,Milestones!$AA$153)&lt;=AsOfDate,IF($R132=0,$X132,IF(AND($T132&lt;&gt;"",EDATE($D132,Milestones!$AA$153)&gt;=$T132),$W132,IF(AND($S132&lt;&gt;"",EDATE($D132,Milestones!$AA$153)&gt;=$S132),$V132,$U132)))=Milestones!$AB$153),UPPER(TEXT(EDATE($D132,Milestones!$AA$153),"dd mmm yy"))&amp;" "&amp;Milestones!$AB$153&amp;" "&amp;Milestones!$AC$153&amp;";  ","")&amp;IF(AND(EDATE($D132,Milestones!$AA$154)&lt;=AsOfDate,IF($R132=0,$X132,IF(AND($T132&lt;&gt;"",EDATE($D132,Milestones!$AA$154)&gt;=$T132),$W132,IF(AND($S132&lt;&gt;"",EDATE($D132,Milestones!$AA$154)&gt;=$S132),$V132,$U132)))=Milestones!$AB$154),UPPER(TEXT(EDATE($D132,Milestones!$AA$154),"dd mmm yy"))&amp;" "&amp;Milestones!$AB$154&amp;" "&amp;Milestones!$AC$154&amp;";  ","")&amp;IF(AND(EDATE($D132,Milestones!$AA$155)&lt;=AsOfDate,IF($R132=0,$X132,IF(AND($T132&lt;&gt;"",EDATE($D132,Milestones!$AA$155)&gt;=$T132),$W132,IF(AND($S132&lt;&gt;"",EDATE($D132,Milestones!$AA$155)&gt;=$S132),$V132,$U132)))=Milestones!$AB$155),UPPER(TEXT(EDATE($D132,Milestones!$AA$155),"dd mmm yy"))&amp;" "&amp;Milestones!$AB$155&amp;" "&amp;Milestones!$AC$155&amp;";  ","")&amp;IF(AND(EDATE($D132,Milestones!$AA$156)&lt;=AsOfDate,IF($R132=0,$X132,IF(AND($T132&lt;&gt;"",EDATE($D132,Milestones!$AA$156)&gt;=$T132),$W132,IF(AND($S132&lt;&gt;"",EDATE($D132,Milestones!$AA$156)&gt;=$S132),$V132,$U132)))=Milestones!$AB$156),UPPER(TEXT(EDATE($D132,Milestones!$AA$156),"dd mmm yy"))&amp;" "&amp;Milestones!$AB$156&amp;" "&amp;Milestones!$AC$156&amp;";  ","")&amp;IF(AND(EDATE($D132,Milestones!$AA$157)&lt;=AsOfDate,IF($R132=0,$X132,IF(AND($T132&lt;&gt;"",EDATE($D132,Milestones!$AA$157)&gt;=$T132),$W132,IF(AND($S132&lt;&gt;"",EDATE($D132,Milestones!$AA$157)&gt;=$S132),$V132,$U132)))=Milestones!$AB$157),UPPER(TEXT(EDATE($D132,Milestones!$AA$157),"dd mmm yy"))&amp;" "&amp;Milestones!$AB$157&amp;" "&amp;Milestones!$AC$157&amp;";  ","")&amp;IF(AND(EDATE($D132,Milestones!$AA$158)&lt;=AsOfDate,IF($R132=0,$X132,IF(AND($T132&lt;&gt;"",EDATE($D132,Milestones!$AA$158)&gt;=$T132),$W132,IF(AND($S132&lt;&gt;"",EDATE($D132,Milestones!$AA$158)&gt;=$S132),$V132,$U132)))=Milestones!$AB$158),UPPER(TEXT(EDATE($D132,Milestones!$AA$158),"dd mmm yy"))&amp;" "&amp;Milestones!$AB$158&amp;" "&amp;Milestones!$AC$158&amp;";  ","")&amp;IF(AND(EDATE($D132,Milestones!$AA$159)&lt;=AsOfDate,IF($R132=0,$X132,IF(AND($T132&lt;&gt;"",EDATE($D132,Milestones!$AA$159)&gt;=$T132),$W132,IF(AND($S132&lt;&gt;"",EDATE($D132,Milestones!$AA$159)&gt;=$S132),$V132,$U132)))=Milestones!$AB$159),UPPER(TEXT(EDATE($D132,Milestones!$AA$159),"dd mmm yy"))&amp;" "&amp;Milestones!$AB$159&amp;" "&amp;Milestones!$AC$159&amp;";  ",""))</f>
        <v/>
      </c>
      <c r="P132" s="0" t="str">
        <f aca="false">IF(OR($A132="",$D132=""),"",IF(AND(EDATE($D132,Milestones!$AA$160)&lt;=AsOfDate,IF($R132=0,$X132,IF(AND($T132&lt;&gt;"",EDATE($D132,Milestones!$AA$160)&gt;=$T132),$W132,IF(AND($S132&lt;&gt;"",EDATE($D132,Milestones!$AA$160)&gt;=$S132),$V132,$U132)))=Milestones!$AB$160),UPPER(TEXT(EDATE($D132,Milestones!$AA$160),"dd mmm yy"))&amp;" "&amp;Milestones!$AB$160&amp;" "&amp;Milestones!$AC$160&amp;";  ","")&amp;IF(AND(EDATE($D132,Milestones!$AA$161)&lt;=AsOfDate,IF($R132=0,$X132,IF(AND($T132&lt;&gt;"",EDATE($D132,Milestones!$AA$161)&gt;=$T132),$W132,IF(AND($S132&lt;&gt;"",EDATE($D132,Milestones!$AA$161)&gt;=$S132),$V132,$U132)))=Milestones!$AB$161),UPPER(TEXT(EDATE($D132,Milestones!$AA$161),"dd mmm yy"))&amp;" "&amp;Milestones!$AB$161&amp;" "&amp;Milestones!$AC$161&amp;";  ","")&amp;IF(AND(EDATE($D132,Milestones!$AA$162)&lt;=AsOfDate,IF($R132=0,$X132,IF(AND($T132&lt;&gt;"",EDATE($D132,Milestones!$AA$162)&gt;=$T132),$W132,IF(AND($S132&lt;&gt;"",EDATE($D132,Milestones!$AA$162)&gt;=$S132),$V132,$U132)))=Milestones!$AB$162),UPPER(TEXT(EDATE($D132,Milestones!$AA$162),"dd mmm yy"))&amp;" "&amp;Milestones!$AB$162&amp;" "&amp;Milestones!$AC$162&amp;";  ","")&amp;IF(AND(EDATE($D132,Milestones!$AA$163)&lt;=AsOfDate,IF($R132=0,$X132,IF(AND($T132&lt;&gt;"",EDATE($D132,Milestones!$AA$163)&gt;=$T132),$W132,IF(AND($S132&lt;&gt;"",EDATE($D132,Milestones!$AA$163)&gt;=$S132),$V132,$U132)))=Milestones!$AB$163),UPPER(TEXT(EDATE($D132,Milestones!$AA$163),"dd mmm yy"))&amp;" "&amp;Milestones!$AB$163&amp;" "&amp;Milestones!$AC$163&amp;";  ","")&amp;IF(AND(EDATE($D132,Milestones!$AA$164)&lt;=AsOfDate,IF($R132=0,$X132,IF(AND($T132&lt;&gt;"",EDATE($D132,Milestones!$AA$164)&gt;=$T132),$W132,IF(AND($S132&lt;&gt;"",EDATE($D132,Milestones!$AA$164)&gt;=$S132),$V132,$U132)))=Milestones!$AB$164),UPPER(TEXT(EDATE($D132,Milestones!$AA$164),"dd mmm yy"))&amp;" "&amp;Milestones!$AB$164&amp;" "&amp;Milestones!$AC$164&amp;";  ","")&amp;IF(AND(EDATE($D132,Milestones!$AA$165)&lt;=AsOfDate,IF($R132=0,$X132,IF(AND($T132&lt;&gt;"",EDATE($D132,Milestones!$AA$165)&gt;=$T132),$W132,IF(AND($S132&lt;&gt;"",EDATE($D132,Milestones!$AA$165)&gt;=$S132),$V132,$U132)))=Milestones!$AB$165),UPPER(TEXT(EDATE($D132,Milestones!$AA$165),"dd mmm yy"))&amp;" "&amp;Milestones!$AB$165&amp;" "&amp;Milestones!$AC$165&amp;";  ","")&amp;IF(AND(EDATE($D132,Milestones!$AA$166)&lt;=AsOfDate,IF($R132=0,$X132,IF(AND($T132&lt;&gt;"",EDATE($D132,Milestones!$AA$166)&gt;=$T132),$W132,IF(AND($S132&lt;&gt;"",EDATE($D132,Milestones!$AA$166)&gt;=$S132),$V132,$U132)))=Milestones!$AB$166),UPPER(TEXT(EDATE($D132,Milestones!$AA$166),"dd mmm yy"))&amp;" "&amp;Milestones!$AB$166&amp;" "&amp;Milestones!$AC$166&amp;";  ","")&amp;IF(AND(EDATE($D132,Milestones!$AA$167)&lt;=AsOfDate,IF($R132=0,$X132,IF(AND($T132&lt;&gt;"",EDATE($D132,Milestones!$AA$167)&gt;=$T132),$W132,IF(AND($S132&lt;&gt;"",EDATE($D132,Milestones!$AA$167)&gt;=$S132),$V132,$U132)))=Milestones!$AB$167),UPPER(TEXT(EDATE($D132,Milestones!$AA$167),"dd mmm yy"))&amp;" "&amp;Milestones!$AB$167&amp;" "&amp;Milestones!$AC$167&amp;";  ","")&amp;IF(AND(EDATE($D132,Milestones!$AA$168)&lt;=AsOfDate,IF($R132=0,$X132,IF(AND($T132&lt;&gt;"",EDATE($D132,Milestones!$AA$168)&gt;=$T132),$W132,IF(AND($S132&lt;&gt;"",EDATE($D132,Milestones!$AA$168)&gt;=$S132),$V132,$U132)))=Milestones!$AB$168),UPPER(TEXT(EDATE($D132,Milestones!$AA$168),"dd mmm yy"))&amp;" "&amp;Milestones!$AB$168&amp;" "&amp;Milestones!$AC$168&amp;";  ","")&amp;IF(AND(EDATE($D132,Milestones!$AA$169)&lt;=AsOfDate,IF($R132=0,$X132,IF(AND($T132&lt;&gt;"",EDATE($D132,Milestones!$AA$169)&gt;=$T132),$W132,IF(AND($S132&lt;&gt;"",EDATE($D132,Milestones!$AA$169)&gt;=$S132),$V132,$U132)))=Milestones!$AB$169),UPPER(TEXT(EDATE($D132,Milestones!$AA$169),"dd mmm yy"))&amp;" "&amp;Milestones!$AB$169&amp;" "&amp;Milestones!$AC$169&amp;";  ","")&amp;IF(AND(EDATE($D132,Milestones!$AA$170)&lt;=AsOfDate,IF($R132=0,$X132,IF(AND($T132&lt;&gt;"",EDATE($D132,Milestones!$AA$170)&gt;=$T132),$W132,IF(AND($S132&lt;&gt;"",EDATE($D132,Milestones!$AA$170)&gt;=$S132),$V132,$U132)))=Milestones!$AB$170),UPPER(TEXT(EDATE($D132,Milestones!$AA$170),"dd mmm yy"))&amp;" "&amp;Milestones!$AB$170&amp;" "&amp;Milestones!$AC$170&amp;";  ","")&amp;IF(AND(EDATE($D132,Milestones!$AA$171)&lt;=AsOfDate,IF($R132=0,$X132,IF(AND($T132&lt;&gt;"",EDATE($D132,Milestones!$AA$171)&gt;=$T132),$W132,IF(AND($S132&lt;&gt;"",EDATE($D132,Milestones!$AA$171)&gt;=$S132),$V132,$U132)))=Milestones!$AB$171),UPPER(TEXT(EDATE($D132,Milestones!$AA$171),"dd mmm yy"))&amp;" "&amp;Milestones!$AB$171&amp;" "&amp;Milestones!$AC$171&amp;";  ","")&amp;IF(AND(EDATE($D132,Milestones!$AA$172)&lt;=AsOfDate,IF($R132=0,$X132,IF(AND($T132&lt;&gt;"",EDATE($D132,Milestones!$AA$172)&gt;=$T132),$W132,IF(AND($S132&lt;&gt;"",EDATE($D132,Milestones!$AA$172)&gt;=$S132),$V132,$U132)))=Milestones!$AB$172),UPPER(TEXT(EDATE($D132,Milestones!$AA$172),"dd mmm yy"))&amp;" "&amp;Milestones!$AB$172&amp;" "&amp;Milestones!$AC$172&amp;";  ","")&amp;IF(AND(EDATE($D132,Milestones!$AA$173)&lt;=AsOfDate,IF($R132=0,$X132,IF(AND($T132&lt;&gt;"",EDATE($D132,Milestones!$AA$173)&gt;=$T132),$W132,IF(AND($S132&lt;&gt;"",EDATE($D132,Milestones!$AA$173)&gt;=$S132),$V132,$U132)))=Milestones!$AB$173),UPPER(TEXT(EDATE($D132,Milestones!$AA$173),"dd mmm yy"))&amp;" "&amp;Milestones!$AB$173&amp;" "&amp;Milestones!$AC$173&amp;";  ","")&amp;IF(AND(EDATE($D132,Milestones!$AA$174)&lt;=AsOfDate,IF($R132=0,$X132,IF(AND($T132&lt;&gt;"",EDATE($D132,Milestones!$AA$174)&gt;=$T132),$W132,IF(AND($S132&lt;&gt;"",EDATE($D132,Milestones!$AA$174)&gt;=$S132),$V132,$U132)))=Milestones!$AB$174),UPPER(TEXT(EDATE($D132,Milestones!$AA$174),"dd mmm yy"))&amp;" "&amp;Milestones!$AB$174&amp;" "&amp;Milestones!$AC$174&amp;";  ","")&amp;IF(AND(EDATE($D132,Milestones!$AA$175)&lt;=AsOfDate,IF($R132=0,$X132,IF(AND($T132&lt;&gt;"",EDATE($D132,Milestones!$AA$175)&gt;=$T132),$W132,IF(AND($S132&lt;&gt;"",EDATE($D132,Milestones!$AA$175)&gt;=$S132),$V132,$U132)))=Milestones!$AB$175),UPPER(TEXT(EDATE($D132,Milestones!$AA$175),"dd mmm yy"))&amp;" "&amp;Milestones!$AB$175&amp;" "&amp;Milestones!$AC$175&amp;";  ","")&amp;IF(AND(EDATE($D132,Milestones!$AA$176)&lt;=AsOfDate,IF($R132=0,$X132,IF(AND($T132&lt;&gt;"",EDATE($D132,Milestones!$AA$176)&gt;=$T132),$W132,IF(AND($S132&lt;&gt;"",EDATE($D132,Milestones!$AA$176)&gt;=$S132),$V132,$U132)))=Milestones!$AB$176),UPPER(TEXT(EDATE($D132,Milestones!$AA$176),"dd mmm yy"))&amp;" "&amp;Milestones!$AB$176&amp;" "&amp;Milestones!$AC$176&amp;";  ","")&amp;IF(AND(EDATE($D132,Milestones!$AA$177)&lt;=AsOfDate,IF($R132=0,$X132,IF(AND($T132&lt;&gt;"",EDATE($D132,Milestones!$AA$177)&gt;=$T132),$W132,IF(AND($S132&lt;&gt;"",EDATE($D132,Milestones!$AA$177)&gt;=$S132),$V132,$U132)))=Milestones!$AB$177),UPPER(TEXT(EDATE($D132,Milestones!$AA$177),"dd mmm yy"))&amp;" "&amp;Milestones!$AB$177&amp;" "&amp;Milestones!$AC$177&amp;";  ","")&amp;IF(AND(EDATE($D132,Milestones!$AA$178)&lt;=AsOfDate,IF($R132=0,$X132,IF(AND($T132&lt;&gt;"",EDATE($D132,Milestones!$AA$178)&gt;=$T132),$W132,IF(AND($S132&lt;&gt;"",EDATE($D132,Milestones!$AA$178)&gt;=$S132),$V132,$U132)))=Milestones!$AB$178),UPPER(TEXT(EDATE($D132,Milestones!$AA$178),"dd mmm yy"))&amp;" "&amp;Milestones!$AB$178&amp;" "&amp;Milestones!$AC$178&amp;";  ","")&amp;IF(AND(EDATE($D132,Milestones!$AA$179)&lt;=AsOfDate,IF($R132=0,$X132,IF(AND($T132&lt;&gt;"",EDATE($D132,Milestones!$AA$179)&gt;=$T132),$W132,IF(AND($S132&lt;&gt;"",EDATE($D132,Milestones!$AA$179)&gt;=$S132),$V132,$U132)))=Milestones!$AB$179),UPPER(TEXT(EDATE($D132,Milestones!$AA$179),"dd mmm yy"))&amp;" "&amp;Milestones!$AB$179&amp;" "&amp;Milestones!$AC$179&amp;";  ",""))</f>
        <v/>
      </c>
      <c r="Q132" s="0" t="str">
        <f aca="false">IF(OR($A132="",$D132=""),"",IF(AND(EDATE($D132,Milestones!$AA$180)&lt;=AsOfDate,IF($R132=0,$X132,IF(AND($T132&lt;&gt;"",EDATE($D132,Milestones!$AA$180)&gt;=$T132),$W132,IF(AND($S132&lt;&gt;"",EDATE($D132,Milestones!$AA$180)&gt;=$S132),$V132,$U132)))=Milestones!$AB$180),UPPER(TEXT(EDATE($D132,Milestones!$AA$180),"dd mmm yy"))&amp;" "&amp;Milestones!$AB$180&amp;" "&amp;Milestones!$AC$180&amp;";  ","")&amp;IF(AND(EDATE($D132,Milestones!$AA$181)&lt;=AsOfDate,IF($R132=0,$X132,IF(AND($T132&lt;&gt;"",EDATE($D132,Milestones!$AA$181)&gt;=$T132),$W132,IF(AND($S132&lt;&gt;"",EDATE($D132,Milestones!$AA$181)&gt;=$S132),$V132,$U132)))=Milestones!$AB$181),UPPER(TEXT(EDATE($D132,Milestones!$AA$181),"dd mmm yy"))&amp;" "&amp;Milestones!$AB$181&amp;" "&amp;Milestones!$AC$181&amp;";  ","")&amp;IF(AND(EDATE($D132,Milestones!$AA$182)&lt;=AsOfDate,IF($R132=0,$X132,IF(AND($T132&lt;&gt;"",EDATE($D132,Milestones!$AA$182)&gt;=$T132),$W132,IF(AND($S132&lt;&gt;"",EDATE($D132,Milestones!$AA$182)&gt;=$S132),$V132,$U132)))=Milestones!$AB$182),UPPER(TEXT(EDATE($D132,Milestones!$AA$182),"dd mmm yy"))&amp;" "&amp;Milestones!$AB$182&amp;" "&amp;Milestones!$AC$182&amp;";  ","")&amp;IF(AND(EDATE($D132,Milestones!$AA$183)&lt;=AsOfDate,IF($R132=0,$X132,IF(AND($T132&lt;&gt;"",EDATE($D132,Milestones!$AA$183)&gt;=$T132),$W132,IF(AND($S132&lt;&gt;"",EDATE($D132,Milestones!$AA$183)&gt;=$S132),$V132,$U132)))=Milestones!$AB$183),UPPER(TEXT(EDATE($D132,Milestones!$AA$183),"dd mmm yy"))&amp;" "&amp;Milestones!$AB$183&amp;" "&amp;Milestones!$AC$183&amp;";  ","")&amp;IF(AND(EDATE($D132,Milestones!$AA$184)&lt;=AsOfDate,IF($R132=0,$X132,IF(AND($T132&lt;&gt;"",EDATE($D132,Milestones!$AA$184)&gt;=$T132),$W132,IF(AND($S132&lt;&gt;"",EDATE($D132,Milestones!$AA$184)&gt;=$S132),$V132,$U132)))=Milestones!$AB$184),UPPER(TEXT(EDATE($D132,Milestones!$AA$184),"dd mmm yy"))&amp;" "&amp;Milestones!$AB$184&amp;" "&amp;Milestones!$AC$184&amp;";  ","")&amp;IF(AND(EDATE($D132,Milestones!$AA$185)&lt;=AsOfDate,IF($R132=0,$X132,IF(AND($T132&lt;&gt;"",EDATE($D132,Milestones!$AA$185)&gt;=$T132),$W132,IF(AND($S132&lt;&gt;"",EDATE($D132,Milestones!$AA$185)&gt;=$S132),$V132,$U132)))=Milestones!$AB$185),UPPER(TEXT(EDATE($D132,Milestones!$AA$185),"dd mmm yy"))&amp;" "&amp;Milestones!$AB$185&amp;" "&amp;Milestones!$AC$185&amp;";  ","")&amp;IF(AND(EDATE($D132,Milestones!$AA$186)&lt;=AsOfDate,IF($R132=0,$X132,IF(AND($T132&lt;&gt;"",EDATE($D132,Milestones!$AA$186)&gt;=$T132),$W132,IF(AND($S132&lt;&gt;"",EDATE($D132,Milestones!$AA$186)&gt;=$S132),$V132,$U132)))=Milestones!$AB$186),UPPER(TEXT(EDATE($D132,Milestones!$AA$186),"dd mmm yy"))&amp;" "&amp;Milestones!$AB$186&amp;" "&amp;Milestones!$AC$186&amp;";  ","")&amp;IF(AND(EDATE($D132,Milestones!$AA$187)&lt;=AsOfDate,IF($R132=0,$X132,IF(AND($T132&lt;&gt;"",EDATE($D132,Milestones!$AA$187)&gt;=$T132),$W132,IF(AND($S132&lt;&gt;"",EDATE($D132,Milestones!$AA$187)&gt;=$S132),$V132,$U132)))=Milestones!$AB$187),UPPER(TEXT(EDATE($D132,Milestones!$AA$187),"dd mmm yy"))&amp;" "&amp;Milestones!$AB$187&amp;" "&amp;Milestones!$AC$187&amp;";  ","")&amp;IF(AND(EDATE($D132,Milestones!$AA$188)&lt;=AsOfDate,IF($R132=0,$X132,IF(AND($T132&lt;&gt;"",EDATE($D132,Milestones!$AA$188)&gt;=$T132),$W132,IF(AND($S132&lt;&gt;"",EDATE($D132,Milestones!$AA$188)&gt;=$S132),$V132,$U132)))=Milestones!$AB$188),UPPER(TEXT(EDATE($D132,Milestones!$AA$188),"dd mmm yy"))&amp;" "&amp;Milestones!$AB$188&amp;" "&amp;Milestones!$AC$188&amp;";  ","")&amp;IF(AND(EDATE($D132,Milestones!$AA$189)&lt;=AsOfDate,IF($R132=0,$X132,IF(AND($T132&lt;&gt;"",EDATE($D132,Milestones!$AA$189)&gt;=$T132),$W132,IF(AND($S132&lt;&gt;"",EDATE($D132,Milestones!$AA$189)&gt;=$S132),$V132,$U132)))=Milestones!$AB$189),UPPER(TEXT(EDATE($D132,Milestones!$AA$189),"dd mmm yy"))&amp;" "&amp;Milestones!$AB$189&amp;" "&amp;Milestones!$AC$189&amp;";  ","")&amp;IF(AND(EDATE($D132,Milestones!$AA$190)&lt;=AsOfDate,IF($R132=0,$X132,IF(AND($T132&lt;&gt;"",EDATE($D132,Milestones!$AA$190)&gt;=$T132),$W132,IF(AND($S132&lt;&gt;"",EDATE($D132,Milestones!$AA$190)&gt;=$S132),$V132,$U132)))=Milestones!$AB$190),UPPER(TEXT(EDATE($D132,Milestones!$AA$190),"dd mmm yy"))&amp;" "&amp;Milestones!$AB$190&amp;" "&amp;Milestones!$AC$190&amp;";  ","")&amp;IF(AND(EDATE($D132,Milestones!$AA$191)&lt;=AsOfDate,IF($R132=0,$X132,IF(AND($T132&lt;&gt;"",EDATE($D132,Milestones!$AA$191)&gt;=$T132),$W132,IF(AND($S132&lt;&gt;"",EDATE($D132,Milestones!$AA$191)&gt;=$S132),$V132,$U132)))=Milestones!$AB$191),UPPER(TEXT(EDATE($D132,Milestones!$AA$191),"dd mmm yy"))&amp;" "&amp;Milestones!$AB$191&amp;" "&amp;Milestones!$AC$191&amp;";  ","")&amp;IF(AND(EDATE($D132,Milestones!$AA$192)&lt;=AsOfDate,IF($R132=0,$X132,IF(AND($T132&lt;&gt;"",EDATE($D132,Milestones!$AA$192)&gt;=$T132),$W132,IF(AND($S132&lt;&gt;"",EDATE($D132,Milestones!$AA$192)&gt;=$S132),$V132,$U132)))=Milestones!$AB$192),UPPER(TEXT(EDATE($D132,Milestones!$AA$192),"dd mmm yy"))&amp;" "&amp;Milestones!$AB$192&amp;" "&amp;Milestones!$AC$192&amp;";  ","")&amp;IF(AND(EDATE($D132,Milestones!$AA$193)&lt;=AsOfDate,IF($R132=0,$X132,IF(AND($T132&lt;&gt;"",EDATE($D132,Milestones!$AA$193)&gt;=$T132),$W132,IF(AND($S132&lt;&gt;"",EDATE($D132,Milestones!$AA$193)&gt;=$S132),$V132,$U132)))=Milestones!$AB$193),UPPER(TEXT(EDATE($D132,Milestones!$AA$193),"dd mmm yy"))&amp;" "&amp;Milestones!$AB$193&amp;" "&amp;Milestones!$AC$193&amp;";  ","")&amp;IF(AND(EDATE($D132,Milestones!$AA$194)&lt;=AsOfDate,IF($R132=0,$X132,IF(AND($T132&lt;&gt;"",EDATE($D132,Milestones!$AA$194)&gt;=$T132),$W132,IF(AND($S132&lt;&gt;"",EDATE($D132,Milestones!$AA$194)&gt;=$S132),$V132,$U132)))=Milestones!$AB$194),UPPER(TEXT(EDATE($D132,Milestones!$AA$194),"dd mmm yy"))&amp;" "&amp;Milestones!$AB$194&amp;" "&amp;Milestones!$AC$194&amp;";  ","")&amp;IF(AND(EDATE($D132,Milestones!$AA$195)&lt;=AsOfDate,IF($R132=0,$X132,IF(AND($T132&lt;&gt;"",EDATE($D132,Milestones!$AA$195)&gt;=$T132),$W132,IF(AND($S132&lt;&gt;"",EDATE($D132,Milestones!$AA$195)&gt;=$S132),$V132,$U132)))=Milestones!$AB$195),UPPER(TEXT(EDATE($D132,Milestones!$AA$195),"dd mmm yy"))&amp;" "&amp;Milestones!$AB$195&amp;" "&amp;Milestones!$AC$195&amp;";  ","")&amp;IF(AND(EDATE($D132,Milestones!$AA$196)&lt;=AsOfDate,IF($R132=0,$X132,IF(AND($T132&lt;&gt;"",EDATE($D132,Milestones!$AA$196)&gt;=$T132),$W132,IF(AND($S132&lt;&gt;"",EDATE($D132,Milestones!$AA$196)&gt;=$S132),$V132,$U132)))=Milestones!$AB$196),UPPER(TEXT(EDATE($D132,Milestones!$AA$196),"dd mmm yy"))&amp;" "&amp;Milestones!$AB$196&amp;" "&amp;Milestones!$AC$196&amp;";  ","")&amp;IF(AND(EDATE($D132,Milestones!$AA$197)&lt;=AsOfDate,IF($R132=0,$X132,IF(AND($T132&lt;&gt;"",EDATE($D132,Milestones!$AA$197)&gt;=$T132),$W132,IF(AND($S132&lt;&gt;"",EDATE($D132,Milestones!$AA$197)&gt;=$S132),$V132,$U132)))=Milestones!$AB$197),UPPER(TEXT(EDATE($D132,Milestones!$AA$197),"dd mmm yy"))&amp;" "&amp;Milestones!$AB$197&amp;" "&amp;Milestones!$AC$197&amp;";  ","")&amp;IF(AND(EDATE($D132,Milestones!$AA$198)&lt;=AsOfDate,IF($R132=0,$X132,IF(AND($T132&lt;&gt;"",EDATE($D132,Milestones!$AA$198)&gt;=$T132),$W132,IF(AND($S132&lt;&gt;"",EDATE($D132,Milestones!$AA$198)&gt;=$S132),$V132,$U132)))=Milestones!$AB$198),UPPER(TEXT(EDATE($D132,Milestones!$AA$198),"dd mmm yy"))&amp;" "&amp;Milestones!$AB$198&amp;" "&amp;Milestones!$AC$198&amp;";  ","")&amp;IF(AND(EDATE($D132,Milestones!$AA$199)&lt;=AsOfDate,IF($R132=0,$X132,IF(AND($T132&lt;&gt;"",EDATE($D132,Milestones!$AA$199)&gt;=$T132),$W132,IF(AND($S132&lt;&gt;"",EDATE($D132,Milestones!$AA$199)&gt;=$S132),$V132,$U132)))=Milestones!$AB$199),UPPER(TEXT(EDATE($D132,Milestones!$AA$199),"dd mmm yy"))&amp;" "&amp;Milestones!$AB$199&amp;" "&amp;Milestones!$AC$199&amp;";  ",""))</f>
        <v/>
      </c>
      <c r="R132" s="0" t="str">
        <f aca="false">IF(Staff!$A132="","",Staff!$AI132)</f>
        <v/>
      </c>
      <c r="S132" s="0" t="str">
        <f aca="false">IF(Staff!$A132="","",Staff!$AK132)</f>
        <v/>
      </c>
      <c r="T132" s="0" t="str">
        <f aca="false">IF(Staff!$A132="","",Staff!$AL132)</f>
        <v/>
      </c>
      <c r="U132" s="0" t="str">
        <f aca="false">IF(Staff!$A132="","",Staff!$AP132)</f>
        <v/>
      </c>
      <c r="V132" s="0" t="str">
        <f aca="false">IF(Staff!$A132="","",Staff!$AQ132)</f>
        <v/>
      </c>
      <c r="W132" s="0" t="str">
        <f aca="false">IF(Staff!$A132="","",Staff!$AR132)</f>
        <v/>
      </c>
      <c r="X132" s="0" t="str">
        <f aca="false">IF(Staff!$A132="","",Staff!$AS132)</f>
        <v/>
      </c>
    </row>
    <row r="133" customFormat="false" ht="15" hidden="false" customHeight="false" outlineLevel="0" collapsed="false">
      <c r="A133" s="19" t="str">
        <f aca="false">IF(Staff!$A133="","",Staff!$A133)</f>
        <v/>
      </c>
      <c r="B133" s="19" t="str">
        <f aca="false">IF(Staff!$A133="","",Staff!$B133)</f>
        <v/>
      </c>
      <c r="C133" s="19" t="str">
        <f aca="false">IF(Staff!$A133="","",Staff!$C133)</f>
        <v/>
      </c>
      <c r="D133" s="17" t="str">
        <f aca="false">IF(Staff!$A133="","",Staff!$AH133)</f>
        <v/>
      </c>
      <c r="E133" s="19" t="str">
        <f aca="false">IF(Staff!$A133="","",Staff!$O133)</f>
        <v/>
      </c>
      <c r="F133" s="19" t="str">
        <f aca="false">IF(E133="","",E133*HoursPerDay)</f>
        <v/>
      </c>
      <c r="G133" s="19" t="str">
        <f aca="false">IF(Staff!$A133="","",Staff!$AE133)</f>
        <v/>
      </c>
      <c r="H133" s="32" t="str">
        <f aca="false">IF($A133="","",I133&amp;J133&amp;K133&amp;L133&amp;M133&amp;N133&amp;O133&amp;P133&amp;Q133)</f>
        <v/>
      </c>
      <c r="I133" s="0" t="str">
        <f aca="false">IF(OR($A133="",$D133=""),"",IF(AND(EDATE($D133,Milestones!$AA$20)&lt;=AsOfDate,IF($R133=0,$X133,IF(AND($T133&lt;&gt;"",EDATE($D133,Milestones!$AA$20)&gt;=$T133),$W133,IF(AND($S133&lt;&gt;"",EDATE($D133,Milestones!$AA$20)&gt;=$S133),$V133,$U133)))=Milestones!$AB$20),UPPER(TEXT(EDATE($D133,Milestones!$AA$20),"dd mmm yy"))&amp;" "&amp;Milestones!$AB$20&amp;" "&amp;Milestones!$AC$20&amp;";  ","")&amp;IF(AND(EDATE($D133,Milestones!$AA$21)&lt;=AsOfDate,IF($R133=0,$X133,IF(AND($T133&lt;&gt;"",EDATE($D133,Milestones!$AA$21)&gt;=$T133),$W133,IF(AND($S133&lt;&gt;"",EDATE($D133,Milestones!$AA$21)&gt;=$S133),$V133,$U133)))=Milestones!$AB$21),UPPER(TEXT(EDATE($D133,Milestones!$AA$21),"dd mmm yy"))&amp;" "&amp;Milestones!$AB$21&amp;" "&amp;Milestones!$AC$21&amp;";  ","")&amp;IF(AND(EDATE($D133,Milestones!$AA$22)&lt;=AsOfDate,IF($R133=0,$X133,IF(AND($T133&lt;&gt;"",EDATE($D133,Milestones!$AA$22)&gt;=$T133),$W133,IF(AND($S133&lt;&gt;"",EDATE($D133,Milestones!$AA$22)&gt;=$S133),$V133,$U133)))=Milestones!$AB$22),UPPER(TEXT(EDATE($D133,Milestones!$AA$22),"dd mmm yy"))&amp;" "&amp;Milestones!$AB$22&amp;" "&amp;Milestones!$AC$22&amp;";  ","")&amp;IF(AND(EDATE($D133,Milestones!$AA$23)&lt;=AsOfDate,IF($R133=0,$X133,IF(AND($T133&lt;&gt;"",EDATE($D133,Milestones!$AA$23)&gt;=$T133),$W133,IF(AND($S133&lt;&gt;"",EDATE($D133,Milestones!$AA$23)&gt;=$S133),$V133,$U133)))=Milestones!$AB$23),UPPER(TEXT(EDATE($D133,Milestones!$AA$23),"dd mmm yy"))&amp;" "&amp;Milestones!$AB$23&amp;" "&amp;Milestones!$AC$23&amp;";  ","")&amp;IF(AND(EDATE($D133,Milestones!$AA$24)&lt;=AsOfDate,IF($R133=0,$X133,IF(AND($T133&lt;&gt;"",EDATE($D133,Milestones!$AA$24)&gt;=$T133),$W133,IF(AND($S133&lt;&gt;"",EDATE($D133,Milestones!$AA$24)&gt;=$S133),$V133,$U133)))=Milestones!$AB$24),UPPER(TEXT(EDATE($D133,Milestones!$AA$24),"dd mmm yy"))&amp;" "&amp;Milestones!$AB$24&amp;" "&amp;Milestones!$AC$24&amp;";  ","")&amp;IF(AND(EDATE($D133,Milestones!$AA$25)&lt;=AsOfDate,IF($R133=0,$X133,IF(AND($T133&lt;&gt;"",EDATE($D133,Milestones!$AA$25)&gt;=$T133),$W133,IF(AND($S133&lt;&gt;"",EDATE($D133,Milestones!$AA$25)&gt;=$S133),$V133,$U133)))=Milestones!$AB$25),UPPER(TEXT(EDATE($D133,Milestones!$AA$25),"dd mmm yy"))&amp;" "&amp;Milestones!$AB$25&amp;" "&amp;Milestones!$AC$25&amp;";  ","")&amp;IF(AND(EDATE($D133,Milestones!$AA$26)&lt;=AsOfDate,IF($R133=0,$X133,IF(AND($T133&lt;&gt;"",EDATE($D133,Milestones!$AA$26)&gt;=$T133),$W133,IF(AND($S133&lt;&gt;"",EDATE($D133,Milestones!$AA$26)&gt;=$S133),$V133,$U133)))=Milestones!$AB$26),UPPER(TEXT(EDATE($D133,Milestones!$AA$26),"dd mmm yy"))&amp;" "&amp;Milestones!$AB$26&amp;" "&amp;Milestones!$AC$26&amp;";  ","")&amp;IF(AND(EDATE($D133,Milestones!$AA$27)&lt;=AsOfDate,IF($R133=0,$X133,IF(AND($T133&lt;&gt;"",EDATE($D133,Milestones!$AA$27)&gt;=$T133),$W133,IF(AND($S133&lt;&gt;"",EDATE($D133,Milestones!$AA$27)&gt;=$S133),$V133,$U133)))=Milestones!$AB$27),UPPER(TEXT(EDATE($D133,Milestones!$AA$27),"dd mmm yy"))&amp;" "&amp;Milestones!$AB$27&amp;" "&amp;Milestones!$AC$27&amp;";  ","")&amp;IF(AND(EDATE($D133,Milestones!$AA$28)&lt;=AsOfDate,IF($R133=0,$X133,IF(AND($T133&lt;&gt;"",EDATE($D133,Milestones!$AA$28)&gt;=$T133),$W133,IF(AND($S133&lt;&gt;"",EDATE($D133,Milestones!$AA$28)&gt;=$S133),$V133,$U133)))=Milestones!$AB$28),UPPER(TEXT(EDATE($D133,Milestones!$AA$28),"dd mmm yy"))&amp;" "&amp;Milestones!$AB$28&amp;" "&amp;Milestones!$AC$28&amp;";  ","")&amp;IF(AND(EDATE($D133,Milestones!$AA$29)&lt;=AsOfDate,IF($R133=0,$X133,IF(AND($T133&lt;&gt;"",EDATE($D133,Milestones!$AA$29)&gt;=$T133),$W133,IF(AND($S133&lt;&gt;"",EDATE($D133,Milestones!$AA$29)&gt;=$S133),$V133,$U133)))=Milestones!$AB$29),UPPER(TEXT(EDATE($D133,Milestones!$AA$29),"dd mmm yy"))&amp;" "&amp;Milestones!$AB$29&amp;" "&amp;Milestones!$AC$29&amp;";  ","")&amp;IF(AND(EDATE($D133,Milestones!$AA$30)&lt;=AsOfDate,IF($R133=0,$X133,IF(AND($T133&lt;&gt;"",EDATE($D133,Milestones!$AA$30)&gt;=$T133),$W133,IF(AND($S133&lt;&gt;"",EDATE($D133,Milestones!$AA$30)&gt;=$S133),$V133,$U133)))=Milestones!$AB$30),UPPER(TEXT(EDATE($D133,Milestones!$AA$30),"dd mmm yy"))&amp;" "&amp;Milestones!$AB$30&amp;" "&amp;Milestones!$AC$30&amp;";  ","")&amp;IF(AND(EDATE($D133,Milestones!$AA$31)&lt;=AsOfDate,IF($R133=0,$X133,IF(AND($T133&lt;&gt;"",EDATE($D133,Milestones!$AA$31)&gt;=$T133),$W133,IF(AND($S133&lt;&gt;"",EDATE($D133,Milestones!$AA$31)&gt;=$S133),$V133,$U133)))=Milestones!$AB$31),UPPER(TEXT(EDATE($D133,Milestones!$AA$31),"dd mmm yy"))&amp;" "&amp;Milestones!$AB$31&amp;" "&amp;Milestones!$AC$31&amp;";  ","")&amp;IF(AND(EDATE($D133,Milestones!$AA$32)&lt;=AsOfDate,IF($R133=0,$X133,IF(AND($T133&lt;&gt;"",EDATE($D133,Milestones!$AA$32)&gt;=$T133),$W133,IF(AND($S133&lt;&gt;"",EDATE($D133,Milestones!$AA$32)&gt;=$S133),$V133,$U133)))=Milestones!$AB$32),UPPER(TEXT(EDATE($D133,Milestones!$AA$32),"dd mmm yy"))&amp;" "&amp;Milestones!$AB$32&amp;" "&amp;Milestones!$AC$32&amp;";  ","")&amp;IF(AND(EDATE($D133,Milestones!$AA$33)&lt;=AsOfDate,IF($R133=0,$X133,IF(AND($T133&lt;&gt;"",EDATE($D133,Milestones!$AA$33)&gt;=$T133),$W133,IF(AND($S133&lt;&gt;"",EDATE($D133,Milestones!$AA$33)&gt;=$S133),$V133,$U133)))=Milestones!$AB$33),UPPER(TEXT(EDATE($D133,Milestones!$AA$33),"dd mmm yy"))&amp;" "&amp;Milestones!$AB$33&amp;" "&amp;Milestones!$AC$33&amp;";  ","")&amp;IF(AND(EDATE($D133,Milestones!$AA$34)&lt;=AsOfDate,IF($R133=0,$X133,IF(AND($T133&lt;&gt;"",EDATE($D133,Milestones!$AA$34)&gt;=$T133),$W133,IF(AND($S133&lt;&gt;"",EDATE($D133,Milestones!$AA$34)&gt;=$S133),$V133,$U133)))=Milestones!$AB$34),UPPER(TEXT(EDATE($D133,Milestones!$AA$34),"dd mmm yy"))&amp;" "&amp;Milestones!$AB$34&amp;" "&amp;Milestones!$AC$34&amp;";  ","")&amp;IF(AND(EDATE($D133,Milestones!$AA$35)&lt;=AsOfDate,IF($R133=0,$X133,IF(AND($T133&lt;&gt;"",EDATE($D133,Milestones!$AA$35)&gt;=$T133),$W133,IF(AND($S133&lt;&gt;"",EDATE($D133,Milestones!$AA$35)&gt;=$S133),$V133,$U133)))=Milestones!$AB$35),UPPER(TEXT(EDATE($D133,Milestones!$AA$35),"dd mmm yy"))&amp;" "&amp;Milestones!$AB$35&amp;" "&amp;Milestones!$AC$35&amp;";  ","")&amp;IF(AND(EDATE($D133,Milestones!$AA$36)&lt;=AsOfDate,IF($R133=0,$X133,IF(AND($T133&lt;&gt;"",EDATE($D133,Milestones!$AA$36)&gt;=$T133),$W133,IF(AND($S133&lt;&gt;"",EDATE($D133,Milestones!$AA$36)&gt;=$S133),$V133,$U133)))=Milestones!$AB$36),UPPER(TEXT(EDATE($D133,Milestones!$AA$36),"dd mmm yy"))&amp;" "&amp;Milestones!$AB$36&amp;" "&amp;Milestones!$AC$36&amp;";  ","")&amp;IF(AND(EDATE($D133,Milestones!$AA$37)&lt;=AsOfDate,IF($R133=0,$X133,IF(AND($T133&lt;&gt;"",EDATE($D133,Milestones!$AA$37)&gt;=$T133),$W133,IF(AND($S133&lt;&gt;"",EDATE($D133,Milestones!$AA$37)&gt;=$S133),$V133,$U133)))=Milestones!$AB$37),UPPER(TEXT(EDATE($D133,Milestones!$AA$37),"dd mmm yy"))&amp;" "&amp;Milestones!$AB$37&amp;" "&amp;Milestones!$AC$37&amp;";  ","")&amp;IF(AND(EDATE($D133,Milestones!$AA$38)&lt;=AsOfDate,IF($R133=0,$X133,IF(AND($T133&lt;&gt;"",EDATE($D133,Milestones!$AA$38)&gt;=$T133),$W133,IF(AND($S133&lt;&gt;"",EDATE($D133,Milestones!$AA$38)&gt;=$S133),$V133,$U133)))=Milestones!$AB$38),UPPER(TEXT(EDATE($D133,Milestones!$AA$38),"dd mmm yy"))&amp;" "&amp;Milestones!$AB$38&amp;" "&amp;Milestones!$AC$38&amp;";  ","")&amp;IF(AND(EDATE($D133,Milestones!$AA$39)&lt;=AsOfDate,IF($R133=0,$X133,IF(AND($T133&lt;&gt;"",EDATE($D133,Milestones!$AA$39)&gt;=$T133),$W133,IF(AND($S133&lt;&gt;"",EDATE($D133,Milestones!$AA$39)&gt;=$S133),$V133,$U133)))=Milestones!$AB$39),UPPER(TEXT(EDATE($D133,Milestones!$AA$39),"dd mmm yy"))&amp;" "&amp;Milestones!$AB$39&amp;" "&amp;Milestones!$AC$39&amp;";  ",""))</f>
        <v/>
      </c>
      <c r="J133" s="0" t="str">
        <f aca="false">IF(OR($A133="",$D133=""),"",IF(AND(EDATE($D133,Milestones!$AA$40)&lt;=AsOfDate,IF($R133=0,$X133,IF(AND($T133&lt;&gt;"",EDATE($D133,Milestones!$AA$40)&gt;=$T133),$W133,IF(AND($S133&lt;&gt;"",EDATE($D133,Milestones!$AA$40)&gt;=$S133),$V133,$U133)))=Milestones!$AB$40),UPPER(TEXT(EDATE($D133,Milestones!$AA$40),"dd mmm yy"))&amp;" "&amp;Milestones!$AB$40&amp;" "&amp;Milestones!$AC$40&amp;";  ","")&amp;IF(AND(EDATE($D133,Milestones!$AA$41)&lt;=AsOfDate,IF($R133=0,$X133,IF(AND($T133&lt;&gt;"",EDATE($D133,Milestones!$AA$41)&gt;=$T133),$W133,IF(AND($S133&lt;&gt;"",EDATE($D133,Milestones!$AA$41)&gt;=$S133),$V133,$U133)))=Milestones!$AB$41),UPPER(TEXT(EDATE($D133,Milestones!$AA$41),"dd mmm yy"))&amp;" "&amp;Milestones!$AB$41&amp;" "&amp;Milestones!$AC$41&amp;";  ","")&amp;IF(AND(EDATE($D133,Milestones!$AA$42)&lt;=AsOfDate,IF($R133=0,$X133,IF(AND($T133&lt;&gt;"",EDATE($D133,Milestones!$AA$42)&gt;=$T133),$W133,IF(AND($S133&lt;&gt;"",EDATE($D133,Milestones!$AA$42)&gt;=$S133),$V133,$U133)))=Milestones!$AB$42),UPPER(TEXT(EDATE($D133,Milestones!$AA$42),"dd mmm yy"))&amp;" "&amp;Milestones!$AB$42&amp;" "&amp;Milestones!$AC$42&amp;";  ","")&amp;IF(AND(EDATE($D133,Milestones!$AA$43)&lt;=AsOfDate,IF($R133=0,$X133,IF(AND($T133&lt;&gt;"",EDATE($D133,Milestones!$AA$43)&gt;=$T133),$W133,IF(AND($S133&lt;&gt;"",EDATE($D133,Milestones!$AA$43)&gt;=$S133),$V133,$U133)))=Milestones!$AB$43),UPPER(TEXT(EDATE($D133,Milestones!$AA$43),"dd mmm yy"))&amp;" "&amp;Milestones!$AB$43&amp;" "&amp;Milestones!$AC$43&amp;";  ","")&amp;IF(AND(EDATE($D133,Milestones!$AA$44)&lt;=AsOfDate,IF($R133=0,$X133,IF(AND($T133&lt;&gt;"",EDATE($D133,Milestones!$AA$44)&gt;=$T133),$W133,IF(AND($S133&lt;&gt;"",EDATE($D133,Milestones!$AA$44)&gt;=$S133),$V133,$U133)))=Milestones!$AB$44),UPPER(TEXT(EDATE($D133,Milestones!$AA$44),"dd mmm yy"))&amp;" "&amp;Milestones!$AB$44&amp;" "&amp;Milestones!$AC$44&amp;";  ","")&amp;IF(AND(EDATE($D133,Milestones!$AA$45)&lt;=AsOfDate,IF($R133=0,$X133,IF(AND($T133&lt;&gt;"",EDATE($D133,Milestones!$AA$45)&gt;=$T133),$W133,IF(AND($S133&lt;&gt;"",EDATE($D133,Milestones!$AA$45)&gt;=$S133),$V133,$U133)))=Milestones!$AB$45),UPPER(TEXT(EDATE($D133,Milestones!$AA$45),"dd mmm yy"))&amp;" "&amp;Milestones!$AB$45&amp;" "&amp;Milestones!$AC$45&amp;";  ","")&amp;IF(AND(EDATE($D133,Milestones!$AA$46)&lt;=AsOfDate,IF($R133=0,$X133,IF(AND($T133&lt;&gt;"",EDATE($D133,Milestones!$AA$46)&gt;=$T133),$W133,IF(AND($S133&lt;&gt;"",EDATE($D133,Milestones!$AA$46)&gt;=$S133),$V133,$U133)))=Milestones!$AB$46),UPPER(TEXT(EDATE($D133,Milestones!$AA$46),"dd mmm yy"))&amp;" "&amp;Milestones!$AB$46&amp;" "&amp;Milestones!$AC$46&amp;";  ","")&amp;IF(AND(EDATE($D133,Milestones!$AA$47)&lt;=AsOfDate,IF($R133=0,$X133,IF(AND($T133&lt;&gt;"",EDATE($D133,Milestones!$AA$47)&gt;=$T133),$W133,IF(AND($S133&lt;&gt;"",EDATE($D133,Milestones!$AA$47)&gt;=$S133),$V133,$U133)))=Milestones!$AB$47),UPPER(TEXT(EDATE($D133,Milestones!$AA$47),"dd mmm yy"))&amp;" "&amp;Milestones!$AB$47&amp;" "&amp;Milestones!$AC$47&amp;";  ","")&amp;IF(AND(EDATE($D133,Milestones!$AA$48)&lt;=AsOfDate,IF($R133=0,$X133,IF(AND($T133&lt;&gt;"",EDATE($D133,Milestones!$AA$48)&gt;=$T133),$W133,IF(AND($S133&lt;&gt;"",EDATE($D133,Milestones!$AA$48)&gt;=$S133),$V133,$U133)))=Milestones!$AB$48),UPPER(TEXT(EDATE($D133,Milestones!$AA$48),"dd mmm yy"))&amp;" "&amp;Milestones!$AB$48&amp;" "&amp;Milestones!$AC$48&amp;";  ","")&amp;IF(AND(EDATE($D133,Milestones!$AA$49)&lt;=AsOfDate,IF($R133=0,$X133,IF(AND($T133&lt;&gt;"",EDATE($D133,Milestones!$AA$49)&gt;=$T133),$W133,IF(AND($S133&lt;&gt;"",EDATE($D133,Milestones!$AA$49)&gt;=$S133),$V133,$U133)))=Milestones!$AB$49),UPPER(TEXT(EDATE($D133,Milestones!$AA$49),"dd mmm yy"))&amp;" "&amp;Milestones!$AB$49&amp;" "&amp;Milestones!$AC$49&amp;";  ","")&amp;IF(AND(EDATE($D133,Milestones!$AA$50)&lt;=AsOfDate,IF($R133=0,$X133,IF(AND($T133&lt;&gt;"",EDATE($D133,Milestones!$AA$50)&gt;=$T133),$W133,IF(AND($S133&lt;&gt;"",EDATE($D133,Milestones!$AA$50)&gt;=$S133),$V133,$U133)))=Milestones!$AB$50),UPPER(TEXT(EDATE($D133,Milestones!$AA$50),"dd mmm yy"))&amp;" "&amp;Milestones!$AB$50&amp;" "&amp;Milestones!$AC$50&amp;";  ","")&amp;IF(AND(EDATE($D133,Milestones!$AA$51)&lt;=AsOfDate,IF($R133=0,$X133,IF(AND($T133&lt;&gt;"",EDATE($D133,Milestones!$AA$51)&gt;=$T133),$W133,IF(AND($S133&lt;&gt;"",EDATE($D133,Milestones!$AA$51)&gt;=$S133),$V133,$U133)))=Milestones!$AB$51),UPPER(TEXT(EDATE($D133,Milestones!$AA$51),"dd mmm yy"))&amp;" "&amp;Milestones!$AB$51&amp;" "&amp;Milestones!$AC$51&amp;";  ","")&amp;IF(AND(EDATE($D133,Milestones!$AA$52)&lt;=AsOfDate,IF($R133=0,$X133,IF(AND($T133&lt;&gt;"",EDATE($D133,Milestones!$AA$52)&gt;=$T133),$W133,IF(AND($S133&lt;&gt;"",EDATE($D133,Milestones!$AA$52)&gt;=$S133),$V133,$U133)))=Milestones!$AB$52),UPPER(TEXT(EDATE($D133,Milestones!$AA$52),"dd mmm yy"))&amp;" "&amp;Milestones!$AB$52&amp;" "&amp;Milestones!$AC$52&amp;";  ","")&amp;IF(AND(EDATE($D133,Milestones!$AA$53)&lt;=AsOfDate,IF($R133=0,$X133,IF(AND($T133&lt;&gt;"",EDATE($D133,Milestones!$AA$53)&gt;=$T133),$W133,IF(AND($S133&lt;&gt;"",EDATE($D133,Milestones!$AA$53)&gt;=$S133),$V133,$U133)))=Milestones!$AB$53),UPPER(TEXT(EDATE($D133,Milestones!$AA$53),"dd mmm yy"))&amp;" "&amp;Milestones!$AB$53&amp;" "&amp;Milestones!$AC$53&amp;";  ","")&amp;IF(AND(EDATE($D133,Milestones!$AA$54)&lt;=AsOfDate,IF($R133=0,$X133,IF(AND($T133&lt;&gt;"",EDATE($D133,Milestones!$AA$54)&gt;=$T133),$W133,IF(AND($S133&lt;&gt;"",EDATE($D133,Milestones!$AA$54)&gt;=$S133),$V133,$U133)))=Milestones!$AB$54),UPPER(TEXT(EDATE($D133,Milestones!$AA$54),"dd mmm yy"))&amp;" "&amp;Milestones!$AB$54&amp;" "&amp;Milestones!$AC$54&amp;";  ","")&amp;IF(AND(EDATE($D133,Milestones!$AA$55)&lt;=AsOfDate,IF($R133=0,$X133,IF(AND($T133&lt;&gt;"",EDATE($D133,Milestones!$AA$55)&gt;=$T133),$W133,IF(AND($S133&lt;&gt;"",EDATE($D133,Milestones!$AA$55)&gt;=$S133),$V133,$U133)))=Milestones!$AB$55),UPPER(TEXT(EDATE($D133,Milestones!$AA$55),"dd mmm yy"))&amp;" "&amp;Milestones!$AB$55&amp;" "&amp;Milestones!$AC$55&amp;";  ","")&amp;IF(AND(EDATE($D133,Milestones!$AA$56)&lt;=AsOfDate,IF($R133=0,$X133,IF(AND($T133&lt;&gt;"",EDATE($D133,Milestones!$AA$56)&gt;=$T133),$W133,IF(AND($S133&lt;&gt;"",EDATE($D133,Milestones!$AA$56)&gt;=$S133),$V133,$U133)))=Milestones!$AB$56),UPPER(TEXT(EDATE($D133,Milestones!$AA$56),"dd mmm yy"))&amp;" "&amp;Milestones!$AB$56&amp;" "&amp;Milestones!$AC$56&amp;";  ","")&amp;IF(AND(EDATE($D133,Milestones!$AA$57)&lt;=AsOfDate,IF($R133=0,$X133,IF(AND($T133&lt;&gt;"",EDATE($D133,Milestones!$AA$57)&gt;=$T133),$W133,IF(AND($S133&lt;&gt;"",EDATE($D133,Milestones!$AA$57)&gt;=$S133),$V133,$U133)))=Milestones!$AB$57),UPPER(TEXT(EDATE($D133,Milestones!$AA$57),"dd mmm yy"))&amp;" "&amp;Milestones!$AB$57&amp;" "&amp;Milestones!$AC$57&amp;";  ","")&amp;IF(AND(EDATE($D133,Milestones!$AA$58)&lt;=AsOfDate,IF($R133=0,$X133,IF(AND($T133&lt;&gt;"",EDATE($D133,Milestones!$AA$58)&gt;=$T133),$W133,IF(AND($S133&lt;&gt;"",EDATE($D133,Milestones!$AA$58)&gt;=$S133),$V133,$U133)))=Milestones!$AB$58),UPPER(TEXT(EDATE($D133,Milestones!$AA$58),"dd mmm yy"))&amp;" "&amp;Milestones!$AB$58&amp;" "&amp;Milestones!$AC$58&amp;";  ","")&amp;IF(AND(EDATE($D133,Milestones!$AA$59)&lt;=AsOfDate,IF($R133=0,$X133,IF(AND($T133&lt;&gt;"",EDATE($D133,Milestones!$AA$59)&gt;=$T133),$W133,IF(AND($S133&lt;&gt;"",EDATE($D133,Milestones!$AA$59)&gt;=$S133),$V133,$U133)))=Milestones!$AB$59),UPPER(TEXT(EDATE($D133,Milestones!$AA$59),"dd mmm yy"))&amp;" "&amp;Milestones!$AB$59&amp;" "&amp;Milestones!$AC$59&amp;";  ",""))</f>
        <v/>
      </c>
      <c r="K133" s="0" t="str">
        <f aca="false">IF(OR($A133="",$D133=""),"",IF(AND(EDATE($D133,Milestones!$AA$60)&lt;=AsOfDate,IF($R133=0,$X133,IF(AND($T133&lt;&gt;"",EDATE($D133,Milestones!$AA$60)&gt;=$T133),$W133,IF(AND($S133&lt;&gt;"",EDATE($D133,Milestones!$AA$60)&gt;=$S133),$V133,$U133)))=Milestones!$AB$60),UPPER(TEXT(EDATE($D133,Milestones!$AA$60),"dd mmm yy"))&amp;" "&amp;Milestones!$AB$60&amp;" "&amp;Milestones!$AC$60&amp;";  ","")&amp;IF(AND(EDATE($D133,Milestones!$AA$61)&lt;=AsOfDate,IF($R133=0,$X133,IF(AND($T133&lt;&gt;"",EDATE($D133,Milestones!$AA$61)&gt;=$T133),$W133,IF(AND($S133&lt;&gt;"",EDATE($D133,Milestones!$AA$61)&gt;=$S133),$V133,$U133)))=Milestones!$AB$61),UPPER(TEXT(EDATE($D133,Milestones!$AA$61),"dd mmm yy"))&amp;" "&amp;Milestones!$AB$61&amp;" "&amp;Milestones!$AC$61&amp;";  ","")&amp;IF(AND(EDATE($D133,Milestones!$AA$62)&lt;=AsOfDate,IF($R133=0,$X133,IF(AND($T133&lt;&gt;"",EDATE($D133,Milestones!$AA$62)&gt;=$T133),$W133,IF(AND($S133&lt;&gt;"",EDATE($D133,Milestones!$AA$62)&gt;=$S133),$V133,$U133)))=Milestones!$AB$62),UPPER(TEXT(EDATE($D133,Milestones!$AA$62),"dd mmm yy"))&amp;" "&amp;Milestones!$AB$62&amp;" "&amp;Milestones!$AC$62&amp;";  ","")&amp;IF(AND(EDATE($D133,Milestones!$AA$63)&lt;=AsOfDate,IF($R133=0,$X133,IF(AND($T133&lt;&gt;"",EDATE($D133,Milestones!$AA$63)&gt;=$T133),$W133,IF(AND($S133&lt;&gt;"",EDATE($D133,Milestones!$AA$63)&gt;=$S133),$V133,$U133)))=Milestones!$AB$63),UPPER(TEXT(EDATE($D133,Milestones!$AA$63),"dd mmm yy"))&amp;" "&amp;Milestones!$AB$63&amp;" "&amp;Milestones!$AC$63&amp;";  ","")&amp;IF(AND(EDATE($D133,Milestones!$AA$64)&lt;=AsOfDate,IF($R133=0,$X133,IF(AND($T133&lt;&gt;"",EDATE($D133,Milestones!$AA$64)&gt;=$T133),$W133,IF(AND($S133&lt;&gt;"",EDATE($D133,Milestones!$AA$64)&gt;=$S133),$V133,$U133)))=Milestones!$AB$64),UPPER(TEXT(EDATE($D133,Milestones!$AA$64),"dd mmm yy"))&amp;" "&amp;Milestones!$AB$64&amp;" "&amp;Milestones!$AC$64&amp;";  ","")&amp;IF(AND(EDATE($D133,Milestones!$AA$65)&lt;=AsOfDate,IF($R133=0,$X133,IF(AND($T133&lt;&gt;"",EDATE($D133,Milestones!$AA$65)&gt;=$T133),$W133,IF(AND($S133&lt;&gt;"",EDATE($D133,Milestones!$AA$65)&gt;=$S133),$V133,$U133)))=Milestones!$AB$65),UPPER(TEXT(EDATE($D133,Milestones!$AA$65),"dd mmm yy"))&amp;" "&amp;Milestones!$AB$65&amp;" "&amp;Milestones!$AC$65&amp;";  ","")&amp;IF(AND(EDATE($D133,Milestones!$AA$66)&lt;=AsOfDate,IF($R133=0,$X133,IF(AND($T133&lt;&gt;"",EDATE($D133,Milestones!$AA$66)&gt;=$T133),$W133,IF(AND($S133&lt;&gt;"",EDATE($D133,Milestones!$AA$66)&gt;=$S133),$V133,$U133)))=Milestones!$AB$66),UPPER(TEXT(EDATE($D133,Milestones!$AA$66),"dd mmm yy"))&amp;" "&amp;Milestones!$AB$66&amp;" "&amp;Milestones!$AC$66&amp;";  ","")&amp;IF(AND(EDATE($D133,Milestones!$AA$67)&lt;=AsOfDate,IF($R133=0,$X133,IF(AND($T133&lt;&gt;"",EDATE($D133,Milestones!$AA$67)&gt;=$T133),$W133,IF(AND($S133&lt;&gt;"",EDATE($D133,Milestones!$AA$67)&gt;=$S133),$V133,$U133)))=Milestones!$AB$67),UPPER(TEXT(EDATE($D133,Milestones!$AA$67),"dd mmm yy"))&amp;" "&amp;Milestones!$AB$67&amp;" "&amp;Milestones!$AC$67&amp;";  ","")&amp;IF(AND(EDATE($D133,Milestones!$AA$68)&lt;=AsOfDate,IF($R133=0,$X133,IF(AND($T133&lt;&gt;"",EDATE($D133,Milestones!$AA$68)&gt;=$T133),$W133,IF(AND($S133&lt;&gt;"",EDATE($D133,Milestones!$AA$68)&gt;=$S133),$V133,$U133)))=Milestones!$AB$68),UPPER(TEXT(EDATE($D133,Milestones!$AA$68),"dd mmm yy"))&amp;" "&amp;Milestones!$AB$68&amp;" "&amp;Milestones!$AC$68&amp;";  ","")&amp;IF(AND(EDATE($D133,Milestones!$AA$69)&lt;=AsOfDate,IF($R133=0,$X133,IF(AND($T133&lt;&gt;"",EDATE($D133,Milestones!$AA$69)&gt;=$T133),$W133,IF(AND($S133&lt;&gt;"",EDATE($D133,Milestones!$AA$69)&gt;=$S133),$V133,$U133)))=Milestones!$AB$69),UPPER(TEXT(EDATE($D133,Milestones!$AA$69),"dd mmm yy"))&amp;" "&amp;Milestones!$AB$69&amp;" "&amp;Milestones!$AC$69&amp;";  ","")&amp;IF(AND(EDATE($D133,Milestones!$AA$70)&lt;=AsOfDate,IF($R133=0,$X133,IF(AND($T133&lt;&gt;"",EDATE($D133,Milestones!$AA$70)&gt;=$T133),$W133,IF(AND($S133&lt;&gt;"",EDATE($D133,Milestones!$AA$70)&gt;=$S133),$V133,$U133)))=Milestones!$AB$70),UPPER(TEXT(EDATE($D133,Milestones!$AA$70),"dd mmm yy"))&amp;" "&amp;Milestones!$AB$70&amp;" "&amp;Milestones!$AC$70&amp;";  ","")&amp;IF(AND(EDATE($D133,Milestones!$AA$71)&lt;=AsOfDate,IF($R133=0,$X133,IF(AND($T133&lt;&gt;"",EDATE($D133,Milestones!$AA$71)&gt;=$T133),$W133,IF(AND($S133&lt;&gt;"",EDATE($D133,Milestones!$AA$71)&gt;=$S133),$V133,$U133)))=Milestones!$AB$71),UPPER(TEXT(EDATE($D133,Milestones!$AA$71),"dd mmm yy"))&amp;" "&amp;Milestones!$AB$71&amp;" "&amp;Milestones!$AC$71&amp;";  ","")&amp;IF(AND(EDATE($D133,Milestones!$AA$72)&lt;=AsOfDate,IF($R133=0,$X133,IF(AND($T133&lt;&gt;"",EDATE($D133,Milestones!$AA$72)&gt;=$T133),$W133,IF(AND($S133&lt;&gt;"",EDATE($D133,Milestones!$AA$72)&gt;=$S133),$V133,$U133)))=Milestones!$AB$72),UPPER(TEXT(EDATE($D133,Milestones!$AA$72),"dd mmm yy"))&amp;" "&amp;Milestones!$AB$72&amp;" "&amp;Milestones!$AC$72&amp;";  ","")&amp;IF(AND(EDATE($D133,Milestones!$AA$73)&lt;=AsOfDate,IF($R133=0,$X133,IF(AND($T133&lt;&gt;"",EDATE($D133,Milestones!$AA$73)&gt;=$T133),$W133,IF(AND($S133&lt;&gt;"",EDATE($D133,Milestones!$AA$73)&gt;=$S133),$V133,$U133)))=Milestones!$AB$73),UPPER(TEXT(EDATE($D133,Milestones!$AA$73),"dd mmm yy"))&amp;" "&amp;Milestones!$AB$73&amp;" "&amp;Milestones!$AC$73&amp;";  ","")&amp;IF(AND(EDATE($D133,Milestones!$AA$74)&lt;=AsOfDate,IF($R133=0,$X133,IF(AND($T133&lt;&gt;"",EDATE($D133,Milestones!$AA$74)&gt;=$T133),$W133,IF(AND($S133&lt;&gt;"",EDATE($D133,Milestones!$AA$74)&gt;=$S133),$V133,$U133)))=Milestones!$AB$74),UPPER(TEXT(EDATE($D133,Milestones!$AA$74),"dd mmm yy"))&amp;" "&amp;Milestones!$AB$74&amp;" "&amp;Milestones!$AC$74&amp;";  ","")&amp;IF(AND(EDATE($D133,Milestones!$AA$75)&lt;=AsOfDate,IF($R133=0,$X133,IF(AND($T133&lt;&gt;"",EDATE($D133,Milestones!$AA$75)&gt;=$T133),$W133,IF(AND($S133&lt;&gt;"",EDATE($D133,Milestones!$AA$75)&gt;=$S133),$V133,$U133)))=Milestones!$AB$75),UPPER(TEXT(EDATE($D133,Milestones!$AA$75),"dd mmm yy"))&amp;" "&amp;Milestones!$AB$75&amp;" "&amp;Milestones!$AC$75&amp;";  ","")&amp;IF(AND(EDATE($D133,Milestones!$AA$76)&lt;=AsOfDate,IF($R133=0,$X133,IF(AND($T133&lt;&gt;"",EDATE($D133,Milestones!$AA$76)&gt;=$T133),$W133,IF(AND($S133&lt;&gt;"",EDATE($D133,Milestones!$AA$76)&gt;=$S133),$V133,$U133)))=Milestones!$AB$76),UPPER(TEXT(EDATE($D133,Milestones!$AA$76),"dd mmm yy"))&amp;" "&amp;Milestones!$AB$76&amp;" "&amp;Milestones!$AC$76&amp;";  ","")&amp;IF(AND(EDATE($D133,Milestones!$AA$77)&lt;=AsOfDate,IF($R133=0,$X133,IF(AND($T133&lt;&gt;"",EDATE($D133,Milestones!$AA$77)&gt;=$T133),$W133,IF(AND($S133&lt;&gt;"",EDATE($D133,Milestones!$AA$77)&gt;=$S133),$V133,$U133)))=Milestones!$AB$77),UPPER(TEXT(EDATE($D133,Milestones!$AA$77),"dd mmm yy"))&amp;" "&amp;Milestones!$AB$77&amp;" "&amp;Milestones!$AC$77&amp;";  ","")&amp;IF(AND(EDATE($D133,Milestones!$AA$78)&lt;=AsOfDate,IF($R133=0,$X133,IF(AND($T133&lt;&gt;"",EDATE($D133,Milestones!$AA$78)&gt;=$T133),$W133,IF(AND($S133&lt;&gt;"",EDATE($D133,Milestones!$AA$78)&gt;=$S133),$V133,$U133)))=Milestones!$AB$78),UPPER(TEXT(EDATE($D133,Milestones!$AA$78),"dd mmm yy"))&amp;" "&amp;Milestones!$AB$78&amp;" "&amp;Milestones!$AC$78&amp;";  ","")&amp;IF(AND(EDATE($D133,Milestones!$AA$79)&lt;=AsOfDate,IF($R133=0,$X133,IF(AND($T133&lt;&gt;"",EDATE($D133,Milestones!$AA$79)&gt;=$T133),$W133,IF(AND($S133&lt;&gt;"",EDATE($D133,Milestones!$AA$79)&gt;=$S133),$V133,$U133)))=Milestones!$AB$79),UPPER(TEXT(EDATE($D133,Milestones!$AA$79),"dd mmm yy"))&amp;" "&amp;Milestones!$AB$79&amp;" "&amp;Milestones!$AC$79&amp;";  ",""))</f>
        <v/>
      </c>
      <c r="L133" s="0" t="str">
        <f aca="false">IF(OR($A133="",$D133=""),"",IF(AND(EDATE($D133,Milestones!$AA$80)&lt;=AsOfDate,IF($R133=0,$X133,IF(AND($T133&lt;&gt;"",EDATE($D133,Milestones!$AA$80)&gt;=$T133),$W133,IF(AND($S133&lt;&gt;"",EDATE($D133,Milestones!$AA$80)&gt;=$S133),$V133,$U133)))=Milestones!$AB$80),UPPER(TEXT(EDATE($D133,Milestones!$AA$80),"dd mmm yy"))&amp;" "&amp;Milestones!$AB$80&amp;" "&amp;Milestones!$AC$80&amp;";  ","")&amp;IF(AND(EDATE($D133,Milestones!$AA$81)&lt;=AsOfDate,IF($R133=0,$X133,IF(AND($T133&lt;&gt;"",EDATE($D133,Milestones!$AA$81)&gt;=$T133),$W133,IF(AND($S133&lt;&gt;"",EDATE($D133,Milestones!$AA$81)&gt;=$S133),$V133,$U133)))=Milestones!$AB$81),UPPER(TEXT(EDATE($D133,Milestones!$AA$81),"dd mmm yy"))&amp;" "&amp;Milestones!$AB$81&amp;" "&amp;Milestones!$AC$81&amp;";  ","")&amp;IF(AND(EDATE($D133,Milestones!$AA$82)&lt;=AsOfDate,IF($R133=0,$X133,IF(AND($T133&lt;&gt;"",EDATE($D133,Milestones!$AA$82)&gt;=$T133),$W133,IF(AND($S133&lt;&gt;"",EDATE($D133,Milestones!$AA$82)&gt;=$S133),$V133,$U133)))=Milestones!$AB$82),UPPER(TEXT(EDATE($D133,Milestones!$AA$82),"dd mmm yy"))&amp;" "&amp;Milestones!$AB$82&amp;" "&amp;Milestones!$AC$82&amp;";  ","")&amp;IF(AND(EDATE($D133,Milestones!$AA$83)&lt;=AsOfDate,IF($R133=0,$X133,IF(AND($T133&lt;&gt;"",EDATE($D133,Milestones!$AA$83)&gt;=$T133),$W133,IF(AND($S133&lt;&gt;"",EDATE($D133,Milestones!$AA$83)&gt;=$S133),$V133,$U133)))=Milestones!$AB$83),UPPER(TEXT(EDATE($D133,Milestones!$AA$83),"dd mmm yy"))&amp;" "&amp;Milestones!$AB$83&amp;" "&amp;Milestones!$AC$83&amp;";  ","")&amp;IF(AND(EDATE($D133,Milestones!$AA$84)&lt;=AsOfDate,IF($R133=0,$X133,IF(AND($T133&lt;&gt;"",EDATE($D133,Milestones!$AA$84)&gt;=$T133),$W133,IF(AND($S133&lt;&gt;"",EDATE($D133,Milestones!$AA$84)&gt;=$S133),$V133,$U133)))=Milestones!$AB$84),UPPER(TEXT(EDATE($D133,Milestones!$AA$84),"dd mmm yy"))&amp;" "&amp;Milestones!$AB$84&amp;" "&amp;Milestones!$AC$84&amp;";  ","")&amp;IF(AND(EDATE($D133,Milestones!$AA$85)&lt;=AsOfDate,IF($R133=0,$X133,IF(AND($T133&lt;&gt;"",EDATE($D133,Milestones!$AA$85)&gt;=$T133),$W133,IF(AND($S133&lt;&gt;"",EDATE($D133,Milestones!$AA$85)&gt;=$S133),$V133,$U133)))=Milestones!$AB$85),UPPER(TEXT(EDATE($D133,Milestones!$AA$85),"dd mmm yy"))&amp;" "&amp;Milestones!$AB$85&amp;" "&amp;Milestones!$AC$85&amp;";  ","")&amp;IF(AND(EDATE($D133,Milestones!$AA$86)&lt;=AsOfDate,IF($R133=0,$X133,IF(AND($T133&lt;&gt;"",EDATE($D133,Milestones!$AA$86)&gt;=$T133),$W133,IF(AND($S133&lt;&gt;"",EDATE($D133,Milestones!$AA$86)&gt;=$S133),$V133,$U133)))=Milestones!$AB$86),UPPER(TEXT(EDATE($D133,Milestones!$AA$86),"dd mmm yy"))&amp;" "&amp;Milestones!$AB$86&amp;" "&amp;Milestones!$AC$86&amp;";  ","")&amp;IF(AND(EDATE($D133,Milestones!$AA$87)&lt;=AsOfDate,IF($R133=0,$X133,IF(AND($T133&lt;&gt;"",EDATE($D133,Milestones!$AA$87)&gt;=$T133),$W133,IF(AND($S133&lt;&gt;"",EDATE($D133,Milestones!$AA$87)&gt;=$S133),$V133,$U133)))=Milestones!$AB$87),UPPER(TEXT(EDATE($D133,Milestones!$AA$87),"dd mmm yy"))&amp;" "&amp;Milestones!$AB$87&amp;" "&amp;Milestones!$AC$87&amp;";  ","")&amp;IF(AND(EDATE($D133,Milestones!$AA$88)&lt;=AsOfDate,IF($R133=0,$X133,IF(AND($T133&lt;&gt;"",EDATE($D133,Milestones!$AA$88)&gt;=$T133),$W133,IF(AND($S133&lt;&gt;"",EDATE($D133,Milestones!$AA$88)&gt;=$S133),$V133,$U133)))=Milestones!$AB$88),UPPER(TEXT(EDATE($D133,Milestones!$AA$88),"dd mmm yy"))&amp;" "&amp;Milestones!$AB$88&amp;" "&amp;Milestones!$AC$88&amp;";  ","")&amp;IF(AND(EDATE($D133,Milestones!$AA$89)&lt;=AsOfDate,IF($R133=0,$X133,IF(AND($T133&lt;&gt;"",EDATE($D133,Milestones!$AA$89)&gt;=$T133),$W133,IF(AND($S133&lt;&gt;"",EDATE($D133,Milestones!$AA$89)&gt;=$S133),$V133,$U133)))=Milestones!$AB$89),UPPER(TEXT(EDATE($D133,Milestones!$AA$89),"dd mmm yy"))&amp;" "&amp;Milestones!$AB$89&amp;" "&amp;Milestones!$AC$89&amp;";  ","")&amp;IF(AND(EDATE($D133,Milestones!$AA$90)&lt;=AsOfDate,IF($R133=0,$X133,IF(AND($T133&lt;&gt;"",EDATE($D133,Milestones!$AA$90)&gt;=$T133),$W133,IF(AND($S133&lt;&gt;"",EDATE($D133,Milestones!$AA$90)&gt;=$S133),$V133,$U133)))=Milestones!$AB$90),UPPER(TEXT(EDATE($D133,Milestones!$AA$90),"dd mmm yy"))&amp;" "&amp;Milestones!$AB$90&amp;" "&amp;Milestones!$AC$90&amp;";  ","")&amp;IF(AND(EDATE($D133,Milestones!$AA$91)&lt;=AsOfDate,IF($R133=0,$X133,IF(AND($T133&lt;&gt;"",EDATE($D133,Milestones!$AA$91)&gt;=$T133),$W133,IF(AND($S133&lt;&gt;"",EDATE($D133,Milestones!$AA$91)&gt;=$S133),$V133,$U133)))=Milestones!$AB$91),UPPER(TEXT(EDATE($D133,Milestones!$AA$91),"dd mmm yy"))&amp;" "&amp;Milestones!$AB$91&amp;" "&amp;Milestones!$AC$91&amp;";  ","")&amp;IF(AND(EDATE($D133,Milestones!$AA$92)&lt;=AsOfDate,IF($R133=0,$X133,IF(AND($T133&lt;&gt;"",EDATE($D133,Milestones!$AA$92)&gt;=$T133),$W133,IF(AND($S133&lt;&gt;"",EDATE($D133,Milestones!$AA$92)&gt;=$S133),$V133,$U133)))=Milestones!$AB$92),UPPER(TEXT(EDATE($D133,Milestones!$AA$92),"dd mmm yy"))&amp;" "&amp;Milestones!$AB$92&amp;" "&amp;Milestones!$AC$92&amp;";  ","")&amp;IF(AND(EDATE($D133,Milestones!$AA$93)&lt;=AsOfDate,IF($R133=0,$X133,IF(AND($T133&lt;&gt;"",EDATE($D133,Milestones!$AA$93)&gt;=$T133),$W133,IF(AND($S133&lt;&gt;"",EDATE($D133,Milestones!$AA$93)&gt;=$S133),$V133,$U133)))=Milestones!$AB$93),UPPER(TEXT(EDATE($D133,Milestones!$AA$93),"dd mmm yy"))&amp;" "&amp;Milestones!$AB$93&amp;" "&amp;Milestones!$AC$93&amp;";  ","")&amp;IF(AND(EDATE($D133,Milestones!$AA$94)&lt;=AsOfDate,IF($R133=0,$X133,IF(AND($T133&lt;&gt;"",EDATE($D133,Milestones!$AA$94)&gt;=$T133),$W133,IF(AND($S133&lt;&gt;"",EDATE($D133,Milestones!$AA$94)&gt;=$S133),$V133,$U133)))=Milestones!$AB$94),UPPER(TEXT(EDATE($D133,Milestones!$AA$94),"dd mmm yy"))&amp;" "&amp;Milestones!$AB$94&amp;" "&amp;Milestones!$AC$94&amp;";  ","")&amp;IF(AND(EDATE($D133,Milestones!$AA$95)&lt;=AsOfDate,IF($R133=0,$X133,IF(AND($T133&lt;&gt;"",EDATE($D133,Milestones!$AA$95)&gt;=$T133),$W133,IF(AND($S133&lt;&gt;"",EDATE($D133,Milestones!$AA$95)&gt;=$S133),$V133,$U133)))=Milestones!$AB$95),UPPER(TEXT(EDATE($D133,Milestones!$AA$95),"dd mmm yy"))&amp;" "&amp;Milestones!$AB$95&amp;" "&amp;Milestones!$AC$95&amp;";  ","")&amp;IF(AND(EDATE($D133,Milestones!$AA$96)&lt;=AsOfDate,IF($R133=0,$X133,IF(AND($T133&lt;&gt;"",EDATE($D133,Milestones!$AA$96)&gt;=$T133),$W133,IF(AND($S133&lt;&gt;"",EDATE($D133,Milestones!$AA$96)&gt;=$S133),$V133,$U133)))=Milestones!$AB$96),UPPER(TEXT(EDATE($D133,Milestones!$AA$96),"dd mmm yy"))&amp;" "&amp;Milestones!$AB$96&amp;" "&amp;Milestones!$AC$96&amp;";  ","")&amp;IF(AND(EDATE($D133,Milestones!$AA$97)&lt;=AsOfDate,IF($R133=0,$X133,IF(AND($T133&lt;&gt;"",EDATE($D133,Milestones!$AA$97)&gt;=$T133),$W133,IF(AND($S133&lt;&gt;"",EDATE($D133,Milestones!$AA$97)&gt;=$S133),$V133,$U133)))=Milestones!$AB$97),UPPER(TEXT(EDATE($D133,Milestones!$AA$97),"dd mmm yy"))&amp;" "&amp;Milestones!$AB$97&amp;" "&amp;Milestones!$AC$97&amp;";  ","")&amp;IF(AND(EDATE($D133,Milestones!$AA$98)&lt;=AsOfDate,IF($R133=0,$X133,IF(AND($T133&lt;&gt;"",EDATE($D133,Milestones!$AA$98)&gt;=$T133),$W133,IF(AND($S133&lt;&gt;"",EDATE($D133,Milestones!$AA$98)&gt;=$S133),$V133,$U133)))=Milestones!$AB$98),UPPER(TEXT(EDATE($D133,Milestones!$AA$98),"dd mmm yy"))&amp;" "&amp;Milestones!$AB$98&amp;" "&amp;Milestones!$AC$98&amp;";  ","")&amp;IF(AND(EDATE($D133,Milestones!$AA$99)&lt;=AsOfDate,IF($R133=0,$X133,IF(AND($T133&lt;&gt;"",EDATE($D133,Milestones!$AA$99)&gt;=$T133),$W133,IF(AND($S133&lt;&gt;"",EDATE($D133,Milestones!$AA$99)&gt;=$S133),$V133,$U133)))=Milestones!$AB$99),UPPER(TEXT(EDATE($D133,Milestones!$AA$99),"dd mmm yy"))&amp;" "&amp;Milestones!$AB$99&amp;" "&amp;Milestones!$AC$99&amp;";  ",""))</f>
        <v/>
      </c>
      <c r="M133" s="0" t="str">
        <f aca="false">IF(OR($A133="",$D133=""),"",IF(AND(EDATE($D133,Milestones!$AA$100)&lt;=AsOfDate,IF($R133=0,$X133,IF(AND($T133&lt;&gt;"",EDATE($D133,Milestones!$AA$100)&gt;=$T133),$W133,IF(AND($S133&lt;&gt;"",EDATE($D133,Milestones!$AA$100)&gt;=$S133),$V133,$U133)))=Milestones!$AB$100),UPPER(TEXT(EDATE($D133,Milestones!$AA$100),"dd mmm yy"))&amp;" "&amp;Milestones!$AB$100&amp;" "&amp;Milestones!$AC$100&amp;";  ","")&amp;IF(AND(EDATE($D133,Milestones!$AA$101)&lt;=AsOfDate,IF($R133=0,$X133,IF(AND($T133&lt;&gt;"",EDATE($D133,Milestones!$AA$101)&gt;=$T133),$W133,IF(AND($S133&lt;&gt;"",EDATE($D133,Milestones!$AA$101)&gt;=$S133),$V133,$U133)))=Milestones!$AB$101),UPPER(TEXT(EDATE($D133,Milestones!$AA$101),"dd mmm yy"))&amp;" "&amp;Milestones!$AB$101&amp;" "&amp;Milestones!$AC$101&amp;";  ","")&amp;IF(AND(EDATE($D133,Milestones!$AA$102)&lt;=AsOfDate,IF($R133=0,$X133,IF(AND($T133&lt;&gt;"",EDATE($D133,Milestones!$AA$102)&gt;=$T133),$W133,IF(AND($S133&lt;&gt;"",EDATE($D133,Milestones!$AA$102)&gt;=$S133),$V133,$U133)))=Milestones!$AB$102),UPPER(TEXT(EDATE($D133,Milestones!$AA$102),"dd mmm yy"))&amp;" "&amp;Milestones!$AB$102&amp;" "&amp;Milestones!$AC$102&amp;";  ","")&amp;IF(AND(EDATE($D133,Milestones!$AA$103)&lt;=AsOfDate,IF($R133=0,$X133,IF(AND($T133&lt;&gt;"",EDATE($D133,Milestones!$AA$103)&gt;=$T133),$W133,IF(AND($S133&lt;&gt;"",EDATE($D133,Milestones!$AA$103)&gt;=$S133),$V133,$U133)))=Milestones!$AB$103),UPPER(TEXT(EDATE($D133,Milestones!$AA$103),"dd mmm yy"))&amp;" "&amp;Milestones!$AB$103&amp;" "&amp;Milestones!$AC$103&amp;";  ","")&amp;IF(AND(EDATE($D133,Milestones!$AA$104)&lt;=AsOfDate,IF($R133=0,$X133,IF(AND($T133&lt;&gt;"",EDATE($D133,Milestones!$AA$104)&gt;=$T133),$W133,IF(AND($S133&lt;&gt;"",EDATE($D133,Milestones!$AA$104)&gt;=$S133),$V133,$U133)))=Milestones!$AB$104),UPPER(TEXT(EDATE($D133,Milestones!$AA$104),"dd mmm yy"))&amp;" "&amp;Milestones!$AB$104&amp;" "&amp;Milestones!$AC$104&amp;";  ","")&amp;IF(AND(EDATE($D133,Milestones!$AA$105)&lt;=AsOfDate,IF($R133=0,$X133,IF(AND($T133&lt;&gt;"",EDATE($D133,Milestones!$AA$105)&gt;=$T133),$W133,IF(AND($S133&lt;&gt;"",EDATE($D133,Milestones!$AA$105)&gt;=$S133),$V133,$U133)))=Milestones!$AB$105),UPPER(TEXT(EDATE($D133,Milestones!$AA$105),"dd mmm yy"))&amp;" "&amp;Milestones!$AB$105&amp;" "&amp;Milestones!$AC$105&amp;";  ","")&amp;IF(AND(EDATE($D133,Milestones!$AA$106)&lt;=AsOfDate,IF($R133=0,$X133,IF(AND($T133&lt;&gt;"",EDATE($D133,Milestones!$AA$106)&gt;=$T133),$W133,IF(AND($S133&lt;&gt;"",EDATE($D133,Milestones!$AA$106)&gt;=$S133),$V133,$U133)))=Milestones!$AB$106),UPPER(TEXT(EDATE($D133,Milestones!$AA$106),"dd mmm yy"))&amp;" "&amp;Milestones!$AB$106&amp;" "&amp;Milestones!$AC$106&amp;";  ","")&amp;IF(AND(EDATE($D133,Milestones!$AA$107)&lt;=AsOfDate,IF($R133=0,$X133,IF(AND($T133&lt;&gt;"",EDATE($D133,Milestones!$AA$107)&gt;=$T133),$W133,IF(AND($S133&lt;&gt;"",EDATE($D133,Milestones!$AA$107)&gt;=$S133),$V133,$U133)))=Milestones!$AB$107),UPPER(TEXT(EDATE($D133,Milestones!$AA$107),"dd mmm yy"))&amp;" "&amp;Milestones!$AB$107&amp;" "&amp;Milestones!$AC$107&amp;";  ","")&amp;IF(AND(EDATE($D133,Milestones!$AA$108)&lt;=AsOfDate,IF($R133=0,$X133,IF(AND($T133&lt;&gt;"",EDATE($D133,Milestones!$AA$108)&gt;=$T133),$W133,IF(AND($S133&lt;&gt;"",EDATE($D133,Milestones!$AA$108)&gt;=$S133),$V133,$U133)))=Milestones!$AB$108),UPPER(TEXT(EDATE($D133,Milestones!$AA$108),"dd mmm yy"))&amp;" "&amp;Milestones!$AB$108&amp;" "&amp;Milestones!$AC$108&amp;";  ","")&amp;IF(AND(EDATE($D133,Milestones!$AA$109)&lt;=AsOfDate,IF($R133=0,$X133,IF(AND($T133&lt;&gt;"",EDATE($D133,Milestones!$AA$109)&gt;=$T133),$W133,IF(AND($S133&lt;&gt;"",EDATE($D133,Milestones!$AA$109)&gt;=$S133),$V133,$U133)))=Milestones!$AB$109),UPPER(TEXT(EDATE($D133,Milestones!$AA$109),"dd mmm yy"))&amp;" "&amp;Milestones!$AB$109&amp;" "&amp;Milestones!$AC$109&amp;";  ","")&amp;IF(AND(EDATE($D133,Milestones!$AA$110)&lt;=AsOfDate,IF($R133=0,$X133,IF(AND($T133&lt;&gt;"",EDATE($D133,Milestones!$AA$110)&gt;=$T133),$W133,IF(AND($S133&lt;&gt;"",EDATE($D133,Milestones!$AA$110)&gt;=$S133),$V133,$U133)))=Milestones!$AB$110),UPPER(TEXT(EDATE($D133,Milestones!$AA$110),"dd mmm yy"))&amp;" "&amp;Milestones!$AB$110&amp;" "&amp;Milestones!$AC$110&amp;";  ","")&amp;IF(AND(EDATE($D133,Milestones!$AA$111)&lt;=AsOfDate,IF($R133=0,$X133,IF(AND($T133&lt;&gt;"",EDATE($D133,Milestones!$AA$111)&gt;=$T133),$W133,IF(AND($S133&lt;&gt;"",EDATE($D133,Milestones!$AA$111)&gt;=$S133),$V133,$U133)))=Milestones!$AB$111),UPPER(TEXT(EDATE($D133,Milestones!$AA$111),"dd mmm yy"))&amp;" "&amp;Milestones!$AB$111&amp;" "&amp;Milestones!$AC$111&amp;";  ","")&amp;IF(AND(EDATE($D133,Milestones!$AA$112)&lt;=AsOfDate,IF($R133=0,$X133,IF(AND($T133&lt;&gt;"",EDATE($D133,Milestones!$AA$112)&gt;=$T133),$W133,IF(AND($S133&lt;&gt;"",EDATE($D133,Milestones!$AA$112)&gt;=$S133),$V133,$U133)))=Milestones!$AB$112),UPPER(TEXT(EDATE($D133,Milestones!$AA$112),"dd mmm yy"))&amp;" "&amp;Milestones!$AB$112&amp;" "&amp;Milestones!$AC$112&amp;";  ","")&amp;IF(AND(EDATE($D133,Milestones!$AA$113)&lt;=AsOfDate,IF($R133=0,$X133,IF(AND($T133&lt;&gt;"",EDATE($D133,Milestones!$AA$113)&gt;=$T133),$W133,IF(AND($S133&lt;&gt;"",EDATE($D133,Milestones!$AA$113)&gt;=$S133),$V133,$U133)))=Milestones!$AB$113),UPPER(TEXT(EDATE($D133,Milestones!$AA$113),"dd mmm yy"))&amp;" "&amp;Milestones!$AB$113&amp;" "&amp;Milestones!$AC$113&amp;";  ","")&amp;IF(AND(EDATE($D133,Milestones!$AA$114)&lt;=AsOfDate,IF($R133=0,$X133,IF(AND($T133&lt;&gt;"",EDATE($D133,Milestones!$AA$114)&gt;=$T133),$W133,IF(AND($S133&lt;&gt;"",EDATE($D133,Milestones!$AA$114)&gt;=$S133),$V133,$U133)))=Milestones!$AB$114),UPPER(TEXT(EDATE($D133,Milestones!$AA$114),"dd mmm yy"))&amp;" "&amp;Milestones!$AB$114&amp;" "&amp;Milestones!$AC$114&amp;";  ","")&amp;IF(AND(EDATE($D133,Milestones!$AA$115)&lt;=AsOfDate,IF($R133=0,$X133,IF(AND($T133&lt;&gt;"",EDATE($D133,Milestones!$AA$115)&gt;=$T133),$W133,IF(AND($S133&lt;&gt;"",EDATE($D133,Milestones!$AA$115)&gt;=$S133),$V133,$U133)))=Milestones!$AB$115),UPPER(TEXT(EDATE($D133,Milestones!$AA$115),"dd mmm yy"))&amp;" "&amp;Milestones!$AB$115&amp;" "&amp;Milestones!$AC$115&amp;";  ","")&amp;IF(AND(EDATE($D133,Milestones!$AA$116)&lt;=AsOfDate,IF($R133=0,$X133,IF(AND($T133&lt;&gt;"",EDATE($D133,Milestones!$AA$116)&gt;=$T133),$W133,IF(AND($S133&lt;&gt;"",EDATE($D133,Milestones!$AA$116)&gt;=$S133),$V133,$U133)))=Milestones!$AB$116),UPPER(TEXT(EDATE($D133,Milestones!$AA$116),"dd mmm yy"))&amp;" "&amp;Milestones!$AB$116&amp;" "&amp;Milestones!$AC$116&amp;";  ","")&amp;IF(AND(EDATE($D133,Milestones!$AA$117)&lt;=AsOfDate,IF($R133=0,$X133,IF(AND($T133&lt;&gt;"",EDATE($D133,Milestones!$AA$117)&gt;=$T133),$W133,IF(AND($S133&lt;&gt;"",EDATE($D133,Milestones!$AA$117)&gt;=$S133),$V133,$U133)))=Milestones!$AB$117),UPPER(TEXT(EDATE($D133,Milestones!$AA$117),"dd mmm yy"))&amp;" "&amp;Milestones!$AB$117&amp;" "&amp;Milestones!$AC$117&amp;";  ","")&amp;IF(AND(EDATE($D133,Milestones!$AA$118)&lt;=AsOfDate,IF($R133=0,$X133,IF(AND($T133&lt;&gt;"",EDATE($D133,Milestones!$AA$118)&gt;=$T133),$W133,IF(AND($S133&lt;&gt;"",EDATE($D133,Milestones!$AA$118)&gt;=$S133),$V133,$U133)))=Milestones!$AB$118),UPPER(TEXT(EDATE($D133,Milestones!$AA$118),"dd mmm yy"))&amp;" "&amp;Milestones!$AB$118&amp;" "&amp;Milestones!$AC$118&amp;";  ","")&amp;IF(AND(EDATE($D133,Milestones!$AA$119)&lt;=AsOfDate,IF($R133=0,$X133,IF(AND($T133&lt;&gt;"",EDATE($D133,Milestones!$AA$119)&gt;=$T133),$W133,IF(AND($S133&lt;&gt;"",EDATE($D133,Milestones!$AA$119)&gt;=$S133),$V133,$U133)))=Milestones!$AB$119),UPPER(TEXT(EDATE($D133,Milestones!$AA$119),"dd mmm yy"))&amp;" "&amp;Milestones!$AB$119&amp;" "&amp;Milestones!$AC$119&amp;";  ",""))</f>
        <v/>
      </c>
      <c r="N133" s="0" t="str">
        <f aca="false">IF(OR($A133="",$D133=""),"",IF(AND(EDATE($D133,Milestones!$AA$120)&lt;=AsOfDate,IF($R133=0,$X133,IF(AND($T133&lt;&gt;"",EDATE($D133,Milestones!$AA$120)&gt;=$T133),$W133,IF(AND($S133&lt;&gt;"",EDATE($D133,Milestones!$AA$120)&gt;=$S133),$V133,$U133)))=Milestones!$AB$120),UPPER(TEXT(EDATE($D133,Milestones!$AA$120),"dd mmm yy"))&amp;" "&amp;Milestones!$AB$120&amp;" "&amp;Milestones!$AC$120&amp;";  ","")&amp;IF(AND(EDATE($D133,Milestones!$AA$121)&lt;=AsOfDate,IF($R133=0,$X133,IF(AND($T133&lt;&gt;"",EDATE($D133,Milestones!$AA$121)&gt;=$T133),$W133,IF(AND($S133&lt;&gt;"",EDATE($D133,Milestones!$AA$121)&gt;=$S133),$V133,$U133)))=Milestones!$AB$121),UPPER(TEXT(EDATE($D133,Milestones!$AA$121),"dd mmm yy"))&amp;" "&amp;Milestones!$AB$121&amp;" "&amp;Milestones!$AC$121&amp;";  ","")&amp;IF(AND(EDATE($D133,Milestones!$AA$122)&lt;=AsOfDate,IF($R133=0,$X133,IF(AND($T133&lt;&gt;"",EDATE($D133,Milestones!$AA$122)&gt;=$T133),$W133,IF(AND($S133&lt;&gt;"",EDATE($D133,Milestones!$AA$122)&gt;=$S133),$V133,$U133)))=Milestones!$AB$122),UPPER(TEXT(EDATE($D133,Milestones!$AA$122),"dd mmm yy"))&amp;" "&amp;Milestones!$AB$122&amp;" "&amp;Milestones!$AC$122&amp;";  ","")&amp;IF(AND(EDATE($D133,Milestones!$AA$123)&lt;=AsOfDate,IF($R133=0,$X133,IF(AND($T133&lt;&gt;"",EDATE($D133,Milestones!$AA$123)&gt;=$T133),$W133,IF(AND($S133&lt;&gt;"",EDATE($D133,Milestones!$AA$123)&gt;=$S133),$V133,$U133)))=Milestones!$AB$123),UPPER(TEXT(EDATE($D133,Milestones!$AA$123),"dd mmm yy"))&amp;" "&amp;Milestones!$AB$123&amp;" "&amp;Milestones!$AC$123&amp;";  ","")&amp;IF(AND(EDATE($D133,Milestones!$AA$124)&lt;=AsOfDate,IF($R133=0,$X133,IF(AND($T133&lt;&gt;"",EDATE($D133,Milestones!$AA$124)&gt;=$T133),$W133,IF(AND($S133&lt;&gt;"",EDATE($D133,Milestones!$AA$124)&gt;=$S133),$V133,$U133)))=Milestones!$AB$124),UPPER(TEXT(EDATE($D133,Milestones!$AA$124),"dd mmm yy"))&amp;" "&amp;Milestones!$AB$124&amp;" "&amp;Milestones!$AC$124&amp;";  ","")&amp;IF(AND(EDATE($D133,Milestones!$AA$125)&lt;=AsOfDate,IF($R133=0,$X133,IF(AND($T133&lt;&gt;"",EDATE($D133,Milestones!$AA$125)&gt;=$T133),$W133,IF(AND($S133&lt;&gt;"",EDATE($D133,Milestones!$AA$125)&gt;=$S133),$V133,$U133)))=Milestones!$AB$125),UPPER(TEXT(EDATE($D133,Milestones!$AA$125),"dd mmm yy"))&amp;" "&amp;Milestones!$AB$125&amp;" "&amp;Milestones!$AC$125&amp;";  ","")&amp;IF(AND(EDATE($D133,Milestones!$AA$126)&lt;=AsOfDate,IF($R133=0,$X133,IF(AND($T133&lt;&gt;"",EDATE($D133,Milestones!$AA$126)&gt;=$T133),$W133,IF(AND($S133&lt;&gt;"",EDATE($D133,Milestones!$AA$126)&gt;=$S133),$V133,$U133)))=Milestones!$AB$126),UPPER(TEXT(EDATE($D133,Milestones!$AA$126),"dd mmm yy"))&amp;" "&amp;Milestones!$AB$126&amp;" "&amp;Milestones!$AC$126&amp;";  ","")&amp;IF(AND(EDATE($D133,Milestones!$AA$127)&lt;=AsOfDate,IF($R133=0,$X133,IF(AND($T133&lt;&gt;"",EDATE($D133,Milestones!$AA$127)&gt;=$T133),$W133,IF(AND($S133&lt;&gt;"",EDATE($D133,Milestones!$AA$127)&gt;=$S133),$V133,$U133)))=Milestones!$AB$127),UPPER(TEXT(EDATE($D133,Milestones!$AA$127),"dd mmm yy"))&amp;" "&amp;Milestones!$AB$127&amp;" "&amp;Milestones!$AC$127&amp;";  ","")&amp;IF(AND(EDATE($D133,Milestones!$AA$128)&lt;=AsOfDate,IF($R133=0,$X133,IF(AND($T133&lt;&gt;"",EDATE($D133,Milestones!$AA$128)&gt;=$T133),$W133,IF(AND($S133&lt;&gt;"",EDATE($D133,Milestones!$AA$128)&gt;=$S133),$V133,$U133)))=Milestones!$AB$128),UPPER(TEXT(EDATE($D133,Milestones!$AA$128),"dd mmm yy"))&amp;" "&amp;Milestones!$AB$128&amp;" "&amp;Milestones!$AC$128&amp;";  ","")&amp;IF(AND(EDATE($D133,Milestones!$AA$129)&lt;=AsOfDate,IF($R133=0,$X133,IF(AND($T133&lt;&gt;"",EDATE($D133,Milestones!$AA$129)&gt;=$T133),$W133,IF(AND($S133&lt;&gt;"",EDATE($D133,Milestones!$AA$129)&gt;=$S133),$V133,$U133)))=Milestones!$AB$129),UPPER(TEXT(EDATE($D133,Milestones!$AA$129),"dd mmm yy"))&amp;" "&amp;Milestones!$AB$129&amp;" "&amp;Milestones!$AC$129&amp;";  ","")&amp;IF(AND(EDATE($D133,Milestones!$AA$130)&lt;=AsOfDate,IF($R133=0,$X133,IF(AND($T133&lt;&gt;"",EDATE($D133,Milestones!$AA$130)&gt;=$T133),$W133,IF(AND($S133&lt;&gt;"",EDATE($D133,Milestones!$AA$130)&gt;=$S133),$V133,$U133)))=Milestones!$AB$130),UPPER(TEXT(EDATE($D133,Milestones!$AA$130),"dd mmm yy"))&amp;" "&amp;Milestones!$AB$130&amp;" "&amp;Milestones!$AC$130&amp;";  ","")&amp;IF(AND(EDATE($D133,Milestones!$AA$131)&lt;=AsOfDate,IF($R133=0,$X133,IF(AND($T133&lt;&gt;"",EDATE($D133,Milestones!$AA$131)&gt;=$T133),$W133,IF(AND($S133&lt;&gt;"",EDATE($D133,Milestones!$AA$131)&gt;=$S133),$V133,$U133)))=Milestones!$AB$131),UPPER(TEXT(EDATE($D133,Milestones!$AA$131),"dd mmm yy"))&amp;" "&amp;Milestones!$AB$131&amp;" "&amp;Milestones!$AC$131&amp;";  ","")&amp;IF(AND(EDATE($D133,Milestones!$AA$132)&lt;=AsOfDate,IF($R133=0,$X133,IF(AND($T133&lt;&gt;"",EDATE($D133,Milestones!$AA$132)&gt;=$T133),$W133,IF(AND($S133&lt;&gt;"",EDATE($D133,Milestones!$AA$132)&gt;=$S133),$V133,$U133)))=Milestones!$AB$132),UPPER(TEXT(EDATE($D133,Milestones!$AA$132),"dd mmm yy"))&amp;" "&amp;Milestones!$AB$132&amp;" "&amp;Milestones!$AC$132&amp;";  ","")&amp;IF(AND(EDATE($D133,Milestones!$AA$133)&lt;=AsOfDate,IF($R133=0,$X133,IF(AND($T133&lt;&gt;"",EDATE($D133,Milestones!$AA$133)&gt;=$T133),$W133,IF(AND($S133&lt;&gt;"",EDATE($D133,Milestones!$AA$133)&gt;=$S133),$V133,$U133)))=Milestones!$AB$133),UPPER(TEXT(EDATE($D133,Milestones!$AA$133),"dd mmm yy"))&amp;" "&amp;Milestones!$AB$133&amp;" "&amp;Milestones!$AC$133&amp;";  ","")&amp;IF(AND(EDATE($D133,Milestones!$AA$134)&lt;=AsOfDate,IF($R133=0,$X133,IF(AND($T133&lt;&gt;"",EDATE($D133,Milestones!$AA$134)&gt;=$T133),$W133,IF(AND($S133&lt;&gt;"",EDATE($D133,Milestones!$AA$134)&gt;=$S133),$V133,$U133)))=Milestones!$AB$134),UPPER(TEXT(EDATE($D133,Milestones!$AA$134),"dd mmm yy"))&amp;" "&amp;Milestones!$AB$134&amp;" "&amp;Milestones!$AC$134&amp;";  ","")&amp;IF(AND(EDATE($D133,Milestones!$AA$135)&lt;=AsOfDate,IF($R133=0,$X133,IF(AND($T133&lt;&gt;"",EDATE($D133,Milestones!$AA$135)&gt;=$T133),$W133,IF(AND($S133&lt;&gt;"",EDATE($D133,Milestones!$AA$135)&gt;=$S133),$V133,$U133)))=Milestones!$AB$135),UPPER(TEXT(EDATE($D133,Milestones!$AA$135),"dd mmm yy"))&amp;" "&amp;Milestones!$AB$135&amp;" "&amp;Milestones!$AC$135&amp;";  ","")&amp;IF(AND(EDATE($D133,Milestones!$AA$136)&lt;=AsOfDate,IF($R133=0,$X133,IF(AND($T133&lt;&gt;"",EDATE($D133,Milestones!$AA$136)&gt;=$T133),$W133,IF(AND($S133&lt;&gt;"",EDATE($D133,Milestones!$AA$136)&gt;=$S133),$V133,$U133)))=Milestones!$AB$136),UPPER(TEXT(EDATE($D133,Milestones!$AA$136),"dd mmm yy"))&amp;" "&amp;Milestones!$AB$136&amp;" "&amp;Milestones!$AC$136&amp;";  ","")&amp;IF(AND(EDATE($D133,Milestones!$AA$137)&lt;=AsOfDate,IF($R133=0,$X133,IF(AND($T133&lt;&gt;"",EDATE($D133,Milestones!$AA$137)&gt;=$T133),$W133,IF(AND($S133&lt;&gt;"",EDATE($D133,Milestones!$AA$137)&gt;=$S133),$V133,$U133)))=Milestones!$AB$137),UPPER(TEXT(EDATE($D133,Milestones!$AA$137),"dd mmm yy"))&amp;" "&amp;Milestones!$AB$137&amp;" "&amp;Milestones!$AC$137&amp;";  ","")&amp;IF(AND(EDATE($D133,Milestones!$AA$138)&lt;=AsOfDate,IF($R133=0,$X133,IF(AND($T133&lt;&gt;"",EDATE($D133,Milestones!$AA$138)&gt;=$T133),$W133,IF(AND($S133&lt;&gt;"",EDATE($D133,Milestones!$AA$138)&gt;=$S133),$V133,$U133)))=Milestones!$AB$138),UPPER(TEXT(EDATE($D133,Milestones!$AA$138),"dd mmm yy"))&amp;" "&amp;Milestones!$AB$138&amp;" "&amp;Milestones!$AC$138&amp;";  ","")&amp;IF(AND(EDATE($D133,Milestones!$AA$139)&lt;=AsOfDate,IF($R133=0,$X133,IF(AND($T133&lt;&gt;"",EDATE($D133,Milestones!$AA$139)&gt;=$T133),$W133,IF(AND($S133&lt;&gt;"",EDATE($D133,Milestones!$AA$139)&gt;=$S133),$V133,$U133)))=Milestones!$AB$139),UPPER(TEXT(EDATE($D133,Milestones!$AA$139),"dd mmm yy"))&amp;" "&amp;Milestones!$AB$139&amp;" "&amp;Milestones!$AC$139&amp;";  ",""))</f>
        <v/>
      </c>
      <c r="O133" s="0" t="str">
        <f aca="false">IF(OR($A133="",$D133=""),"",IF(AND(EDATE($D133,Milestones!$AA$140)&lt;=AsOfDate,IF($R133=0,$X133,IF(AND($T133&lt;&gt;"",EDATE($D133,Milestones!$AA$140)&gt;=$T133),$W133,IF(AND($S133&lt;&gt;"",EDATE($D133,Milestones!$AA$140)&gt;=$S133),$V133,$U133)))=Milestones!$AB$140),UPPER(TEXT(EDATE($D133,Milestones!$AA$140),"dd mmm yy"))&amp;" "&amp;Milestones!$AB$140&amp;" "&amp;Milestones!$AC$140&amp;";  ","")&amp;IF(AND(EDATE($D133,Milestones!$AA$141)&lt;=AsOfDate,IF($R133=0,$X133,IF(AND($T133&lt;&gt;"",EDATE($D133,Milestones!$AA$141)&gt;=$T133),$W133,IF(AND($S133&lt;&gt;"",EDATE($D133,Milestones!$AA$141)&gt;=$S133),$V133,$U133)))=Milestones!$AB$141),UPPER(TEXT(EDATE($D133,Milestones!$AA$141),"dd mmm yy"))&amp;" "&amp;Milestones!$AB$141&amp;" "&amp;Milestones!$AC$141&amp;";  ","")&amp;IF(AND(EDATE($D133,Milestones!$AA$142)&lt;=AsOfDate,IF($R133=0,$X133,IF(AND($T133&lt;&gt;"",EDATE($D133,Milestones!$AA$142)&gt;=$T133),$W133,IF(AND($S133&lt;&gt;"",EDATE($D133,Milestones!$AA$142)&gt;=$S133),$V133,$U133)))=Milestones!$AB$142),UPPER(TEXT(EDATE($D133,Milestones!$AA$142),"dd mmm yy"))&amp;" "&amp;Milestones!$AB$142&amp;" "&amp;Milestones!$AC$142&amp;";  ","")&amp;IF(AND(EDATE($D133,Milestones!$AA$143)&lt;=AsOfDate,IF($R133=0,$X133,IF(AND($T133&lt;&gt;"",EDATE($D133,Milestones!$AA$143)&gt;=$T133),$W133,IF(AND($S133&lt;&gt;"",EDATE($D133,Milestones!$AA$143)&gt;=$S133),$V133,$U133)))=Milestones!$AB$143),UPPER(TEXT(EDATE($D133,Milestones!$AA$143),"dd mmm yy"))&amp;" "&amp;Milestones!$AB$143&amp;" "&amp;Milestones!$AC$143&amp;";  ","")&amp;IF(AND(EDATE($D133,Milestones!$AA$144)&lt;=AsOfDate,IF($R133=0,$X133,IF(AND($T133&lt;&gt;"",EDATE($D133,Milestones!$AA$144)&gt;=$T133),$W133,IF(AND($S133&lt;&gt;"",EDATE($D133,Milestones!$AA$144)&gt;=$S133),$V133,$U133)))=Milestones!$AB$144),UPPER(TEXT(EDATE($D133,Milestones!$AA$144),"dd mmm yy"))&amp;" "&amp;Milestones!$AB$144&amp;" "&amp;Milestones!$AC$144&amp;";  ","")&amp;IF(AND(EDATE($D133,Milestones!$AA$145)&lt;=AsOfDate,IF($R133=0,$X133,IF(AND($T133&lt;&gt;"",EDATE($D133,Milestones!$AA$145)&gt;=$T133),$W133,IF(AND($S133&lt;&gt;"",EDATE($D133,Milestones!$AA$145)&gt;=$S133),$V133,$U133)))=Milestones!$AB$145),UPPER(TEXT(EDATE($D133,Milestones!$AA$145),"dd mmm yy"))&amp;" "&amp;Milestones!$AB$145&amp;" "&amp;Milestones!$AC$145&amp;";  ","")&amp;IF(AND(EDATE($D133,Milestones!$AA$146)&lt;=AsOfDate,IF($R133=0,$X133,IF(AND($T133&lt;&gt;"",EDATE($D133,Milestones!$AA$146)&gt;=$T133),$W133,IF(AND($S133&lt;&gt;"",EDATE($D133,Milestones!$AA$146)&gt;=$S133),$V133,$U133)))=Milestones!$AB$146),UPPER(TEXT(EDATE($D133,Milestones!$AA$146),"dd mmm yy"))&amp;" "&amp;Milestones!$AB$146&amp;" "&amp;Milestones!$AC$146&amp;";  ","")&amp;IF(AND(EDATE($D133,Milestones!$AA$147)&lt;=AsOfDate,IF($R133=0,$X133,IF(AND($T133&lt;&gt;"",EDATE($D133,Milestones!$AA$147)&gt;=$T133),$W133,IF(AND($S133&lt;&gt;"",EDATE($D133,Milestones!$AA$147)&gt;=$S133),$V133,$U133)))=Milestones!$AB$147),UPPER(TEXT(EDATE($D133,Milestones!$AA$147),"dd mmm yy"))&amp;" "&amp;Milestones!$AB$147&amp;" "&amp;Milestones!$AC$147&amp;";  ","")&amp;IF(AND(EDATE($D133,Milestones!$AA$148)&lt;=AsOfDate,IF($R133=0,$X133,IF(AND($T133&lt;&gt;"",EDATE($D133,Milestones!$AA$148)&gt;=$T133),$W133,IF(AND($S133&lt;&gt;"",EDATE($D133,Milestones!$AA$148)&gt;=$S133),$V133,$U133)))=Milestones!$AB$148),UPPER(TEXT(EDATE($D133,Milestones!$AA$148),"dd mmm yy"))&amp;" "&amp;Milestones!$AB$148&amp;" "&amp;Milestones!$AC$148&amp;";  ","")&amp;IF(AND(EDATE($D133,Milestones!$AA$149)&lt;=AsOfDate,IF($R133=0,$X133,IF(AND($T133&lt;&gt;"",EDATE($D133,Milestones!$AA$149)&gt;=$T133),$W133,IF(AND($S133&lt;&gt;"",EDATE($D133,Milestones!$AA$149)&gt;=$S133),$V133,$U133)))=Milestones!$AB$149),UPPER(TEXT(EDATE($D133,Milestones!$AA$149),"dd mmm yy"))&amp;" "&amp;Milestones!$AB$149&amp;" "&amp;Milestones!$AC$149&amp;";  ","")&amp;IF(AND(EDATE($D133,Milestones!$AA$150)&lt;=AsOfDate,IF($R133=0,$X133,IF(AND($T133&lt;&gt;"",EDATE($D133,Milestones!$AA$150)&gt;=$T133),$W133,IF(AND($S133&lt;&gt;"",EDATE($D133,Milestones!$AA$150)&gt;=$S133),$V133,$U133)))=Milestones!$AB$150),UPPER(TEXT(EDATE($D133,Milestones!$AA$150),"dd mmm yy"))&amp;" "&amp;Milestones!$AB$150&amp;" "&amp;Milestones!$AC$150&amp;";  ","")&amp;IF(AND(EDATE($D133,Milestones!$AA$151)&lt;=AsOfDate,IF($R133=0,$X133,IF(AND($T133&lt;&gt;"",EDATE($D133,Milestones!$AA$151)&gt;=$T133),$W133,IF(AND($S133&lt;&gt;"",EDATE($D133,Milestones!$AA$151)&gt;=$S133),$V133,$U133)))=Milestones!$AB$151),UPPER(TEXT(EDATE($D133,Milestones!$AA$151),"dd mmm yy"))&amp;" "&amp;Milestones!$AB$151&amp;" "&amp;Milestones!$AC$151&amp;";  ","")&amp;IF(AND(EDATE($D133,Milestones!$AA$152)&lt;=AsOfDate,IF($R133=0,$X133,IF(AND($T133&lt;&gt;"",EDATE($D133,Milestones!$AA$152)&gt;=$T133),$W133,IF(AND($S133&lt;&gt;"",EDATE($D133,Milestones!$AA$152)&gt;=$S133),$V133,$U133)))=Milestones!$AB$152),UPPER(TEXT(EDATE($D133,Milestones!$AA$152),"dd mmm yy"))&amp;" "&amp;Milestones!$AB$152&amp;" "&amp;Milestones!$AC$152&amp;";  ","")&amp;IF(AND(EDATE($D133,Milestones!$AA$153)&lt;=AsOfDate,IF($R133=0,$X133,IF(AND($T133&lt;&gt;"",EDATE($D133,Milestones!$AA$153)&gt;=$T133),$W133,IF(AND($S133&lt;&gt;"",EDATE($D133,Milestones!$AA$153)&gt;=$S133),$V133,$U133)))=Milestones!$AB$153),UPPER(TEXT(EDATE($D133,Milestones!$AA$153),"dd mmm yy"))&amp;" "&amp;Milestones!$AB$153&amp;" "&amp;Milestones!$AC$153&amp;";  ","")&amp;IF(AND(EDATE($D133,Milestones!$AA$154)&lt;=AsOfDate,IF($R133=0,$X133,IF(AND($T133&lt;&gt;"",EDATE($D133,Milestones!$AA$154)&gt;=$T133),$W133,IF(AND($S133&lt;&gt;"",EDATE($D133,Milestones!$AA$154)&gt;=$S133),$V133,$U133)))=Milestones!$AB$154),UPPER(TEXT(EDATE($D133,Milestones!$AA$154),"dd mmm yy"))&amp;" "&amp;Milestones!$AB$154&amp;" "&amp;Milestones!$AC$154&amp;";  ","")&amp;IF(AND(EDATE($D133,Milestones!$AA$155)&lt;=AsOfDate,IF($R133=0,$X133,IF(AND($T133&lt;&gt;"",EDATE($D133,Milestones!$AA$155)&gt;=$T133),$W133,IF(AND($S133&lt;&gt;"",EDATE($D133,Milestones!$AA$155)&gt;=$S133),$V133,$U133)))=Milestones!$AB$155),UPPER(TEXT(EDATE($D133,Milestones!$AA$155),"dd mmm yy"))&amp;" "&amp;Milestones!$AB$155&amp;" "&amp;Milestones!$AC$155&amp;";  ","")&amp;IF(AND(EDATE($D133,Milestones!$AA$156)&lt;=AsOfDate,IF($R133=0,$X133,IF(AND($T133&lt;&gt;"",EDATE($D133,Milestones!$AA$156)&gt;=$T133),$W133,IF(AND($S133&lt;&gt;"",EDATE($D133,Milestones!$AA$156)&gt;=$S133),$V133,$U133)))=Milestones!$AB$156),UPPER(TEXT(EDATE($D133,Milestones!$AA$156),"dd mmm yy"))&amp;" "&amp;Milestones!$AB$156&amp;" "&amp;Milestones!$AC$156&amp;";  ","")&amp;IF(AND(EDATE($D133,Milestones!$AA$157)&lt;=AsOfDate,IF($R133=0,$X133,IF(AND($T133&lt;&gt;"",EDATE($D133,Milestones!$AA$157)&gt;=$T133),$W133,IF(AND($S133&lt;&gt;"",EDATE($D133,Milestones!$AA$157)&gt;=$S133),$V133,$U133)))=Milestones!$AB$157),UPPER(TEXT(EDATE($D133,Milestones!$AA$157),"dd mmm yy"))&amp;" "&amp;Milestones!$AB$157&amp;" "&amp;Milestones!$AC$157&amp;";  ","")&amp;IF(AND(EDATE($D133,Milestones!$AA$158)&lt;=AsOfDate,IF($R133=0,$X133,IF(AND($T133&lt;&gt;"",EDATE($D133,Milestones!$AA$158)&gt;=$T133),$W133,IF(AND($S133&lt;&gt;"",EDATE($D133,Milestones!$AA$158)&gt;=$S133),$V133,$U133)))=Milestones!$AB$158),UPPER(TEXT(EDATE($D133,Milestones!$AA$158),"dd mmm yy"))&amp;" "&amp;Milestones!$AB$158&amp;" "&amp;Milestones!$AC$158&amp;";  ","")&amp;IF(AND(EDATE($D133,Milestones!$AA$159)&lt;=AsOfDate,IF($R133=0,$X133,IF(AND($T133&lt;&gt;"",EDATE($D133,Milestones!$AA$159)&gt;=$T133),$W133,IF(AND($S133&lt;&gt;"",EDATE($D133,Milestones!$AA$159)&gt;=$S133),$V133,$U133)))=Milestones!$AB$159),UPPER(TEXT(EDATE($D133,Milestones!$AA$159),"dd mmm yy"))&amp;" "&amp;Milestones!$AB$159&amp;" "&amp;Milestones!$AC$159&amp;";  ",""))</f>
        <v/>
      </c>
      <c r="P133" s="0" t="str">
        <f aca="false">IF(OR($A133="",$D133=""),"",IF(AND(EDATE($D133,Milestones!$AA$160)&lt;=AsOfDate,IF($R133=0,$X133,IF(AND($T133&lt;&gt;"",EDATE($D133,Milestones!$AA$160)&gt;=$T133),$W133,IF(AND($S133&lt;&gt;"",EDATE($D133,Milestones!$AA$160)&gt;=$S133),$V133,$U133)))=Milestones!$AB$160),UPPER(TEXT(EDATE($D133,Milestones!$AA$160),"dd mmm yy"))&amp;" "&amp;Milestones!$AB$160&amp;" "&amp;Milestones!$AC$160&amp;";  ","")&amp;IF(AND(EDATE($D133,Milestones!$AA$161)&lt;=AsOfDate,IF($R133=0,$X133,IF(AND($T133&lt;&gt;"",EDATE($D133,Milestones!$AA$161)&gt;=$T133),$W133,IF(AND($S133&lt;&gt;"",EDATE($D133,Milestones!$AA$161)&gt;=$S133),$V133,$U133)))=Milestones!$AB$161),UPPER(TEXT(EDATE($D133,Milestones!$AA$161),"dd mmm yy"))&amp;" "&amp;Milestones!$AB$161&amp;" "&amp;Milestones!$AC$161&amp;";  ","")&amp;IF(AND(EDATE($D133,Milestones!$AA$162)&lt;=AsOfDate,IF($R133=0,$X133,IF(AND($T133&lt;&gt;"",EDATE($D133,Milestones!$AA$162)&gt;=$T133),$W133,IF(AND($S133&lt;&gt;"",EDATE($D133,Milestones!$AA$162)&gt;=$S133),$V133,$U133)))=Milestones!$AB$162),UPPER(TEXT(EDATE($D133,Milestones!$AA$162),"dd mmm yy"))&amp;" "&amp;Milestones!$AB$162&amp;" "&amp;Milestones!$AC$162&amp;";  ","")&amp;IF(AND(EDATE($D133,Milestones!$AA$163)&lt;=AsOfDate,IF($R133=0,$X133,IF(AND($T133&lt;&gt;"",EDATE($D133,Milestones!$AA$163)&gt;=$T133),$W133,IF(AND($S133&lt;&gt;"",EDATE($D133,Milestones!$AA$163)&gt;=$S133),$V133,$U133)))=Milestones!$AB$163),UPPER(TEXT(EDATE($D133,Milestones!$AA$163),"dd mmm yy"))&amp;" "&amp;Milestones!$AB$163&amp;" "&amp;Milestones!$AC$163&amp;";  ","")&amp;IF(AND(EDATE($D133,Milestones!$AA$164)&lt;=AsOfDate,IF($R133=0,$X133,IF(AND($T133&lt;&gt;"",EDATE($D133,Milestones!$AA$164)&gt;=$T133),$W133,IF(AND($S133&lt;&gt;"",EDATE($D133,Milestones!$AA$164)&gt;=$S133),$V133,$U133)))=Milestones!$AB$164),UPPER(TEXT(EDATE($D133,Milestones!$AA$164),"dd mmm yy"))&amp;" "&amp;Milestones!$AB$164&amp;" "&amp;Milestones!$AC$164&amp;";  ","")&amp;IF(AND(EDATE($D133,Milestones!$AA$165)&lt;=AsOfDate,IF($R133=0,$X133,IF(AND($T133&lt;&gt;"",EDATE($D133,Milestones!$AA$165)&gt;=$T133),$W133,IF(AND($S133&lt;&gt;"",EDATE($D133,Milestones!$AA$165)&gt;=$S133),$V133,$U133)))=Milestones!$AB$165),UPPER(TEXT(EDATE($D133,Milestones!$AA$165),"dd mmm yy"))&amp;" "&amp;Milestones!$AB$165&amp;" "&amp;Milestones!$AC$165&amp;";  ","")&amp;IF(AND(EDATE($D133,Milestones!$AA$166)&lt;=AsOfDate,IF($R133=0,$X133,IF(AND($T133&lt;&gt;"",EDATE($D133,Milestones!$AA$166)&gt;=$T133),$W133,IF(AND($S133&lt;&gt;"",EDATE($D133,Milestones!$AA$166)&gt;=$S133),$V133,$U133)))=Milestones!$AB$166),UPPER(TEXT(EDATE($D133,Milestones!$AA$166),"dd mmm yy"))&amp;" "&amp;Milestones!$AB$166&amp;" "&amp;Milestones!$AC$166&amp;";  ","")&amp;IF(AND(EDATE($D133,Milestones!$AA$167)&lt;=AsOfDate,IF($R133=0,$X133,IF(AND($T133&lt;&gt;"",EDATE($D133,Milestones!$AA$167)&gt;=$T133),$W133,IF(AND($S133&lt;&gt;"",EDATE($D133,Milestones!$AA$167)&gt;=$S133),$V133,$U133)))=Milestones!$AB$167),UPPER(TEXT(EDATE($D133,Milestones!$AA$167),"dd mmm yy"))&amp;" "&amp;Milestones!$AB$167&amp;" "&amp;Milestones!$AC$167&amp;";  ","")&amp;IF(AND(EDATE($D133,Milestones!$AA$168)&lt;=AsOfDate,IF($R133=0,$X133,IF(AND($T133&lt;&gt;"",EDATE($D133,Milestones!$AA$168)&gt;=$T133),$W133,IF(AND($S133&lt;&gt;"",EDATE($D133,Milestones!$AA$168)&gt;=$S133),$V133,$U133)))=Milestones!$AB$168),UPPER(TEXT(EDATE($D133,Milestones!$AA$168),"dd mmm yy"))&amp;" "&amp;Milestones!$AB$168&amp;" "&amp;Milestones!$AC$168&amp;";  ","")&amp;IF(AND(EDATE($D133,Milestones!$AA$169)&lt;=AsOfDate,IF($R133=0,$X133,IF(AND($T133&lt;&gt;"",EDATE($D133,Milestones!$AA$169)&gt;=$T133),$W133,IF(AND($S133&lt;&gt;"",EDATE($D133,Milestones!$AA$169)&gt;=$S133),$V133,$U133)))=Milestones!$AB$169),UPPER(TEXT(EDATE($D133,Milestones!$AA$169),"dd mmm yy"))&amp;" "&amp;Milestones!$AB$169&amp;" "&amp;Milestones!$AC$169&amp;";  ","")&amp;IF(AND(EDATE($D133,Milestones!$AA$170)&lt;=AsOfDate,IF($R133=0,$X133,IF(AND($T133&lt;&gt;"",EDATE($D133,Milestones!$AA$170)&gt;=$T133),$W133,IF(AND($S133&lt;&gt;"",EDATE($D133,Milestones!$AA$170)&gt;=$S133),$V133,$U133)))=Milestones!$AB$170),UPPER(TEXT(EDATE($D133,Milestones!$AA$170),"dd mmm yy"))&amp;" "&amp;Milestones!$AB$170&amp;" "&amp;Milestones!$AC$170&amp;";  ","")&amp;IF(AND(EDATE($D133,Milestones!$AA$171)&lt;=AsOfDate,IF($R133=0,$X133,IF(AND($T133&lt;&gt;"",EDATE($D133,Milestones!$AA$171)&gt;=$T133),$W133,IF(AND($S133&lt;&gt;"",EDATE($D133,Milestones!$AA$171)&gt;=$S133),$V133,$U133)))=Milestones!$AB$171),UPPER(TEXT(EDATE($D133,Milestones!$AA$171),"dd mmm yy"))&amp;" "&amp;Milestones!$AB$171&amp;" "&amp;Milestones!$AC$171&amp;";  ","")&amp;IF(AND(EDATE($D133,Milestones!$AA$172)&lt;=AsOfDate,IF($R133=0,$X133,IF(AND($T133&lt;&gt;"",EDATE($D133,Milestones!$AA$172)&gt;=$T133),$W133,IF(AND($S133&lt;&gt;"",EDATE($D133,Milestones!$AA$172)&gt;=$S133),$V133,$U133)))=Milestones!$AB$172),UPPER(TEXT(EDATE($D133,Milestones!$AA$172),"dd mmm yy"))&amp;" "&amp;Milestones!$AB$172&amp;" "&amp;Milestones!$AC$172&amp;";  ","")&amp;IF(AND(EDATE($D133,Milestones!$AA$173)&lt;=AsOfDate,IF($R133=0,$X133,IF(AND($T133&lt;&gt;"",EDATE($D133,Milestones!$AA$173)&gt;=$T133),$W133,IF(AND($S133&lt;&gt;"",EDATE($D133,Milestones!$AA$173)&gt;=$S133),$V133,$U133)))=Milestones!$AB$173),UPPER(TEXT(EDATE($D133,Milestones!$AA$173),"dd mmm yy"))&amp;" "&amp;Milestones!$AB$173&amp;" "&amp;Milestones!$AC$173&amp;";  ","")&amp;IF(AND(EDATE($D133,Milestones!$AA$174)&lt;=AsOfDate,IF($R133=0,$X133,IF(AND($T133&lt;&gt;"",EDATE($D133,Milestones!$AA$174)&gt;=$T133),$W133,IF(AND($S133&lt;&gt;"",EDATE($D133,Milestones!$AA$174)&gt;=$S133),$V133,$U133)))=Milestones!$AB$174),UPPER(TEXT(EDATE($D133,Milestones!$AA$174),"dd mmm yy"))&amp;" "&amp;Milestones!$AB$174&amp;" "&amp;Milestones!$AC$174&amp;";  ","")&amp;IF(AND(EDATE($D133,Milestones!$AA$175)&lt;=AsOfDate,IF($R133=0,$X133,IF(AND($T133&lt;&gt;"",EDATE($D133,Milestones!$AA$175)&gt;=$T133),$W133,IF(AND($S133&lt;&gt;"",EDATE($D133,Milestones!$AA$175)&gt;=$S133),$V133,$U133)))=Milestones!$AB$175),UPPER(TEXT(EDATE($D133,Milestones!$AA$175),"dd mmm yy"))&amp;" "&amp;Milestones!$AB$175&amp;" "&amp;Milestones!$AC$175&amp;";  ","")&amp;IF(AND(EDATE($D133,Milestones!$AA$176)&lt;=AsOfDate,IF($R133=0,$X133,IF(AND($T133&lt;&gt;"",EDATE($D133,Milestones!$AA$176)&gt;=$T133),$W133,IF(AND($S133&lt;&gt;"",EDATE($D133,Milestones!$AA$176)&gt;=$S133),$V133,$U133)))=Milestones!$AB$176),UPPER(TEXT(EDATE($D133,Milestones!$AA$176),"dd mmm yy"))&amp;" "&amp;Milestones!$AB$176&amp;" "&amp;Milestones!$AC$176&amp;";  ","")&amp;IF(AND(EDATE($D133,Milestones!$AA$177)&lt;=AsOfDate,IF($R133=0,$X133,IF(AND($T133&lt;&gt;"",EDATE($D133,Milestones!$AA$177)&gt;=$T133),$W133,IF(AND($S133&lt;&gt;"",EDATE($D133,Milestones!$AA$177)&gt;=$S133),$V133,$U133)))=Milestones!$AB$177),UPPER(TEXT(EDATE($D133,Milestones!$AA$177),"dd mmm yy"))&amp;" "&amp;Milestones!$AB$177&amp;" "&amp;Milestones!$AC$177&amp;";  ","")&amp;IF(AND(EDATE($D133,Milestones!$AA$178)&lt;=AsOfDate,IF($R133=0,$X133,IF(AND($T133&lt;&gt;"",EDATE($D133,Milestones!$AA$178)&gt;=$T133),$W133,IF(AND($S133&lt;&gt;"",EDATE($D133,Milestones!$AA$178)&gt;=$S133),$V133,$U133)))=Milestones!$AB$178),UPPER(TEXT(EDATE($D133,Milestones!$AA$178),"dd mmm yy"))&amp;" "&amp;Milestones!$AB$178&amp;" "&amp;Milestones!$AC$178&amp;";  ","")&amp;IF(AND(EDATE($D133,Milestones!$AA$179)&lt;=AsOfDate,IF($R133=0,$X133,IF(AND($T133&lt;&gt;"",EDATE($D133,Milestones!$AA$179)&gt;=$T133),$W133,IF(AND($S133&lt;&gt;"",EDATE($D133,Milestones!$AA$179)&gt;=$S133),$V133,$U133)))=Milestones!$AB$179),UPPER(TEXT(EDATE($D133,Milestones!$AA$179),"dd mmm yy"))&amp;" "&amp;Milestones!$AB$179&amp;" "&amp;Milestones!$AC$179&amp;";  ",""))</f>
        <v/>
      </c>
      <c r="Q133" s="0" t="str">
        <f aca="false">IF(OR($A133="",$D133=""),"",IF(AND(EDATE($D133,Milestones!$AA$180)&lt;=AsOfDate,IF($R133=0,$X133,IF(AND($T133&lt;&gt;"",EDATE($D133,Milestones!$AA$180)&gt;=$T133),$W133,IF(AND($S133&lt;&gt;"",EDATE($D133,Milestones!$AA$180)&gt;=$S133),$V133,$U133)))=Milestones!$AB$180),UPPER(TEXT(EDATE($D133,Milestones!$AA$180),"dd mmm yy"))&amp;" "&amp;Milestones!$AB$180&amp;" "&amp;Milestones!$AC$180&amp;";  ","")&amp;IF(AND(EDATE($D133,Milestones!$AA$181)&lt;=AsOfDate,IF($R133=0,$X133,IF(AND($T133&lt;&gt;"",EDATE($D133,Milestones!$AA$181)&gt;=$T133),$W133,IF(AND($S133&lt;&gt;"",EDATE($D133,Milestones!$AA$181)&gt;=$S133),$V133,$U133)))=Milestones!$AB$181),UPPER(TEXT(EDATE($D133,Milestones!$AA$181),"dd mmm yy"))&amp;" "&amp;Milestones!$AB$181&amp;" "&amp;Milestones!$AC$181&amp;";  ","")&amp;IF(AND(EDATE($D133,Milestones!$AA$182)&lt;=AsOfDate,IF($R133=0,$X133,IF(AND($T133&lt;&gt;"",EDATE($D133,Milestones!$AA$182)&gt;=$T133),$W133,IF(AND($S133&lt;&gt;"",EDATE($D133,Milestones!$AA$182)&gt;=$S133),$V133,$U133)))=Milestones!$AB$182),UPPER(TEXT(EDATE($D133,Milestones!$AA$182),"dd mmm yy"))&amp;" "&amp;Milestones!$AB$182&amp;" "&amp;Milestones!$AC$182&amp;";  ","")&amp;IF(AND(EDATE($D133,Milestones!$AA$183)&lt;=AsOfDate,IF($R133=0,$X133,IF(AND($T133&lt;&gt;"",EDATE($D133,Milestones!$AA$183)&gt;=$T133),$W133,IF(AND($S133&lt;&gt;"",EDATE($D133,Milestones!$AA$183)&gt;=$S133),$V133,$U133)))=Milestones!$AB$183),UPPER(TEXT(EDATE($D133,Milestones!$AA$183),"dd mmm yy"))&amp;" "&amp;Milestones!$AB$183&amp;" "&amp;Milestones!$AC$183&amp;";  ","")&amp;IF(AND(EDATE($D133,Milestones!$AA$184)&lt;=AsOfDate,IF($R133=0,$X133,IF(AND($T133&lt;&gt;"",EDATE($D133,Milestones!$AA$184)&gt;=$T133),$W133,IF(AND($S133&lt;&gt;"",EDATE($D133,Milestones!$AA$184)&gt;=$S133),$V133,$U133)))=Milestones!$AB$184),UPPER(TEXT(EDATE($D133,Milestones!$AA$184),"dd mmm yy"))&amp;" "&amp;Milestones!$AB$184&amp;" "&amp;Milestones!$AC$184&amp;";  ","")&amp;IF(AND(EDATE($D133,Milestones!$AA$185)&lt;=AsOfDate,IF($R133=0,$X133,IF(AND($T133&lt;&gt;"",EDATE($D133,Milestones!$AA$185)&gt;=$T133),$W133,IF(AND($S133&lt;&gt;"",EDATE($D133,Milestones!$AA$185)&gt;=$S133),$V133,$U133)))=Milestones!$AB$185),UPPER(TEXT(EDATE($D133,Milestones!$AA$185),"dd mmm yy"))&amp;" "&amp;Milestones!$AB$185&amp;" "&amp;Milestones!$AC$185&amp;";  ","")&amp;IF(AND(EDATE($D133,Milestones!$AA$186)&lt;=AsOfDate,IF($R133=0,$X133,IF(AND($T133&lt;&gt;"",EDATE($D133,Milestones!$AA$186)&gt;=$T133),$W133,IF(AND($S133&lt;&gt;"",EDATE($D133,Milestones!$AA$186)&gt;=$S133),$V133,$U133)))=Milestones!$AB$186),UPPER(TEXT(EDATE($D133,Milestones!$AA$186),"dd mmm yy"))&amp;" "&amp;Milestones!$AB$186&amp;" "&amp;Milestones!$AC$186&amp;";  ","")&amp;IF(AND(EDATE($D133,Milestones!$AA$187)&lt;=AsOfDate,IF($R133=0,$X133,IF(AND($T133&lt;&gt;"",EDATE($D133,Milestones!$AA$187)&gt;=$T133),$W133,IF(AND($S133&lt;&gt;"",EDATE($D133,Milestones!$AA$187)&gt;=$S133),$V133,$U133)))=Milestones!$AB$187),UPPER(TEXT(EDATE($D133,Milestones!$AA$187),"dd mmm yy"))&amp;" "&amp;Milestones!$AB$187&amp;" "&amp;Milestones!$AC$187&amp;";  ","")&amp;IF(AND(EDATE($D133,Milestones!$AA$188)&lt;=AsOfDate,IF($R133=0,$X133,IF(AND($T133&lt;&gt;"",EDATE($D133,Milestones!$AA$188)&gt;=$T133),$W133,IF(AND($S133&lt;&gt;"",EDATE($D133,Milestones!$AA$188)&gt;=$S133),$V133,$U133)))=Milestones!$AB$188),UPPER(TEXT(EDATE($D133,Milestones!$AA$188),"dd mmm yy"))&amp;" "&amp;Milestones!$AB$188&amp;" "&amp;Milestones!$AC$188&amp;";  ","")&amp;IF(AND(EDATE($D133,Milestones!$AA$189)&lt;=AsOfDate,IF($R133=0,$X133,IF(AND($T133&lt;&gt;"",EDATE($D133,Milestones!$AA$189)&gt;=$T133),$W133,IF(AND($S133&lt;&gt;"",EDATE($D133,Milestones!$AA$189)&gt;=$S133),$V133,$U133)))=Milestones!$AB$189),UPPER(TEXT(EDATE($D133,Milestones!$AA$189),"dd mmm yy"))&amp;" "&amp;Milestones!$AB$189&amp;" "&amp;Milestones!$AC$189&amp;";  ","")&amp;IF(AND(EDATE($D133,Milestones!$AA$190)&lt;=AsOfDate,IF($R133=0,$X133,IF(AND($T133&lt;&gt;"",EDATE($D133,Milestones!$AA$190)&gt;=$T133),$W133,IF(AND($S133&lt;&gt;"",EDATE($D133,Milestones!$AA$190)&gt;=$S133),$V133,$U133)))=Milestones!$AB$190),UPPER(TEXT(EDATE($D133,Milestones!$AA$190),"dd mmm yy"))&amp;" "&amp;Milestones!$AB$190&amp;" "&amp;Milestones!$AC$190&amp;";  ","")&amp;IF(AND(EDATE($D133,Milestones!$AA$191)&lt;=AsOfDate,IF($R133=0,$X133,IF(AND($T133&lt;&gt;"",EDATE($D133,Milestones!$AA$191)&gt;=$T133),$W133,IF(AND($S133&lt;&gt;"",EDATE($D133,Milestones!$AA$191)&gt;=$S133),$V133,$U133)))=Milestones!$AB$191),UPPER(TEXT(EDATE($D133,Milestones!$AA$191),"dd mmm yy"))&amp;" "&amp;Milestones!$AB$191&amp;" "&amp;Milestones!$AC$191&amp;";  ","")&amp;IF(AND(EDATE($D133,Milestones!$AA$192)&lt;=AsOfDate,IF($R133=0,$X133,IF(AND($T133&lt;&gt;"",EDATE($D133,Milestones!$AA$192)&gt;=$T133),$W133,IF(AND($S133&lt;&gt;"",EDATE($D133,Milestones!$AA$192)&gt;=$S133),$V133,$U133)))=Milestones!$AB$192),UPPER(TEXT(EDATE($D133,Milestones!$AA$192),"dd mmm yy"))&amp;" "&amp;Milestones!$AB$192&amp;" "&amp;Milestones!$AC$192&amp;";  ","")&amp;IF(AND(EDATE($D133,Milestones!$AA$193)&lt;=AsOfDate,IF($R133=0,$X133,IF(AND($T133&lt;&gt;"",EDATE($D133,Milestones!$AA$193)&gt;=$T133),$W133,IF(AND($S133&lt;&gt;"",EDATE($D133,Milestones!$AA$193)&gt;=$S133),$V133,$U133)))=Milestones!$AB$193),UPPER(TEXT(EDATE($D133,Milestones!$AA$193),"dd mmm yy"))&amp;" "&amp;Milestones!$AB$193&amp;" "&amp;Milestones!$AC$193&amp;";  ","")&amp;IF(AND(EDATE($D133,Milestones!$AA$194)&lt;=AsOfDate,IF($R133=0,$X133,IF(AND($T133&lt;&gt;"",EDATE($D133,Milestones!$AA$194)&gt;=$T133),$W133,IF(AND($S133&lt;&gt;"",EDATE($D133,Milestones!$AA$194)&gt;=$S133),$V133,$U133)))=Milestones!$AB$194),UPPER(TEXT(EDATE($D133,Milestones!$AA$194),"dd mmm yy"))&amp;" "&amp;Milestones!$AB$194&amp;" "&amp;Milestones!$AC$194&amp;";  ","")&amp;IF(AND(EDATE($D133,Milestones!$AA$195)&lt;=AsOfDate,IF($R133=0,$X133,IF(AND($T133&lt;&gt;"",EDATE($D133,Milestones!$AA$195)&gt;=$T133),$W133,IF(AND($S133&lt;&gt;"",EDATE($D133,Milestones!$AA$195)&gt;=$S133),$V133,$U133)))=Milestones!$AB$195),UPPER(TEXT(EDATE($D133,Milestones!$AA$195),"dd mmm yy"))&amp;" "&amp;Milestones!$AB$195&amp;" "&amp;Milestones!$AC$195&amp;";  ","")&amp;IF(AND(EDATE($D133,Milestones!$AA$196)&lt;=AsOfDate,IF($R133=0,$X133,IF(AND($T133&lt;&gt;"",EDATE($D133,Milestones!$AA$196)&gt;=$T133),$W133,IF(AND($S133&lt;&gt;"",EDATE($D133,Milestones!$AA$196)&gt;=$S133),$V133,$U133)))=Milestones!$AB$196),UPPER(TEXT(EDATE($D133,Milestones!$AA$196),"dd mmm yy"))&amp;" "&amp;Milestones!$AB$196&amp;" "&amp;Milestones!$AC$196&amp;";  ","")&amp;IF(AND(EDATE($D133,Milestones!$AA$197)&lt;=AsOfDate,IF($R133=0,$X133,IF(AND($T133&lt;&gt;"",EDATE($D133,Milestones!$AA$197)&gt;=$T133),$W133,IF(AND($S133&lt;&gt;"",EDATE($D133,Milestones!$AA$197)&gt;=$S133),$V133,$U133)))=Milestones!$AB$197),UPPER(TEXT(EDATE($D133,Milestones!$AA$197),"dd mmm yy"))&amp;" "&amp;Milestones!$AB$197&amp;" "&amp;Milestones!$AC$197&amp;";  ","")&amp;IF(AND(EDATE($D133,Milestones!$AA$198)&lt;=AsOfDate,IF($R133=0,$X133,IF(AND($T133&lt;&gt;"",EDATE($D133,Milestones!$AA$198)&gt;=$T133),$W133,IF(AND($S133&lt;&gt;"",EDATE($D133,Milestones!$AA$198)&gt;=$S133),$V133,$U133)))=Milestones!$AB$198),UPPER(TEXT(EDATE($D133,Milestones!$AA$198),"dd mmm yy"))&amp;" "&amp;Milestones!$AB$198&amp;" "&amp;Milestones!$AC$198&amp;";  ","")&amp;IF(AND(EDATE($D133,Milestones!$AA$199)&lt;=AsOfDate,IF($R133=0,$X133,IF(AND($T133&lt;&gt;"",EDATE($D133,Milestones!$AA$199)&gt;=$T133),$W133,IF(AND($S133&lt;&gt;"",EDATE($D133,Milestones!$AA$199)&gt;=$S133),$V133,$U133)))=Milestones!$AB$199),UPPER(TEXT(EDATE($D133,Milestones!$AA$199),"dd mmm yy"))&amp;" "&amp;Milestones!$AB$199&amp;" "&amp;Milestones!$AC$199&amp;";  ",""))</f>
        <v/>
      </c>
      <c r="R133" s="0" t="str">
        <f aca="false">IF(Staff!$A133="","",Staff!$AI133)</f>
        <v/>
      </c>
      <c r="S133" s="0" t="str">
        <f aca="false">IF(Staff!$A133="","",Staff!$AK133)</f>
        <v/>
      </c>
      <c r="T133" s="0" t="str">
        <f aca="false">IF(Staff!$A133="","",Staff!$AL133)</f>
        <v/>
      </c>
      <c r="U133" s="0" t="str">
        <f aca="false">IF(Staff!$A133="","",Staff!$AP133)</f>
        <v/>
      </c>
      <c r="V133" s="0" t="str">
        <f aca="false">IF(Staff!$A133="","",Staff!$AQ133)</f>
        <v/>
      </c>
      <c r="W133" s="0" t="str">
        <f aca="false">IF(Staff!$A133="","",Staff!$AR133)</f>
        <v/>
      </c>
      <c r="X133" s="0" t="str">
        <f aca="false">IF(Staff!$A133="","",Staff!$AS133)</f>
        <v/>
      </c>
    </row>
    <row r="134" customFormat="false" ht="15" hidden="false" customHeight="false" outlineLevel="0" collapsed="false">
      <c r="A134" s="19" t="str">
        <f aca="false">IF(Staff!$A134="","",Staff!$A134)</f>
        <v/>
      </c>
      <c r="B134" s="19" t="str">
        <f aca="false">IF(Staff!$A134="","",Staff!$B134)</f>
        <v/>
      </c>
      <c r="C134" s="19" t="str">
        <f aca="false">IF(Staff!$A134="","",Staff!$C134)</f>
        <v/>
      </c>
      <c r="D134" s="17" t="str">
        <f aca="false">IF(Staff!$A134="","",Staff!$AH134)</f>
        <v/>
      </c>
      <c r="E134" s="19" t="str">
        <f aca="false">IF(Staff!$A134="","",Staff!$O134)</f>
        <v/>
      </c>
      <c r="F134" s="19" t="str">
        <f aca="false">IF(E134="","",E134*HoursPerDay)</f>
        <v/>
      </c>
      <c r="G134" s="19" t="str">
        <f aca="false">IF(Staff!$A134="","",Staff!$AE134)</f>
        <v/>
      </c>
      <c r="H134" s="32" t="str">
        <f aca="false">IF($A134="","",I134&amp;J134&amp;K134&amp;L134&amp;M134&amp;N134&amp;O134&amp;P134&amp;Q134)</f>
        <v/>
      </c>
      <c r="I134" s="0" t="str">
        <f aca="false">IF(OR($A134="",$D134=""),"",IF(AND(EDATE($D134,Milestones!$AA$20)&lt;=AsOfDate,IF($R134=0,$X134,IF(AND($T134&lt;&gt;"",EDATE($D134,Milestones!$AA$20)&gt;=$T134),$W134,IF(AND($S134&lt;&gt;"",EDATE($D134,Milestones!$AA$20)&gt;=$S134),$V134,$U134)))=Milestones!$AB$20),UPPER(TEXT(EDATE($D134,Milestones!$AA$20),"dd mmm yy"))&amp;" "&amp;Milestones!$AB$20&amp;" "&amp;Milestones!$AC$20&amp;";  ","")&amp;IF(AND(EDATE($D134,Milestones!$AA$21)&lt;=AsOfDate,IF($R134=0,$X134,IF(AND($T134&lt;&gt;"",EDATE($D134,Milestones!$AA$21)&gt;=$T134),$W134,IF(AND($S134&lt;&gt;"",EDATE($D134,Milestones!$AA$21)&gt;=$S134),$V134,$U134)))=Milestones!$AB$21),UPPER(TEXT(EDATE($D134,Milestones!$AA$21),"dd mmm yy"))&amp;" "&amp;Milestones!$AB$21&amp;" "&amp;Milestones!$AC$21&amp;";  ","")&amp;IF(AND(EDATE($D134,Milestones!$AA$22)&lt;=AsOfDate,IF($R134=0,$X134,IF(AND($T134&lt;&gt;"",EDATE($D134,Milestones!$AA$22)&gt;=$T134),$W134,IF(AND($S134&lt;&gt;"",EDATE($D134,Milestones!$AA$22)&gt;=$S134),$V134,$U134)))=Milestones!$AB$22),UPPER(TEXT(EDATE($D134,Milestones!$AA$22),"dd mmm yy"))&amp;" "&amp;Milestones!$AB$22&amp;" "&amp;Milestones!$AC$22&amp;";  ","")&amp;IF(AND(EDATE($D134,Milestones!$AA$23)&lt;=AsOfDate,IF($R134=0,$X134,IF(AND($T134&lt;&gt;"",EDATE($D134,Milestones!$AA$23)&gt;=$T134),$W134,IF(AND($S134&lt;&gt;"",EDATE($D134,Milestones!$AA$23)&gt;=$S134),$V134,$U134)))=Milestones!$AB$23),UPPER(TEXT(EDATE($D134,Milestones!$AA$23),"dd mmm yy"))&amp;" "&amp;Milestones!$AB$23&amp;" "&amp;Milestones!$AC$23&amp;";  ","")&amp;IF(AND(EDATE($D134,Milestones!$AA$24)&lt;=AsOfDate,IF($R134=0,$X134,IF(AND($T134&lt;&gt;"",EDATE($D134,Milestones!$AA$24)&gt;=$T134),$W134,IF(AND($S134&lt;&gt;"",EDATE($D134,Milestones!$AA$24)&gt;=$S134),$V134,$U134)))=Milestones!$AB$24),UPPER(TEXT(EDATE($D134,Milestones!$AA$24),"dd mmm yy"))&amp;" "&amp;Milestones!$AB$24&amp;" "&amp;Milestones!$AC$24&amp;";  ","")&amp;IF(AND(EDATE($D134,Milestones!$AA$25)&lt;=AsOfDate,IF($R134=0,$X134,IF(AND($T134&lt;&gt;"",EDATE($D134,Milestones!$AA$25)&gt;=$T134),$W134,IF(AND($S134&lt;&gt;"",EDATE($D134,Milestones!$AA$25)&gt;=$S134),$V134,$U134)))=Milestones!$AB$25),UPPER(TEXT(EDATE($D134,Milestones!$AA$25),"dd mmm yy"))&amp;" "&amp;Milestones!$AB$25&amp;" "&amp;Milestones!$AC$25&amp;";  ","")&amp;IF(AND(EDATE($D134,Milestones!$AA$26)&lt;=AsOfDate,IF($R134=0,$X134,IF(AND($T134&lt;&gt;"",EDATE($D134,Milestones!$AA$26)&gt;=$T134),$W134,IF(AND($S134&lt;&gt;"",EDATE($D134,Milestones!$AA$26)&gt;=$S134),$V134,$U134)))=Milestones!$AB$26),UPPER(TEXT(EDATE($D134,Milestones!$AA$26),"dd mmm yy"))&amp;" "&amp;Milestones!$AB$26&amp;" "&amp;Milestones!$AC$26&amp;";  ","")&amp;IF(AND(EDATE($D134,Milestones!$AA$27)&lt;=AsOfDate,IF($R134=0,$X134,IF(AND($T134&lt;&gt;"",EDATE($D134,Milestones!$AA$27)&gt;=$T134),$W134,IF(AND($S134&lt;&gt;"",EDATE($D134,Milestones!$AA$27)&gt;=$S134),$V134,$U134)))=Milestones!$AB$27),UPPER(TEXT(EDATE($D134,Milestones!$AA$27),"dd mmm yy"))&amp;" "&amp;Milestones!$AB$27&amp;" "&amp;Milestones!$AC$27&amp;";  ","")&amp;IF(AND(EDATE($D134,Milestones!$AA$28)&lt;=AsOfDate,IF($R134=0,$X134,IF(AND($T134&lt;&gt;"",EDATE($D134,Milestones!$AA$28)&gt;=$T134),$W134,IF(AND($S134&lt;&gt;"",EDATE($D134,Milestones!$AA$28)&gt;=$S134),$V134,$U134)))=Milestones!$AB$28),UPPER(TEXT(EDATE($D134,Milestones!$AA$28),"dd mmm yy"))&amp;" "&amp;Milestones!$AB$28&amp;" "&amp;Milestones!$AC$28&amp;";  ","")&amp;IF(AND(EDATE($D134,Milestones!$AA$29)&lt;=AsOfDate,IF($R134=0,$X134,IF(AND($T134&lt;&gt;"",EDATE($D134,Milestones!$AA$29)&gt;=$T134),$W134,IF(AND($S134&lt;&gt;"",EDATE($D134,Milestones!$AA$29)&gt;=$S134),$V134,$U134)))=Milestones!$AB$29),UPPER(TEXT(EDATE($D134,Milestones!$AA$29),"dd mmm yy"))&amp;" "&amp;Milestones!$AB$29&amp;" "&amp;Milestones!$AC$29&amp;";  ","")&amp;IF(AND(EDATE($D134,Milestones!$AA$30)&lt;=AsOfDate,IF($R134=0,$X134,IF(AND($T134&lt;&gt;"",EDATE($D134,Milestones!$AA$30)&gt;=$T134),$W134,IF(AND($S134&lt;&gt;"",EDATE($D134,Milestones!$AA$30)&gt;=$S134),$V134,$U134)))=Milestones!$AB$30),UPPER(TEXT(EDATE($D134,Milestones!$AA$30),"dd mmm yy"))&amp;" "&amp;Milestones!$AB$30&amp;" "&amp;Milestones!$AC$30&amp;";  ","")&amp;IF(AND(EDATE($D134,Milestones!$AA$31)&lt;=AsOfDate,IF($R134=0,$X134,IF(AND($T134&lt;&gt;"",EDATE($D134,Milestones!$AA$31)&gt;=$T134),$W134,IF(AND($S134&lt;&gt;"",EDATE($D134,Milestones!$AA$31)&gt;=$S134),$V134,$U134)))=Milestones!$AB$31),UPPER(TEXT(EDATE($D134,Milestones!$AA$31),"dd mmm yy"))&amp;" "&amp;Milestones!$AB$31&amp;" "&amp;Milestones!$AC$31&amp;";  ","")&amp;IF(AND(EDATE($D134,Milestones!$AA$32)&lt;=AsOfDate,IF($R134=0,$X134,IF(AND($T134&lt;&gt;"",EDATE($D134,Milestones!$AA$32)&gt;=$T134),$W134,IF(AND($S134&lt;&gt;"",EDATE($D134,Milestones!$AA$32)&gt;=$S134),$V134,$U134)))=Milestones!$AB$32),UPPER(TEXT(EDATE($D134,Milestones!$AA$32),"dd mmm yy"))&amp;" "&amp;Milestones!$AB$32&amp;" "&amp;Milestones!$AC$32&amp;";  ","")&amp;IF(AND(EDATE($D134,Milestones!$AA$33)&lt;=AsOfDate,IF($R134=0,$X134,IF(AND($T134&lt;&gt;"",EDATE($D134,Milestones!$AA$33)&gt;=$T134),$W134,IF(AND($S134&lt;&gt;"",EDATE($D134,Milestones!$AA$33)&gt;=$S134),$V134,$U134)))=Milestones!$AB$33),UPPER(TEXT(EDATE($D134,Milestones!$AA$33),"dd mmm yy"))&amp;" "&amp;Milestones!$AB$33&amp;" "&amp;Milestones!$AC$33&amp;";  ","")&amp;IF(AND(EDATE($D134,Milestones!$AA$34)&lt;=AsOfDate,IF($R134=0,$X134,IF(AND($T134&lt;&gt;"",EDATE($D134,Milestones!$AA$34)&gt;=$T134),$W134,IF(AND($S134&lt;&gt;"",EDATE($D134,Milestones!$AA$34)&gt;=$S134),$V134,$U134)))=Milestones!$AB$34),UPPER(TEXT(EDATE($D134,Milestones!$AA$34),"dd mmm yy"))&amp;" "&amp;Milestones!$AB$34&amp;" "&amp;Milestones!$AC$34&amp;";  ","")&amp;IF(AND(EDATE($D134,Milestones!$AA$35)&lt;=AsOfDate,IF($R134=0,$X134,IF(AND($T134&lt;&gt;"",EDATE($D134,Milestones!$AA$35)&gt;=$T134),$W134,IF(AND($S134&lt;&gt;"",EDATE($D134,Milestones!$AA$35)&gt;=$S134),$V134,$U134)))=Milestones!$AB$35),UPPER(TEXT(EDATE($D134,Milestones!$AA$35),"dd mmm yy"))&amp;" "&amp;Milestones!$AB$35&amp;" "&amp;Milestones!$AC$35&amp;";  ","")&amp;IF(AND(EDATE($D134,Milestones!$AA$36)&lt;=AsOfDate,IF($R134=0,$X134,IF(AND($T134&lt;&gt;"",EDATE($D134,Milestones!$AA$36)&gt;=$T134),$W134,IF(AND($S134&lt;&gt;"",EDATE($D134,Milestones!$AA$36)&gt;=$S134),$V134,$U134)))=Milestones!$AB$36),UPPER(TEXT(EDATE($D134,Milestones!$AA$36),"dd mmm yy"))&amp;" "&amp;Milestones!$AB$36&amp;" "&amp;Milestones!$AC$36&amp;";  ","")&amp;IF(AND(EDATE($D134,Milestones!$AA$37)&lt;=AsOfDate,IF($R134=0,$X134,IF(AND($T134&lt;&gt;"",EDATE($D134,Milestones!$AA$37)&gt;=$T134),$W134,IF(AND($S134&lt;&gt;"",EDATE($D134,Milestones!$AA$37)&gt;=$S134),$V134,$U134)))=Milestones!$AB$37),UPPER(TEXT(EDATE($D134,Milestones!$AA$37),"dd mmm yy"))&amp;" "&amp;Milestones!$AB$37&amp;" "&amp;Milestones!$AC$37&amp;";  ","")&amp;IF(AND(EDATE($D134,Milestones!$AA$38)&lt;=AsOfDate,IF($R134=0,$X134,IF(AND($T134&lt;&gt;"",EDATE($D134,Milestones!$AA$38)&gt;=$T134),$W134,IF(AND($S134&lt;&gt;"",EDATE($D134,Milestones!$AA$38)&gt;=$S134),$V134,$U134)))=Milestones!$AB$38),UPPER(TEXT(EDATE($D134,Milestones!$AA$38),"dd mmm yy"))&amp;" "&amp;Milestones!$AB$38&amp;" "&amp;Milestones!$AC$38&amp;";  ","")&amp;IF(AND(EDATE($D134,Milestones!$AA$39)&lt;=AsOfDate,IF($R134=0,$X134,IF(AND($T134&lt;&gt;"",EDATE($D134,Milestones!$AA$39)&gt;=$T134),$W134,IF(AND($S134&lt;&gt;"",EDATE($D134,Milestones!$AA$39)&gt;=$S134),$V134,$U134)))=Milestones!$AB$39),UPPER(TEXT(EDATE($D134,Milestones!$AA$39),"dd mmm yy"))&amp;" "&amp;Milestones!$AB$39&amp;" "&amp;Milestones!$AC$39&amp;";  ",""))</f>
        <v/>
      </c>
      <c r="J134" s="0" t="str">
        <f aca="false">IF(OR($A134="",$D134=""),"",IF(AND(EDATE($D134,Milestones!$AA$40)&lt;=AsOfDate,IF($R134=0,$X134,IF(AND($T134&lt;&gt;"",EDATE($D134,Milestones!$AA$40)&gt;=$T134),$W134,IF(AND($S134&lt;&gt;"",EDATE($D134,Milestones!$AA$40)&gt;=$S134),$V134,$U134)))=Milestones!$AB$40),UPPER(TEXT(EDATE($D134,Milestones!$AA$40),"dd mmm yy"))&amp;" "&amp;Milestones!$AB$40&amp;" "&amp;Milestones!$AC$40&amp;";  ","")&amp;IF(AND(EDATE($D134,Milestones!$AA$41)&lt;=AsOfDate,IF($R134=0,$X134,IF(AND($T134&lt;&gt;"",EDATE($D134,Milestones!$AA$41)&gt;=$T134),$W134,IF(AND($S134&lt;&gt;"",EDATE($D134,Milestones!$AA$41)&gt;=$S134),$V134,$U134)))=Milestones!$AB$41),UPPER(TEXT(EDATE($D134,Milestones!$AA$41),"dd mmm yy"))&amp;" "&amp;Milestones!$AB$41&amp;" "&amp;Milestones!$AC$41&amp;";  ","")&amp;IF(AND(EDATE($D134,Milestones!$AA$42)&lt;=AsOfDate,IF($R134=0,$X134,IF(AND($T134&lt;&gt;"",EDATE($D134,Milestones!$AA$42)&gt;=$T134),$W134,IF(AND($S134&lt;&gt;"",EDATE($D134,Milestones!$AA$42)&gt;=$S134),$V134,$U134)))=Milestones!$AB$42),UPPER(TEXT(EDATE($D134,Milestones!$AA$42),"dd mmm yy"))&amp;" "&amp;Milestones!$AB$42&amp;" "&amp;Milestones!$AC$42&amp;";  ","")&amp;IF(AND(EDATE($D134,Milestones!$AA$43)&lt;=AsOfDate,IF($R134=0,$X134,IF(AND($T134&lt;&gt;"",EDATE($D134,Milestones!$AA$43)&gt;=$T134),$W134,IF(AND($S134&lt;&gt;"",EDATE($D134,Milestones!$AA$43)&gt;=$S134),$V134,$U134)))=Milestones!$AB$43),UPPER(TEXT(EDATE($D134,Milestones!$AA$43),"dd mmm yy"))&amp;" "&amp;Milestones!$AB$43&amp;" "&amp;Milestones!$AC$43&amp;";  ","")&amp;IF(AND(EDATE($D134,Milestones!$AA$44)&lt;=AsOfDate,IF($R134=0,$X134,IF(AND($T134&lt;&gt;"",EDATE($D134,Milestones!$AA$44)&gt;=$T134),$W134,IF(AND($S134&lt;&gt;"",EDATE($D134,Milestones!$AA$44)&gt;=$S134),$V134,$U134)))=Milestones!$AB$44),UPPER(TEXT(EDATE($D134,Milestones!$AA$44),"dd mmm yy"))&amp;" "&amp;Milestones!$AB$44&amp;" "&amp;Milestones!$AC$44&amp;";  ","")&amp;IF(AND(EDATE($D134,Milestones!$AA$45)&lt;=AsOfDate,IF($R134=0,$X134,IF(AND($T134&lt;&gt;"",EDATE($D134,Milestones!$AA$45)&gt;=$T134),$W134,IF(AND($S134&lt;&gt;"",EDATE($D134,Milestones!$AA$45)&gt;=$S134),$V134,$U134)))=Milestones!$AB$45),UPPER(TEXT(EDATE($D134,Milestones!$AA$45),"dd mmm yy"))&amp;" "&amp;Milestones!$AB$45&amp;" "&amp;Milestones!$AC$45&amp;";  ","")&amp;IF(AND(EDATE($D134,Milestones!$AA$46)&lt;=AsOfDate,IF($R134=0,$X134,IF(AND($T134&lt;&gt;"",EDATE($D134,Milestones!$AA$46)&gt;=$T134),$W134,IF(AND($S134&lt;&gt;"",EDATE($D134,Milestones!$AA$46)&gt;=$S134),$V134,$U134)))=Milestones!$AB$46),UPPER(TEXT(EDATE($D134,Milestones!$AA$46),"dd mmm yy"))&amp;" "&amp;Milestones!$AB$46&amp;" "&amp;Milestones!$AC$46&amp;";  ","")&amp;IF(AND(EDATE($D134,Milestones!$AA$47)&lt;=AsOfDate,IF($R134=0,$X134,IF(AND($T134&lt;&gt;"",EDATE($D134,Milestones!$AA$47)&gt;=$T134),$W134,IF(AND($S134&lt;&gt;"",EDATE($D134,Milestones!$AA$47)&gt;=$S134),$V134,$U134)))=Milestones!$AB$47),UPPER(TEXT(EDATE($D134,Milestones!$AA$47),"dd mmm yy"))&amp;" "&amp;Milestones!$AB$47&amp;" "&amp;Milestones!$AC$47&amp;";  ","")&amp;IF(AND(EDATE($D134,Milestones!$AA$48)&lt;=AsOfDate,IF($R134=0,$X134,IF(AND($T134&lt;&gt;"",EDATE($D134,Milestones!$AA$48)&gt;=$T134),$W134,IF(AND($S134&lt;&gt;"",EDATE($D134,Milestones!$AA$48)&gt;=$S134),$V134,$U134)))=Milestones!$AB$48),UPPER(TEXT(EDATE($D134,Milestones!$AA$48),"dd mmm yy"))&amp;" "&amp;Milestones!$AB$48&amp;" "&amp;Milestones!$AC$48&amp;";  ","")&amp;IF(AND(EDATE($D134,Milestones!$AA$49)&lt;=AsOfDate,IF($R134=0,$X134,IF(AND($T134&lt;&gt;"",EDATE($D134,Milestones!$AA$49)&gt;=$T134),$W134,IF(AND($S134&lt;&gt;"",EDATE($D134,Milestones!$AA$49)&gt;=$S134),$V134,$U134)))=Milestones!$AB$49),UPPER(TEXT(EDATE($D134,Milestones!$AA$49),"dd mmm yy"))&amp;" "&amp;Milestones!$AB$49&amp;" "&amp;Milestones!$AC$49&amp;";  ","")&amp;IF(AND(EDATE($D134,Milestones!$AA$50)&lt;=AsOfDate,IF($R134=0,$X134,IF(AND($T134&lt;&gt;"",EDATE($D134,Milestones!$AA$50)&gt;=$T134),$W134,IF(AND($S134&lt;&gt;"",EDATE($D134,Milestones!$AA$50)&gt;=$S134),$V134,$U134)))=Milestones!$AB$50),UPPER(TEXT(EDATE($D134,Milestones!$AA$50),"dd mmm yy"))&amp;" "&amp;Milestones!$AB$50&amp;" "&amp;Milestones!$AC$50&amp;";  ","")&amp;IF(AND(EDATE($D134,Milestones!$AA$51)&lt;=AsOfDate,IF($R134=0,$X134,IF(AND($T134&lt;&gt;"",EDATE($D134,Milestones!$AA$51)&gt;=$T134),$W134,IF(AND($S134&lt;&gt;"",EDATE($D134,Milestones!$AA$51)&gt;=$S134),$V134,$U134)))=Milestones!$AB$51),UPPER(TEXT(EDATE($D134,Milestones!$AA$51),"dd mmm yy"))&amp;" "&amp;Milestones!$AB$51&amp;" "&amp;Milestones!$AC$51&amp;";  ","")&amp;IF(AND(EDATE($D134,Milestones!$AA$52)&lt;=AsOfDate,IF($R134=0,$X134,IF(AND($T134&lt;&gt;"",EDATE($D134,Milestones!$AA$52)&gt;=$T134),$W134,IF(AND($S134&lt;&gt;"",EDATE($D134,Milestones!$AA$52)&gt;=$S134),$V134,$U134)))=Milestones!$AB$52),UPPER(TEXT(EDATE($D134,Milestones!$AA$52),"dd mmm yy"))&amp;" "&amp;Milestones!$AB$52&amp;" "&amp;Milestones!$AC$52&amp;";  ","")&amp;IF(AND(EDATE($D134,Milestones!$AA$53)&lt;=AsOfDate,IF($R134=0,$X134,IF(AND($T134&lt;&gt;"",EDATE($D134,Milestones!$AA$53)&gt;=$T134),$W134,IF(AND($S134&lt;&gt;"",EDATE($D134,Milestones!$AA$53)&gt;=$S134),$V134,$U134)))=Milestones!$AB$53),UPPER(TEXT(EDATE($D134,Milestones!$AA$53),"dd mmm yy"))&amp;" "&amp;Milestones!$AB$53&amp;" "&amp;Milestones!$AC$53&amp;";  ","")&amp;IF(AND(EDATE($D134,Milestones!$AA$54)&lt;=AsOfDate,IF($R134=0,$X134,IF(AND($T134&lt;&gt;"",EDATE($D134,Milestones!$AA$54)&gt;=$T134),$W134,IF(AND($S134&lt;&gt;"",EDATE($D134,Milestones!$AA$54)&gt;=$S134),$V134,$U134)))=Milestones!$AB$54),UPPER(TEXT(EDATE($D134,Milestones!$AA$54),"dd mmm yy"))&amp;" "&amp;Milestones!$AB$54&amp;" "&amp;Milestones!$AC$54&amp;";  ","")&amp;IF(AND(EDATE($D134,Milestones!$AA$55)&lt;=AsOfDate,IF($R134=0,$X134,IF(AND($T134&lt;&gt;"",EDATE($D134,Milestones!$AA$55)&gt;=$T134),$W134,IF(AND($S134&lt;&gt;"",EDATE($D134,Milestones!$AA$55)&gt;=$S134),$V134,$U134)))=Milestones!$AB$55),UPPER(TEXT(EDATE($D134,Milestones!$AA$55),"dd mmm yy"))&amp;" "&amp;Milestones!$AB$55&amp;" "&amp;Milestones!$AC$55&amp;";  ","")&amp;IF(AND(EDATE($D134,Milestones!$AA$56)&lt;=AsOfDate,IF($R134=0,$X134,IF(AND($T134&lt;&gt;"",EDATE($D134,Milestones!$AA$56)&gt;=$T134),$W134,IF(AND($S134&lt;&gt;"",EDATE($D134,Milestones!$AA$56)&gt;=$S134),$V134,$U134)))=Milestones!$AB$56),UPPER(TEXT(EDATE($D134,Milestones!$AA$56),"dd mmm yy"))&amp;" "&amp;Milestones!$AB$56&amp;" "&amp;Milestones!$AC$56&amp;";  ","")&amp;IF(AND(EDATE($D134,Milestones!$AA$57)&lt;=AsOfDate,IF($R134=0,$X134,IF(AND($T134&lt;&gt;"",EDATE($D134,Milestones!$AA$57)&gt;=$T134),$W134,IF(AND($S134&lt;&gt;"",EDATE($D134,Milestones!$AA$57)&gt;=$S134),$V134,$U134)))=Milestones!$AB$57),UPPER(TEXT(EDATE($D134,Milestones!$AA$57),"dd mmm yy"))&amp;" "&amp;Milestones!$AB$57&amp;" "&amp;Milestones!$AC$57&amp;";  ","")&amp;IF(AND(EDATE($D134,Milestones!$AA$58)&lt;=AsOfDate,IF($R134=0,$X134,IF(AND($T134&lt;&gt;"",EDATE($D134,Milestones!$AA$58)&gt;=$T134),$W134,IF(AND($S134&lt;&gt;"",EDATE($D134,Milestones!$AA$58)&gt;=$S134),$V134,$U134)))=Milestones!$AB$58),UPPER(TEXT(EDATE($D134,Milestones!$AA$58),"dd mmm yy"))&amp;" "&amp;Milestones!$AB$58&amp;" "&amp;Milestones!$AC$58&amp;";  ","")&amp;IF(AND(EDATE($D134,Milestones!$AA$59)&lt;=AsOfDate,IF($R134=0,$X134,IF(AND($T134&lt;&gt;"",EDATE($D134,Milestones!$AA$59)&gt;=$T134),$W134,IF(AND($S134&lt;&gt;"",EDATE($D134,Milestones!$AA$59)&gt;=$S134),$V134,$U134)))=Milestones!$AB$59),UPPER(TEXT(EDATE($D134,Milestones!$AA$59),"dd mmm yy"))&amp;" "&amp;Milestones!$AB$59&amp;" "&amp;Milestones!$AC$59&amp;";  ",""))</f>
        <v/>
      </c>
      <c r="K134" s="0" t="str">
        <f aca="false">IF(OR($A134="",$D134=""),"",IF(AND(EDATE($D134,Milestones!$AA$60)&lt;=AsOfDate,IF($R134=0,$X134,IF(AND($T134&lt;&gt;"",EDATE($D134,Milestones!$AA$60)&gt;=$T134),$W134,IF(AND($S134&lt;&gt;"",EDATE($D134,Milestones!$AA$60)&gt;=$S134),$V134,$U134)))=Milestones!$AB$60),UPPER(TEXT(EDATE($D134,Milestones!$AA$60),"dd mmm yy"))&amp;" "&amp;Milestones!$AB$60&amp;" "&amp;Milestones!$AC$60&amp;";  ","")&amp;IF(AND(EDATE($D134,Milestones!$AA$61)&lt;=AsOfDate,IF($R134=0,$X134,IF(AND($T134&lt;&gt;"",EDATE($D134,Milestones!$AA$61)&gt;=$T134),$W134,IF(AND($S134&lt;&gt;"",EDATE($D134,Milestones!$AA$61)&gt;=$S134),$V134,$U134)))=Milestones!$AB$61),UPPER(TEXT(EDATE($D134,Milestones!$AA$61),"dd mmm yy"))&amp;" "&amp;Milestones!$AB$61&amp;" "&amp;Milestones!$AC$61&amp;";  ","")&amp;IF(AND(EDATE($D134,Milestones!$AA$62)&lt;=AsOfDate,IF($R134=0,$X134,IF(AND($T134&lt;&gt;"",EDATE($D134,Milestones!$AA$62)&gt;=$T134),$W134,IF(AND($S134&lt;&gt;"",EDATE($D134,Milestones!$AA$62)&gt;=$S134),$V134,$U134)))=Milestones!$AB$62),UPPER(TEXT(EDATE($D134,Milestones!$AA$62),"dd mmm yy"))&amp;" "&amp;Milestones!$AB$62&amp;" "&amp;Milestones!$AC$62&amp;";  ","")&amp;IF(AND(EDATE($D134,Milestones!$AA$63)&lt;=AsOfDate,IF($R134=0,$X134,IF(AND($T134&lt;&gt;"",EDATE($D134,Milestones!$AA$63)&gt;=$T134),$W134,IF(AND($S134&lt;&gt;"",EDATE($D134,Milestones!$AA$63)&gt;=$S134),$V134,$U134)))=Milestones!$AB$63),UPPER(TEXT(EDATE($D134,Milestones!$AA$63),"dd mmm yy"))&amp;" "&amp;Milestones!$AB$63&amp;" "&amp;Milestones!$AC$63&amp;";  ","")&amp;IF(AND(EDATE($D134,Milestones!$AA$64)&lt;=AsOfDate,IF($R134=0,$X134,IF(AND($T134&lt;&gt;"",EDATE($D134,Milestones!$AA$64)&gt;=$T134),$W134,IF(AND($S134&lt;&gt;"",EDATE($D134,Milestones!$AA$64)&gt;=$S134),$V134,$U134)))=Milestones!$AB$64),UPPER(TEXT(EDATE($D134,Milestones!$AA$64),"dd mmm yy"))&amp;" "&amp;Milestones!$AB$64&amp;" "&amp;Milestones!$AC$64&amp;";  ","")&amp;IF(AND(EDATE($D134,Milestones!$AA$65)&lt;=AsOfDate,IF($R134=0,$X134,IF(AND($T134&lt;&gt;"",EDATE($D134,Milestones!$AA$65)&gt;=$T134),$W134,IF(AND($S134&lt;&gt;"",EDATE($D134,Milestones!$AA$65)&gt;=$S134),$V134,$U134)))=Milestones!$AB$65),UPPER(TEXT(EDATE($D134,Milestones!$AA$65),"dd mmm yy"))&amp;" "&amp;Milestones!$AB$65&amp;" "&amp;Milestones!$AC$65&amp;";  ","")&amp;IF(AND(EDATE($D134,Milestones!$AA$66)&lt;=AsOfDate,IF($R134=0,$X134,IF(AND($T134&lt;&gt;"",EDATE($D134,Milestones!$AA$66)&gt;=$T134),$W134,IF(AND($S134&lt;&gt;"",EDATE($D134,Milestones!$AA$66)&gt;=$S134),$V134,$U134)))=Milestones!$AB$66),UPPER(TEXT(EDATE($D134,Milestones!$AA$66),"dd mmm yy"))&amp;" "&amp;Milestones!$AB$66&amp;" "&amp;Milestones!$AC$66&amp;";  ","")&amp;IF(AND(EDATE($D134,Milestones!$AA$67)&lt;=AsOfDate,IF($R134=0,$X134,IF(AND($T134&lt;&gt;"",EDATE($D134,Milestones!$AA$67)&gt;=$T134),$W134,IF(AND($S134&lt;&gt;"",EDATE($D134,Milestones!$AA$67)&gt;=$S134),$V134,$U134)))=Milestones!$AB$67),UPPER(TEXT(EDATE($D134,Milestones!$AA$67),"dd mmm yy"))&amp;" "&amp;Milestones!$AB$67&amp;" "&amp;Milestones!$AC$67&amp;";  ","")&amp;IF(AND(EDATE($D134,Milestones!$AA$68)&lt;=AsOfDate,IF($R134=0,$X134,IF(AND($T134&lt;&gt;"",EDATE($D134,Milestones!$AA$68)&gt;=$T134),$W134,IF(AND($S134&lt;&gt;"",EDATE($D134,Milestones!$AA$68)&gt;=$S134),$V134,$U134)))=Milestones!$AB$68),UPPER(TEXT(EDATE($D134,Milestones!$AA$68),"dd mmm yy"))&amp;" "&amp;Milestones!$AB$68&amp;" "&amp;Milestones!$AC$68&amp;";  ","")&amp;IF(AND(EDATE($D134,Milestones!$AA$69)&lt;=AsOfDate,IF($R134=0,$X134,IF(AND($T134&lt;&gt;"",EDATE($D134,Milestones!$AA$69)&gt;=$T134),$W134,IF(AND($S134&lt;&gt;"",EDATE($D134,Milestones!$AA$69)&gt;=$S134),$V134,$U134)))=Milestones!$AB$69),UPPER(TEXT(EDATE($D134,Milestones!$AA$69),"dd mmm yy"))&amp;" "&amp;Milestones!$AB$69&amp;" "&amp;Milestones!$AC$69&amp;";  ","")&amp;IF(AND(EDATE($D134,Milestones!$AA$70)&lt;=AsOfDate,IF($R134=0,$X134,IF(AND($T134&lt;&gt;"",EDATE($D134,Milestones!$AA$70)&gt;=$T134),$W134,IF(AND($S134&lt;&gt;"",EDATE($D134,Milestones!$AA$70)&gt;=$S134),$V134,$U134)))=Milestones!$AB$70),UPPER(TEXT(EDATE($D134,Milestones!$AA$70),"dd mmm yy"))&amp;" "&amp;Milestones!$AB$70&amp;" "&amp;Milestones!$AC$70&amp;";  ","")&amp;IF(AND(EDATE($D134,Milestones!$AA$71)&lt;=AsOfDate,IF($R134=0,$X134,IF(AND($T134&lt;&gt;"",EDATE($D134,Milestones!$AA$71)&gt;=$T134),$W134,IF(AND($S134&lt;&gt;"",EDATE($D134,Milestones!$AA$71)&gt;=$S134),$V134,$U134)))=Milestones!$AB$71),UPPER(TEXT(EDATE($D134,Milestones!$AA$71),"dd mmm yy"))&amp;" "&amp;Milestones!$AB$71&amp;" "&amp;Milestones!$AC$71&amp;";  ","")&amp;IF(AND(EDATE($D134,Milestones!$AA$72)&lt;=AsOfDate,IF($R134=0,$X134,IF(AND($T134&lt;&gt;"",EDATE($D134,Milestones!$AA$72)&gt;=$T134),$W134,IF(AND($S134&lt;&gt;"",EDATE($D134,Milestones!$AA$72)&gt;=$S134),$V134,$U134)))=Milestones!$AB$72),UPPER(TEXT(EDATE($D134,Milestones!$AA$72),"dd mmm yy"))&amp;" "&amp;Milestones!$AB$72&amp;" "&amp;Milestones!$AC$72&amp;";  ","")&amp;IF(AND(EDATE($D134,Milestones!$AA$73)&lt;=AsOfDate,IF($R134=0,$X134,IF(AND($T134&lt;&gt;"",EDATE($D134,Milestones!$AA$73)&gt;=$T134),$W134,IF(AND($S134&lt;&gt;"",EDATE($D134,Milestones!$AA$73)&gt;=$S134),$V134,$U134)))=Milestones!$AB$73),UPPER(TEXT(EDATE($D134,Milestones!$AA$73),"dd mmm yy"))&amp;" "&amp;Milestones!$AB$73&amp;" "&amp;Milestones!$AC$73&amp;";  ","")&amp;IF(AND(EDATE($D134,Milestones!$AA$74)&lt;=AsOfDate,IF($R134=0,$X134,IF(AND($T134&lt;&gt;"",EDATE($D134,Milestones!$AA$74)&gt;=$T134),$W134,IF(AND($S134&lt;&gt;"",EDATE($D134,Milestones!$AA$74)&gt;=$S134),$V134,$U134)))=Milestones!$AB$74),UPPER(TEXT(EDATE($D134,Milestones!$AA$74),"dd mmm yy"))&amp;" "&amp;Milestones!$AB$74&amp;" "&amp;Milestones!$AC$74&amp;";  ","")&amp;IF(AND(EDATE($D134,Milestones!$AA$75)&lt;=AsOfDate,IF($R134=0,$X134,IF(AND($T134&lt;&gt;"",EDATE($D134,Milestones!$AA$75)&gt;=$T134),$W134,IF(AND($S134&lt;&gt;"",EDATE($D134,Milestones!$AA$75)&gt;=$S134),$V134,$U134)))=Milestones!$AB$75),UPPER(TEXT(EDATE($D134,Milestones!$AA$75),"dd mmm yy"))&amp;" "&amp;Milestones!$AB$75&amp;" "&amp;Milestones!$AC$75&amp;";  ","")&amp;IF(AND(EDATE($D134,Milestones!$AA$76)&lt;=AsOfDate,IF($R134=0,$X134,IF(AND($T134&lt;&gt;"",EDATE($D134,Milestones!$AA$76)&gt;=$T134),$W134,IF(AND($S134&lt;&gt;"",EDATE($D134,Milestones!$AA$76)&gt;=$S134),$V134,$U134)))=Milestones!$AB$76),UPPER(TEXT(EDATE($D134,Milestones!$AA$76),"dd mmm yy"))&amp;" "&amp;Milestones!$AB$76&amp;" "&amp;Milestones!$AC$76&amp;";  ","")&amp;IF(AND(EDATE($D134,Milestones!$AA$77)&lt;=AsOfDate,IF($R134=0,$X134,IF(AND($T134&lt;&gt;"",EDATE($D134,Milestones!$AA$77)&gt;=$T134),$W134,IF(AND($S134&lt;&gt;"",EDATE($D134,Milestones!$AA$77)&gt;=$S134),$V134,$U134)))=Milestones!$AB$77),UPPER(TEXT(EDATE($D134,Milestones!$AA$77),"dd mmm yy"))&amp;" "&amp;Milestones!$AB$77&amp;" "&amp;Milestones!$AC$77&amp;";  ","")&amp;IF(AND(EDATE($D134,Milestones!$AA$78)&lt;=AsOfDate,IF($R134=0,$X134,IF(AND($T134&lt;&gt;"",EDATE($D134,Milestones!$AA$78)&gt;=$T134),$W134,IF(AND($S134&lt;&gt;"",EDATE($D134,Milestones!$AA$78)&gt;=$S134),$V134,$U134)))=Milestones!$AB$78),UPPER(TEXT(EDATE($D134,Milestones!$AA$78),"dd mmm yy"))&amp;" "&amp;Milestones!$AB$78&amp;" "&amp;Milestones!$AC$78&amp;";  ","")&amp;IF(AND(EDATE($D134,Milestones!$AA$79)&lt;=AsOfDate,IF($R134=0,$X134,IF(AND($T134&lt;&gt;"",EDATE($D134,Milestones!$AA$79)&gt;=$T134),$W134,IF(AND($S134&lt;&gt;"",EDATE($D134,Milestones!$AA$79)&gt;=$S134),$V134,$U134)))=Milestones!$AB$79),UPPER(TEXT(EDATE($D134,Milestones!$AA$79),"dd mmm yy"))&amp;" "&amp;Milestones!$AB$79&amp;" "&amp;Milestones!$AC$79&amp;";  ",""))</f>
        <v/>
      </c>
      <c r="L134" s="0" t="str">
        <f aca="false">IF(OR($A134="",$D134=""),"",IF(AND(EDATE($D134,Milestones!$AA$80)&lt;=AsOfDate,IF($R134=0,$X134,IF(AND($T134&lt;&gt;"",EDATE($D134,Milestones!$AA$80)&gt;=$T134),$W134,IF(AND($S134&lt;&gt;"",EDATE($D134,Milestones!$AA$80)&gt;=$S134),$V134,$U134)))=Milestones!$AB$80),UPPER(TEXT(EDATE($D134,Milestones!$AA$80),"dd mmm yy"))&amp;" "&amp;Milestones!$AB$80&amp;" "&amp;Milestones!$AC$80&amp;";  ","")&amp;IF(AND(EDATE($D134,Milestones!$AA$81)&lt;=AsOfDate,IF($R134=0,$X134,IF(AND($T134&lt;&gt;"",EDATE($D134,Milestones!$AA$81)&gt;=$T134),$W134,IF(AND($S134&lt;&gt;"",EDATE($D134,Milestones!$AA$81)&gt;=$S134),$V134,$U134)))=Milestones!$AB$81),UPPER(TEXT(EDATE($D134,Milestones!$AA$81),"dd mmm yy"))&amp;" "&amp;Milestones!$AB$81&amp;" "&amp;Milestones!$AC$81&amp;";  ","")&amp;IF(AND(EDATE($D134,Milestones!$AA$82)&lt;=AsOfDate,IF($R134=0,$X134,IF(AND($T134&lt;&gt;"",EDATE($D134,Milestones!$AA$82)&gt;=$T134),$W134,IF(AND($S134&lt;&gt;"",EDATE($D134,Milestones!$AA$82)&gt;=$S134),$V134,$U134)))=Milestones!$AB$82),UPPER(TEXT(EDATE($D134,Milestones!$AA$82),"dd mmm yy"))&amp;" "&amp;Milestones!$AB$82&amp;" "&amp;Milestones!$AC$82&amp;";  ","")&amp;IF(AND(EDATE($D134,Milestones!$AA$83)&lt;=AsOfDate,IF($R134=0,$X134,IF(AND($T134&lt;&gt;"",EDATE($D134,Milestones!$AA$83)&gt;=$T134),$W134,IF(AND($S134&lt;&gt;"",EDATE($D134,Milestones!$AA$83)&gt;=$S134),$V134,$U134)))=Milestones!$AB$83),UPPER(TEXT(EDATE($D134,Milestones!$AA$83),"dd mmm yy"))&amp;" "&amp;Milestones!$AB$83&amp;" "&amp;Milestones!$AC$83&amp;";  ","")&amp;IF(AND(EDATE($D134,Milestones!$AA$84)&lt;=AsOfDate,IF($R134=0,$X134,IF(AND($T134&lt;&gt;"",EDATE($D134,Milestones!$AA$84)&gt;=$T134),$W134,IF(AND($S134&lt;&gt;"",EDATE($D134,Milestones!$AA$84)&gt;=$S134),$V134,$U134)))=Milestones!$AB$84),UPPER(TEXT(EDATE($D134,Milestones!$AA$84),"dd mmm yy"))&amp;" "&amp;Milestones!$AB$84&amp;" "&amp;Milestones!$AC$84&amp;";  ","")&amp;IF(AND(EDATE($D134,Milestones!$AA$85)&lt;=AsOfDate,IF($R134=0,$X134,IF(AND($T134&lt;&gt;"",EDATE($D134,Milestones!$AA$85)&gt;=$T134),$W134,IF(AND($S134&lt;&gt;"",EDATE($D134,Milestones!$AA$85)&gt;=$S134),$V134,$U134)))=Milestones!$AB$85),UPPER(TEXT(EDATE($D134,Milestones!$AA$85),"dd mmm yy"))&amp;" "&amp;Milestones!$AB$85&amp;" "&amp;Milestones!$AC$85&amp;";  ","")&amp;IF(AND(EDATE($D134,Milestones!$AA$86)&lt;=AsOfDate,IF($R134=0,$X134,IF(AND($T134&lt;&gt;"",EDATE($D134,Milestones!$AA$86)&gt;=$T134),$W134,IF(AND($S134&lt;&gt;"",EDATE($D134,Milestones!$AA$86)&gt;=$S134),$V134,$U134)))=Milestones!$AB$86),UPPER(TEXT(EDATE($D134,Milestones!$AA$86),"dd mmm yy"))&amp;" "&amp;Milestones!$AB$86&amp;" "&amp;Milestones!$AC$86&amp;";  ","")&amp;IF(AND(EDATE($D134,Milestones!$AA$87)&lt;=AsOfDate,IF($R134=0,$X134,IF(AND($T134&lt;&gt;"",EDATE($D134,Milestones!$AA$87)&gt;=$T134),$W134,IF(AND($S134&lt;&gt;"",EDATE($D134,Milestones!$AA$87)&gt;=$S134),$V134,$U134)))=Milestones!$AB$87),UPPER(TEXT(EDATE($D134,Milestones!$AA$87),"dd mmm yy"))&amp;" "&amp;Milestones!$AB$87&amp;" "&amp;Milestones!$AC$87&amp;";  ","")&amp;IF(AND(EDATE($D134,Milestones!$AA$88)&lt;=AsOfDate,IF($R134=0,$X134,IF(AND($T134&lt;&gt;"",EDATE($D134,Milestones!$AA$88)&gt;=$T134),$W134,IF(AND($S134&lt;&gt;"",EDATE($D134,Milestones!$AA$88)&gt;=$S134),$V134,$U134)))=Milestones!$AB$88),UPPER(TEXT(EDATE($D134,Milestones!$AA$88),"dd mmm yy"))&amp;" "&amp;Milestones!$AB$88&amp;" "&amp;Milestones!$AC$88&amp;";  ","")&amp;IF(AND(EDATE($D134,Milestones!$AA$89)&lt;=AsOfDate,IF($R134=0,$X134,IF(AND($T134&lt;&gt;"",EDATE($D134,Milestones!$AA$89)&gt;=$T134),$W134,IF(AND($S134&lt;&gt;"",EDATE($D134,Milestones!$AA$89)&gt;=$S134),$V134,$U134)))=Milestones!$AB$89),UPPER(TEXT(EDATE($D134,Milestones!$AA$89),"dd mmm yy"))&amp;" "&amp;Milestones!$AB$89&amp;" "&amp;Milestones!$AC$89&amp;";  ","")&amp;IF(AND(EDATE($D134,Milestones!$AA$90)&lt;=AsOfDate,IF($R134=0,$X134,IF(AND($T134&lt;&gt;"",EDATE($D134,Milestones!$AA$90)&gt;=$T134),$W134,IF(AND($S134&lt;&gt;"",EDATE($D134,Milestones!$AA$90)&gt;=$S134),$V134,$U134)))=Milestones!$AB$90),UPPER(TEXT(EDATE($D134,Milestones!$AA$90),"dd mmm yy"))&amp;" "&amp;Milestones!$AB$90&amp;" "&amp;Milestones!$AC$90&amp;";  ","")&amp;IF(AND(EDATE($D134,Milestones!$AA$91)&lt;=AsOfDate,IF($R134=0,$X134,IF(AND($T134&lt;&gt;"",EDATE($D134,Milestones!$AA$91)&gt;=$T134),$W134,IF(AND($S134&lt;&gt;"",EDATE($D134,Milestones!$AA$91)&gt;=$S134),$V134,$U134)))=Milestones!$AB$91),UPPER(TEXT(EDATE($D134,Milestones!$AA$91),"dd mmm yy"))&amp;" "&amp;Milestones!$AB$91&amp;" "&amp;Milestones!$AC$91&amp;";  ","")&amp;IF(AND(EDATE($D134,Milestones!$AA$92)&lt;=AsOfDate,IF($R134=0,$X134,IF(AND($T134&lt;&gt;"",EDATE($D134,Milestones!$AA$92)&gt;=$T134),$W134,IF(AND($S134&lt;&gt;"",EDATE($D134,Milestones!$AA$92)&gt;=$S134),$V134,$U134)))=Milestones!$AB$92),UPPER(TEXT(EDATE($D134,Milestones!$AA$92),"dd mmm yy"))&amp;" "&amp;Milestones!$AB$92&amp;" "&amp;Milestones!$AC$92&amp;";  ","")&amp;IF(AND(EDATE($D134,Milestones!$AA$93)&lt;=AsOfDate,IF($R134=0,$X134,IF(AND($T134&lt;&gt;"",EDATE($D134,Milestones!$AA$93)&gt;=$T134),$W134,IF(AND($S134&lt;&gt;"",EDATE($D134,Milestones!$AA$93)&gt;=$S134),$V134,$U134)))=Milestones!$AB$93),UPPER(TEXT(EDATE($D134,Milestones!$AA$93),"dd mmm yy"))&amp;" "&amp;Milestones!$AB$93&amp;" "&amp;Milestones!$AC$93&amp;";  ","")&amp;IF(AND(EDATE($D134,Milestones!$AA$94)&lt;=AsOfDate,IF($R134=0,$X134,IF(AND($T134&lt;&gt;"",EDATE($D134,Milestones!$AA$94)&gt;=$T134),$W134,IF(AND($S134&lt;&gt;"",EDATE($D134,Milestones!$AA$94)&gt;=$S134),$V134,$U134)))=Milestones!$AB$94),UPPER(TEXT(EDATE($D134,Milestones!$AA$94),"dd mmm yy"))&amp;" "&amp;Milestones!$AB$94&amp;" "&amp;Milestones!$AC$94&amp;";  ","")&amp;IF(AND(EDATE($D134,Milestones!$AA$95)&lt;=AsOfDate,IF($R134=0,$X134,IF(AND($T134&lt;&gt;"",EDATE($D134,Milestones!$AA$95)&gt;=$T134),$W134,IF(AND($S134&lt;&gt;"",EDATE($D134,Milestones!$AA$95)&gt;=$S134),$V134,$U134)))=Milestones!$AB$95),UPPER(TEXT(EDATE($D134,Milestones!$AA$95),"dd mmm yy"))&amp;" "&amp;Milestones!$AB$95&amp;" "&amp;Milestones!$AC$95&amp;";  ","")&amp;IF(AND(EDATE($D134,Milestones!$AA$96)&lt;=AsOfDate,IF($R134=0,$X134,IF(AND($T134&lt;&gt;"",EDATE($D134,Milestones!$AA$96)&gt;=$T134),$W134,IF(AND($S134&lt;&gt;"",EDATE($D134,Milestones!$AA$96)&gt;=$S134),$V134,$U134)))=Milestones!$AB$96),UPPER(TEXT(EDATE($D134,Milestones!$AA$96),"dd mmm yy"))&amp;" "&amp;Milestones!$AB$96&amp;" "&amp;Milestones!$AC$96&amp;";  ","")&amp;IF(AND(EDATE($D134,Milestones!$AA$97)&lt;=AsOfDate,IF($R134=0,$X134,IF(AND($T134&lt;&gt;"",EDATE($D134,Milestones!$AA$97)&gt;=$T134),$W134,IF(AND($S134&lt;&gt;"",EDATE($D134,Milestones!$AA$97)&gt;=$S134),$V134,$U134)))=Milestones!$AB$97),UPPER(TEXT(EDATE($D134,Milestones!$AA$97),"dd mmm yy"))&amp;" "&amp;Milestones!$AB$97&amp;" "&amp;Milestones!$AC$97&amp;";  ","")&amp;IF(AND(EDATE($D134,Milestones!$AA$98)&lt;=AsOfDate,IF($R134=0,$X134,IF(AND($T134&lt;&gt;"",EDATE($D134,Milestones!$AA$98)&gt;=$T134),$W134,IF(AND($S134&lt;&gt;"",EDATE($D134,Milestones!$AA$98)&gt;=$S134),$V134,$U134)))=Milestones!$AB$98),UPPER(TEXT(EDATE($D134,Milestones!$AA$98),"dd mmm yy"))&amp;" "&amp;Milestones!$AB$98&amp;" "&amp;Milestones!$AC$98&amp;";  ","")&amp;IF(AND(EDATE($D134,Milestones!$AA$99)&lt;=AsOfDate,IF($R134=0,$X134,IF(AND($T134&lt;&gt;"",EDATE($D134,Milestones!$AA$99)&gt;=$T134),$W134,IF(AND($S134&lt;&gt;"",EDATE($D134,Milestones!$AA$99)&gt;=$S134),$V134,$U134)))=Milestones!$AB$99),UPPER(TEXT(EDATE($D134,Milestones!$AA$99),"dd mmm yy"))&amp;" "&amp;Milestones!$AB$99&amp;" "&amp;Milestones!$AC$99&amp;";  ",""))</f>
        <v/>
      </c>
      <c r="M134" s="0" t="str">
        <f aca="false">IF(OR($A134="",$D134=""),"",IF(AND(EDATE($D134,Milestones!$AA$100)&lt;=AsOfDate,IF($R134=0,$X134,IF(AND($T134&lt;&gt;"",EDATE($D134,Milestones!$AA$100)&gt;=$T134),$W134,IF(AND($S134&lt;&gt;"",EDATE($D134,Milestones!$AA$100)&gt;=$S134),$V134,$U134)))=Milestones!$AB$100),UPPER(TEXT(EDATE($D134,Milestones!$AA$100),"dd mmm yy"))&amp;" "&amp;Milestones!$AB$100&amp;" "&amp;Milestones!$AC$100&amp;";  ","")&amp;IF(AND(EDATE($D134,Milestones!$AA$101)&lt;=AsOfDate,IF($R134=0,$X134,IF(AND($T134&lt;&gt;"",EDATE($D134,Milestones!$AA$101)&gt;=$T134),$W134,IF(AND($S134&lt;&gt;"",EDATE($D134,Milestones!$AA$101)&gt;=$S134),$V134,$U134)))=Milestones!$AB$101),UPPER(TEXT(EDATE($D134,Milestones!$AA$101),"dd mmm yy"))&amp;" "&amp;Milestones!$AB$101&amp;" "&amp;Milestones!$AC$101&amp;";  ","")&amp;IF(AND(EDATE($D134,Milestones!$AA$102)&lt;=AsOfDate,IF($R134=0,$X134,IF(AND($T134&lt;&gt;"",EDATE($D134,Milestones!$AA$102)&gt;=$T134),$W134,IF(AND($S134&lt;&gt;"",EDATE($D134,Milestones!$AA$102)&gt;=$S134),$V134,$U134)))=Milestones!$AB$102),UPPER(TEXT(EDATE($D134,Milestones!$AA$102),"dd mmm yy"))&amp;" "&amp;Milestones!$AB$102&amp;" "&amp;Milestones!$AC$102&amp;";  ","")&amp;IF(AND(EDATE($D134,Milestones!$AA$103)&lt;=AsOfDate,IF($R134=0,$X134,IF(AND($T134&lt;&gt;"",EDATE($D134,Milestones!$AA$103)&gt;=$T134),$W134,IF(AND($S134&lt;&gt;"",EDATE($D134,Milestones!$AA$103)&gt;=$S134),$V134,$U134)))=Milestones!$AB$103),UPPER(TEXT(EDATE($D134,Milestones!$AA$103),"dd mmm yy"))&amp;" "&amp;Milestones!$AB$103&amp;" "&amp;Milestones!$AC$103&amp;";  ","")&amp;IF(AND(EDATE($D134,Milestones!$AA$104)&lt;=AsOfDate,IF($R134=0,$X134,IF(AND($T134&lt;&gt;"",EDATE($D134,Milestones!$AA$104)&gt;=$T134),$W134,IF(AND($S134&lt;&gt;"",EDATE($D134,Milestones!$AA$104)&gt;=$S134),$V134,$U134)))=Milestones!$AB$104),UPPER(TEXT(EDATE($D134,Milestones!$AA$104),"dd mmm yy"))&amp;" "&amp;Milestones!$AB$104&amp;" "&amp;Milestones!$AC$104&amp;";  ","")&amp;IF(AND(EDATE($D134,Milestones!$AA$105)&lt;=AsOfDate,IF($R134=0,$X134,IF(AND($T134&lt;&gt;"",EDATE($D134,Milestones!$AA$105)&gt;=$T134),$W134,IF(AND($S134&lt;&gt;"",EDATE($D134,Milestones!$AA$105)&gt;=$S134),$V134,$U134)))=Milestones!$AB$105),UPPER(TEXT(EDATE($D134,Milestones!$AA$105),"dd mmm yy"))&amp;" "&amp;Milestones!$AB$105&amp;" "&amp;Milestones!$AC$105&amp;";  ","")&amp;IF(AND(EDATE($D134,Milestones!$AA$106)&lt;=AsOfDate,IF($R134=0,$X134,IF(AND($T134&lt;&gt;"",EDATE($D134,Milestones!$AA$106)&gt;=$T134),$W134,IF(AND($S134&lt;&gt;"",EDATE($D134,Milestones!$AA$106)&gt;=$S134),$V134,$U134)))=Milestones!$AB$106),UPPER(TEXT(EDATE($D134,Milestones!$AA$106),"dd mmm yy"))&amp;" "&amp;Milestones!$AB$106&amp;" "&amp;Milestones!$AC$106&amp;";  ","")&amp;IF(AND(EDATE($D134,Milestones!$AA$107)&lt;=AsOfDate,IF($R134=0,$X134,IF(AND($T134&lt;&gt;"",EDATE($D134,Milestones!$AA$107)&gt;=$T134),$W134,IF(AND($S134&lt;&gt;"",EDATE($D134,Milestones!$AA$107)&gt;=$S134),$V134,$U134)))=Milestones!$AB$107),UPPER(TEXT(EDATE($D134,Milestones!$AA$107),"dd mmm yy"))&amp;" "&amp;Milestones!$AB$107&amp;" "&amp;Milestones!$AC$107&amp;";  ","")&amp;IF(AND(EDATE($D134,Milestones!$AA$108)&lt;=AsOfDate,IF($R134=0,$X134,IF(AND($T134&lt;&gt;"",EDATE($D134,Milestones!$AA$108)&gt;=$T134),$W134,IF(AND($S134&lt;&gt;"",EDATE($D134,Milestones!$AA$108)&gt;=$S134),$V134,$U134)))=Milestones!$AB$108),UPPER(TEXT(EDATE($D134,Milestones!$AA$108),"dd mmm yy"))&amp;" "&amp;Milestones!$AB$108&amp;" "&amp;Milestones!$AC$108&amp;";  ","")&amp;IF(AND(EDATE($D134,Milestones!$AA$109)&lt;=AsOfDate,IF($R134=0,$X134,IF(AND($T134&lt;&gt;"",EDATE($D134,Milestones!$AA$109)&gt;=$T134),$W134,IF(AND($S134&lt;&gt;"",EDATE($D134,Milestones!$AA$109)&gt;=$S134),$V134,$U134)))=Milestones!$AB$109),UPPER(TEXT(EDATE($D134,Milestones!$AA$109),"dd mmm yy"))&amp;" "&amp;Milestones!$AB$109&amp;" "&amp;Milestones!$AC$109&amp;";  ","")&amp;IF(AND(EDATE($D134,Milestones!$AA$110)&lt;=AsOfDate,IF($R134=0,$X134,IF(AND($T134&lt;&gt;"",EDATE($D134,Milestones!$AA$110)&gt;=$T134),$W134,IF(AND($S134&lt;&gt;"",EDATE($D134,Milestones!$AA$110)&gt;=$S134),$V134,$U134)))=Milestones!$AB$110),UPPER(TEXT(EDATE($D134,Milestones!$AA$110),"dd mmm yy"))&amp;" "&amp;Milestones!$AB$110&amp;" "&amp;Milestones!$AC$110&amp;";  ","")&amp;IF(AND(EDATE($D134,Milestones!$AA$111)&lt;=AsOfDate,IF($R134=0,$X134,IF(AND($T134&lt;&gt;"",EDATE($D134,Milestones!$AA$111)&gt;=$T134),$W134,IF(AND($S134&lt;&gt;"",EDATE($D134,Milestones!$AA$111)&gt;=$S134),$V134,$U134)))=Milestones!$AB$111),UPPER(TEXT(EDATE($D134,Milestones!$AA$111),"dd mmm yy"))&amp;" "&amp;Milestones!$AB$111&amp;" "&amp;Milestones!$AC$111&amp;";  ","")&amp;IF(AND(EDATE($D134,Milestones!$AA$112)&lt;=AsOfDate,IF($R134=0,$X134,IF(AND($T134&lt;&gt;"",EDATE($D134,Milestones!$AA$112)&gt;=$T134),$W134,IF(AND($S134&lt;&gt;"",EDATE($D134,Milestones!$AA$112)&gt;=$S134),$V134,$U134)))=Milestones!$AB$112),UPPER(TEXT(EDATE($D134,Milestones!$AA$112),"dd mmm yy"))&amp;" "&amp;Milestones!$AB$112&amp;" "&amp;Milestones!$AC$112&amp;";  ","")&amp;IF(AND(EDATE($D134,Milestones!$AA$113)&lt;=AsOfDate,IF($R134=0,$X134,IF(AND($T134&lt;&gt;"",EDATE($D134,Milestones!$AA$113)&gt;=$T134),$W134,IF(AND($S134&lt;&gt;"",EDATE($D134,Milestones!$AA$113)&gt;=$S134),$V134,$U134)))=Milestones!$AB$113),UPPER(TEXT(EDATE($D134,Milestones!$AA$113),"dd mmm yy"))&amp;" "&amp;Milestones!$AB$113&amp;" "&amp;Milestones!$AC$113&amp;";  ","")&amp;IF(AND(EDATE($D134,Milestones!$AA$114)&lt;=AsOfDate,IF($R134=0,$X134,IF(AND($T134&lt;&gt;"",EDATE($D134,Milestones!$AA$114)&gt;=$T134),$W134,IF(AND($S134&lt;&gt;"",EDATE($D134,Milestones!$AA$114)&gt;=$S134),$V134,$U134)))=Milestones!$AB$114),UPPER(TEXT(EDATE($D134,Milestones!$AA$114),"dd mmm yy"))&amp;" "&amp;Milestones!$AB$114&amp;" "&amp;Milestones!$AC$114&amp;";  ","")&amp;IF(AND(EDATE($D134,Milestones!$AA$115)&lt;=AsOfDate,IF($R134=0,$X134,IF(AND($T134&lt;&gt;"",EDATE($D134,Milestones!$AA$115)&gt;=$T134),$W134,IF(AND($S134&lt;&gt;"",EDATE($D134,Milestones!$AA$115)&gt;=$S134),$V134,$U134)))=Milestones!$AB$115),UPPER(TEXT(EDATE($D134,Milestones!$AA$115),"dd mmm yy"))&amp;" "&amp;Milestones!$AB$115&amp;" "&amp;Milestones!$AC$115&amp;";  ","")&amp;IF(AND(EDATE($D134,Milestones!$AA$116)&lt;=AsOfDate,IF($R134=0,$X134,IF(AND($T134&lt;&gt;"",EDATE($D134,Milestones!$AA$116)&gt;=$T134),$W134,IF(AND($S134&lt;&gt;"",EDATE($D134,Milestones!$AA$116)&gt;=$S134),$V134,$U134)))=Milestones!$AB$116),UPPER(TEXT(EDATE($D134,Milestones!$AA$116),"dd mmm yy"))&amp;" "&amp;Milestones!$AB$116&amp;" "&amp;Milestones!$AC$116&amp;";  ","")&amp;IF(AND(EDATE($D134,Milestones!$AA$117)&lt;=AsOfDate,IF($R134=0,$X134,IF(AND($T134&lt;&gt;"",EDATE($D134,Milestones!$AA$117)&gt;=$T134),$W134,IF(AND($S134&lt;&gt;"",EDATE($D134,Milestones!$AA$117)&gt;=$S134),$V134,$U134)))=Milestones!$AB$117),UPPER(TEXT(EDATE($D134,Milestones!$AA$117),"dd mmm yy"))&amp;" "&amp;Milestones!$AB$117&amp;" "&amp;Milestones!$AC$117&amp;";  ","")&amp;IF(AND(EDATE($D134,Milestones!$AA$118)&lt;=AsOfDate,IF($R134=0,$X134,IF(AND($T134&lt;&gt;"",EDATE($D134,Milestones!$AA$118)&gt;=$T134),$W134,IF(AND($S134&lt;&gt;"",EDATE($D134,Milestones!$AA$118)&gt;=$S134),$V134,$U134)))=Milestones!$AB$118),UPPER(TEXT(EDATE($D134,Milestones!$AA$118),"dd mmm yy"))&amp;" "&amp;Milestones!$AB$118&amp;" "&amp;Milestones!$AC$118&amp;";  ","")&amp;IF(AND(EDATE($D134,Milestones!$AA$119)&lt;=AsOfDate,IF($R134=0,$X134,IF(AND($T134&lt;&gt;"",EDATE($D134,Milestones!$AA$119)&gt;=$T134),$W134,IF(AND($S134&lt;&gt;"",EDATE($D134,Milestones!$AA$119)&gt;=$S134),$V134,$U134)))=Milestones!$AB$119),UPPER(TEXT(EDATE($D134,Milestones!$AA$119),"dd mmm yy"))&amp;" "&amp;Milestones!$AB$119&amp;" "&amp;Milestones!$AC$119&amp;";  ",""))</f>
        <v/>
      </c>
      <c r="N134" s="0" t="str">
        <f aca="false">IF(OR($A134="",$D134=""),"",IF(AND(EDATE($D134,Milestones!$AA$120)&lt;=AsOfDate,IF($R134=0,$X134,IF(AND($T134&lt;&gt;"",EDATE($D134,Milestones!$AA$120)&gt;=$T134),$W134,IF(AND($S134&lt;&gt;"",EDATE($D134,Milestones!$AA$120)&gt;=$S134),$V134,$U134)))=Milestones!$AB$120),UPPER(TEXT(EDATE($D134,Milestones!$AA$120),"dd mmm yy"))&amp;" "&amp;Milestones!$AB$120&amp;" "&amp;Milestones!$AC$120&amp;";  ","")&amp;IF(AND(EDATE($D134,Milestones!$AA$121)&lt;=AsOfDate,IF($R134=0,$X134,IF(AND($T134&lt;&gt;"",EDATE($D134,Milestones!$AA$121)&gt;=$T134),$W134,IF(AND($S134&lt;&gt;"",EDATE($D134,Milestones!$AA$121)&gt;=$S134),$V134,$U134)))=Milestones!$AB$121),UPPER(TEXT(EDATE($D134,Milestones!$AA$121),"dd mmm yy"))&amp;" "&amp;Milestones!$AB$121&amp;" "&amp;Milestones!$AC$121&amp;";  ","")&amp;IF(AND(EDATE($D134,Milestones!$AA$122)&lt;=AsOfDate,IF($R134=0,$X134,IF(AND($T134&lt;&gt;"",EDATE($D134,Milestones!$AA$122)&gt;=$T134),$W134,IF(AND($S134&lt;&gt;"",EDATE($D134,Milestones!$AA$122)&gt;=$S134),$V134,$U134)))=Milestones!$AB$122),UPPER(TEXT(EDATE($D134,Milestones!$AA$122),"dd mmm yy"))&amp;" "&amp;Milestones!$AB$122&amp;" "&amp;Milestones!$AC$122&amp;";  ","")&amp;IF(AND(EDATE($D134,Milestones!$AA$123)&lt;=AsOfDate,IF($R134=0,$X134,IF(AND($T134&lt;&gt;"",EDATE($D134,Milestones!$AA$123)&gt;=$T134),$W134,IF(AND($S134&lt;&gt;"",EDATE($D134,Milestones!$AA$123)&gt;=$S134),$V134,$U134)))=Milestones!$AB$123),UPPER(TEXT(EDATE($D134,Milestones!$AA$123),"dd mmm yy"))&amp;" "&amp;Milestones!$AB$123&amp;" "&amp;Milestones!$AC$123&amp;";  ","")&amp;IF(AND(EDATE($D134,Milestones!$AA$124)&lt;=AsOfDate,IF($R134=0,$X134,IF(AND($T134&lt;&gt;"",EDATE($D134,Milestones!$AA$124)&gt;=$T134),$W134,IF(AND($S134&lt;&gt;"",EDATE($D134,Milestones!$AA$124)&gt;=$S134),$V134,$U134)))=Milestones!$AB$124),UPPER(TEXT(EDATE($D134,Milestones!$AA$124),"dd mmm yy"))&amp;" "&amp;Milestones!$AB$124&amp;" "&amp;Milestones!$AC$124&amp;";  ","")&amp;IF(AND(EDATE($D134,Milestones!$AA$125)&lt;=AsOfDate,IF($R134=0,$X134,IF(AND($T134&lt;&gt;"",EDATE($D134,Milestones!$AA$125)&gt;=$T134),$W134,IF(AND($S134&lt;&gt;"",EDATE($D134,Milestones!$AA$125)&gt;=$S134),$V134,$U134)))=Milestones!$AB$125),UPPER(TEXT(EDATE($D134,Milestones!$AA$125),"dd mmm yy"))&amp;" "&amp;Milestones!$AB$125&amp;" "&amp;Milestones!$AC$125&amp;";  ","")&amp;IF(AND(EDATE($D134,Milestones!$AA$126)&lt;=AsOfDate,IF($R134=0,$X134,IF(AND($T134&lt;&gt;"",EDATE($D134,Milestones!$AA$126)&gt;=$T134),$W134,IF(AND($S134&lt;&gt;"",EDATE($D134,Milestones!$AA$126)&gt;=$S134),$V134,$U134)))=Milestones!$AB$126),UPPER(TEXT(EDATE($D134,Milestones!$AA$126),"dd mmm yy"))&amp;" "&amp;Milestones!$AB$126&amp;" "&amp;Milestones!$AC$126&amp;";  ","")&amp;IF(AND(EDATE($D134,Milestones!$AA$127)&lt;=AsOfDate,IF($R134=0,$X134,IF(AND($T134&lt;&gt;"",EDATE($D134,Milestones!$AA$127)&gt;=$T134),$W134,IF(AND($S134&lt;&gt;"",EDATE($D134,Milestones!$AA$127)&gt;=$S134),$V134,$U134)))=Milestones!$AB$127),UPPER(TEXT(EDATE($D134,Milestones!$AA$127),"dd mmm yy"))&amp;" "&amp;Milestones!$AB$127&amp;" "&amp;Milestones!$AC$127&amp;";  ","")&amp;IF(AND(EDATE($D134,Milestones!$AA$128)&lt;=AsOfDate,IF($R134=0,$X134,IF(AND($T134&lt;&gt;"",EDATE($D134,Milestones!$AA$128)&gt;=$T134),$W134,IF(AND($S134&lt;&gt;"",EDATE($D134,Milestones!$AA$128)&gt;=$S134),$V134,$U134)))=Milestones!$AB$128),UPPER(TEXT(EDATE($D134,Milestones!$AA$128),"dd mmm yy"))&amp;" "&amp;Milestones!$AB$128&amp;" "&amp;Milestones!$AC$128&amp;";  ","")&amp;IF(AND(EDATE($D134,Milestones!$AA$129)&lt;=AsOfDate,IF($R134=0,$X134,IF(AND($T134&lt;&gt;"",EDATE($D134,Milestones!$AA$129)&gt;=$T134),$W134,IF(AND($S134&lt;&gt;"",EDATE($D134,Milestones!$AA$129)&gt;=$S134),$V134,$U134)))=Milestones!$AB$129),UPPER(TEXT(EDATE($D134,Milestones!$AA$129),"dd mmm yy"))&amp;" "&amp;Milestones!$AB$129&amp;" "&amp;Milestones!$AC$129&amp;";  ","")&amp;IF(AND(EDATE($D134,Milestones!$AA$130)&lt;=AsOfDate,IF($R134=0,$X134,IF(AND($T134&lt;&gt;"",EDATE($D134,Milestones!$AA$130)&gt;=$T134),$W134,IF(AND($S134&lt;&gt;"",EDATE($D134,Milestones!$AA$130)&gt;=$S134),$V134,$U134)))=Milestones!$AB$130),UPPER(TEXT(EDATE($D134,Milestones!$AA$130),"dd mmm yy"))&amp;" "&amp;Milestones!$AB$130&amp;" "&amp;Milestones!$AC$130&amp;";  ","")&amp;IF(AND(EDATE($D134,Milestones!$AA$131)&lt;=AsOfDate,IF($R134=0,$X134,IF(AND($T134&lt;&gt;"",EDATE($D134,Milestones!$AA$131)&gt;=$T134),$W134,IF(AND($S134&lt;&gt;"",EDATE($D134,Milestones!$AA$131)&gt;=$S134),$V134,$U134)))=Milestones!$AB$131),UPPER(TEXT(EDATE($D134,Milestones!$AA$131),"dd mmm yy"))&amp;" "&amp;Milestones!$AB$131&amp;" "&amp;Milestones!$AC$131&amp;";  ","")&amp;IF(AND(EDATE($D134,Milestones!$AA$132)&lt;=AsOfDate,IF($R134=0,$X134,IF(AND($T134&lt;&gt;"",EDATE($D134,Milestones!$AA$132)&gt;=$T134),$W134,IF(AND($S134&lt;&gt;"",EDATE($D134,Milestones!$AA$132)&gt;=$S134),$V134,$U134)))=Milestones!$AB$132),UPPER(TEXT(EDATE($D134,Milestones!$AA$132),"dd mmm yy"))&amp;" "&amp;Milestones!$AB$132&amp;" "&amp;Milestones!$AC$132&amp;";  ","")&amp;IF(AND(EDATE($D134,Milestones!$AA$133)&lt;=AsOfDate,IF($R134=0,$X134,IF(AND($T134&lt;&gt;"",EDATE($D134,Milestones!$AA$133)&gt;=$T134),$W134,IF(AND($S134&lt;&gt;"",EDATE($D134,Milestones!$AA$133)&gt;=$S134),$V134,$U134)))=Milestones!$AB$133),UPPER(TEXT(EDATE($D134,Milestones!$AA$133),"dd mmm yy"))&amp;" "&amp;Milestones!$AB$133&amp;" "&amp;Milestones!$AC$133&amp;";  ","")&amp;IF(AND(EDATE($D134,Milestones!$AA$134)&lt;=AsOfDate,IF($R134=0,$X134,IF(AND($T134&lt;&gt;"",EDATE($D134,Milestones!$AA$134)&gt;=$T134),$W134,IF(AND($S134&lt;&gt;"",EDATE($D134,Milestones!$AA$134)&gt;=$S134),$V134,$U134)))=Milestones!$AB$134),UPPER(TEXT(EDATE($D134,Milestones!$AA$134),"dd mmm yy"))&amp;" "&amp;Milestones!$AB$134&amp;" "&amp;Milestones!$AC$134&amp;";  ","")&amp;IF(AND(EDATE($D134,Milestones!$AA$135)&lt;=AsOfDate,IF($R134=0,$X134,IF(AND($T134&lt;&gt;"",EDATE($D134,Milestones!$AA$135)&gt;=$T134),$W134,IF(AND($S134&lt;&gt;"",EDATE($D134,Milestones!$AA$135)&gt;=$S134),$V134,$U134)))=Milestones!$AB$135),UPPER(TEXT(EDATE($D134,Milestones!$AA$135),"dd mmm yy"))&amp;" "&amp;Milestones!$AB$135&amp;" "&amp;Milestones!$AC$135&amp;";  ","")&amp;IF(AND(EDATE($D134,Milestones!$AA$136)&lt;=AsOfDate,IF($R134=0,$X134,IF(AND($T134&lt;&gt;"",EDATE($D134,Milestones!$AA$136)&gt;=$T134),$W134,IF(AND($S134&lt;&gt;"",EDATE($D134,Milestones!$AA$136)&gt;=$S134),$V134,$U134)))=Milestones!$AB$136),UPPER(TEXT(EDATE($D134,Milestones!$AA$136),"dd mmm yy"))&amp;" "&amp;Milestones!$AB$136&amp;" "&amp;Milestones!$AC$136&amp;";  ","")&amp;IF(AND(EDATE($D134,Milestones!$AA$137)&lt;=AsOfDate,IF($R134=0,$X134,IF(AND($T134&lt;&gt;"",EDATE($D134,Milestones!$AA$137)&gt;=$T134),$W134,IF(AND($S134&lt;&gt;"",EDATE($D134,Milestones!$AA$137)&gt;=$S134),$V134,$U134)))=Milestones!$AB$137),UPPER(TEXT(EDATE($D134,Milestones!$AA$137),"dd mmm yy"))&amp;" "&amp;Milestones!$AB$137&amp;" "&amp;Milestones!$AC$137&amp;";  ","")&amp;IF(AND(EDATE($D134,Milestones!$AA$138)&lt;=AsOfDate,IF($R134=0,$X134,IF(AND($T134&lt;&gt;"",EDATE($D134,Milestones!$AA$138)&gt;=$T134),$W134,IF(AND($S134&lt;&gt;"",EDATE($D134,Milestones!$AA$138)&gt;=$S134),$V134,$U134)))=Milestones!$AB$138),UPPER(TEXT(EDATE($D134,Milestones!$AA$138),"dd mmm yy"))&amp;" "&amp;Milestones!$AB$138&amp;" "&amp;Milestones!$AC$138&amp;";  ","")&amp;IF(AND(EDATE($D134,Milestones!$AA$139)&lt;=AsOfDate,IF($R134=0,$X134,IF(AND($T134&lt;&gt;"",EDATE($D134,Milestones!$AA$139)&gt;=$T134),$W134,IF(AND($S134&lt;&gt;"",EDATE($D134,Milestones!$AA$139)&gt;=$S134),$V134,$U134)))=Milestones!$AB$139),UPPER(TEXT(EDATE($D134,Milestones!$AA$139),"dd mmm yy"))&amp;" "&amp;Milestones!$AB$139&amp;" "&amp;Milestones!$AC$139&amp;";  ",""))</f>
        <v/>
      </c>
      <c r="O134" s="0" t="str">
        <f aca="false">IF(OR($A134="",$D134=""),"",IF(AND(EDATE($D134,Milestones!$AA$140)&lt;=AsOfDate,IF($R134=0,$X134,IF(AND($T134&lt;&gt;"",EDATE($D134,Milestones!$AA$140)&gt;=$T134),$W134,IF(AND($S134&lt;&gt;"",EDATE($D134,Milestones!$AA$140)&gt;=$S134),$V134,$U134)))=Milestones!$AB$140),UPPER(TEXT(EDATE($D134,Milestones!$AA$140),"dd mmm yy"))&amp;" "&amp;Milestones!$AB$140&amp;" "&amp;Milestones!$AC$140&amp;";  ","")&amp;IF(AND(EDATE($D134,Milestones!$AA$141)&lt;=AsOfDate,IF($R134=0,$X134,IF(AND($T134&lt;&gt;"",EDATE($D134,Milestones!$AA$141)&gt;=$T134),$W134,IF(AND($S134&lt;&gt;"",EDATE($D134,Milestones!$AA$141)&gt;=$S134),$V134,$U134)))=Milestones!$AB$141),UPPER(TEXT(EDATE($D134,Milestones!$AA$141),"dd mmm yy"))&amp;" "&amp;Milestones!$AB$141&amp;" "&amp;Milestones!$AC$141&amp;";  ","")&amp;IF(AND(EDATE($D134,Milestones!$AA$142)&lt;=AsOfDate,IF($R134=0,$X134,IF(AND($T134&lt;&gt;"",EDATE($D134,Milestones!$AA$142)&gt;=$T134),$W134,IF(AND($S134&lt;&gt;"",EDATE($D134,Milestones!$AA$142)&gt;=$S134),$V134,$U134)))=Milestones!$AB$142),UPPER(TEXT(EDATE($D134,Milestones!$AA$142),"dd mmm yy"))&amp;" "&amp;Milestones!$AB$142&amp;" "&amp;Milestones!$AC$142&amp;";  ","")&amp;IF(AND(EDATE($D134,Milestones!$AA$143)&lt;=AsOfDate,IF($R134=0,$X134,IF(AND($T134&lt;&gt;"",EDATE($D134,Milestones!$AA$143)&gt;=$T134),$W134,IF(AND($S134&lt;&gt;"",EDATE($D134,Milestones!$AA$143)&gt;=$S134),$V134,$U134)))=Milestones!$AB$143),UPPER(TEXT(EDATE($D134,Milestones!$AA$143),"dd mmm yy"))&amp;" "&amp;Milestones!$AB$143&amp;" "&amp;Milestones!$AC$143&amp;";  ","")&amp;IF(AND(EDATE($D134,Milestones!$AA$144)&lt;=AsOfDate,IF($R134=0,$X134,IF(AND($T134&lt;&gt;"",EDATE($D134,Milestones!$AA$144)&gt;=$T134),$W134,IF(AND($S134&lt;&gt;"",EDATE($D134,Milestones!$AA$144)&gt;=$S134),$V134,$U134)))=Milestones!$AB$144),UPPER(TEXT(EDATE($D134,Milestones!$AA$144),"dd mmm yy"))&amp;" "&amp;Milestones!$AB$144&amp;" "&amp;Milestones!$AC$144&amp;";  ","")&amp;IF(AND(EDATE($D134,Milestones!$AA$145)&lt;=AsOfDate,IF($R134=0,$X134,IF(AND($T134&lt;&gt;"",EDATE($D134,Milestones!$AA$145)&gt;=$T134),$W134,IF(AND($S134&lt;&gt;"",EDATE($D134,Milestones!$AA$145)&gt;=$S134),$V134,$U134)))=Milestones!$AB$145),UPPER(TEXT(EDATE($D134,Milestones!$AA$145),"dd mmm yy"))&amp;" "&amp;Milestones!$AB$145&amp;" "&amp;Milestones!$AC$145&amp;";  ","")&amp;IF(AND(EDATE($D134,Milestones!$AA$146)&lt;=AsOfDate,IF($R134=0,$X134,IF(AND($T134&lt;&gt;"",EDATE($D134,Milestones!$AA$146)&gt;=$T134),$W134,IF(AND($S134&lt;&gt;"",EDATE($D134,Milestones!$AA$146)&gt;=$S134),$V134,$U134)))=Milestones!$AB$146),UPPER(TEXT(EDATE($D134,Milestones!$AA$146),"dd mmm yy"))&amp;" "&amp;Milestones!$AB$146&amp;" "&amp;Milestones!$AC$146&amp;";  ","")&amp;IF(AND(EDATE($D134,Milestones!$AA$147)&lt;=AsOfDate,IF($R134=0,$X134,IF(AND($T134&lt;&gt;"",EDATE($D134,Milestones!$AA$147)&gt;=$T134),$W134,IF(AND($S134&lt;&gt;"",EDATE($D134,Milestones!$AA$147)&gt;=$S134),$V134,$U134)))=Milestones!$AB$147),UPPER(TEXT(EDATE($D134,Milestones!$AA$147),"dd mmm yy"))&amp;" "&amp;Milestones!$AB$147&amp;" "&amp;Milestones!$AC$147&amp;";  ","")&amp;IF(AND(EDATE($D134,Milestones!$AA$148)&lt;=AsOfDate,IF($R134=0,$X134,IF(AND($T134&lt;&gt;"",EDATE($D134,Milestones!$AA$148)&gt;=$T134),$W134,IF(AND($S134&lt;&gt;"",EDATE($D134,Milestones!$AA$148)&gt;=$S134),$V134,$U134)))=Milestones!$AB$148),UPPER(TEXT(EDATE($D134,Milestones!$AA$148),"dd mmm yy"))&amp;" "&amp;Milestones!$AB$148&amp;" "&amp;Milestones!$AC$148&amp;";  ","")&amp;IF(AND(EDATE($D134,Milestones!$AA$149)&lt;=AsOfDate,IF($R134=0,$X134,IF(AND($T134&lt;&gt;"",EDATE($D134,Milestones!$AA$149)&gt;=$T134),$W134,IF(AND($S134&lt;&gt;"",EDATE($D134,Milestones!$AA$149)&gt;=$S134),$V134,$U134)))=Milestones!$AB$149),UPPER(TEXT(EDATE($D134,Milestones!$AA$149),"dd mmm yy"))&amp;" "&amp;Milestones!$AB$149&amp;" "&amp;Milestones!$AC$149&amp;";  ","")&amp;IF(AND(EDATE($D134,Milestones!$AA$150)&lt;=AsOfDate,IF($R134=0,$X134,IF(AND($T134&lt;&gt;"",EDATE($D134,Milestones!$AA$150)&gt;=$T134),$W134,IF(AND($S134&lt;&gt;"",EDATE($D134,Milestones!$AA$150)&gt;=$S134),$V134,$U134)))=Milestones!$AB$150),UPPER(TEXT(EDATE($D134,Milestones!$AA$150),"dd mmm yy"))&amp;" "&amp;Milestones!$AB$150&amp;" "&amp;Milestones!$AC$150&amp;";  ","")&amp;IF(AND(EDATE($D134,Milestones!$AA$151)&lt;=AsOfDate,IF($R134=0,$X134,IF(AND($T134&lt;&gt;"",EDATE($D134,Milestones!$AA$151)&gt;=$T134),$W134,IF(AND($S134&lt;&gt;"",EDATE($D134,Milestones!$AA$151)&gt;=$S134),$V134,$U134)))=Milestones!$AB$151),UPPER(TEXT(EDATE($D134,Milestones!$AA$151),"dd mmm yy"))&amp;" "&amp;Milestones!$AB$151&amp;" "&amp;Milestones!$AC$151&amp;";  ","")&amp;IF(AND(EDATE($D134,Milestones!$AA$152)&lt;=AsOfDate,IF($R134=0,$X134,IF(AND($T134&lt;&gt;"",EDATE($D134,Milestones!$AA$152)&gt;=$T134),$W134,IF(AND($S134&lt;&gt;"",EDATE($D134,Milestones!$AA$152)&gt;=$S134),$V134,$U134)))=Milestones!$AB$152),UPPER(TEXT(EDATE($D134,Milestones!$AA$152),"dd mmm yy"))&amp;" "&amp;Milestones!$AB$152&amp;" "&amp;Milestones!$AC$152&amp;";  ","")&amp;IF(AND(EDATE($D134,Milestones!$AA$153)&lt;=AsOfDate,IF($R134=0,$X134,IF(AND($T134&lt;&gt;"",EDATE($D134,Milestones!$AA$153)&gt;=$T134),$W134,IF(AND($S134&lt;&gt;"",EDATE($D134,Milestones!$AA$153)&gt;=$S134),$V134,$U134)))=Milestones!$AB$153),UPPER(TEXT(EDATE($D134,Milestones!$AA$153),"dd mmm yy"))&amp;" "&amp;Milestones!$AB$153&amp;" "&amp;Milestones!$AC$153&amp;";  ","")&amp;IF(AND(EDATE($D134,Milestones!$AA$154)&lt;=AsOfDate,IF($R134=0,$X134,IF(AND($T134&lt;&gt;"",EDATE($D134,Milestones!$AA$154)&gt;=$T134),$W134,IF(AND($S134&lt;&gt;"",EDATE($D134,Milestones!$AA$154)&gt;=$S134),$V134,$U134)))=Milestones!$AB$154),UPPER(TEXT(EDATE($D134,Milestones!$AA$154),"dd mmm yy"))&amp;" "&amp;Milestones!$AB$154&amp;" "&amp;Milestones!$AC$154&amp;";  ","")&amp;IF(AND(EDATE($D134,Milestones!$AA$155)&lt;=AsOfDate,IF($R134=0,$X134,IF(AND($T134&lt;&gt;"",EDATE($D134,Milestones!$AA$155)&gt;=$T134),$W134,IF(AND($S134&lt;&gt;"",EDATE($D134,Milestones!$AA$155)&gt;=$S134),$V134,$U134)))=Milestones!$AB$155),UPPER(TEXT(EDATE($D134,Milestones!$AA$155),"dd mmm yy"))&amp;" "&amp;Milestones!$AB$155&amp;" "&amp;Milestones!$AC$155&amp;";  ","")&amp;IF(AND(EDATE($D134,Milestones!$AA$156)&lt;=AsOfDate,IF($R134=0,$X134,IF(AND($T134&lt;&gt;"",EDATE($D134,Milestones!$AA$156)&gt;=$T134),$W134,IF(AND($S134&lt;&gt;"",EDATE($D134,Milestones!$AA$156)&gt;=$S134),$V134,$U134)))=Milestones!$AB$156),UPPER(TEXT(EDATE($D134,Milestones!$AA$156),"dd mmm yy"))&amp;" "&amp;Milestones!$AB$156&amp;" "&amp;Milestones!$AC$156&amp;";  ","")&amp;IF(AND(EDATE($D134,Milestones!$AA$157)&lt;=AsOfDate,IF($R134=0,$X134,IF(AND($T134&lt;&gt;"",EDATE($D134,Milestones!$AA$157)&gt;=$T134),$W134,IF(AND($S134&lt;&gt;"",EDATE($D134,Milestones!$AA$157)&gt;=$S134),$V134,$U134)))=Milestones!$AB$157),UPPER(TEXT(EDATE($D134,Milestones!$AA$157),"dd mmm yy"))&amp;" "&amp;Milestones!$AB$157&amp;" "&amp;Milestones!$AC$157&amp;";  ","")&amp;IF(AND(EDATE($D134,Milestones!$AA$158)&lt;=AsOfDate,IF($R134=0,$X134,IF(AND($T134&lt;&gt;"",EDATE($D134,Milestones!$AA$158)&gt;=$T134),$W134,IF(AND($S134&lt;&gt;"",EDATE($D134,Milestones!$AA$158)&gt;=$S134),$V134,$U134)))=Milestones!$AB$158),UPPER(TEXT(EDATE($D134,Milestones!$AA$158),"dd mmm yy"))&amp;" "&amp;Milestones!$AB$158&amp;" "&amp;Milestones!$AC$158&amp;";  ","")&amp;IF(AND(EDATE($D134,Milestones!$AA$159)&lt;=AsOfDate,IF($R134=0,$X134,IF(AND($T134&lt;&gt;"",EDATE($D134,Milestones!$AA$159)&gt;=$T134),$W134,IF(AND($S134&lt;&gt;"",EDATE($D134,Milestones!$AA$159)&gt;=$S134),$V134,$U134)))=Milestones!$AB$159),UPPER(TEXT(EDATE($D134,Milestones!$AA$159),"dd mmm yy"))&amp;" "&amp;Milestones!$AB$159&amp;" "&amp;Milestones!$AC$159&amp;";  ",""))</f>
        <v/>
      </c>
      <c r="P134" s="0" t="str">
        <f aca="false">IF(OR($A134="",$D134=""),"",IF(AND(EDATE($D134,Milestones!$AA$160)&lt;=AsOfDate,IF($R134=0,$X134,IF(AND($T134&lt;&gt;"",EDATE($D134,Milestones!$AA$160)&gt;=$T134),$W134,IF(AND($S134&lt;&gt;"",EDATE($D134,Milestones!$AA$160)&gt;=$S134),$V134,$U134)))=Milestones!$AB$160),UPPER(TEXT(EDATE($D134,Milestones!$AA$160),"dd mmm yy"))&amp;" "&amp;Milestones!$AB$160&amp;" "&amp;Milestones!$AC$160&amp;";  ","")&amp;IF(AND(EDATE($D134,Milestones!$AA$161)&lt;=AsOfDate,IF($R134=0,$X134,IF(AND($T134&lt;&gt;"",EDATE($D134,Milestones!$AA$161)&gt;=$T134),$W134,IF(AND($S134&lt;&gt;"",EDATE($D134,Milestones!$AA$161)&gt;=$S134),$V134,$U134)))=Milestones!$AB$161),UPPER(TEXT(EDATE($D134,Milestones!$AA$161),"dd mmm yy"))&amp;" "&amp;Milestones!$AB$161&amp;" "&amp;Milestones!$AC$161&amp;";  ","")&amp;IF(AND(EDATE($D134,Milestones!$AA$162)&lt;=AsOfDate,IF($R134=0,$X134,IF(AND($T134&lt;&gt;"",EDATE($D134,Milestones!$AA$162)&gt;=$T134),$W134,IF(AND($S134&lt;&gt;"",EDATE($D134,Milestones!$AA$162)&gt;=$S134),$V134,$U134)))=Milestones!$AB$162),UPPER(TEXT(EDATE($D134,Milestones!$AA$162),"dd mmm yy"))&amp;" "&amp;Milestones!$AB$162&amp;" "&amp;Milestones!$AC$162&amp;";  ","")&amp;IF(AND(EDATE($D134,Milestones!$AA$163)&lt;=AsOfDate,IF($R134=0,$X134,IF(AND($T134&lt;&gt;"",EDATE($D134,Milestones!$AA$163)&gt;=$T134),$W134,IF(AND($S134&lt;&gt;"",EDATE($D134,Milestones!$AA$163)&gt;=$S134),$V134,$U134)))=Milestones!$AB$163),UPPER(TEXT(EDATE($D134,Milestones!$AA$163),"dd mmm yy"))&amp;" "&amp;Milestones!$AB$163&amp;" "&amp;Milestones!$AC$163&amp;";  ","")&amp;IF(AND(EDATE($D134,Milestones!$AA$164)&lt;=AsOfDate,IF($R134=0,$X134,IF(AND($T134&lt;&gt;"",EDATE($D134,Milestones!$AA$164)&gt;=$T134),$W134,IF(AND($S134&lt;&gt;"",EDATE($D134,Milestones!$AA$164)&gt;=$S134),$V134,$U134)))=Milestones!$AB$164),UPPER(TEXT(EDATE($D134,Milestones!$AA$164),"dd mmm yy"))&amp;" "&amp;Milestones!$AB$164&amp;" "&amp;Milestones!$AC$164&amp;";  ","")&amp;IF(AND(EDATE($D134,Milestones!$AA$165)&lt;=AsOfDate,IF($R134=0,$X134,IF(AND($T134&lt;&gt;"",EDATE($D134,Milestones!$AA$165)&gt;=$T134),$W134,IF(AND($S134&lt;&gt;"",EDATE($D134,Milestones!$AA$165)&gt;=$S134),$V134,$U134)))=Milestones!$AB$165),UPPER(TEXT(EDATE($D134,Milestones!$AA$165),"dd mmm yy"))&amp;" "&amp;Milestones!$AB$165&amp;" "&amp;Milestones!$AC$165&amp;";  ","")&amp;IF(AND(EDATE($D134,Milestones!$AA$166)&lt;=AsOfDate,IF($R134=0,$X134,IF(AND($T134&lt;&gt;"",EDATE($D134,Milestones!$AA$166)&gt;=$T134),$W134,IF(AND($S134&lt;&gt;"",EDATE($D134,Milestones!$AA$166)&gt;=$S134),$V134,$U134)))=Milestones!$AB$166),UPPER(TEXT(EDATE($D134,Milestones!$AA$166),"dd mmm yy"))&amp;" "&amp;Milestones!$AB$166&amp;" "&amp;Milestones!$AC$166&amp;";  ","")&amp;IF(AND(EDATE($D134,Milestones!$AA$167)&lt;=AsOfDate,IF($R134=0,$X134,IF(AND($T134&lt;&gt;"",EDATE($D134,Milestones!$AA$167)&gt;=$T134),$W134,IF(AND($S134&lt;&gt;"",EDATE($D134,Milestones!$AA$167)&gt;=$S134),$V134,$U134)))=Milestones!$AB$167),UPPER(TEXT(EDATE($D134,Milestones!$AA$167),"dd mmm yy"))&amp;" "&amp;Milestones!$AB$167&amp;" "&amp;Milestones!$AC$167&amp;";  ","")&amp;IF(AND(EDATE($D134,Milestones!$AA$168)&lt;=AsOfDate,IF($R134=0,$X134,IF(AND($T134&lt;&gt;"",EDATE($D134,Milestones!$AA$168)&gt;=$T134),$W134,IF(AND($S134&lt;&gt;"",EDATE($D134,Milestones!$AA$168)&gt;=$S134),$V134,$U134)))=Milestones!$AB$168),UPPER(TEXT(EDATE($D134,Milestones!$AA$168),"dd mmm yy"))&amp;" "&amp;Milestones!$AB$168&amp;" "&amp;Milestones!$AC$168&amp;";  ","")&amp;IF(AND(EDATE($D134,Milestones!$AA$169)&lt;=AsOfDate,IF($R134=0,$X134,IF(AND($T134&lt;&gt;"",EDATE($D134,Milestones!$AA$169)&gt;=$T134),$W134,IF(AND($S134&lt;&gt;"",EDATE($D134,Milestones!$AA$169)&gt;=$S134),$V134,$U134)))=Milestones!$AB$169),UPPER(TEXT(EDATE($D134,Milestones!$AA$169),"dd mmm yy"))&amp;" "&amp;Milestones!$AB$169&amp;" "&amp;Milestones!$AC$169&amp;";  ","")&amp;IF(AND(EDATE($D134,Milestones!$AA$170)&lt;=AsOfDate,IF($R134=0,$X134,IF(AND($T134&lt;&gt;"",EDATE($D134,Milestones!$AA$170)&gt;=$T134),$W134,IF(AND($S134&lt;&gt;"",EDATE($D134,Milestones!$AA$170)&gt;=$S134),$V134,$U134)))=Milestones!$AB$170),UPPER(TEXT(EDATE($D134,Milestones!$AA$170),"dd mmm yy"))&amp;" "&amp;Milestones!$AB$170&amp;" "&amp;Milestones!$AC$170&amp;";  ","")&amp;IF(AND(EDATE($D134,Milestones!$AA$171)&lt;=AsOfDate,IF($R134=0,$X134,IF(AND($T134&lt;&gt;"",EDATE($D134,Milestones!$AA$171)&gt;=$T134),$W134,IF(AND($S134&lt;&gt;"",EDATE($D134,Milestones!$AA$171)&gt;=$S134),$V134,$U134)))=Milestones!$AB$171),UPPER(TEXT(EDATE($D134,Milestones!$AA$171),"dd mmm yy"))&amp;" "&amp;Milestones!$AB$171&amp;" "&amp;Milestones!$AC$171&amp;";  ","")&amp;IF(AND(EDATE($D134,Milestones!$AA$172)&lt;=AsOfDate,IF($R134=0,$X134,IF(AND($T134&lt;&gt;"",EDATE($D134,Milestones!$AA$172)&gt;=$T134),$W134,IF(AND($S134&lt;&gt;"",EDATE($D134,Milestones!$AA$172)&gt;=$S134),$V134,$U134)))=Milestones!$AB$172),UPPER(TEXT(EDATE($D134,Milestones!$AA$172),"dd mmm yy"))&amp;" "&amp;Milestones!$AB$172&amp;" "&amp;Milestones!$AC$172&amp;";  ","")&amp;IF(AND(EDATE($D134,Milestones!$AA$173)&lt;=AsOfDate,IF($R134=0,$X134,IF(AND($T134&lt;&gt;"",EDATE($D134,Milestones!$AA$173)&gt;=$T134),$W134,IF(AND($S134&lt;&gt;"",EDATE($D134,Milestones!$AA$173)&gt;=$S134),$V134,$U134)))=Milestones!$AB$173),UPPER(TEXT(EDATE($D134,Milestones!$AA$173),"dd mmm yy"))&amp;" "&amp;Milestones!$AB$173&amp;" "&amp;Milestones!$AC$173&amp;";  ","")&amp;IF(AND(EDATE($D134,Milestones!$AA$174)&lt;=AsOfDate,IF($R134=0,$X134,IF(AND($T134&lt;&gt;"",EDATE($D134,Milestones!$AA$174)&gt;=$T134),$W134,IF(AND($S134&lt;&gt;"",EDATE($D134,Milestones!$AA$174)&gt;=$S134),$V134,$U134)))=Milestones!$AB$174),UPPER(TEXT(EDATE($D134,Milestones!$AA$174),"dd mmm yy"))&amp;" "&amp;Milestones!$AB$174&amp;" "&amp;Milestones!$AC$174&amp;";  ","")&amp;IF(AND(EDATE($D134,Milestones!$AA$175)&lt;=AsOfDate,IF($R134=0,$X134,IF(AND($T134&lt;&gt;"",EDATE($D134,Milestones!$AA$175)&gt;=$T134),$W134,IF(AND($S134&lt;&gt;"",EDATE($D134,Milestones!$AA$175)&gt;=$S134),$V134,$U134)))=Milestones!$AB$175),UPPER(TEXT(EDATE($D134,Milestones!$AA$175),"dd mmm yy"))&amp;" "&amp;Milestones!$AB$175&amp;" "&amp;Milestones!$AC$175&amp;";  ","")&amp;IF(AND(EDATE($D134,Milestones!$AA$176)&lt;=AsOfDate,IF($R134=0,$X134,IF(AND($T134&lt;&gt;"",EDATE($D134,Milestones!$AA$176)&gt;=$T134),$W134,IF(AND($S134&lt;&gt;"",EDATE($D134,Milestones!$AA$176)&gt;=$S134),$V134,$U134)))=Milestones!$AB$176),UPPER(TEXT(EDATE($D134,Milestones!$AA$176),"dd mmm yy"))&amp;" "&amp;Milestones!$AB$176&amp;" "&amp;Milestones!$AC$176&amp;";  ","")&amp;IF(AND(EDATE($D134,Milestones!$AA$177)&lt;=AsOfDate,IF($R134=0,$X134,IF(AND($T134&lt;&gt;"",EDATE($D134,Milestones!$AA$177)&gt;=$T134),$W134,IF(AND($S134&lt;&gt;"",EDATE($D134,Milestones!$AA$177)&gt;=$S134),$V134,$U134)))=Milestones!$AB$177),UPPER(TEXT(EDATE($D134,Milestones!$AA$177),"dd mmm yy"))&amp;" "&amp;Milestones!$AB$177&amp;" "&amp;Milestones!$AC$177&amp;";  ","")&amp;IF(AND(EDATE($D134,Milestones!$AA$178)&lt;=AsOfDate,IF($R134=0,$X134,IF(AND($T134&lt;&gt;"",EDATE($D134,Milestones!$AA$178)&gt;=$T134),$W134,IF(AND($S134&lt;&gt;"",EDATE($D134,Milestones!$AA$178)&gt;=$S134),$V134,$U134)))=Milestones!$AB$178),UPPER(TEXT(EDATE($D134,Milestones!$AA$178),"dd mmm yy"))&amp;" "&amp;Milestones!$AB$178&amp;" "&amp;Milestones!$AC$178&amp;";  ","")&amp;IF(AND(EDATE($D134,Milestones!$AA$179)&lt;=AsOfDate,IF($R134=0,$X134,IF(AND($T134&lt;&gt;"",EDATE($D134,Milestones!$AA$179)&gt;=$T134),$W134,IF(AND($S134&lt;&gt;"",EDATE($D134,Milestones!$AA$179)&gt;=$S134),$V134,$U134)))=Milestones!$AB$179),UPPER(TEXT(EDATE($D134,Milestones!$AA$179),"dd mmm yy"))&amp;" "&amp;Milestones!$AB$179&amp;" "&amp;Milestones!$AC$179&amp;";  ",""))</f>
        <v/>
      </c>
      <c r="Q134" s="0" t="str">
        <f aca="false">IF(OR($A134="",$D134=""),"",IF(AND(EDATE($D134,Milestones!$AA$180)&lt;=AsOfDate,IF($R134=0,$X134,IF(AND($T134&lt;&gt;"",EDATE($D134,Milestones!$AA$180)&gt;=$T134),$W134,IF(AND($S134&lt;&gt;"",EDATE($D134,Milestones!$AA$180)&gt;=$S134),$V134,$U134)))=Milestones!$AB$180),UPPER(TEXT(EDATE($D134,Milestones!$AA$180),"dd mmm yy"))&amp;" "&amp;Milestones!$AB$180&amp;" "&amp;Milestones!$AC$180&amp;";  ","")&amp;IF(AND(EDATE($D134,Milestones!$AA$181)&lt;=AsOfDate,IF($R134=0,$X134,IF(AND($T134&lt;&gt;"",EDATE($D134,Milestones!$AA$181)&gt;=$T134),$W134,IF(AND($S134&lt;&gt;"",EDATE($D134,Milestones!$AA$181)&gt;=$S134),$V134,$U134)))=Milestones!$AB$181),UPPER(TEXT(EDATE($D134,Milestones!$AA$181),"dd mmm yy"))&amp;" "&amp;Milestones!$AB$181&amp;" "&amp;Milestones!$AC$181&amp;";  ","")&amp;IF(AND(EDATE($D134,Milestones!$AA$182)&lt;=AsOfDate,IF($R134=0,$X134,IF(AND($T134&lt;&gt;"",EDATE($D134,Milestones!$AA$182)&gt;=$T134),$W134,IF(AND($S134&lt;&gt;"",EDATE($D134,Milestones!$AA$182)&gt;=$S134),$V134,$U134)))=Milestones!$AB$182),UPPER(TEXT(EDATE($D134,Milestones!$AA$182),"dd mmm yy"))&amp;" "&amp;Milestones!$AB$182&amp;" "&amp;Milestones!$AC$182&amp;";  ","")&amp;IF(AND(EDATE($D134,Milestones!$AA$183)&lt;=AsOfDate,IF($R134=0,$X134,IF(AND($T134&lt;&gt;"",EDATE($D134,Milestones!$AA$183)&gt;=$T134),$W134,IF(AND($S134&lt;&gt;"",EDATE($D134,Milestones!$AA$183)&gt;=$S134),$V134,$U134)))=Milestones!$AB$183),UPPER(TEXT(EDATE($D134,Milestones!$AA$183),"dd mmm yy"))&amp;" "&amp;Milestones!$AB$183&amp;" "&amp;Milestones!$AC$183&amp;";  ","")&amp;IF(AND(EDATE($D134,Milestones!$AA$184)&lt;=AsOfDate,IF($R134=0,$X134,IF(AND($T134&lt;&gt;"",EDATE($D134,Milestones!$AA$184)&gt;=$T134),$W134,IF(AND($S134&lt;&gt;"",EDATE($D134,Milestones!$AA$184)&gt;=$S134),$V134,$U134)))=Milestones!$AB$184),UPPER(TEXT(EDATE($D134,Milestones!$AA$184),"dd mmm yy"))&amp;" "&amp;Milestones!$AB$184&amp;" "&amp;Milestones!$AC$184&amp;";  ","")&amp;IF(AND(EDATE($D134,Milestones!$AA$185)&lt;=AsOfDate,IF($R134=0,$X134,IF(AND($T134&lt;&gt;"",EDATE($D134,Milestones!$AA$185)&gt;=$T134),$W134,IF(AND($S134&lt;&gt;"",EDATE($D134,Milestones!$AA$185)&gt;=$S134),$V134,$U134)))=Milestones!$AB$185),UPPER(TEXT(EDATE($D134,Milestones!$AA$185),"dd mmm yy"))&amp;" "&amp;Milestones!$AB$185&amp;" "&amp;Milestones!$AC$185&amp;";  ","")&amp;IF(AND(EDATE($D134,Milestones!$AA$186)&lt;=AsOfDate,IF($R134=0,$X134,IF(AND($T134&lt;&gt;"",EDATE($D134,Milestones!$AA$186)&gt;=$T134),$W134,IF(AND($S134&lt;&gt;"",EDATE($D134,Milestones!$AA$186)&gt;=$S134),$V134,$U134)))=Milestones!$AB$186),UPPER(TEXT(EDATE($D134,Milestones!$AA$186),"dd mmm yy"))&amp;" "&amp;Milestones!$AB$186&amp;" "&amp;Milestones!$AC$186&amp;";  ","")&amp;IF(AND(EDATE($D134,Milestones!$AA$187)&lt;=AsOfDate,IF($R134=0,$X134,IF(AND($T134&lt;&gt;"",EDATE($D134,Milestones!$AA$187)&gt;=$T134),$W134,IF(AND($S134&lt;&gt;"",EDATE($D134,Milestones!$AA$187)&gt;=$S134),$V134,$U134)))=Milestones!$AB$187),UPPER(TEXT(EDATE($D134,Milestones!$AA$187),"dd mmm yy"))&amp;" "&amp;Milestones!$AB$187&amp;" "&amp;Milestones!$AC$187&amp;";  ","")&amp;IF(AND(EDATE($D134,Milestones!$AA$188)&lt;=AsOfDate,IF($R134=0,$X134,IF(AND($T134&lt;&gt;"",EDATE($D134,Milestones!$AA$188)&gt;=$T134),$W134,IF(AND($S134&lt;&gt;"",EDATE($D134,Milestones!$AA$188)&gt;=$S134),$V134,$U134)))=Milestones!$AB$188),UPPER(TEXT(EDATE($D134,Milestones!$AA$188),"dd mmm yy"))&amp;" "&amp;Milestones!$AB$188&amp;" "&amp;Milestones!$AC$188&amp;";  ","")&amp;IF(AND(EDATE($D134,Milestones!$AA$189)&lt;=AsOfDate,IF($R134=0,$X134,IF(AND($T134&lt;&gt;"",EDATE($D134,Milestones!$AA$189)&gt;=$T134),$W134,IF(AND($S134&lt;&gt;"",EDATE($D134,Milestones!$AA$189)&gt;=$S134),$V134,$U134)))=Milestones!$AB$189),UPPER(TEXT(EDATE($D134,Milestones!$AA$189),"dd mmm yy"))&amp;" "&amp;Milestones!$AB$189&amp;" "&amp;Milestones!$AC$189&amp;";  ","")&amp;IF(AND(EDATE($D134,Milestones!$AA$190)&lt;=AsOfDate,IF($R134=0,$X134,IF(AND($T134&lt;&gt;"",EDATE($D134,Milestones!$AA$190)&gt;=$T134),$W134,IF(AND($S134&lt;&gt;"",EDATE($D134,Milestones!$AA$190)&gt;=$S134),$V134,$U134)))=Milestones!$AB$190),UPPER(TEXT(EDATE($D134,Milestones!$AA$190),"dd mmm yy"))&amp;" "&amp;Milestones!$AB$190&amp;" "&amp;Milestones!$AC$190&amp;";  ","")&amp;IF(AND(EDATE($D134,Milestones!$AA$191)&lt;=AsOfDate,IF($R134=0,$X134,IF(AND($T134&lt;&gt;"",EDATE($D134,Milestones!$AA$191)&gt;=$T134),$W134,IF(AND($S134&lt;&gt;"",EDATE($D134,Milestones!$AA$191)&gt;=$S134),$V134,$U134)))=Milestones!$AB$191),UPPER(TEXT(EDATE($D134,Milestones!$AA$191),"dd mmm yy"))&amp;" "&amp;Milestones!$AB$191&amp;" "&amp;Milestones!$AC$191&amp;";  ","")&amp;IF(AND(EDATE($D134,Milestones!$AA$192)&lt;=AsOfDate,IF($R134=0,$X134,IF(AND($T134&lt;&gt;"",EDATE($D134,Milestones!$AA$192)&gt;=$T134),$W134,IF(AND($S134&lt;&gt;"",EDATE($D134,Milestones!$AA$192)&gt;=$S134),$V134,$U134)))=Milestones!$AB$192),UPPER(TEXT(EDATE($D134,Milestones!$AA$192),"dd mmm yy"))&amp;" "&amp;Milestones!$AB$192&amp;" "&amp;Milestones!$AC$192&amp;";  ","")&amp;IF(AND(EDATE($D134,Milestones!$AA$193)&lt;=AsOfDate,IF($R134=0,$X134,IF(AND($T134&lt;&gt;"",EDATE($D134,Milestones!$AA$193)&gt;=$T134),$W134,IF(AND($S134&lt;&gt;"",EDATE($D134,Milestones!$AA$193)&gt;=$S134),$V134,$U134)))=Milestones!$AB$193),UPPER(TEXT(EDATE($D134,Milestones!$AA$193),"dd mmm yy"))&amp;" "&amp;Milestones!$AB$193&amp;" "&amp;Milestones!$AC$193&amp;";  ","")&amp;IF(AND(EDATE($D134,Milestones!$AA$194)&lt;=AsOfDate,IF($R134=0,$X134,IF(AND($T134&lt;&gt;"",EDATE($D134,Milestones!$AA$194)&gt;=$T134),$W134,IF(AND($S134&lt;&gt;"",EDATE($D134,Milestones!$AA$194)&gt;=$S134),$V134,$U134)))=Milestones!$AB$194),UPPER(TEXT(EDATE($D134,Milestones!$AA$194),"dd mmm yy"))&amp;" "&amp;Milestones!$AB$194&amp;" "&amp;Milestones!$AC$194&amp;";  ","")&amp;IF(AND(EDATE($D134,Milestones!$AA$195)&lt;=AsOfDate,IF($R134=0,$X134,IF(AND($T134&lt;&gt;"",EDATE($D134,Milestones!$AA$195)&gt;=$T134),$W134,IF(AND($S134&lt;&gt;"",EDATE($D134,Milestones!$AA$195)&gt;=$S134),$V134,$U134)))=Milestones!$AB$195),UPPER(TEXT(EDATE($D134,Milestones!$AA$195),"dd mmm yy"))&amp;" "&amp;Milestones!$AB$195&amp;" "&amp;Milestones!$AC$195&amp;";  ","")&amp;IF(AND(EDATE($D134,Milestones!$AA$196)&lt;=AsOfDate,IF($R134=0,$X134,IF(AND($T134&lt;&gt;"",EDATE($D134,Milestones!$AA$196)&gt;=$T134),$W134,IF(AND($S134&lt;&gt;"",EDATE($D134,Milestones!$AA$196)&gt;=$S134),$V134,$U134)))=Milestones!$AB$196),UPPER(TEXT(EDATE($D134,Milestones!$AA$196),"dd mmm yy"))&amp;" "&amp;Milestones!$AB$196&amp;" "&amp;Milestones!$AC$196&amp;";  ","")&amp;IF(AND(EDATE($D134,Milestones!$AA$197)&lt;=AsOfDate,IF($R134=0,$X134,IF(AND($T134&lt;&gt;"",EDATE($D134,Milestones!$AA$197)&gt;=$T134),$W134,IF(AND($S134&lt;&gt;"",EDATE($D134,Milestones!$AA$197)&gt;=$S134),$V134,$U134)))=Milestones!$AB$197),UPPER(TEXT(EDATE($D134,Milestones!$AA$197),"dd mmm yy"))&amp;" "&amp;Milestones!$AB$197&amp;" "&amp;Milestones!$AC$197&amp;";  ","")&amp;IF(AND(EDATE($D134,Milestones!$AA$198)&lt;=AsOfDate,IF($R134=0,$X134,IF(AND($T134&lt;&gt;"",EDATE($D134,Milestones!$AA$198)&gt;=$T134),$W134,IF(AND($S134&lt;&gt;"",EDATE($D134,Milestones!$AA$198)&gt;=$S134),$V134,$U134)))=Milestones!$AB$198),UPPER(TEXT(EDATE($D134,Milestones!$AA$198),"dd mmm yy"))&amp;" "&amp;Milestones!$AB$198&amp;" "&amp;Milestones!$AC$198&amp;";  ","")&amp;IF(AND(EDATE($D134,Milestones!$AA$199)&lt;=AsOfDate,IF($R134=0,$X134,IF(AND($T134&lt;&gt;"",EDATE($D134,Milestones!$AA$199)&gt;=$T134),$W134,IF(AND($S134&lt;&gt;"",EDATE($D134,Milestones!$AA$199)&gt;=$S134),$V134,$U134)))=Milestones!$AB$199),UPPER(TEXT(EDATE($D134,Milestones!$AA$199),"dd mmm yy"))&amp;" "&amp;Milestones!$AB$199&amp;" "&amp;Milestones!$AC$199&amp;";  ",""))</f>
        <v/>
      </c>
      <c r="R134" s="0" t="str">
        <f aca="false">IF(Staff!$A134="","",Staff!$AI134)</f>
        <v/>
      </c>
      <c r="S134" s="0" t="str">
        <f aca="false">IF(Staff!$A134="","",Staff!$AK134)</f>
        <v/>
      </c>
      <c r="T134" s="0" t="str">
        <f aca="false">IF(Staff!$A134="","",Staff!$AL134)</f>
        <v/>
      </c>
      <c r="U134" s="0" t="str">
        <f aca="false">IF(Staff!$A134="","",Staff!$AP134)</f>
        <v/>
      </c>
      <c r="V134" s="0" t="str">
        <f aca="false">IF(Staff!$A134="","",Staff!$AQ134)</f>
        <v/>
      </c>
      <c r="W134" s="0" t="str">
        <f aca="false">IF(Staff!$A134="","",Staff!$AR134)</f>
        <v/>
      </c>
      <c r="X134" s="0" t="str">
        <f aca="false">IF(Staff!$A134="","",Staff!$AS134)</f>
        <v/>
      </c>
    </row>
    <row r="135" customFormat="false" ht="15" hidden="false" customHeight="false" outlineLevel="0" collapsed="false">
      <c r="A135" s="19" t="str">
        <f aca="false">IF(Staff!$A135="","",Staff!$A135)</f>
        <v/>
      </c>
      <c r="B135" s="19" t="str">
        <f aca="false">IF(Staff!$A135="","",Staff!$B135)</f>
        <v/>
      </c>
      <c r="C135" s="19" t="str">
        <f aca="false">IF(Staff!$A135="","",Staff!$C135)</f>
        <v/>
      </c>
      <c r="D135" s="17" t="str">
        <f aca="false">IF(Staff!$A135="","",Staff!$AH135)</f>
        <v/>
      </c>
      <c r="E135" s="19" t="str">
        <f aca="false">IF(Staff!$A135="","",Staff!$O135)</f>
        <v/>
      </c>
      <c r="F135" s="19" t="str">
        <f aca="false">IF(E135="","",E135*HoursPerDay)</f>
        <v/>
      </c>
      <c r="G135" s="19" t="str">
        <f aca="false">IF(Staff!$A135="","",Staff!$AE135)</f>
        <v/>
      </c>
      <c r="H135" s="32" t="str">
        <f aca="false">IF($A135="","",I135&amp;J135&amp;K135&amp;L135&amp;M135&amp;N135&amp;O135&amp;P135&amp;Q135)</f>
        <v/>
      </c>
      <c r="I135" s="0" t="str">
        <f aca="false">IF(OR($A135="",$D135=""),"",IF(AND(EDATE($D135,Milestones!$AA$20)&lt;=AsOfDate,IF($R135=0,$X135,IF(AND($T135&lt;&gt;"",EDATE($D135,Milestones!$AA$20)&gt;=$T135),$W135,IF(AND($S135&lt;&gt;"",EDATE($D135,Milestones!$AA$20)&gt;=$S135),$V135,$U135)))=Milestones!$AB$20),UPPER(TEXT(EDATE($D135,Milestones!$AA$20),"dd mmm yy"))&amp;" "&amp;Milestones!$AB$20&amp;" "&amp;Milestones!$AC$20&amp;";  ","")&amp;IF(AND(EDATE($D135,Milestones!$AA$21)&lt;=AsOfDate,IF($R135=0,$X135,IF(AND($T135&lt;&gt;"",EDATE($D135,Milestones!$AA$21)&gt;=$T135),$W135,IF(AND($S135&lt;&gt;"",EDATE($D135,Milestones!$AA$21)&gt;=$S135),$V135,$U135)))=Milestones!$AB$21),UPPER(TEXT(EDATE($D135,Milestones!$AA$21),"dd mmm yy"))&amp;" "&amp;Milestones!$AB$21&amp;" "&amp;Milestones!$AC$21&amp;";  ","")&amp;IF(AND(EDATE($D135,Milestones!$AA$22)&lt;=AsOfDate,IF($R135=0,$X135,IF(AND($T135&lt;&gt;"",EDATE($D135,Milestones!$AA$22)&gt;=$T135),$W135,IF(AND($S135&lt;&gt;"",EDATE($D135,Milestones!$AA$22)&gt;=$S135),$V135,$U135)))=Milestones!$AB$22),UPPER(TEXT(EDATE($D135,Milestones!$AA$22),"dd mmm yy"))&amp;" "&amp;Milestones!$AB$22&amp;" "&amp;Milestones!$AC$22&amp;";  ","")&amp;IF(AND(EDATE($D135,Milestones!$AA$23)&lt;=AsOfDate,IF($R135=0,$X135,IF(AND($T135&lt;&gt;"",EDATE($D135,Milestones!$AA$23)&gt;=$T135),$W135,IF(AND($S135&lt;&gt;"",EDATE($D135,Milestones!$AA$23)&gt;=$S135),$V135,$U135)))=Milestones!$AB$23),UPPER(TEXT(EDATE($D135,Milestones!$AA$23),"dd mmm yy"))&amp;" "&amp;Milestones!$AB$23&amp;" "&amp;Milestones!$AC$23&amp;";  ","")&amp;IF(AND(EDATE($D135,Milestones!$AA$24)&lt;=AsOfDate,IF($R135=0,$X135,IF(AND($T135&lt;&gt;"",EDATE($D135,Milestones!$AA$24)&gt;=$T135),$W135,IF(AND($S135&lt;&gt;"",EDATE($D135,Milestones!$AA$24)&gt;=$S135),$V135,$U135)))=Milestones!$AB$24),UPPER(TEXT(EDATE($D135,Milestones!$AA$24),"dd mmm yy"))&amp;" "&amp;Milestones!$AB$24&amp;" "&amp;Milestones!$AC$24&amp;";  ","")&amp;IF(AND(EDATE($D135,Milestones!$AA$25)&lt;=AsOfDate,IF($R135=0,$X135,IF(AND($T135&lt;&gt;"",EDATE($D135,Milestones!$AA$25)&gt;=$T135),$W135,IF(AND($S135&lt;&gt;"",EDATE($D135,Milestones!$AA$25)&gt;=$S135),$V135,$U135)))=Milestones!$AB$25),UPPER(TEXT(EDATE($D135,Milestones!$AA$25),"dd mmm yy"))&amp;" "&amp;Milestones!$AB$25&amp;" "&amp;Milestones!$AC$25&amp;";  ","")&amp;IF(AND(EDATE($D135,Milestones!$AA$26)&lt;=AsOfDate,IF($R135=0,$X135,IF(AND($T135&lt;&gt;"",EDATE($D135,Milestones!$AA$26)&gt;=$T135),$W135,IF(AND($S135&lt;&gt;"",EDATE($D135,Milestones!$AA$26)&gt;=$S135),$V135,$U135)))=Milestones!$AB$26),UPPER(TEXT(EDATE($D135,Milestones!$AA$26),"dd mmm yy"))&amp;" "&amp;Milestones!$AB$26&amp;" "&amp;Milestones!$AC$26&amp;";  ","")&amp;IF(AND(EDATE($D135,Milestones!$AA$27)&lt;=AsOfDate,IF($R135=0,$X135,IF(AND($T135&lt;&gt;"",EDATE($D135,Milestones!$AA$27)&gt;=$T135),$W135,IF(AND($S135&lt;&gt;"",EDATE($D135,Milestones!$AA$27)&gt;=$S135),$V135,$U135)))=Milestones!$AB$27),UPPER(TEXT(EDATE($D135,Milestones!$AA$27),"dd mmm yy"))&amp;" "&amp;Milestones!$AB$27&amp;" "&amp;Milestones!$AC$27&amp;";  ","")&amp;IF(AND(EDATE($D135,Milestones!$AA$28)&lt;=AsOfDate,IF($R135=0,$X135,IF(AND($T135&lt;&gt;"",EDATE($D135,Milestones!$AA$28)&gt;=$T135),$W135,IF(AND($S135&lt;&gt;"",EDATE($D135,Milestones!$AA$28)&gt;=$S135),$V135,$U135)))=Milestones!$AB$28),UPPER(TEXT(EDATE($D135,Milestones!$AA$28),"dd mmm yy"))&amp;" "&amp;Milestones!$AB$28&amp;" "&amp;Milestones!$AC$28&amp;";  ","")&amp;IF(AND(EDATE($D135,Milestones!$AA$29)&lt;=AsOfDate,IF($R135=0,$X135,IF(AND($T135&lt;&gt;"",EDATE($D135,Milestones!$AA$29)&gt;=$T135),$W135,IF(AND($S135&lt;&gt;"",EDATE($D135,Milestones!$AA$29)&gt;=$S135),$V135,$U135)))=Milestones!$AB$29),UPPER(TEXT(EDATE($D135,Milestones!$AA$29),"dd mmm yy"))&amp;" "&amp;Milestones!$AB$29&amp;" "&amp;Milestones!$AC$29&amp;";  ","")&amp;IF(AND(EDATE($D135,Milestones!$AA$30)&lt;=AsOfDate,IF($R135=0,$X135,IF(AND($T135&lt;&gt;"",EDATE($D135,Milestones!$AA$30)&gt;=$T135),$W135,IF(AND($S135&lt;&gt;"",EDATE($D135,Milestones!$AA$30)&gt;=$S135),$V135,$U135)))=Milestones!$AB$30),UPPER(TEXT(EDATE($D135,Milestones!$AA$30),"dd mmm yy"))&amp;" "&amp;Milestones!$AB$30&amp;" "&amp;Milestones!$AC$30&amp;";  ","")&amp;IF(AND(EDATE($D135,Milestones!$AA$31)&lt;=AsOfDate,IF($R135=0,$X135,IF(AND($T135&lt;&gt;"",EDATE($D135,Milestones!$AA$31)&gt;=$T135),$W135,IF(AND($S135&lt;&gt;"",EDATE($D135,Milestones!$AA$31)&gt;=$S135),$V135,$U135)))=Milestones!$AB$31),UPPER(TEXT(EDATE($D135,Milestones!$AA$31),"dd mmm yy"))&amp;" "&amp;Milestones!$AB$31&amp;" "&amp;Milestones!$AC$31&amp;";  ","")&amp;IF(AND(EDATE($D135,Milestones!$AA$32)&lt;=AsOfDate,IF($R135=0,$X135,IF(AND($T135&lt;&gt;"",EDATE($D135,Milestones!$AA$32)&gt;=$T135),$W135,IF(AND($S135&lt;&gt;"",EDATE($D135,Milestones!$AA$32)&gt;=$S135),$V135,$U135)))=Milestones!$AB$32),UPPER(TEXT(EDATE($D135,Milestones!$AA$32),"dd mmm yy"))&amp;" "&amp;Milestones!$AB$32&amp;" "&amp;Milestones!$AC$32&amp;";  ","")&amp;IF(AND(EDATE($D135,Milestones!$AA$33)&lt;=AsOfDate,IF($R135=0,$X135,IF(AND($T135&lt;&gt;"",EDATE($D135,Milestones!$AA$33)&gt;=$T135),$W135,IF(AND($S135&lt;&gt;"",EDATE($D135,Milestones!$AA$33)&gt;=$S135),$V135,$U135)))=Milestones!$AB$33),UPPER(TEXT(EDATE($D135,Milestones!$AA$33),"dd mmm yy"))&amp;" "&amp;Milestones!$AB$33&amp;" "&amp;Milestones!$AC$33&amp;";  ","")&amp;IF(AND(EDATE($D135,Milestones!$AA$34)&lt;=AsOfDate,IF($R135=0,$X135,IF(AND($T135&lt;&gt;"",EDATE($D135,Milestones!$AA$34)&gt;=$T135),$W135,IF(AND($S135&lt;&gt;"",EDATE($D135,Milestones!$AA$34)&gt;=$S135),$V135,$U135)))=Milestones!$AB$34),UPPER(TEXT(EDATE($D135,Milestones!$AA$34),"dd mmm yy"))&amp;" "&amp;Milestones!$AB$34&amp;" "&amp;Milestones!$AC$34&amp;";  ","")&amp;IF(AND(EDATE($D135,Milestones!$AA$35)&lt;=AsOfDate,IF($R135=0,$X135,IF(AND($T135&lt;&gt;"",EDATE($D135,Milestones!$AA$35)&gt;=$T135),$W135,IF(AND($S135&lt;&gt;"",EDATE($D135,Milestones!$AA$35)&gt;=$S135),$V135,$U135)))=Milestones!$AB$35),UPPER(TEXT(EDATE($D135,Milestones!$AA$35),"dd mmm yy"))&amp;" "&amp;Milestones!$AB$35&amp;" "&amp;Milestones!$AC$35&amp;";  ","")&amp;IF(AND(EDATE($D135,Milestones!$AA$36)&lt;=AsOfDate,IF($R135=0,$X135,IF(AND($T135&lt;&gt;"",EDATE($D135,Milestones!$AA$36)&gt;=$T135),$W135,IF(AND($S135&lt;&gt;"",EDATE($D135,Milestones!$AA$36)&gt;=$S135),$V135,$U135)))=Milestones!$AB$36),UPPER(TEXT(EDATE($D135,Milestones!$AA$36),"dd mmm yy"))&amp;" "&amp;Milestones!$AB$36&amp;" "&amp;Milestones!$AC$36&amp;";  ","")&amp;IF(AND(EDATE($D135,Milestones!$AA$37)&lt;=AsOfDate,IF($R135=0,$X135,IF(AND($T135&lt;&gt;"",EDATE($D135,Milestones!$AA$37)&gt;=$T135),$W135,IF(AND($S135&lt;&gt;"",EDATE($D135,Milestones!$AA$37)&gt;=$S135),$V135,$U135)))=Milestones!$AB$37),UPPER(TEXT(EDATE($D135,Milestones!$AA$37),"dd mmm yy"))&amp;" "&amp;Milestones!$AB$37&amp;" "&amp;Milestones!$AC$37&amp;";  ","")&amp;IF(AND(EDATE($D135,Milestones!$AA$38)&lt;=AsOfDate,IF($R135=0,$X135,IF(AND($T135&lt;&gt;"",EDATE($D135,Milestones!$AA$38)&gt;=$T135),$W135,IF(AND($S135&lt;&gt;"",EDATE($D135,Milestones!$AA$38)&gt;=$S135),$V135,$U135)))=Milestones!$AB$38),UPPER(TEXT(EDATE($D135,Milestones!$AA$38),"dd mmm yy"))&amp;" "&amp;Milestones!$AB$38&amp;" "&amp;Milestones!$AC$38&amp;";  ","")&amp;IF(AND(EDATE($D135,Milestones!$AA$39)&lt;=AsOfDate,IF($R135=0,$X135,IF(AND($T135&lt;&gt;"",EDATE($D135,Milestones!$AA$39)&gt;=$T135),$W135,IF(AND($S135&lt;&gt;"",EDATE($D135,Milestones!$AA$39)&gt;=$S135),$V135,$U135)))=Milestones!$AB$39),UPPER(TEXT(EDATE($D135,Milestones!$AA$39),"dd mmm yy"))&amp;" "&amp;Milestones!$AB$39&amp;" "&amp;Milestones!$AC$39&amp;";  ",""))</f>
        <v/>
      </c>
      <c r="J135" s="0" t="str">
        <f aca="false">IF(OR($A135="",$D135=""),"",IF(AND(EDATE($D135,Milestones!$AA$40)&lt;=AsOfDate,IF($R135=0,$X135,IF(AND($T135&lt;&gt;"",EDATE($D135,Milestones!$AA$40)&gt;=$T135),$W135,IF(AND($S135&lt;&gt;"",EDATE($D135,Milestones!$AA$40)&gt;=$S135),$V135,$U135)))=Milestones!$AB$40),UPPER(TEXT(EDATE($D135,Milestones!$AA$40),"dd mmm yy"))&amp;" "&amp;Milestones!$AB$40&amp;" "&amp;Milestones!$AC$40&amp;";  ","")&amp;IF(AND(EDATE($D135,Milestones!$AA$41)&lt;=AsOfDate,IF($R135=0,$X135,IF(AND($T135&lt;&gt;"",EDATE($D135,Milestones!$AA$41)&gt;=$T135),$W135,IF(AND($S135&lt;&gt;"",EDATE($D135,Milestones!$AA$41)&gt;=$S135),$V135,$U135)))=Milestones!$AB$41),UPPER(TEXT(EDATE($D135,Milestones!$AA$41),"dd mmm yy"))&amp;" "&amp;Milestones!$AB$41&amp;" "&amp;Milestones!$AC$41&amp;";  ","")&amp;IF(AND(EDATE($D135,Milestones!$AA$42)&lt;=AsOfDate,IF($R135=0,$X135,IF(AND($T135&lt;&gt;"",EDATE($D135,Milestones!$AA$42)&gt;=$T135),$W135,IF(AND($S135&lt;&gt;"",EDATE($D135,Milestones!$AA$42)&gt;=$S135),$V135,$U135)))=Milestones!$AB$42),UPPER(TEXT(EDATE($D135,Milestones!$AA$42),"dd mmm yy"))&amp;" "&amp;Milestones!$AB$42&amp;" "&amp;Milestones!$AC$42&amp;";  ","")&amp;IF(AND(EDATE($D135,Milestones!$AA$43)&lt;=AsOfDate,IF($R135=0,$X135,IF(AND($T135&lt;&gt;"",EDATE($D135,Milestones!$AA$43)&gt;=$T135),$W135,IF(AND($S135&lt;&gt;"",EDATE($D135,Milestones!$AA$43)&gt;=$S135),$V135,$U135)))=Milestones!$AB$43),UPPER(TEXT(EDATE($D135,Milestones!$AA$43),"dd mmm yy"))&amp;" "&amp;Milestones!$AB$43&amp;" "&amp;Milestones!$AC$43&amp;";  ","")&amp;IF(AND(EDATE($D135,Milestones!$AA$44)&lt;=AsOfDate,IF($R135=0,$X135,IF(AND($T135&lt;&gt;"",EDATE($D135,Milestones!$AA$44)&gt;=$T135),$W135,IF(AND($S135&lt;&gt;"",EDATE($D135,Milestones!$AA$44)&gt;=$S135),$V135,$U135)))=Milestones!$AB$44),UPPER(TEXT(EDATE($D135,Milestones!$AA$44),"dd mmm yy"))&amp;" "&amp;Milestones!$AB$44&amp;" "&amp;Milestones!$AC$44&amp;";  ","")&amp;IF(AND(EDATE($D135,Milestones!$AA$45)&lt;=AsOfDate,IF($R135=0,$X135,IF(AND($T135&lt;&gt;"",EDATE($D135,Milestones!$AA$45)&gt;=$T135),$W135,IF(AND($S135&lt;&gt;"",EDATE($D135,Milestones!$AA$45)&gt;=$S135),$V135,$U135)))=Milestones!$AB$45),UPPER(TEXT(EDATE($D135,Milestones!$AA$45),"dd mmm yy"))&amp;" "&amp;Milestones!$AB$45&amp;" "&amp;Milestones!$AC$45&amp;";  ","")&amp;IF(AND(EDATE($D135,Milestones!$AA$46)&lt;=AsOfDate,IF($R135=0,$X135,IF(AND($T135&lt;&gt;"",EDATE($D135,Milestones!$AA$46)&gt;=$T135),$W135,IF(AND($S135&lt;&gt;"",EDATE($D135,Milestones!$AA$46)&gt;=$S135),$V135,$U135)))=Milestones!$AB$46),UPPER(TEXT(EDATE($D135,Milestones!$AA$46),"dd mmm yy"))&amp;" "&amp;Milestones!$AB$46&amp;" "&amp;Milestones!$AC$46&amp;";  ","")&amp;IF(AND(EDATE($D135,Milestones!$AA$47)&lt;=AsOfDate,IF($R135=0,$X135,IF(AND($T135&lt;&gt;"",EDATE($D135,Milestones!$AA$47)&gt;=$T135),$W135,IF(AND($S135&lt;&gt;"",EDATE($D135,Milestones!$AA$47)&gt;=$S135),$V135,$U135)))=Milestones!$AB$47),UPPER(TEXT(EDATE($D135,Milestones!$AA$47),"dd mmm yy"))&amp;" "&amp;Milestones!$AB$47&amp;" "&amp;Milestones!$AC$47&amp;";  ","")&amp;IF(AND(EDATE($D135,Milestones!$AA$48)&lt;=AsOfDate,IF($R135=0,$X135,IF(AND($T135&lt;&gt;"",EDATE($D135,Milestones!$AA$48)&gt;=$T135),$W135,IF(AND($S135&lt;&gt;"",EDATE($D135,Milestones!$AA$48)&gt;=$S135),$V135,$U135)))=Milestones!$AB$48),UPPER(TEXT(EDATE($D135,Milestones!$AA$48),"dd mmm yy"))&amp;" "&amp;Milestones!$AB$48&amp;" "&amp;Milestones!$AC$48&amp;";  ","")&amp;IF(AND(EDATE($D135,Milestones!$AA$49)&lt;=AsOfDate,IF($R135=0,$X135,IF(AND($T135&lt;&gt;"",EDATE($D135,Milestones!$AA$49)&gt;=$T135),$W135,IF(AND($S135&lt;&gt;"",EDATE($D135,Milestones!$AA$49)&gt;=$S135),$V135,$U135)))=Milestones!$AB$49),UPPER(TEXT(EDATE($D135,Milestones!$AA$49),"dd mmm yy"))&amp;" "&amp;Milestones!$AB$49&amp;" "&amp;Milestones!$AC$49&amp;";  ","")&amp;IF(AND(EDATE($D135,Milestones!$AA$50)&lt;=AsOfDate,IF($R135=0,$X135,IF(AND($T135&lt;&gt;"",EDATE($D135,Milestones!$AA$50)&gt;=$T135),$W135,IF(AND($S135&lt;&gt;"",EDATE($D135,Milestones!$AA$50)&gt;=$S135),$V135,$U135)))=Milestones!$AB$50),UPPER(TEXT(EDATE($D135,Milestones!$AA$50),"dd mmm yy"))&amp;" "&amp;Milestones!$AB$50&amp;" "&amp;Milestones!$AC$50&amp;";  ","")&amp;IF(AND(EDATE($D135,Milestones!$AA$51)&lt;=AsOfDate,IF($R135=0,$X135,IF(AND($T135&lt;&gt;"",EDATE($D135,Milestones!$AA$51)&gt;=$T135),$W135,IF(AND($S135&lt;&gt;"",EDATE($D135,Milestones!$AA$51)&gt;=$S135),$V135,$U135)))=Milestones!$AB$51),UPPER(TEXT(EDATE($D135,Milestones!$AA$51),"dd mmm yy"))&amp;" "&amp;Milestones!$AB$51&amp;" "&amp;Milestones!$AC$51&amp;";  ","")&amp;IF(AND(EDATE($D135,Milestones!$AA$52)&lt;=AsOfDate,IF($R135=0,$X135,IF(AND($T135&lt;&gt;"",EDATE($D135,Milestones!$AA$52)&gt;=$T135),$W135,IF(AND($S135&lt;&gt;"",EDATE($D135,Milestones!$AA$52)&gt;=$S135),$V135,$U135)))=Milestones!$AB$52),UPPER(TEXT(EDATE($D135,Milestones!$AA$52),"dd mmm yy"))&amp;" "&amp;Milestones!$AB$52&amp;" "&amp;Milestones!$AC$52&amp;";  ","")&amp;IF(AND(EDATE($D135,Milestones!$AA$53)&lt;=AsOfDate,IF($R135=0,$X135,IF(AND($T135&lt;&gt;"",EDATE($D135,Milestones!$AA$53)&gt;=$T135),$W135,IF(AND($S135&lt;&gt;"",EDATE($D135,Milestones!$AA$53)&gt;=$S135),$V135,$U135)))=Milestones!$AB$53),UPPER(TEXT(EDATE($D135,Milestones!$AA$53),"dd mmm yy"))&amp;" "&amp;Milestones!$AB$53&amp;" "&amp;Milestones!$AC$53&amp;";  ","")&amp;IF(AND(EDATE($D135,Milestones!$AA$54)&lt;=AsOfDate,IF($R135=0,$X135,IF(AND($T135&lt;&gt;"",EDATE($D135,Milestones!$AA$54)&gt;=$T135),$W135,IF(AND($S135&lt;&gt;"",EDATE($D135,Milestones!$AA$54)&gt;=$S135),$V135,$U135)))=Milestones!$AB$54),UPPER(TEXT(EDATE($D135,Milestones!$AA$54),"dd mmm yy"))&amp;" "&amp;Milestones!$AB$54&amp;" "&amp;Milestones!$AC$54&amp;";  ","")&amp;IF(AND(EDATE($D135,Milestones!$AA$55)&lt;=AsOfDate,IF($R135=0,$X135,IF(AND($T135&lt;&gt;"",EDATE($D135,Milestones!$AA$55)&gt;=$T135),$W135,IF(AND($S135&lt;&gt;"",EDATE($D135,Milestones!$AA$55)&gt;=$S135),$V135,$U135)))=Milestones!$AB$55),UPPER(TEXT(EDATE($D135,Milestones!$AA$55),"dd mmm yy"))&amp;" "&amp;Milestones!$AB$55&amp;" "&amp;Milestones!$AC$55&amp;";  ","")&amp;IF(AND(EDATE($D135,Milestones!$AA$56)&lt;=AsOfDate,IF($R135=0,$X135,IF(AND($T135&lt;&gt;"",EDATE($D135,Milestones!$AA$56)&gt;=$T135),$W135,IF(AND($S135&lt;&gt;"",EDATE($D135,Milestones!$AA$56)&gt;=$S135),$V135,$U135)))=Milestones!$AB$56),UPPER(TEXT(EDATE($D135,Milestones!$AA$56),"dd mmm yy"))&amp;" "&amp;Milestones!$AB$56&amp;" "&amp;Milestones!$AC$56&amp;";  ","")&amp;IF(AND(EDATE($D135,Milestones!$AA$57)&lt;=AsOfDate,IF($R135=0,$X135,IF(AND($T135&lt;&gt;"",EDATE($D135,Milestones!$AA$57)&gt;=$T135),$W135,IF(AND($S135&lt;&gt;"",EDATE($D135,Milestones!$AA$57)&gt;=$S135),$V135,$U135)))=Milestones!$AB$57),UPPER(TEXT(EDATE($D135,Milestones!$AA$57),"dd mmm yy"))&amp;" "&amp;Milestones!$AB$57&amp;" "&amp;Milestones!$AC$57&amp;";  ","")&amp;IF(AND(EDATE($D135,Milestones!$AA$58)&lt;=AsOfDate,IF($R135=0,$X135,IF(AND($T135&lt;&gt;"",EDATE($D135,Milestones!$AA$58)&gt;=$T135),$W135,IF(AND($S135&lt;&gt;"",EDATE($D135,Milestones!$AA$58)&gt;=$S135),$V135,$U135)))=Milestones!$AB$58),UPPER(TEXT(EDATE($D135,Milestones!$AA$58),"dd mmm yy"))&amp;" "&amp;Milestones!$AB$58&amp;" "&amp;Milestones!$AC$58&amp;";  ","")&amp;IF(AND(EDATE($D135,Milestones!$AA$59)&lt;=AsOfDate,IF($R135=0,$X135,IF(AND($T135&lt;&gt;"",EDATE($D135,Milestones!$AA$59)&gt;=$T135),$W135,IF(AND($S135&lt;&gt;"",EDATE($D135,Milestones!$AA$59)&gt;=$S135),$V135,$U135)))=Milestones!$AB$59),UPPER(TEXT(EDATE($D135,Milestones!$AA$59),"dd mmm yy"))&amp;" "&amp;Milestones!$AB$59&amp;" "&amp;Milestones!$AC$59&amp;";  ",""))</f>
        <v/>
      </c>
      <c r="K135" s="0" t="str">
        <f aca="false">IF(OR($A135="",$D135=""),"",IF(AND(EDATE($D135,Milestones!$AA$60)&lt;=AsOfDate,IF($R135=0,$X135,IF(AND($T135&lt;&gt;"",EDATE($D135,Milestones!$AA$60)&gt;=$T135),$W135,IF(AND($S135&lt;&gt;"",EDATE($D135,Milestones!$AA$60)&gt;=$S135),$V135,$U135)))=Milestones!$AB$60),UPPER(TEXT(EDATE($D135,Milestones!$AA$60),"dd mmm yy"))&amp;" "&amp;Milestones!$AB$60&amp;" "&amp;Milestones!$AC$60&amp;";  ","")&amp;IF(AND(EDATE($D135,Milestones!$AA$61)&lt;=AsOfDate,IF($R135=0,$X135,IF(AND($T135&lt;&gt;"",EDATE($D135,Milestones!$AA$61)&gt;=$T135),$W135,IF(AND($S135&lt;&gt;"",EDATE($D135,Milestones!$AA$61)&gt;=$S135),$V135,$U135)))=Milestones!$AB$61),UPPER(TEXT(EDATE($D135,Milestones!$AA$61),"dd mmm yy"))&amp;" "&amp;Milestones!$AB$61&amp;" "&amp;Milestones!$AC$61&amp;";  ","")&amp;IF(AND(EDATE($D135,Milestones!$AA$62)&lt;=AsOfDate,IF($R135=0,$X135,IF(AND($T135&lt;&gt;"",EDATE($D135,Milestones!$AA$62)&gt;=$T135),$W135,IF(AND($S135&lt;&gt;"",EDATE($D135,Milestones!$AA$62)&gt;=$S135),$V135,$U135)))=Milestones!$AB$62),UPPER(TEXT(EDATE($D135,Milestones!$AA$62),"dd mmm yy"))&amp;" "&amp;Milestones!$AB$62&amp;" "&amp;Milestones!$AC$62&amp;";  ","")&amp;IF(AND(EDATE($D135,Milestones!$AA$63)&lt;=AsOfDate,IF($R135=0,$X135,IF(AND($T135&lt;&gt;"",EDATE($D135,Milestones!$AA$63)&gt;=$T135),$W135,IF(AND($S135&lt;&gt;"",EDATE($D135,Milestones!$AA$63)&gt;=$S135),$V135,$U135)))=Milestones!$AB$63),UPPER(TEXT(EDATE($D135,Milestones!$AA$63),"dd mmm yy"))&amp;" "&amp;Milestones!$AB$63&amp;" "&amp;Milestones!$AC$63&amp;";  ","")&amp;IF(AND(EDATE($D135,Milestones!$AA$64)&lt;=AsOfDate,IF($R135=0,$X135,IF(AND($T135&lt;&gt;"",EDATE($D135,Milestones!$AA$64)&gt;=$T135),$W135,IF(AND($S135&lt;&gt;"",EDATE($D135,Milestones!$AA$64)&gt;=$S135),$V135,$U135)))=Milestones!$AB$64),UPPER(TEXT(EDATE($D135,Milestones!$AA$64),"dd mmm yy"))&amp;" "&amp;Milestones!$AB$64&amp;" "&amp;Milestones!$AC$64&amp;";  ","")&amp;IF(AND(EDATE($D135,Milestones!$AA$65)&lt;=AsOfDate,IF($R135=0,$X135,IF(AND($T135&lt;&gt;"",EDATE($D135,Milestones!$AA$65)&gt;=$T135),$W135,IF(AND($S135&lt;&gt;"",EDATE($D135,Milestones!$AA$65)&gt;=$S135),$V135,$U135)))=Milestones!$AB$65),UPPER(TEXT(EDATE($D135,Milestones!$AA$65),"dd mmm yy"))&amp;" "&amp;Milestones!$AB$65&amp;" "&amp;Milestones!$AC$65&amp;";  ","")&amp;IF(AND(EDATE($D135,Milestones!$AA$66)&lt;=AsOfDate,IF($R135=0,$X135,IF(AND($T135&lt;&gt;"",EDATE($D135,Milestones!$AA$66)&gt;=$T135),$W135,IF(AND($S135&lt;&gt;"",EDATE($D135,Milestones!$AA$66)&gt;=$S135),$V135,$U135)))=Milestones!$AB$66),UPPER(TEXT(EDATE($D135,Milestones!$AA$66),"dd mmm yy"))&amp;" "&amp;Milestones!$AB$66&amp;" "&amp;Milestones!$AC$66&amp;";  ","")&amp;IF(AND(EDATE($D135,Milestones!$AA$67)&lt;=AsOfDate,IF($R135=0,$X135,IF(AND($T135&lt;&gt;"",EDATE($D135,Milestones!$AA$67)&gt;=$T135),$W135,IF(AND($S135&lt;&gt;"",EDATE($D135,Milestones!$AA$67)&gt;=$S135),$V135,$U135)))=Milestones!$AB$67),UPPER(TEXT(EDATE($D135,Milestones!$AA$67),"dd mmm yy"))&amp;" "&amp;Milestones!$AB$67&amp;" "&amp;Milestones!$AC$67&amp;";  ","")&amp;IF(AND(EDATE($D135,Milestones!$AA$68)&lt;=AsOfDate,IF($R135=0,$X135,IF(AND($T135&lt;&gt;"",EDATE($D135,Milestones!$AA$68)&gt;=$T135),$W135,IF(AND($S135&lt;&gt;"",EDATE($D135,Milestones!$AA$68)&gt;=$S135),$V135,$U135)))=Milestones!$AB$68),UPPER(TEXT(EDATE($D135,Milestones!$AA$68),"dd mmm yy"))&amp;" "&amp;Milestones!$AB$68&amp;" "&amp;Milestones!$AC$68&amp;";  ","")&amp;IF(AND(EDATE($D135,Milestones!$AA$69)&lt;=AsOfDate,IF($R135=0,$X135,IF(AND($T135&lt;&gt;"",EDATE($D135,Milestones!$AA$69)&gt;=$T135),$W135,IF(AND($S135&lt;&gt;"",EDATE($D135,Milestones!$AA$69)&gt;=$S135),$V135,$U135)))=Milestones!$AB$69),UPPER(TEXT(EDATE($D135,Milestones!$AA$69),"dd mmm yy"))&amp;" "&amp;Milestones!$AB$69&amp;" "&amp;Milestones!$AC$69&amp;";  ","")&amp;IF(AND(EDATE($D135,Milestones!$AA$70)&lt;=AsOfDate,IF($R135=0,$X135,IF(AND($T135&lt;&gt;"",EDATE($D135,Milestones!$AA$70)&gt;=$T135),$W135,IF(AND($S135&lt;&gt;"",EDATE($D135,Milestones!$AA$70)&gt;=$S135),$V135,$U135)))=Milestones!$AB$70),UPPER(TEXT(EDATE($D135,Milestones!$AA$70),"dd mmm yy"))&amp;" "&amp;Milestones!$AB$70&amp;" "&amp;Milestones!$AC$70&amp;";  ","")&amp;IF(AND(EDATE($D135,Milestones!$AA$71)&lt;=AsOfDate,IF($R135=0,$X135,IF(AND($T135&lt;&gt;"",EDATE($D135,Milestones!$AA$71)&gt;=$T135),$W135,IF(AND($S135&lt;&gt;"",EDATE($D135,Milestones!$AA$71)&gt;=$S135),$V135,$U135)))=Milestones!$AB$71),UPPER(TEXT(EDATE($D135,Milestones!$AA$71),"dd mmm yy"))&amp;" "&amp;Milestones!$AB$71&amp;" "&amp;Milestones!$AC$71&amp;";  ","")&amp;IF(AND(EDATE($D135,Milestones!$AA$72)&lt;=AsOfDate,IF($R135=0,$X135,IF(AND($T135&lt;&gt;"",EDATE($D135,Milestones!$AA$72)&gt;=$T135),$W135,IF(AND($S135&lt;&gt;"",EDATE($D135,Milestones!$AA$72)&gt;=$S135),$V135,$U135)))=Milestones!$AB$72),UPPER(TEXT(EDATE($D135,Milestones!$AA$72),"dd mmm yy"))&amp;" "&amp;Milestones!$AB$72&amp;" "&amp;Milestones!$AC$72&amp;";  ","")&amp;IF(AND(EDATE($D135,Milestones!$AA$73)&lt;=AsOfDate,IF($R135=0,$X135,IF(AND($T135&lt;&gt;"",EDATE($D135,Milestones!$AA$73)&gt;=$T135),$W135,IF(AND($S135&lt;&gt;"",EDATE($D135,Milestones!$AA$73)&gt;=$S135),$V135,$U135)))=Milestones!$AB$73),UPPER(TEXT(EDATE($D135,Milestones!$AA$73),"dd mmm yy"))&amp;" "&amp;Milestones!$AB$73&amp;" "&amp;Milestones!$AC$73&amp;";  ","")&amp;IF(AND(EDATE($D135,Milestones!$AA$74)&lt;=AsOfDate,IF($R135=0,$X135,IF(AND($T135&lt;&gt;"",EDATE($D135,Milestones!$AA$74)&gt;=$T135),$W135,IF(AND($S135&lt;&gt;"",EDATE($D135,Milestones!$AA$74)&gt;=$S135),$V135,$U135)))=Milestones!$AB$74),UPPER(TEXT(EDATE($D135,Milestones!$AA$74),"dd mmm yy"))&amp;" "&amp;Milestones!$AB$74&amp;" "&amp;Milestones!$AC$74&amp;";  ","")&amp;IF(AND(EDATE($D135,Milestones!$AA$75)&lt;=AsOfDate,IF($R135=0,$X135,IF(AND($T135&lt;&gt;"",EDATE($D135,Milestones!$AA$75)&gt;=$T135),$W135,IF(AND($S135&lt;&gt;"",EDATE($D135,Milestones!$AA$75)&gt;=$S135),$V135,$U135)))=Milestones!$AB$75),UPPER(TEXT(EDATE($D135,Milestones!$AA$75),"dd mmm yy"))&amp;" "&amp;Milestones!$AB$75&amp;" "&amp;Milestones!$AC$75&amp;";  ","")&amp;IF(AND(EDATE($D135,Milestones!$AA$76)&lt;=AsOfDate,IF($R135=0,$X135,IF(AND($T135&lt;&gt;"",EDATE($D135,Milestones!$AA$76)&gt;=$T135),$W135,IF(AND($S135&lt;&gt;"",EDATE($D135,Milestones!$AA$76)&gt;=$S135),$V135,$U135)))=Milestones!$AB$76),UPPER(TEXT(EDATE($D135,Milestones!$AA$76),"dd mmm yy"))&amp;" "&amp;Milestones!$AB$76&amp;" "&amp;Milestones!$AC$76&amp;";  ","")&amp;IF(AND(EDATE($D135,Milestones!$AA$77)&lt;=AsOfDate,IF($R135=0,$X135,IF(AND($T135&lt;&gt;"",EDATE($D135,Milestones!$AA$77)&gt;=$T135),$W135,IF(AND($S135&lt;&gt;"",EDATE($D135,Milestones!$AA$77)&gt;=$S135),$V135,$U135)))=Milestones!$AB$77),UPPER(TEXT(EDATE($D135,Milestones!$AA$77),"dd mmm yy"))&amp;" "&amp;Milestones!$AB$77&amp;" "&amp;Milestones!$AC$77&amp;";  ","")&amp;IF(AND(EDATE($D135,Milestones!$AA$78)&lt;=AsOfDate,IF($R135=0,$X135,IF(AND($T135&lt;&gt;"",EDATE($D135,Milestones!$AA$78)&gt;=$T135),$W135,IF(AND($S135&lt;&gt;"",EDATE($D135,Milestones!$AA$78)&gt;=$S135),$V135,$U135)))=Milestones!$AB$78),UPPER(TEXT(EDATE($D135,Milestones!$AA$78),"dd mmm yy"))&amp;" "&amp;Milestones!$AB$78&amp;" "&amp;Milestones!$AC$78&amp;";  ","")&amp;IF(AND(EDATE($D135,Milestones!$AA$79)&lt;=AsOfDate,IF($R135=0,$X135,IF(AND($T135&lt;&gt;"",EDATE($D135,Milestones!$AA$79)&gt;=$T135),$W135,IF(AND($S135&lt;&gt;"",EDATE($D135,Milestones!$AA$79)&gt;=$S135),$V135,$U135)))=Milestones!$AB$79),UPPER(TEXT(EDATE($D135,Milestones!$AA$79),"dd mmm yy"))&amp;" "&amp;Milestones!$AB$79&amp;" "&amp;Milestones!$AC$79&amp;";  ",""))</f>
        <v/>
      </c>
      <c r="L135" s="0" t="str">
        <f aca="false">IF(OR($A135="",$D135=""),"",IF(AND(EDATE($D135,Milestones!$AA$80)&lt;=AsOfDate,IF($R135=0,$X135,IF(AND($T135&lt;&gt;"",EDATE($D135,Milestones!$AA$80)&gt;=$T135),$W135,IF(AND($S135&lt;&gt;"",EDATE($D135,Milestones!$AA$80)&gt;=$S135),$V135,$U135)))=Milestones!$AB$80),UPPER(TEXT(EDATE($D135,Milestones!$AA$80),"dd mmm yy"))&amp;" "&amp;Milestones!$AB$80&amp;" "&amp;Milestones!$AC$80&amp;";  ","")&amp;IF(AND(EDATE($D135,Milestones!$AA$81)&lt;=AsOfDate,IF($R135=0,$X135,IF(AND($T135&lt;&gt;"",EDATE($D135,Milestones!$AA$81)&gt;=$T135),$W135,IF(AND($S135&lt;&gt;"",EDATE($D135,Milestones!$AA$81)&gt;=$S135),$V135,$U135)))=Milestones!$AB$81),UPPER(TEXT(EDATE($D135,Milestones!$AA$81),"dd mmm yy"))&amp;" "&amp;Milestones!$AB$81&amp;" "&amp;Milestones!$AC$81&amp;";  ","")&amp;IF(AND(EDATE($D135,Milestones!$AA$82)&lt;=AsOfDate,IF($R135=0,$X135,IF(AND($T135&lt;&gt;"",EDATE($D135,Milestones!$AA$82)&gt;=$T135),$W135,IF(AND($S135&lt;&gt;"",EDATE($D135,Milestones!$AA$82)&gt;=$S135),$V135,$U135)))=Milestones!$AB$82),UPPER(TEXT(EDATE($D135,Milestones!$AA$82),"dd mmm yy"))&amp;" "&amp;Milestones!$AB$82&amp;" "&amp;Milestones!$AC$82&amp;";  ","")&amp;IF(AND(EDATE($D135,Milestones!$AA$83)&lt;=AsOfDate,IF($R135=0,$X135,IF(AND($T135&lt;&gt;"",EDATE($D135,Milestones!$AA$83)&gt;=$T135),$W135,IF(AND($S135&lt;&gt;"",EDATE($D135,Milestones!$AA$83)&gt;=$S135),$V135,$U135)))=Milestones!$AB$83),UPPER(TEXT(EDATE($D135,Milestones!$AA$83),"dd mmm yy"))&amp;" "&amp;Milestones!$AB$83&amp;" "&amp;Milestones!$AC$83&amp;";  ","")&amp;IF(AND(EDATE($D135,Milestones!$AA$84)&lt;=AsOfDate,IF($R135=0,$X135,IF(AND($T135&lt;&gt;"",EDATE($D135,Milestones!$AA$84)&gt;=$T135),$W135,IF(AND($S135&lt;&gt;"",EDATE($D135,Milestones!$AA$84)&gt;=$S135),$V135,$U135)))=Milestones!$AB$84),UPPER(TEXT(EDATE($D135,Milestones!$AA$84),"dd mmm yy"))&amp;" "&amp;Milestones!$AB$84&amp;" "&amp;Milestones!$AC$84&amp;";  ","")&amp;IF(AND(EDATE($D135,Milestones!$AA$85)&lt;=AsOfDate,IF($R135=0,$X135,IF(AND($T135&lt;&gt;"",EDATE($D135,Milestones!$AA$85)&gt;=$T135),$W135,IF(AND($S135&lt;&gt;"",EDATE($D135,Milestones!$AA$85)&gt;=$S135),$V135,$U135)))=Milestones!$AB$85),UPPER(TEXT(EDATE($D135,Milestones!$AA$85),"dd mmm yy"))&amp;" "&amp;Milestones!$AB$85&amp;" "&amp;Milestones!$AC$85&amp;";  ","")&amp;IF(AND(EDATE($D135,Milestones!$AA$86)&lt;=AsOfDate,IF($R135=0,$X135,IF(AND($T135&lt;&gt;"",EDATE($D135,Milestones!$AA$86)&gt;=$T135),$W135,IF(AND($S135&lt;&gt;"",EDATE($D135,Milestones!$AA$86)&gt;=$S135),$V135,$U135)))=Milestones!$AB$86),UPPER(TEXT(EDATE($D135,Milestones!$AA$86),"dd mmm yy"))&amp;" "&amp;Milestones!$AB$86&amp;" "&amp;Milestones!$AC$86&amp;";  ","")&amp;IF(AND(EDATE($D135,Milestones!$AA$87)&lt;=AsOfDate,IF($R135=0,$X135,IF(AND($T135&lt;&gt;"",EDATE($D135,Milestones!$AA$87)&gt;=$T135),$W135,IF(AND($S135&lt;&gt;"",EDATE($D135,Milestones!$AA$87)&gt;=$S135),$V135,$U135)))=Milestones!$AB$87),UPPER(TEXT(EDATE($D135,Milestones!$AA$87),"dd mmm yy"))&amp;" "&amp;Milestones!$AB$87&amp;" "&amp;Milestones!$AC$87&amp;";  ","")&amp;IF(AND(EDATE($D135,Milestones!$AA$88)&lt;=AsOfDate,IF($R135=0,$X135,IF(AND($T135&lt;&gt;"",EDATE($D135,Milestones!$AA$88)&gt;=$T135),$W135,IF(AND($S135&lt;&gt;"",EDATE($D135,Milestones!$AA$88)&gt;=$S135),$V135,$U135)))=Milestones!$AB$88),UPPER(TEXT(EDATE($D135,Milestones!$AA$88),"dd mmm yy"))&amp;" "&amp;Milestones!$AB$88&amp;" "&amp;Milestones!$AC$88&amp;";  ","")&amp;IF(AND(EDATE($D135,Milestones!$AA$89)&lt;=AsOfDate,IF($R135=0,$X135,IF(AND($T135&lt;&gt;"",EDATE($D135,Milestones!$AA$89)&gt;=$T135),$W135,IF(AND($S135&lt;&gt;"",EDATE($D135,Milestones!$AA$89)&gt;=$S135),$V135,$U135)))=Milestones!$AB$89),UPPER(TEXT(EDATE($D135,Milestones!$AA$89),"dd mmm yy"))&amp;" "&amp;Milestones!$AB$89&amp;" "&amp;Milestones!$AC$89&amp;";  ","")&amp;IF(AND(EDATE($D135,Milestones!$AA$90)&lt;=AsOfDate,IF($R135=0,$X135,IF(AND($T135&lt;&gt;"",EDATE($D135,Milestones!$AA$90)&gt;=$T135),$W135,IF(AND($S135&lt;&gt;"",EDATE($D135,Milestones!$AA$90)&gt;=$S135),$V135,$U135)))=Milestones!$AB$90),UPPER(TEXT(EDATE($D135,Milestones!$AA$90),"dd mmm yy"))&amp;" "&amp;Milestones!$AB$90&amp;" "&amp;Milestones!$AC$90&amp;";  ","")&amp;IF(AND(EDATE($D135,Milestones!$AA$91)&lt;=AsOfDate,IF($R135=0,$X135,IF(AND($T135&lt;&gt;"",EDATE($D135,Milestones!$AA$91)&gt;=$T135),$W135,IF(AND($S135&lt;&gt;"",EDATE($D135,Milestones!$AA$91)&gt;=$S135),$V135,$U135)))=Milestones!$AB$91),UPPER(TEXT(EDATE($D135,Milestones!$AA$91),"dd mmm yy"))&amp;" "&amp;Milestones!$AB$91&amp;" "&amp;Milestones!$AC$91&amp;";  ","")&amp;IF(AND(EDATE($D135,Milestones!$AA$92)&lt;=AsOfDate,IF($R135=0,$X135,IF(AND($T135&lt;&gt;"",EDATE($D135,Milestones!$AA$92)&gt;=$T135),$W135,IF(AND($S135&lt;&gt;"",EDATE($D135,Milestones!$AA$92)&gt;=$S135),$V135,$U135)))=Milestones!$AB$92),UPPER(TEXT(EDATE($D135,Milestones!$AA$92),"dd mmm yy"))&amp;" "&amp;Milestones!$AB$92&amp;" "&amp;Milestones!$AC$92&amp;";  ","")&amp;IF(AND(EDATE($D135,Milestones!$AA$93)&lt;=AsOfDate,IF($R135=0,$X135,IF(AND($T135&lt;&gt;"",EDATE($D135,Milestones!$AA$93)&gt;=$T135),$W135,IF(AND($S135&lt;&gt;"",EDATE($D135,Milestones!$AA$93)&gt;=$S135),$V135,$U135)))=Milestones!$AB$93),UPPER(TEXT(EDATE($D135,Milestones!$AA$93),"dd mmm yy"))&amp;" "&amp;Milestones!$AB$93&amp;" "&amp;Milestones!$AC$93&amp;";  ","")&amp;IF(AND(EDATE($D135,Milestones!$AA$94)&lt;=AsOfDate,IF($R135=0,$X135,IF(AND($T135&lt;&gt;"",EDATE($D135,Milestones!$AA$94)&gt;=$T135),$W135,IF(AND($S135&lt;&gt;"",EDATE($D135,Milestones!$AA$94)&gt;=$S135),$V135,$U135)))=Milestones!$AB$94),UPPER(TEXT(EDATE($D135,Milestones!$AA$94),"dd mmm yy"))&amp;" "&amp;Milestones!$AB$94&amp;" "&amp;Milestones!$AC$94&amp;";  ","")&amp;IF(AND(EDATE($D135,Milestones!$AA$95)&lt;=AsOfDate,IF($R135=0,$X135,IF(AND($T135&lt;&gt;"",EDATE($D135,Milestones!$AA$95)&gt;=$T135),$W135,IF(AND($S135&lt;&gt;"",EDATE($D135,Milestones!$AA$95)&gt;=$S135),$V135,$U135)))=Milestones!$AB$95),UPPER(TEXT(EDATE($D135,Milestones!$AA$95),"dd mmm yy"))&amp;" "&amp;Milestones!$AB$95&amp;" "&amp;Milestones!$AC$95&amp;";  ","")&amp;IF(AND(EDATE($D135,Milestones!$AA$96)&lt;=AsOfDate,IF($R135=0,$X135,IF(AND($T135&lt;&gt;"",EDATE($D135,Milestones!$AA$96)&gt;=$T135),$W135,IF(AND($S135&lt;&gt;"",EDATE($D135,Milestones!$AA$96)&gt;=$S135),$V135,$U135)))=Milestones!$AB$96),UPPER(TEXT(EDATE($D135,Milestones!$AA$96),"dd mmm yy"))&amp;" "&amp;Milestones!$AB$96&amp;" "&amp;Milestones!$AC$96&amp;";  ","")&amp;IF(AND(EDATE($D135,Milestones!$AA$97)&lt;=AsOfDate,IF($R135=0,$X135,IF(AND($T135&lt;&gt;"",EDATE($D135,Milestones!$AA$97)&gt;=$T135),$W135,IF(AND($S135&lt;&gt;"",EDATE($D135,Milestones!$AA$97)&gt;=$S135),$V135,$U135)))=Milestones!$AB$97),UPPER(TEXT(EDATE($D135,Milestones!$AA$97),"dd mmm yy"))&amp;" "&amp;Milestones!$AB$97&amp;" "&amp;Milestones!$AC$97&amp;";  ","")&amp;IF(AND(EDATE($D135,Milestones!$AA$98)&lt;=AsOfDate,IF($R135=0,$X135,IF(AND($T135&lt;&gt;"",EDATE($D135,Milestones!$AA$98)&gt;=$T135),$W135,IF(AND($S135&lt;&gt;"",EDATE($D135,Milestones!$AA$98)&gt;=$S135),$V135,$U135)))=Milestones!$AB$98),UPPER(TEXT(EDATE($D135,Milestones!$AA$98),"dd mmm yy"))&amp;" "&amp;Milestones!$AB$98&amp;" "&amp;Milestones!$AC$98&amp;";  ","")&amp;IF(AND(EDATE($D135,Milestones!$AA$99)&lt;=AsOfDate,IF($R135=0,$X135,IF(AND($T135&lt;&gt;"",EDATE($D135,Milestones!$AA$99)&gt;=$T135),$W135,IF(AND($S135&lt;&gt;"",EDATE($D135,Milestones!$AA$99)&gt;=$S135),$V135,$U135)))=Milestones!$AB$99),UPPER(TEXT(EDATE($D135,Milestones!$AA$99),"dd mmm yy"))&amp;" "&amp;Milestones!$AB$99&amp;" "&amp;Milestones!$AC$99&amp;";  ",""))</f>
        <v/>
      </c>
      <c r="M135" s="0" t="str">
        <f aca="false">IF(OR($A135="",$D135=""),"",IF(AND(EDATE($D135,Milestones!$AA$100)&lt;=AsOfDate,IF($R135=0,$X135,IF(AND($T135&lt;&gt;"",EDATE($D135,Milestones!$AA$100)&gt;=$T135),$W135,IF(AND($S135&lt;&gt;"",EDATE($D135,Milestones!$AA$100)&gt;=$S135),$V135,$U135)))=Milestones!$AB$100),UPPER(TEXT(EDATE($D135,Milestones!$AA$100),"dd mmm yy"))&amp;" "&amp;Milestones!$AB$100&amp;" "&amp;Milestones!$AC$100&amp;";  ","")&amp;IF(AND(EDATE($D135,Milestones!$AA$101)&lt;=AsOfDate,IF($R135=0,$X135,IF(AND($T135&lt;&gt;"",EDATE($D135,Milestones!$AA$101)&gt;=$T135),$W135,IF(AND($S135&lt;&gt;"",EDATE($D135,Milestones!$AA$101)&gt;=$S135),$V135,$U135)))=Milestones!$AB$101),UPPER(TEXT(EDATE($D135,Milestones!$AA$101),"dd mmm yy"))&amp;" "&amp;Milestones!$AB$101&amp;" "&amp;Milestones!$AC$101&amp;";  ","")&amp;IF(AND(EDATE($D135,Milestones!$AA$102)&lt;=AsOfDate,IF($R135=0,$X135,IF(AND($T135&lt;&gt;"",EDATE($D135,Milestones!$AA$102)&gt;=$T135),$W135,IF(AND($S135&lt;&gt;"",EDATE($D135,Milestones!$AA$102)&gt;=$S135),$V135,$U135)))=Milestones!$AB$102),UPPER(TEXT(EDATE($D135,Milestones!$AA$102),"dd mmm yy"))&amp;" "&amp;Milestones!$AB$102&amp;" "&amp;Milestones!$AC$102&amp;";  ","")&amp;IF(AND(EDATE($D135,Milestones!$AA$103)&lt;=AsOfDate,IF($R135=0,$X135,IF(AND($T135&lt;&gt;"",EDATE($D135,Milestones!$AA$103)&gt;=$T135),$W135,IF(AND($S135&lt;&gt;"",EDATE($D135,Milestones!$AA$103)&gt;=$S135),$V135,$U135)))=Milestones!$AB$103),UPPER(TEXT(EDATE($D135,Milestones!$AA$103),"dd mmm yy"))&amp;" "&amp;Milestones!$AB$103&amp;" "&amp;Milestones!$AC$103&amp;";  ","")&amp;IF(AND(EDATE($D135,Milestones!$AA$104)&lt;=AsOfDate,IF($R135=0,$X135,IF(AND($T135&lt;&gt;"",EDATE($D135,Milestones!$AA$104)&gt;=$T135),$W135,IF(AND($S135&lt;&gt;"",EDATE($D135,Milestones!$AA$104)&gt;=$S135),$V135,$U135)))=Milestones!$AB$104),UPPER(TEXT(EDATE($D135,Milestones!$AA$104),"dd mmm yy"))&amp;" "&amp;Milestones!$AB$104&amp;" "&amp;Milestones!$AC$104&amp;";  ","")&amp;IF(AND(EDATE($D135,Milestones!$AA$105)&lt;=AsOfDate,IF($R135=0,$X135,IF(AND($T135&lt;&gt;"",EDATE($D135,Milestones!$AA$105)&gt;=$T135),$W135,IF(AND($S135&lt;&gt;"",EDATE($D135,Milestones!$AA$105)&gt;=$S135),$V135,$U135)))=Milestones!$AB$105),UPPER(TEXT(EDATE($D135,Milestones!$AA$105),"dd mmm yy"))&amp;" "&amp;Milestones!$AB$105&amp;" "&amp;Milestones!$AC$105&amp;";  ","")&amp;IF(AND(EDATE($D135,Milestones!$AA$106)&lt;=AsOfDate,IF($R135=0,$X135,IF(AND($T135&lt;&gt;"",EDATE($D135,Milestones!$AA$106)&gt;=$T135),$W135,IF(AND($S135&lt;&gt;"",EDATE($D135,Milestones!$AA$106)&gt;=$S135),$V135,$U135)))=Milestones!$AB$106),UPPER(TEXT(EDATE($D135,Milestones!$AA$106),"dd mmm yy"))&amp;" "&amp;Milestones!$AB$106&amp;" "&amp;Milestones!$AC$106&amp;";  ","")&amp;IF(AND(EDATE($D135,Milestones!$AA$107)&lt;=AsOfDate,IF($R135=0,$X135,IF(AND($T135&lt;&gt;"",EDATE($D135,Milestones!$AA$107)&gt;=$T135),$W135,IF(AND($S135&lt;&gt;"",EDATE($D135,Milestones!$AA$107)&gt;=$S135),$V135,$U135)))=Milestones!$AB$107),UPPER(TEXT(EDATE($D135,Milestones!$AA$107),"dd mmm yy"))&amp;" "&amp;Milestones!$AB$107&amp;" "&amp;Milestones!$AC$107&amp;";  ","")&amp;IF(AND(EDATE($D135,Milestones!$AA$108)&lt;=AsOfDate,IF($R135=0,$X135,IF(AND($T135&lt;&gt;"",EDATE($D135,Milestones!$AA$108)&gt;=$T135),$W135,IF(AND($S135&lt;&gt;"",EDATE($D135,Milestones!$AA$108)&gt;=$S135),$V135,$U135)))=Milestones!$AB$108),UPPER(TEXT(EDATE($D135,Milestones!$AA$108),"dd mmm yy"))&amp;" "&amp;Milestones!$AB$108&amp;" "&amp;Milestones!$AC$108&amp;";  ","")&amp;IF(AND(EDATE($D135,Milestones!$AA$109)&lt;=AsOfDate,IF($R135=0,$X135,IF(AND($T135&lt;&gt;"",EDATE($D135,Milestones!$AA$109)&gt;=$T135),$W135,IF(AND($S135&lt;&gt;"",EDATE($D135,Milestones!$AA$109)&gt;=$S135),$V135,$U135)))=Milestones!$AB$109),UPPER(TEXT(EDATE($D135,Milestones!$AA$109),"dd mmm yy"))&amp;" "&amp;Milestones!$AB$109&amp;" "&amp;Milestones!$AC$109&amp;";  ","")&amp;IF(AND(EDATE($D135,Milestones!$AA$110)&lt;=AsOfDate,IF($R135=0,$X135,IF(AND($T135&lt;&gt;"",EDATE($D135,Milestones!$AA$110)&gt;=$T135),$W135,IF(AND($S135&lt;&gt;"",EDATE($D135,Milestones!$AA$110)&gt;=$S135),$V135,$U135)))=Milestones!$AB$110),UPPER(TEXT(EDATE($D135,Milestones!$AA$110),"dd mmm yy"))&amp;" "&amp;Milestones!$AB$110&amp;" "&amp;Milestones!$AC$110&amp;";  ","")&amp;IF(AND(EDATE($D135,Milestones!$AA$111)&lt;=AsOfDate,IF($R135=0,$X135,IF(AND($T135&lt;&gt;"",EDATE($D135,Milestones!$AA$111)&gt;=$T135),$W135,IF(AND($S135&lt;&gt;"",EDATE($D135,Milestones!$AA$111)&gt;=$S135),$V135,$U135)))=Milestones!$AB$111),UPPER(TEXT(EDATE($D135,Milestones!$AA$111),"dd mmm yy"))&amp;" "&amp;Milestones!$AB$111&amp;" "&amp;Milestones!$AC$111&amp;";  ","")&amp;IF(AND(EDATE($D135,Milestones!$AA$112)&lt;=AsOfDate,IF($R135=0,$X135,IF(AND($T135&lt;&gt;"",EDATE($D135,Milestones!$AA$112)&gt;=$T135),$W135,IF(AND($S135&lt;&gt;"",EDATE($D135,Milestones!$AA$112)&gt;=$S135),$V135,$U135)))=Milestones!$AB$112),UPPER(TEXT(EDATE($D135,Milestones!$AA$112),"dd mmm yy"))&amp;" "&amp;Milestones!$AB$112&amp;" "&amp;Milestones!$AC$112&amp;";  ","")&amp;IF(AND(EDATE($D135,Milestones!$AA$113)&lt;=AsOfDate,IF($R135=0,$X135,IF(AND($T135&lt;&gt;"",EDATE($D135,Milestones!$AA$113)&gt;=$T135),$W135,IF(AND($S135&lt;&gt;"",EDATE($D135,Milestones!$AA$113)&gt;=$S135),$V135,$U135)))=Milestones!$AB$113),UPPER(TEXT(EDATE($D135,Milestones!$AA$113),"dd mmm yy"))&amp;" "&amp;Milestones!$AB$113&amp;" "&amp;Milestones!$AC$113&amp;";  ","")&amp;IF(AND(EDATE($D135,Milestones!$AA$114)&lt;=AsOfDate,IF($R135=0,$X135,IF(AND($T135&lt;&gt;"",EDATE($D135,Milestones!$AA$114)&gt;=$T135),$W135,IF(AND($S135&lt;&gt;"",EDATE($D135,Milestones!$AA$114)&gt;=$S135),$V135,$U135)))=Milestones!$AB$114),UPPER(TEXT(EDATE($D135,Milestones!$AA$114),"dd mmm yy"))&amp;" "&amp;Milestones!$AB$114&amp;" "&amp;Milestones!$AC$114&amp;";  ","")&amp;IF(AND(EDATE($D135,Milestones!$AA$115)&lt;=AsOfDate,IF($R135=0,$X135,IF(AND($T135&lt;&gt;"",EDATE($D135,Milestones!$AA$115)&gt;=$T135),$W135,IF(AND($S135&lt;&gt;"",EDATE($D135,Milestones!$AA$115)&gt;=$S135),$V135,$U135)))=Milestones!$AB$115),UPPER(TEXT(EDATE($D135,Milestones!$AA$115),"dd mmm yy"))&amp;" "&amp;Milestones!$AB$115&amp;" "&amp;Milestones!$AC$115&amp;";  ","")&amp;IF(AND(EDATE($D135,Milestones!$AA$116)&lt;=AsOfDate,IF($R135=0,$X135,IF(AND($T135&lt;&gt;"",EDATE($D135,Milestones!$AA$116)&gt;=$T135),$W135,IF(AND($S135&lt;&gt;"",EDATE($D135,Milestones!$AA$116)&gt;=$S135),$V135,$U135)))=Milestones!$AB$116),UPPER(TEXT(EDATE($D135,Milestones!$AA$116),"dd mmm yy"))&amp;" "&amp;Milestones!$AB$116&amp;" "&amp;Milestones!$AC$116&amp;";  ","")&amp;IF(AND(EDATE($D135,Milestones!$AA$117)&lt;=AsOfDate,IF($R135=0,$X135,IF(AND($T135&lt;&gt;"",EDATE($D135,Milestones!$AA$117)&gt;=$T135),$W135,IF(AND($S135&lt;&gt;"",EDATE($D135,Milestones!$AA$117)&gt;=$S135),$V135,$U135)))=Milestones!$AB$117),UPPER(TEXT(EDATE($D135,Milestones!$AA$117),"dd mmm yy"))&amp;" "&amp;Milestones!$AB$117&amp;" "&amp;Milestones!$AC$117&amp;";  ","")&amp;IF(AND(EDATE($D135,Milestones!$AA$118)&lt;=AsOfDate,IF($R135=0,$X135,IF(AND($T135&lt;&gt;"",EDATE($D135,Milestones!$AA$118)&gt;=$T135),$W135,IF(AND($S135&lt;&gt;"",EDATE($D135,Milestones!$AA$118)&gt;=$S135),$V135,$U135)))=Milestones!$AB$118),UPPER(TEXT(EDATE($D135,Milestones!$AA$118),"dd mmm yy"))&amp;" "&amp;Milestones!$AB$118&amp;" "&amp;Milestones!$AC$118&amp;";  ","")&amp;IF(AND(EDATE($D135,Milestones!$AA$119)&lt;=AsOfDate,IF($R135=0,$X135,IF(AND($T135&lt;&gt;"",EDATE($D135,Milestones!$AA$119)&gt;=$T135),$W135,IF(AND($S135&lt;&gt;"",EDATE($D135,Milestones!$AA$119)&gt;=$S135),$V135,$U135)))=Milestones!$AB$119),UPPER(TEXT(EDATE($D135,Milestones!$AA$119),"dd mmm yy"))&amp;" "&amp;Milestones!$AB$119&amp;" "&amp;Milestones!$AC$119&amp;";  ",""))</f>
        <v/>
      </c>
      <c r="N135" s="0" t="str">
        <f aca="false">IF(OR($A135="",$D135=""),"",IF(AND(EDATE($D135,Milestones!$AA$120)&lt;=AsOfDate,IF($R135=0,$X135,IF(AND($T135&lt;&gt;"",EDATE($D135,Milestones!$AA$120)&gt;=$T135),$W135,IF(AND($S135&lt;&gt;"",EDATE($D135,Milestones!$AA$120)&gt;=$S135),$V135,$U135)))=Milestones!$AB$120),UPPER(TEXT(EDATE($D135,Milestones!$AA$120),"dd mmm yy"))&amp;" "&amp;Milestones!$AB$120&amp;" "&amp;Milestones!$AC$120&amp;";  ","")&amp;IF(AND(EDATE($D135,Milestones!$AA$121)&lt;=AsOfDate,IF($R135=0,$X135,IF(AND($T135&lt;&gt;"",EDATE($D135,Milestones!$AA$121)&gt;=$T135),$W135,IF(AND($S135&lt;&gt;"",EDATE($D135,Milestones!$AA$121)&gt;=$S135),$V135,$U135)))=Milestones!$AB$121),UPPER(TEXT(EDATE($D135,Milestones!$AA$121),"dd mmm yy"))&amp;" "&amp;Milestones!$AB$121&amp;" "&amp;Milestones!$AC$121&amp;";  ","")&amp;IF(AND(EDATE($D135,Milestones!$AA$122)&lt;=AsOfDate,IF($R135=0,$X135,IF(AND($T135&lt;&gt;"",EDATE($D135,Milestones!$AA$122)&gt;=$T135),$W135,IF(AND($S135&lt;&gt;"",EDATE($D135,Milestones!$AA$122)&gt;=$S135),$V135,$U135)))=Milestones!$AB$122),UPPER(TEXT(EDATE($D135,Milestones!$AA$122),"dd mmm yy"))&amp;" "&amp;Milestones!$AB$122&amp;" "&amp;Milestones!$AC$122&amp;";  ","")&amp;IF(AND(EDATE($D135,Milestones!$AA$123)&lt;=AsOfDate,IF($R135=0,$X135,IF(AND($T135&lt;&gt;"",EDATE($D135,Milestones!$AA$123)&gt;=$T135),$W135,IF(AND($S135&lt;&gt;"",EDATE($D135,Milestones!$AA$123)&gt;=$S135),$V135,$U135)))=Milestones!$AB$123),UPPER(TEXT(EDATE($D135,Milestones!$AA$123),"dd mmm yy"))&amp;" "&amp;Milestones!$AB$123&amp;" "&amp;Milestones!$AC$123&amp;";  ","")&amp;IF(AND(EDATE($D135,Milestones!$AA$124)&lt;=AsOfDate,IF($R135=0,$X135,IF(AND($T135&lt;&gt;"",EDATE($D135,Milestones!$AA$124)&gt;=$T135),$W135,IF(AND($S135&lt;&gt;"",EDATE($D135,Milestones!$AA$124)&gt;=$S135),$V135,$U135)))=Milestones!$AB$124),UPPER(TEXT(EDATE($D135,Milestones!$AA$124),"dd mmm yy"))&amp;" "&amp;Milestones!$AB$124&amp;" "&amp;Milestones!$AC$124&amp;";  ","")&amp;IF(AND(EDATE($D135,Milestones!$AA$125)&lt;=AsOfDate,IF($R135=0,$X135,IF(AND($T135&lt;&gt;"",EDATE($D135,Milestones!$AA$125)&gt;=$T135),$W135,IF(AND($S135&lt;&gt;"",EDATE($D135,Milestones!$AA$125)&gt;=$S135),$V135,$U135)))=Milestones!$AB$125),UPPER(TEXT(EDATE($D135,Milestones!$AA$125),"dd mmm yy"))&amp;" "&amp;Milestones!$AB$125&amp;" "&amp;Milestones!$AC$125&amp;";  ","")&amp;IF(AND(EDATE($D135,Milestones!$AA$126)&lt;=AsOfDate,IF($R135=0,$X135,IF(AND($T135&lt;&gt;"",EDATE($D135,Milestones!$AA$126)&gt;=$T135),$W135,IF(AND($S135&lt;&gt;"",EDATE($D135,Milestones!$AA$126)&gt;=$S135),$V135,$U135)))=Milestones!$AB$126),UPPER(TEXT(EDATE($D135,Milestones!$AA$126),"dd mmm yy"))&amp;" "&amp;Milestones!$AB$126&amp;" "&amp;Milestones!$AC$126&amp;";  ","")&amp;IF(AND(EDATE($D135,Milestones!$AA$127)&lt;=AsOfDate,IF($R135=0,$X135,IF(AND($T135&lt;&gt;"",EDATE($D135,Milestones!$AA$127)&gt;=$T135),$W135,IF(AND($S135&lt;&gt;"",EDATE($D135,Milestones!$AA$127)&gt;=$S135),$V135,$U135)))=Milestones!$AB$127),UPPER(TEXT(EDATE($D135,Milestones!$AA$127),"dd mmm yy"))&amp;" "&amp;Milestones!$AB$127&amp;" "&amp;Milestones!$AC$127&amp;";  ","")&amp;IF(AND(EDATE($D135,Milestones!$AA$128)&lt;=AsOfDate,IF($R135=0,$X135,IF(AND($T135&lt;&gt;"",EDATE($D135,Milestones!$AA$128)&gt;=$T135),$W135,IF(AND($S135&lt;&gt;"",EDATE($D135,Milestones!$AA$128)&gt;=$S135),$V135,$U135)))=Milestones!$AB$128),UPPER(TEXT(EDATE($D135,Milestones!$AA$128),"dd mmm yy"))&amp;" "&amp;Milestones!$AB$128&amp;" "&amp;Milestones!$AC$128&amp;";  ","")&amp;IF(AND(EDATE($D135,Milestones!$AA$129)&lt;=AsOfDate,IF($R135=0,$X135,IF(AND($T135&lt;&gt;"",EDATE($D135,Milestones!$AA$129)&gt;=$T135),$W135,IF(AND($S135&lt;&gt;"",EDATE($D135,Milestones!$AA$129)&gt;=$S135),$V135,$U135)))=Milestones!$AB$129),UPPER(TEXT(EDATE($D135,Milestones!$AA$129),"dd mmm yy"))&amp;" "&amp;Milestones!$AB$129&amp;" "&amp;Milestones!$AC$129&amp;";  ","")&amp;IF(AND(EDATE($D135,Milestones!$AA$130)&lt;=AsOfDate,IF($R135=0,$X135,IF(AND($T135&lt;&gt;"",EDATE($D135,Milestones!$AA$130)&gt;=$T135),$W135,IF(AND($S135&lt;&gt;"",EDATE($D135,Milestones!$AA$130)&gt;=$S135),$V135,$U135)))=Milestones!$AB$130),UPPER(TEXT(EDATE($D135,Milestones!$AA$130),"dd mmm yy"))&amp;" "&amp;Milestones!$AB$130&amp;" "&amp;Milestones!$AC$130&amp;";  ","")&amp;IF(AND(EDATE($D135,Milestones!$AA$131)&lt;=AsOfDate,IF($R135=0,$X135,IF(AND($T135&lt;&gt;"",EDATE($D135,Milestones!$AA$131)&gt;=$T135),$W135,IF(AND($S135&lt;&gt;"",EDATE($D135,Milestones!$AA$131)&gt;=$S135),$V135,$U135)))=Milestones!$AB$131),UPPER(TEXT(EDATE($D135,Milestones!$AA$131),"dd mmm yy"))&amp;" "&amp;Milestones!$AB$131&amp;" "&amp;Milestones!$AC$131&amp;";  ","")&amp;IF(AND(EDATE($D135,Milestones!$AA$132)&lt;=AsOfDate,IF($R135=0,$X135,IF(AND($T135&lt;&gt;"",EDATE($D135,Milestones!$AA$132)&gt;=$T135),$W135,IF(AND($S135&lt;&gt;"",EDATE($D135,Milestones!$AA$132)&gt;=$S135),$V135,$U135)))=Milestones!$AB$132),UPPER(TEXT(EDATE($D135,Milestones!$AA$132),"dd mmm yy"))&amp;" "&amp;Milestones!$AB$132&amp;" "&amp;Milestones!$AC$132&amp;";  ","")&amp;IF(AND(EDATE($D135,Milestones!$AA$133)&lt;=AsOfDate,IF($R135=0,$X135,IF(AND($T135&lt;&gt;"",EDATE($D135,Milestones!$AA$133)&gt;=$T135),$W135,IF(AND($S135&lt;&gt;"",EDATE($D135,Milestones!$AA$133)&gt;=$S135),$V135,$U135)))=Milestones!$AB$133),UPPER(TEXT(EDATE($D135,Milestones!$AA$133),"dd mmm yy"))&amp;" "&amp;Milestones!$AB$133&amp;" "&amp;Milestones!$AC$133&amp;";  ","")&amp;IF(AND(EDATE($D135,Milestones!$AA$134)&lt;=AsOfDate,IF($R135=0,$X135,IF(AND($T135&lt;&gt;"",EDATE($D135,Milestones!$AA$134)&gt;=$T135),$W135,IF(AND($S135&lt;&gt;"",EDATE($D135,Milestones!$AA$134)&gt;=$S135),$V135,$U135)))=Milestones!$AB$134),UPPER(TEXT(EDATE($D135,Milestones!$AA$134),"dd mmm yy"))&amp;" "&amp;Milestones!$AB$134&amp;" "&amp;Milestones!$AC$134&amp;";  ","")&amp;IF(AND(EDATE($D135,Milestones!$AA$135)&lt;=AsOfDate,IF($R135=0,$X135,IF(AND($T135&lt;&gt;"",EDATE($D135,Milestones!$AA$135)&gt;=$T135),$W135,IF(AND($S135&lt;&gt;"",EDATE($D135,Milestones!$AA$135)&gt;=$S135),$V135,$U135)))=Milestones!$AB$135),UPPER(TEXT(EDATE($D135,Milestones!$AA$135),"dd mmm yy"))&amp;" "&amp;Milestones!$AB$135&amp;" "&amp;Milestones!$AC$135&amp;";  ","")&amp;IF(AND(EDATE($D135,Milestones!$AA$136)&lt;=AsOfDate,IF($R135=0,$X135,IF(AND($T135&lt;&gt;"",EDATE($D135,Milestones!$AA$136)&gt;=$T135),$W135,IF(AND($S135&lt;&gt;"",EDATE($D135,Milestones!$AA$136)&gt;=$S135),$V135,$U135)))=Milestones!$AB$136),UPPER(TEXT(EDATE($D135,Milestones!$AA$136),"dd mmm yy"))&amp;" "&amp;Milestones!$AB$136&amp;" "&amp;Milestones!$AC$136&amp;";  ","")&amp;IF(AND(EDATE($D135,Milestones!$AA$137)&lt;=AsOfDate,IF($R135=0,$X135,IF(AND($T135&lt;&gt;"",EDATE($D135,Milestones!$AA$137)&gt;=$T135),$W135,IF(AND($S135&lt;&gt;"",EDATE($D135,Milestones!$AA$137)&gt;=$S135),$V135,$U135)))=Milestones!$AB$137),UPPER(TEXT(EDATE($D135,Milestones!$AA$137),"dd mmm yy"))&amp;" "&amp;Milestones!$AB$137&amp;" "&amp;Milestones!$AC$137&amp;";  ","")&amp;IF(AND(EDATE($D135,Milestones!$AA$138)&lt;=AsOfDate,IF($R135=0,$X135,IF(AND($T135&lt;&gt;"",EDATE($D135,Milestones!$AA$138)&gt;=$T135),$W135,IF(AND($S135&lt;&gt;"",EDATE($D135,Milestones!$AA$138)&gt;=$S135),$V135,$U135)))=Milestones!$AB$138),UPPER(TEXT(EDATE($D135,Milestones!$AA$138),"dd mmm yy"))&amp;" "&amp;Milestones!$AB$138&amp;" "&amp;Milestones!$AC$138&amp;";  ","")&amp;IF(AND(EDATE($D135,Milestones!$AA$139)&lt;=AsOfDate,IF($R135=0,$X135,IF(AND($T135&lt;&gt;"",EDATE($D135,Milestones!$AA$139)&gt;=$T135),$W135,IF(AND($S135&lt;&gt;"",EDATE($D135,Milestones!$AA$139)&gt;=$S135),$V135,$U135)))=Milestones!$AB$139),UPPER(TEXT(EDATE($D135,Milestones!$AA$139),"dd mmm yy"))&amp;" "&amp;Milestones!$AB$139&amp;" "&amp;Milestones!$AC$139&amp;";  ",""))</f>
        <v/>
      </c>
      <c r="O135" s="0" t="str">
        <f aca="false">IF(OR($A135="",$D135=""),"",IF(AND(EDATE($D135,Milestones!$AA$140)&lt;=AsOfDate,IF($R135=0,$X135,IF(AND($T135&lt;&gt;"",EDATE($D135,Milestones!$AA$140)&gt;=$T135),$W135,IF(AND($S135&lt;&gt;"",EDATE($D135,Milestones!$AA$140)&gt;=$S135),$V135,$U135)))=Milestones!$AB$140),UPPER(TEXT(EDATE($D135,Milestones!$AA$140),"dd mmm yy"))&amp;" "&amp;Milestones!$AB$140&amp;" "&amp;Milestones!$AC$140&amp;";  ","")&amp;IF(AND(EDATE($D135,Milestones!$AA$141)&lt;=AsOfDate,IF($R135=0,$X135,IF(AND($T135&lt;&gt;"",EDATE($D135,Milestones!$AA$141)&gt;=$T135),$W135,IF(AND($S135&lt;&gt;"",EDATE($D135,Milestones!$AA$141)&gt;=$S135),$V135,$U135)))=Milestones!$AB$141),UPPER(TEXT(EDATE($D135,Milestones!$AA$141),"dd mmm yy"))&amp;" "&amp;Milestones!$AB$141&amp;" "&amp;Milestones!$AC$141&amp;";  ","")&amp;IF(AND(EDATE($D135,Milestones!$AA$142)&lt;=AsOfDate,IF($R135=0,$X135,IF(AND($T135&lt;&gt;"",EDATE($D135,Milestones!$AA$142)&gt;=$T135),$W135,IF(AND($S135&lt;&gt;"",EDATE($D135,Milestones!$AA$142)&gt;=$S135),$V135,$U135)))=Milestones!$AB$142),UPPER(TEXT(EDATE($D135,Milestones!$AA$142),"dd mmm yy"))&amp;" "&amp;Milestones!$AB$142&amp;" "&amp;Milestones!$AC$142&amp;";  ","")&amp;IF(AND(EDATE($D135,Milestones!$AA$143)&lt;=AsOfDate,IF($R135=0,$X135,IF(AND($T135&lt;&gt;"",EDATE($D135,Milestones!$AA$143)&gt;=$T135),$W135,IF(AND($S135&lt;&gt;"",EDATE($D135,Milestones!$AA$143)&gt;=$S135),$V135,$U135)))=Milestones!$AB$143),UPPER(TEXT(EDATE($D135,Milestones!$AA$143),"dd mmm yy"))&amp;" "&amp;Milestones!$AB$143&amp;" "&amp;Milestones!$AC$143&amp;";  ","")&amp;IF(AND(EDATE($D135,Milestones!$AA$144)&lt;=AsOfDate,IF($R135=0,$X135,IF(AND($T135&lt;&gt;"",EDATE($D135,Milestones!$AA$144)&gt;=$T135),$W135,IF(AND($S135&lt;&gt;"",EDATE($D135,Milestones!$AA$144)&gt;=$S135),$V135,$U135)))=Milestones!$AB$144),UPPER(TEXT(EDATE($D135,Milestones!$AA$144),"dd mmm yy"))&amp;" "&amp;Milestones!$AB$144&amp;" "&amp;Milestones!$AC$144&amp;";  ","")&amp;IF(AND(EDATE($D135,Milestones!$AA$145)&lt;=AsOfDate,IF($R135=0,$X135,IF(AND($T135&lt;&gt;"",EDATE($D135,Milestones!$AA$145)&gt;=$T135),$W135,IF(AND($S135&lt;&gt;"",EDATE($D135,Milestones!$AA$145)&gt;=$S135),$V135,$U135)))=Milestones!$AB$145),UPPER(TEXT(EDATE($D135,Milestones!$AA$145),"dd mmm yy"))&amp;" "&amp;Milestones!$AB$145&amp;" "&amp;Milestones!$AC$145&amp;";  ","")&amp;IF(AND(EDATE($D135,Milestones!$AA$146)&lt;=AsOfDate,IF($R135=0,$X135,IF(AND($T135&lt;&gt;"",EDATE($D135,Milestones!$AA$146)&gt;=$T135),$W135,IF(AND($S135&lt;&gt;"",EDATE($D135,Milestones!$AA$146)&gt;=$S135),$V135,$U135)))=Milestones!$AB$146),UPPER(TEXT(EDATE($D135,Milestones!$AA$146),"dd mmm yy"))&amp;" "&amp;Milestones!$AB$146&amp;" "&amp;Milestones!$AC$146&amp;";  ","")&amp;IF(AND(EDATE($D135,Milestones!$AA$147)&lt;=AsOfDate,IF($R135=0,$X135,IF(AND($T135&lt;&gt;"",EDATE($D135,Milestones!$AA$147)&gt;=$T135),$W135,IF(AND($S135&lt;&gt;"",EDATE($D135,Milestones!$AA$147)&gt;=$S135),$V135,$U135)))=Milestones!$AB$147),UPPER(TEXT(EDATE($D135,Milestones!$AA$147),"dd mmm yy"))&amp;" "&amp;Milestones!$AB$147&amp;" "&amp;Milestones!$AC$147&amp;";  ","")&amp;IF(AND(EDATE($D135,Milestones!$AA$148)&lt;=AsOfDate,IF($R135=0,$X135,IF(AND($T135&lt;&gt;"",EDATE($D135,Milestones!$AA$148)&gt;=$T135),$W135,IF(AND($S135&lt;&gt;"",EDATE($D135,Milestones!$AA$148)&gt;=$S135),$V135,$U135)))=Milestones!$AB$148),UPPER(TEXT(EDATE($D135,Milestones!$AA$148),"dd mmm yy"))&amp;" "&amp;Milestones!$AB$148&amp;" "&amp;Milestones!$AC$148&amp;";  ","")&amp;IF(AND(EDATE($D135,Milestones!$AA$149)&lt;=AsOfDate,IF($R135=0,$X135,IF(AND($T135&lt;&gt;"",EDATE($D135,Milestones!$AA$149)&gt;=$T135),$W135,IF(AND($S135&lt;&gt;"",EDATE($D135,Milestones!$AA$149)&gt;=$S135),$V135,$U135)))=Milestones!$AB$149),UPPER(TEXT(EDATE($D135,Milestones!$AA$149),"dd mmm yy"))&amp;" "&amp;Milestones!$AB$149&amp;" "&amp;Milestones!$AC$149&amp;";  ","")&amp;IF(AND(EDATE($D135,Milestones!$AA$150)&lt;=AsOfDate,IF($R135=0,$X135,IF(AND($T135&lt;&gt;"",EDATE($D135,Milestones!$AA$150)&gt;=$T135),$W135,IF(AND($S135&lt;&gt;"",EDATE($D135,Milestones!$AA$150)&gt;=$S135),$V135,$U135)))=Milestones!$AB$150),UPPER(TEXT(EDATE($D135,Milestones!$AA$150),"dd mmm yy"))&amp;" "&amp;Milestones!$AB$150&amp;" "&amp;Milestones!$AC$150&amp;";  ","")&amp;IF(AND(EDATE($D135,Milestones!$AA$151)&lt;=AsOfDate,IF($R135=0,$X135,IF(AND($T135&lt;&gt;"",EDATE($D135,Milestones!$AA$151)&gt;=$T135),$W135,IF(AND($S135&lt;&gt;"",EDATE($D135,Milestones!$AA$151)&gt;=$S135),$V135,$U135)))=Milestones!$AB$151),UPPER(TEXT(EDATE($D135,Milestones!$AA$151),"dd mmm yy"))&amp;" "&amp;Milestones!$AB$151&amp;" "&amp;Milestones!$AC$151&amp;";  ","")&amp;IF(AND(EDATE($D135,Milestones!$AA$152)&lt;=AsOfDate,IF($R135=0,$X135,IF(AND($T135&lt;&gt;"",EDATE($D135,Milestones!$AA$152)&gt;=$T135),$W135,IF(AND($S135&lt;&gt;"",EDATE($D135,Milestones!$AA$152)&gt;=$S135),$V135,$U135)))=Milestones!$AB$152),UPPER(TEXT(EDATE($D135,Milestones!$AA$152),"dd mmm yy"))&amp;" "&amp;Milestones!$AB$152&amp;" "&amp;Milestones!$AC$152&amp;";  ","")&amp;IF(AND(EDATE($D135,Milestones!$AA$153)&lt;=AsOfDate,IF($R135=0,$X135,IF(AND($T135&lt;&gt;"",EDATE($D135,Milestones!$AA$153)&gt;=$T135),$W135,IF(AND($S135&lt;&gt;"",EDATE($D135,Milestones!$AA$153)&gt;=$S135),$V135,$U135)))=Milestones!$AB$153),UPPER(TEXT(EDATE($D135,Milestones!$AA$153),"dd mmm yy"))&amp;" "&amp;Milestones!$AB$153&amp;" "&amp;Milestones!$AC$153&amp;";  ","")&amp;IF(AND(EDATE($D135,Milestones!$AA$154)&lt;=AsOfDate,IF($R135=0,$X135,IF(AND($T135&lt;&gt;"",EDATE($D135,Milestones!$AA$154)&gt;=$T135),$W135,IF(AND($S135&lt;&gt;"",EDATE($D135,Milestones!$AA$154)&gt;=$S135),$V135,$U135)))=Milestones!$AB$154),UPPER(TEXT(EDATE($D135,Milestones!$AA$154),"dd mmm yy"))&amp;" "&amp;Milestones!$AB$154&amp;" "&amp;Milestones!$AC$154&amp;";  ","")&amp;IF(AND(EDATE($D135,Milestones!$AA$155)&lt;=AsOfDate,IF($R135=0,$X135,IF(AND($T135&lt;&gt;"",EDATE($D135,Milestones!$AA$155)&gt;=$T135),$W135,IF(AND($S135&lt;&gt;"",EDATE($D135,Milestones!$AA$155)&gt;=$S135),$V135,$U135)))=Milestones!$AB$155),UPPER(TEXT(EDATE($D135,Milestones!$AA$155),"dd mmm yy"))&amp;" "&amp;Milestones!$AB$155&amp;" "&amp;Milestones!$AC$155&amp;";  ","")&amp;IF(AND(EDATE($D135,Milestones!$AA$156)&lt;=AsOfDate,IF($R135=0,$X135,IF(AND($T135&lt;&gt;"",EDATE($D135,Milestones!$AA$156)&gt;=$T135),$W135,IF(AND($S135&lt;&gt;"",EDATE($D135,Milestones!$AA$156)&gt;=$S135),$V135,$U135)))=Milestones!$AB$156),UPPER(TEXT(EDATE($D135,Milestones!$AA$156),"dd mmm yy"))&amp;" "&amp;Milestones!$AB$156&amp;" "&amp;Milestones!$AC$156&amp;";  ","")&amp;IF(AND(EDATE($D135,Milestones!$AA$157)&lt;=AsOfDate,IF($R135=0,$X135,IF(AND($T135&lt;&gt;"",EDATE($D135,Milestones!$AA$157)&gt;=$T135),$W135,IF(AND($S135&lt;&gt;"",EDATE($D135,Milestones!$AA$157)&gt;=$S135),$V135,$U135)))=Milestones!$AB$157),UPPER(TEXT(EDATE($D135,Milestones!$AA$157),"dd mmm yy"))&amp;" "&amp;Milestones!$AB$157&amp;" "&amp;Milestones!$AC$157&amp;";  ","")&amp;IF(AND(EDATE($D135,Milestones!$AA$158)&lt;=AsOfDate,IF($R135=0,$X135,IF(AND($T135&lt;&gt;"",EDATE($D135,Milestones!$AA$158)&gt;=$T135),$W135,IF(AND($S135&lt;&gt;"",EDATE($D135,Milestones!$AA$158)&gt;=$S135),$V135,$U135)))=Milestones!$AB$158),UPPER(TEXT(EDATE($D135,Milestones!$AA$158),"dd mmm yy"))&amp;" "&amp;Milestones!$AB$158&amp;" "&amp;Milestones!$AC$158&amp;";  ","")&amp;IF(AND(EDATE($D135,Milestones!$AA$159)&lt;=AsOfDate,IF($R135=0,$X135,IF(AND($T135&lt;&gt;"",EDATE($D135,Milestones!$AA$159)&gt;=$T135),$W135,IF(AND($S135&lt;&gt;"",EDATE($D135,Milestones!$AA$159)&gt;=$S135),$V135,$U135)))=Milestones!$AB$159),UPPER(TEXT(EDATE($D135,Milestones!$AA$159),"dd mmm yy"))&amp;" "&amp;Milestones!$AB$159&amp;" "&amp;Milestones!$AC$159&amp;";  ",""))</f>
        <v/>
      </c>
      <c r="P135" s="0" t="str">
        <f aca="false">IF(OR($A135="",$D135=""),"",IF(AND(EDATE($D135,Milestones!$AA$160)&lt;=AsOfDate,IF($R135=0,$X135,IF(AND($T135&lt;&gt;"",EDATE($D135,Milestones!$AA$160)&gt;=$T135),$W135,IF(AND($S135&lt;&gt;"",EDATE($D135,Milestones!$AA$160)&gt;=$S135),$V135,$U135)))=Milestones!$AB$160),UPPER(TEXT(EDATE($D135,Milestones!$AA$160),"dd mmm yy"))&amp;" "&amp;Milestones!$AB$160&amp;" "&amp;Milestones!$AC$160&amp;";  ","")&amp;IF(AND(EDATE($D135,Milestones!$AA$161)&lt;=AsOfDate,IF($R135=0,$X135,IF(AND($T135&lt;&gt;"",EDATE($D135,Milestones!$AA$161)&gt;=$T135),$W135,IF(AND($S135&lt;&gt;"",EDATE($D135,Milestones!$AA$161)&gt;=$S135),$V135,$U135)))=Milestones!$AB$161),UPPER(TEXT(EDATE($D135,Milestones!$AA$161),"dd mmm yy"))&amp;" "&amp;Milestones!$AB$161&amp;" "&amp;Milestones!$AC$161&amp;";  ","")&amp;IF(AND(EDATE($D135,Milestones!$AA$162)&lt;=AsOfDate,IF($R135=0,$X135,IF(AND($T135&lt;&gt;"",EDATE($D135,Milestones!$AA$162)&gt;=$T135),$W135,IF(AND($S135&lt;&gt;"",EDATE($D135,Milestones!$AA$162)&gt;=$S135),$V135,$U135)))=Milestones!$AB$162),UPPER(TEXT(EDATE($D135,Milestones!$AA$162),"dd mmm yy"))&amp;" "&amp;Milestones!$AB$162&amp;" "&amp;Milestones!$AC$162&amp;";  ","")&amp;IF(AND(EDATE($D135,Milestones!$AA$163)&lt;=AsOfDate,IF($R135=0,$X135,IF(AND($T135&lt;&gt;"",EDATE($D135,Milestones!$AA$163)&gt;=$T135),$W135,IF(AND($S135&lt;&gt;"",EDATE($D135,Milestones!$AA$163)&gt;=$S135),$V135,$U135)))=Milestones!$AB$163),UPPER(TEXT(EDATE($D135,Milestones!$AA$163),"dd mmm yy"))&amp;" "&amp;Milestones!$AB$163&amp;" "&amp;Milestones!$AC$163&amp;";  ","")&amp;IF(AND(EDATE($D135,Milestones!$AA$164)&lt;=AsOfDate,IF($R135=0,$X135,IF(AND($T135&lt;&gt;"",EDATE($D135,Milestones!$AA$164)&gt;=$T135),$W135,IF(AND($S135&lt;&gt;"",EDATE($D135,Milestones!$AA$164)&gt;=$S135),$V135,$U135)))=Milestones!$AB$164),UPPER(TEXT(EDATE($D135,Milestones!$AA$164),"dd mmm yy"))&amp;" "&amp;Milestones!$AB$164&amp;" "&amp;Milestones!$AC$164&amp;";  ","")&amp;IF(AND(EDATE($D135,Milestones!$AA$165)&lt;=AsOfDate,IF($R135=0,$X135,IF(AND($T135&lt;&gt;"",EDATE($D135,Milestones!$AA$165)&gt;=$T135),$W135,IF(AND($S135&lt;&gt;"",EDATE($D135,Milestones!$AA$165)&gt;=$S135),$V135,$U135)))=Milestones!$AB$165),UPPER(TEXT(EDATE($D135,Milestones!$AA$165),"dd mmm yy"))&amp;" "&amp;Milestones!$AB$165&amp;" "&amp;Milestones!$AC$165&amp;";  ","")&amp;IF(AND(EDATE($D135,Milestones!$AA$166)&lt;=AsOfDate,IF($R135=0,$X135,IF(AND($T135&lt;&gt;"",EDATE($D135,Milestones!$AA$166)&gt;=$T135),$W135,IF(AND($S135&lt;&gt;"",EDATE($D135,Milestones!$AA$166)&gt;=$S135),$V135,$U135)))=Milestones!$AB$166),UPPER(TEXT(EDATE($D135,Milestones!$AA$166),"dd mmm yy"))&amp;" "&amp;Milestones!$AB$166&amp;" "&amp;Milestones!$AC$166&amp;";  ","")&amp;IF(AND(EDATE($D135,Milestones!$AA$167)&lt;=AsOfDate,IF($R135=0,$X135,IF(AND($T135&lt;&gt;"",EDATE($D135,Milestones!$AA$167)&gt;=$T135),$W135,IF(AND($S135&lt;&gt;"",EDATE($D135,Milestones!$AA$167)&gt;=$S135),$V135,$U135)))=Milestones!$AB$167),UPPER(TEXT(EDATE($D135,Milestones!$AA$167),"dd mmm yy"))&amp;" "&amp;Milestones!$AB$167&amp;" "&amp;Milestones!$AC$167&amp;";  ","")&amp;IF(AND(EDATE($D135,Milestones!$AA$168)&lt;=AsOfDate,IF($R135=0,$X135,IF(AND($T135&lt;&gt;"",EDATE($D135,Milestones!$AA$168)&gt;=$T135),$W135,IF(AND($S135&lt;&gt;"",EDATE($D135,Milestones!$AA$168)&gt;=$S135),$V135,$U135)))=Milestones!$AB$168),UPPER(TEXT(EDATE($D135,Milestones!$AA$168),"dd mmm yy"))&amp;" "&amp;Milestones!$AB$168&amp;" "&amp;Milestones!$AC$168&amp;";  ","")&amp;IF(AND(EDATE($D135,Milestones!$AA$169)&lt;=AsOfDate,IF($R135=0,$X135,IF(AND($T135&lt;&gt;"",EDATE($D135,Milestones!$AA$169)&gt;=$T135),$W135,IF(AND($S135&lt;&gt;"",EDATE($D135,Milestones!$AA$169)&gt;=$S135),$V135,$U135)))=Milestones!$AB$169),UPPER(TEXT(EDATE($D135,Milestones!$AA$169),"dd mmm yy"))&amp;" "&amp;Milestones!$AB$169&amp;" "&amp;Milestones!$AC$169&amp;";  ","")&amp;IF(AND(EDATE($D135,Milestones!$AA$170)&lt;=AsOfDate,IF($R135=0,$X135,IF(AND($T135&lt;&gt;"",EDATE($D135,Milestones!$AA$170)&gt;=$T135),$W135,IF(AND($S135&lt;&gt;"",EDATE($D135,Milestones!$AA$170)&gt;=$S135),$V135,$U135)))=Milestones!$AB$170),UPPER(TEXT(EDATE($D135,Milestones!$AA$170),"dd mmm yy"))&amp;" "&amp;Milestones!$AB$170&amp;" "&amp;Milestones!$AC$170&amp;";  ","")&amp;IF(AND(EDATE($D135,Milestones!$AA$171)&lt;=AsOfDate,IF($R135=0,$X135,IF(AND($T135&lt;&gt;"",EDATE($D135,Milestones!$AA$171)&gt;=$T135),$W135,IF(AND($S135&lt;&gt;"",EDATE($D135,Milestones!$AA$171)&gt;=$S135),$V135,$U135)))=Milestones!$AB$171),UPPER(TEXT(EDATE($D135,Milestones!$AA$171),"dd mmm yy"))&amp;" "&amp;Milestones!$AB$171&amp;" "&amp;Milestones!$AC$171&amp;";  ","")&amp;IF(AND(EDATE($D135,Milestones!$AA$172)&lt;=AsOfDate,IF($R135=0,$X135,IF(AND($T135&lt;&gt;"",EDATE($D135,Milestones!$AA$172)&gt;=$T135),$W135,IF(AND($S135&lt;&gt;"",EDATE($D135,Milestones!$AA$172)&gt;=$S135),$V135,$U135)))=Milestones!$AB$172),UPPER(TEXT(EDATE($D135,Milestones!$AA$172),"dd mmm yy"))&amp;" "&amp;Milestones!$AB$172&amp;" "&amp;Milestones!$AC$172&amp;";  ","")&amp;IF(AND(EDATE($D135,Milestones!$AA$173)&lt;=AsOfDate,IF($R135=0,$X135,IF(AND($T135&lt;&gt;"",EDATE($D135,Milestones!$AA$173)&gt;=$T135),$W135,IF(AND($S135&lt;&gt;"",EDATE($D135,Milestones!$AA$173)&gt;=$S135),$V135,$U135)))=Milestones!$AB$173),UPPER(TEXT(EDATE($D135,Milestones!$AA$173),"dd mmm yy"))&amp;" "&amp;Milestones!$AB$173&amp;" "&amp;Milestones!$AC$173&amp;";  ","")&amp;IF(AND(EDATE($D135,Milestones!$AA$174)&lt;=AsOfDate,IF($R135=0,$X135,IF(AND($T135&lt;&gt;"",EDATE($D135,Milestones!$AA$174)&gt;=$T135),$W135,IF(AND($S135&lt;&gt;"",EDATE($D135,Milestones!$AA$174)&gt;=$S135),$V135,$U135)))=Milestones!$AB$174),UPPER(TEXT(EDATE($D135,Milestones!$AA$174),"dd mmm yy"))&amp;" "&amp;Milestones!$AB$174&amp;" "&amp;Milestones!$AC$174&amp;";  ","")&amp;IF(AND(EDATE($D135,Milestones!$AA$175)&lt;=AsOfDate,IF($R135=0,$X135,IF(AND($T135&lt;&gt;"",EDATE($D135,Milestones!$AA$175)&gt;=$T135),$W135,IF(AND($S135&lt;&gt;"",EDATE($D135,Milestones!$AA$175)&gt;=$S135),$V135,$U135)))=Milestones!$AB$175),UPPER(TEXT(EDATE($D135,Milestones!$AA$175),"dd mmm yy"))&amp;" "&amp;Milestones!$AB$175&amp;" "&amp;Milestones!$AC$175&amp;";  ","")&amp;IF(AND(EDATE($D135,Milestones!$AA$176)&lt;=AsOfDate,IF($R135=0,$X135,IF(AND($T135&lt;&gt;"",EDATE($D135,Milestones!$AA$176)&gt;=$T135),$W135,IF(AND($S135&lt;&gt;"",EDATE($D135,Milestones!$AA$176)&gt;=$S135),$V135,$U135)))=Milestones!$AB$176),UPPER(TEXT(EDATE($D135,Milestones!$AA$176),"dd mmm yy"))&amp;" "&amp;Milestones!$AB$176&amp;" "&amp;Milestones!$AC$176&amp;";  ","")&amp;IF(AND(EDATE($D135,Milestones!$AA$177)&lt;=AsOfDate,IF($R135=0,$X135,IF(AND($T135&lt;&gt;"",EDATE($D135,Milestones!$AA$177)&gt;=$T135),$W135,IF(AND($S135&lt;&gt;"",EDATE($D135,Milestones!$AA$177)&gt;=$S135),$V135,$U135)))=Milestones!$AB$177),UPPER(TEXT(EDATE($D135,Milestones!$AA$177),"dd mmm yy"))&amp;" "&amp;Milestones!$AB$177&amp;" "&amp;Milestones!$AC$177&amp;";  ","")&amp;IF(AND(EDATE($D135,Milestones!$AA$178)&lt;=AsOfDate,IF($R135=0,$X135,IF(AND($T135&lt;&gt;"",EDATE($D135,Milestones!$AA$178)&gt;=$T135),$W135,IF(AND($S135&lt;&gt;"",EDATE($D135,Milestones!$AA$178)&gt;=$S135),$V135,$U135)))=Milestones!$AB$178),UPPER(TEXT(EDATE($D135,Milestones!$AA$178),"dd mmm yy"))&amp;" "&amp;Milestones!$AB$178&amp;" "&amp;Milestones!$AC$178&amp;";  ","")&amp;IF(AND(EDATE($D135,Milestones!$AA$179)&lt;=AsOfDate,IF($R135=0,$X135,IF(AND($T135&lt;&gt;"",EDATE($D135,Milestones!$AA$179)&gt;=$T135),$W135,IF(AND($S135&lt;&gt;"",EDATE($D135,Milestones!$AA$179)&gt;=$S135),$V135,$U135)))=Milestones!$AB$179),UPPER(TEXT(EDATE($D135,Milestones!$AA$179),"dd mmm yy"))&amp;" "&amp;Milestones!$AB$179&amp;" "&amp;Milestones!$AC$179&amp;";  ",""))</f>
        <v/>
      </c>
      <c r="Q135" s="0" t="str">
        <f aca="false">IF(OR($A135="",$D135=""),"",IF(AND(EDATE($D135,Milestones!$AA$180)&lt;=AsOfDate,IF($R135=0,$X135,IF(AND($T135&lt;&gt;"",EDATE($D135,Milestones!$AA$180)&gt;=$T135),$W135,IF(AND($S135&lt;&gt;"",EDATE($D135,Milestones!$AA$180)&gt;=$S135),$V135,$U135)))=Milestones!$AB$180),UPPER(TEXT(EDATE($D135,Milestones!$AA$180),"dd mmm yy"))&amp;" "&amp;Milestones!$AB$180&amp;" "&amp;Milestones!$AC$180&amp;";  ","")&amp;IF(AND(EDATE($D135,Milestones!$AA$181)&lt;=AsOfDate,IF($R135=0,$X135,IF(AND($T135&lt;&gt;"",EDATE($D135,Milestones!$AA$181)&gt;=$T135),$W135,IF(AND($S135&lt;&gt;"",EDATE($D135,Milestones!$AA$181)&gt;=$S135),$V135,$U135)))=Milestones!$AB$181),UPPER(TEXT(EDATE($D135,Milestones!$AA$181),"dd mmm yy"))&amp;" "&amp;Milestones!$AB$181&amp;" "&amp;Milestones!$AC$181&amp;";  ","")&amp;IF(AND(EDATE($D135,Milestones!$AA$182)&lt;=AsOfDate,IF($R135=0,$X135,IF(AND($T135&lt;&gt;"",EDATE($D135,Milestones!$AA$182)&gt;=$T135),$W135,IF(AND($S135&lt;&gt;"",EDATE($D135,Milestones!$AA$182)&gt;=$S135),$V135,$U135)))=Milestones!$AB$182),UPPER(TEXT(EDATE($D135,Milestones!$AA$182),"dd mmm yy"))&amp;" "&amp;Milestones!$AB$182&amp;" "&amp;Milestones!$AC$182&amp;";  ","")&amp;IF(AND(EDATE($D135,Milestones!$AA$183)&lt;=AsOfDate,IF($R135=0,$X135,IF(AND($T135&lt;&gt;"",EDATE($D135,Milestones!$AA$183)&gt;=$T135),$W135,IF(AND($S135&lt;&gt;"",EDATE($D135,Milestones!$AA$183)&gt;=$S135),$V135,$U135)))=Milestones!$AB$183),UPPER(TEXT(EDATE($D135,Milestones!$AA$183),"dd mmm yy"))&amp;" "&amp;Milestones!$AB$183&amp;" "&amp;Milestones!$AC$183&amp;";  ","")&amp;IF(AND(EDATE($D135,Milestones!$AA$184)&lt;=AsOfDate,IF($R135=0,$X135,IF(AND($T135&lt;&gt;"",EDATE($D135,Milestones!$AA$184)&gt;=$T135),$W135,IF(AND($S135&lt;&gt;"",EDATE($D135,Milestones!$AA$184)&gt;=$S135),$V135,$U135)))=Milestones!$AB$184),UPPER(TEXT(EDATE($D135,Milestones!$AA$184),"dd mmm yy"))&amp;" "&amp;Milestones!$AB$184&amp;" "&amp;Milestones!$AC$184&amp;";  ","")&amp;IF(AND(EDATE($D135,Milestones!$AA$185)&lt;=AsOfDate,IF($R135=0,$X135,IF(AND($T135&lt;&gt;"",EDATE($D135,Milestones!$AA$185)&gt;=$T135),$W135,IF(AND($S135&lt;&gt;"",EDATE($D135,Milestones!$AA$185)&gt;=$S135),$V135,$U135)))=Milestones!$AB$185),UPPER(TEXT(EDATE($D135,Milestones!$AA$185),"dd mmm yy"))&amp;" "&amp;Milestones!$AB$185&amp;" "&amp;Milestones!$AC$185&amp;";  ","")&amp;IF(AND(EDATE($D135,Milestones!$AA$186)&lt;=AsOfDate,IF($R135=0,$X135,IF(AND($T135&lt;&gt;"",EDATE($D135,Milestones!$AA$186)&gt;=$T135),$W135,IF(AND($S135&lt;&gt;"",EDATE($D135,Milestones!$AA$186)&gt;=$S135),$V135,$U135)))=Milestones!$AB$186),UPPER(TEXT(EDATE($D135,Milestones!$AA$186),"dd mmm yy"))&amp;" "&amp;Milestones!$AB$186&amp;" "&amp;Milestones!$AC$186&amp;";  ","")&amp;IF(AND(EDATE($D135,Milestones!$AA$187)&lt;=AsOfDate,IF($R135=0,$X135,IF(AND($T135&lt;&gt;"",EDATE($D135,Milestones!$AA$187)&gt;=$T135),$W135,IF(AND($S135&lt;&gt;"",EDATE($D135,Milestones!$AA$187)&gt;=$S135),$V135,$U135)))=Milestones!$AB$187),UPPER(TEXT(EDATE($D135,Milestones!$AA$187),"dd mmm yy"))&amp;" "&amp;Milestones!$AB$187&amp;" "&amp;Milestones!$AC$187&amp;";  ","")&amp;IF(AND(EDATE($D135,Milestones!$AA$188)&lt;=AsOfDate,IF($R135=0,$X135,IF(AND($T135&lt;&gt;"",EDATE($D135,Milestones!$AA$188)&gt;=$T135),$W135,IF(AND($S135&lt;&gt;"",EDATE($D135,Milestones!$AA$188)&gt;=$S135),$V135,$U135)))=Milestones!$AB$188),UPPER(TEXT(EDATE($D135,Milestones!$AA$188),"dd mmm yy"))&amp;" "&amp;Milestones!$AB$188&amp;" "&amp;Milestones!$AC$188&amp;";  ","")&amp;IF(AND(EDATE($D135,Milestones!$AA$189)&lt;=AsOfDate,IF($R135=0,$X135,IF(AND($T135&lt;&gt;"",EDATE($D135,Milestones!$AA$189)&gt;=$T135),$W135,IF(AND($S135&lt;&gt;"",EDATE($D135,Milestones!$AA$189)&gt;=$S135),$V135,$U135)))=Milestones!$AB$189),UPPER(TEXT(EDATE($D135,Milestones!$AA$189),"dd mmm yy"))&amp;" "&amp;Milestones!$AB$189&amp;" "&amp;Milestones!$AC$189&amp;";  ","")&amp;IF(AND(EDATE($D135,Milestones!$AA$190)&lt;=AsOfDate,IF($R135=0,$X135,IF(AND($T135&lt;&gt;"",EDATE($D135,Milestones!$AA$190)&gt;=$T135),$W135,IF(AND($S135&lt;&gt;"",EDATE($D135,Milestones!$AA$190)&gt;=$S135),$V135,$U135)))=Milestones!$AB$190),UPPER(TEXT(EDATE($D135,Milestones!$AA$190),"dd mmm yy"))&amp;" "&amp;Milestones!$AB$190&amp;" "&amp;Milestones!$AC$190&amp;";  ","")&amp;IF(AND(EDATE($D135,Milestones!$AA$191)&lt;=AsOfDate,IF($R135=0,$X135,IF(AND($T135&lt;&gt;"",EDATE($D135,Milestones!$AA$191)&gt;=$T135),$W135,IF(AND($S135&lt;&gt;"",EDATE($D135,Milestones!$AA$191)&gt;=$S135),$V135,$U135)))=Milestones!$AB$191),UPPER(TEXT(EDATE($D135,Milestones!$AA$191),"dd mmm yy"))&amp;" "&amp;Milestones!$AB$191&amp;" "&amp;Milestones!$AC$191&amp;";  ","")&amp;IF(AND(EDATE($D135,Milestones!$AA$192)&lt;=AsOfDate,IF($R135=0,$X135,IF(AND($T135&lt;&gt;"",EDATE($D135,Milestones!$AA$192)&gt;=$T135),$W135,IF(AND($S135&lt;&gt;"",EDATE($D135,Milestones!$AA$192)&gt;=$S135),$V135,$U135)))=Milestones!$AB$192),UPPER(TEXT(EDATE($D135,Milestones!$AA$192),"dd mmm yy"))&amp;" "&amp;Milestones!$AB$192&amp;" "&amp;Milestones!$AC$192&amp;";  ","")&amp;IF(AND(EDATE($D135,Milestones!$AA$193)&lt;=AsOfDate,IF($R135=0,$X135,IF(AND($T135&lt;&gt;"",EDATE($D135,Milestones!$AA$193)&gt;=$T135),$W135,IF(AND($S135&lt;&gt;"",EDATE($D135,Milestones!$AA$193)&gt;=$S135),$V135,$U135)))=Milestones!$AB$193),UPPER(TEXT(EDATE($D135,Milestones!$AA$193),"dd mmm yy"))&amp;" "&amp;Milestones!$AB$193&amp;" "&amp;Milestones!$AC$193&amp;";  ","")&amp;IF(AND(EDATE($D135,Milestones!$AA$194)&lt;=AsOfDate,IF($R135=0,$X135,IF(AND($T135&lt;&gt;"",EDATE($D135,Milestones!$AA$194)&gt;=$T135),$W135,IF(AND($S135&lt;&gt;"",EDATE($D135,Milestones!$AA$194)&gt;=$S135),$V135,$U135)))=Milestones!$AB$194),UPPER(TEXT(EDATE($D135,Milestones!$AA$194),"dd mmm yy"))&amp;" "&amp;Milestones!$AB$194&amp;" "&amp;Milestones!$AC$194&amp;";  ","")&amp;IF(AND(EDATE($D135,Milestones!$AA$195)&lt;=AsOfDate,IF($R135=0,$X135,IF(AND($T135&lt;&gt;"",EDATE($D135,Milestones!$AA$195)&gt;=$T135),$W135,IF(AND($S135&lt;&gt;"",EDATE($D135,Milestones!$AA$195)&gt;=$S135),$V135,$U135)))=Milestones!$AB$195),UPPER(TEXT(EDATE($D135,Milestones!$AA$195),"dd mmm yy"))&amp;" "&amp;Milestones!$AB$195&amp;" "&amp;Milestones!$AC$195&amp;";  ","")&amp;IF(AND(EDATE($D135,Milestones!$AA$196)&lt;=AsOfDate,IF($R135=0,$X135,IF(AND($T135&lt;&gt;"",EDATE($D135,Milestones!$AA$196)&gt;=$T135),$W135,IF(AND($S135&lt;&gt;"",EDATE($D135,Milestones!$AA$196)&gt;=$S135),$V135,$U135)))=Milestones!$AB$196),UPPER(TEXT(EDATE($D135,Milestones!$AA$196),"dd mmm yy"))&amp;" "&amp;Milestones!$AB$196&amp;" "&amp;Milestones!$AC$196&amp;";  ","")&amp;IF(AND(EDATE($D135,Milestones!$AA$197)&lt;=AsOfDate,IF($R135=0,$X135,IF(AND($T135&lt;&gt;"",EDATE($D135,Milestones!$AA$197)&gt;=$T135),$W135,IF(AND($S135&lt;&gt;"",EDATE($D135,Milestones!$AA$197)&gt;=$S135),$V135,$U135)))=Milestones!$AB$197),UPPER(TEXT(EDATE($D135,Milestones!$AA$197),"dd mmm yy"))&amp;" "&amp;Milestones!$AB$197&amp;" "&amp;Milestones!$AC$197&amp;";  ","")&amp;IF(AND(EDATE($D135,Milestones!$AA$198)&lt;=AsOfDate,IF($R135=0,$X135,IF(AND($T135&lt;&gt;"",EDATE($D135,Milestones!$AA$198)&gt;=$T135),$W135,IF(AND($S135&lt;&gt;"",EDATE($D135,Milestones!$AA$198)&gt;=$S135),$V135,$U135)))=Milestones!$AB$198),UPPER(TEXT(EDATE($D135,Milestones!$AA$198),"dd mmm yy"))&amp;" "&amp;Milestones!$AB$198&amp;" "&amp;Milestones!$AC$198&amp;";  ","")&amp;IF(AND(EDATE($D135,Milestones!$AA$199)&lt;=AsOfDate,IF($R135=0,$X135,IF(AND($T135&lt;&gt;"",EDATE($D135,Milestones!$AA$199)&gt;=$T135),$W135,IF(AND($S135&lt;&gt;"",EDATE($D135,Milestones!$AA$199)&gt;=$S135),$V135,$U135)))=Milestones!$AB$199),UPPER(TEXT(EDATE($D135,Milestones!$AA$199),"dd mmm yy"))&amp;" "&amp;Milestones!$AB$199&amp;" "&amp;Milestones!$AC$199&amp;";  ",""))</f>
        <v/>
      </c>
      <c r="R135" s="0" t="str">
        <f aca="false">IF(Staff!$A135="","",Staff!$AI135)</f>
        <v/>
      </c>
      <c r="S135" s="0" t="str">
        <f aca="false">IF(Staff!$A135="","",Staff!$AK135)</f>
        <v/>
      </c>
      <c r="T135" s="0" t="str">
        <f aca="false">IF(Staff!$A135="","",Staff!$AL135)</f>
        <v/>
      </c>
      <c r="U135" s="0" t="str">
        <f aca="false">IF(Staff!$A135="","",Staff!$AP135)</f>
        <v/>
      </c>
      <c r="V135" s="0" t="str">
        <f aca="false">IF(Staff!$A135="","",Staff!$AQ135)</f>
        <v/>
      </c>
      <c r="W135" s="0" t="str">
        <f aca="false">IF(Staff!$A135="","",Staff!$AR135)</f>
        <v/>
      </c>
      <c r="X135" s="0" t="str">
        <f aca="false">IF(Staff!$A135="","",Staff!$AS135)</f>
        <v/>
      </c>
    </row>
    <row r="136" customFormat="false" ht="15" hidden="false" customHeight="false" outlineLevel="0" collapsed="false">
      <c r="A136" s="19" t="str">
        <f aca="false">IF(Staff!$A136="","",Staff!$A136)</f>
        <v/>
      </c>
      <c r="B136" s="19" t="str">
        <f aca="false">IF(Staff!$A136="","",Staff!$B136)</f>
        <v/>
      </c>
      <c r="C136" s="19" t="str">
        <f aca="false">IF(Staff!$A136="","",Staff!$C136)</f>
        <v/>
      </c>
      <c r="D136" s="17" t="str">
        <f aca="false">IF(Staff!$A136="","",Staff!$AH136)</f>
        <v/>
      </c>
      <c r="E136" s="19" t="str">
        <f aca="false">IF(Staff!$A136="","",Staff!$O136)</f>
        <v/>
      </c>
      <c r="F136" s="19" t="str">
        <f aca="false">IF(E136="","",E136*HoursPerDay)</f>
        <v/>
      </c>
      <c r="G136" s="19" t="str">
        <f aca="false">IF(Staff!$A136="","",Staff!$AE136)</f>
        <v/>
      </c>
      <c r="H136" s="32" t="str">
        <f aca="false">IF($A136="","",I136&amp;J136&amp;K136&amp;L136&amp;M136&amp;N136&amp;O136&amp;P136&amp;Q136)</f>
        <v/>
      </c>
      <c r="I136" s="0" t="str">
        <f aca="false">IF(OR($A136="",$D136=""),"",IF(AND(EDATE($D136,Milestones!$AA$20)&lt;=AsOfDate,IF($R136=0,$X136,IF(AND($T136&lt;&gt;"",EDATE($D136,Milestones!$AA$20)&gt;=$T136),$W136,IF(AND($S136&lt;&gt;"",EDATE($D136,Milestones!$AA$20)&gt;=$S136),$V136,$U136)))=Milestones!$AB$20),UPPER(TEXT(EDATE($D136,Milestones!$AA$20),"dd mmm yy"))&amp;" "&amp;Milestones!$AB$20&amp;" "&amp;Milestones!$AC$20&amp;";  ","")&amp;IF(AND(EDATE($D136,Milestones!$AA$21)&lt;=AsOfDate,IF($R136=0,$X136,IF(AND($T136&lt;&gt;"",EDATE($D136,Milestones!$AA$21)&gt;=$T136),$W136,IF(AND($S136&lt;&gt;"",EDATE($D136,Milestones!$AA$21)&gt;=$S136),$V136,$U136)))=Milestones!$AB$21),UPPER(TEXT(EDATE($D136,Milestones!$AA$21),"dd mmm yy"))&amp;" "&amp;Milestones!$AB$21&amp;" "&amp;Milestones!$AC$21&amp;";  ","")&amp;IF(AND(EDATE($D136,Milestones!$AA$22)&lt;=AsOfDate,IF($R136=0,$X136,IF(AND($T136&lt;&gt;"",EDATE($D136,Milestones!$AA$22)&gt;=$T136),$W136,IF(AND($S136&lt;&gt;"",EDATE($D136,Milestones!$AA$22)&gt;=$S136),$V136,$U136)))=Milestones!$AB$22),UPPER(TEXT(EDATE($D136,Milestones!$AA$22),"dd mmm yy"))&amp;" "&amp;Milestones!$AB$22&amp;" "&amp;Milestones!$AC$22&amp;";  ","")&amp;IF(AND(EDATE($D136,Milestones!$AA$23)&lt;=AsOfDate,IF($R136=0,$X136,IF(AND($T136&lt;&gt;"",EDATE($D136,Milestones!$AA$23)&gt;=$T136),$W136,IF(AND($S136&lt;&gt;"",EDATE($D136,Milestones!$AA$23)&gt;=$S136),$V136,$U136)))=Milestones!$AB$23),UPPER(TEXT(EDATE($D136,Milestones!$AA$23),"dd mmm yy"))&amp;" "&amp;Milestones!$AB$23&amp;" "&amp;Milestones!$AC$23&amp;";  ","")&amp;IF(AND(EDATE($D136,Milestones!$AA$24)&lt;=AsOfDate,IF($R136=0,$X136,IF(AND($T136&lt;&gt;"",EDATE($D136,Milestones!$AA$24)&gt;=$T136),$W136,IF(AND($S136&lt;&gt;"",EDATE($D136,Milestones!$AA$24)&gt;=$S136),$V136,$U136)))=Milestones!$AB$24),UPPER(TEXT(EDATE($D136,Milestones!$AA$24),"dd mmm yy"))&amp;" "&amp;Milestones!$AB$24&amp;" "&amp;Milestones!$AC$24&amp;";  ","")&amp;IF(AND(EDATE($D136,Milestones!$AA$25)&lt;=AsOfDate,IF($R136=0,$X136,IF(AND($T136&lt;&gt;"",EDATE($D136,Milestones!$AA$25)&gt;=$T136),$W136,IF(AND($S136&lt;&gt;"",EDATE($D136,Milestones!$AA$25)&gt;=$S136),$V136,$U136)))=Milestones!$AB$25),UPPER(TEXT(EDATE($D136,Milestones!$AA$25),"dd mmm yy"))&amp;" "&amp;Milestones!$AB$25&amp;" "&amp;Milestones!$AC$25&amp;";  ","")&amp;IF(AND(EDATE($D136,Milestones!$AA$26)&lt;=AsOfDate,IF($R136=0,$X136,IF(AND($T136&lt;&gt;"",EDATE($D136,Milestones!$AA$26)&gt;=$T136),$W136,IF(AND($S136&lt;&gt;"",EDATE($D136,Milestones!$AA$26)&gt;=$S136),$V136,$U136)))=Milestones!$AB$26),UPPER(TEXT(EDATE($D136,Milestones!$AA$26),"dd mmm yy"))&amp;" "&amp;Milestones!$AB$26&amp;" "&amp;Milestones!$AC$26&amp;";  ","")&amp;IF(AND(EDATE($D136,Milestones!$AA$27)&lt;=AsOfDate,IF($R136=0,$X136,IF(AND($T136&lt;&gt;"",EDATE($D136,Milestones!$AA$27)&gt;=$T136),$W136,IF(AND($S136&lt;&gt;"",EDATE($D136,Milestones!$AA$27)&gt;=$S136),$V136,$U136)))=Milestones!$AB$27),UPPER(TEXT(EDATE($D136,Milestones!$AA$27),"dd mmm yy"))&amp;" "&amp;Milestones!$AB$27&amp;" "&amp;Milestones!$AC$27&amp;";  ","")&amp;IF(AND(EDATE($D136,Milestones!$AA$28)&lt;=AsOfDate,IF($R136=0,$X136,IF(AND($T136&lt;&gt;"",EDATE($D136,Milestones!$AA$28)&gt;=$T136),$W136,IF(AND($S136&lt;&gt;"",EDATE($D136,Milestones!$AA$28)&gt;=$S136),$V136,$U136)))=Milestones!$AB$28),UPPER(TEXT(EDATE($D136,Milestones!$AA$28),"dd mmm yy"))&amp;" "&amp;Milestones!$AB$28&amp;" "&amp;Milestones!$AC$28&amp;";  ","")&amp;IF(AND(EDATE($D136,Milestones!$AA$29)&lt;=AsOfDate,IF($R136=0,$X136,IF(AND($T136&lt;&gt;"",EDATE($D136,Milestones!$AA$29)&gt;=$T136),$W136,IF(AND($S136&lt;&gt;"",EDATE($D136,Milestones!$AA$29)&gt;=$S136),$V136,$U136)))=Milestones!$AB$29),UPPER(TEXT(EDATE($D136,Milestones!$AA$29),"dd mmm yy"))&amp;" "&amp;Milestones!$AB$29&amp;" "&amp;Milestones!$AC$29&amp;";  ","")&amp;IF(AND(EDATE($D136,Milestones!$AA$30)&lt;=AsOfDate,IF($R136=0,$X136,IF(AND($T136&lt;&gt;"",EDATE($D136,Milestones!$AA$30)&gt;=$T136),$W136,IF(AND($S136&lt;&gt;"",EDATE($D136,Milestones!$AA$30)&gt;=$S136),$V136,$U136)))=Milestones!$AB$30),UPPER(TEXT(EDATE($D136,Milestones!$AA$30),"dd mmm yy"))&amp;" "&amp;Milestones!$AB$30&amp;" "&amp;Milestones!$AC$30&amp;";  ","")&amp;IF(AND(EDATE($D136,Milestones!$AA$31)&lt;=AsOfDate,IF($R136=0,$X136,IF(AND($T136&lt;&gt;"",EDATE($D136,Milestones!$AA$31)&gt;=$T136),$W136,IF(AND($S136&lt;&gt;"",EDATE($D136,Milestones!$AA$31)&gt;=$S136),$V136,$U136)))=Milestones!$AB$31),UPPER(TEXT(EDATE($D136,Milestones!$AA$31),"dd mmm yy"))&amp;" "&amp;Milestones!$AB$31&amp;" "&amp;Milestones!$AC$31&amp;";  ","")&amp;IF(AND(EDATE($D136,Milestones!$AA$32)&lt;=AsOfDate,IF($R136=0,$X136,IF(AND($T136&lt;&gt;"",EDATE($D136,Milestones!$AA$32)&gt;=$T136),$W136,IF(AND($S136&lt;&gt;"",EDATE($D136,Milestones!$AA$32)&gt;=$S136),$V136,$U136)))=Milestones!$AB$32),UPPER(TEXT(EDATE($D136,Milestones!$AA$32),"dd mmm yy"))&amp;" "&amp;Milestones!$AB$32&amp;" "&amp;Milestones!$AC$32&amp;";  ","")&amp;IF(AND(EDATE($D136,Milestones!$AA$33)&lt;=AsOfDate,IF($R136=0,$X136,IF(AND($T136&lt;&gt;"",EDATE($D136,Milestones!$AA$33)&gt;=$T136),$W136,IF(AND($S136&lt;&gt;"",EDATE($D136,Milestones!$AA$33)&gt;=$S136),$V136,$U136)))=Milestones!$AB$33),UPPER(TEXT(EDATE($D136,Milestones!$AA$33),"dd mmm yy"))&amp;" "&amp;Milestones!$AB$33&amp;" "&amp;Milestones!$AC$33&amp;";  ","")&amp;IF(AND(EDATE($D136,Milestones!$AA$34)&lt;=AsOfDate,IF($R136=0,$X136,IF(AND($T136&lt;&gt;"",EDATE($D136,Milestones!$AA$34)&gt;=$T136),$W136,IF(AND($S136&lt;&gt;"",EDATE($D136,Milestones!$AA$34)&gt;=$S136),$V136,$U136)))=Milestones!$AB$34),UPPER(TEXT(EDATE($D136,Milestones!$AA$34),"dd mmm yy"))&amp;" "&amp;Milestones!$AB$34&amp;" "&amp;Milestones!$AC$34&amp;";  ","")&amp;IF(AND(EDATE($D136,Milestones!$AA$35)&lt;=AsOfDate,IF($R136=0,$X136,IF(AND($T136&lt;&gt;"",EDATE($D136,Milestones!$AA$35)&gt;=$T136),$W136,IF(AND($S136&lt;&gt;"",EDATE($D136,Milestones!$AA$35)&gt;=$S136),$V136,$U136)))=Milestones!$AB$35),UPPER(TEXT(EDATE($D136,Milestones!$AA$35),"dd mmm yy"))&amp;" "&amp;Milestones!$AB$35&amp;" "&amp;Milestones!$AC$35&amp;";  ","")&amp;IF(AND(EDATE($D136,Milestones!$AA$36)&lt;=AsOfDate,IF($R136=0,$X136,IF(AND($T136&lt;&gt;"",EDATE($D136,Milestones!$AA$36)&gt;=$T136),$W136,IF(AND($S136&lt;&gt;"",EDATE($D136,Milestones!$AA$36)&gt;=$S136),$V136,$U136)))=Milestones!$AB$36),UPPER(TEXT(EDATE($D136,Milestones!$AA$36),"dd mmm yy"))&amp;" "&amp;Milestones!$AB$36&amp;" "&amp;Milestones!$AC$36&amp;";  ","")&amp;IF(AND(EDATE($D136,Milestones!$AA$37)&lt;=AsOfDate,IF($R136=0,$X136,IF(AND($T136&lt;&gt;"",EDATE($D136,Milestones!$AA$37)&gt;=$T136),$W136,IF(AND($S136&lt;&gt;"",EDATE($D136,Milestones!$AA$37)&gt;=$S136),$V136,$U136)))=Milestones!$AB$37),UPPER(TEXT(EDATE($D136,Milestones!$AA$37),"dd mmm yy"))&amp;" "&amp;Milestones!$AB$37&amp;" "&amp;Milestones!$AC$37&amp;";  ","")&amp;IF(AND(EDATE($D136,Milestones!$AA$38)&lt;=AsOfDate,IF($R136=0,$X136,IF(AND($T136&lt;&gt;"",EDATE($D136,Milestones!$AA$38)&gt;=$T136),$W136,IF(AND($S136&lt;&gt;"",EDATE($D136,Milestones!$AA$38)&gt;=$S136),$V136,$U136)))=Milestones!$AB$38),UPPER(TEXT(EDATE($D136,Milestones!$AA$38),"dd mmm yy"))&amp;" "&amp;Milestones!$AB$38&amp;" "&amp;Milestones!$AC$38&amp;";  ","")&amp;IF(AND(EDATE($D136,Milestones!$AA$39)&lt;=AsOfDate,IF($R136=0,$X136,IF(AND($T136&lt;&gt;"",EDATE($D136,Milestones!$AA$39)&gt;=$T136),$W136,IF(AND($S136&lt;&gt;"",EDATE($D136,Milestones!$AA$39)&gt;=$S136),$V136,$U136)))=Milestones!$AB$39),UPPER(TEXT(EDATE($D136,Milestones!$AA$39),"dd mmm yy"))&amp;" "&amp;Milestones!$AB$39&amp;" "&amp;Milestones!$AC$39&amp;";  ",""))</f>
        <v/>
      </c>
      <c r="J136" s="0" t="str">
        <f aca="false">IF(OR($A136="",$D136=""),"",IF(AND(EDATE($D136,Milestones!$AA$40)&lt;=AsOfDate,IF($R136=0,$X136,IF(AND($T136&lt;&gt;"",EDATE($D136,Milestones!$AA$40)&gt;=$T136),$W136,IF(AND($S136&lt;&gt;"",EDATE($D136,Milestones!$AA$40)&gt;=$S136),$V136,$U136)))=Milestones!$AB$40),UPPER(TEXT(EDATE($D136,Milestones!$AA$40),"dd mmm yy"))&amp;" "&amp;Milestones!$AB$40&amp;" "&amp;Milestones!$AC$40&amp;";  ","")&amp;IF(AND(EDATE($D136,Milestones!$AA$41)&lt;=AsOfDate,IF($R136=0,$X136,IF(AND($T136&lt;&gt;"",EDATE($D136,Milestones!$AA$41)&gt;=$T136),$W136,IF(AND($S136&lt;&gt;"",EDATE($D136,Milestones!$AA$41)&gt;=$S136),$V136,$U136)))=Milestones!$AB$41),UPPER(TEXT(EDATE($D136,Milestones!$AA$41),"dd mmm yy"))&amp;" "&amp;Milestones!$AB$41&amp;" "&amp;Milestones!$AC$41&amp;";  ","")&amp;IF(AND(EDATE($D136,Milestones!$AA$42)&lt;=AsOfDate,IF($R136=0,$X136,IF(AND($T136&lt;&gt;"",EDATE($D136,Milestones!$AA$42)&gt;=$T136),$W136,IF(AND($S136&lt;&gt;"",EDATE($D136,Milestones!$AA$42)&gt;=$S136),$V136,$U136)))=Milestones!$AB$42),UPPER(TEXT(EDATE($D136,Milestones!$AA$42),"dd mmm yy"))&amp;" "&amp;Milestones!$AB$42&amp;" "&amp;Milestones!$AC$42&amp;";  ","")&amp;IF(AND(EDATE($D136,Milestones!$AA$43)&lt;=AsOfDate,IF($R136=0,$X136,IF(AND($T136&lt;&gt;"",EDATE($D136,Milestones!$AA$43)&gt;=$T136),$W136,IF(AND($S136&lt;&gt;"",EDATE($D136,Milestones!$AA$43)&gt;=$S136),$V136,$U136)))=Milestones!$AB$43),UPPER(TEXT(EDATE($D136,Milestones!$AA$43),"dd mmm yy"))&amp;" "&amp;Milestones!$AB$43&amp;" "&amp;Milestones!$AC$43&amp;";  ","")&amp;IF(AND(EDATE($D136,Milestones!$AA$44)&lt;=AsOfDate,IF($R136=0,$X136,IF(AND($T136&lt;&gt;"",EDATE($D136,Milestones!$AA$44)&gt;=$T136),$W136,IF(AND($S136&lt;&gt;"",EDATE($D136,Milestones!$AA$44)&gt;=$S136),$V136,$U136)))=Milestones!$AB$44),UPPER(TEXT(EDATE($D136,Milestones!$AA$44),"dd mmm yy"))&amp;" "&amp;Milestones!$AB$44&amp;" "&amp;Milestones!$AC$44&amp;";  ","")&amp;IF(AND(EDATE($D136,Milestones!$AA$45)&lt;=AsOfDate,IF($R136=0,$X136,IF(AND($T136&lt;&gt;"",EDATE($D136,Milestones!$AA$45)&gt;=$T136),$W136,IF(AND($S136&lt;&gt;"",EDATE($D136,Milestones!$AA$45)&gt;=$S136),$V136,$U136)))=Milestones!$AB$45),UPPER(TEXT(EDATE($D136,Milestones!$AA$45),"dd mmm yy"))&amp;" "&amp;Milestones!$AB$45&amp;" "&amp;Milestones!$AC$45&amp;";  ","")&amp;IF(AND(EDATE($D136,Milestones!$AA$46)&lt;=AsOfDate,IF($R136=0,$X136,IF(AND($T136&lt;&gt;"",EDATE($D136,Milestones!$AA$46)&gt;=$T136),$W136,IF(AND($S136&lt;&gt;"",EDATE($D136,Milestones!$AA$46)&gt;=$S136),$V136,$U136)))=Milestones!$AB$46),UPPER(TEXT(EDATE($D136,Milestones!$AA$46),"dd mmm yy"))&amp;" "&amp;Milestones!$AB$46&amp;" "&amp;Milestones!$AC$46&amp;";  ","")&amp;IF(AND(EDATE($D136,Milestones!$AA$47)&lt;=AsOfDate,IF($R136=0,$X136,IF(AND($T136&lt;&gt;"",EDATE($D136,Milestones!$AA$47)&gt;=$T136),$W136,IF(AND($S136&lt;&gt;"",EDATE($D136,Milestones!$AA$47)&gt;=$S136),$V136,$U136)))=Milestones!$AB$47),UPPER(TEXT(EDATE($D136,Milestones!$AA$47),"dd mmm yy"))&amp;" "&amp;Milestones!$AB$47&amp;" "&amp;Milestones!$AC$47&amp;";  ","")&amp;IF(AND(EDATE($D136,Milestones!$AA$48)&lt;=AsOfDate,IF($R136=0,$X136,IF(AND($T136&lt;&gt;"",EDATE($D136,Milestones!$AA$48)&gt;=$T136),$W136,IF(AND($S136&lt;&gt;"",EDATE($D136,Milestones!$AA$48)&gt;=$S136),$V136,$U136)))=Milestones!$AB$48),UPPER(TEXT(EDATE($D136,Milestones!$AA$48),"dd mmm yy"))&amp;" "&amp;Milestones!$AB$48&amp;" "&amp;Milestones!$AC$48&amp;";  ","")&amp;IF(AND(EDATE($D136,Milestones!$AA$49)&lt;=AsOfDate,IF($R136=0,$X136,IF(AND($T136&lt;&gt;"",EDATE($D136,Milestones!$AA$49)&gt;=$T136),$W136,IF(AND($S136&lt;&gt;"",EDATE($D136,Milestones!$AA$49)&gt;=$S136),$V136,$U136)))=Milestones!$AB$49),UPPER(TEXT(EDATE($D136,Milestones!$AA$49),"dd mmm yy"))&amp;" "&amp;Milestones!$AB$49&amp;" "&amp;Milestones!$AC$49&amp;";  ","")&amp;IF(AND(EDATE($D136,Milestones!$AA$50)&lt;=AsOfDate,IF($R136=0,$X136,IF(AND($T136&lt;&gt;"",EDATE($D136,Milestones!$AA$50)&gt;=$T136),$W136,IF(AND($S136&lt;&gt;"",EDATE($D136,Milestones!$AA$50)&gt;=$S136),$V136,$U136)))=Milestones!$AB$50),UPPER(TEXT(EDATE($D136,Milestones!$AA$50),"dd mmm yy"))&amp;" "&amp;Milestones!$AB$50&amp;" "&amp;Milestones!$AC$50&amp;";  ","")&amp;IF(AND(EDATE($D136,Milestones!$AA$51)&lt;=AsOfDate,IF($R136=0,$X136,IF(AND($T136&lt;&gt;"",EDATE($D136,Milestones!$AA$51)&gt;=$T136),$W136,IF(AND($S136&lt;&gt;"",EDATE($D136,Milestones!$AA$51)&gt;=$S136),$V136,$U136)))=Milestones!$AB$51),UPPER(TEXT(EDATE($D136,Milestones!$AA$51),"dd mmm yy"))&amp;" "&amp;Milestones!$AB$51&amp;" "&amp;Milestones!$AC$51&amp;";  ","")&amp;IF(AND(EDATE($D136,Milestones!$AA$52)&lt;=AsOfDate,IF($R136=0,$X136,IF(AND($T136&lt;&gt;"",EDATE($D136,Milestones!$AA$52)&gt;=$T136),$W136,IF(AND($S136&lt;&gt;"",EDATE($D136,Milestones!$AA$52)&gt;=$S136),$V136,$U136)))=Milestones!$AB$52),UPPER(TEXT(EDATE($D136,Milestones!$AA$52),"dd mmm yy"))&amp;" "&amp;Milestones!$AB$52&amp;" "&amp;Milestones!$AC$52&amp;";  ","")&amp;IF(AND(EDATE($D136,Milestones!$AA$53)&lt;=AsOfDate,IF($R136=0,$X136,IF(AND($T136&lt;&gt;"",EDATE($D136,Milestones!$AA$53)&gt;=$T136),$W136,IF(AND($S136&lt;&gt;"",EDATE($D136,Milestones!$AA$53)&gt;=$S136),$V136,$U136)))=Milestones!$AB$53),UPPER(TEXT(EDATE($D136,Milestones!$AA$53),"dd mmm yy"))&amp;" "&amp;Milestones!$AB$53&amp;" "&amp;Milestones!$AC$53&amp;";  ","")&amp;IF(AND(EDATE($D136,Milestones!$AA$54)&lt;=AsOfDate,IF($R136=0,$X136,IF(AND($T136&lt;&gt;"",EDATE($D136,Milestones!$AA$54)&gt;=$T136),$W136,IF(AND($S136&lt;&gt;"",EDATE($D136,Milestones!$AA$54)&gt;=$S136),$V136,$U136)))=Milestones!$AB$54),UPPER(TEXT(EDATE($D136,Milestones!$AA$54),"dd mmm yy"))&amp;" "&amp;Milestones!$AB$54&amp;" "&amp;Milestones!$AC$54&amp;";  ","")&amp;IF(AND(EDATE($D136,Milestones!$AA$55)&lt;=AsOfDate,IF($R136=0,$X136,IF(AND($T136&lt;&gt;"",EDATE($D136,Milestones!$AA$55)&gt;=$T136),$W136,IF(AND($S136&lt;&gt;"",EDATE($D136,Milestones!$AA$55)&gt;=$S136),$V136,$U136)))=Milestones!$AB$55),UPPER(TEXT(EDATE($D136,Milestones!$AA$55),"dd mmm yy"))&amp;" "&amp;Milestones!$AB$55&amp;" "&amp;Milestones!$AC$55&amp;";  ","")&amp;IF(AND(EDATE($D136,Milestones!$AA$56)&lt;=AsOfDate,IF($R136=0,$X136,IF(AND($T136&lt;&gt;"",EDATE($D136,Milestones!$AA$56)&gt;=$T136),$W136,IF(AND($S136&lt;&gt;"",EDATE($D136,Milestones!$AA$56)&gt;=$S136),$V136,$U136)))=Milestones!$AB$56),UPPER(TEXT(EDATE($D136,Milestones!$AA$56),"dd mmm yy"))&amp;" "&amp;Milestones!$AB$56&amp;" "&amp;Milestones!$AC$56&amp;";  ","")&amp;IF(AND(EDATE($D136,Milestones!$AA$57)&lt;=AsOfDate,IF($R136=0,$X136,IF(AND($T136&lt;&gt;"",EDATE($D136,Milestones!$AA$57)&gt;=$T136),$W136,IF(AND($S136&lt;&gt;"",EDATE($D136,Milestones!$AA$57)&gt;=$S136),$V136,$U136)))=Milestones!$AB$57),UPPER(TEXT(EDATE($D136,Milestones!$AA$57),"dd mmm yy"))&amp;" "&amp;Milestones!$AB$57&amp;" "&amp;Milestones!$AC$57&amp;";  ","")&amp;IF(AND(EDATE($D136,Milestones!$AA$58)&lt;=AsOfDate,IF($R136=0,$X136,IF(AND($T136&lt;&gt;"",EDATE($D136,Milestones!$AA$58)&gt;=$T136),$W136,IF(AND($S136&lt;&gt;"",EDATE($D136,Milestones!$AA$58)&gt;=$S136),$V136,$U136)))=Milestones!$AB$58),UPPER(TEXT(EDATE($D136,Milestones!$AA$58),"dd mmm yy"))&amp;" "&amp;Milestones!$AB$58&amp;" "&amp;Milestones!$AC$58&amp;";  ","")&amp;IF(AND(EDATE($D136,Milestones!$AA$59)&lt;=AsOfDate,IF($R136=0,$X136,IF(AND($T136&lt;&gt;"",EDATE($D136,Milestones!$AA$59)&gt;=$T136),$W136,IF(AND($S136&lt;&gt;"",EDATE($D136,Milestones!$AA$59)&gt;=$S136),$V136,$U136)))=Milestones!$AB$59),UPPER(TEXT(EDATE($D136,Milestones!$AA$59),"dd mmm yy"))&amp;" "&amp;Milestones!$AB$59&amp;" "&amp;Milestones!$AC$59&amp;";  ",""))</f>
        <v/>
      </c>
      <c r="K136" s="0" t="str">
        <f aca="false">IF(OR($A136="",$D136=""),"",IF(AND(EDATE($D136,Milestones!$AA$60)&lt;=AsOfDate,IF($R136=0,$X136,IF(AND($T136&lt;&gt;"",EDATE($D136,Milestones!$AA$60)&gt;=$T136),$W136,IF(AND($S136&lt;&gt;"",EDATE($D136,Milestones!$AA$60)&gt;=$S136),$V136,$U136)))=Milestones!$AB$60),UPPER(TEXT(EDATE($D136,Milestones!$AA$60),"dd mmm yy"))&amp;" "&amp;Milestones!$AB$60&amp;" "&amp;Milestones!$AC$60&amp;";  ","")&amp;IF(AND(EDATE($D136,Milestones!$AA$61)&lt;=AsOfDate,IF($R136=0,$X136,IF(AND($T136&lt;&gt;"",EDATE($D136,Milestones!$AA$61)&gt;=$T136),$W136,IF(AND($S136&lt;&gt;"",EDATE($D136,Milestones!$AA$61)&gt;=$S136),$V136,$U136)))=Milestones!$AB$61),UPPER(TEXT(EDATE($D136,Milestones!$AA$61),"dd mmm yy"))&amp;" "&amp;Milestones!$AB$61&amp;" "&amp;Milestones!$AC$61&amp;";  ","")&amp;IF(AND(EDATE($D136,Milestones!$AA$62)&lt;=AsOfDate,IF($R136=0,$X136,IF(AND($T136&lt;&gt;"",EDATE($D136,Milestones!$AA$62)&gt;=$T136),$W136,IF(AND($S136&lt;&gt;"",EDATE($D136,Milestones!$AA$62)&gt;=$S136),$V136,$U136)))=Milestones!$AB$62),UPPER(TEXT(EDATE($D136,Milestones!$AA$62),"dd mmm yy"))&amp;" "&amp;Milestones!$AB$62&amp;" "&amp;Milestones!$AC$62&amp;";  ","")&amp;IF(AND(EDATE($D136,Milestones!$AA$63)&lt;=AsOfDate,IF($R136=0,$X136,IF(AND($T136&lt;&gt;"",EDATE($D136,Milestones!$AA$63)&gt;=$T136),$W136,IF(AND($S136&lt;&gt;"",EDATE($D136,Milestones!$AA$63)&gt;=$S136),$V136,$U136)))=Milestones!$AB$63),UPPER(TEXT(EDATE($D136,Milestones!$AA$63),"dd mmm yy"))&amp;" "&amp;Milestones!$AB$63&amp;" "&amp;Milestones!$AC$63&amp;";  ","")&amp;IF(AND(EDATE($D136,Milestones!$AA$64)&lt;=AsOfDate,IF($R136=0,$X136,IF(AND($T136&lt;&gt;"",EDATE($D136,Milestones!$AA$64)&gt;=$T136),$W136,IF(AND($S136&lt;&gt;"",EDATE($D136,Milestones!$AA$64)&gt;=$S136),$V136,$U136)))=Milestones!$AB$64),UPPER(TEXT(EDATE($D136,Milestones!$AA$64),"dd mmm yy"))&amp;" "&amp;Milestones!$AB$64&amp;" "&amp;Milestones!$AC$64&amp;";  ","")&amp;IF(AND(EDATE($D136,Milestones!$AA$65)&lt;=AsOfDate,IF($R136=0,$X136,IF(AND($T136&lt;&gt;"",EDATE($D136,Milestones!$AA$65)&gt;=$T136),$W136,IF(AND($S136&lt;&gt;"",EDATE($D136,Milestones!$AA$65)&gt;=$S136),$V136,$U136)))=Milestones!$AB$65),UPPER(TEXT(EDATE($D136,Milestones!$AA$65),"dd mmm yy"))&amp;" "&amp;Milestones!$AB$65&amp;" "&amp;Milestones!$AC$65&amp;";  ","")&amp;IF(AND(EDATE($D136,Milestones!$AA$66)&lt;=AsOfDate,IF($R136=0,$X136,IF(AND($T136&lt;&gt;"",EDATE($D136,Milestones!$AA$66)&gt;=$T136),$W136,IF(AND($S136&lt;&gt;"",EDATE($D136,Milestones!$AA$66)&gt;=$S136),$V136,$U136)))=Milestones!$AB$66),UPPER(TEXT(EDATE($D136,Milestones!$AA$66),"dd mmm yy"))&amp;" "&amp;Milestones!$AB$66&amp;" "&amp;Milestones!$AC$66&amp;";  ","")&amp;IF(AND(EDATE($D136,Milestones!$AA$67)&lt;=AsOfDate,IF($R136=0,$X136,IF(AND($T136&lt;&gt;"",EDATE($D136,Milestones!$AA$67)&gt;=$T136),$W136,IF(AND($S136&lt;&gt;"",EDATE($D136,Milestones!$AA$67)&gt;=$S136),$V136,$U136)))=Milestones!$AB$67),UPPER(TEXT(EDATE($D136,Milestones!$AA$67),"dd mmm yy"))&amp;" "&amp;Milestones!$AB$67&amp;" "&amp;Milestones!$AC$67&amp;";  ","")&amp;IF(AND(EDATE($D136,Milestones!$AA$68)&lt;=AsOfDate,IF($R136=0,$X136,IF(AND($T136&lt;&gt;"",EDATE($D136,Milestones!$AA$68)&gt;=$T136),$W136,IF(AND($S136&lt;&gt;"",EDATE($D136,Milestones!$AA$68)&gt;=$S136),$V136,$U136)))=Milestones!$AB$68),UPPER(TEXT(EDATE($D136,Milestones!$AA$68),"dd mmm yy"))&amp;" "&amp;Milestones!$AB$68&amp;" "&amp;Milestones!$AC$68&amp;";  ","")&amp;IF(AND(EDATE($D136,Milestones!$AA$69)&lt;=AsOfDate,IF($R136=0,$X136,IF(AND($T136&lt;&gt;"",EDATE($D136,Milestones!$AA$69)&gt;=$T136),$W136,IF(AND($S136&lt;&gt;"",EDATE($D136,Milestones!$AA$69)&gt;=$S136),$V136,$U136)))=Milestones!$AB$69),UPPER(TEXT(EDATE($D136,Milestones!$AA$69),"dd mmm yy"))&amp;" "&amp;Milestones!$AB$69&amp;" "&amp;Milestones!$AC$69&amp;";  ","")&amp;IF(AND(EDATE($D136,Milestones!$AA$70)&lt;=AsOfDate,IF($R136=0,$X136,IF(AND($T136&lt;&gt;"",EDATE($D136,Milestones!$AA$70)&gt;=$T136),$W136,IF(AND($S136&lt;&gt;"",EDATE($D136,Milestones!$AA$70)&gt;=$S136),$V136,$U136)))=Milestones!$AB$70),UPPER(TEXT(EDATE($D136,Milestones!$AA$70),"dd mmm yy"))&amp;" "&amp;Milestones!$AB$70&amp;" "&amp;Milestones!$AC$70&amp;";  ","")&amp;IF(AND(EDATE($D136,Milestones!$AA$71)&lt;=AsOfDate,IF($R136=0,$X136,IF(AND($T136&lt;&gt;"",EDATE($D136,Milestones!$AA$71)&gt;=$T136),$W136,IF(AND($S136&lt;&gt;"",EDATE($D136,Milestones!$AA$71)&gt;=$S136),$V136,$U136)))=Milestones!$AB$71),UPPER(TEXT(EDATE($D136,Milestones!$AA$71),"dd mmm yy"))&amp;" "&amp;Milestones!$AB$71&amp;" "&amp;Milestones!$AC$71&amp;";  ","")&amp;IF(AND(EDATE($D136,Milestones!$AA$72)&lt;=AsOfDate,IF($R136=0,$X136,IF(AND($T136&lt;&gt;"",EDATE($D136,Milestones!$AA$72)&gt;=$T136),$W136,IF(AND($S136&lt;&gt;"",EDATE($D136,Milestones!$AA$72)&gt;=$S136),$V136,$U136)))=Milestones!$AB$72),UPPER(TEXT(EDATE($D136,Milestones!$AA$72),"dd mmm yy"))&amp;" "&amp;Milestones!$AB$72&amp;" "&amp;Milestones!$AC$72&amp;";  ","")&amp;IF(AND(EDATE($D136,Milestones!$AA$73)&lt;=AsOfDate,IF($R136=0,$X136,IF(AND($T136&lt;&gt;"",EDATE($D136,Milestones!$AA$73)&gt;=$T136),$W136,IF(AND($S136&lt;&gt;"",EDATE($D136,Milestones!$AA$73)&gt;=$S136),$V136,$U136)))=Milestones!$AB$73),UPPER(TEXT(EDATE($D136,Milestones!$AA$73),"dd mmm yy"))&amp;" "&amp;Milestones!$AB$73&amp;" "&amp;Milestones!$AC$73&amp;";  ","")&amp;IF(AND(EDATE($D136,Milestones!$AA$74)&lt;=AsOfDate,IF($R136=0,$X136,IF(AND($T136&lt;&gt;"",EDATE($D136,Milestones!$AA$74)&gt;=$T136),$W136,IF(AND($S136&lt;&gt;"",EDATE($D136,Milestones!$AA$74)&gt;=$S136),$V136,$U136)))=Milestones!$AB$74),UPPER(TEXT(EDATE($D136,Milestones!$AA$74),"dd mmm yy"))&amp;" "&amp;Milestones!$AB$74&amp;" "&amp;Milestones!$AC$74&amp;";  ","")&amp;IF(AND(EDATE($D136,Milestones!$AA$75)&lt;=AsOfDate,IF($R136=0,$X136,IF(AND($T136&lt;&gt;"",EDATE($D136,Milestones!$AA$75)&gt;=$T136),$W136,IF(AND($S136&lt;&gt;"",EDATE($D136,Milestones!$AA$75)&gt;=$S136),$V136,$U136)))=Milestones!$AB$75),UPPER(TEXT(EDATE($D136,Milestones!$AA$75),"dd mmm yy"))&amp;" "&amp;Milestones!$AB$75&amp;" "&amp;Milestones!$AC$75&amp;";  ","")&amp;IF(AND(EDATE($D136,Milestones!$AA$76)&lt;=AsOfDate,IF($R136=0,$X136,IF(AND($T136&lt;&gt;"",EDATE($D136,Milestones!$AA$76)&gt;=$T136),$W136,IF(AND($S136&lt;&gt;"",EDATE($D136,Milestones!$AA$76)&gt;=$S136),$V136,$U136)))=Milestones!$AB$76),UPPER(TEXT(EDATE($D136,Milestones!$AA$76),"dd mmm yy"))&amp;" "&amp;Milestones!$AB$76&amp;" "&amp;Milestones!$AC$76&amp;";  ","")&amp;IF(AND(EDATE($D136,Milestones!$AA$77)&lt;=AsOfDate,IF($R136=0,$X136,IF(AND($T136&lt;&gt;"",EDATE($D136,Milestones!$AA$77)&gt;=$T136),$W136,IF(AND($S136&lt;&gt;"",EDATE($D136,Milestones!$AA$77)&gt;=$S136),$V136,$U136)))=Milestones!$AB$77),UPPER(TEXT(EDATE($D136,Milestones!$AA$77),"dd mmm yy"))&amp;" "&amp;Milestones!$AB$77&amp;" "&amp;Milestones!$AC$77&amp;";  ","")&amp;IF(AND(EDATE($D136,Milestones!$AA$78)&lt;=AsOfDate,IF($R136=0,$X136,IF(AND($T136&lt;&gt;"",EDATE($D136,Milestones!$AA$78)&gt;=$T136),$W136,IF(AND($S136&lt;&gt;"",EDATE($D136,Milestones!$AA$78)&gt;=$S136),$V136,$U136)))=Milestones!$AB$78),UPPER(TEXT(EDATE($D136,Milestones!$AA$78),"dd mmm yy"))&amp;" "&amp;Milestones!$AB$78&amp;" "&amp;Milestones!$AC$78&amp;";  ","")&amp;IF(AND(EDATE($D136,Milestones!$AA$79)&lt;=AsOfDate,IF($R136=0,$X136,IF(AND($T136&lt;&gt;"",EDATE($D136,Milestones!$AA$79)&gt;=$T136),$W136,IF(AND($S136&lt;&gt;"",EDATE($D136,Milestones!$AA$79)&gt;=$S136),$V136,$U136)))=Milestones!$AB$79),UPPER(TEXT(EDATE($D136,Milestones!$AA$79),"dd mmm yy"))&amp;" "&amp;Milestones!$AB$79&amp;" "&amp;Milestones!$AC$79&amp;";  ",""))</f>
        <v/>
      </c>
      <c r="L136" s="0" t="str">
        <f aca="false">IF(OR($A136="",$D136=""),"",IF(AND(EDATE($D136,Milestones!$AA$80)&lt;=AsOfDate,IF($R136=0,$X136,IF(AND($T136&lt;&gt;"",EDATE($D136,Milestones!$AA$80)&gt;=$T136),$W136,IF(AND($S136&lt;&gt;"",EDATE($D136,Milestones!$AA$80)&gt;=$S136),$V136,$U136)))=Milestones!$AB$80),UPPER(TEXT(EDATE($D136,Milestones!$AA$80),"dd mmm yy"))&amp;" "&amp;Milestones!$AB$80&amp;" "&amp;Milestones!$AC$80&amp;";  ","")&amp;IF(AND(EDATE($D136,Milestones!$AA$81)&lt;=AsOfDate,IF($R136=0,$X136,IF(AND($T136&lt;&gt;"",EDATE($D136,Milestones!$AA$81)&gt;=$T136),$W136,IF(AND($S136&lt;&gt;"",EDATE($D136,Milestones!$AA$81)&gt;=$S136),$V136,$U136)))=Milestones!$AB$81),UPPER(TEXT(EDATE($D136,Milestones!$AA$81),"dd mmm yy"))&amp;" "&amp;Milestones!$AB$81&amp;" "&amp;Milestones!$AC$81&amp;";  ","")&amp;IF(AND(EDATE($D136,Milestones!$AA$82)&lt;=AsOfDate,IF($R136=0,$X136,IF(AND($T136&lt;&gt;"",EDATE($D136,Milestones!$AA$82)&gt;=$T136),$W136,IF(AND($S136&lt;&gt;"",EDATE($D136,Milestones!$AA$82)&gt;=$S136),$V136,$U136)))=Milestones!$AB$82),UPPER(TEXT(EDATE($D136,Milestones!$AA$82),"dd mmm yy"))&amp;" "&amp;Milestones!$AB$82&amp;" "&amp;Milestones!$AC$82&amp;";  ","")&amp;IF(AND(EDATE($D136,Milestones!$AA$83)&lt;=AsOfDate,IF($R136=0,$X136,IF(AND($T136&lt;&gt;"",EDATE($D136,Milestones!$AA$83)&gt;=$T136),$W136,IF(AND($S136&lt;&gt;"",EDATE($D136,Milestones!$AA$83)&gt;=$S136),$V136,$U136)))=Milestones!$AB$83),UPPER(TEXT(EDATE($D136,Milestones!$AA$83),"dd mmm yy"))&amp;" "&amp;Milestones!$AB$83&amp;" "&amp;Milestones!$AC$83&amp;";  ","")&amp;IF(AND(EDATE($D136,Milestones!$AA$84)&lt;=AsOfDate,IF($R136=0,$X136,IF(AND($T136&lt;&gt;"",EDATE($D136,Milestones!$AA$84)&gt;=$T136),$W136,IF(AND($S136&lt;&gt;"",EDATE($D136,Milestones!$AA$84)&gt;=$S136),$V136,$U136)))=Milestones!$AB$84),UPPER(TEXT(EDATE($D136,Milestones!$AA$84),"dd mmm yy"))&amp;" "&amp;Milestones!$AB$84&amp;" "&amp;Milestones!$AC$84&amp;";  ","")&amp;IF(AND(EDATE($D136,Milestones!$AA$85)&lt;=AsOfDate,IF($R136=0,$X136,IF(AND($T136&lt;&gt;"",EDATE($D136,Milestones!$AA$85)&gt;=$T136),$W136,IF(AND($S136&lt;&gt;"",EDATE($D136,Milestones!$AA$85)&gt;=$S136),$V136,$U136)))=Milestones!$AB$85),UPPER(TEXT(EDATE($D136,Milestones!$AA$85),"dd mmm yy"))&amp;" "&amp;Milestones!$AB$85&amp;" "&amp;Milestones!$AC$85&amp;";  ","")&amp;IF(AND(EDATE($D136,Milestones!$AA$86)&lt;=AsOfDate,IF($R136=0,$X136,IF(AND($T136&lt;&gt;"",EDATE($D136,Milestones!$AA$86)&gt;=$T136),$W136,IF(AND($S136&lt;&gt;"",EDATE($D136,Milestones!$AA$86)&gt;=$S136),$V136,$U136)))=Milestones!$AB$86),UPPER(TEXT(EDATE($D136,Milestones!$AA$86),"dd mmm yy"))&amp;" "&amp;Milestones!$AB$86&amp;" "&amp;Milestones!$AC$86&amp;";  ","")&amp;IF(AND(EDATE($D136,Milestones!$AA$87)&lt;=AsOfDate,IF($R136=0,$X136,IF(AND($T136&lt;&gt;"",EDATE($D136,Milestones!$AA$87)&gt;=$T136),$W136,IF(AND($S136&lt;&gt;"",EDATE($D136,Milestones!$AA$87)&gt;=$S136),$V136,$U136)))=Milestones!$AB$87),UPPER(TEXT(EDATE($D136,Milestones!$AA$87),"dd mmm yy"))&amp;" "&amp;Milestones!$AB$87&amp;" "&amp;Milestones!$AC$87&amp;";  ","")&amp;IF(AND(EDATE($D136,Milestones!$AA$88)&lt;=AsOfDate,IF($R136=0,$X136,IF(AND($T136&lt;&gt;"",EDATE($D136,Milestones!$AA$88)&gt;=$T136),$W136,IF(AND($S136&lt;&gt;"",EDATE($D136,Milestones!$AA$88)&gt;=$S136),$V136,$U136)))=Milestones!$AB$88),UPPER(TEXT(EDATE($D136,Milestones!$AA$88),"dd mmm yy"))&amp;" "&amp;Milestones!$AB$88&amp;" "&amp;Milestones!$AC$88&amp;";  ","")&amp;IF(AND(EDATE($D136,Milestones!$AA$89)&lt;=AsOfDate,IF($R136=0,$X136,IF(AND($T136&lt;&gt;"",EDATE($D136,Milestones!$AA$89)&gt;=$T136),$W136,IF(AND($S136&lt;&gt;"",EDATE($D136,Milestones!$AA$89)&gt;=$S136),$V136,$U136)))=Milestones!$AB$89),UPPER(TEXT(EDATE($D136,Milestones!$AA$89),"dd mmm yy"))&amp;" "&amp;Milestones!$AB$89&amp;" "&amp;Milestones!$AC$89&amp;";  ","")&amp;IF(AND(EDATE($D136,Milestones!$AA$90)&lt;=AsOfDate,IF($R136=0,$X136,IF(AND($T136&lt;&gt;"",EDATE($D136,Milestones!$AA$90)&gt;=$T136),$W136,IF(AND($S136&lt;&gt;"",EDATE($D136,Milestones!$AA$90)&gt;=$S136),$V136,$U136)))=Milestones!$AB$90),UPPER(TEXT(EDATE($D136,Milestones!$AA$90),"dd mmm yy"))&amp;" "&amp;Milestones!$AB$90&amp;" "&amp;Milestones!$AC$90&amp;";  ","")&amp;IF(AND(EDATE($D136,Milestones!$AA$91)&lt;=AsOfDate,IF($R136=0,$X136,IF(AND($T136&lt;&gt;"",EDATE($D136,Milestones!$AA$91)&gt;=$T136),$W136,IF(AND($S136&lt;&gt;"",EDATE($D136,Milestones!$AA$91)&gt;=$S136),$V136,$U136)))=Milestones!$AB$91),UPPER(TEXT(EDATE($D136,Milestones!$AA$91),"dd mmm yy"))&amp;" "&amp;Milestones!$AB$91&amp;" "&amp;Milestones!$AC$91&amp;";  ","")&amp;IF(AND(EDATE($D136,Milestones!$AA$92)&lt;=AsOfDate,IF($R136=0,$X136,IF(AND($T136&lt;&gt;"",EDATE($D136,Milestones!$AA$92)&gt;=$T136),$W136,IF(AND($S136&lt;&gt;"",EDATE($D136,Milestones!$AA$92)&gt;=$S136),$V136,$U136)))=Milestones!$AB$92),UPPER(TEXT(EDATE($D136,Milestones!$AA$92),"dd mmm yy"))&amp;" "&amp;Milestones!$AB$92&amp;" "&amp;Milestones!$AC$92&amp;";  ","")&amp;IF(AND(EDATE($D136,Milestones!$AA$93)&lt;=AsOfDate,IF($R136=0,$X136,IF(AND($T136&lt;&gt;"",EDATE($D136,Milestones!$AA$93)&gt;=$T136),$W136,IF(AND($S136&lt;&gt;"",EDATE($D136,Milestones!$AA$93)&gt;=$S136),$V136,$U136)))=Milestones!$AB$93),UPPER(TEXT(EDATE($D136,Milestones!$AA$93),"dd mmm yy"))&amp;" "&amp;Milestones!$AB$93&amp;" "&amp;Milestones!$AC$93&amp;";  ","")&amp;IF(AND(EDATE($D136,Milestones!$AA$94)&lt;=AsOfDate,IF($R136=0,$X136,IF(AND($T136&lt;&gt;"",EDATE($D136,Milestones!$AA$94)&gt;=$T136),$W136,IF(AND($S136&lt;&gt;"",EDATE($D136,Milestones!$AA$94)&gt;=$S136),$V136,$U136)))=Milestones!$AB$94),UPPER(TEXT(EDATE($D136,Milestones!$AA$94),"dd mmm yy"))&amp;" "&amp;Milestones!$AB$94&amp;" "&amp;Milestones!$AC$94&amp;";  ","")&amp;IF(AND(EDATE($D136,Milestones!$AA$95)&lt;=AsOfDate,IF($R136=0,$X136,IF(AND($T136&lt;&gt;"",EDATE($D136,Milestones!$AA$95)&gt;=$T136),$W136,IF(AND($S136&lt;&gt;"",EDATE($D136,Milestones!$AA$95)&gt;=$S136),$V136,$U136)))=Milestones!$AB$95),UPPER(TEXT(EDATE($D136,Milestones!$AA$95),"dd mmm yy"))&amp;" "&amp;Milestones!$AB$95&amp;" "&amp;Milestones!$AC$95&amp;";  ","")&amp;IF(AND(EDATE($D136,Milestones!$AA$96)&lt;=AsOfDate,IF($R136=0,$X136,IF(AND($T136&lt;&gt;"",EDATE($D136,Milestones!$AA$96)&gt;=$T136),$W136,IF(AND($S136&lt;&gt;"",EDATE($D136,Milestones!$AA$96)&gt;=$S136),$V136,$U136)))=Milestones!$AB$96),UPPER(TEXT(EDATE($D136,Milestones!$AA$96),"dd mmm yy"))&amp;" "&amp;Milestones!$AB$96&amp;" "&amp;Milestones!$AC$96&amp;";  ","")&amp;IF(AND(EDATE($D136,Milestones!$AA$97)&lt;=AsOfDate,IF($R136=0,$X136,IF(AND($T136&lt;&gt;"",EDATE($D136,Milestones!$AA$97)&gt;=$T136),$W136,IF(AND($S136&lt;&gt;"",EDATE($D136,Milestones!$AA$97)&gt;=$S136),$V136,$U136)))=Milestones!$AB$97),UPPER(TEXT(EDATE($D136,Milestones!$AA$97),"dd mmm yy"))&amp;" "&amp;Milestones!$AB$97&amp;" "&amp;Milestones!$AC$97&amp;";  ","")&amp;IF(AND(EDATE($D136,Milestones!$AA$98)&lt;=AsOfDate,IF($R136=0,$X136,IF(AND($T136&lt;&gt;"",EDATE($D136,Milestones!$AA$98)&gt;=$T136),$W136,IF(AND($S136&lt;&gt;"",EDATE($D136,Milestones!$AA$98)&gt;=$S136),$V136,$U136)))=Milestones!$AB$98),UPPER(TEXT(EDATE($D136,Milestones!$AA$98),"dd mmm yy"))&amp;" "&amp;Milestones!$AB$98&amp;" "&amp;Milestones!$AC$98&amp;";  ","")&amp;IF(AND(EDATE($D136,Milestones!$AA$99)&lt;=AsOfDate,IF($R136=0,$X136,IF(AND($T136&lt;&gt;"",EDATE($D136,Milestones!$AA$99)&gt;=$T136),$W136,IF(AND($S136&lt;&gt;"",EDATE($D136,Milestones!$AA$99)&gt;=$S136),$V136,$U136)))=Milestones!$AB$99),UPPER(TEXT(EDATE($D136,Milestones!$AA$99),"dd mmm yy"))&amp;" "&amp;Milestones!$AB$99&amp;" "&amp;Milestones!$AC$99&amp;";  ",""))</f>
        <v/>
      </c>
      <c r="M136" s="0" t="str">
        <f aca="false">IF(OR($A136="",$D136=""),"",IF(AND(EDATE($D136,Milestones!$AA$100)&lt;=AsOfDate,IF($R136=0,$X136,IF(AND($T136&lt;&gt;"",EDATE($D136,Milestones!$AA$100)&gt;=$T136),$W136,IF(AND($S136&lt;&gt;"",EDATE($D136,Milestones!$AA$100)&gt;=$S136),$V136,$U136)))=Milestones!$AB$100),UPPER(TEXT(EDATE($D136,Milestones!$AA$100),"dd mmm yy"))&amp;" "&amp;Milestones!$AB$100&amp;" "&amp;Milestones!$AC$100&amp;";  ","")&amp;IF(AND(EDATE($D136,Milestones!$AA$101)&lt;=AsOfDate,IF($R136=0,$X136,IF(AND($T136&lt;&gt;"",EDATE($D136,Milestones!$AA$101)&gt;=$T136),$W136,IF(AND($S136&lt;&gt;"",EDATE($D136,Milestones!$AA$101)&gt;=$S136),$V136,$U136)))=Milestones!$AB$101),UPPER(TEXT(EDATE($D136,Milestones!$AA$101),"dd mmm yy"))&amp;" "&amp;Milestones!$AB$101&amp;" "&amp;Milestones!$AC$101&amp;";  ","")&amp;IF(AND(EDATE($D136,Milestones!$AA$102)&lt;=AsOfDate,IF($R136=0,$X136,IF(AND($T136&lt;&gt;"",EDATE($D136,Milestones!$AA$102)&gt;=$T136),$W136,IF(AND($S136&lt;&gt;"",EDATE($D136,Milestones!$AA$102)&gt;=$S136),$V136,$U136)))=Milestones!$AB$102),UPPER(TEXT(EDATE($D136,Milestones!$AA$102),"dd mmm yy"))&amp;" "&amp;Milestones!$AB$102&amp;" "&amp;Milestones!$AC$102&amp;";  ","")&amp;IF(AND(EDATE($D136,Milestones!$AA$103)&lt;=AsOfDate,IF($R136=0,$X136,IF(AND($T136&lt;&gt;"",EDATE($D136,Milestones!$AA$103)&gt;=$T136),$W136,IF(AND($S136&lt;&gt;"",EDATE($D136,Milestones!$AA$103)&gt;=$S136),$V136,$U136)))=Milestones!$AB$103),UPPER(TEXT(EDATE($D136,Milestones!$AA$103),"dd mmm yy"))&amp;" "&amp;Milestones!$AB$103&amp;" "&amp;Milestones!$AC$103&amp;";  ","")&amp;IF(AND(EDATE($D136,Milestones!$AA$104)&lt;=AsOfDate,IF($R136=0,$X136,IF(AND($T136&lt;&gt;"",EDATE($D136,Milestones!$AA$104)&gt;=$T136),$W136,IF(AND($S136&lt;&gt;"",EDATE($D136,Milestones!$AA$104)&gt;=$S136),$V136,$U136)))=Milestones!$AB$104),UPPER(TEXT(EDATE($D136,Milestones!$AA$104),"dd mmm yy"))&amp;" "&amp;Milestones!$AB$104&amp;" "&amp;Milestones!$AC$104&amp;";  ","")&amp;IF(AND(EDATE($D136,Milestones!$AA$105)&lt;=AsOfDate,IF($R136=0,$X136,IF(AND($T136&lt;&gt;"",EDATE($D136,Milestones!$AA$105)&gt;=$T136),$W136,IF(AND($S136&lt;&gt;"",EDATE($D136,Milestones!$AA$105)&gt;=$S136),$V136,$U136)))=Milestones!$AB$105),UPPER(TEXT(EDATE($D136,Milestones!$AA$105),"dd mmm yy"))&amp;" "&amp;Milestones!$AB$105&amp;" "&amp;Milestones!$AC$105&amp;";  ","")&amp;IF(AND(EDATE($D136,Milestones!$AA$106)&lt;=AsOfDate,IF($R136=0,$X136,IF(AND($T136&lt;&gt;"",EDATE($D136,Milestones!$AA$106)&gt;=$T136),$W136,IF(AND($S136&lt;&gt;"",EDATE($D136,Milestones!$AA$106)&gt;=$S136),$V136,$U136)))=Milestones!$AB$106),UPPER(TEXT(EDATE($D136,Milestones!$AA$106),"dd mmm yy"))&amp;" "&amp;Milestones!$AB$106&amp;" "&amp;Milestones!$AC$106&amp;";  ","")&amp;IF(AND(EDATE($D136,Milestones!$AA$107)&lt;=AsOfDate,IF($R136=0,$X136,IF(AND($T136&lt;&gt;"",EDATE($D136,Milestones!$AA$107)&gt;=$T136),$W136,IF(AND($S136&lt;&gt;"",EDATE($D136,Milestones!$AA$107)&gt;=$S136),$V136,$U136)))=Milestones!$AB$107),UPPER(TEXT(EDATE($D136,Milestones!$AA$107),"dd mmm yy"))&amp;" "&amp;Milestones!$AB$107&amp;" "&amp;Milestones!$AC$107&amp;";  ","")&amp;IF(AND(EDATE($D136,Milestones!$AA$108)&lt;=AsOfDate,IF($R136=0,$X136,IF(AND($T136&lt;&gt;"",EDATE($D136,Milestones!$AA$108)&gt;=$T136),$W136,IF(AND($S136&lt;&gt;"",EDATE($D136,Milestones!$AA$108)&gt;=$S136),$V136,$U136)))=Milestones!$AB$108),UPPER(TEXT(EDATE($D136,Milestones!$AA$108),"dd mmm yy"))&amp;" "&amp;Milestones!$AB$108&amp;" "&amp;Milestones!$AC$108&amp;";  ","")&amp;IF(AND(EDATE($D136,Milestones!$AA$109)&lt;=AsOfDate,IF($R136=0,$X136,IF(AND($T136&lt;&gt;"",EDATE($D136,Milestones!$AA$109)&gt;=$T136),$W136,IF(AND($S136&lt;&gt;"",EDATE($D136,Milestones!$AA$109)&gt;=$S136),$V136,$U136)))=Milestones!$AB$109),UPPER(TEXT(EDATE($D136,Milestones!$AA$109),"dd mmm yy"))&amp;" "&amp;Milestones!$AB$109&amp;" "&amp;Milestones!$AC$109&amp;";  ","")&amp;IF(AND(EDATE($D136,Milestones!$AA$110)&lt;=AsOfDate,IF($R136=0,$X136,IF(AND($T136&lt;&gt;"",EDATE($D136,Milestones!$AA$110)&gt;=$T136),$W136,IF(AND($S136&lt;&gt;"",EDATE($D136,Milestones!$AA$110)&gt;=$S136),$V136,$U136)))=Milestones!$AB$110),UPPER(TEXT(EDATE($D136,Milestones!$AA$110),"dd mmm yy"))&amp;" "&amp;Milestones!$AB$110&amp;" "&amp;Milestones!$AC$110&amp;";  ","")&amp;IF(AND(EDATE($D136,Milestones!$AA$111)&lt;=AsOfDate,IF($R136=0,$X136,IF(AND($T136&lt;&gt;"",EDATE($D136,Milestones!$AA$111)&gt;=$T136),$W136,IF(AND($S136&lt;&gt;"",EDATE($D136,Milestones!$AA$111)&gt;=$S136),$V136,$U136)))=Milestones!$AB$111),UPPER(TEXT(EDATE($D136,Milestones!$AA$111),"dd mmm yy"))&amp;" "&amp;Milestones!$AB$111&amp;" "&amp;Milestones!$AC$111&amp;";  ","")&amp;IF(AND(EDATE($D136,Milestones!$AA$112)&lt;=AsOfDate,IF($R136=0,$X136,IF(AND($T136&lt;&gt;"",EDATE($D136,Milestones!$AA$112)&gt;=$T136),$W136,IF(AND($S136&lt;&gt;"",EDATE($D136,Milestones!$AA$112)&gt;=$S136),$V136,$U136)))=Milestones!$AB$112),UPPER(TEXT(EDATE($D136,Milestones!$AA$112),"dd mmm yy"))&amp;" "&amp;Milestones!$AB$112&amp;" "&amp;Milestones!$AC$112&amp;";  ","")&amp;IF(AND(EDATE($D136,Milestones!$AA$113)&lt;=AsOfDate,IF($R136=0,$X136,IF(AND($T136&lt;&gt;"",EDATE($D136,Milestones!$AA$113)&gt;=$T136),$W136,IF(AND($S136&lt;&gt;"",EDATE($D136,Milestones!$AA$113)&gt;=$S136),$V136,$U136)))=Milestones!$AB$113),UPPER(TEXT(EDATE($D136,Milestones!$AA$113),"dd mmm yy"))&amp;" "&amp;Milestones!$AB$113&amp;" "&amp;Milestones!$AC$113&amp;";  ","")&amp;IF(AND(EDATE($D136,Milestones!$AA$114)&lt;=AsOfDate,IF($R136=0,$X136,IF(AND($T136&lt;&gt;"",EDATE($D136,Milestones!$AA$114)&gt;=$T136),$W136,IF(AND($S136&lt;&gt;"",EDATE($D136,Milestones!$AA$114)&gt;=$S136),$V136,$U136)))=Milestones!$AB$114),UPPER(TEXT(EDATE($D136,Milestones!$AA$114),"dd mmm yy"))&amp;" "&amp;Milestones!$AB$114&amp;" "&amp;Milestones!$AC$114&amp;";  ","")&amp;IF(AND(EDATE($D136,Milestones!$AA$115)&lt;=AsOfDate,IF($R136=0,$X136,IF(AND($T136&lt;&gt;"",EDATE($D136,Milestones!$AA$115)&gt;=$T136),$W136,IF(AND($S136&lt;&gt;"",EDATE($D136,Milestones!$AA$115)&gt;=$S136),$V136,$U136)))=Milestones!$AB$115),UPPER(TEXT(EDATE($D136,Milestones!$AA$115),"dd mmm yy"))&amp;" "&amp;Milestones!$AB$115&amp;" "&amp;Milestones!$AC$115&amp;";  ","")&amp;IF(AND(EDATE($D136,Milestones!$AA$116)&lt;=AsOfDate,IF($R136=0,$X136,IF(AND($T136&lt;&gt;"",EDATE($D136,Milestones!$AA$116)&gt;=$T136),$W136,IF(AND($S136&lt;&gt;"",EDATE($D136,Milestones!$AA$116)&gt;=$S136),$V136,$U136)))=Milestones!$AB$116),UPPER(TEXT(EDATE($D136,Milestones!$AA$116),"dd mmm yy"))&amp;" "&amp;Milestones!$AB$116&amp;" "&amp;Milestones!$AC$116&amp;";  ","")&amp;IF(AND(EDATE($D136,Milestones!$AA$117)&lt;=AsOfDate,IF($R136=0,$X136,IF(AND($T136&lt;&gt;"",EDATE($D136,Milestones!$AA$117)&gt;=$T136),$W136,IF(AND($S136&lt;&gt;"",EDATE($D136,Milestones!$AA$117)&gt;=$S136),$V136,$U136)))=Milestones!$AB$117),UPPER(TEXT(EDATE($D136,Milestones!$AA$117),"dd mmm yy"))&amp;" "&amp;Milestones!$AB$117&amp;" "&amp;Milestones!$AC$117&amp;";  ","")&amp;IF(AND(EDATE($D136,Milestones!$AA$118)&lt;=AsOfDate,IF($R136=0,$X136,IF(AND($T136&lt;&gt;"",EDATE($D136,Milestones!$AA$118)&gt;=$T136),$W136,IF(AND($S136&lt;&gt;"",EDATE($D136,Milestones!$AA$118)&gt;=$S136),$V136,$U136)))=Milestones!$AB$118),UPPER(TEXT(EDATE($D136,Milestones!$AA$118),"dd mmm yy"))&amp;" "&amp;Milestones!$AB$118&amp;" "&amp;Milestones!$AC$118&amp;";  ","")&amp;IF(AND(EDATE($D136,Milestones!$AA$119)&lt;=AsOfDate,IF($R136=0,$X136,IF(AND($T136&lt;&gt;"",EDATE($D136,Milestones!$AA$119)&gt;=$T136),$W136,IF(AND($S136&lt;&gt;"",EDATE($D136,Milestones!$AA$119)&gt;=$S136),$V136,$U136)))=Milestones!$AB$119),UPPER(TEXT(EDATE($D136,Milestones!$AA$119),"dd mmm yy"))&amp;" "&amp;Milestones!$AB$119&amp;" "&amp;Milestones!$AC$119&amp;";  ",""))</f>
        <v/>
      </c>
      <c r="N136" s="0" t="str">
        <f aca="false">IF(OR($A136="",$D136=""),"",IF(AND(EDATE($D136,Milestones!$AA$120)&lt;=AsOfDate,IF($R136=0,$X136,IF(AND($T136&lt;&gt;"",EDATE($D136,Milestones!$AA$120)&gt;=$T136),$W136,IF(AND($S136&lt;&gt;"",EDATE($D136,Milestones!$AA$120)&gt;=$S136),$V136,$U136)))=Milestones!$AB$120),UPPER(TEXT(EDATE($D136,Milestones!$AA$120),"dd mmm yy"))&amp;" "&amp;Milestones!$AB$120&amp;" "&amp;Milestones!$AC$120&amp;";  ","")&amp;IF(AND(EDATE($D136,Milestones!$AA$121)&lt;=AsOfDate,IF($R136=0,$X136,IF(AND($T136&lt;&gt;"",EDATE($D136,Milestones!$AA$121)&gt;=$T136),$W136,IF(AND($S136&lt;&gt;"",EDATE($D136,Milestones!$AA$121)&gt;=$S136),$V136,$U136)))=Milestones!$AB$121),UPPER(TEXT(EDATE($D136,Milestones!$AA$121),"dd mmm yy"))&amp;" "&amp;Milestones!$AB$121&amp;" "&amp;Milestones!$AC$121&amp;";  ","")&amp;IF(AND(EDATE($D136,Milestones!$AA$122)&lt;=AsOfDate,IF($R136=0,$X136,IF(AND($T136&lt;&gt;"",EDATE($D136,Milestones!$AA$122)&gt;=$T136),$W136,IF(AND($S136&lt;&gt;"",EDATE($D136,Milestones!$AA$122)&gt;=$S136),$V136,$U136)))=Milestones!$AB$122),UPPER(TEXT(EDATE($D136,Milestones!$AA$122),"dd mmm yy"))&amp;" "&amp;Milestones!$AB$122&amp;" "&amp;Milestones!$AC$122&amp;";  ","")&amp;IF(AND(EDATE($D136,Milestones!$AA$123)&lt;=AsOfDate,IF($R136=0,$X136,IF(AND($T136&lt;&gt;"",EDATE($D136,Milestones!$AA$123)&gt;=$T136),$W136,IF(AND($S136&lt;&gt;"",EDATE($D136,Milestones!$AA$123)&gt;=$S136),$V136,$U136)))=Milestones!$AB$123),UPPER(TEXT(EDATE($D136,Milestones!$AA$123),"dd mmm yy"))&amp;" "&amp;Milestones!$AB$123&amp;" "&amp;Milestones!$AC$123&amp;";  ","")&amp;IF(AND(EDATE($D136,Milestones!$AA$124)&lt;=AsOfDate,IF($R136=0,$X136,IF(AND($T136&lt;&gt;"",EDATE($D136,Milestones!$AA$124)&gt;=$T136),$W136,IF(AND($S136&lt;&gt;"",EDATE($D136,Milestones!$AA$124)&gt;=$S136),$V136,$U136)))=Milestones!$AB$124),UPPER(TEXT(EDATE($D136,Milestones!$AA$124),"dd mmm yy"))&amp;" "&amp;Milestones!$AB$124&amp;" "&amp;Milestones!$AC$124&amp;";  ","")&amp;IF(AND(EDATE($D136,Milestones!$AA$125)&lt;=AsOfDate,IF($R136=0,$X136,IF(AND($T136&lt;&gt;"",EDATE($D136,Milestones!$AA$125)&gt;=$T136),$W136,IF(AND($S136&lt;&gt;"",EDATE($D136,Milestones!$AA$125)&gt;=$S136),$V136,$U136)))=Milestones!$AB$125),UPPER(TEXT(EDATE($D136,Milestones!$AA$125),"dd mmm yy"))&amp;" "&amp;Milestones!$AB$125&amp;" "&amp;Milestones!$AC$125&amp;";  ","")&amp;IF(AND(EDATE($D136,Milestones!$AA$126)&lt;=AsOfDate,IF($R136=0,$X136,IF(AND($T136&lt;&gt;"",EDATE($D136,Milestones!$AA$126)&gt;=$T136),$W136,IF(AND($S136&lt;&gt;"",EDATE($D136,Milestones!$AA$126)&gt;=$S136),$V136,$U136)))=Milestones!$AB$126),UPPER(TEXT(EDATE($D136,Milestones!$AA$126),"dd mmm yy"))&amp;" "&amp;Milestones!$AB$126&amp;" "&amp;Milestones!$AC$126&amp;";  ","")&amp;IF(AND(EDATE($D136,Milestones!$AA$127)&lt;=AsOfDate,IF($R136=0,$X136,IF(AND($T136&lt;&gt;"",EDATE($D136,Milestones!$AA$127)&gt;=$T136),$W136,IF(AND($S136&lt;&gt;"",EDATE($D136,Milestones!$AA$127)&gt;=$S136),$V136,$U136)))=Milestones!$AB$127),UPPER(TEXT(EDATE($D136,Milestones!$AA$127),"dd mmm yy"))&amp;" "&amp;Milestones!$AB$127&amp;" "&amp;Milestones!$AC$127&amp;";  ","")&amp;IF(AND(EDATE($D136,Milestones!$AA$128)&lt;=AsOfDate,IF($R136=0,$X136,IF(AND($T136&lt;&gt;"",EDATE($D136,Milestones!$AA$128)&gt;=$T136),$W136,IF(AND($S136&lt;&gt;"",EDATE($D136,Milestones!$AA$128)&gt;=$S136),$V136,$U136)))=Milestones!$AB$128),UPPER(TEXT(EDATE($D136,Milestones!$AA$128),"dd mmm yy"))&amp;" "&amp;Milestones!$AB$128&amp;" "&amp;Milestones!$AC$128&amp;";  ","")&amp;IF(AND(EDATE($D136,Milestones!$AA$129)&lt;=AsOfDate,IF($R136=0,$X136,IF(AND($T136&lt;&gt;"",EDATE($D136,Milestones!$AA$129)&gt;=$T136),$W136,IF(AND($S136&lt;&gt;"",EDATE($D136,Milestones!$AA$129)&gt;=$S136),$V136,$U136)))=Milestones!$AB$129),UPPER(TEXT(EDATE($D136,Milestones!$AA$129),"dd mmm yy"))&amp;" "&amp;Milestones!$AB$129&amp;" "&amp;Milestones!$AC$129&amp;";  ","")&amp;IF(AND(EDATE($D136,Milestones!$AA$130)&lt;=AsOfDate,IF($R136=0,$X136,IF(AND($T136&lt;&gt;"",EDATE($D136,Milestones!$AA$130)&gt;=$T136),$W136,IF(AND($S136&lt;&gt;"",EDATE($D136,Milestones!$AA$130)&gt;=$S136),$V136,$U136)))=Milestones!$AB$130),UPPER(TEXT(EDATE($D136,Milestones!$AA$130),"dd mmm yy"))&amp;" "&amp;Milestones!$AB$130&amp;" "&amp;Milestones!$AC$130&amp;";  ","")&amp;IF(AND(EDATE($D136,Milestones!$AA$131)&lt;=AsOfDate,IF($R136=0,$X136,IF(AND($T136&lt;&gt;"",EDATE($D136,Milestones!$AA$131)&gt;=$T136),$W136,IF(AND($S136&lt;&gt;"",EDATE($D136,Milestones!$AA$131)&gt;=$S136),$V136,$U136)))=Milestones!$AB$131),UPPER(TEXT(EDATE($D136,Milestones!$AA$131),"dd mmm yy"))&amp;" "&amp;Milestones!$AB$131&amp;" "&amp;Milestones!$AC$131&amp;";  ","")&amp;IF(AND(EDATE($D136,Milestones!$AA$132)&lt;=AsOfDate,IF($R136=0,$X136,IF(AND($T136&lt;&gt;"",EDATE($D136,Milestones!$AA$132)&gt;=$T136),$W136,IF(AND($S136&lt;&gt;"",EDATE($D136,Milestones!$AA$132)&gt;=$S136),$V136,$U136)))=Milestones!$AB$132),UPPER(TEXT(EDATE($D136,Milestones!$AA$132),"dd mmm yy"))&amp;" "&amp;Milestones!$AB$132&amp;" "&amp;Milestones!$AC$132&amp;";  ","")&amp;IF(AND(EDATE($D136,Milestones!$AA$133)&lt;=AsOfDate,IF($R136=0,$X136,IF(AND($T136&lt;&gt;"",EDATE($D136,Milestones!$AA$133)&gt;=$T136),$W136,IF(AND($S136&lt;&gt;"",EDATE($D136,Milestones!$AA$133)&gt;=$S136),$V136,$U136)))=Milestones!$AB$133),UPPER(TEXT(EDATE($D136,Milestones!$AA$133),"dd mmm yy"))&amp;" "&amp;Milestones!$AB$133&amp;" "&amp;Milestones!$AC$133&amp;";  ","")&amp;IF(AND(EDATE($D136,Milestones!$AA$134)&lt;=AsOfDate,IF($R136=0,$X136,IF(AND($T136&lt;&gt;"",EDATE($D136,Milestones!$AA$134)&gt;=$T136),$W136,IF(AND($S136&lt;&gt;"",EDATE($D136,Milestones!$AA$134)&gt;=$S136),$V136,$U136)))=Milestones!$AB$134),UPPER(TEXT(EDATE($D136,Milestones!$AA$134),"dd mmm yy"))&amp;" "&amp;Milestones!$AB$134&amp;" "&amp;Milestones!$AC$134&amp;";  ","")&amp;IF(AND(EDATE($D136,Milestones!$AA$135)&lt;=AsOfDate,IF($R136=0,$X136,IF(AND($T136&lt;&gt;"",EDATE($D136,Milestones!$AA$135)&gt;=$T136),$W136,IF(AND($S136&lt;&gt;"",EDATE($D136,Milestones!$AA$135)&gt;=$S136),$V136,$U136)))=Milestones!$AB$135),UPPER(TEXT(EDATE($D136,Milestones!$AA$135),"dd mmm yy"))&amp;" "&amp;Milestones!$AB$135&amp;" "&amp;Milestones!$AC$135&amp;";  ","")&amp;IF(AND(EDATE($D136,Milestones!$AA$136)&lt;=AsOfDate,IF($R136=0,$X136,IF(AND($T136&lt;&gt;"",EDATE($D136,Milestones!$AA$136)&gt;=$T136),$W136,IF(AND($S136&lt;&gt;"",EDATE($D136,Milestones!$AA$136)&gt;=$S136),$V136,$U136)))=Milestones!$AB$136),UPPER(TEXT(EDATE($D136,Milestones!$AA$136),"dd mmm yy"))&amp;" "&amp;Milestones!$AB$136&amp;" "&amp;Milestones!$AC$136&amp;";  ","")&amp;IF(AND(EDATE($D136,Milestones!$AA$137)&lt;=AsOfDate,IF($R136=0,$X136,IF(AND($T136&lt;&gt;"",EDATE($D136,Milestones!$AA$137)&gt;=$T136),$W136,IF(AND($S136&lt;&gt;"",EDATE($D136,Milestones!$AA$137)&gt;=$S136),$V136,$U136)))=Milestones!$AB$137),UPPER(TEXT(EDATE($D136,Milestones!$AA$137),"dd mmm yy"))&amp;" "&amp;Milestones!$AB$137&amp;" "&amp;Milestones!$AC$137&amp;";  ","")&amp;IF(AND(EDATE($D136,Milestones!$AA$138)&lt;=AsOfDate,IF($R136=0,$X136,IF(AND($T136&lt;&gt;"",EDATE($D136,Milestones!$AA$138)&gt;=$T136),$W136,IF(AND($S136&lt;&gt;"",EDATE($D136,Milestones!$AA$138)&gt;=$S136),$V136,$U136)))=Milestones!$AB$138),UPPER(TEXT(EDATE($D136,Milestones!$AA$138),"dd mmm yy"))&amp;" "&amp;Milestones!$AB$138&amp;" "&amp;Milestones!$AC$138&amp;";  ","")&amp;IF(AND(EDATE($D136,Milestones!$AA$139)&lt;=AsOfDate,IF($R136=0,$X136,IF(AND($T136&lt;&gt;"",EDATE($D136,Milestones!$AA$139)&gt;=$T136),$W136,IF(AND($S136&lt;&gt;"",EDATE($D136,Milestones!$AA$139)&gt;=$S136),$V136,$U136)))=Milestones!$AB$139),UPPER(TEXT(EDATE($D136,Milestones!$AA$139),"dd mmm yy"))&amp;" "&amp;Milestones!$AB$139&amp;" "&amp;Milestones!$AC$139&amp;";  ",""))</f>
        <v/>
      </c>
      <c r="O136" s="0" t="str">
        <f aca="false">IF(OR($A136="",$D136=""),"",IF(AND(EDATE($D136,Milestones!$AA$140)&lt;=AsOfDate,IF($R136=0,$X136,IF(AND($T136&lt;&gt;"",EDATE($D136,Milestones!$AA$140)&gt;=$T136),$W136,IF(AND($S136&lt;&gt;"",EDATE($D136,Milestones!$AA$140)&gt;=$S136),$V136,$U136)))=Milestones!$AB$140),UPPER(TEXT(EDATE($D136,Milestones!$AA$140),"dd mmm yy"))&amp;" "&amp;Milestones!$AB$140&amp;" "&amp;Milestones!$AC$140&amp;";  ","")&amp;IF(AND(EDATE($D136,Milestones!$AA$141)&lt;=AsOfDate,IF($R136=0,$X136,IF(AND($T136&lt;&gt;"",EDATE($D136,Milestones!$AA$141)&gt;=$T136),$W136,IF(AND($S136&lt;&gt;"",EDATE($D136,Milestones!$AA$141)&gt;=$S136),$V136,$U136)))=Milestones!$AB$141),UPPER(TEXT(EDATE($D136,Milestones!$AA$141),"dd mmm yy"))&amp;" "&amp;Milestones!$AB$141&amp;" "&amp;Milestones!$AC$141&amp;";  ","")&amp;IF(AND(EDATE($D136,Milestones!$AA$142)&lt;=AsOfDate,IF($R136=0,$X136,IF(AND($T136&lt;&gt;"",EDATE($D136,Milestones!$AA$142)&gt;=$T136),$W136,IF(AND($S136&lt;&gt;"",EDATE($D136,Milestones!$AA$142)&gt;=$S136),$V136,$U136)))=Milestones!$AB$142),UPPER(TEXT(EDATE($D136,Milestones!$AA$142),"dd mmm yy"))&amp;" "&amp;Milestones!$AB$142&amp;" "&amp;Milestones!$AC$142&amp;";  ","")&amp;IF(AND(EDATE($D136,Milestones!$AA$143)&lt;=AsOfDate,IF($R136=0,$X136,IF(AND($T136&lt;&gt;"",EDATE($D136,Milestones!$AA$143)&gt;=$T136),$W136,IF(AND($S136&lt;&gt;"",EDATE($D136,Milestones!$AA$143)&gt;=$S136),$V136,$U136)))=Milestones!$AB$143),UPPER(TEXT(EDATE($D136,Milestones!$AA$143),"dd mmm yy"))&amp;" "&amp;Milestones!$AB$143&amp;" "&amp;Milestones!$AC$143&amp;";  ","")&amp;IF(AND(EDATE($D136,Milestones!$AA$144)&lt;=AsOfDate,IF($R136=0,$X136,IF(AND($T136&lt;&gt;"",EDATE($D136,Milestones!$AA$144)&gt;=$T136),$W136,IF(AND($S136&lt;&gt;"",EDATE($D136,Milestones!$AA$144)&gt;=$S136),$V136,$U136)))=Milestones!$AB$144),UPPER(TEXT(EDATE($D136,Milestones!$AA$144),"dd mmm yy"))&amp;" "&amp;Milestones!$AB$144&amp;" "&amp;Milestones!$AC$144&amp;";  ","")&amp;IF(AND(EDATE($D136,Milestones!$AA$145)&lt;=AsOfDate,IF($R136=0,$X136,IF(AND($T136&lt;&gt;"",EDATE($D136,Milestones!$AA$145)&gt;=$T136),$W136,IF(AND($S136&lt;&gt;"",EDATE($D136,Milestones!$AA$145)&gt;=$S136),$V136,$U136)))=Milestones!$AB$145),UPPER(TEXT(EDATE($D136,Milestones!$AA$145),"dd mmm yy"))&amp;" "&amp;Milestones!$AB$145&amp;" "&amp;Milestones!$AC$145&amp;";  ","")&amp;IF(AND(EDATE($D136,Milestones!$AA$146)&lt;=AsOfDate,IF($R136=0,$X136,IF(AND($T136&lt;&gt;"",EDATE($D136,Milestones!$AA$146)&gt;=$T136),$W136,IF(AND($S136&lt;&gt;"",EDATE($D136,Milestones!$AA$146)&gt;=$S136),$V136,$U136)))=Milestones!$AB$146),UPPER(TEXT(EDATE($D136,Milestones!$AA$146),"dd mmm yy"))&amp;" "&amp;Milestones!$AB$146&amp;" "&amp;Milestones!$AC$146&amp;";  ","")&amp;IF(AND(EDATE($D136,Milestones!$AA$147)&lt;=AsOfDate,IF($R136=0,$X136,IF(AND($T136&lt;&gt;"",EDATE($D136,Milestones!$AA$147)&gt;=$T136),$W136,IF(AND($S136&lt;&gt;"",EDATE($D136,Milestones!$AA$147)&gt;=$S136),$V136,$U136)))=Milestones!$AB$147),UPPER(TEXT(EDATE($D136,Milestones!$AA$147),"dd mmm yy"))&amp;" "&amp;Milestones!$AB$147&amp;" "&amp;Milestones!$AC$147&amp;";  ","")&amp;IF(AND(EDATE($D136,Milestones!$AA$148)&lt;=AsOfDate,IF($R136=0,$X136,IF(AND($T136&lt;&gt;"",EDATE($D136,Milestones!$AA$148)&gt;=$T136),$W136,IF(AND($S136&lt;&gt;"",EDATE($D136,Milestones!$AA$148)&gt;=$S136),$V136,$U136)))=Milestones!$AB$148),UPPER(TEXT(EDATE($D136,Milestones!$AA$148),"dd mmm yy"))&amp;" "&amp;Milestones!$AB$148&amp;" "&amp;Milestones!$AC$148&amp;";  ","")&amp;IF(AND(EDATE($D136,Milestones!$AA$149)&lt;=AsOfDate,IF($R136=0,$X136,IF(AND($T136&lt;&gt;"",EDATE($D136,Milestones!$AA$149)&gt;=$T136),$W136,IF(AND($S136&lt;&gt;"",EDATE($D136,Milestones!$AA$149)&gt;=$S136),$V136,$U136)))=Milestones!$AB$149),UPPER(TEXT(EDATE($D136,Milestones!$AA$149),"dd mmm yy"))&amp;" "&amp;Milestones!$AB$149&amp;" "&amp;Milestones!$AC$149&amp;";  ","")&amp;IF(AND(EDATE($D136,Milestones!$AA$150)&lt;=AsOfDate,IF($R136=0,$X136,IF(AND($T136&lt;&gt;"",EDATE($D136,Milestones!$AA$150)&gt;=$T136),$W136,IF(AND($S136&lt;&gt;"",EDATE($D136,Milestones!$AA$150)&gt;=$S136),$V136,$U136)))=Milestones!$AB$150),UPPER(TEXT(EDATE($D136,Milestones!$AA$150),"dd mmm yy"))&amp;" "&amp;Milestones!$AB$150&amp;" "&amp;Milestones!$AC$150&amp;";  ","")&amp;IF(AND(EDATE($D136,Milestones!$AA$151)&lt;=AsOfDate,IF($R136=0,$X136,IF(AND($T136&lt;&gt;"",EDATE($D136,Milestones!$AA$151)&gt;=$T136),$W136,IF(AND($S136&lt;&gt;"",EDATE($D136,Milestones!$AA$151)&gt;=$S136),$V136,$U136)))=Milestones!$AB$151),UPPER(TEXT(EDATE($D136,Milestones!$AA$151),"dd mmm yy"))&amp;" "&amp;Milestones!$AB$151&amp;" "&amp;Milestones!$AC$151&amp;";  ","")&amp;IF(AND(EDATE($D136,Milestones!$AA$152)&lt;=AsOfDate,IF($R136=0,$X136,IF(AND($T136&lt;&gt;"",EDATE($D136,Milestones!$AA$152)&gt;=$T136),$W136,IF(AND($S136&lt;&gt;"",EDATE($D136,Milestones!$AA$152)&gt;=$S136),$V136,$U136)))=Milestones!$AB$152),UPPER(TEXT(EDATE($D136,Milestones!$AA$152),"dd mmm yy"))&amp;" "&amp;Milestones!$AB$152&amp;" "&amp;Milestones!$AC$152&amp;";  ","")&amp;IF(AND(EDATE($D136,Milestones!$AA$153)&lt;=AsOfDate,IF($R136=0,$X136,IF(AND($T136&lt;&gt;"",EDATE($D136,Milestones!$AA$153)&gt;=$T136),$W136,IF(AND($S136&lt;&gt;"",EDATE($D136,Milestones!$AA$153)&gt;=$S136),$V136,$U136)))=Milestones!$AB$153),UPPER(TEXT(EDATE($D136,Milestones!$AA$153),"dd mmm yy"))&amp;" "&amp;Milestones!$AB$153&amp;" "&amp;Milestones!$AC$153&amp;";  ","")&amp;IF(AND(EDATE($D136,Milestones!$AA$154)&lt;=AsOfDate,IF($R136=0,$X136,IF(AND($T136&lt;&gt;"",EDATE($D136,Milestones!$AA$154)&gt;=$T136),$W136,IF(AND($S136&lt;&gt;"",EDATE($D136,Milestones!$AA$154)&gt;=$S136),$V136,$U136)))=Milestones!$AB$154),UPPER(TEXT(EDATE($D136,Milestones!$AA$154),"dd mmm yy"))&amp;" "&amp;Milestones!$AB$154&amp;" "&amp;Milestones!$AC$154&amp;";  ","")&amp;IF(AND(EDATE($D136,Milestones!$AA$155)&lt;=AsOfDate,IF($R136=0,$X136,IF(AND($T136&lt;&gt;"",EDATE($D136,Milestones!$AA$155)&gt;=$T136),$W136,IF(AND($S136&lt;&gt;"",EDATE($D136,Milestones!$AA$155)&gt;=$S136),$V136,$U136)))=Milestones!$AB$155),UPPER(TEXT(EDATE($D136,Milestones!$AA$155),"dd mmm yy"))&amp;" "&amp;Milestones!$AB$155&amp;" "&amp;Milestones!$AC$155&amp;";  ","")&amp;IF(AND(EDATE($D136,Milestones!$AA$156)&lt;=AsOfDate,IF($R136=0,$X136,IF(AND($T136&lt;&gt;"",EDATE($D136,Milestones!$AA$156)&gt;=$T136),$W136,IF(AND($S136&lt;&gt;"",EDATE($D136,Milestones!$AA$156)&gt;=$S136),$V136,$U136)))=Milestones!$AB$156),UPPER(TEXT(EDATE($D136,Milestones!$AA$156),"dd mmm yy"))&amp;" "&amp;Milestones!$AB$156&amp;" "&amp;Milestones!$AC$156&amp;";  ","")&amp;IF(AND(EDATE($D136,Milestones!$AA$157)&lt;=AsOfDate,IF($R136=0,$X136,IF(AND($T136&lt;&gt;"",EDATE($D136,Milestones!$AA$157)&gt;=$T136),$W136,IF(AND($S136&lt;&gt;"",EDATE($D136,Milestones!$AA$157)&gt;=$S136),$V136,$U136)))=Milestones!$AB$157),UPPER(TEXT(EDATE($D136,Milestones!$AA$157),"dd mmm yy"))&amp;" "&amp;Milestones!$AB$157&amp;" "&amp;Milestones!$AC$157&amp;";  ","")&amp;IF(AND(EDATE($D136,Milestones!$AA$158)&lt;=AsOfDate,IF($R136=0,$X136,IF(AND($T136&lt;&gt;"",EDATE($D136,Milestones!$AA$158)&gt;=$T136),$W136,IF(AND($S136&lt;&gt;"",EDATE($D136,Milestones!$AA$158)&gt;=$S136),$V136,$U136)))=Milestones!$AB$158),UPPER(TEXT(EDATE($D136,Milestones!$AA$158),"dd mmm yy"))&amp;" "&amp;Milestones!$AB$158&amp;" "&amp;Milestones!$AC$158&amp;";  ","")&amp;IF(AND(EDATE($D136,Milestones!$AA$159)&lt;=AsOfDate,IF($R136=0,$X136,IF(AND($T136&lt;&gt;"",EDATE($D136,Milestones!$AA$159)&gt;=$T136),$W136,IF(AND($S136&lt;&gt;"",EDATE($D136,Milestones!$AA$159)&gt;=$S136),$V136,$U136)))=Milestones!$AB$159),UPPER(TEXT(EDATE($D136,Milestones!$AA$159),"dd mmm yy"))&amp;" "&amp;Milestones!$AB$159&amp;" "&amp;Milestones!$AC$159&amp;";  ",""))</f>
        <v/>
      </c>
      <c r="P136" s="0" t="str">
        <f aca="false">IF(OR($A136="",$D136=""),"",IF(AND(EDATE($D136,Milestones!$AA$160)&lt;=AsOfDate,IF($R136=0,$X136,IF(AND($T136&lt;&gt;"",EDATE($D136,Milestones!$AA$160)&gt;=$T136),$W136,IF(AND($S136&lt;&gt;"",EDATE($D136,Milestones!$AA$160)&gt;=$S136),$V136,$U136)))=Milestones!$AB$160),UPPER(TEXT(EDATE($D136,Milestones!$AA$160),"dd mmm yy"))&amp;" "&amp;Milestones!$AB$160&amp;" "&amp;Milestones!$AC$160&amp;";  ","")&amp;IF(AND(EDATE($D136,Milestones!$AA$161)&lt;=AsOfDate,IF($R136=0,$X136,IF(AND($T136&lt;&gt;"",EDATE($D136,Milestones!$AA$161)&gt;=$T136),$W136,IF(AND($S136&lt;&gt;"",EDATE($D136,Milestones!$AA$161)&gt;=$S136),$V136,$U136)))=Milestones!$AB$161),UPPER(TEXT(EDATE($D136,Milestones!$AA$161),"dd mmm yy"))&amp;" "&amp;Milestones!$AB$161&amp;" "&amp;Milestones!$AC$161&amp;";  ","")&amp;IF(AND(EDATE($D136,Milestones!$AA$162)&lt;=AsOfDate,IF($R136=0,$X136,IF(AND($T136&lt;&gt;"",EDATE($D136,Milestones!$AA$162)&gt;=$T136),$W136,IF(AND($S136&lt;&gt;"",EDATE($D136,Milestones!$AA$162)&gt;=$S136),$V136,$U136)))=Milestones!$AB$162),UPPER(TEXT(EDATE($D136,Milestones!$AA$162),"dd mmm yy"))&amp;" "&amp;Milestones!$AB$162&amp;" "&amp;Milestones!$AC$162&amp;";  ","")&amp;IF(AND(EDATE($D136,Milestones!$AA$163)&lt;=AsOfDate,IF($R136=0,$X136,IF(AND($T136&lt;&gt;"",EDATE($D136,Milestones!$AA$163)&gt;=$T136),$W136,IF(AND($S136&lt;&gt;"",EDATE($D136,Milestones!$AA$163)&gt;=$S136),$V136,$U136)))=Milestones!$AB$163),UPPER(TEXT(EDATE($D136,Milestones!$AA$163),"dd mmm yy"))&amp;" "&amp;Milestones!$AB$163&amp;" "&amp;Milestones!$AC$163&amp;";  ","")&amp;IF(AND(EDATE($D136,Milestones!$AA$164)&lt;=AsOfDate,IF($R136=0,$X136,IF(AND($T136&lt;&gt;"",EDATE($D136,Milestones!$AA$164)&gt;=$T136),$W136,IF(AND($S136&lt;&gt;"",EDATE($D136,Milestones!$AA$164)&gt;=$S136),$V136,$U136)))=Milestones!$AB$164),UPPER(TEXT(EDATE($D136,Milestones!$AA$164),"dd mmm yy"))&amp;" "&amp;Milestones!$AB$164&amp;" "&amp;Milestones!$AC$164&amp;";  ","")&amp;IF(AND(EDATE($D136,Milestones!$AA$165)&lt;=AsOfDate,IF($R136=0,$X136,IF(AND($T136&lt;&gt;"",EDATE($D136,Milestones!$AA$165)&gt;=$T136),$W136,IF(AND($S136&lt;&gt;"",EDATE($D136,Milestones!$AA$165)&gt;=$S136),$V136,$U136)))=Milestones!$AB$165),UPPER(TEXT(EDATE($D136,Milestones!$AA$165),"dd mmm yy"))&amp;" "&amp;Milestones!$AB$165&amp;" "&amp;Milestones!$AC$165&amp;";  ","")&amp;IF(AND(EDATE($D136,Milestones!$AA$166)&lt;=AsOfDate,IF($R136=0,$X136,IF(AND($T136&lt;&gt;"",EDATE($D136,Milestones!$AA$166)&gt;=$T136),$W136,IF(AND($S136&lt;&gt;"",EDATE($D136,Milestones!$AA$166)&gt;=$S136),$V136,$U136)))=Milestones!$AB$166),UPPER(TEXT(EDATE($D136,Milestones!$AA$166),"dd mmm yy"))&amp;" "&amp;Milestones!$AB$166&amp;" "&amp;Milestones!$AC$166&amp;";  ","")&amp;IF(AND(EDATE($D136,Milestones!$AA$167)&lt;=AsOfDate,IF($R136=0,$X136,IF(AND($T136&lt;&gt;"",EDATE($D136,Milestones!$AA$167)&gt;=$T136),$W136,IF(AND($S136&lt;&gt;"",EDATE($D136,Milestones!$AA$167)&gt;=$S136),$V136,$U136)))=Milestones!$AB$167),UPPER(TEXT(EDATE($D136,Milestones!$AA$167),"dd mmm yy"))&amp;" "&amp;Milestones!$AB$167&amp;" "&amp;Milestones!$AC$167&amp;";  ","")&amp;IF(AND(EDATE($D136,Milestones!$AA$168)&lt;=AsOfDate,IF($R136=0,$X136,IF(AND($T136&lt;&gt;"",EDATE($D136,Milestones!$AA$168)&gt;=$T136),$W136,IF(AND($S136&lt;&gt;"",EDATE($D136,Milestones!$AA$168)&gt;=$S136),$V136,$U136)))=Milestones!$AB$168),UPPER(TEXT(EDATE($D136,Milestones!$AA$168),"dd mmm yy"))&amp;" "&amp;Milestones!$AB$168&amp;" "&amp;Milestones!$AC$168&amp;";  ","")&amp;IF(AND(EDATE($D136,Milestones!$AA$169)&lt;=AsOfDate,IF($R136=0,$X136,IF(AND($T136&lt;&gt;"",EDATE($D136,Milestones!$AA$169)&gt;=$T136),$W136,IF(AND($S136&lt;&gt;"",EDATE($D136,Milestones!$AA$169)&gt;=$S136),$V136,$U136)))=Milestones!$AB$169),UPPER(TEXT(EDATE($D136,Milestones!$AA$169),"dd mmm yy"))&amp;" "&amp;Milestones!$AB$169&amp;" "&amp;Milestones!$AC$169&amp;";  ","")&amp;IF(AND(EDATE($D136,Milestones!$AA$170)&lt;=AsOfDate,IF($R136=0,$X136,IF(AND($T136&lt;&gt;"",EDATE($D136,Milestones!$AA$170)&gt;=$T136),$W136,IF(AND($S136&lt;&gt;"",EDATE($D136,Milestones!$AA$170)&gt;=$S136),$V136,$U136)))=Milestones!$AB$170),UPPER(TEXT(EDATE($D136,Milestones!$AA$170),"dd mmm yy"))&amp;" "&amp;Milestones!$AB$170&amp;" "&amp;Milestones!$AC$170&amp;";  ","")&amp;IF(AND(EDATE($D136,Milestones!$AA$171)&lt;=AsOfDate,IF($R136=0,$X136,IF(AND($T136&lt;&gt;"",EDATE($D136,Milestones!$AA$171)&gt;=$T136),$W136,IF(AND($S136&lt;&gt;"",EDATE($D136,Milestones!$AA$171)&gt;=$S136),$V136,$U136)))=Milestones!$AB$171),UPPER(TEXT(EDATE($D136,Milestones!$AA$171),"dd mmm yy"))&amp;" "&amp;Milestones!$AB$171&amp;" "&amp;Milestones!$AC$171&amp;";  ","")&amp;IF(AND(EDATE($D136,Milestones!$AA$172)&lt;=AsOfDate,IF($R136=0,$X136,IF(AND($T136&lt;&gt;"",EDATE($D136,Milestones!$AA$172)&gt;=$T136),$W136,IF(AND($S136&lt;&gt;"",EDATE($D136,Milestones!$AA$172)&gt;=$S136),$V136,$U136)))=Milestones!$AB$172),UPPER(TEXT(EDATE($D136,Milestones!$AA$172),"dd mmm yy"))&amp;" "&amp;Milestones!$AB$172&amp;" "&amp;Milestones!$AC$172&amp;";  ","")&amp;IF(AND(EDATE($D136,Milestones!$AA$173)&lt;=AsOfDate,IF($R136=0,$X136,IF(AND($T136&lt;&gt;"",EDATE($D136,Milestones!$AA$173)&gt;=$T136),$W136,IF(AND($S136&lt;&gt;"",EDATE($D136,Milestones!$AA$173)&gt;=$S136),$V136,$U136)))=Milestones!$AB$173),UPPER(TEXT(EDATE($D136,Milestones!$AA$173),"dd mmm yy"))&amp;" "&amp;Milestones!$AB$173&amp;" "&amp;Milestones!$AC$173&amp;";  ","")&amp;IF(AND(EDATE($D136,Milestones!$AA$174)&lt;=AsOfDate,IF($R136=0,$X136,IF(AND($T136&lt;&gt;"",EDATE($D136,Milestones!$AA$174)&gt;=$T136),$W136,IF(AND($S136&lt;&gt;"",EDATE($D136,Milestones!$AA$174)&gt;=$S136),$V136,$U136)))=Milestones!$AB$174),UPPER(TEXT(EDATE($D136,Milestones!$AA$174),"dd mmm yy"))&amp;" "&amp;Milestones!$AB$174&amp;" "&amp;Milestones!$AC$174&amp;";  ","")&amp;IF(AND(EDATE($D136,Milestones!$AA$175)&lt;=AsOfDate,IF($R136=0,$X136,IF(AND($T136&lt;&gt;"",EDATE($D136,Milestones!$AA$175)&gt;=$T136),$W136,IF(AND($S136&lt;&gt;"",EDATE($D136,Milestones!$AA$175)&gt;=$S136),$V136,$U136)))=Milestones!$AB$175),UPPER(TEXT(EDATE($D136,Milestones!$AA$175),"dd mmm yy"))&amp;" "&amp;Milestones!$AB$175&amp;" "&amp;Milestones!$AC$175&amp;";  ","")&amp;IF(AND(EDATE($D136,Milestones!$AA$176)&lt;=AsOfDate,IF($R136=0,$X136,IF(AND($T136&lt;&gt;"",EDATE($D136,Milestones!$AA$176)&gt;=$T136),$W136,IF(AND($S136&lt;&gt;"",EDATE($D136,Milestones!$AA$176)&gt;=$S136),$V136,$U136)))=Milestones!$AB$176),UPPER(TEXT(EDATE($D136,Milestones!$AA$176),"dd mmm yy"))&amp;" "&amp;Milestones!$AB$176&amp;" "&amp;Milestones!$AC$176&amp;";  ","")&amp;IF(AND(EDATE($D136,Milestones!$AA$177)&lt;=AsOfDate,IF($R136=0,$X136,IF(AND($T136&lt;&gt;"",EDATE($D136,Milestones!$AA$177)&gt;=$T136),$W136,IF(AND($S136&lt;&gt;"",EDATE($D136,Milestones!$AA$177)&gt;=$S136),$V136,$U136)))=Milestones!$AB$177),UPPER(TEXT(EDATE($D136,Milestones!$AA$177),"dd mmm yy"))&amp;" "&amp;Milestones!$AB$177&amp;" "&amp;Milestones!$AC$177&amp;";  ","")&amp;IF(AND(EDATE($D136,Milestones!$AA$178)&lt;=AsOfDate,IF($R136=0,$X136,IF(AND($T136&lt;&gt;"",EDATE($D136,Milestones!$AA$178)&gt;=$T136),$W136,IF(AND($S136&lt;&gt;"",EDATE($D136,Milestones!$AA$178)&gt;=$S136),$V136,$U136)))=Milestones!$AB$178),UPPER(TEXT(EDATE($D136,Milestones!$AA$178),"dd mmm yy"))&amp;" "&amp;Milestones!$AB$178&amp;" "&amp;Milestones!$AC$178&amp;";  ","")&amp;IF(AND(EDATE($D136,Milestones!$AA$179)&lt;=AsOfDate,IF($R136=0,$X136,IF(AND($T136&lt;&gt;"",EDATE($D136,Milestones!$AA$179)&gt;=$T136),$W136,IF(AND($S136&lt;&gt;"",EDATE($D136,Milestones!$AA$179)&gt;=$S136),$V136,$U136)))=Milestones!$AB$179),UPPER(TEXT(EDATE($D136,Milestones!$AA$179),"dd mmm yy"))&amp;" "&amp;Milestones!$AB$179&amp;" "&amp;Milestones!$AC$179&amp;";  ",""))</f>
        <v/>
      </c>
      <c r="Q136" s="0" t="str">
        <f aca="false">IF(OR($A136="",$D136=""),"",IF(AND(EDATE($D136,Milestones!$AA$180)&lt;=AsOfDate,IF($R136=0,$X136,IF(AND($T136&lt;&gt;"",EDATE($D136,Milestones!$AA$180)&gt;=$T136),$W136,IF(AND($S136&lt;&gt;"",EDATE($D136,Milestones!$AA$180)&gt;=$S136),$V136,$U136)))=Milestones!$AB$180),UPPER(TEXT(EDATE($D136,Milestones!$AA$180),"dd mmm yy"))&amp;" "&amp;Milestones!$AB$180&amp;" "&amp;Milestones!$AC$180&amp;";  ","")&amp;IF(AND(EDATE($D136,Milestones!$AA$181)&lt;=AsOfDate,IF($R136=0,$X136,IF(AND($T136&lt;&gt;"",EDATE($D136,Milestones!$AA$181)&gt;=$T136),$W136,IF(AND($S136&lt;&gt;"",EDATE($D136,Milestones!$AA$181)&gt;=$S136),$V136,$U136)))=Milestones!$AB$181),UPPER(TEXT(EDATE($D136,Milestones!$AA$181),"dd mmm yy"))&amp;" "&amp;Milestones!$AB$181&amp;" "&amp;Milestones!$AC$181&amp;";  ","")&amp;IF(AND(EDATE($D136,Milestones!$AA$182)&lt;=AsOfDate,IF($R136=0,$X136,IF(AND($T136&lt;&gt;"",EDATE($D136,Milestones!$AA$182)&gt;=$T136),$W136,IF(AND($S136&lt;&gt;"",EDATE($D136,Milestones!$AA$182)&gt;=$S136),$V136,$U136)))=Milestones!$AB$182),UPPER(TEXT(EDATE($D136,Milestones!$AA$182),"dd mmm yy"))&amp;" "&amp;Milestones!$AB$182&amp;" "&amp;Milestones!$AC$182&amp;";  ","")&amp;IF(AND(EDATE($D136,Milestones!$AA$183)&lt;=AsOfDate,IF($R136=0,$X136,IF(AND($T136&lt;&gt;"",EDATE($D136,Milestones!$AA$183)&gt;=$T136),$W136,IF(AND($S136&lt;&gt;"",EDATE($D136,Milestones!$AA$183)&gt;=$S136),$V136,$U136)))=Milestones!$AB$183),UPPER(TEXT(EDATE($D136,Milestones!$AA$183),"dd mmm yy"))&amp;" "&amp;Milestones!$AB$183&amp;" "&amp;Milestones!$AC$183&amp;";  ","")&amp;IF(AND(EDATE($D136,Milestones!$AA$184)&lt;=AsOfDate,IF($R136=0,$X136,IF(AND($T136&lt;&gt;"",EDATE($D136,Milestones!$AA$184)&gt;=$T136),$W136,IF(AND($S136&lt;&gt;"",EDATE($D136,Milestones!$AA$184)&gt;=$S136),$V136,$U136)))=Milestones!$AB$184),UPPER(TEXT(EDATE($D136,Milestones!$AA$184),"dd mmm yy"))&amp;" "&amp;Milestones!$AB$184&amp;" "&amp;Milestones!$AC$184&amp;";  ","")&amp;IF(AND(EDATE($D136,Milestones!$AA$185)&lt;=AsOfDate,IF($R136=0,$X136,IF(AND($T136&lt;&gt;"",EDATE($D136,Milestones!$AA$185)&gt;=$T136),$W136,IF(AND($S136&lt;&gt;"",EDATE($D136,Milestones!$AA$185)&gt;=$S136),$V136,$U136)))=Milestones!$AB$185),UPPER(TEXT(EDATE($D136,Milestones!$AA$185),"dd mmm yy"))&amp;" "&amp;Milestones!$AB$185&amp;" "&amp;Milestones!$AC$185&amp;";  ","")&amp;IF(AND(EDATE($D136,Milestones!$AA$186)&lt;=AsOfDate,IF($R136=0,$X136,IF(AND($T136&lt;&gt;"",EDATE($D136,Milestones!$AA$186)&gt;=$T136),$W136,IF(AND($S136&lt;&gt;"",EDATE($D136,Milestones!$AA$186)&gt;=$S136),$V136,$U136)))=Milestones!$AB$186),UPPER(TEXT(EDATE($D136,Milestones!$AA$186),"dd mmm yy"))&amp;" "&amp;Milestones!$AB$186&amp;" "&amp;Milestones!$AC$186&amp;";  ","")&amp;IF(AND(EDATE($D136,Milestones!$AA$187)&lt;=AsOfDate,IF($R136=0,$X136,IF(AND($T136&lt;&gt;"",EDATE($D136,Milestones!$AA$187)&gt;=$T136),$W136,IF(AND($S136&lt;&gt;"",EDATE($D136,Milestones!$AA$187)&gt;=$S136),$V136,$U136)))=Milestones!$AB$187),UPPER(TEXT(EDATE($D136,Milestones!$AA$187),"dd mmm yy"))&amp;" "&amp;Milestones!$AB$187&amp;" "&amp;Milestones!$AC$187&amp;";  ","")&amp;IF(AND(EDATE($D136,Milestones!$AA$188)&lt;=AsOfDate,IF($R136=0,$X136,IF(AND($T136&lt;&gt;"",EDATE($D136,Milestones!$AA$188)&gt;=$T136),$W136,IF(AND($S136&lt;&gt;"",EDATE($D136,Milestones!$AA$188)&gt;=$S136),$V136,$U136)))=Milestones!$AB$188),UPPER(TEXT(EDATE($D136,Milestones!$AA$188),"dd mmm yy"))&amp;" "&amp;Milestones!$AB$188&amp;" "&amp;Milestones!$AC$188&amp;";  ","")&amp;IF(AND(EDATE($D136,Milestones!$AA$189)&lt;=AsOfDate,IF($R136=0,$X136,IF(AND($T136&lt;&gt;"",EDATE($D136,Milestones!$AA$189)&gt;=$T136),$W136,IF(AND($S136&lt;&gt;"",EDATE($D136,Milestones!$AA$189)&gt;=$S136),$V136,$U136)))=Milestones!$AB$189),UPPER(TEXT(EDATE($D136,Milestones!$AA$189),"dd mmm yy"))&amp;" "&amp;Milestones!$AB$189&amp;" "&amp;Milestones!$AC$189&amp;";  ","")&amp;IF(AND(EDATE($D136,Milestones!$AA$190)&lt;=AsOfDate,IF($R136=0,$X136,IF(AND($T136&lt;&gt;"",EDATE($D136,Milestones!$AA$190)&gt;=$T136),$W136,IF(AND($S136&lt;&gt;"",EDATE($D136,Milestones!$AA$190)&gt;=$S136),$V136,$U136)))=Milestones!$AB$190),UPPER(TEXT(EDATE($D136,Milestones!$AA$190),"dd mmm yy"))&amp;" "&amp;Milestones!$AB$190&amp;" "&amp;Milestones!$AC$190&amp;";  ","")&amp;IF(AND(EDATE($D136,Milestones!$AA$191)&lt;=AsOfDate,IF($R136=0,$X136,IF(AND($T136&lt;&gt;"",EDATE($D136,Milestones!$AA$191)&gt;=$T136),$W136,IF(AND($S136&lt;&gt;"",EDATE($D136,Milestones!$AA$191)&gt;=$S136),$V136,$U136)))=Milestones!$AB$191),UPPER(TEXT(EDATE($D136,Milestones!$AA$191),"dd mmm yy"))&amp;" "&amp;Milestones!$AB$191&amp;" "&amp;Milestones!$AC$191&amp;";  ","")&amp;IF(AND(EDATE($D136,Milestones!$AA$192)&lt;=AsOfDate,IF($R136=0,$X136,IF(AND($T136&lt;&gt;"",EDATE($D136,Milestones!$AA$192)&gt;=$T136),$W136,IF(AND($S136&lt;&gt;"",EDATE($D136,Milestones!$AA$192)&gt;=$S136),$V136,$U136)))=Milestones!$AB$192),UPPER(TEXT(EDATE($D136,Milestones!$AA$192),"dd mmm yy"))&amp;" "&amp;Milestones!$AB$192&amp;" "&amp;Milestones!$AC$192&amp;";  ","")&amp;IF(AND(EDATE($D136,Milestones!$AA$193)&lt;=AsOfDate,IF($R136=0,$X136,IF(AND($T136&lt;&gt;"",EDATE($D136,Milestones!$AA$193)&gt;=$T136),$W136,IF(AND($S136&lt;&gt;"",EDATE($D136,Milestones!$AA$193)&gt;=$S136),$V136,$U136)))=Milestones!$AB$193),UPPER(TEXT(EDATE($D136,Milestones!$AA$193),"dd mmm yy"))&amp;" "&amp;Milestones!$AB$193&amp;" "&amp;Milestones!$AC$193&amp;";  ","")&amp;IF(AND(EDATE($D136,Milestones!$AA$194)&lt;=AsOfDate,IF($R136=0,$X136,IF(AND($T136&lt;&gt;"",EDATE($D136,Milestones!$AA$194)&gt;=$T136),$W136,IF(AND($S136&lt;&gt;"",EDATE($D136,Milestones!$AA$194)&gt;=$S136),$V136,$U136)))=Milestones!$AB$194),UPPER(TEXT(EDATE($D136,Milestones!$AA$194),"dd mmm yy"))&amp;" "&amp;Milestones!$AB$194&amp;" "&amp;Milestones!$AC$194&amp;";  ","")&amp;IF(AND(EDATE($D136,Milestones!$AA$195)&lt;=AsOfDate,IF($R136=0,$X136,IF(AND($T136&lt;&gt;"",EDATE($D136,Milestones!$AA$195)&gt;=$T136),$W136,IF(AND($S136&lt;&gt;"",EDATE($D136,Milestones!$AA$195)&gt;=$S136),$V136,$U136)))=Milestones!$AB$195),UPPER(TEXT(EDATE($D136,Milestones!$AA$195),"dd mmm yy"))&amp;" "&amp;Milestones!$AB$195&amp;" "&amp;Milestones!$AC$195&amp;";  ","")&amp;IF(AND(EDATE($D136,Milestones!$AA$196)&lt;=AsOfDate,IF($R136=0,$X136,IF(AND($T136&lt;&gt;"",EDATE($D136,Milestones!$AA$196)&gt;=$T136),$W136,IF(AND($S136&lt;&gt;"",EDATE($D136,Milestones!$AA$196)&gt;=$S136),$V136,$U136)))=Milestones!$AB$196),UPPER(TEXT(EDATE($D136,Milestones!$AA$196),"dd mmm yy"))&amp;" "&amp;Milestones!$AB$196&amp;" "&amp;Milestones!$AC$196&amp;";  ","")&amp;IF(AND(EDATE($D136,Milestones!$AA$197)&lt;=AsOfDate,IF($R136=0,$X136,IF(AND($T136&lt;&gt;"",EDATE($D136,Milestones!$AA$197)&gt;=$T136),$W136,IF(AND($S136&lt;&gt;"",EDATE($D136,Milestones!$AA$197)&gt;=$S136),$V136,$U136)))=Milestones!$AB$197),UPPER(TEXT(EDATE($D136,Milestones!$AA$197),"dd mmm yy"))&amp;" "&amp;Milestones!$AB$197&amp;" "&amp;Milestones!$AC$197&amp;";  ","")&amp;IF(AND(EDATE($D136,Milestones!$AA$198)&lt;=AsOfDate,IF($R136=0,$X136,IF(AND($T136&lt;&gt;"",EDATE($D136,Milestones!$AA$198)&gt;=$T136),$W136,IF(AND($S136&lt;&gt;"",EDATE($D136,Milestones!$AA$198)&gt;=$S136),$V136,$U136)))=Milestones!$AB$198),UPPER(TEXT(EDATE($D136,Milestones!$AA$198),"dd mmm yy"))&amp;" "&amp;Milestones!$AB$198&amp;" "&amp;Milestones!$AC$198&amp;";  ","")&amp;IF(AND(EDATE($D136,Milestones!$AA$199)&lt;=AsOfDate,IF($R136=0,$X136,IF(AND($T136&lt;&gt;"",EDATE($D136,Milestones!$AA$199)&gt;=$T136),$W136,IF(AND($S136&lt;&gt;"",EDATE($D136,Milestones!$AA$199)&gt;=$S136),$V136,$U136)))=Milestones!$AB$199),UPPER(TEXT(EDATE($D136,Milestones!$AA$199),"dd mmm yy"))&amp;" "&amp;Milestones!$AB$199&amp;" "&amp;Milestones!$AC$199&amp;";  ",""))</f>
        <v/>
      </c>
      <c r="R136" s="0" t="str">
        <f aca="false">IF(Staff!$A136="","",Staff!$AI136)</f>
        <v/>
      </c>
      <c r="S136" s="0" t="str">
        <f aca="false">IF(Staff!$A136="","",Staff!$AK136)</f>
        <v/>
      </c>
      <c r="T136" s="0" t="str">
        <f aca="false">IF(Staff!$A136="","",Staff!$AL136)</f>
        <v/>
      </c>
      <c r="U136" s="0" t="str">
        <f aca="false">IF(Staff!$A136="","",Staff!$AP136)</f>
        <v/>
      </c>
      <c r="V136" s="0" t="str">
        <f aca="false">IF(Staff!$A136="","",Staff!$AQ136)</f>
        <v/>
      </c>
      <c r="W136" s="0" t="str">
        <f aca="false">IF(Staff!$A136="","",Staff!$AR136)</f>
        <v/>
      </c>
      <c r="X136" s="0" t="str">
        <f aca="false">IF(Staff!$A136="","",Staff!$AS136)</f>
        <v/>
      </c>
    </row>
    <row r="137" customFormat="false" ht="15" hidden="false" customHeight="false" outlineLevel="0" collapsed="false">
      <c r="A137" s="19" t="str">
        <f aca="false">IF(Staff!$A137="","",Staff!$A137)</f>
        <v/>
      </c>
      <c r="B137" s="19" t="str">
        <f aca="false">IF(Staff!$A137="","",Staff!$B137)</f>
        <v/>
      </c>
      <c r="C137" s="19" t="str">
        <f aca="false">IF(Staff!$A137="","",Staff!$C137)</f>
        <v/>
      </c>
      <c r="D137" s="17" t="str">
        <f aca="false">IF(Staff!$A137="","",Staff!$AH137)</f>
        <v/>
      </c>
      <c r="E137" s="19" t="str">
        <f aca="false">IF(Staff!$A137="","",Staff!$O137)</f>
        <v/>
      </c>
      <c r="F137" s="19" t="str">
        <f aca="false">IF(E137="","",E137*HoursPerDay)</f>
        <v/>
      </c>
      <c r="G137" s="19" t="str">
        <f aca="false">IF(Staff!$A137="","",Staff!$AE137)</f>
        <v/>
      </c>
      <c r="H137" s="32" t="str">
        <f aca="false">IF($A137="","",I137&amp;J137&amp;K137&amp;L137&amp;M137&amp;N137&amp;O137&amp;P137&amp;Q137)</f>
        <v/>
      </c>
      <c r="I137" s="0" t="str">
        <f aca="false">IF(OR($A137="",$D137=""),"",IF(AND(EDATE($D137,Milestones!$AA$20)&lt;=AsOfDate,IF($R137=0,$X137,IF(AND($T137&lt;&gt;"",EDATE($D137,Milestones!$AA$20)&gt;=$T137),$W137,IF(AND($S137&lt;&gt;"",EDATE($D137,Milestones!$AA$20)&gt;=$S137),$V137,$U137)))=Milestones!$AB$20),UPPER(TEXT(EDATE($D137,Milestones!$AA$20),"dd mmm yy"))&amp;" "&amp;Milestones!$AB$20&amp;" "&amp;Milestones!$AC$20&amp;";  ","")&amp;IF(AND(EDATE($D137,Milestones!$AA$21)&lt;=AsOfDate,IF($R137=0,$X137,IF(AND($T137&lt;&gt;"",EDATE($D137,Milestones!$AA$21)&gt;=$T137),$W137,IF(AND($S137&lt;&gt;"",EDATE($D137,Milestones!$AA$21)&gt;=$S137),$V137,$U137)))=Milestones!$AB$21),UPPER(TEXT(EDATE($D137,Milestones!$AA$21),"dd mmm yy"))&amp;" "&amp;Milestones!$AB$21&amp;" "&amp;Milestones!$AC$21&amp;";  ","")&amp;IF(AND(EDATE($D137,Milestones!$AA$22)&lt;=AsOfDate,IF($R137=0,$X137,IF(AND($T137&lt;&gt;"",EDATE($D137,Milestones!$AA$22)&gt;=$T137),$W137,IF(AND($S137&lt;&gt;"",EDATE($D137,Milestones!$AA$22)&gt;=$S137),$V137,$U137)))=Milestones!$AB$22),UPPER(TEXT(EDATE($D137,Milestones!$AA$22),"dd mmm yy"))&amp;" "&amp;Milestones!$AB$22&amp;" "&amp;Milestones!$AC$22&amp;";  ","")&amp;IF(AND(EDATE($D137,Milestones!$AA$23)&lt;=AsOfDate,IF($R137=0,$X137,IF(AND($T137&lt;&gt;"",EDATE($D137,Milestones!$AA$23)&gt;=$T137),$W137,IF(AND($S137&lt;&gt;"",EDATE($D137,Milestones!$AA$23)&gt;=$S137),$V137,$U137)))=Milestones!$AB$23),UPPER(TEXT(EDATE($D137,Milestones!$AA$23),"dd mmm yy"))&amp;" "&amp;Milestones!$AB$23&amp;" "&amp;Milestones!$AC$23&amp;";  ","")&amp;IF(AND(EDATE($D137,Milestones!$AA$24)&lt;=AsOfDate,IF($R137=0,$X137,IF(AND($T137&lt;&gt;"",EDATE($D137,Milestones!$AA$24)&gt;=$T137),$W137,IF(AND($S137&lt;&gt;"",EDATE($D137,Milestones!$AA$24)&gt;=$S137),$V137,$U137)))=Milestones!$AB$24),UPPER(TEXT(EDATE($D137,Milestones!$AA$24),"dd mmm yy"))&amp;" "&amp;Milestones!$AB$24&amp;" "&amp;Milestones!$AC$24&amp;";  ","")&amp;IF(AND(EDATE($D137,Milestones!$AA$25)&lt;=AsOfDate,IF($R137=0,$X137,IF(AND($T137&lt;&gt;"",EDATE($D137,Milestones!$AA$25)&gt;=$T137),$W137,IF(AND($S137&lt;&gt;"",EDATE($D137,Milestones!$AA$25)&gt;=$S137),$V137,$U137)))=Milestones!$AB$25),UPPER(TEXT(EDATE($D137,Milestones!$AA$25),"dd mmm yy"))&amp;" "&amp;Milestones!$AB$25&amp;" "&amp;Milestones!$AC$25&amp;";  ","")&amp;IF(AND(EDATE($D137,Milestones!$AA$26)&lt;=AsOfDate,IF($R137=0,$X137,IF(AND($T137&lt;&gt;"",EDATE($D137,Milestones!$AA$26)&gt;=$T137),$W137,IF(AND($S137&lt;&gt;"",EDATE($D137,Milestones!$AA$26)&gt;=$S137),$V137,$U137)))=Milestones!$AB$26),UPPER(TEXT(EDATE($D137,Milestones!$AA$26),"dd mmm yy"))&amp;" "&amp;Milestones!$AB$26&amp;" "&amp;Milestones!$AC$26&amp;";  ","")&amp;IF(AND(EDATE($D137,Milestones!$AA$27)&lt;=AsOfDate,IF($R137=0,$X137,IF(AND($T137&lt;&gt;"",EDATE($D137,Milestones!$AA$27)&gt;=$T137),$W137,IF(AND($S137&lt;&gt;"",EDATE($D137,Milestones!$AA$27)&gt;=$S137),$V137,$U137)))=Milestones!$AB$27),UPPER(TEXT(EDATE($D137,Milestones!$AA$27),"dd mmm yy"))&amp;" "&amp;Milestones!$AB$27&amp;" "&amp;Milestones!$AC$27&amp;";  ","")&amp;IF(AND(EDATE($D137,Milestones!$AA$28)&lt;=AsOfDate,IF($R137=0,$X137,IF(AND($T137&lt;&gt;"",EDATE($D137,Milestones!$AA$28)&gt;=$T137),$W137,IF(AND($S137&lt;&gt;"",EDATE($D137,Milestones!$AA$28)&gt;=$S137),$V137,$U137)))=Milestones!$AB$28),UPPER(TEXT(EDATE($D137,Milestones!$AA$28),"dd mmm yy"))&amp;" "&amp;Milestones!$AB$28&amp;" "&amp;Milestones!$AC$28&amp;";  ","")&amp;IF(AND(EDATE($D137,Milestones!$AA$29)&lt;=AsOfDate,IF($R137=0,$X137,IF(AND($T137&lt;&gt;"",EDATE($D137,Milestones!$AA$29)&gt;=$T137),$W137,IF(AND($S137&lt;&gt;"",EDATE($D137,Milestones!$AA$29)&gt;=$S137),$V137,$U137)))=Milestones!$AB$29),UPPER(TEXT(EDATE($D137,Milestones!$AA$29),"dd mmm yy"))&amp;" "&amp;Milestones!$AB$29&amp;" "&amp;Milestones!$AC$29&amp;";  ","")&amp;IF(AND(EDATE($D137,Milestones!$AA$30)&lt;=AsOfDate,IF($R137=0,$X137,IF(AND($T137&lt;&gt;"",EDATE($D137,Milestones!$AA$30)&gt;=$T137),$W137,IF(AND($S137&lt;&gt;"",EDATE($D137,Milestones!$AA$30)&gt;=$S137),$V137,$U137)))=Milestones!$AB$30),UPPER(TEXT(EDATE($D137,Milestones!$AA$30),"dd mmm yy"))&amp;" "&amp;Milestones!$AB$30&amp;" "&amp;Milestones!$AC$30&amp;";  ","")&amp;IF(AND(EDATE($D137,Milestones!$AA$31)&lt;=AsOfDate,IF($R137=0,$X137,IF(AND($T137&lt;&gt;"",EDATE($D137,Milestones!$AA$31)&gt;=$T137),$W137,IF(AND($S137&lt;&gt;"",EDATE($D137,Milestones!$AA$31)&gt;=$S137),$V137,$U137)))=Milestones!$AB$31),UPPER(TEXT(EDATE($D137,Milestones!$AA$31),"dd mmm yy"))&amp;" "&amp;Milestones!$AB$31&amp;" "&amp;Milestones!$AC$31&amp;";  ","")&amp;IF(AND(EDATE($D137,Milestones!$AA$32)&lt;=AsOfDate,IF($R137=0,$X137,IF(AND($T137&lt;&gt;"",EDATE($D137,Milestones!$AA$32)&gt;=$T137),$W137,IF(AND($S137&lt;&gt;"",EDATE($D137,Milestones!$AA$32)&gt;=$S137),$V137,$U137)))=Milestones!$AB$32),UPPER(TEXT(EDATE($D137,Milestones!$AA$32),"dd mmm yy"))&amp;" "&amp;Milestones!$AB$32&amp;" "&amp;Milestones!$AC$32&amp;";  ","")&amp;IF(AND(EDATE($D137,Milestones!$AA$33)&lt;=AsOfDate,IF($R137=0,$X137,IF(AND($T137&lt;&gt;"",EDATE($D137,Milestones!$AA$33)&gt;=$T137),$W137,IF(AND($S137&lt;&gt;"",EDATE($D137,Milestones!$AA$33)&gt;=$S137),$V137,$U137)))=Milestones!$AB$33),UPPER(TEXT(EDATE($D137,Milestones!$AA$33),"dd mmm yy"))&amp;" "&amp;Milestones!$AB$33&amp;" "&amp;Milestones!$AC$33&amp;";  ","")&amp;IF(AND(EDATE($D137,Milestones!$AA$34)&lt;=AsOfDate,IF($R137=0,$X137,IF(AND($T137&lt;&gt;"",EDATE($D137,Milestones!$AA$34)&gt;=$T137),$W137,IF(AND($S137&lt;&gt;"",EDATE($D137,Milestones!$AA$34)&gt;=$S137),$V137,$U137)))=Milestones!$AB$34),UPPER(TEXT(EDATE($D137,Milestones!$AA$34),"dd mmm yy"))&amp;" "&amp;Milestones!$AB$34&amp;" "&amp;Milestones!$AC$34&amp;";  ","")&amp;IF(AND(EDATE($D137,Milestones!$AA$35)&lt;=AsOfDate,IF($R137=0,$X137,IF(AND($T137&lt;&gt;"",EDATE($D137,Milestones!$AA$35)&gt;=$T137),$W137,IF(AND($S137&lt;&gt;"",EDATE($D137,Milestones!$AA$35)&gt;=$S137),$V137,$U137)))=Milestones!$AB$35),UPPER(TEXT(EDATE($D137,Milestones!$AA$35),"dd mmm yy"))&amp;" "&amp;Milestones!$AB$35&amp;" "&amp;Milestones!$AC$35&amp;";  ","")&amp;IF(AND(EDATE($D137,Milestones!$AA$36)&lt;=AsOfDate,IF($R137=0,$X137,IF(AND($T137&lt;&gt;"",EDATE($D137,Milestones!$AA$36)&gt;=$T137),$W137,IF(AND($S137&lt;&gt;"",EDATE($D137,Milestones!$AA$36)&gt;=$S137),$V137,$U137)))=Milestones!$AB$36),UPPER(TEXT(EDATE($D137,Milestones!$AA$36),"dd mmm yy"))&amp;" "&amp;Milestones!$AB$36&amp;" "&amp;Milestones!$AC$36&amp;";  ","")&amp;IF(AND(EDATE($D137,Milestones!$AA$37)&lt;=AsOfDate,IF($R137=0,$X137,IF(AND($T137&lt;&gt;"",EDATE($D137,Milestones!$AA$37)&gt;=$T137),$W137,IF(AND($S137&lt;&gt;"",EDATE($D137,Milestones!$AA$37)&gt;=$S137),$V137,$U137)))=Milestones!$AB$37),UPPER(TEXT(EDATE($D137,Milestones!$AA$37),"dd mmm yy"))&amp;" "&amp;Milestones!$AB$37&amp;" "&amp;Milestones!$AC$37&amp;";  ","")&amp;IF(AND(EDATE($D137,Milestones!$AA$38)&lt;=AsOfDate,IF($R137=0,$X137,IF(AND($T137&lt;&gt;"",EDATE($D137,Milestones!$AA$38)&gt;=$T137),$W137,IF(AND($S137&lt;&gt;"",EDATE($D137,Milestones!$AA$38)&gt;=$S137),$V137,$U137)))=Milestones!$AB$38),UPPER(TEXT(EDATE($D137,Milestones!$AA$38),"dd mmm yy"))&amp;" "&amp;Milestones!$AB$38&amp;" "&amp;Milestones!$AC$38&amp;";  ","")&amp;IF(AND(EDATE($D137,Milestones!$AA$39)&lt;=AsOfDate,IF($R137=0,$X137,IF(AND($T137&lt;&gt;"",EDATE($D137,Milestones!$AA$39)&gt;=$T137),$W137,IF(AND($S137&lt;&gt;"",EDATE($D137,Milestones!$AA$39)&gt;=$S137),$V137,$U137)))=Milestones!$AB$39),UPPER(TEXT(EDATE($D137,Milestones!$AA$39),"dd mmm yy"))&amp;" "&amp;Milestones!$AB$39&amp;" "&amp;Milestones!$AC$39&amp;";  ",""))</f>
        <v/>
      </c>
      <c r="J137" s="0" t="str">
        <f aca="false">IF(OR($A137="",$D137=""),"",IF(AND(EDATE($D137,Milestones!$AA$40)&lt;=AsOfDate,IF($R137=0,$X137,IF(AND($T137&lt;&gt;"",EDATE($D137,Milestones!$AA$40)&gt;=$T137),$W137,IF(AND($S137&lt;&gt;"",EDATE($D137,Milestones!$AA$40)&gt;=$S137),$V137,$U137)))=Milestones!$AB$40),UPPER(TEXT(EDATE($D137,Milestones!$AA$40),"dd mmm yy"))&amp;" "&amp;Milestones!$AB$40&amp;" "&amp;Milestones!$AC$40&amp;";  ","")&amp;IF(AND(EDATE($D137,Milestones!$AA$41)&lt;=AsOfDate,IF($R137=0,$X137,IF(AND($T137&lt;&gt;"",EDATE($D137,Milestones!$AA$41)&gt;=$T137),$W137,IF(AND($S137&lt;&gt;"",EDATE($D137,Milestones!$AA$41)&gt;=$S137),$V137,$U137)))=Milestones!$AB$41),UPPER(TEXT(EDATE($D137,Milestones!$AA$41),"dd mmm yy"))&amp;" "&amp;Milestones!$AB$41&amp;" "&amp;Milestones!$AC$41&amp;";  ","")&amp;IF(AND(EDATE($D137,Milestones!$AA$42)&lt;=AsOfDate,IF($R137=0,$X137,IF(AND($T137&lt;&gt;"",EDATE($D137,Milestones!$AA$42)&gt;=$T137),$W137,IF(AND($S137&lt;&gt;"",EDATE($D137,Milestones!$AA$42)&gt;=$S137),$V137,$U137)))=Milestones!$AB$42),UPPER(TEXT(EDATE($D137,Milestones!$AA$42),"dd mmm yy"))&amp;" "&amp;Milestones!$AB$42&amp;" "&amp;Milestones!$AC$42&amp;";  ","")&amp;IF(AND(EDATE($D137,Milestones!$AA$43)&lt;=AsOfDate,IF($R137=0,$X137,IF(AND($T137&lt;&gt;"",EDATE($D137,Milestones!$AA$43)&gt;=$T137),$W137,IF(AND($S137&lt;&gt;"",EDATE($D137,Milestones!$AA$43)&gt;=$S137),$V137,$U137)))=Milestones!$AB$43),UPPER(TEXT(EDATE($D137,Milestones!$AA$43),"dd mmm yy"))&amp;" "&amp;Milestones!$AB$43&amp;" "&amp;Milestones!$AC$43&amp;";  ","")&amp;IF(AND(EDATE($D137,Milestones!$AA$44)&lt;=AsOfDate,IF($R137=0,$X137,IF(AND($T137&lt;&gt;"",EDATE($D137,Milestones!$AA$44)&gt;=$T137),$W137,IF(AND($S137&lt;&gt;"",EDATE($D137,Milestones!$AA$44)&gt;=$S137),$V137,$U137)))=Milestones!$AB$44),UPPER(TEXT(EDATE($D137,Milestones!$AA$44),"dd mmm yy"))&amp;" "&amp;Milestones!$AB$44&amp;" "&amp;Milestones!$AC$44&amp;";  ","")&amp;IF(AND(EDATE($D137,Milestones!$AA$45)&lt;=AsOfDate,IF($R137=0,$X137,IF(AND($T137&lt;&gt;"",EDATE($D137,Milestones!$AA$45)&gt;=$T137),$W137,IF(AND($S137&lt;&gt;"",EDATE($D137,Milestones!$AA$45)&gt;=$S137),$V137,$U137)))=Milestones!$AB$45),UPPER(TEXT(EDATE($D137,Milestones!$AA$45),"dd mmm yy"))&amp;" "&amp;Milestones!$AB$45&amp;" "&amp;Milestones!$AC$45&amp;";  ","")&amp;IF(AND(EDATE($D137,Milestones!$AA$46)&lt;=AsOfDate,IF($R137=0,$X137,IF(AND($T137&lt;&gt;"",EDATE($D137,Milestones!$AA$46)&gt;=$T137),$W137,IF(AND($S137&lt;&gt;"",EDATE($D137,Milestones!$AA$46)&gt;=$S137),$V137,$U137)))=Milestones!$AB$46),UPPER(TEXT(EDATE($D137,Milestones!$AA$46),"dd mmm yy"))&amp;" "&amp;Milestones!$AB$46&amp;" "&amp;Milestones!$AC$46&amp;";  ","")&amp;IF(AND(EDATE($D137,Milestones!$AA$47)&lt;=AsOfDate,IF($R137=0,$X137,IF(AND($T137&lt;&gt;"",EDATE($D137,Milestones!$AA$47)&gt;=$T137),$W137,IF(AND($S137&lt;&gt;"",EDATE($D137,Milestones!$AA$47)&gt;=$S137),$V137,$U137)))=Milestones!$AB$47),UPPER(TEXT(EDATE($D137,Milestones!$AA$47),"dd mmm yy"))&amp;" "&amp;Milestones!$AB$47&amp;" "&amp;Milestones!$AC$47&amp;";  ","")&amp;IF(AND(EDATE($D137,Milestones!$AA$48)&lt;=AsOfDate,IF($R137=0,$X137,IF(AND($T137&lt;&gt;"",EDATE($D137,Milestones!$AA$48)&gt;=$T137),$W137,IF(AND($S137&lt;&gt;"",EDATE($D137,Milestones!$AA$48)&gt;=$S137),$V137,$U137)))=Milestones!$AB$48),UPPER(TEXT(EDATE($D137,Milestones!$AA$48),"dd mmm yy"))&amp;" "&amp;Milestones!$AB$48&amp;" "&amp;Milestones!$AC$48&amp;";  ","")&amp;IF(AND(EDATE($D137,Milestones!$AA$49)&lt;=AsOfDate,IF($R137=0,$X137,IF(AND($T137&lt;&gt;"",EDATE($D137,Milestones!$AA$49)&gt;=$T137),$W137,IF(AND($S137&lt;&gt;"",EDATE($D137,Milestones!$AA$49)&gt;=$S137),$V137,$U137)))=Milestones!$AB$49),UPPER(TEXT(EDATE($D137,Milestones!$AA$49),"dd mmm yy"))&amp;" "&amp;Milestones!$AB$49&amp;" "&amp;Milestones!$AC$49&amp;";  ","")&amp;IF(AND(EDATE($D137,Milestones!$AA$50)&lt;=AsOfDate,IF($R137=0,$X137,IF(AND($T137&lt;&gt;"",EDATE($D137,Milestones!$AA$50)&gt;=$T137),$W137,IF(AND($S137&lt;&gt;"",EDATE($D137,Milestones!$AA$50)&gt;=$S137),$V137,$U137)))=Milestones!$AB$50),UPPER(TEXT(EDATE($D137,Milestones!$AA$50),"dd mmm yy"))&amp;" "&amp;Milestones!$AB$50&amp;" "&amp;Milestones!$AC$50&amp;";  ","")&amp;IF(AND(EDATE($D137,Milestones!$AA$51)&lt;=AsOfDate,IF($R137=0,$X137,IF(AND($T137&lt;&gt;"",EDATE($D137,Milestones!$AA$51)&gt;=$T137),$W137,IF(AND($S137&lt;&gt;"",EDATE($D137,Milestones!$AA$51)&gt;=$S137),$V137,$U137)))=Milestones!$AB$51),UPPER(TEXT(EDATE($D137,Milestones!$AA$51),"dd mmm yy"))&amp;" "&amp;Milestones!$AB$51&amp;" "&amp;Milestones!$AC$51&amp;";  ","")&amp;IF(AND(EDATE($D137,Milestones!$AA$52)&lt;=AsOfDate,IF($R137=0,$X137,IF(AND($T137&lt;&gt;"",EDATE($D137,Milestones!$AA$52)&gt;=$T137),$W137,IF(AND($S137&lt;&gt;"",EDATE($D137,Milestones!$AA$52)&gt;=$S137),$V137,$U137)))=Milestones!$AB$52),UPPER(TEXT(EDATE($D137,Milestones!$AA$52),"dd mmm yy"))&amp;" "&amp;Milestones!$AB$52&amp;" "&amp;Milestones!$AC$52&amp;";  ","")&amp;IF(AND(EDATE($D137,Milestones!$AA$53)&lt;=AsOfDate,IF($R137=0,$X137,IF(AND($T137&lt;&gt;"",EDATE($D137,Milestones!$AA$53)&gt;=$T137),$W137,IF(AND($S137&lt;&gt;"",EDATE($D137,Milestones!$AA$53)&gt;=$S137),$V137,$U137)))=Milestones!$AB$53),UPPER(TEXT(EDATE($D137,Milestones!$AA$53),"dd mmm yy"))&amp;" "&amp;Milestones!$AB$53&amp;" "&amp;Milestones!$AC$53&amp;";  ","")&amp;IF(AND(EDATE($D137,Milestones!$AA$54)&lt;=AsOfDate,IF($R137=0,$X137,IF(AND($T137&lt;&gt;"",EDATE($D137,Milestones!$AA$54)&gt;=$T137),$W137,IF(AND($S137&lt;&gt;"",EDATE($D137,Milestones!$AA$54)&gt;=$S137),$V137,$U137)))=Milestones!$AB$54),UPPER(TEXT(EDATE($D137,Milestones!$AA$54),"dd mmm yy"))&amp;" "&amp;Milestones!$AB$54&amp;" "&amp;Milestones!$AC$54&amp;";  ","")&amp;IF(AND(EDATE($D137,Milestones!$AA$55)&lt;=AsOfDate,IF($R137=0,$X137,IF(AND($T137&lt;&gt;"",EDATE($D137,Milestones!$AA$55)&gt;=$T137),$W137,IF(AND($S137&lt;&gt;"",EDATE($D137,Milestones!$AA$55)&gt;=$S137),$V137,$U137)))=Milestones!$AB$55),UPPER(TEXT(EDATE($D137,Milestones!$AA$55),"dd mmm yy"))&amp;" "&amp;Milestones!$AB$55&amp;" "&amp;Milestones!$AC$55&amp;";  ","")&amp;IF(AND(EDATE($D137,Milestones!$AA$56)&lt;=AsOfDate,IF($R137=0,$X137,IF(AND($T137&lt;&gt;"",EDATE($D137,Milestones!$AA$56)&gt;=$T137),$W137,IF(AND($S137&lt;&gt;"",EDATE($D137,Milestones!$AA$56)&gt;=$S137),$V137,$U137)))=Milestones!$AB$56),UPPER(TEXT(EDATE($D137,Milestones!$AA$56),"dd mmm yy"))&amp;" "&amp;Milestones!$AB$56&amp;" "&amp;Milestones!$AC$56&amp;";  ","")&amp;IF(AND(EDATE($D137,Milestones!$AA$57)&lt;=AsOfDate,IF($R137=0,$X137,IF(AND($T137&lt;&gt;"",EDATE($D137,Milestones!$AA$57)&gt;=$T137),$W137,IF(AND($S137&lt;&gt;"",EDATE($D137,Milestones!$AA$57)&gt;=$S137),$V137,$U137)))=Milestones!$AB$57),UPPER(TEXT(EDATE($D137,Milestones!$AA$57),"dd mmm yy"))&amp;" "&amp;Milestones!$AB$57&amp;" "&amp;Milestones!$AC$57&amp;";  ","")&amp;IF(AND(EDATE($D137,Milestones!$AA$58)&lt;=AsOfDate,IF($R137=0,$X137,IF(AND($T137&lt;&gt;"",EDATE($D137,Milestones!$AA$58)&gt;=$T137),$W137,IF(AND($S137&lt;&gt;"",EDATE($D137,Milestones!$AA$58)&gt;=$S137),$V137,$U137)))=Milestones!$AB$58),UPPER(TEXT(EDATE($D137,Milestones!$AA$58),"dd mmm yy"))&amp;" "&amp;Milestones!$AB$58&amp;" "&amp;Milestones!$AC$58&amp;";  ","")&amp;IF(AND(EDATE($D137,Milestones!$AA$59)&lt;=AsOfDate,IF($R137=0,$X137,IF(AND($T137&lt;&gt;"",EDATE($D137,Milestones!$AA$59)&gt;=$T137),$W137,IF(AND($S137&lt;&gt;"",EDATE($D137,Milestones!$AA$59)&gt;=$S137),$V137,$U137)))=Milestones!$AB$59),UPPER(TEXT(EDATE($D137,Milestones!$AA$59),"dd mmm yy"))&amp;" "&amp;Milestones!$AB$59&amp;" "&amp;Milestones!$AC$59&amp;";  ",""))</f>
        <v/>
      </c>
      <c r="K137" s="0" t="str">
        <f aca="false">IF(OR($A137="",$D137=""),"",IF(AND(EDATE($D137,Milestones!$AA$60)&lt;=AsOfDate,IF($R137=0,$X137,IF(AND($T137&lt;&gt;"",EDATE($D137,Milestones!$AA$60)&gt;=$T137),$W137,IF(AND($S137&lt;&gt;"",EDATE($D137,Milestones!$AA$60)&gt;=$S137),$V137,$U137)))=Milestones!$AB$60),UPPER(TEXT(EDATE($D137,Milestones!$AA$60),"dd mmm yy"))&amp;" "&amp;Milestones!$AB$60&amp;" "&amp;Milestones!$AC$60&amp;";  ","")&amp;IF(AND(EDATE($D137,Milestones!$AA$61)&lt;=AsOfDate,IF($R137=0,$X137,IF(AND($T137&lt;&gt;"",EDATE($D137,Milestones!$AA$61)&gt;=$T137),$W137,IF(AND($S137&lt;&gt;"",EDATE($D137,Milestones!$AA$61)&gt;=$S137),$V137,$U137)))=Milestones!$AB$61),UPPER(TEXT(EDATE($D137,Milestones!$AA$61),"dd mmm yy"))&amp;" "&amp;Milestones!$AB$61&amp;" "&amp;Milestones!$AC$61&amp;";  ","")&amp;IF(AND(EDATE($D137,Milestones!$AA$62)&lt;=AsOfDate,IF($R137=0,$X137,IF(AND($T137&lt;&gt;"",EDATE($D137,Milestones!$AA$62)&gt;=$T137),$W137,IF(AND($S137&lt;&gt;"",EDATE($D137,Milestones!$AA$62)&gt;=$S137),$V137,$U137)))=Milestones!$AB$62),UPPER(TEXT(EDATE($D137,Milestones!$AA$62),"dd mmm yy"))&amp;" "&amp;Milestones!$AB$62&amp;" "&amp;Milestones!$AC$62&amp;";  ","")&amp;IF(AND(EDATE($D137,Milestones!$AA$63)&lt;=AsOfDate,IF($R137=0,$X137,IF(AND($T137&lt;&gt;"",EDATE($D137,Milestones!$AA$63)&gt;=$T137),$W137,IF(AND($S137&lt;&gt;"",EDATE($D137,Milestones!$AA$63)&gt;=$S137),$V137,$U137)))=Milestones!$AB$63),UPPER(TEXT(EDATE($D137,Milestones!$AA$63),"dd mmm yy"))&amp;" "&amp;Milestones!$AB$63&amp;" "&amp;Milestones!$AC$63&amp;";  ","")&amp;IF(AND(EDATE($D137,Milestones!$AA$64)&lt;=AsOfDate,IF($R137=0,$X137,IF(AND($T137&lt;&gt;"",EDATE($D137,Milestones!$AA$64)&gt;=$T137),$W137,IF(AND($S137&lt;&gt;"",EDATE($D137,Milestones!$AA$64)&gt;=$S137),$V137,$U137)))=Milestones!$AB$64),UPPER(TEXT(EDATE($D137,Milestones!$AA$64),"dd mmm yy"))&amp;" "&amp;Milestones!$AB$64&amp;" "&amp;Milestones!$AC$64&amp;";  ","")&amp;IF(AND(EDATE($D137,Milestones!$AA$65)&lt;=AsOfDate,IF($R137=0,$X137,IF(AND($T137&lt;&gt;"",EDATE($D137,Milestones!$AA$65)&gt;=$T137),$W137,IF(AND($S137&lt;&gt;"",EDATE($D137,Milestones!$AA$65)&gt;=$S137),$V137,$U137)))=Milestones!$AB$65),UPPER(TEXT(EDATE($D137,Milestones!$AA$65),"dd mmm yy"))&amp;" "&amp;Milestones!$AB$65&amp;" "&amp;Milestones!$AC$65&amp;";  ","")&amp;IF(AND(EDATE($D137,Milestones!$AA$66)&lt;=AsOfDate,IF($R137=0,$X137,IF(AND($T137&lt;&gt;"",EDATE($D137,Milestones!$AA$66)&gt;=$T137),$W137,IF(AND($S137&lt;&gt;"",EDATE($D137,Milestones!$AA$66)&gt;=$S137),$V137,$U137)))=Milestones!$AB$66),UPPER(TEXT(EDATE($D137,Milestones!$AA$66),"dd mmm yy"))&amp;" "&amp;Milestones!$AB$66&amp;" "&amp;Milestones!$AC$66&amp;";  ","")&amp;IF(AND(EDATE($D137,Milestones!$AA$67)&lt;=AsOfDate,IF($R137=0,$X137,IF(AND($T137&lt;&gt;"",EDATE($D137,Milestones!$AA$67)&gt;=$T137),$W137,IF(AND($S137&lt;&gt;"",EDATE($D137,Milestones!$AA$67)&gt;=$S137),$V137,$U137)))=Milestones!$AB$67),UPPER(TEXT(EDATE($D137,Milestones!$AA$67),"dd mmm yy"))&amp;" "&amp;Milestones!$AB$67&amp;" "&amp;Milestones!$AC$67&amp;";  ","")&amp;IF(AND(EDATE($D137,Milestones!$AA$68)&lt;=AsOfDate,IF($R137=0,$X137,IF(AND($T137&lt;&gt;"",EDATE($D137,Milestones!$AA$68)&gt;=$T137),$W137,IF(AND($S137&lt;&gt;"",EDATE($D137,Milestones!$AA$68)&gt;=$S137),$V137,$U137)))=Milestones!$AB$68),UPPER(TEXT(EDATE($D137,Milestones!$AA$68),"dd mmm yy"))&amp;" "&amp;Milestones!$AB$68&amp;" "&amp;Milestones!$AC$68&amp;";  ","")&amp;IF(AND(EDATE($D137,Milestones!$AA$69)&lt;=AsOfDate,IF($R137=0,$X137,IF(AND($T137&lt;&gt;"",EDATE($D137,Milestones!$AA$69)&gt;=$T137),$W137,IF(AND($S137&lt;&gt;"",EDATE($D137,Milestones!$AA$69)&gt;=$S137),$V137,$U137)))=Milestones!$AB$69),UPPER(TEXT(EDATE($D137,Milestones!$AA$69),"dd mmm yy"))&amp;" "&amp;Milestones!$AB$69&amp;" "&amp;Milestones!$AC$69&amp;";  ","")&amp;IF(AND(EDATE($D137,Milestones!$AA$70)&lt;=AsOfDate,IF($R137=0,$X137,IF(AND($T137&lt;&gt;"",EDATE($D137,Milestones!$AA$70)&gt;=$T137),$W137,IF(AND($S137&lt;&gt;"",EDATE($D137,Milestones!$AA$70)&gt;=$S137),$V137,$U137)))=Milestones!$AB$70),UPPER(TEXT(EDATE($D137,Milestones!$AA$70),"dd mmm yy"))&amp;" "&amp;Milestones!$AB$70&amp;" "&amp;Milestones!$AC$70&amp;";  ","")&amp;IF(AND(EDATE($D137,Milestones!$AA$71)&lt;=AsOfDate,IF($R137=0,$X137,IF(AND($T137&lt;&gt;"",EDATE($D137,Milestones!$AA$71)&gt;=$T137),$W137,IF(AND($S137&lt;&gt;"",EDATE($D137,Milestones!$AA$71)&gt;=$S137),$V137,$U137)))=Milestones!$AB$71),UPPER(TEXT(EDATE($D137,Milestones!$AA$71),"dd mmm yy"))&amp;" "&amp;Milestones!$AB$71&amp;" "&amp;Milestones!$AC$71&amp;";  ","")&amp;IF(AND(EDATE($D137,Milestones!$AA$72)&lt;=AsOfDate,IF($R137=0,$X137,IF(AND($T137&lt;&gt;"",EDATE($D137,Milestones!$AA$72)&gt;=$T137),$W137,IF(AND($S137&lt;&gt;"",EDATE($D137,Milestones!$AA$72)&gt;=$S137),$V137,$U137)))=Milestones!$AB$72),UPPER(TEXT(EDATE($D137,Milestones!$AA$72),"dd mmm yy"))&amp;" "&amp;Milestones!$AB$72&amp;" "&amp;Milestones!$AC$72&amp;";  ","")&amp;IF(AND(EDATE($D137,Milestones!$AA$73)&lt;=AsOfDate,IF($R137=0,$X137,IF(AND($T137&lt;&gt;"",EDATE($D137,Milestones!$AA$73)&gt;=$T137),$W137,IF(AND($S137&lt;&gt;"",EDATE($D137,Milestones!$AA$73)&gt;=$S137),$V137,$U137)))=Milestones!$AB$73),UPPER(TEXT(EDATE($D137,Milestones!$AA$73),"dd mmm yy"))&amp;" "&amp;Milestones!$AB$73&amp;" "&amp;Milestones!$AC$73&amp;";  ","")&amp;IF(AND(EDATE($D137,Milestones!$AA$74)&lt;=AsOfDate,IF($R137=0,$X137,IF(AND($T137&lt;&gt;"",EDATE($D137,Milestones!$AA$74)&gt;=$T137),$W137,IF(AND($S137&lt;&gt;"",EDATE($D137,Milestones!$AA$74)&gt;=$S137),$V137,$U137)))=Milestones!$AB$74),UPPER(TEXT(EDATE($D137,Milestones!$AA$74),"dd mmm yy"))&amp;" "&amp;Milestones!$AB$74&amp;" "&amp;Milestones!$AC$74&amp;";  ","")&amp;IF(AND(EDATE($D137,Milestones!$AA$75)&lt;=AsOfDate,IF($R137=0,$X137,IF(AND($T137&lt;&gt;"",EDATE($D137,Milestones!$AA$75)&gt;=$T137),$W137,IF(AND($S137&lt;&gt;"",EDATE($D137,Milestones!$AA$75)&gt;=$S137),$V137,$U137)))=Milestones!$AB$75),UPPER(TEXT(EDATE($D137,Milestones!$AA$75),"dd mmm yy"))&amp;" "&amp;Milestones!$AB$75&amp;" "&amp;Milestones!$AC$75&amp;";  ","")&amp;IF(AND(EDATE($D137,Milestones!$AA$76)&lt;=AsOfDate,IF($R137=0,$X137,IF(AND($T137&lt;&gt;"",EDATE($D137,Milestones!$AA$76)&gt;=$T137),$W137,IF(AND($S137&lt;&gt;"",EDATE($D137,Milestones!$AA$76)&gt;=$S137),$V137,$U137)))=Milestones!$AB$76),UPPER(TEXT(EDATE($D137,Milestones!$AA$76),"dd mmm yy"))&amp;" "&amp;Milestones!$AB$76&amp;" "&amp;Milestones!$AC$76&amp;";  ","")&amp;IF(AND(EDATE($D137,Milestones!$AA$77)&lt;=AsOfDate,IF($R137=0,$X137,IF(AND($T137&lt;&gt;"",EDATE($D137,Milestones!$AA$77)&gt;=$T137),$W137,IF(AND($S137&lt;&gt;"",EDATE($D137,Milestones!$AA$77)&gt;=$S137),$V137,$U137)))=Milestones!$AB$77),UPPER(TEXT(EDATE($D137,Milestones!$AA$77),"dd mmm yy"))&amp;" "&amp;Milestones!$AB$77&amp;" "&amp;Milestones!$AC$77&amp;";  ","")&amp;IF(AND(EDATE($D137,Milestones!$AA$78)&lt;=AsOfDate,IF($R137=0,$X137,IF(AND($T137&lt;&gt;"",EDATE($D137,Milestones!$AA$78)&gt;=$T137),$W137,IF(AND($S137&lt;&gt;"",EDATE($D137,Milestones!$AA$78)&gt;=$S137),$V137,$U137)))=Milestones!$AB$78),UPPER(TEXT(EDATE($D137,Milestones!$AA$78),"dd mmm yy"))&amp;" "&amp;Milestones!$AB$78&amp;" "&amp;Milestones!$AC$78&amp;";  ","")&amp;IF(AND(EDATE($D137,Milestones!$AA$79)&lt;=AsOfDate,IF($R137=0,$X137,IF(AND($T137&lt;&gt;"",EDATE($D137,Milestones!$AA$79)&gt;=$T137),$W137,IF(AND($S137&lt;&gt;"",EDATE($D137,Milestones!$AA$79)&gt;=$S137),$V137,$U137)))=Milestones!$AB$79),UPPER(TEXT(EDATE($D137,Milestones!$AA$79),"dd mmm yy"))&amp;" "&amp;Milestones!$AB$79&amp;" "&amp;Milestones!$AC$79&amp;";  ",""))</f>
        <v/>
      </c>
      <c r="L137" s="0" t="str">
        <f aca="false">IF(OR($A137="",$D137=""),"",IF(AND(EDATE($D137,Milestones!$AA$80)&lt;=AsOfDate,IF($R137=0,$X137,IF(AND($T137&lt;&gt;"",EDATE($D137,Milestones!$AA$80)&gt;=$T137),$W137,IF(AND($S137&lt;&gt;"",EDATE($D137,Milestones!$AA$80)&gt;=$S137),$V137,$U137)))=Milestones!$AB$80),UPPER(TEXT(EDATE($D137,Milestones!$AA$80),"dd mmm yy"))&amp;" "&amp;Milestones!$AB$80&amp;" "&amp;Milestones!$AC$80&amp;";  ","")&amp;IF(AND(EDATE($D137,Milestones!$AA$81)&lt;=AsOfDate,IF($R137=0,$X137,IF(AND($T137&lt;&gt;"",EDATE($D137,Milestones!$AA$81)&gt;=$T137),$W137,IF(AND($S137&lt;&gt;"",EDATE($D137,Milestones!$AA$81)&gt;=$S137),$V137,$U137)))=Milestones!$AB$81),UPPER(TEXT(EDATE($D137,Milestones!$AA$81),"dd mmm yy"))&amp;" "&amp;Milestones!$AB$81&amp;" "&amp;Milestones!$AC$81&amp;";  ","")&amp;IF(AND(EDATE($D137,Milestones!$AA$82)&lt;=AsOfDate,IF($R137=0,$X137,IF(AND($T137&lt;&gt;"",EDATE($D137,Milestones!$AA$82)&gt;=$T137),$W137,IF(AND($S137&lt;&gt;"",EDATE($D137,Milestones!$AA$82)&gt;=$S137),$V137,$U137)))=Milestones!$AB$82),UPPER(TEXT(EDATE($D137,Milestones!$AA$82),"dd mmm yy"))&amp;" "&amp;Milestones!$AB$82&amp;" "&amp;Milestones!$AC$82&amp;";  ","")&amp;IF(AND(EDATE($D137,Milestones!$AA$83)&lt;=AsOfDate,IF($R137=0,$X137,IF(AND($T137&lt;&gt;"",EDATE($D137,Milestones!$AA$83)&gt;=$T137),$W137,IF(AND($S137&lt;&gt;"",EDATE($D137,Milestones!$AA$83)&gt;=$S137),$V137,$U137)))=Milestones!$AB$83),UPPER(TEXT(EDATE($D137,Milestones!$AA$83),"dd mmm yy"))&amp;" "&amp;Milestones!$AB$83&amp;" "&amp;Milestones!$AC$83&amp;";  ","")&amp;IF(AND(EDATE($D137,Milestones!$AA$84)&lt;=AsOfDate,IF($R137=0,$X137,IF(AND($T137&lt;&gt;"",EDATE($D137,Milestones!$AA$84)&gt;=$T137),$W137,IF(AND($S137&lt;&gt;"",EDATE($D137,Milestones!$AA$84)&gt;=$S137),$V137,$U137)))=Milestones!$AB$84),UPPER(TEXT(EDATE($D137,Milestones!$AA$84),"dd mmm yy"))&amp;" "&amp;Milestones!$AB$84&amp;" "&amp;Milestones!$AC$84&amp;";  ","")&amp;IF(AND(EDATE($D137,Milestones!$AA$85)&lt;=AsOfDate,IF($R137=0,$X137,IF(AND($T137&lt;&gt;"",EDATE($D137,Milestones!$AA$85)&gt;=$T137),$W137,IF(AND($S137&lt;&gt;"",EDATE($D137,Milestones!$AA$85)&gt;=$S137),$V137,$U137)))=Milestones!$AB$85),UPPER(TEXT(EDATE($D137,Milestones!$AA$85),"dd mmm yy"))&amp;" "&amp;Milestones!$AB$85&amp;" "&amp;Milestones!$AC$85&amp;";  ","")&amp;IF(AND(EDATE($D137,Milestones!$AA$86)&lt;=AsOfDate,IF($R137=0,$X137,IF(AND($T137&lt;&gt;"",EDATE($D137,Milestones!$AA$86)&gt;=$T137),$W137,IF(AND($S137&lt;&gt;"",EDATE($D137,Milestones!$AA$86)&gt;=$S137),$V137,$U137)))=Milestones!$AB$86),UPPER(TEXT(EDATE($D137,Milestones!$AA$86),"dd mmm yy"))&amp;" "&amp;Milestones!$AB$86&amp;" "&amp;Milestones!$AC$86&amp;";  ","")&amp;IF(AND(EDATE($D137,Milestones!$AA$87)&lt;=AsOfDate,IF($R137=0,$X137,IF(AND($T137&lt;&gt;"",EDATE($D137,Milestones!$AA$87)&gt;=$T137),$W137,IF(AND($S137&lt;&gt;"",EDATE($D137,Milestones!$AA$87)&gt;=$S137),$V137,$U137)))=Milestones!$AB$87),UPPER(TEXT(EDATE($D137,Milestones!$AA$87),"dd mmm yy"))&amp;" "&amp;Milestones!$AB$87&amp;" "&amp;Milestones!$AC$87&amp;";  ","")&amp;IF(AND(EDATE($D137,Milestones!$AA$88)&lt;=AsOfDate,IF($R137=0,$X137,IF(AND($T137&lt;&gt;"",EDATE($D137,Milestones!$AA$88)&gt;=$T137),$W137,IF(AND($S137&lt;&gt;"",EDATE($D137,Milestones!$AA$88)&gt;=$S137),$V137,$U137)))=Milestones!$AB$88),UPPER(TEXT(EDATE($D137,Milestones!$AA$88),"dd mmm yy"))&amp;" "&amp;Milestones!$AB$88&amp;" "&amp;Milestones!$AC$88&amp;";  ","")&amp;IF(AND(EDATE($D137,Milestones!$AA$89)&lt;=AsOfDate,IF($R137=0,$X137,IF(AND($T137&lt;&gt;"",EDATE($D137,Milestones!$AA$89)&gt;=$T137),$W137,IF(AND($S137&lt;&gt;"",EDATE($D137,Milestones!$AA$89)&gt;=$S137),$V137,$U137)))=Milestones!$AB$89),UPPER(TEXT(EDATE($D137,Milestones!$AA$89),"dd mmm yy"))&amp;" "&amp;Milestones!$AB$89&amp;" "&amp;Milestones!$AC$89&amp;";  ","")&amp;IF(AND(EDATE($D137,Milestones!$AA$90)&lt;=AsOfDate,IF($R137=0,$X137,IF(AND($T137&lt;&gt;"",EDATE($D137,Milestones!$AA$90)&gt;=$T137),$W137,IF(AND($S137&lt;&gt;"",EDATE($D137,Milestones!$AA$90)&gt;=$S137),$V137,$U137)))=Milestones!$AB$90),UPPER(TEXT(EDATE($D137,Milestones!$AA$90),"dd mmm yy"))&amp;" "&amp;Milestones!$AB$90&amp;" "&amp;Milestones!$AC$90&amp;";  ","")&amp;IF(AND(EDATE($D137,Milestones!$AA$91)&lt;=AsOfDate,IF($R137=0,$X137,IF(AND($T137&lt;&gt;"",EDATE($D137,Milestones!$AA$91)&gt;=$T137),$W137,IF(AND($S137&lt;&gt;"",EDATE($D137,Milestones!$AA$91)&gt;=$S137),$V137,$U137)))=Milestones!$AB$91),UPPER(TEXT(EDATE($D137,Milestones!$AA$91),"dd mmm yy"))&amp;" "&amp;Milestones!$AB$91&amp;" "&amp;Milestones!$AC$91&amp;";  ","")&amp;IF(AND(EDATE($D137,Milestones!$AA$92)&lt;=AsOfDate,IF($R137=0,$X137,IF(AND($T137&lt;&gt;"",EDATE($D137,Milestones!$AA$92)&gt;=$T137),$W137,IF(AND($S137&lt;&gt;"",EDATE($D137,Milestones!$AA$92)&gt;=$S137),$V137,$U137)))=Milestones!$AB$92),UPPER(TEXT(EDATE($D137,Milestones!$AA$92),"dd mmm yy"))&amp;" "&amp;Milestones!$AB$92&amp;" "&amp;Milestones!$AC$92&amp;";  ","")&amp;IF(AND(EDATE($D137,Milestones!$AA$93)&lt;=AsOfDate,IF($R137=0,$X137,IF(AND($T137&lt;&gt;"",EDATE($D137,Milestones!$AA$93)&gt;=$T137),$W137,IF(AND($S137&lt;&gt;"",EDATE($D137,Milestones!$AA$93)&gt;=$S137),$V137,$U137)))=Milestones!$AB$93),UPPER(TEXT(EDATE($D137,Milestones!$AA$93),"dd mmm yy"))&amp;" "&amp;Milestones!$AB$93&amp;" "&amp;Milestones!$AC$93&amp;";  ","")&amp;IF(AND(EDATE($D137,Milestones!$AA$94)&lt;=AsOfDate,IF($R137=0,$X137,IF(AND($T137&lt;&gt;"",EDATE($D137,Milestones!$AA$94)&gt;=$T137),$W137,IF(AND($S137&lt;&gt;"",EDATE($D137,Milestones!$AA$94)&gt;=$S137),$V137,$U137)))=Milestones!$AB$94),UPPER(TEXT(EDATE($D137,Milestones!$AA$94),"dd mmm yy"))&amp;" "&amp;Milestones!$AB$94&amp;" "&amp;Milestones!$AC$94&amp;";  ","")&amp;IF(AND(EDATE($D137,Milestones!$AA$95)&lt;=AsOfDate,IF($R137=0,$X137,IF(AND($T137&lt;&gt;"",EDATE($D137,Milestones!$AA$95)&gt;=$T137),$W137,IF(AND($S137&lt;&gt;"",EDATE($D137,Milestones!$AA$95)&gt;=$S137),$V137,$U137)))=Milestones!$AB$95),UPPER(TEXT(EDATE($D137,Milestones!$AA$95),"dd mmm yy"))&amp;" "&amp;Milestones!$AB$95&amp;" "&amp;Milestones!$AC$95&amp;";  ","")&amp;IF(AND(EDATE($D137,Milestones!$AA$96)&lt;=AsOfDate,IF($R137=0,$X137,IF(AND($T137&lt;&gt;"",EDATE($D137,Milestones!$AA$96)&gt;=$T137),$W137,IF(AND($S137&lt;&gt;"",EDATE($D137,Milestones!$AA$96)&gt;=$S137),$V137,$U137)))=Milestones!$AB$96),UPPER(TEXT(EDATE($D137,Milestones!$AA$96),"dd mmm yy"))&amp;" "&amp;Milestones!$AB$96&amp;" "&amp;Milestones!$AC$96&amp;";  ","")&amp;IF(AND(EDATE($D137,Milestones!$AA$97)&lt;=AsOfDate,IF($R137=0,$X137,IF(AND($T137&lt;&gt;"",EDATE($D137,Milestones!$AA$97)&gt;=$T137),$W137,IF(AND($S137&lt;&gt;"",EDATE($D137,Milestones!$AA$97)&gt;=$S137),$V137,$U137)))=Milestones!$AB$97),UPPER(TEXT(EDATE($D137,Milestones!$AA$97),"dd mmm yy"))&amp;" "&amp;Milestones!$AB$97&amp;" "&amp;Milestones!$AC$97&amp;";  ","")&amp;IF(AND(EDATE($D137,Milestones!$AA$98)&lt;=AsOfDate,IF($R137=0,$X137,IF(AND($T137&lt;&gt;"",EDATE($D137,Milestones!$AA$98)&gt;=$T137),$W137,IF(AND($S137&lt;&gt;"",EDATE($D137,Milestones!$AA$98)&gt;=$S137),$V137,$U137)))=Milestones!$AB$98),UPPER(TEXT(EDATE($D137,Milestones!$AA$98),"dd mmm yy"))&amp;" "&amp;Milestones!$AB$98&amp;" "&amp;Milestones!$AC$98&amp;";  ","")&amp;IF(AND(EDATE($D137,Milestones!$AA$99)&lt;=AsOfDate,IF($R137=0,$X137,IF(AND($T137&lt;&gt;"",EDATE($D137,Milestones!$AA$99)&gt;=$T137),$W137,IF(AND($S137&lt;&gt;"",EDATE($D137,Milestones!$AA$99)&gt;=$S137),$V137,$U137)))=Milestones!$AB$99),UPPER(TEXT(EDATE($D137,Milestones!$AA$99),"dd mmm yy"))&amp;" "&amp;Milestones!$AB$99&amp;" "&amp;Milestones!$AC$99&amp;";  ",""))</f>
        <v/>
      </c>
      <c r="M137" s="0" t="str">
        <f aca="false">IF(OR($A137="",$D137=""),"",IF(AND(EDATE($D137,Milestones!$AA$100)&lt;=AsOfDate,IF($R137=0,$X137,IF(AND($T137&lt;&gt;"",EDATE($D137,Milestones!$AA$100)&gt;=$T137),$W137,IF(AND($S137&lt;&gt;"",EDATE($D137,Milestones!$AA$100)&gt;=$S137),$V137,$U137)))=Milestones!$AB$100),UPPER(TEXT(EDATE($D137,Milestones!$AA$100),"dd mmm yy"))&amp;" "&amp;Milestones!$AB$100&amp;" "&amp;Milestones!$AC$100&amp;";  ","")&amp;IF(AND(EDATE($D137,Milestones!$AA$101)&lt;=AsOfDate,IF($R137=0,$X137,IF(AND($T137&lt;&gt;"",EDATE($D137,Milestones!$AA$101)&gt;=$T137),$W137,IF(AND($S137&lt;&gt;"",EDATE($D137,Milestones!$AA$101)&gt;=$S137),$V137,$U137)))=Milestones!$AB$101),UPPER(TEXT(EDATE($D137,Milestones!$AA$101),"dd mmm yy"))&amp;" "&amp;Milestones!$AB$101&amp;" "&amp;Milestones!$AC$101&amp;";  ","")&amp;IF(AND(EDATE($D137,Milestones!$AA$102)&lt;=AsOfDate,IF($R137=0,$X137,IF(AND($T137&lt;&gt;"",EDATE($D137,Milestones!$AA$102)&gt;=$T137),$W137,IF(AND($S137&lt;&gt;"",EDATE($D137,Milestones!$AA$102)&gt;=$S137),$V137,$U137)))=Milestones!$AB$102),UPPER(TEXT(EDATE($D137,Milestones!$AA$102),"dd mmm yy"))&amp;" "&amp;Milestones!$AB$102&amp;" "&amp;Milestones!$AC$102&amp;";  ","")&amp;IF(AND(EDATE($D137,Milestones!$AA$103)&lt;=AsOfDate,IF($R137=0,$X137,IF(AND($T137&lt;&gt;"",EDATE($D137,Milestones!$AA$103)&gt;=$T137),$W137,IF(AND($S137&lt;&gt;"",EDATE($D137,Milestones!$AA$103)&gt;=$S137),$V137,$U137)))=Milestones!$AB$103),UPPER(TEXT(EDATE($D137,Milestones!$AA$103),"dd mmm yy"))&amp;" "&amp;Milestones!$AB$103&amp;" "&amp;Milestones!$AC$103&amp;";  ","")&amp;IF(AND(EDATE($D137,Milestones!$AA$104)&lt;=AsOfDate,IF($R137=0,$X137,IF(AND($T137&lt;&gt;"",EDATE($D137,Milestones!$AA$104)&gt;=$T137),$W137,IF(AND($S137&lt;&gt;"",EDATE($D137,Milestones!$AA$104)&gt;=$S137),$V137,$U137)))=Milestones!$AB$104),UPPER(TEXT(EDATE($D137,Milestones!$AA$104),"dd mmm yy"))&amp;" "&amp;Milestones!$AB$104&amp;" "&amp;Milestones!$AC$104&amp;";  ","")&amp;IF(AND(EDATE($D137,Milestones!$AA$105)&lt;=AsOfDate,IF($R137=0,$X137,IF(AND($T137&lt;&gt;"",EDATE($D137,Milestones!$AA$105)&gt;=$T137),$W137,IF(AND($S137&lt;&gt;"",EDATE($D137,Milestones!$AA$105)&gt;=$S137),$V137,$U137)))=Milestones!$AB$105),UPPER(TEXT(EDATE($D137,Milestones!$AA$105),"dd mmm yy"))&amp;" "&amp;Milestones!$AB$105&amp;" "&amp;Milestones!$AC$105&amp;";  ","")&amp;IF(AND(EDATE($D137,Milestones!$AA$106)&lt;=AsOfDate,IF($R137=0,$X137,IF(AND($T137&lt;&gt;"",EDATE($D137,Milestones!$AA$106)&gt;=$T137),$W137,IF(AND($S137&lt;&gt;"",EDATE($D137,Milestones!$AA$106)&gt;=$S137),$V137,$U137)))=Milestones!$AB$106),UPPER(TEXT(EDATE($D137,Milestones!$AA$106),"dd mmm yy"))&amp;" "&amp;Milestones!$AB$106&amp;" "&amp;Milestones!$AC$106&amp;";  ","")&amp;IF(AND(EDATE($D137,Milestones!$AA$107)&lt;=AsOfDate,IF($R137=0,$X137,IF(AND($T137&lt;&gt;"",EDATE($D137,Milestones!$AA$107)&gt;=$T137),$W137,IF(AND($S137&lt;&gt;"",EDATE($D137,Milestones!$AA$107)&gt;=$S137),$V137,$U137)))=Milestones!$AB$107),UPPER(TEXT(EDATE($D137,Milestones!$AA$107),"dd mmm yy"))&amp;" "&amp;Milestones!$AB$107&amp;" "&amp;Milestones!$AC$107&amp;";  ","")&amp;IF(AND(EDATE($D137,Milestones!$AA$108)&lt;=AsOfDate,IF($R137=0,$X137,IF(AND($T137&lt;&gt;"",EDATE($D137,Milestones!$AA$108)&gt;=$T137),$W137,IF(AND($S137&lt;&gt;"",EDATE($D137,Milestones!$AA$108)&gt;=$S137),$V137,$U137)))=Milestones!$AB$108),UPPER(TEXT(EDATE($D137,Milestones!$AA$108),"dd mmm yy"))&amp;" "&amp;Milestones!$AB$108&amp;" "&amp;Milestones!$AC$108&amp;";  ","")&amp;IF(AND(EDATE($D137,Milestones!$AA$109)&lt;=AsOfDate,IF($R137=0,$X137,IF(AND($T137&lt;&gt;"",EDATE($D137,Milestones!$AA$109)&gt;=$T137),$W137,IF(AND($S137&lt;&gt;"",EDATE($D137,Milestones!$AA$109)&gt;=$S137),$V137,$U137)))=Milestones!$AB$109),UPPER(TEXT(EDATE($D137,Milestones!$AA$109),"dd mmm yy"))&amp;" "&amp;Milestones!$AB$109&amp;" "&amp;Milestones!$AC$109&amp;";  ","")&amp;IF(AND(EDATE($D137,Milestones!$AA$110)&lt;=AsOfDate,IF($R137=0,$X137,IF(AND($T137&lt;&gt;"",EDATE($D137,Milestones!$AA$110)&gt;=$T137),$W137,IF(AND($S137&lt;&gt;"",EDATE($D137,Milestones!$AA$110)&gt;=$S137),$V137,$U137)))=Milestones!$AB$110),UPPER(TEXT(EDATE($D137,Milestones!$AA$110),"dd mmm yy"))&amp;" "&amp;Milestones!$AB$110&amp;" "&amp;Milestones!$AC$110&amp;";  ","")&amp;IF(AND(EDATE($D137,Milestones!$AA$111)&lt;=AsOfDate,IF($R137=0,$X137,IF(AND($T137&lt;&gt;"",EDATE($D137,Milestones!$AA$111)&gt;=$T137),$W137,IF(AND($S137&lt;&gt;"",EDATE($D137,Milestones!$AA$111)&gt;=$S137),$V137,$U137)))=Milestones!$AB$111),UPPER(TEXT(EDATE($D137,Milestones!$AA$111),"dd mmm yy"))&amp;" "&amp;Milestones!$AB$111&amp;" "&amp;Milestones!$AC$111&amp;";  ","")&amp;IF(AND(EDATE($D137,Milestones!$AA$112)&lt;=AsOfDate,IF($R137=0,$X137,IF(AND($T137&lt;&gt;"",EDATE($D137,Milestones!$AA$112)&gt;=$T137),$W137,IF(AND($S137&lt;&gt;"",EDATE($D137,Milestones!$AA$112)&gt;=$S137),$V137,$U137)))=Milestones!$AB$112),UPPER(TEXT(EDATE($D137,Milestones!$AA$112),"dd mmm yy"))&amp;" "&amp;Milestones!$AB$112&amp;" "&amp;Milestones!$AC$112&amp;";  ","")&amp;IF(AND(EDATE($D137,Milestones!$AA$113)&lt;=AsOfDate,IF($R137=0,$X137,IF(AND($T137&lt;&gt;"",EDATE($D137,Milestones!$AA$113)&gt;=$T137),$W137,IF(AND($S137&lt;&gt;"",EDATE($D137,Milestones!$AA$113)&gt;=$S137),$V137,$U137)))=Milestones!$AB$113),UPPER(TEXT(EDATE($D137,Milestones!$AA$113),"dd mmm yy"))&amp;" "&amp;Milestones!$AB$113&amp;" "&amp;Milestones!$AC$113&amp;";  ","")&amp;IF(AND(EDATE($D137,Milestones!$AA$114)&lt;=AsOfDate,IF($R137=0,$X137,IF(AND($T137&lt;&gt;"",EDATE($D137,Milestones!$AA$114)&gt;=$T137),$W137,IF(AND($S137&lt;&gt;"",EDATE($D137,Milestones!$AA$114)&gt;=$S137),$V137,$U137)))=Milestones!$AB$114),UPPER(TEXT(EDATE($D137,Milestones!$AA$114),"dd mmm yy"))&amp;" "&amp;Milestones!$AB$114&amp;" "&amp;Milestones!$AC$114&amp;";  ","")&amp;IF(AND(EDATE($D137,Milestones!$AA$115)&lt;=AsOfDate,IF($R137=0,$X137,IF(AND($T137&lt;&gt;"",EDATE($D137,Milestones!$AA$115)&gt;=$T137),$W137,IF(AND($S137&lt;&gt;"",EDATE($D137,Milestones!$AA$115)&gt;=$S137),$V137,$U137)))=Milestones!$AB$115),UPPER(TEXT(EDATE($D137,Milestones!$AA$115),"dd mmm yy"))&amp;" "&amp;Milestones!$AB$115&amp;" "&amp;Milestones!$AC$115&amp;";  ","")&amp;IF(AND(EDATE($D137,Milestones!$AA$116)&lt;=AsOfDate,IF($R137=0,$X137,IF(AND($T137&lt;&gt;"",EDATE($D137,Milestones!$AA$116)&gt;=$T137),$W137,IF(AND($S137&lt;&gt;"",EDATE($D137,Milestones!$AA$116)&gt;=$S137),$V137,$U137)))=Milestones!$AB$116),UPPER(TEXT(EDATE($D137,Milestones!$AA$116),"dd mmm yy"))&amp;" "&amp;Milestones!$AB$116&amp;" "&amp;Milestones!$AC$116&amp;";  ","")&amp;IF(AND(EDATE($D137,Milestones!$AA$117)&lt;=AsOfDate,IF($R137=0,$X137,IF(AND($T137&lt;&gt;"",EDATE($D137,Milestones!$AA$117)&gt;=$T137),$W137,IF(AND($S137&lt;&gt;"",EDATE($D137,Milestones!$AA$117)&gt;=$S137),$V137,$U137)))=Milestones!$AB$117),UPPER(TEXT(EDATE($D137,Milestones!$AA$117),"dd mmm yy"))&amp;" "&amp;Milestones!$AB$117&amp;" "&amp;Milestones!$AC$117&amp;";  ","")&amp;IF(AND(EDATE($D137,Milestones!$AA$118)&lt;=AsOfDate,IF($R137=0,$X137,IF(AND($T137&lt;&gt;"",EDATE($D137,Milestones!$AA$118)&gt;=$T137),$W137,IF(AND($S137&lt;&gt;"",EDATE($D137,Milestones!$AA$118)&gt;=$S137),$V137,$U137)))=Milestones!$AB$118),UPPER(TEXT(EDATE($D137,Milestones!$AA$118),"dd mmm yy"))&amp;" "&amp;Milestones!$AB$118&amp;" "&amp;Milestones!$AC$118&amp;";  ","")&amp;IF(AND(EDATE($D137,Milestones!$AA$119)&lt;=AsOfDate,IF($R137=0,$X137,IF(AND($T137&lt;&gt;"",EDATE($D137,Milestones!$AA$119)&gt;=$T137),$W137,IF(AND($S137&lt;&gt;"",EDATE($D137,Milestones!$AA$119)&gt;=$S137),$V137,$U137)))=Milestones!$AB$119),UPPER(TEXT(EDATE($D137,Milestones!$AA$119),"dd mmm yy"))&amp;" "&amp;Milestones!$AB$119&amp;" "&amp;Milestones!$AC$119&amp;";  ",""))</f>
        <v/>
      </c>
      <c r="N137" s="0" t="str">
        <f aca="false">IF(OR($A137="",$D137=""),"",IF(AND(EDATE($D137,Milestones!$AA$120)&lt;=AsOfDate,IF($R137=0,$X137,IF(AND($T137&lt;&gt;"",EDATE($D137,Milestones!$AA$120)&gt;=$T137),$W137,IF(AND($S137&lt;&gt;"",EDATE($D137,Milestones!$AA$120)&gt;=$S137),$V137,$U137)))=Milestones!$AB$120),UPPER(TEXT(EDATE($D137,Milestones!$AA$120),"dd mmm yy"))&amp;" "&amp;Milestones!$AB$120&amp;" "&amp;Milestones!$AC$120&amp;";  ","")&amp;IF(AND(EDATE($D137,Milestones!$AA$121)&lt;=AsOfDate,IF($R137=0,$X137,IF(AND($T137&lt;&gt;"",EDATE($D137,Milestones!$AA$121)&gt;=$T137),$W137,IF(AND($S137&lt;&gt;"",EDATE($D137,Milestones!$AA$121)&gt;=$S137),$V137,$U137)))=Milestones!$AB$121),UPPER(TEXT(EDATE($D137,Milestones!$AA$121),"dd mmm yy"))&amp;" "&amp;Milestones!$AB$121&amp;" "&amp;Milestones!$AC$121&amp;";  ","")&amp;IF(AND(EDATE($D137,Milestones!$AA$122)&lt;=AsOfDate,IF($R137=0,$X137,IF(AND($T137&lt;&gt;"",EDATE($D137,Milestones!$AA$122)&gt;=$T137),$W137,IF(AND($S137&lt;&gt;"",EDATE($D137,Milestones!$AA$122)&gt;=$S137),$V137,$U137)))=Milestones!$AB$122),UPPER(TEXT(EDATE($D137,Milestones!$AA$122),"dd mmm yy"))&amp;" "&amp;Milestones!$AB$122&amp;" "&amp;Milestones!$AC$122&amp;";  ","")&amp;IF(AND(EDATE($D137,Milestones!$AA$123)&lt;=AsOfDate,IF($R137=0,$X137,IF(AND($T137&lt;&gt;"",EDATE($D137,Milestones!$AA$123)&gt;=$T137),$W137,IF(AND($S137&lt;&gt;"",EDATE($D137,Milestones!$AA$123)&gt;=$S137),$V137,$U137)))=Milestones!$AB$123),UPPER(TEXT(EDATE($D137,Milestones!$AA$123),"dd mmm yy"))&amp;" "&amp;Milestones!$AB$123&amp;" "&amp;Milestones!$AC$123&amp;";  ","")&amp;IF(AND(EDATE($D137,Milestones!$AA$124)&lt;=AsOfDate,IF($R137=0,$X137,IF(AND($T137&lt;&gt;"",EDATE($D137,Milestones!$AA$124)&gt;=$T137),$W137,IF(AND($S137&lt;&gt;"",EDATE($D137,Milestones!$AA$124)&gt;=$S137),$V137,$U137)))=Milestones!$AB$124),UPPER(TEXT(EDATE($D137,Milestones!$AA$124),"dd mmm yy"))&amp;" "&amp;Milestones!$AB$124&amp;" "&amp;Milestones!$AC$124&amp;";  ","")&amp;IF(AND(EDATE($D137,Milestones!$AA$125)&lt;=AsOfDate,IF($R137=0,$X137,IF(AND($T137&lt;&gt;"",EDATE($D137,Milestones!$AA$125)&gt;=$T137),$W137,IF(AND($S137&lt;&gt;"",EDATE($D137,Milestones!$AA$125)&gt;=$S137),$V137,$U137)))=Milestones!$AB$125),UPPER(TEXT(EDATE($D137,Milestones!$AA$125),"dd mmm yy"))&amp;" "&amp;Milestones!$AB$125&amp;" "&amp;Milestones!$AC$125&amp;";  ","")&amp;IF(AND(EDATE($D137,Milestones!$AA$126)&lt;=AsOfDate,IF($R137=0,$X137,IF(AND($T137&lt;&gt;"",EDATE($D137,Milestones!$AA$126)&gt;=$T137),$W137,IF(AND($S137&lt;&gt;"",EDATE($D137,Milestones!$AA$126)&gt;=$S137),$V137,$U137)))=Milestones!$AB$126),UPPER(TEXT(EDATE($D137,Milestones!$AA$126),"dd mmm yy"))&amp;" "&amp;Milestones!$AB$126&amp;" "&amp;Milestones!$AC$126&amp;";  ","")&amp;IF(AND(EDATE($D137,Milestones!$AA$127)&lt;=AsOfDate,IF($R137=0,$X137,IF(AND($T137&lt;&gt;"",EDATE($D137,Milestones!$AA$127)&gt;=$T137),$W137,IF(AND($S137&lt;&gt;"",EDATE($D137,Milestones!$AA$127)&gt;=$S137),$V137,$U137)))=Milestones!$AB$127),UPPER(TEXT(EDATE($D137,Milestones!$AA$127),"dd mmm yy"))&amp;" "&amp;Milestones!$AB$127&amp;" "&amp;Milestones!$AC$127&amp;";  ","")&amp;IF(AND(EDATE($D137,Milestones!$AA$128)&lt;=AsOfDate,IF($R137=0,$X137,IF(AND($T137&lt;&gt;"",EDATE($D137,Milestones!$AA$128)&gt;=$T137),$W137,IF(AND($S137&lt;&gt;"",EDATE($D137,Milestones!$AA$128)&gt;=$S137),$V137,$U137)))=Milestones!$AB$128),UPPER(TEXT(EDATE($D137,Milestones!$AA$128),"dd mmm yy"))&amp;" "&amp;Milestones!$AB$128&amp;" "&amp;Milestones!$AC$128&amp;";  ","")&amp;IF(AND(EDATE($D137,Milestones!$AA$129)&lt;=AsOfDate,IF($R137=0,$X137,IF(AND($T137&lt;&gt;"",EDATE($D137,Milestones!$AA$129)&gt;=$T137),$W137,IF(AND($S137&lt;&gt;"",EDATE($D137,Milestones!$AA$129)&gt;=$S137),$V137,$U137)))=Milestones!$AB$129),UPPER(TEXT(EDATE($D137,Milestones!$AA$129),"dd mmm yy"))&amp;" "&amp;Milestones!$AB$129&amp;" "&amp;Milestones!$AC$129&amp;";  ","")&amp;IF(AND(EDATE($D137,Milestones!$AA$130)&lt;=AsOfDate,IF($R137=0,$X137,IF(AND($T137&lt;&gt;"",EDATE($D137,Milestones!$AA$130)&gt;=$T137),$W137,IF(AND($S137&lt;&gt;"",EDATE($D137,Milestones!$AA$130)&gt;=$S137),$V137,$U137)))=Milestones!$AB$130),UPPER(TEXT(EDATE($D137,Milestones!$AA$130),"dd mmm yy"))&amp;" "&amp;Milestones!$AB$130&amp;" "&amp;Milestones!$AC$130&amp;";  ","")&amp;IF(AND(EDATE($D137,Milestones!$AA$131)&lt;=AsOfDate,IF($R137=0,$X137,IF(AND($T137&lt;&gt;"",EDATE($D137,Milestones!$AA$131)&gt;=$T137),$W137,IF(AND($S137&lt;&gt;"",EDATE($D137,Milestones!$AA$131)&gt;=$S137),$V137,$U137)))=Milestones!$AB$131),UPPER(TEXT(EDATE($D137,Milestones!$AA$131),"dd mmm yy"))&amp;" "&amp;Milestones!$AB$131&amp;" "&amp;Milestones!$AC$131&amp;";  ","")&amp;IF(AND(EDATE($D137,Milestones!$AA$132)&lt;=AsOfDate,IF($R137=0,$X137,IF(AND($T137&lt;&gt;"",EDATE($D137,Milestones!$AA$132)&gt;=$T137),$W137,IF(AND($S137&lt;&gt;"",EDATE($D137,Milestones!$AA$132)&gt;=$S137),$V137,$U137)))=Milestones!$AB$132),UPPER(TEXT(EDATE($D137,Milestones!$AA$132),"dd mmm yy"))&amp;" "&amp;Milestones!$AB$132&amp;" "&amp;Milestones!$AC$132&amp;";  ","")&amp;IF(AND(EDATE($D137,Milestones!$AA$133)&lt;=AsOfDate,IF($R137=0,$X137,IF(AND($T137&lt;&gt;"",EDATE($D137,Milestones!$AA$133)&gt;=$T137),$W137,IF(AND($S137&lt;&gt;"",EDATE($D137,Milestones!$AA$133)&gt;=$S137),$V137,$U137)))=Milestones!$AB$133),UPPER(TEXT(EDATE($D137,Milestones!$AA$133),"dd mmm yy"))&amp;" "&amp;Milestones!$AB$133&amp;" "&amp;Milestones!$AC$133&amp;";  ","")&amp;IF(AND(EDATE($D137,Milestones!$AA$134)&lt;=AsOfDate,IF($R137=0,$X137,IF(AND($T137&lt;&gt;"",EDATE($D137,Milestones!$AA$134)&gt;=$T137),$W137,IF(AND($S137&lt;&gt;"",EDATE($D137,Milestones!$AA$134)&gt;=$S137),$V137,$U137)))=Milestones!$AB$134),UPPER(TEXT(EDATE($D137,Milestones!$AA$134),"dd mmm yy"))&amp;" "&amp;Milestones!$AB$134&amp;" "&amp;Milestones!$AC$134&amp;";  ","")&amp;IF(AND(EDATE($D137,Milestones!$AA$135)&lt;=AsOfDate,IF($R137=0,$X137,IF(AND($T137&lt;&gt;"",EDATE($D137,Milestones!$AA$135)&gt;=$T137),$W137,IF(AND($S137&lt;&gt;"",EDATE($D137,Milestones!$AA$135)&gt;=$S137),$V137,$U137)))=Milestones!$AB$135),UPPER(TEXT(EDATE($D137,Milestones!$AA$135),"dd mmm yy"))&amp;" "&amp;Milestones!$AB$135&amp;" "&amp;Milestones!$AC$135&amp;";  ","")&amp;IF(AND(EDATE($D137,Milestones!$AA$136)&lt;=AsOfDate,IF($R137=0,$X137,IF(AND($T137&lt;&gt;"",EDATE($D137,Milestones!$AA$136)&gt;=$T137),$W137,IF(AND($S137&lt;&gt;"",EDATE($D137,Milestones!$AA$136)&gt;=$S137),$V137,$U137)))=Milestones!$AB$136),UPPER(TEXT(EDATE($D137,Milestones!$AA$136),"dd mmm yy"))&amp;" "&amp;Milestones!$AB$136&amp;" "&amp;Milestones!$AC$136&amp;";  ","")&amp;IF(AND(EDATE($D137,Milestones!$AA$137)&lt;=AsOfDate,IF($R137=0,$X137,IF(AND($T137&lt;&gt;"",EDATE($D137,Milestones!$AA$137)&gt;=$T137),$W137,IF(AND($S137&lt;&gt;"",EDATE($D137,Milestones!$AA$137)&gt;=$S137),$V137,$U137)))=Milestones!$AB$137),UPPER(TEXT(EDATE($D137,Milestones!$AA$137),"dd mmm yy"))&amp;" "&amp;Milestones!$AB$137&amp;" "&amp;Milestones!$AC$137&amp;";  ","")&amp;IF(AND(EDATE($D137,Milestones!$AA$138)&lt;=AsOfDate,IF($R137=0,$X137,IF(AND($T137&lt;&gt;"",EDATE($D137,Milestones!$AA$138)&gt;=$T137),$W137,IF(AND($S137&lt;&gt;"",EDATE($D137,Milestones!$AA$138)&gt;=$S137),$V137,$U137)))=Milestones!$AB$138),UPPER(TEXT(EDATE($D137,Milestones!$AA$138),"dd mmm yy"))&amp;" "&amp;Milestones!$AB$138&amp;" "&amp;Milestones!$AC$138&amp;";  ","")&amp;IF(AND(EDATE($D137,Milestones!$AA$139)&lt;=AsOfDate,IF($R137=0,$X137,IF(AND($T137&lt;&gt;"",EDATE($D137,Milestones!$AA$139)&gt;=$T137),$W137,IF(AND($S137&lt;&gt;"",EDATE($D137,Milestones!$AA$139)&gt;=$S137),$V137,$U137)))=Milestones!$AB$139),UPPER(TEXT(EDATE($D137,Milestones!$AA$139),"dd mmm yy"))&amp;" "&amp;Milestones!$AB$139&amp;" "&amp;Milestones!$AC$139&amp;";  ",""))</f>
        <v/>
      </c>
      <c r="O137" s="0" t="str">
        <f aca="false">IF(OR($A137="",$D137=""),"",IF(AND(EDATE($D137,Milestones!$AA$140)&lt;=AsOfDate,IF($R137=0,$X137,IF(AND($T137&lt;&gt;"",EDATE($D137,Milestones!$AA$140)&gt;=$T137),$W137,IF(AND($S137&lt;&gt;"",EDATE($D137,Milestones!$AA$140)&gt;=$S137),$V137,$U137)))=Milestones!$AB$140),UPPER(TEXT(EDATE($D137,Milestones!$AA$140),"dd mmm yy"))&amp;" "&amp;Milestones!$AB$140&amp;" "&amp;Milestones!$AC$140&amp;";  ","")&amp;IF(AND(EDATE($D137,Milestones!$AA$141)&lt;=AsOfDate,IF($R137=0,$X137,IF(AND($T137&lt;&gt;"",EDATE($D137,Milestones!$AA$141)&gt;=$T137),$W137,IF(AND($S137&lt;&gt;"",EDATE($D137,Milestones!$AA$141)&gt;=$S137),$V137,$U137)))=Milestones!$AB$141),UPPER(TEXT(EDATE($D137,Milestones!$AA$141),"dd mmm yy"))&amp;" "&amp;Milestones!$AB$141&amp;" "&amp;Milestones!$AC$141&amp;";  ","")&amp;IF(AND(EDATE($D137,Milestones!$AA$142)&lt;=AsOfDate,IF($R137=0,$X137,IF(AND($T137&lt;&gt;"",EDATE($D137,Milestones!$AA$142)&gt;=$T137),$W137,IF(AND($S137&lt;&gt;"",EDATE($D137,Milestones!$AA$142)&gt;=$S137),$V137,$U137)))=Milestones!$AB$142),UPPER(TEXT(EDATE($D137,Milestones!$AA$142),"dd mmm yy"))&amp;" "&amp;Milestones!$AB$142&amp;" "&amp;Milestones!$AC$142&amp;";  ","")&amp;IF(AND(EDATE($D137,Milestones!$AA$143)&lt;=AsOfDate,IF($R137=0,$X137,IF(AND($T137&lt;&gt;"",EDATE($D137,Milestones!$AA$143)&gt;=$T137),$W137,IF(AND($S137&lt;&gt;"",EDATE($D137,Milestones!$AA$143)&gt;=$S137),$V137,$U137)))=Milestones!$AB$143),UPPER(TEXT(EDATE($D137,Milestones!$AA$143),"dd mmm yy"))&amp;" "&amp;Milestones!$AB$143&amp;" "&amp;Milestones!$AC$143&amp;";  ","")&amp;IF(AND(EDATE($D137,Milestones!$AA$144)&lt;=AsOfDate,IF($R137=0,$X137,IF(AND($T137&lt;&gt;"",EDATE($D137,Milestones!$AA$144)&gt;=$T137),$W137,IF(AND($S137&lt;&gt;"",EDATE($D137,Milestones!$AA$144)&gt;=$S137),$V137,$U137)))=Milestones!$AB$144),UPPER(TEXT(EDATE($D137,Milestones!$AA$144),"dd mmm yy"))&amp;" "&amp;Milestones!$AB$144&amp;" "&amp;Milestones!$AC$144&amp;";  ","")&amp;IF(AND(EDATE($D137,Milestones!$AA$145)&lt;=AsOfDate,IF($R137=0,$X137,IF(AND($T137&lt;&gt;"",EDATE($D137,Milestones!$AA$145)&gt;=$T137),$W137,IF(AND($S137&lt;&gt;"",EDATE($D137,Milestones!$AA$145)&gt;=$S137),$V137,$U137)))=Milestones!$AB$145),UPPER(TEXT(EDATE($D137,Milestones!$AA$145),"dd mmm yy"))&amp;" "&amp;Milestones!$AB$145&amp;" "&amp;Milestones!$AC$145&amp;";  ","")&amp;IF(AND(EDATE($D137,Milestones!$AA$146)&lt;=AsOfDate,IF($R137=0,$X137,IF(AND($T137&lt;&gt;"",EDATE($D137,Milestones!$AA$146)&gt;=$T137),$W137,IF(AND($S137&lt;&gt;"",EDATE($D137,Milestones!$AA$146)&gt;=$S137),$V137,$U137)))=Milestones!$AB$146),UPPER(TEXT(EDATE($D137,Milestones!$AA$146),"dd mmm yy"))&amp;" "&amp;Milestones!$AB$146&amp;" "&amp;Milestones!$AC$146&amp;";  ","")&amp;IF(AND(EDATE($D137,Milestones!$AA$147)&lt;=AsOfDate,IF($R137=0,$X137,IF(AND($T137&lt;&gt;"",EDATE($D137,Milestones!$AA$147)&gt;=$T137),$W137,IF(AND($S137&lt;&gt;"",EDATE($D137,Milestones!$AA$147)&gt;=$S137),$V137,$U137)))=Milestones!$AB$147),UPPER(TEXT(EDATE($D137,Milestones!$AA$147),"dd mmm yy"))&amp;" "&amp;Milestones!$AB$147&amp;" "&amp;Milestones!$AC$147&amp;";  ","")&amp;IF(AND(EDATE($D137,Milestones!$AA$148)&lt;=AsOfDate,IF($R137=0,$X137,IF(AND($T137&lt;&gt;"",EDATE($D137,Milestones!$AA$148)&gt;=$T137),$W137,IF(AND($S137&lt;&gt;"",EDATE($D137,Milestones!$AA$148)&gt;=$S137),$V137,$U137)))=Milestones!$AB$148),UPPER(TEXT(EDATE($D137,Milestones!$AA$148),"dd mmm yy"))&amp;" "&amp;Milestones!$AB$148&amp;" "&amp;Milestones!$AC$148&amp;";  ","")&amp;IF(AND(EDATE($D137,Milestones!$AA$149)&lt;=AsOfDate,IF($R137=0,$X137,IF(AND($T137&lt;&gt;"",EDATE($D137,Milestones!$AA$149)&gt;=$T137),$W137,IF(AND($S137&lt;&gt;"",EDATE($D137,Milestones!$AA$149)&gt;=$S137),$V137,$U137)))=Milestones!$AB$149),UPPER(TEXT(EDATE($D137,Milestones!$AA$149),"dd mmm yy"))&amp;" "&amp;Milestones!$AB$149&amp;" "&amp;Milestones!$AC$149&amp;";  ","")&amp;IF(AND(EDATE($D137,Milestones!$AA$150)&lt;=AsOfDate,IF($R137=0,$X137,IF(AND($T137&lt;&gt;"",EDATE($D137,Milestones!$AA$150)&gt;=$T137),$W137,IF(AND($S137&lt;&gt;"",EDATE($D137,Milestones!$AA$150)&gt;=$S137),$V137,$U137)))=Milestones!$AB$150),UPPER(TEXT(EDATE($D137,Milestones!$AA$150),"dd mmm yy"))&amp;" "&amp;Milestones!$AB$150&amp;" "&amp;Milestones!$AC$150&amp;";  ","")&amp;IF(AND(EDATE($D137,Milestones!$AA$151)&lt;=AsOfDate,IF($R137=0,$X137,IF(AND($T137&lt;&gt;"",EDATE($D137,Milestones!$AA$151)&gt;=$T137),$W137,IF(AND($S137&lt;&gt;"",EDATE($D137,Milestones!$AA$151)&gt;=$S137),$V137,$U137)))=Milestones!$AB$151),UPPER(TEXT(EDATE($D137,Milestones!$AA$151),"dd mmm yy"))&amp;" "&amp;Milestones!$AB$151&amp;" "&amp;Milestones!$AC$151&amp;";  ","")&amp;IF(AND(EDATE($D137,Milestones!$AA$152)&lt;=AsOfDate,IF($R137=0,$X137,IF(AND($T137&lt;&gt;"",EDATE($D137,Milestones!$AA$152)&gt;=$T137),$W137,IF(AND($S137&lt;&gt;"",EDATE($D137,Milestones!$AA$152)&gt;=$S137),$V137,$U137)))=Milestones!$AB$152),UPPER(TEXT(EDATE($D137,Milestones!$AA$152),"dd mmm yy"))&amp;" "&amp;Milestones!$AB$152&amp;" "&amp;Milestones!$AC$152&amp;";  ","")&amp;IF(AND(EDATE($D137,Milestones!$AA$153)&lt;=AsOfDate,IF($R137=0,$X137,IF(AND($T137&lt;&gt;"",EDATE($D137,Milestones!$AA$153)&gt;=$T137),$W137,IF(AND($S137&lt;&gt;"",EDATE($D137,Milestones!$AA$153)&gt;=$S137),$V137,$U137)))=Milestones!$AB$153),UPPER(TEXT(EDATE($D137,Milestones!$AA$153),"dd mmm yy"))&amp;" "&amp;Milestones!$AB$153&amp;" "&amp;Milestones!$AC$153&amp;";  ","")&amp;IF(AND(EDATE($D137,Milestones!$AA$154)&lt;=AsOfDate,IF($R137=0,$X137,IF(AND($T137&lt;&gt;"",EDATE($D137,Milestones!$AA$154)&gt;=$T137),$W137,IF(AND($S137&lt;&gt;"",EDATE($D137,Milestones!$AA$154)&gt;=$S137),$V137,$U137)))=Milestones!$AB$154),UPPER(TEXT(EDATE($D137,Milestones!$AA$154),"dd mmm yy"))&amp;" "&amp;Milestones!$AB$154&amp;" "&amp;Milestones!$AC$154&amp;";  ","")&amp;IF(AND(EDATE($D137,Milestones!$AA$155)&lt;=AsOfDate,IF($R137=0,$X137,IF(AND($T137&lt;&gt;"",EDATE($D137,Milestones!$AA$155)&gt;=$T137),$W137,IF(AND($S137&lt;&gt;"",EDATE($D137,Milestones!$AA$155)&gt;=$S137),$V137,$U137)))=Milestones!$AB$155),UPPER(TEXT(EDATE($D137,Milestones!$AA$155),"dd mmm yy"))&amp;" "&amp;Milestones!$AB$155&amp;" "&amp;Milestones!$AC$155&amp;";  ","")&amp;IF(AND(EDATE($D137,Milestones!$AA$156)&lt;=AsOfDate,IF($R137=0,$X137,IF(AND($T137&lt;&gt;"",EDATE($D137,Milestones!$AA$156)&gt;=$T137),$W137,IF(AND($S137&lt;&gt;"",EDATE($D137,Milestones!$AA$156)&gt;=$S137),$V137,$U137)))=Milestones!$AB$156),UPPER(TEXT(EDATE($D137,Milestones!$AA$156),"dd mmm yy"))&amp;" "&amp;Milestones!$AB$156&amp;" "&amp;Milestones!$AC$156&amp;";  ","")&amp;IF(AND(EDATE($D137,Milestones!$AA$157)&lt;=AsOfDate,IF($R137=0,$X137,IF(AND($T137&lt;&gt;"",EDATE($D137,Milestones!$AA$157)&gt;=$T137),$W137,IF(AND($S137&lt;&gt;"",EDATE($D137,Milestones!$AA$157)&gt;=$S137),$V137,$U137)))=Milestones!$AB$157),UPPER(TEXT(EDATE($D137,Milestones!$AA$157),"dd mmm yy"))&amp;" "&amp;Milestones!$AB$157&amp;" "&amp;Milestones!$AC$157&amp;";  ","")&amp;IF(AND(EDATE($D137,Milestones!$AA$158)&lt;=AsOfDate,IF($R137=0,$X137,IF(AND($T137&lt;&gt;"",EDATE($D137,Milestones!$AA$158)&gt;=$T137),$W137,IF(AND($S137&lt;&gt;"",EDATE($D137,Milestones!$AA$158)&gt;=$S137),$V137,$U137)))=Milestones!$AB$158),UPPER(TEXT(EDATE($D137,Milestones!$AA$158),"dd mmm yy"))&amp;" "&amp;Milestones!$AB$158&amp;" "&amp;Milestones!$AC$158&amp;";  ","")&amp;IF(AND(EDATE($D137,Milestones!$AA$159)&lt;=AsOfDate,IF($R137=0,$X137,IF(AND($T137&lt;&gt;"",EDATE($D137,Milestones!$AA$159)&gt;=$T137),$W137,IF(AND($S137&lt;&gt;"",EDATE($D137,Milestones!$AA$159)&gt;=$S137),$V137,$U137)))=Milestones!$AB$159),UPPER(TEXT(EDATE($D137,Milestones!$AA$159),"dd mmm yy"))&amp;" "&amp;Milestones!$AB$159&amp;" "&amp;Milestones!$AC$159&amp;";  ",""))</f>
        <v/>
      </c>
      <c r="P137" s="0" t="str">
        <f aca="false">IF(OR($A137="",$D137=""),"",IF(AND(EDATE($D137,Milestones!$AA$160)&lt;=AsOfDate,IF($R137=0,$X137,IF(AND($T137&lt;&gt;"",EDATE($D137,Milestones!$AA$160)&gt;=$T137),$W137,IF(AND($S137&lt;&gt;"",EDATE($D137,Milestones!$AA$160)&gt;=$S137),$V137,$U137)))=Milestones!$AB$160),UPPER(TEXT(EDATE($D137,Milestones!$AA$160),"dd mmm yy"))&amp;" "&amp;Milestones!$AB$160&amp;" "&amp;Milestones!$AC$160&amp;";  ","")&amp;IF(AND(EDATE($D137,Milestones!$AA$161)&lt;=AsOfDate,IF($R137=0,$X137,IF(AND($T137&lt;&gt;"",EDATE($D137,Milestones!$AA$161)&gt;=$T137),$W137,IF(AND($S137&lt;&gt;"",EDATE($D137,Milestones!$AA$161)&gt;=$S137),$V137,$U137)))=Milestones!$AB$161),UPPER(TEXT(EDATE($D137,Milestones!$AA$161),"dd mmm yy"))&amp;" "&amp;Milestones!$AB$161&amp;" "&amp;Milestones!$AC$161&amp;";  ","")&amp;IF(AND(EDATE($D137,Milestones!$AA$162)&lt;=AsOfDate,IF($R137=0,$X137,IF(AND($T137&lt;&gt;"",EDATE($D137,Milestones!$AA$162)&gt;=$T137),$W137,IF(AND($S137&lt;&gt;"",EDATE($D137,Milestones!$AA$162)&gt;=$S137),$V137,$U137)))=Milestones!$AB$162),UPPER(TEXT(EDATE($D137,Milestones!$AA$162),"dd mmm yy"))&amp;" "&amp;Milestones!$AB$162&amp;" "&amp;Milestones!$AC$162&amp;";  ","")&amp;IF(AND(EDATE($D137,Milestones!$AA$163)&lt;=AsOfDate,IF($R137=0,$X137,IF(AND($T137&lt;&gt;"",EDATE($D137,Milestones!$AA$163)&gt;=$T137),$W137,IF(AND($S137&lt;&gt;"",EDATE($D137,Milestones!$AA$163)&gt;=$S137),$V137,$U137)))=Milestones!$AB$163),UPPER(TEXT(EDATE($D137,Milestones!$AA$163),"dd mmm yy"))&amp;" "&amp;Milestones!$AB$163&amp;" "&amp;Milestones!$AC$163&amp;";  ","")&amp;IF(AND(EDATE($D137,Milestones!$AA$164)&lt;=AsOfDate,IF($R137=0,$X137,IF(AND($T137&lt;&gt;"",EDATE($D137,Milestones!$AA$164)&gt;=$T137),$W137,IF(AND($S137&lt;&gt;"",EDATE($D137,Milestones!$AA$164)&gt;=$S137),$V137,$U137)))=Milestones!$AB$164),UPPER(TEXT(EDATE($D137,Milestones!$AA$164),"dd mmm yy"))&amp;" "&amp;Milestones!$AB$164&amp;" "&amp;Milestones!$AC$164&amp;";  ","")&amp;IF(AND(EDATE($D137,Milestones!$AA$165)&lt;=AsOfDate,IF($R137=0,$X137,IF(AND($T137&lt;&gt;"",EDATE($D137,Milestones!$AA$165)&gt;=$T137),$W137,IF(AND($S137&lt;&gt;"",EDATE($D137,Milestones!$AA$165)&gt;=$S137),$V137,$U137)))=Milestones!$AB$165),UPPER(TEXT(EDATE($D137,Milestones!$AA$165),"dd mmm yy"))&amp;" "&amp;Milestones!$AB$165&amp;" "&amp;Milestones!$AC$165&amp;";  ","")&amp;IF(AND(EDATE($D137,Milestones!$AA$166)&lt;=AsOfDate,IF($R137=0,$X137,IF(AND($T137&lt;&gt;"",EDATE($D137,Milestones!$AA$166)&gt;=$T137),$W137,IF(AND($S137&lt;&gt;"",EDATE($D137,Milestones!$AA$166)&gt;=$S137),$V137,$U137)))=Milestones!$AB$166),UPPER(TEXT(EDATE($D137,Milestones!$AA$166),"dd mmm yy"))&amp;" "&amp;Milestones!$AB$166&amp;" "&amp;Milestones!$AC$166&amp;";  ","")&amp;IF(AND(EDATE($D137,Milestones!$AA$167)&lt;=AsOfDate,IF($R137=0,$X137,IF(AND($T137&lt;&gt;"",EDATE($D137,Milestones!$AA$167)&gt;=$T137),$W137,IF(AND($S137&lt;&gt;"",EDATE($D137,Milestones!$AA$167)&gt;=$S137),$V137,$U137)))=Milestones!$AB$167),UPPER(TEXT(EDATE($D137,Milestones!$AA$167),"dd mmm yy"))&amp;" "&amp;Milestones!$AB$167&amp;" "&amp;Milestones!$AC$167&amp;";  ","")&amp;IF(AND(EDATE($D137,Milestones!$AA$168)&lt;=AsOfDate,IF($R137=0,$X137,IF(AND($T137&lt;&gt;"",EDATE($D137,Milestones!$AA$168)&gt;=$T137),$W137,IF(AND($S137&lt;&gt;"",EDATE($D137,Milestones!$AA$168)&gt;=$S137),$V137,$U137)))=Milestones!$AB$168),UPPER(TEXT(EDATE($D137,Milestones!$AA$168),"dd mmm yy"))&amp;" "&amp;Milestones!$AB$168&amp;" "&amp;Milestones!$AC$168&amp;";  ","")&amp;IF(AND(EDATE($D137,Milestones!$AA$169)&lt;=AsOfDate,IF($R137=0,$X137,IF(AND($T137&lt;&gt;"",EDATE($D137,Milestones!$AA$169)&gt;=$T137),$W137,IF(AND($S137&lt;&gt;"",EDATE($D137,Milestones!$AA$169)&gt;=$S137),$V137,$U137)))=Milestones!$AB$169),UPPER(TEXT(EDATE($D137,Milestones!$AA$169),"dd mmm yy"))&amp;" "&amp;Milestones!$AB$169&amp;" "&amp;Milestones!$AC$169&amp;";  ","")&amp;IF(AND(EDATE($D137,Milestones!$AA$170)&lt;=AsOfDate,IF($R137=0,$X137,IF(AND($T137&lt;&gt;"",EDATE($D137,Milestones!$AA$170)&gt;=$T137),$W137,IF(AND($S137&lt;&gt;"",EDATE($D137,Milestones!$AA$170)&gt;=$S137),$V137,$U137)))=Milestones!$AB$170),UPPER(TEXT(EDATE($D137,Milestones!$AA$170),"dd mmm yy"))&amp;" "&amp;Milestones!$AB$170&amp;" "&amp;Milestones!$AC$170&amp;";  ","")&amp;IF(AND(EDATE($D137,Milestones!$AA$171)&lt;=AsOfDate,IF($R137=0,$X137,IF(AND($T137&lt;&gt;"",EDATE($D137,Milestones!$AA$171)&gt;=$T137),$W137,IF(AND($S137&lt;&gt;"",EDATE($D137,Milestones!$AA$171)&gt;=$S137),$V137,$U137)))=Milestones!$AB$171),UPPER(TEXT(EDATE($D137,Milestones!$AA$171),"dd mmm yy"))&amp;" "&amp;Milestones!$AB$171&amp;" "&amp;Milestones!$AC$171&amp;";  ","")&amp;IF(AND(EDATE($D137,Milestones!$AA$172)&lt;=AsOfDate,IF($R137=0,$X137,IF(AND($T137&lt;&gt;"",EDATE($D137,Milestones!$AA$172)&gt;=$T137),$W137,IF(AND($S137&lt;&gt;"",EDATE($D137,Milestones!$AA$172)&gt;=$S137),$V137,$U137)))=Milestones!$AB$172),UPPER(TEXT(EDATE($D137,Milestones!$AA$172),"dd mmm yy"))&amp;" "&amp;Milestones!$AB$172&amp;" "&amp;Milestones!$AC$172&amp;";  ","")&amp;IF(AND(EDATE($D137,Milestones!$AA$173)&lt;=AsOfDate,IF($R137=0,$X137,IF(AND($T137&lt;&gt;"",EDATE($D137,Milestones!$AA$173)&gt;=$T137),$W137,IF(AND($S137&lt;&gt;"",EDATE($D137,Milestones!$AA$173)&gt;=$S137),$V137,$U137)))=Milestones!$AB$173),UPPER(TEXT(EDATE($D137,Milestones!$AA$173),"dd mmm yy"))&amp;" "&amp;Milestones!$AB$173&amp;" "&amp;Milestones!$AC$173&amp;";  ","")&amp;IF(AND(EDATE($D137,Milestones!$AA$174)&lt;=AsOfDate,IF($R137=0,$X137,IF(AND($T137&lt;&gt;"",EDATE($D137,Milestones!$AA$174)&gt;=$T137),$W137,IF(AND($S137&lt;&gt;"",EDATE($D137,Milestones!$AA$174)&gt;=$S137),$V137,$U137)))=Milestones!$AB$174),UPPER(TEXT(EDATE($D137,Milestones!$AA$174),"dd mmm yy"))&amp;" "&amp;Milestones!$AB$174&amp;" "&amp;Milestones!$AC$174&amp;";  ","")&amp;IF(AND(EDATE($D137,Milestones!$AA$175)&lt;=AsOfDate,IF($R137=0,$X137,IF(AND($T137&lt;&gt;"",EDATE($D137,Milestones!$AA$175)&gt;=$T137),$W137,IF(AND($S137&lt;&gt;"",EDATE($D137,Milestones!$AA$175)&gt;=$S137),$V137,$U137)))=Milestones!$AB$175),UPPER(TEXT(EDATE($D137,Milestones!$AA$175),"dd mmm yy"))&amp;" "&amp;Milestones!$AB$175&amp;" "&amp;Milestones!$AC$175&amp;";  ","")&amp;IF(AND(EDATE($D137,Milestones!$AA$176)&lt;=AsOfDate,IF($R137=0,$X137,IF(AND($T137&lt;&gt;"",EDATE($D137,Milestones!$AA$176)&gt;=$T137),$W137,IF(AND($S137&lt;&gt;"",EDATE($D137,Milestones!$AA$176)&gt;=$S137),$V137,$U137)))=Milestones!$AB$176),UPPER(TEXT(EDATE($D137,Milestones!$AA$176),"dd mmm yy"))&amp;" "&amp;Milestones!$AB$176&amp;" "&amp;Milestones!$AC$176&amp;";  ","")&amp;IF(AND(EDATE($D137,Milestones!$AA$177)&lt;=AsOfDate,IF($R137=0,$X137,IF(AND($T137&lt;&gt;"",EDATE($D137,Milestones!$AA$177)&gt;=$T137),$W137,IF(AND($S137&lt;&gt;"",EDATE($D137,Milestones!$AA$177)&gt;=$S137),$V137,$U137)))=Milestones!$AB$177),UPPER(TEXT(EDATE($D137,Milestones!$AA$177),"dd mmm yy"))&amp;" "&amp;Milestones!$AB$177&amp;" "&amp;Milestones!$AC$177&amp;";  ","")&amp;IF(AND(EDATE($D137,Milestones!$AA$178)&lt;=AsOfDate,IF($R137=0,$X137,IF(AND($T137&lt;&gt;"",EDATE($D137,Milestones!$AA$178)&gt;=$T137),$W137,IF(AND($S137&lt;&gt;"",EDATE($D137,Milestones!$AA$178)&gt;=$S137),$V137,$U137)))=Milestones!$AB$178),UPPER(TEXT(EDATE($D137,Milestones!$AA$178),"dd mmm yy"))&amp;" "&amp;Milestones!$AB$178&amp;" "&amp;Milestones!$AC$178&amp;";  ","")&amp;IF(AND(EDATE($D137,Milestones!$AA$179)&lt;=AsOfDate,IF($R137=0,$X137,IF(AND($T137&lt;&gt;"",EDATE($D137,Milestones!$AA$179)&gt;=$T137),$W137,IF(AND($S137&lt;&gt;"",EDATE($D137,Milestones!$AA$179)&gt;=$S137),$V137,$U137)))=Milestones!$AB$179),UPPER(TEXT(EDATE($D137,Milestones!$AA$179),"dd mmm yy"))&amp;" "&amp;Milestones!$AB$179&amp;" "&amp;Milestones!$AC$179&amp;";  ",""))</f>
        <v/>
      </c>
      <c r="Q137" s="0" t="str">
        <f aca="false">IF(OR($A137="",$D137=""),"",IF(AND(EDATE($D137,Milestones!$AA$180)&lt;=AsOfDate,IF($R137=0,$X137,IF(AND($T137&lt;&gt;"",EDATE($D137,Milestones!$AA$180)&gt;=$T137),$W137,IF(AND($S137&lt;&gt;"",EDATE($D137,Milestones!$AA$180)&gt;=$S137),$V137,$U137)))=Milestones!$AB$180),UPPER(TEXT(EDATE($D137,Milestones!$AA$180),"dd mmm yy"))&amp;" "&amp;Milestones!$AB$180&amp;" "&amp;Milestones!$AC$180&amp;";  ","")&amp;IF(AND(EDATE($D137,Milestones!$AA$181)&lt;=AsOfDate,IF($R137=0,$X137,IF(AND($T137&lt;&gt;"",EDATE($D137,Milestones!$AA$181)&gt;=$T137),$W137,IF(AND($S137&lt;&gt;"",EDATE($D137,Milestones!$AA$181)&gt;=$S137),$V137,$U137)))=Milestones!$AB$181),UPPER(TEXT(EDATE($D137,Milestones!$AA$181),"dd mmm yy"))&amp;" "&amp;Milestones!$AB$181&amp;" "&amp;Milestones!$AC$181&amp;";  ","")&amp;IF(AND(EDATE($D137,Milestones!$AA$182)&lt;=AsOfDate,IF($R137=0,$X137,IF(AND($T137&lt;&gt;"",EDATE($D137,Milestones!$AA$182)&gt;=$T137),$W137,IF(AND($S137&lt;&gt;"",EDATE($D137,Milestones!$AA$182)&gt;=$S137),$V137,$U137)))=Milestones!$AB$182),UPPER(TEXT(EDATE($D137,Milestones!$AA$182),"dd mmm yy"))&amp;" "&amp;Milestones!$AB$182&amp;" "&amp;Milestones!$AC$182&amp;";  ","")&amp;IF(AND(EDATE($D137,Milestones!$AA$183)&lt;=AsOfDate,IF($R137=0,$X137,IF(AND($T137&lt;&gt;"",EDATE($D137,Milestones!$AA$183)&gt;=$T137),$W137,IF(AND($S137&lt;&gt;"",EDATE($D137,Milestones!$AA$183)&gt;=$S137),$V137,$U137)))=Milestones!$AB$183),UPPER(TEXT(EDATE($D137,Milestones!$AA$183),"dd mmm yy"))&amp;" "&amp;Milestones!$AB$183&amp;" "&amp;Milestones!$AC$183&amp;";  ","")&amp;IF(AND(EDATE($D137,Milestones!$AA$184)&lt;=AsOfDate,IF($R137=0,$X137,IF(AND($T137&lt;&gt;"",EDATE($D137,Milestones!$AA$184)&gt;=$T137),$W137,IF(AND($S137&lt;&gt;"",EDATE($D137,Milestones!$AA$184)&gt;=$S137),$V137,$U137)))=Milestones!$AB$184),UPPER(TEXT(EDATE($D137,Milestones!$AA$184),"dd mmm yy"))&amp;" "&amp;Milestones!$AB$184&amp;" "&amp;Milestones!$AC$184&amp;";  ","")&amp;IF(AND(EDATE($D137,Milestones!$AA$185)&lt;=AsOfDate,IF($R137=0,$X137,IF(AND($T137&lt;&gt;"",EDATE($D137,Milestones!$AA$185)&gt;=$T137),$W137,IF(AND($S137&lt;&gt;"",EDATE($D137,Milestones!$AA$185)&gt;=$S137),$V137,$U137)))=Milestones!$AB$185),UPPER(TEXT(EDATE($D137,Milestones!$AA$185),"dd mmm yy"))&amp;" "&amp;Milestones!$AB$185&amp;" "&amp;Milestones!$AC$185&amp;";  ","")&amp;IF(AND(EDATE($D137,Milestones!$AA$186)&lt;=AsOfDate,IF($R137=0,$X137,IF(AND($T137&lt;&gt;"",EDATE($D137,Milestones!$AA$186)&gt;=$T137),$W137,IF(AND($S137&lt;&gt;"",EDATE($D137,Milestones!$AA$186)&gt;=$S137),$V137,$U137)))=Milestones!$AB$186),UPPER(TEXT(EDATE($D137,Milestones!$AA$186),"dd mmm yy"))&amp;" "&amp;Milestones!$AB$186&amp;" "&amp;Milestones!$AC$186&amp;";  ","")&amp;IF(AND(EDATE($D137,Milestones!$AA$187)&lt;=AsOfDate,IF($R137=0,$X137,IF(AND($T137&lt;&gt;"",EDATE($D137,Milestones!$AA$187)&gt;=$T137),$W137,IF(AND($S137&lt;&gt;"",EDATE($D137,Milestones!$AA$187)&gt;=$S137),$V137,$U137)))=Milestones!$AB$187),UPPER(TEXT(EDATE($D137,Milestones!$AA$187),"dd mmm yy"))&amp;" "&amp;Milestones!$AB$187&amp;" "&amp;Milestones!$AC$187&amp;";  ","")&amp;IF(AND(EDATE($D137,Milestones!$AA$188)&lt;=AsOfDate,IF($R137=0,$X137,IF(AND($T137&lt;&gt;"",EDATE($D137,Milestones!$AA$188)&gt;=$T137),$W137,IF(AND($S137&lt;&gt;"",EDATE($D137,Milestones!$AA$188)&gt;=$S137),$V137,$U137)))=Milestones!$AB$188),UPPER(TEXT(EDATE($D137,Milestones!$AA$188),"dd mmm yy"))&amp;" "&amp;Milestones!$AB$188&amp;" "&amp;Milestones!$AC$188&amp;";  ","")&amp;IF(AND(EDATE($D137,Milestones!$AA$189)&lt;=AsOfDate,IF($R137=0,$X137,IF(AND($T137&lt;&gt;"",EDATE($D137,Milestones!$AA$189)&gt;=$T137),$W137,IF(AND($S137&lt;&gt;"",EDATE($D137,Milestones!$AA$189)&gt;=$S137),$V137,$U137)))=Milestones!$AB$189),UPPER(TEXT(EDATE($D137,Milestones!$AA$189),"dd mmm yy"))&amp;" "&amp;Milestones!$AB$189&amp;" "&amp;Milestones!$AC$189&amp;";  ","")&amp;IF(AND(EDATE($D137,Milestones!$AA$190)&lt;=AsOfDate,IF($R137=0,$X137,IF(AND($T137&lt;&gt;"",EDATE($D137,Milestones!$AA$190)&gt;=$T137),$W137,IF(AND($S137&lt;&gt;"",EDATE($D137,Milestones!$AA$190)&gt;=$S137),$V137,$U137)))=Milestones!$AB$190),UPPER(TEXT(EDATE($D137,Milestones!$AA$190),"dd mmm yy"))&amp;" "&amp;Milestones!$AB$190&amp;" "&amp;Milestones!$AC$190&amp;";  ","")&amp;IF(AND(EDATE($D137,Milestones!$AA$191)&lt;=AsOfDate,IF($R137=0,$X137,IF(AND($T137&lt;&gt;"",EDATE($D137,Milestones!$AA$191)&gt;=$T137),$W137,IF(AND($S137&lt;&gt;"",EDATE($D137,Milestones!$AA$191)&gt;=$S137),$V137,$U137)))=Milestones!$AB$191),UPPER(TEXT(EDATE($D137,Milestones!$AA$191),"dd mmm yy"))&amp;" "&amp;Milestones!$AB$191&amp;" "&amp;Milestones!$AC$191&amp;";  ","")&amp;IF(AND(EDATE($D137,Milestones!$AA$192)&lt;=AsOfDate,IF($R137=0,$X137,IF(AND($T137&lt;&gt;"",EDATE($D137,Milestones!$AA$192)&gt;=$T137),$W137,IF(AND($S137&lt;&gt;"",EDATE($D137,Milestones!$AA$192)&gt;=$S137),$V137,$U137)))=Milestones!$AB$192),UPPER(TEXT(EDATE($D137,Milestones!$AA$192),"dd mmm yy"))&amp;" "&amp;Milestones!$AB$192&amp;" "&amp;Milestones!$AC$192&amp;";  ","")&amp;IF(AND(EDATE($D137,Milestones!$AA$193)&lt;=AsOfDate,IF($R137=0,$X137,IF(AND($T137&lt;&gt;"",EDATE($D137,Milestones!$AA$193)&gt;=$T137),$W137,IF(AND($S137&lt;&gt;"",EDATE($D137,Milestones!$AA$193)&gt;=$S137),$V137,$U137)))=Milestones!$AB$193),UPPER(TEXT(EDATE($D137,Milestones!$AA$193),"dd mmm yy"))&amp;" "&amp;Milestones!$AB$193&amp;" "&amp;Milestones!$AC$193&amp;";  ","")&amp;IF(AND(EDATE($D137,Milestones!$AA$194)&lt;=AsOfDate,IF($R137=0,$X137,IF(AND($T137&lt;&gt;"",EDATE($D137,Milestones!$AA$194)&gt;=$T137),$W137,IF(AND($S137&lt;&gt;"",EDATE($D137,Milestones!$AA$194)&gt;=$S137),$V137,$U137)))=Milestones!$AB$194),UPPER(TEXT(EDATE($D137,Milestones!$AA$194),"dd mmm yy"))&amp;" "&amp;Milestones!$AB$194&amp;" "&amp;Milestones!$AC$194&amp;";  ","")&amp;IF(AND(EDATE($D137,Milestones!$AA$195)&lt;=AsOfDate,IF($R137=0,$X137,IF(AND($T137&lt;&gt;"",EDATE($D137,Milestones!$AA$195)&gt;=$T137),$W137,IF(AND($S137&lt;&gt;"",EDATE($D137,Milestones!$AA$195)&gt;=$S137),$V137,$U137)))=Milestones!$AB$195),UPPER(TEXT(EDATE($D137,Milestones!$AA$195),"dd mmm yy"))&amp;" "&amp;Milestones!$AB$195&amp;" "&amp;Milestones!$AC$195&amp;";  ","")&amp;IF(AND(EDATE($D137,Milestones!$AA$196)&lt;=AsOfDate,IF($R137=0,$X137,IF(AND($T137&lt;&gt;"",EDATE($D137,Milestones!$AA$196)&gt;=$T137),$W137,IF(AND($S137&lt;&gt;"",EDATE($D137,Milestones!$AA$196)&gt;=$S137),$V137,$U137)))=Milestones!$AB$196),UPPER(TEXT(EDATE($D137,Milestones!$AA$196),"dd mmm yy"))&amp;" "&amp;Milestones!$AB$196&amp;" "&amp;Milestones!$AC$196&amp;";  ","")&amp;IF(AND(EDATE($D137,Milestones!$AA$197)&lt;=AsOfDate,IF($R137=0,$X137,IF(AND($T137&lt;&gt;"",EDATE($D137,Milestones!$AA$197)&gt;=$T137),$W137,IF(AND($S137&lt;&gt;"",EDATE($D137,Milestones!$AA$197)&gt;=$S137),$V137,$U137)))=Milestones!$AB$197),UPPER(TEXT(EDATE($D137,Milestones!$AA$197),"dd mmm yy"))&amp;" "&amp;Milestones!$AB$197&amp;" "&amp;Milestones!$AC$197&amp;";  ","")&amp;IF(AND(EDATE($D137,Milestones!$AA$198)&lt;=AsOfDate,IF($R137=0,$X137,IF(AND($T137&lt;&gt;"",EDATE($D137,Milestones!$AA$198)&gt;=$T137),$W137,IF(AND($S137&lt;&gt;"",EDATE($D137,Milestones!$AA$198)&gt;=$S137),$V137,$U137)))=Milestones!$AB$198),UPPER(TEXT(EDATE($D137,Milestones!$AA$198),"dd mmm yy"))&amp;" "&amp;Milestones!$AB$198&amp;" "&amp;Milestones!$AC$198&amp;";  ","")&amp;IF(AND(EDATE($D137,Milestones!$AA$199)&lt;=AsOfDate,IF($R137=0,$X137,IF(AND($T137&lt;&gt;"",EDATE($D137,Milestones!$AA$199)&gt;=$T137),$W137,IF(AND($S137&lt;&gt;"",EDATE($D137,Milestones!$AA$199)&gt;=$S137),$V137,$U137)))=Milestones!$AB$199),UPPER(TEXT(EDATE($D137,Milestones!$AA$199),"dd mmm yy"))&amp;" "&amp;Milestones!$AB$199&amp;" "&amp;Milestones!$AC$199&amp;";  ",""))</f>
        <v/>
      </c>
      <c r="R137" s="0" t="str">
        <f aca="false">IF(Staff!$A137="","",Staff!$AI137)</f>
        <v/>
      </c>
      <c r="S137" s="0" t="str">
        <f aca="false">IF(Staff!$A137="","",Staff!$AK137)</f>
        <v/>
      </c>
      <c r="T137" s="0" t="str">
        <f aca="false">IF(Staff!$A137="","",Staff!$AL137)</f>
        <v/>
      </c>
      <c r="U137" s="0" t="str">
        <f aca="false">IF(Staff!$A137="","",Staff!$AP137)</f>
        <v/>
      </c>
      <c r="V137" s="0" t="str">
        <f aca="false">IF(Staff!$A137="","",Staff!$AQ137)</f>
        <v/>
      </c>
      <c r="W137" s="0" t="str">
        <f aca="false">IF(Staff!$A137="","",Staff!$AR137)</f>
        <v/>
      </c>
      <c r="X137" s="0" t="str">
        <f aca="false">IF(Staff!$A137="","",Staff!$AS137)</f>
        <v/>
      </c>
    </row>
    <row r="138" customFormat="false" ht="15" hidden="false" customHeight="false" outlineLevel="0" collapsed="false">
      <c r="A138" s="19" t="str">
        <f aca="false">IF(Staff!$A138="","",Staff!$A138)</f>
        <v/>
      </c>
      <c r="B138" s="19" t="str">
        <f aca="false">IF(Staff!$A138="","",Staff!$B138)</f>
        <v/>
      </c>
      <c r="C138" s="19" t="str">
        <f aca="false">IF(Staff!$A138="","",Staff!$C138)</f>
        <v/>
      </c>
      <c r="D138" s="17" t="str">
        <f aca="false">IF(Staff!$A138="","",Staff!$AH138)</f>
        <v/>
      </c>
      <c r="E138" s="19" t="str">
        <f aca="false">IF(Staff!$A138="","",Staff!$O138)</f>
        <v/>
      </c>
      <c r="F138" s="19" t="str">
        <f aca="false">IF(E138="","",E138*HoursPerDay)</f>
        <v/>
      </c>
      <c r="G138" s="19" t="str">
        <f aca="false">IF(Staff!$A138="","",Staff!$AE138)</f>
        <v/>
      </c>
      <c r="H138" s="32" t="str">
        <f aca="false">IF($A138="","",I138&amp;J138&amp;K138&amp;L138&amp;M138&amp;N138&amp;O138&amp;P138&amp;Q138)</f>
        <v/>
      </c>
      <c r="I138" s="0" t="str">
        <f aca="false">IF(OR($A138="",$D138=""),"",IF(AND(EDATE($D138,Milestones!$AA$20)&lt;=AsOfDate,IF($R138=0,$X138,IF(AND($T138&lt;&gt;"",EDATE($D138,Milestones!$AA$20)&gt;=$T138),$W138,IF(AND($S138&lt;&gt;"",EDATE($D138,Milestones!$AA$20)&gt;=$S138),$V138,$U138)))=Milestones!$AB$20),UPPER(TEXT(EDATE($D138,Milestones!$AA$20),"dd mmm yy"))&amp;" "&amp;Milestones!$AB$20&amp;" "&amp;Milestones!$AC$20&amp;";  ","")&amp;IF(AND(EDATE($D138,Milestones!$AA$21)&lt;=AsOfDate,IF($R138=0,$X138,IF(AND($T138&lt;&gt;"",EDATE($D138,Milestones!$AA$21)&gt;=$T138),$W138,IF(AND($S138&lt;&gt;"",EDATE($D138,Milestones!$AA$21)&gt;=$S138),$V138,$U138)))=Milestones!$AB$21),UPPER(TEXT(EDATE($D138,Milestones!$AA$21),"dd mmm yy"))&amp;" "&amp;Milestones!$AB$21&amp;" "&amp;Milestones!$AC$21&amp;";  ","")&amp;IF(AND(EDATE($D138,Milestones!$AA$22)&lt;=AsOfDate,IF($R138=0,$X138,IF(AND($T138&lt;&gt;"",EDATE($D138,Milestones!$AA$22)&gt;=$T138),$W138,IF(AND($S138&lt;&gt;"",EDATE($D138,Milestones!$AA$22)&gt;=$S138),$V138,$U138)))=Milestones!$AB$22),UPPER(TEXT(EDATE($D138,Milestones!$AA$22),"dd mmm yy"))&amp;" "&amp;Milestones!$AB$22&amp;" "&amp;Milestones!$AC$22&amp;";  ","")&amp;IF(AND(EDATE($D138,Milestones!$AA$23)&lt;=AsOfDate,IF($R138=0,$X138,IF(AND($T138&lt;&gt;"",EDATE($D138,Milestones!$AA$23)&gt;=$T138),$W138,IF(AND($S138&lt;&gt;"",EDATE($D138,Milestones!$AA$23)&gt;=$S138),$V138,$U138)))=Milestones!$AB$23),UPPER(TEXT(EDATE($D138,Milestones!$AA$23),"dd mmm yy"))&amp;" "&amp;Milestones!$AB$23&amp;" "&amp;Milestones!$AC$23&amp;";  ","")&amp;IF(AND(EDATE($D138,Milestones!$AA$24)&lt;=AsOfDate,IF($R138=0,$X138,IF(AND($T138&lt;&gt;"",EDATE($D138,Milestones!$AA$24)&gt;=$T138),$W138,IF(AND($S138&lt;&gt;"",EDATE($D138,Milestones!$AA$24)&gt;=$S138),$V138,$U138)))=Milestones!$AB$24),UPPER(TEXT(EDATE($D138,Milestones!$AA$24),"dd mmm yy"))&amp;" "&amp;Milestones!$AB$24&amp;" "&amp;Milestones!$AC$24&amp;";  ","")&amp;IF(AND(EDATE($D138,Milestones!$AA$25)&lt;=AsOfDate,IF($R138=0,$X138,IF(AND($T138&lt;&gt;"",EDATE($D138,Milestones!$AA$25)&gt;=$T138),$W138,IF(AND($S138&lt;&gt;"",EDATE($D138,Milestones!$AA$25)&gt;=$S138),$V138,$U138)))=Milestones!$AB$25),UPPER(TEXT(EDATE($D138,Milestones!$AA$25),"dd mmm yy"))&amp;" "&amp;Milestones!$AB$25&amp;" "&amp;Milestones!$AC$25&amp;";  ","")&amp;IF(AND(EDATE($D138,Milestones!$AA$26)&lt;=AsOfDate,IF($R138=0,$X138,IF(AND($T138&lt;&gt;"",EDATE($D138,Milestones!$AA$26)&gt;=$T138),$W138,IF(AND($S138&lt;&gt;"",EDATE($D138,Milestones!$AA$26)&gt;=$S138),$V138,$U138)))=Milestones!$AB$26),UPPER(TEXT(EDATE($D138,Milestones!$AA$26),"dd mmm yy"))&amp;" "&amp;Milestones!$AB$26&amp;" "&amp;Milestones!$AC$26&amp;";  ","")&amp;IF(AND(EDATE($D138,Milestones!$AA$27)&lt;=AsOfDate,IF($R138=0,$X138,IF(AND($T138&lt;&gt;"",EDATE($D138,Milestones!$AA$27)&gt;=$T138),$W138,IF(AND($S138&lt;&gt;"",EDATE($D138,Milestones!$AA$27)&gt;=$S138),$V138,$U138)))=Milestones!$AB$27),UPPER(TEXT(EDATE($D138,Milestones!$AA$27),"dd mmm yy"))&amp;" "&amp;Milestones!$AB$27&amp;" "&amp;Milestones!$AC$27&amp;";  ","")&amp;IF(AND(EDATE($D138,Milestones!$AA$28)&lt;=AsOfDate,IF($R138=0,$X138,IF(AND($T138&lt;&gt;"",EDATE($D138,Milestones!$AA$28)&gt;=$T138),$W138,IF(AND($S138&lt;&gt;"",EDATE($D138,Milestones!$AA$28)&gt;=$S138),$V138,$U138)))=Milestones!$AB$28),UPPER(TEXT(EDATE($D138,Milestones!$AA$28),"dd mmm yy"))&amp;" "&amp;Milestones!$AB$28&amp;" "&amp;Milestones!$AC$28&amp;";  ","")&amp;IF(AND(EDATE($D138,Milestones!$AA$29)&lt;=AsOfDate,IF($R138=0,$X138,IF(AND($T138&lt;&gt;"",EDATE($D138,Milestones!$AA$29)&gt;=$T138),$W138,IF(AND($S138&lt;&gt;"",EDATE($D138,Milestones!$AA$29)&gt;=$S138),$V138,$U138)))=Milestones!$AB$29),UPPER(TEXT(EDATE($D138,Milestones!$AA$29),"dd mmm yy"))&amp;" "&amp;Milestones!$AB$29&amp;" "&amp;Milestones!$AC$29&amp;";  ","")&amp;IF(AND(EDATE($D138,Milestones!$AA$30)&lt;=AsOfDate,IF($R138=0,$X138,IF(AND($T138&lt;&gt;"",EDATE($D138,Milestones!$AA$30)&gt;=$T138),$W138,IF(AND($S138&lt;&gt;"",EDATE($D138,Milestones!$AA$30)&gt;=$S138),$V138,$U138)))=Milestones!$AB$30),UPPER(TEXT(EDATE($D138,Milestones!$AA$30),"dd mmm yy"))&amp;" "&amp;Milestones!$AB$30&amp;" "&amp;Milestones!$AC$30&amp;";  ","")&amp;IF(AND(EDATE($D138,Milestones!$AA$31)&lt;=AsOfDate,IF($R138=0,$X138,IF(AND($T138&lt;&gt;"",EDATE($D138,Milestones!$AA$31)&gt;=$T138),$W138,IF(AND($S138&lt;&gt;"",EDATE($D138,Milestones!$AA$31)&gt;=$S138),$V138,$U138)))=Milestones!$AB$31),UPPER(TEXT(EDATE($D138,Milestones!$AA$31),"dd mmm yy"))&amp;" "&amp;Milestones!$AB$31&amp;" "&amp;Milestones!$AC$31&amp;";  ","")&amp;IF(AND(EDATE($D138,Milestones!$AA$32)&lt;=AsOfDate,IF($R138=0,$X138,IF(AND($T138&lt;&gt;"",EDATE($D138,Milestones!$AA$32)&gt;=$T138),$W138,IF(AND($S138&lt;&gt;"",EDATE($D138,Milestones!$AA$32)&gt;=$S138),$V138,$U138)))=Milestones!$AB$32),UPPER(TEXT(EDATE($D138,Milestones!$AA$32),"dd mmm yy"))&amp;" "&amp;Milestones!$AB$32&amp;" "&amp;Milestones!$AC$32&amp;";  ","")&amp;IF(AND(EDATE($D138,Milestones!$AA$33)&lt;=AsOfDate,IF($R138=0,$X138,IF(AND($T138&lt;&gt;"",EDATE($D138,Milestones!$AA$33)&gt;=$T138),$W138,IF(AND($S138&lt;&gt;"",EDATE($D138,Milestones!$AA$33)&gt;=$S138),$V138,$U138)))=Milestones!$AB$33),UPPER(TEXT(EDATE($D138,Milestones!$AA$33),"dd mmm yy"))&amp;" "&amp;Milestones!$AB$33&amp;" "&amp;Milestones!$AC$33&amp;";  ","")&amp;IF(AND(EDATE($D138,Milestones!$AA$34)&lt;=AsOfDate,IF($R138=0,$X138,IF(AND($T138&lt;&gt;"",EDATE($D138,Milestones!$AA$34)&gt;=$T138),$W138,IF(AND($S138&lt;&gt;"",EDATE($D138,Milestones!$AA$34)&gt;=$S138),$V138,$U138)))=Milestones!$AB$34),UPPER(TEXT(EDATE($D138,Milestones!$AA$34),"dd mmm yy"))&amp;" "&amp;Milestones!$AB$34&amp;" "&amp;Milestones!$AC$34&amp;";  ","")&amp;IF(AND(EDATE($D138,Milestones!$AA$35)&lt;=AsOfDate,IF($R138=0,$X138,IF(AND($T138&lt;&gt;"",EDATE($D138,Milestones!$AA$35)&gt;=$T138),$W138,IF(AND($S138&lt;&gt;"",EDATE($D138,Milestones!$AA$35)&gt;=$S138),$V138,$U138)))=Milestones!$AB$35),UPPER(TEXT(EDATE($D138,Milestones!$AA$35),"dd mmm yy"))&amp;" "&amp;Milestones!$AB$35&amp;" "&amp;Milestones!$AC$35&amp;";  ","")&amp;IF(AND(EDATE($D138,Milestones!$AA$36)&lt;=AsOfDate,IF($R138=0,$X138,IF(AND($T138&lt;&gt;"",EDATE($D138,Milestones!$AA$36)&gt;=$T138),$W138,IF(AND($S138&lt;&gt;"",EDATE($D138,Milestones!$AA$36)&gt;=$S138),$V138,$U138)))=Milestones!$AB$36),UPPER(TEXT(EDATE($D138,Milestones!$AA$36),"dd mmm yy"))&amp;" "&amp;Milestones!$AB$36&amp;" "&amp;Milestones!$AC$36&amp;";  ","")&amp;IF(AND(EDATE($D138,Milestones!$AA$37)&lt;=AsOfDate,IF($R138=0,$X138,IF(AND($T138&lt;&gt;"",EDATE($D138,Milestones!$AA$37)&gt;=$T138),$W138,IF(AND($S138&lt;&gt;"",EDATE($D138,Milestones!$AA$37)&gt;=$S138),$V138,$U138)))=Milestones!$AB$37),UPPER(TEXT(EDATE($D138,Milestones!$AA$37),"dd mmm yy"))&amp;" "&amp;Milestones!$AB$37&amp;" "&amp;Milestones!$AC$37&amp;";  ","")&amp;IF(AND(EDATE($D138,Milestones!$AA$38)&lt;=AsOfDate,IF($R138=0,$X138,IF(AND($T138&lt;&gt;"",EDATE($D138,Milestones!$AA$38)&gt;=$T138),$W138,IF(AND($S138&lt;&gt;"",EDATE($D138,Milestones!$AA$38)&gt;=$S138),$V138,$U138)))=Milestones!$AB$38),UPPER(TEXT(EDATE($D138,Milestones!$AA$38),"dd mmm yy"))&amp;" "&amp;Milestones!$AB$38&amp;" "&amp;Milestones!$AC$38&amp;";  ","")&amp;IF(AND(EDATE($D138,Milestones!$AA$39)&lt;=AsOfDate,IF($R138=0,$X138,IF(AND($T138&lt;&gt;"",EDATE($D138,Milestones!$AA$39)&gt;=$T138),$W138,IF(AND($S138&lt;&gt;"",EDATE($D138,Milestones!$AA$39)&gt;=$S138),$V138,$U138)))=Milestones!$AB$39),UPPER(TEXT(EDATE($D138,Milestones!$AA$39),"dd mmm yy"))&amp;" "&amp;Milestones!$AB$39&amp;" "&amp;Milestones!$AC$39&amp;";  ",""))</f>
        <v/>
      </c>
      <c r="J138" s="0" t="str">
        <f aca="false">IF(OR($A138="",$D138=""),"",IF(AND(EDATE($D138,Milestones!$AA$40)&lt;=AsOfDate,IF($R138=0,$X138,IF(AND($T138&lt;&gt;"",EDATE($D138,Milestones!$AA$40)&gt;=$T138),$W138,IF(AND($S138&lt;&gt;"",EDATE($D138,Milestones!$AA$40)&gt;=$S138),$V138,$U138)))=Milestones!$AB$40),UPPER(TEXT(EDATE($D138,Milestones!$AA$40),"dd mmm yy"))&amp;" "&amp;Milestones!$AB$40&amp;" "&amp;Milestones!$AC$40&amp;";  ","")&amp;IF(AND(EDATE($D138,Milestones!$AA$41)&lt;=AsOfDate,IF($R138=0,$X138,IF(AND($T138&lt;&gt;"",EDATE($D138,Milestones!$AA$41)&gt;=$T138),$W138,IF(AND($S138&lt;&gt;"",EDATE($D138,Milestones!$AA$41)&gt;=$S138),$V138,$U138)))=Milestones!$AB$41),UPPER(TEXT(EDATE($D138,Milestones!$AA$41),"dd mmm yy"))&amp;" "&amp;Milestones!$AB$41&amp;" "&amp;Milestones!$AC$41&amp;";  ","")&amp;IF(AND(EDATE($D138,Milestones!$AA$42)&lt;=AsOfDate,IF($R138=0,$X138,IF(AND($T138&lt;&gt;"",EDATE($D138,Milestones!$AA$42)&gt;=$T138),$W138,IF(AND($S138&lt;&gt;"",EDATE($D138,Milestones!$AA$42)&gt;=$S138),$V138,$U138)))=Milestones!$AB$42),UPPER(TEXT(EDATE($D138,Milestones!$AA$42),"dd mmm yy"))&amp;" "&amp;Milestones!$AB$42&amp;" "&amp;Milestones!$AC$42&amp;";  ","")&amp;IF(AND(EDATE($D138,Milestones!$AA$43)&lt;=AsOfDate,IF($R138=0,$X138,IF(AND($T138&lt;&gt;"",EDATE($D138,Milestones!$AA$43)&gt;=$T138),$W138,IF(AND($S138&lt;&gt;"",EDATE($D138,Milestones!$AA$43)&gt;=$S138),$V138,$U138)))=Milestones!$AB$43),UPPER(TEXT(EDATE($D138,Milestones!$AA$43),"dd mmm yy"))&amp;" "&amp;Milestones!$AB$43&amp;" "&amp;Milestones!$AC$43&amp;";  ","")&amp;IF(AND(EDATE($D138,Milestones!$AA$44)&lt;=AsOfDate,IF($R138=0,$X138,IF(AND($T138&lt;&gt;"",EDATE($D138,Milestones!$AA$44)&gt;=$T138),$W138,IF(AND($S138&lt;&gt;"",EDATE($D138,Milestones!$AA$44)&gt;=$S138),$V138,$U138)))=Milestones!$AB$44),UPPER(TEXT(EDATE($D138,Milestones!$AA$44),"dd mmm yy"))&amp;" "&amp;Milestones!$AB$44&amp;" "&amp;Milestones!$AC$44&amp;";  ","")&amp;IF(AND(EDATE($D138,Milestones!$AA$45)&lt;=AsOfDate,IF($R138=0,$X138,IF(AND($T138&lt;&gt;"",EDATE($D138,Milestones!$AA$45)&gt;=$T138),$W138,IF(AND($S138&lt;&gt;"",EDATE($D138,Milestones!$AA$45)&gt;=$S138),$V138,$U138)))=Milestones!$AB$45),UPPER(TEXT(EDATE($D138,Milestones!$AA$45),"dd mmm yy"))&amp;" "&amp;Milestones!$AB$45&amp;" "&amp;Milestones!$AC$45&amp;";  ","")&amp;IF(AND(EDATE($D138,Milestones!$AA$46)&lt;=AsOfDate,IF($R138=0,$X138,IF(AND($T138&lt;&gt;"",EDATE($D138,Milestones!$AA$46)&gt;=$T138),$W138,IF(AND($S138&lt;&gt;"",EDATE($D138,Milestones!$AA$46)&gt;=$S138),$V138,$U138)))=Milestones!$AB$46),UPPER(TEXT(EDATE($D138,Milestones!$AA$46),"dd mmm yy"))&amp;" "&amp;Milestones!$AB$46&amp;" "&amp;Milestones!$AC$46&amp;";  ","")&amp;IF(AND(EDATE($D138,Milestones!$AA$47)&lt;=AsOfDate,IF($R138=0,$X138,IF(AND($T138&lt;&gt;"",EDATE($D138,Milestones!$AA$47)&gt;=$T138),$W138,IF(AND($S138&lt;&gt;"",EDATE($D138,Milestones!$AA$47)&gt;=$S138),$V138,$U138)))=Milestones!$AB$47),UPPER(TEXT(EDATE($D138,Milestones!$AA$47),"dd mmm yy"))&amp;" "&amp;Milestones!$AB$47&amp;" "&amp;Milestones!$AC$47&amp;";  ","")&amp;IF(AND(EDATE($D138,Milestones!$AA$48)&lt;=AsOfDate,IF($R138=0,$X138,IF(AND($T138&lt;&gt;"",EDATE($D138,Milestones!$AA$48)&gt;=$T138),$W138,IF(AND($S138&lt;&gt;"",EDATE($D138,Milestones!$AA$48)&gt;=$S138),$V138,$U138)))=Milestones!$AB$48),UPPER(TEXT(EDATE($D138,Milestones!$AA$48),"dd mmm yy"))&amp;" "&amp;Milestones!$AB$48&amp;" "&amp;Milestones!$AC$48&amp;";  ","")&amp;IF(AND(EDATE($D138,Milestones!$AA$49)&lt;=AsOfDate,IF($R138=0,$X138,IF(AND($T138&lt;&gt;"",EDATE($D138,Milestones!$AA$49)&gt;=$T138),$W138,IF(AND($S138&lt;&gt;"",EDATE($D138,Milestones!$AA$49)&gt;=$S138),$V138,$U138)))=Milestones!$AB$49),UPPER(TEXT(EDATE($D138,Milestones!$AA$49),"dd mmm yy"))&amp;" "&amp;Milestones!$AB$49&amp;" "&amp;Milestones!$AC$49&amp;";  ","")&amp;IF(AND(EDATE($D138,Milestones!$AA$50)&lt;=AsOfDate,IF($R138=0,$X138,IF(AND($T138&lt;&gt;"",EDATE($D138,Milestones!$AA$50)&gt;=$T138),$W138,IF(AND($S138&lt;&gt;"",EDATE($D138,Milestones!$AA$50)&gt;=$S138),$V138,$U138)))=Milestones!$AB$50),UPPER(TEXT(EDATE($D138,Milestones!$AA$50),"dd mmm yy"))&amp;" "&amp;Milestones!$AB$50&amp;" "&amp;Milestones!$AC$50&amp;";  ","")&amp;IF(AND(EDATE($D138,Milestones!$AA$51)&lt;=AsOfDate,IF($R138=0,$X138,IF(AND($T138&lt;&gt;"",EDATE($D138,Milestones!$AA$51)&gt;=$T138),$W138,IF(AND($S138&lt;&gt;"",EDATE($D138,Milestones!$AA$51)&gt;=$S138),$V138,$U138)))=Milestones!$AB$51),UPPER(TEXT(EDATE($D138,Milestones!$AA$51),"dd mmm yy"))&amp;" "&amp;Milestones!$AB$51&amp;" "&amp;Milestones!$AC$51&amp;";  ","")&amp;IF(AND(EDATE($D138,Milestones!$AA$52)&lt;=AsOfDate,IF($R138=0,$X138,IF(AND($T138&lt;&gt;"",EDATE($D138,Milestones!$AA$52)&gt;=$T138),$W138,IF(AND($S138&lt;&gt;"",EDATE($D138,Milestones!$AA$52)&gt;=$S138),$V138,$U138)))=Milestones!$AB$52),UPPER(TEXT(EDATE($D138,Milestones!$AA$52),"dd mmm yy"))&amp;" "&amp;Milestones!$AB$52&amp;" "&amp;Milestones!$AC$52&amp;";  ","")&amp;IF(AND(EDATE($D138,Milestones!$AA$53)&lt;=AsOfDate,IF($R138=0,$X138,IF(AND($T138&lt;&gt;"",EDATE($D138,Milestones!$AA$53)&gt;=$T138),$W138,IF(AND($S138&lt;&gt;"",EDATE($D138,Milestones!$AA$53)&gt;=$S138),$V138,$U138)))=Milestones!$AB$53),UPPER(TEXT(EDATE($D138,Milestones!$AA$53),"dd mmm yy"))&amp;" "&amp;Milestones!$AB$53&amp;" "&amp;Milestones!$AC$53&amp;";  ","")&amp;IF(AND(EDATE($D138,Milestones!$AA$54)&lt;=AsOfDate,IF($R138=0,$X138,IF(AND($T138&lt;&gt;"",EDATE($D138,Milestones!$AA$54)&gt;=$T138),$W138,IF(AND($S138&lt;&gt;"",EDATE($D138,Milestones!$AA$54)&gt;=$S138),$V138,$U138)))=Milestones!$AB$54),UPPER(TEXT(EDATE($D138,Milestones!$AA$54),"dd mmm yy"))&amp;" "&amp;Milestones!$AB$54&amp;" "&amp;Milestones!$AC$54&amp;";  ","")&amp;IF(AND(EDATE($D138,Milestones!$AA$55)&lt;=AsOfDate,IF($R138=0,$X138,IF(AND($T138&lt;&gt;"",EDATE($D138,Milestones!$AA$55)&gt;=$T138),$W138,IF(AND($S138&lt;&gt;"",EDATE($D138,Milestones!$AA$55)&gt;=$S138),$V138,$U138)))=Milestones!$AB$55),UPPER(TEXT(EDATE($D138,Milestones!$AA$55),"dd mmm yy"))&amp;" "&amp;Milestones!$AB$55&amp;" "&amp;Milestones!$AC$55&amp;";  ","")&amp;IF(AND(EDATE($D138,Milestones!$AA$56)&lt;=AsOfDate,IF($R138=0,$X138,IF(AND($T138&lt;&gt;"",EDATE($D138,Milestones!$AA$56)&gt;=$T138),$W138,IF(AND($S138&lt;&gt;"",EDATE($D138,Milestones!$AA$56)&gt;=$S138),$V138,$U138)))=Milestones!$AB$56),UPPER(TEXT(EDATE($D138,Milestones!$AA$56),"dd mmm yy"))&amp;" "&amp;Milestones!$AB$56&amp;" "&amp;Milestones!$AC$56&amp;";  ","")&amp;IF(AND(EDATE($D138,Milestones!$AA$57)&lt;=AsOfDate,IF($R138=0,$X138,IF(AND($T138&lt;&gt;"",EDATE($D138,Milestones!$AA$57)&gt;=$T138),$W138,IF(AND($S138&lt;&gt;"",EDATE($D138,Milestones!$AA$57)&gt;=$S138),$V138,$U138)))=Milestones!$AB$57),UPPER(TEXT(EDATE($D138,Milestones!$AA$57),"dd mmm yy"))&amp;" "&amp;Milestones!$AB$57&amp;" "&amp;Milestones!$AC$57&amp;";  ","")&amp;IF(AND(EDATE($D138,Milestones!$AA$58)&lt;=AsOfDate,IF($R138=0,$X138,IF(AND($T138&lt;&gt;"",EDATE($D138,Milestones!$AA$58)&gt;=$T138),$W138,IF(AND($S138&lt;&gt;"",EDATE($D138,Milestones!$AA$58)&gt;=$S138),$V138,$U138)))=Milestones!$AB$58),UPPER(TEXT(EDATE($D138,Milestones!$AA$58),"dd mmm yy"))&amp;" "&amp;Milestones!$AB$58&amp;" "&amp;Milestones!$AC$58&amp;";  ","")&amp;IF(AND(EDATE($D138,Milestones!$AA$59)&lt;=AsOfDate,IF($R138=0,$X138,IF(AND($T138&lt;&gt;"",EDATE($D138,Milestones!$AA$59)&gt;=$T138),$W138,IF(AND($S138&lt;&gt;"",EDATE($D138,Milestones!$AA$59)&gt;=$S138),$V138,$U138)))=Milestones!$AB$59),UPPER(TEXT(EDATE($D138,Milestones!$AA$59),"dd mmm yy"))&amp;" "&amp;Milestones!$AB$59&amp;" "&amp;Milestones!$AC$59&amp;";  ",""))</f>
        <v/>
      </c>
      <c r="K138" s="0" t="str">
        <f aca="false">IF(OR($A138="",$D138=""),"",IF(AND(EDATE($D138,Milestones!$AA$60)&lt;=AsOfDate,IF($R138=0,$X138,IF(AND($T138&lt;&gt;"",EDATE($D138,Milestones!$AA$60)&gt;=$T138),$W138,IF(AND($S138&lt;&gt;"",EDATE($D138,Milestones!$AA$60)&gt;=$S138),$V138,$U138)))=Milestones!$AB$60),UPPER(TEXT(EDATE($D138,Milestones!$AA$60),"dd mmm yy"))&amp;" "&amp;Milestones!$AB$60&amp;" "&amp;Milestones!$AC$60&amp;";  ","")&amp;IF(AND(EDATE($D138,Milestones!$AA$61)&lt;=AsOfDate,IF($R138=0,$X138,IF(AND($T138&lt;&gt;"",EDATE($D138,Milestones!$AA$61)&gt;=$T138),$W138,IF(AND($S138&lt;&gt;"",EDATE($D138,Milestones!$AA$61)&gt;=$S138),$V138,$U138)))=Milestones!$AB$61),UPPER(TEXT(EDATE($D138,Milestones!$AA$61),"dd mmm yy"))&amp;" "&amp;Milestones!$AB$61&amp;" "&amp;Milestones!$AC$61&amp;";  ","")&amp;IF(AND(EDATE($D138,Milestones!$AA$62)&lt;=AsOfDate,IF($R138=0,$X138,IF(AND($T138&lt;&gt;"",EDATE($D138,Milestones!$AA$62)&gt;=$T138),$W138,IF(AND($S138&lt;&gt;"",EDATE($D138,Milestones!$AA$62)&gt;=$S138),$V138,$U138)))=Milestones!$AB$62),UPPER(TEXT(EDATE($D138,Milestones!$AA$62),"dd mmm yy"))&amp;" "&amp;Milestones!$AB$62&amp;" "&amp;Milestones!$AC$62&amp;";  ","")&amp;IF(AND(EDATE($D138,Milestones!$AA$63)&lt;=AsOfDate,IF($R138=0,$X138,IF(AND($T138&lt;&gt;"",EDATE($D138,Milestones!$AA$63)&gt;=$T138),$W138,IF(AND($S138&lt;&gt;"",EDATE($D138,Milestones!$AA$63)&gt;=$S138),$V138,$U138)))=Milestones!$AB$63),UPPER(TEXT(EDATE($D138,Milestones!$AA$63),"dd mmm yy"))&amp;" "&amp;Milestones!$AB$63&amp;" "&amp;Milestones!$AC$63&amp;";  ","")&amp;IF(AND(EDATE($D138,Milestones!$AA$64)&lt;=AsOfDate,IF($R138=0,$X138,IF(AND($T138&lt;&gt;"",EDATE($D138,Milestones!$AA$64)&gt;=$T138),$W138,IF(AND($S138&lt;&gt;"",EDATE($D138,Milestones!$AA$64)&gt;=$S138),$V138,$U138)))=Milestones!$AB$64),UPPER(TEXT(EDATE($D138,Milestones!$AA$64),"dd mmm yy"))&amp;" "&amp;Milestones!$AB$64&amp;" "&amp;Milestones!$AC$64&amp;";  ","")&amp;IF(AND(EDATE($D138,Milestones!$AA$65)&lt;=AsOfDate,IF($R138=0,$X138,IF(AND($T138&lt;&gt;"",EDATE($D138,Milestones!$AA$65)&gt;=$T138),$W138,IF(AND($S138&lt;&gt;"",EDATE($D138,Milestones!$AA$65)&gt;=$S138),$V138,$U138)))=Milestones!$AB$65),UPPER(TEXT(EDATE($D138,Milestones!$AA$65),"dd mmm yy"))&amp;" "&amp;Milestones!$AB$65&amp;" "&amp;Milestones!$AC$65&amp;";  ","")&amp;IF(AND(EDATE($D138,Milestones!$AA$66)&lt;=AsOfDate,IF($R138=0,$X138,IF(AND($T138&lt;&gt;"",EDATE($D138,Milestones!$AA$66)&gt;=$T138),$W138,IF(AND($S138&lt;&gt;"",EDATE($D138,Milestones!$AA$66)&gt;=$S138),$V138,$U138)))=Milestones!$AB$66),UPPER(TEXT(EDATE($D138,Milestones!$AA$66),"dd mmm yy"))&amp;" "&amp;Milestones!$AB$66&amp;" "&amp;Milestones!$AC$66&amp;";  ","")&amp;IF(AND(EDATE($D138,Milestones!$AA$67)&lt;=AsOfDate,IF($R138=0,$X138,IF(AND($T138&lt;&gt;"",EDATE($D138,Milestones!$AA$67)&gt;=$T138),$W138,IF(AND($S138&lt;&gt;"",EDATE($D138,Milestones!$AA$67)&gt;=$S138),$V138,$U138)))=Milestones!$AB$67),UPPER(TEXT(EDATE($D138,Milestones!$AA$67),"dd mmm yy"))&amp;" "&amp;Milestones!$AB$67&amp;" "&amp;Milestones!$AC$67&amp;";  ","")&amp;IF(AND(EDATE($D138,Milestones!$AA$68)&lt;=AsOfDate,IF($R138=0,$X138,IF(AND($T138&lt;&gt;"",EDATE($D138,Milestones!$AA$68)&gt;=$T138),$W138,IF(AND($S138&lt;&gt;"",EDATE($D138,Milestones!$AA$68)&gt;=$S138),$V138,$U138)))=Milestones!$AB$68),UPPER(TEXT(EDATE($D138,Milestones!$AA$68),"dd mmm yy"))&amp;" "&amp;Milestones!$AB$68&amp;" "&amp;Milestones!$AC$68&amp;";  ","")&amp;IF(AND(EDATE($D138,Milestones!$AA$69)&lt;=AsOfDate,IF($R138=0,$X138,IF(AND($T138&lt;&gt;"",EDATE($D138,Milestones!$AA$69)&gt;=$T138),$W138,IF(AND($S138&lt;&gt;"",EDATE($D138,Milestones!$AA$69)&gt;=$S138),$V138,$U138)))=Milestones!$AB$69),UPPER(TEXT(EDATE($D138,Milestones!$AA$69),"dd mmm yy"))&amp;" "&amp;Milestones!$AB$69&amp;" "&amp;Milestones!$AC$69&amp;";  ","")&amp;IF(AND(EDATE($D138,Milestones!$AA$70)&lt;=AsOfDate,IF($R138=0,$X138,IF(AND($T138&lt;&gt;"",EDATE($D138,Milestones!$AA$70)&gt;=$T138),$W138,IF(AND($S138&lt;&gt;"",EDATE($D138,Milestones!$AA$70)&gt;=$S138),$V138,$U138)))=Milestones!$AB$70),UPPER(TEXT(EDATE($D138,Milestones!$AA$70),"dd mmm yy"))&amp;" "&amp;Milestones!$AB$70&amp;" "&amp;Milestones!$AC$70&amp;";  ","")&amp;IF(AND(EDATE($D138,Milestones!$AA$71)&lt;=AsOfDate,IF($R138=0,$X138,IF(AND($T138&lt;&gt;"",EDATE($D138,Milestones!$AA$71)&gt;=$T138),$W138,IF(AND($S138&lt;&gt;"",EDATE($D138,Milestones!$AA$71)&gt;=$S138),$V138,$U138)))=Milestones!$AB$71),UPPER(TEXT(EDATE($D138,Milestones!$AA$71),"dd mmm yy"))&amp;" "&amp;Milestones!$AB$71&amp;" "&amp;Milestones!$AC$71&amp;";  ","")&amp;IF(AND(EDATE($D138,Milestones!$AA$72)&lt;=AsOfDate,IF($R138=0,$X138,IF(AND($T138&lt;&gt;"",EDATE($D138,Milestones!$AA$72)&gt;=$T138),$W138,IF(AND($S138&lt;&gt;"",EDATE($D138,Milestones!$AA$72)&gt;=$S138),$V138,$U138)))=Milestones!$AB$72),UPPER(TEXT(EDATE($D138,Milestones!$AA$72),"dd mmm yy"))&amp;" "&amp;Milestones!$AB$72&amp;" "&amp;Milestones!$AC$72&amp;";  ","")&amp;IF(AND(EDATE($D138,Milestones!$AA$73)&lt;=AsOfDate,IF($R138=0,$X138,IF(AND($T138&lt;&gt;"",EDATE($D138,Milestones!$AA$73)&gt;=$T138),$W138,IF(AND($S138&lt;&gt;"",EDATE($D138,Milestones!$AA$73)&gt;=$S138),$V138,$U138)))=Milestones!$AB$73),UPPER(TEXT(EDATE($D138,Milestones!$AA$73),"dd mmm yy"))&amp;" "&amp;Milestones!$AB$73&amp;" "&amp;Milestones!$AC$73&amp;";  ","")&amp;IF(AND(EDATE($D138,Milestones!$AA$74)&lt;=AsOfDate,IF($R138=0,$X138,IF(AND($T138&lt;&gt;"",EDATE($D138,Milestones!$AA$74)&gt;=$T138),$W138,IF(AND($S138&lt;&gt;"",EDATE($D138,Milestones!$AA$74)&gt;=$S138),$V138,$U138)))=Milestones!$AB$74),UPPER(TEXT(EDATE($D138,Milestones!$AA$74),"dd mmm yy"))&amp;" "&amp;Milestones!$AB$74&amp;" "&amp;Milestones!$AC$74&amp;";  ","")&amp;IF(AND(EDATE($D138,Milestones!$AA$75)&lt;=AsOfDate,IF($R138=0,$X138,IF(AND($T138&lt;&gt;"",EDATE($D138,Milestones!$AA$75)&gt;=$T138),$W138,IF(AND($S138&lt;&gt;"",EDATE($D138,Milestones!$AA$75)&gt;=$S138),$V138,$U138)))=Milestones!$AB$75),UPPER(TEXT(EDATE($D138,Milestones!$AA$75),"dd mmm yy"))&amp;" "&amp;Milestones!$AB$75&amp;" "&amp;Milestones!$AC$75&amp;";  ","")&amp;IF(AND(EDATE($D138,Milestones!$AA$76)&lt;=AsOfDate,IF($R138=0,$X138,IF(AND($T138&lt;&gt;"",EDATE($D138,Milestones!$AA$76)&gt;=$T138),$W138,IF(AND($S138&lt;&gt;"",EDATE($D138,Milestones!$AA$76)&gt;=$S138),$V138,$U138)))=Milestones!$AB$76),UPPER(TEXT(EDATE($D138,Milestones!$AA$76),"dd mmm yy"))&amp;" "&amp;Milestones!$AB$76&amp;" "&amp;Milestones!$AC$76&amp;";  ","")&amp;IF(AND(EDATE($D138,Milestones!$AA$77)&lt;=AsOfDate,IF($R138=0,$X138,IF(AND($T138&lt;&gt;"",EDATE($D138,Milestones!$AA$77)&gt;=$T138),$W138,IF(AND($S138&lt;&gt;"",EDATE($D138,Milestones!$AA$77)&gt;=$S138),$V138,$U138)))=Milestones!$AB$77),UPPER(TEXT(EDATE($D138,Milestones!$AA$77),"dd mmm yy"))&amp;" "&amp;Milestones!$AB$77&amp;" "&amp;Milestones!$AC$77&amp;";  ","")&amp;IF(AND(EDATE($D138,Milestones!$AA$78)&lt;=AsOfDate,IF($R138=0,$X138,IF(AND($T138&lt;&gt;"",EDATE($D138,Milestones!$AA$78)&gt;=$T138),$W138,IF(AND($S138&lt;&gt;"",EDATE($D138,Milestones!$AA$78)&gt;=$S138),$V138,$U138)))=Milestones!$AB$78),UPPER(TEXT(EDATE($D138,Milestones!$AA$78),"dd mmm yy"))&amp;" "&amp;Milestones!$AB$78&amp;" "&amp;Milestones!$AC$78&amp;";  ","")&amp;IF(AND(EDATE($D138,Milestones!$AA$79)&lt;=AsOfDate,IF($R138=0,$X138,IF(AND($T138&lt;&gt;"",EDATE($D138,Milestones!$AA$79)&gt;=$T138),$W138,IF(AND($S138&lt;&gt;"",EDATE($D138,Milestones!$AA$79)&gt;=$S138),$V138,$U138)))=Milestones!$AB$79),UPPER(TEXT(EDATE($D138,Milestones!$AA$79),"dd mmm yy"))&amp;" "&amp;Milestones!$AB$79&amp;" "&amp;Milestones!$AC$79&amp;";  ",""))</f>
        <v/>
      </c>
      <c r="L138" s="0" t="str">
        <f aca="false">IF(OR($A138="",$D138=""),"",IF(AND(EDATE($D138,Milestones!$AA$80)&lt;=AsOfDate,IF($R138=0,$X138,IF(AND($T138&lt;&gt;"",EDATE($D138,Milestones!$AA$80)&gt;=$T138),$W138,IF(AND($S138&lt;&gt;"",EDATE($D138,Milestones!$AA$80)&gt;=$S138),$V138,$U138)))=Milestones!$AB$80),UPPER(TEXT(EDATE($D138,Milestones!$AA$80),"dd mmm yy"))&amp;" "&amp;Milestones!$AB$80&amp;" "&amp;Milestones!$AC$80&amp;";  ","")&amp;IF(AND(EDATE($D138,Milestones!$AA$81)&lt;=AsOfDate,IF($R138=0,$X138,IF(AND($T138&lt;&gt;"",EDATE($D138,Milestones!$AA$81)&gt;=$T138),$W138,IF(AND($S138&lt;&gt;"",EDATE($D138,Milestones!$AA$81)&gt;=$S138),$V138,$U138)))=Milestones!$AB$81),UPPER(TEXT(EDATE($D138,Milestones!$AA$81),"dd mmm yy"))&amp;" "&amp;Milestones!$AB$81&amp;" "&amp;Milestones!$AC$81&amp;";  ","")&amp;IF(AND(EDATE($D138,Milestones!$AA$82)&lt;=AsOfDate,IF($R138=0,$X138,IF(AND($T138&lt;&gt;"",EDATE($D138,Milestones!$AA$82)&gt;=$T138),$W138,IF(AND($S138&lt;&gt;"",EDATE($D138,Milestones!$AA$82)&gt;=$S138),$V138,$U138)))=Milestones!$AB$82),UPPER(TEXT(EDATE($D138,Milestones!$AA$82),"dd mmm yy"))&amp;" "&amp;Milestones!$AB$82&amp;" "&amp;Milestones!$AC$82&amp;";  ","")&amp;IF(AND(EDATE($D138,Milestones!$AA$83)&lt;=AsOfDate,IF($R138=0,$X138,IF(AND($T138&lt;&gt;"",EDATE($D138,Milestones!$AA$83)&gt;=$T138),$W138,IF(AND($S138&lt;&gt;"",EDATE($D138,Milestones!$AA$83)&gt;=$S138),$V138,$U138)))=Milestones!$AB$83),UPPER(TEXT(EDATE($D138,Milestones!$AA$83),"dd mmm yy"))&amp;" "&amp;Milestones!$AB$83&amp;" "&amp;Milestones!$AC$83&amp;";  ","")&amp;IF(AND(EDATE($D138,Milestones!$AA$84)&lt;=AsOfDate,IF($R138=0,$X138,IF(AND($T138&lt;&gt;"",EDATE($D138,Milestones!$AA$84)&gt;=$T138),$W138,IF(AND($S138&lt;&gt;"",EDATE($D138,Milestones!$AA$84)&gt;=$S138),$V138,$U138)))=Milestones!$AB$84),UPPER(TEXT(EDATE($D138,Milestones!$AA$84),"dd mmm yy"))&amp;" "&amp;Milestones!$AB$84&amp;" "&amp;Milestones!$AC$84&amp;";  ","")&amp;IF(AND(EDATE($D138,Milestones!$AA$85)&lt;=AsOfDate,IF($R138=0,$X138,IF(AND($T138&lt;&gt;"",EDATE($D138,Milestones!$AA$85)&gt;=$T138),$W138,IF(AND($S138&lt;&gt;"",EDATE($D138,Milestones!$AA$85)&gt;=$S138),$V138,$U138)))=Milestones!$AB$85),UPPER(TEXT(EDATE($D138,Milestones!$AA$85),"dd mmm yy"))&amp;" "&amp;Milestones!$AB$85&amp;" "&amp;Milestones!$AC$85&amp;";  ","")&amp;IF(AND(EDATE($D138,Milestones!$AA$86)&lt;=AsOfDate,IF($R138=0,$X138,IF(AND($T138&lt;&gt;"",EDATE($D138,Milestones!$AA$86)&gt;=$T138),$W138,IF(AND($S138&lt;&gt;"",EDATE($D138,Milestones!$AA$86)&gt;=$S138),$V138,$U138)))=Milestones!$AB$86),UPPER(TEXT(EDATE($D138,Milestones!$AA$86),"dd mmm yy"))&amp;" "&amp;Milestones!$AB$86&amp;" "&amp;Milestones!$AC$86&amp;";  ","")&amp;IF(AND(EDATE($D138,Milestones!$AA$87)&lt;=AsOfDate,IF($R138=0,$X138,IF(AND($T138&lt;&gt;"",EDATE($D138,Milestones!$AA$87)&gt;=$T138),$W138,IF(AND($S138&lt;&gt;"",EDATE($D138,Milestones!$AA$87)&gt;=$S138),$V138,$U138)))=Milestones!$AB$87),UPPER(TEXT(EDATE($D138,Milestones!$AA$87),"dd mmm yy"))&amp;" "&amp;Milestones!$AB$87&amp;" "&amp;Milestones!$AC$87&amp;";  ","")&amp;IF(AND(EDATE($D138,Milestones!$AA$88)&lt;=AsOfDate,IF($R138=0,$X138,IF(AND($T138&lt;&gt;"",EDATE($D138,Milestones!$AA$88)&gt;=$T138),$W138,IF(AND($S138&lt;&gt;"",EDATE($D138,Milestones!$AA$88)&gt;=$S138),$V138,$U138)))=Milestones!$AB$88),UPPER(TEXT(EDATE($D138,Milestones!$AA$88),"dd mmm yy"))&amp;" "&amp;Milestones!$AB$88&amp;" "&amp;Milestones!$AC$88&amp;";  ","")&amp;IF(AND(EDATE($D138,Milestones!$AA$89)&lt;=AsOfDate,IF($R138=0,$X138,IF(AND($T138&lt;&gt;"",EDATE($D138,Milestones!$AA$89)&gt;=$T138),$W138,IF(AND($S138&lt;&gt;"",EDATE($D138,Milestones!$AA$89)&gt;=$S138),$V138,$U138)))=Milestones!$AB$89),UPPER(TEXT(EDATE($D138,Milestones!$AA$89),"dd mmm yy"))&amp;" "&amp;Milestones!$AB$89&amp;" "&amp;Milestones!$AC$89&amp;";  ","")&amp;IF(AND(EDATE($D138,Milestones!$AA$90)&lt;=AsOfDate,IF($R138=0,$X138,IF(AND($T138&lt;&gt;"",EDATE($D138,Milestones!$AA$90)&gt;=$T138),$W138,IF(AND($S138&lt;&gt;"",EDATE($D138,Milestones!$AA$90)&gt;=$S138),$V138,$U138)))=Milestones!$AB$90),UPPER(TEXT(EDATE($D138,Milestones!$AA$90),"dd mmm yy"))&amp;" "&amp;Milestones!$AB$90&amp;" "&amp;Milestones!$AC$90&amp;";  ","")&amp;IF(AND(EDATE($D138,Milestones!$AA$91)&lt;=AsOfDate,IF($R138=0,$X138,IF(AND($T138&lt;&gt;"",EDATE($D138,Milestones!$AA$91)&gt;=$T138),$W138,IF(AND($S138&lt;&gt;"",EDATE($D138,Milestones!$AA$91)&gt;=$S138),$V138,$U138)))=Milestones!$AB$91),UPPER(TEXT(EDATE($D138,Milestones!$AA$91),"dd mmm yy"))&amp;" "&amp;Milestones!$AB$91&amp;" "&amp;Milestones!$AC$91&amp;";  ","")&amp;IF(AND(EDATE($D138,Milestones!$AA$92)&lt;=AsOfDate,IF($R138=0,$X138,IF(AND($T138&lt;&gt;"",EDATE($D138,Milestones!$AA$92)&gt;=$T138),$W138,IF(AND($S138&lt;&gt;"",EDATE($D138,Milestones!$AA$92)&gt;=$S138),$V138,$U138)))=Milestones!$AB$92),UPPER(TEXT(EDATE($D138,Milestones!$AA$92),"dd mmm yy"))&amp;" "&amp;Milestones!$AB$92&amp;" "&amp;Milestones!$AC$92&amp;";  ","")&amp;IF(AND(EDATE($D138,Milestones!$AA$93)&lt;=AsOfDate,IF($R138=0,$X138,IF(AND($T138&lt;&gt;"",EDATE($D138,Milestones!$AA$93)&gt;=$T138),$W138,IF(AND($S138&lt;&gt;"",EDATE($D138,Milestones!$AA$93)&gt;=$S138),$V138,$U138)))=Milestones!$AB$93),UPPER(TEXT(EDATE($D138,Milestones!$AA$93),"dd mmm yy"))&amp;" "&amp;Milestones!$AB$93&amp;" "&amp;Milestones!$AC$93&amp;";  ","")&amp;IF(AND(EDATE($D138,Milestones!$AA$94)&lt;=AsOfDate,IF($R138=0,$X138,IF(AND($T138&lt;&gt;"",EDATE($D138,Milestones!$AA$94)&gt;=$T138),$W138,IF(AND($S138&lt;&gt;"",EDATE($D138,Milestones!$AA$94)&gt;=$S138),$V138,$U138)))=Milestones!$AB$94),UPPER(TEXT(EDATE($D138,Milestones!$AA$94),"dd mmm yy"))&amp;" "&amp;Milestones!$AB$94&amp;" "&amp;Milestones!$AC$94&amp;";  ","")&amp;IF(AND(EDATE($D138,Milestones!$AA$95)&lt;=AsOfDate,IF($R138=0,$X138,IF(AND($T138&lt;&gt;"",EDATE($D138,Milestones!$AA$95)&gt;=$T138),$W138,IF(AND($S138&lt;&gt;"",EDATE($D138,Milestones!$AA$95)&gt;=$S138),$V138,$U138)))=Milestones!$AB$95),UPPER(TEXT(EDATE($D138,Milestones!$AA$95),"dd mmm yy"))&amp;" "&amp;Milestones!$AB$95&amp;" "&amp;Milestones!$AC$95&amp;";  ","")&amp;IF(AND(EDATE($D138,Milestones!$AA$96)&lt;=AsOfDate,IF($R138=0,$X138,IF(AND($T138&lt;&gt;"",EDATE($D138,Milestones!$AA$96)&gt;=$T138),$W138,IF(AND($S138&lt;&gt;"",EDATE($D138,Milestones!$AA$96)&gt;=$S138),$V138,$U138)))=Milestones!$AB$96),UPPER(TEXT(EDATE($D138,Milestones!$AA$96),"dd mmm yy"))&amp;" "&amp;Milestones!$AB$96&amp;" "&amp;Milestones!$AC$96&amp;";  ","")&amp;IF(AND(EDATE($D138,Milestones!$AA$97)&lt;=AsOfDate,IF($R138=0,$X138,IF(AND($T138&lt;&gt;"",EDATE($D138,Milestones!$AA$97)&gt;=$T138),$W138,IF(AND($S138&lt;&gt;"",EDATE($D138,Milestones!$AA$97)&gt;=$S138),$V138,$U138)))=Milestones!$AB$97),UPPER(TEXT(EDATE($D138,Milestones!$AA$97),"dd mmm yy"))&amp;" "&amp;Milestones!$AB$97&amp;" "&amp;Milestones!$AC$97&amp;";  ","")&amp;IF(AND(EDATE($D138,Milestones!$AA$98)&lt;=AsOfDate,IF($R138=0,$X138,IF(AND($T138&lt;&gt;"",EDATE($D138,Milestones!$AA$98)&gt;=$T138),$W138,IF(AND($S138&lt;&gt;"",EDATE($D138,Milestones!$AA$98)&gt;=$S138),$V138,$U138)))=Milestones!$AB$98),UPPER(TEXT(EDATE($D138,Milestones!$AA$98),"dd mmm yy"))&amp;" "&amp;Milestones!$AB$98&amp;" "&amp;Milestones!$AC$98&amp;";  ","")&amp;IF(AND(EDATE($D138,Milestones!$AA$99)&lt;=AsOfDate,IF($R138=0,$X138,IF(AND($T138&lt;&gt;"",EDATE($D138,Milestones!$AA$99)&gt;=$T138),$W138,IF(AND($S138&lt;&gt;"",EDATE($D138,Milestones!$AA$99)&gt;=$S138),$V138,$U138)))=Milestones!$AB$99),UPPER(TEXT(EDATE($D138,Milestones!$AA$99),"dd mmm yy"))&amp;" "&amp;Milestones!$AB$99&amp;" "&amp;Milestones!$AC$99&amp;";  ",""))</f>
        <v/>
      </c>
      <c r="M138" s="0" t="str">
        <f aca="false">IF(OR($A138="",$D138=""),"",IF(AND(EDATE($D138,Milestones!$AA$100)&lt;=AsOfDate,IF($R138=0,$X138,IF(AND($T138&lt;&gt;"",EDATE($D138,Milestones!$AA$100)&gt;=$T138),$W138,IF(AND($S138&lt;&gt;"",EDATE($D138,Milestones!$AA$100)&gt;=$S138),$V138,$U138)))=Milestones!$AB$100),UPPER(TEXT(EDATE($D138,Milestones!$AA$100),"dd mmm yy"))&amp;" "&amp;Milestones!$AB$100&amp;" "&amp;Milestones!$AC$100&amp;";  ","")&amp;IF(AND(EDATE($D138,Milestones!$AA$101)&lt;=AsOfDate,IF($R138=0,$X138,IF(AND($T138&lt;&gt;"",EDATE($D138,Milestones!$AA$101)&gt;=$T138),$W138,IF(AND($S138&lt;&gt;"",EDATE($D138,Milestones!$AA$101)&gt;=$S138),$V138,$U138)))=Milestones!$AB$101),UPPER(TEXT(EDATE($D138,Milestones!$AA$101),"dd mmm yy"))&amp;" "&amp;Milestones!$AB$101&amp;" "&amp;Milestones!$AC$101&amp;";  ","")&amp;IF(AND(EDATE($D138,Milestones!$AA$102)&lt;=AsOfDate,IF($R138=0,$X138,IF(AND($T138&lt;&gt;"",EDATE($D138,Milestones!$AA$102)&gt;=$T138),$W138,IF(AND($S138&lt;&gt;"",EDATE($D138,Milestones!$AA$102)&gt;=$S138),$V138,$U138)))=Milestones!$AB$102),UPPER(TEXT(EDATE($D138,Milestones!$AA$102),"dd mmm yy"))&amp;" "&amp;Milestones!$AB$102&amp;" "&amp;Milestones!$AC$102&amp;";  ","")&amp;IF(AND(EDATE($D138,Milestones!$AA$103)&lt;=AsOfDate,IF($R138=0,$X138,IF(AND($T138&lt;&gt;"",EDATE($D138,Milestones!$AA$103)&gt;=$T138),$W138,IF(AND($S138&lt;&gt;"",EDATE($D138,Milestones!$AA$103)&gt;=$S138),$V138,$U138)))=Milestones!$AB$103),UPPER(TEXT(EDATE($D138,Milestones!$AA$103),"dd mmm yy"))&amp;" "&amp;Milestones!$AB$103&amp;" "&amp;Milestones!$AC$103&amp;";  ","")&amp;IF(AND(EDATE($D138,Milestones!$AA$104)&lt;=AsOfDate,IF($R138=0,$X138,IF(AND($T138&lt;&gt;"",EDATE($D138,Milestones!$AA$104)&gt;=$T138),$W138,IF(AND($S138&lt;&gt;"",EDATE($D138,Milestones!$AA$104)&gt;=$S138),$V138,$U138)))=Milestones!$AB$104),UPPER(TEXT(EDATE($D138,Milestones!$AA$104),"dd mmm yy"))&amp;" "&amp;Milestones!$AB$104&amp;" "&amp;Milestones!$AC$104&amp;";  ","")&amp;IF(AND(EDATE($D138,Milestones!$AA$105)&lt;=AsOfDate,IF($R138=0,$X138,IF(AND($T138&lt;&gt;"",EDATE($D138,Milestones!$AA$105)&gt;=$T138),$W138,IF(AND($S138&lt;&gt;"",EDATE($D138,Milestones!$AA$105)&gt;=$S138),$V138,$U138)))=Milestones!$AB$105),UPPER(TEXT(EDATE($D138,Milestones!$AA$105),"dd mmm yy"))&amp;" "&amp;Milestones!$AB$105&amp;" "&amp;Milestones!$AC$105&amp;";  ","")&amp;IF(AND(EDATE($D138,Milestones!$AA$106)&lt;=AsOfDate,IF($R138=0,$X138,IF(AND($T138&lt;&gt;"",EDATE($D138,Milestones!$AA$106)&gt;=$T138),$W138,IF(AND($S138&lt;&gt;"",EDATE($D138,Milestones!$AA$106)&gt;=$S138),$V138,$U138)))=Milestones!$AB$106),UPPER(TEXT(EDATE($D138,Milestones!$AA$106),"dd mmm yy"))&amp;" "&amp;Milestones!$AB$106&amp;" "&amp;Milestones!$AC$106&amp;";  ","")&amp;IF(AND(EDATE($D138,Milestones!$AA$107)&lt;=AsOfDate,IF($R138=0,$X138,IF(AND($T138&lt;&gt;"",EDATE($D138,Milestones!$AA$107)&gt;=$T138),$W138,IF(AND($S138&lt;&gt;"",EDATE($D138,Milestones!$AA$107)&gt;=$S138),$V138,$U138)))=Milestones!$AB$107),UPPER(TEXT(EDATE($D138,Milestones!$AA$107),"dd mmm yy"))&amp;" "&amp;Milestones!$AB$107&amp;" "&amp;Milestones!$AC$107&amp;";  ","")&amp;IF(AND(EDATE($D138,Milestones!$AA$108)&lt;=AsOfDate,IF($R138=0,$X138,IF(AND($T138&lt;&gt;"",EDATE($D138,Milestones!$AA$108)&gt;=$T138),$W138,IF(AND($S138&lt;&gt;"",EDATE($D138,Milestones!$AA$108)&gt;=$S138),$V138,$U138)))=Milestones!$AB$108),UPPER(TEXT(EDATE($D138,Milestones!$AA$108),"dd mmm yy"))&amp;" "&amp;Milestones!$AB$108&amp;" "&amp;Milestones!$AC$108&amp;";  ","")&amp;IF(AND(EDATE($D138,Milestones!$AA$109)&lt;=AsOfDate,IF($R138=0,$X138,IF(AND($T138&lt;&gt;"",EDATE($D138,Milestones!$AA$109)&gt;=$T138),$W138,IF(AND($S138&lt;&gt;"",EDATE($D138,Milestones!$AA$109)&gt;=$S138),$V138,$U138)))=Milestones!$AB$109),UPPER(TEXT(EDATE($D138,Milestones!$AA$109),"dd mmm yy"))&amp;" "&amp;Milestones!$AB$109&amp;" "&amp;Milestones!$AC$109&amp;";  ","")&amp;IF(AND(EDATE($D138,Milestones!$AA$110)&lt;=AsOfDate,IF($R138=0,$X138,IF(AND($T138&lt;&gt;"",EDATE($D138,Milestones!$AA$110)&gt;=$T138),$W138,IF(AND($S138&lt;&gt;"",EDATE($D138,Milestones!$AA$110)&gt;=$S138),$V138,$U138)))=Milestones!$AB$110),UPPER(TEXT(EDATE($D138,Milestones!$AA$110),"dd mmm yy"))&amp;" "&amp;Milestones!$AB$110&amp;" "&amp;Milestones!$AC$110&amp;";  ","")&amp;IF(AND(EDATE($D138,Milestones!$AA$111)&lt;=AsOfDate,IF($R138=0,$X138,IF(AND($T138&lt;&gt;"",EDATE($D138,Milestones!$AA$111)&gt;=$T138),$W138,IF(AND($S138&lt;&gt;"",EDATE($D138,Milestones!$AA$111)&gt;=$S138),$V138,$U138)))=Milestones!$AB$111),UPPER(TEXT(EDATE($D138,Milestones!$AA$111),"dd mmm yy"))&amp;" "&amp;Milestones!$AB$111&amp;" "&amp;Milestones!$AC$111&amp;";  ","")&amp;IF(AND(EDATE($D138,Milestones!$AA$112)&lt;=AsOfDate,IF($R138=0,$X138,IF(AND($T138&lt;&gt;"",EDATE($D138,Milestones!$AA$112)&gt;=$T138),$W138,IF(AND($S138&lt;&gt;"",EDATE($D138,Milestones!$AA$112)&gt;=$S138),$V138,$U138)))=Milestones!$AB$112),UPPER(TEXT(EDATE($D138,Milestones!$AA$112),"dd mmm yy"))&amp;" "&amp;Milestones!$AB$112&amp;" "&amp;Milestones!$AC$112&amp;";  ","")&amp;IF(AND(EDATE($D138,Milestones!$AA$113)&lt;=AsOfDate,IF($R138=0,$X138,IF(AND($T138&lt;&gt;"",EDATE($D138,Milestones!$AA$113)&gt;=$T138),$W138,IF(AND($S138&lt;&gt;"",EDATE($D138,Milestones!$AA$113)&gt;=$S138),$V138,$U138)))=Milestones!$AB$113),UPPER(TEXT(EDATE($D138,Milestones!$AA$113),"dd mmm yy"))&amp;" "&amp;Milestones!$AB$113&amp;" "&amp;Milestones!$AC$113&amp;";  ","")&amp;IF(AND(EDATE($D138,Milestones!$AA$114)&lt;=AsOfDate,IF($R138=0,$X138,IF(AND($T138&lt;&gt;"",EDATE($D138,Milestones!$AA$114)&gt;=$T138),$W138,IF(AND($S138&lt;&gt;"",EDATE($D138,Milestones!$AA$114)&gt;=$S138),$V138,$U138)))=Milestones!$AB$114),UPPER(TEXT(EDATE($D138,Milestones!$AA$114),"dd mmm yy"))&amp;" "&amp;Milestones!$AB$114&amp;" "&amp;Milestones!$AC$114&amp;";  ","")&amp;IF(AND(EDATE($D138,Milestones!$AA$115)&lt;=AsOfDate,IF($R138=0,$X138,IF(AND($T138&lt;&gt;"",EDATE($D138,Milestones!$AA$115)&gt;=$T138),$W138,IF(AND($S138&lt;&gt;"",EDATE($D138,Milestones!$AA$115)&gt;=$S138),$V138,$U138)))=Milestones!$AB$115),UPPER(TEXT(EDATE($D138,Milestones!$AA$115),"dd mmm yy"))&amp;" "&amp;Milestones!$AB$115&amp;" "&amp;Milestones!$AC$115&amp;";  ","")&amp;IF(AND(EDATE($D138,Milestones!$AA$116)&lt;=AsOfDate,IF($R138=0,$X138,IF(AND($T138&lt;&gt;"",EDATE($D138,Milestones!$AA$116)&gt;=$T138),$W138,IF(AND($S138&lt;&gt;"",EDATE($D138,Milestones!$AA$116)&gt;=$S138),$V138,$U138)))=Milestones!$AB$116),UPPER(TEXT(EDATE($D138,Milestones!$AA$116),"dd mmm yy"))&amp;" "&amp;Milestones!$AB$116&amp;" "&amp;Milestones!$AC$116&amp;";  ","")&amp;IF(AND(EDATE($D138,Milestones!$AA$117)&lt;=AsOfDate,IF($R138=0,$X138,IF(AND($T138&lt;&gt;"",EDATE($D138,Milestones!$AA$117)&gt;=$T138),$W138,IF(AND($S138&lt;&gt;"",EDATE($D138,Milestones!$AA$117)&gt;=$S138),$V138,$U138)))=Milestones!$AB$117),UPPER(TEXT(EDATE($D138,Milestones!$AA$117),"dd mmm yy"))&amp;" "&amp;Milestones!$AB$117&amp;" "&amp;Milestones!$AC$117&amp;";  ","")&amp;IF(AND(EDATE($D138,Milestones!$AA$118)&lt;=AsOfDate,IF($R138=0,$X138,IF(AND($T138&lt;&gt;"",EDATE($D138,Milestones!$AA$118)&gt;=$T138),$W138,IF(AND($S138&lt;&gt;"",EDATE($D138,Milestones!$AA$118)&gt;=$S138),$V138,$U138)))=Milestones!$AB$118),UPPER(TEXT(EDATE($D138,Milestones!$AA$118),"dd mmm yy"))&amp;" "&amp;Milestones!$AB$118&amp;" "&amp;Milestones!$AC$118&amp;";  ","")&amp;IF(AND(EDATE($D138,Milestones!$AA$119)&lt;=AsOfDate,IF($R138=0,$X138,IF(AND($T138&lt;&gt;"",EDATE($D138,Milestones!$AA$119)&gt;=$T138),$W138,IF(AND($S138&lt;&gt;"",EDATE($D138,Milestones!$AA$119)&gt;=$S138),$V138,$U138)))=Milestones!$AB$119),UPPER(TEXT(EDATE($D138,Milestones!$AA$119),"dd mmm yy"))&amp;" "&amp;Milestones!$AB$119&amp;" "&amp;Milestones!$AC$119&amp;";  ",""))</f>
        <v/>
      </c>
      <c r="N138" s="0" t="str">
        <f aca="false">IF(OR($A138="",$D138=""),"",IF(AND(EDATE($D138,Milestones!$AA$120)&lt;=AsOfDate,IF($R138=0,$X138,IF(AND($T138&lt;&gt;"",EDATE($D138,Milestones!$AA$120)&gt;=$T138),$W138,IF(AND($S138&lt;&gt;"",EDATE($D138,Milestones!$AA$120)&gt;=$S138),$V138,$U138)))=Milestones!$AB$120),UPPER(TEXT(EDATE($D138,Milestones!$AA$120),"dd mmm yy"))&amp;" "&amp;Milestones!$AB$120&amp;" "&amp;Milestones!$AC$120&amp;";  ","")&amp;IF(AND(EDATE($D138,Milestones!$AA$121)&lt;=AsOfDate,IF($R138=0,$X138,IF(AND($T138&lt;&gt;"",EDATE($D138,Milestones!$AA$121)&gt;=$T138),$W138,IF(AND($S138&lt;&gt;"",EDATE($D138,Milestones!$AA$121)&gt;=$S138),$V138,$U138)))=Milestones!$AB$121),UPPER(TEXT(EDATE($D138,Milestones!$AA$121),"dd mmm yy"))&amp;" "&amp;Milestones!$AB$121&amp;" "&amp;Milestones!$AC$121&amp;";  ","")&amp;IF(AND(EDATE($D138,Milestones!$AA$122)&lt;=AsOfDate,IF($R138=0,$X138,IF(AND($T138&lt;&gt;"",EDATE($D138,Milestones!$AA$122)&gt;=$T138),$W138,IF(AND($S138&lt;&gt;"",EDATE($D138,Milestones!$AA$122)&gt;=$S138),$V138,$U138)))=Milestones!$AB$122),UPPER(TEXT(EDATE($D138,Milestones!$AA$122),"dd mmm yy"))&amp;" "&amp;Milestones!$AB$122&amp;" "&amp;Milestones!$AC$122&amp;";  ","")&amp;IF(AND(EDATE($D138,Milestones!$AA$123)&lt;=AsOfDate,IF($R138=0,$X138,IF(AND($T138&lt;&gt;"",EDATE($D138,Milestones!$AA$123)&gt;=$T138),$W138,IF(AND($S138&lt;&gt;"",EDATE($D138,Milestones!$AA$123)&gt;=$S138),$V138,$U138)))=Milestones!$AB$123),UPPER(TEXT(EDATE($D138,Milestones!$AA$123),"dd mmm yy"))&amp;" "&amp;Milestones!$AB$123&amp;" "&amp;Milestones!$AC$123&amp;";  ","")&amp;IF(AND(EDATE($D138,Milestones!$AA$124)&lt;=AsOfDate,IF($R138=0,$X138,IF(AND($T138&lt;&gt;"",EDATE($D138,Milestones!$AA$124)&gt;=$T138),$W138,IF(AND($S138&lt;&gt;"",EDATE($D138,Milestones!$AA$124)&gt;=$S138),$V138,$U138)))=Milestones!$AB$124),UPPER(TEXT(EDATE($D138,Milestones!$AA$124),"dd mmm yy"))&amp;" "&amp;Milestones!$AB$124&amp;" "&amp;Milestones!$AC$124&amp;";  ","")&amp;IF(AND(EDATE($D138,Milestones!$AA$125)&lt;=AsOfDate,IF($R138=0,$X138,IF(AND($T138&lt;&gt;"",EDATE($D138,Milestones!$AA$125)&gt;=$T138),$W138,IF(AND($S138&lt;&gt;"",EDATE($D138,Milestones!$AA$125)&gt;=$S138),$V138,$U138)))=Milestones!$AB$125),UPPER(TEXT(EDATE($D138,Milestones!$AA$125),"dd mmm yy"))&amp;" "&amp;Milestones!$AB$125&amp;" "&amp;Milestones!$AC$125&amp;";  ","")&amp;IF(AND(EDATE($D138,Milestones!$AA$126)&lt;=AsOfDate,IF($R138=0,$X138,IF(AND($T138&lt;&gt;"",EDATE($D138,Milestones!$AA$126)&gt;=$T138),$W138,IF(AND($S138&lt;&gt;"",EDATE($D138,Milestones!$AA$126)&gt;=$S138),$V138,$U138)))=Milestones!$AB$126),UPPER(TEXT(EDATE($D138,Milestones!$AA$126),"dd mmm yy"))&amp;" "&amp;Milestones!$AB$126&amp;" "&amp;Milestones!$AC$126&amp;";  ","")&amp;IF(AND(EDATE($D138,Milestones!$AA$127)&lt;=AsOfDate,IF($R138=0,$X138,IF(AND($T138&lt;&gt;"",EDATE($D138,Milestones!$AA$127)&gt;=$T138),$W138,IF(AND($S138&lt;&gt;"",EDATE($D138,Milestones!$AA$127)&gt;=$S138),$V138,$U138)))=Milestones!$AB$127),UPPER(TEXT(EDATE($D138,Milestones!$AA$127),"dd mmm yy"))&amp;" "&amp;Milestones!$AB$127&amp;" "&amp;Milestones!$AC$127&amp;";  ","")&amp;IF(AND(EDATE($D138,Milestones!$AA$128)&lt;=AsOfDate,IF($R138=0,$X138,IF(AND($T138&lt;&gt;"",EDATE($D138,Milestones!$AA$128)&gt;=$T138),$W138,IF(AND($S138&lt;&gt;"",EDATE($D138,Milestones!$AA$128)&gt;=$S138),$V138,$U138)))=Milestones!$AB$128),UPPER(TEXT(EDATE($D138,Milestones!$AA$128),"dd mmm yy"))&amp;" "&amp;Milestones!$AB$128&amp;" "&amp;Milestones!$AC$128&amp;";  ","")&amp;IF(AND(EDATE($D138,Milestones!$AA$129)&lt;=AsOfDate,IF($R138=0,$X138,IF(AND($T138&lt;&gt;"",EDATE($D138,Milestones!$AA$129)&gt;=$T138),$W138,IF(AND($S138&lt;&gt;"",EDATE($D138,Milestones!$AA$129)&gt;=$S138),$V138,$U138)))=Milestones!$AB$129),UPPER(TEXT(EDATE($D138,Milestones!$AA$129),"dd mmm yy"))&amp;" "&amp;Milestones!$AB$129&amp;" "&amp;Milestones!$AC$129&amp;";  ","")&amp;IF(AND(EDATE($D138,Milestones!$AA$130)&lt;=AsOfDate,IF($R138=0,$X138,IF(AND($T138&lt;&gt;"",EDATE($D138,Milestones!$AA$130)&gt;=$T138),$W138,IF(AND($S138&lt;&gt;"",EDATE($D138,Milestones!$AA$130)&gt;=$S138),$V138,$U138)))=Milestones!$AB$130),UPPER(TEXT(EDATE($D138,Milestones!$AA$130),"dd mmm yy"))&amp;" "&amp;Milestones!$AB$130&amp;" "&amp;Milestones!$AC$130&amp;";  ","")&amp;IF(AND(EDATE($D138,Milestones!$AA$131)&lt;=AsOfDate,IF($R138=0,$X138,IF(AND($T138&lt;&gt;"",EDATE($D138,Milestones!$AA$131)&gt;=$T138),$W138,IF(AND($S138&lt;&gt;"",EDATE($D138,Milestones!$AA$131)&gt;=$S138),$V138,$U138)))=Milestones!$AB$131),UPPER(TEXT(EDATE($D138,Milestones!$AA$131),"dd mmm yy"))&amp;" "&amp;Milestones!$AB$131&amp;" "&amp;Milestones!$AC$131&amp;";  ","")&amp;IF(AND(EDATE($D138,Milestones!$AA$132)&lt;=AsOfDate,IF($R138=0,$X138,IF(AND($T138&lt;&gt;"",EDATE($D138,Milestones!$AA$132)&gt;=$T138),$W138,IF(AND($S138&lt;&gt;"",EDATE($D138,Milestones!$AA$132)&gt;=$S138),$V138,$U138)))=Milestones!$AB$132),UPPER(TEXT(EDATE($D138,Milestones!$AA$132),"dd mmm yy"))&amp;" "&amp;Milestones!$AB$132&amp;" "&amp;Milestones!$AC$132&amp;";  ","")&amp;IF(AND(EDATE($D138,Milestones!$AA$133)&lt;=AsOfDate,IF($R138=0,$X138,IF(AND($T138&lt;&gt;"",EDATE($D138,Milestones!$AA$133)&gt;=$T138),$W138,IF(AND($S138&lt;&gt;"",EDATE($D138,Milestones!$AA$133)&gt;=$S138),$V138,$U138)))=Milestones!$AB$133),UPPER(TEXT(EDATE($D138,Milestones!$AA$133),"dd mmm yy"))&amp;" "&amp;Milestones!$AB$133&amp;" "&amp;Milestones!$AC$133&amp;";  ","")&amp;IF(AND(EDATE($D138,Milestones!$AA$134)&lt;=AsOfDate,IF($R138=0,$X138,IF(AND($T138&lt;&gt;"",EDATE($D138,Milestones!$AA$134)&gt;=$T138),$W138,IF(AND($S138&lt;&gt;"",EDATE($D138,Milestones!$AA$134)&gt;=$S138),$V138,$U138)))=Milestones!$AB$134),UPPER(TEXT(EDATE($D138,Milestones!$AA$134),"dd mmm yy"))&amp;" "&amp;Milestones!$AB$134&amp;" "&amp;Milestones!$AC$134&amp;";  ","")&amp;IF(AND(EDATE($D138,Milestones!$AA$135)&lt;=AsOfDate,IF($R138=0,$X138,IF(AND($T138&lt;&gt;"",EDATE($D138,Milestones!$AA$135)&gt;=$T138),$W138,IF(AND($S138&lt;&gt;"",EDATE($D138,Milestones!$AA$135)&gt;=$S138),$V138,$U138)))=Milestones!$AB$135),UPPER(TEXT(EDATE($D138,Milestones!$AA$135),"dd mmm yy"))&amp;" "&amp;Milestones!$AB$135&amp;" "&amp;Milestones!$AC$135&amp;";  ","")&amp;IF(AND(EDATE($D138,Milestones!$AA$136)&lt;=AsOfDate,IF($R138=0,$X138,IF(AND($T138&lt;&gt;"",EDATE($D138,Milestones!$AA$136)&gt;=$T138),$W138,IF(AND($S138&lt;&gt;"",EDATE($D138,Milestones!$AA$136)&gt;=$S138),$V138,$U138)))=Milestones!$AB$136),UPPER(TEXT(EDATE($D138,Milestones!$AA$136),"dd mmm yy"))&amp;" "&amp;Milestones!$AB$136&amp;" "&amp;Milestones!$AC$136&amp;";  ","")&amp;IF(AND(EDATE($D138,Milestones!$AA$137)&lt;=AsOfDate,IF($R138=0,$X138,IF(AND($T138&lt;&gt;"",EDATE($D138,Milestones!$AA$137)&gt;=$T138),$W138,IF(AND($S138&lt;&gt;"",EDATE($D138,Milestones!$AA$137)&gt;=$S138),$V138,$U138)))=Milestones!$AB$137),UPPER(TEXT(EDATE($D138,Milestones!$AA$137),"dd mmm yy"))&amp;" "&amp;Milestones!$AB$137&amp;" "&amp;Milestones!$AC$137&amp;";  ","")&amp;IF(AND(EDATE($D138,Milestones!$AA$138)&lt;=AsOfDate,IF($R138=0,$X138,IF(AND($T138&lt;&gt;"",EDATE($D138,Milestones!$AA$138)&gt;=$T138),$W138,IF(AND($S138&lt;&gt;"",EDATE($D138,Milestones!$AA$138)&gt;=$S138),$V138,$U138)))=Milestones!$AB$138),UPPER(TEXT(EDATE($D138,Milestones!$AA$138),"dd mmm yy"))&amp;" "&amp;Milestones!$AB$138&amp;" "&amp;Milestones!$AC$138&amp;";  ","")&amp;IF(AND(EDATE($D138,Milestones!$AA$139)&lt;=AsOfDate,IF($R138=0,$X138,IF(AND($T138&lt;&gt;"",EDATE($D138,Milestones!$AA$139)&gt;=$T138),$W138,IF(AND($S138&lt;&gt;"",EDATE($D138,Milestones!$AA$139)&gt;=$S138),$V138,$U138)))=Milestones!$AB$139),UPPER(TEXT(EDATE($D138,Milestones!$AA$139),"dd mmm yy"))&amp;" "&amp;Milestones!$AB$139&amp;" "&amp;Milestones!$AC$139&amp;";  ",""))</f>
        <v/>
      </c>
      <c r="O138" s="0" t="str">
        <f aca="false">IF(OR($A138="",$D138=""),"",IF(AND(EDATE($D138,Milestones!$AA$140)&lt;=AsOfDate,IF($R138=0,$X138,IF(AND($T138&lt;&gt;"",EDATE($D138,Milestones!$AA$140)&gt;=$T138),$W138,IF(AND($S138&lt;&gt;"",EDATE($D138,Milestones!$AA$140)&gt;=$S138),$V138,$U138)))=Milestones!$AB$140),UPPER(TEXT(EDATE($D138,Milestones!$AA$140),"dd mmm yy"))&amp;" "&amp;Milestones!$AB$140&amp;" "&amp;Milestones!$AC$140&amp;";  ","")&amp;IF(AND(EDATE($D138,Milestones!$AA$141)&lt;=AsOfDate,IF($R138=0,$X138,IF(AND($T138&lt;&gt;"",EDATE($D138,Milestones!$AA$141)&gt;=$T138),$W138,IF(AND($S138&lt;&gt;"",EDATE($D138,Milestones!$AA$141)&gt;=$S138),$V138,$U138)))=Milestones!$AB$141),UPPER(TEXT(EDATE($D138,Milestones!$AA$141),"dd mmm yy"))&amp;" "&amp;Milestones!$AB$141&amp;" "&amp;Milestones!$AC$141&amp;";  ","")&amp;IF(AND(EDATE($D138,Milestones!$AA$142)&lt;=AsOfDate,IF($R138=0,$X138,IF(AND($T138&lt;&gt;"",EDATE($D138,Milestones!$AA$142)&gt;=$T138),$W138,IF(AND($S138&lt;&gt;"",EDATE($D138,Milestones!$AA$142)&gt;=$S138),$V138,$U138)))=Milestones!$AB$142),UPPER(TEXT(EDATE($D138,Milestones!$AA$142),"dd mmm yy"))&amp;" "&amp;Milestones!$AB$142&amp;" "&amp;Milestones!$AC$142&amp;";  ","")&amp;IF(AND(EDATE($D138,Milestones!$AA$143)&lt;=AsOfDate,IF($R138=0,$X138,IF(AND($T138&lt;&gt;"",EDATE($D138,Milestones!$AA$143)&gt;=$T138),$W138,IF(AND($S138&lt;&gt;"",EDATE($D138,Milestones!$AA$143)&gt;=$S138),$V138,$U138)))=Milestones!$AB$143),UPPER(TEXT(EDATE($D138,Milestones!$AA$143),"dd mmm yy"))&amp;" "&amp;Milestones!$AB$143&amp;" "&amp;Milestones!$AC$143&amp;";  ","")&amp;IF(AND(EDATE($D138,Milestones!$AA$144)&lt;=AsOfDate,IF($R138=0,$X138,IF(AND($T138&lt;&gt;"",EDATE($D138,Milestones!$AA$144)&gt;=$T138),$W138,IF(AND($S138&lt;&gt;"",EDATE($D138,Milestones!$AA$144)&gt;=$S138),$V138,$U138)))=Milestones!$AB$144),UPPER(TEXT(EDATE($D138,Milestones!$AA$144),"dd mmm yy"))&amp;" "&amp;Milestones!$AB$144&amp;" "&amp;Milestones!$AC$144&amp;";  ","")&amp;IF(AND(EDATE($D138,Milestones!$AA$145)&lt;=AsOfDate,IF($R138=0,$X138,IF(AND($T138&lt;&gt;"",EDATE($D138,Milestones!$AA$145)&gt;=$T138),$W138,IF(AND($S138&lt;&gt;"",EDATE($D138,Milestones!$AA$145)&gt;=$S138),$V138,$U138)))=Milestones!$AB$145),UPPER(TEXT(EDATE($D138,Milestones!$AA$145),"dd mmm yy"))&amp;" "&amp;Milestones!$AB$145&amp;" "&amp;Milestones!$AC$145&amp;";  ","")&amp;IF(AND(EDATE($D138,Milestones!$AA$146)&lt;=AsOfDate,IF($R138=0,$X138,IF(AND($T138&lt;&gt;"",EDATE($D138,Milestones!$AA$146)&gt;=$T138),$W138,IF(AND($S138&lt;&gt;"",EDATE($D138,Milestones!$AA$146)&gt;=$S138),$V138,$U138)))=Milestones!$AB$146),UPPER(TEXT(EDATE($D138,Milestones!$AA$146),"dd mmm yy"))&amp;" "&amp;Milestones!$AB$146&amp;" "&amp;Milestones!$AC$146&amp;";  ","")&amp;IF(AND(EDATE($D138,Milestones!$AA$147)&lt;=AsOfDate,IF($R138=0,$X138,IF(AND($T138&lt;&gt;"",EDATE($D138,Milestones!$AA$147)&gt;=$T138),$W138,IF(AND($S138&lt;&gt;"",EDATE($D138,Milestones!$AA$147)&gt;=$S138),$V138,$U138)))=Milestones!$AB$147),UPPER(TEXT(EDATE($D138,Milestones!$AA$147),"dd mmm yy"))&amp;" "&amp;Milestones!$AB$147&amp;" "&amp;Milestones!$AC$147&amp;";  ","")&amp;IF(AND(EDATE($D138,Milestones!$AA$148)&lt;=AsOfDate,IF($R138=0,$X138,IF(AND($T138&lt;&gt;"",EDATE($D138,Milestones!$AA$148)&gt;=$T138),$W138,IF(AND($S138&lt;&gt;"",EDATE($D138,Milestones!$AA$148)&gt;=$S138),$V138,$U138)))=Milestones!$AB$148),UPPER(TEXT(EDATE($D138,Milestones!$AA$148),"dd mmm yy"))&amp;" "&amp;Milestones!$AB$148&amp;" "&amp;Milestones!$AC$148&amp;";  ","")&amp;IF(AND(EDATE($D138,Milestones!$AA$149)&lt;=AsOfDate,IF($R138=0,$X138,IF(AND($T138&lt;&gt;"",EDATE($D138,Milestones!$AA$149)&gt;=$T138),$W138,IF(AND($S138&lt;&gt;"",EDATE($D138,Milestones!$AA$149)&gt;=$S138),$V138,$U138)))=Milestones!$AB$149),UPPER(TEXT(EDATE($D138,Milestones!$AA$149),"dd mmm yy"))&amp;" "&amp;Milestones!$AB$149&amp;" "&amp;Milestones!$AC$149&amp;";  ","")&amp;IF(AND(EDATE($D138,Milestones!$AA$150)&lt;=AsOfDate,IF($R138=0,$X138,IF(AND($T138&lt;&gt;"",EDATE($D138,Milestones!$AA$150)&gt;=$T138),$W138,IF(AND($S138&lt;&gt;"",EDATE($D138,Milestones!$AA$150)&gt;=$S138),$V138,$U138)))=Milestones!$AB$150),UPPER(TEXT(EDATE($D138,Milestones!$AA$150),"dd mmm yy"))&amp;" "&amp;Milestones!$AB$150&amp;" "&amp;Milestones!$AC$150&amp;";  ","")&amp;IF(AND(EDATE($D138,Milestones!$AA$151)&lt;=AsOfDate,IF($R138=0,$X138,IF(AND($T138&lt;&gt;"",EDATE($D138,Milestones!$AA$151)&gt;=$T138),$W138,IF(AND($S138&lt;&gt;"",EDATE($D138,Milestones!$AA$151)&gt;=$S138),$V138,$U138)))=Milestones!$AB$151),UPPER(TEXT(EDATE($D138,Milestones!$AA$151),"dd mmm yy"))&amp;" "&amp;Milestones!$AB$151&amp;" "&amp;Milestones!$AC$151&amp;";  ","")&amp;IF(AND(EDATE($D138,Milestones!$AA$152)&lt;=AsOfDate,IF($R138=0,$X138,IF(AND($T138&lt;&gt;"",EDATE($D138,Milestones!$AA$152)&gt;=$T138),$W138,IF(AND($S138&lt;&gt;"",EDATE($D138,Milestones!$AA$152)&gt;=$S138),$V138,$U138)))=Milestones!$AB$152),UPPER(TEXT(EDATE($D138,Milestones!$AA$152),"dd mmm yy"))&amp;" "&amp;Milestones!$AB$152&amp;" "&amp;Milestones!$AC$152&amp;";  ","")&amp;IF(AND(EDATE($D138,Milestones!$AA$153)&lt;=AsOfDate,IF($R138=0,$X138,IF(AND($T138&lt;&gt;"",EDATE($D138,Milestones!$AA$153)&gt;=$T138),$W138,IF(AND($S138&lt;&gt;"",EDATE($D138,Milestones!$AA$153)&gt;=$S138),$V138,$U138)))=Milestones!$AB$153),UPPER(TEXT(EDATE($D138,Milestones!$AA$153),"dd mmm yy"))&amp;" "&amp;Milestones!$AB$153&amp;" "&amp;Milestones!$AC$153&amp;";  ","")&amp;IF(AND(EDATE($D138,Milestones!$AA$154)&lt;=AsOfDate,IF($R138=0,$X138,IF(AND($T138&lt;&gt;"",EDATE($D138,Milestones!$AA$154)&gt;=$T138),$W138,IF(AND($S138&lt;&gt;"",EDATE($D138,Milestones!$AA$154)&gt;=$S138),$V138,$U138)))=Milestones!$AB$154),UPPER(TEXT(EDATE($D138,Milestones!$AA$154),"dd mmm yy"))&amp;" "&amp;Milestones!$AB$154&amp;" "&amp;Milestones!$AC$154&amp;";  ","")&amp;IF(AND(EDATE($D138,Milestones!$AA$155)&lt;=AsOfDate,IF($R138=0,$X138,IF(AND($T138&lt;&gt;"",EDATE($D138,Milestones!$AA$155)&gt;=$T138),$W138,IF(AND($S138&lt;&gt;"",EDATE($D138,Milestones!$AA$155)&gt;=$S138),$V138,$U138)))=Milestones!$AB$155),UPPER(TEXT(EDATE($D138,Milestones!$AA$155),"dd mmm yy"))&amp;" "&amp;Milestones!$AB$155&amp;" "&amp;Milestones!$AC$155&amp;";  ","")&amp;IF(AND(EDATE($D138,Milestones!$AA$156)&lt;=AsOfDate,IF($R138=0,$X138,IF(AND($T138&lt;&gt;"",EDATE($D138,Milestones!$AA$156)&gt;=$T138),$W138,IF(AND($S138&lt;&gt;"",EDATE($D138,Milestones!$AA$156)&gt;=$S138),$V138,$U138)))=Milestones!$AB$156),UPPER(TEXT(EDATE($D138,Milestones!$AA$156),"dd mmm yy"))&amp;" "&amp;Milestones!$AB$156&amp;" "&amp;Milestones!$AC$156&amp;";  ","")&amp;IF(AND(EDATE($D138,Milestones!$AA$157)&lt;=AsOfDate,IF($R138=0,$X138,IF(AND($T138&lt;&gt;"",EDATE($D138,Milestones!$AA$157)&gt;=$T138),$W138,IF(AND($S138&lt;&gt;"",EDATE($D138,Milestones!$AA$157)&gt;=$S138),$V138,$U138)))=Milestones!$AB$157),UPPER(TEXT(EDATE($D138,Milestones!$AA$157),"dd mmm yy"))&amp;" "&amp;Milestones!$AB$157&amp;" "&amp;Milestones!$AC$157&amp;";  ","")&amp;IF(AND(EDATE($D138,Milestones!$AA$158)&lt;=AsOfDate,IF($R138=0,$X138,IF(AND($T138&lt;&gt;"",EDATE($D138,Milestones!$AA$158)&gt;=$T138),$W138,IF(AND($S138&lt;&gt;"",EDATE($D138,Milestones!$AA$158)&gt;=$S138),$V138,$U138)))=Milestones!$AB$158),UPPER(TEXT(EDATE($D138,Milestones!$AA$158),"dd mmm yy"))&amp;" "&amp;Milestones!$AB$158&amp;" "&amp;Milestones!$AC$158&amp;";  ","")&amp;IF(AND(EDATE($D138,Milestones!$AA$159)&lt;=AsOfDate,IF($R138=0,$X138,IF(AND($T138&lt;&gt;"",EDATE($D138,Milestones!$AA$159)&gt;=$T138),$W138,IF(AND($S138&lt;&gt;"",EDATE($D138,Milestones!$AA$159)&gt;=$S138),$V138,$U138)))=Milestones!$AB$159),UPPER(TEXT(EDATE($D138,Milestones!$AA$159),"dd mmm yy"))&amp;" "&amp;Milestones!$AB$159&amp;" "&amp;Milestones!$AC$159&amp;";  ",""))</f>
        <v/>
      </c>
      <c r="P138" s="0" t="str">
        <f aca="false">IF(OR($A138="",$D138=""),"",IF(AND(EDATE($D138,Milestones!$AA$160)&lt;=AsOfDate,IF($R138=0,$X138,IF(AND($T138&lt;&gt;"",EDATE($D138,Milestones!$AA$160)&gt;=$T138),$W138,IF(AND($S138&lt;&gt;"",EDATE($D138,Milestones!$AA$160)&gt;=$S138),$V138,$U138)))=Milestones!$AB$160),UPPER(TEXT(EDATE($D138,Milestones!$AA$160),"dd mmm yy"))&amp;" "&amp;Milestones!$AB$160&amp;" "&amp;Milestones!$AC$160&amp;";  ","")&amp;IF(AND(EDATE($D138,Milestones!$AA$161)&lt;=AsOfDate,IF($R138=0,$X138,IF(AND($T138&lt;&gt;"",EDATE($D138,Milestones!$AA$161)&gt;=$T138),$W138,IF(AND($S138&lt;&gt;"",EDATE($D138,Milestones!$AA$161)&gt;=$S138),$V138,$U138)))=Milestones!$AB$161),UPPER(TEXT(EDATE($D138,Milestones!$AA$161),"dd mmm yy"))&amp;" "&amp;Milestones!$AB$161&amp;" "&amp;Milestones!$AC$161&amp;";  ","")&amp;IF(AND(EDATE($D138,Milestones!$AA$162)&lt;=AsOfDate,IF($R138=0,$X138,IF(AND($T138&lt;&gt;"",EDATE($D138,Milestones!$AA$162)&gt;=$T138),$W138,IF(AND($S138&lt;&gt;"",EDATE($D138,Milestones!$AA$162)&gt;=$S138),$V138,$U138)))=Milestones!$AB$162),UPPER(TEXT(EDATE($D138,Milestones!$AA$162),"dd mmm yy"))&amp;" "&amp;Milestones!$AB$162&amp;" "&amp;Milestones!$AC$162&amp;";  ","")&amp;IF(AND(EDATE($D138,Milestones!$AA$163)&lt;=AsOfDate,IF($R138=0,$X138,IF(AND($T138&lt;&gt;"",EDATE($D138,Milestones!$AA$163)&gt;=$T138),$W138,IF(AND($S138&lt;&gt;"",EDATE($D138,Milestones!$AA$163)&gt;=$S138),$V138,$U138)))=Milestones!$AB$163),UPPER(TEXT(EDATE($D138,Milestones!$AA$163),"dd mmm yy"))&amp;" "&amp;Milestones!$AB$163&amp;" "&amp;Milestones!$AC$163&amp;";  ","")&amp;IF(AND(EDATE($D138,Milestones!$AA$164)&lt;=AsOfDate,IF($R138=0,$X138,IF(AND($T138&lt;&gt;"",EDATE($D138,Milestones!$AA$164)&gt;=$T138),$W138,IF(AND($S138&lt;&gt;"",EDATE($D138,Milestones!$AA$164)&gt;=$S138),$V138,$U138)))=Milestones!$AB$164),UPPER(TEXT(EDATE($D138,Milestones!$AA$164),"dd mmm yy"))&amp;" "&amp;Milestones!$AB$164&amp;" "&amp;Milestones!$AC$164&amp;";  ","")&amp;IF(AND(EDATE($D138,Milestones!$AA$165)&lt;=AsOfDate,IF($R138=0,$X138,IF(AND($T138&lt;&gt;"",EDATE($D138,Milestones!$AA$165)&gt;=$T138),$W138,IF(AND($S138&lt;&gt;"",EDATE($D138,Milestones!$AA$165)&gt;=$S138),$V138,$U138)))=Milestones!$AB$165),UPPER(TEXT(EDATE($D138,Milestones!$AA$165),"dd mmm yy"))&amp;" "&amp;Milestones!$AB$165&amp;" "&amp;Milestones!$AC$165&amp;";  ","")&amp;IF(AND(EDATE($D138,Milestones!$AA$166)&lt;=AsOfDate,IF($R138=0,$X138,IF(AND($T138&lt;&gt;"",EDATE($D138,Milestones!$AA$166)&gt;=$T138),$W138,IF(AND($S138&lt;&gt;"",EDATE($D138,Milestones!$AA$166)&gt;=$S138),$V138,$U138)))=Milestones!$AB$166),UPPER(TEXT(EDATE($D138,Milestones!$AA$166),"dd mmm yy"))&amp;" "&amp;Milestones!$AB$166&amp;" "&amp;Milestones!$AC$166&amp;";  ","")&amp;IF(AND(EDATE($D138,Milestones!$AA$167)&lt;=AsOfDate,IF($R138=0,$X138,IF(AND($T138&lt;&gt;"",EDATE($D138,Milestones!$AA$167)&gt;=$T138),$W138,IF(AND($S138&lt;&gt;"",EDATE($D138,Milestones!$AA$167)&gt;=$S138),$V138,$U138)))=Milestones!$AB$167),UPPER(TEXT(EDATE($D138,Milestones!$AA$167),"dd mmm yy"))&amp;" "&amp;Milestones!$AB$167&amp;" "&amp;Milestones!$AC$167&amp;";  ","")&amp;IF(AND(EDATE($D138,Milestones!$AA$168)&lt;=AsOfDate,IF($R138=0,$X138,IF(AND($T138&lt;&gt;"",EDATE($D138,Milestones!$AA$168)&gt;=$T138),$W138,IF(AND($S138&lt;&gt;"",EDATE($D138,Milestones!$AA$168)&gt;=$S138),$V138,$U138)))=Milestones!$AB$168),UPPER(TEXT(EDATE($D138,Milestones!$AA$168),"dd mmm yy"))&amp;" "&amp;Milestones!$AB$168&amp;" "&amp;Milestones!$AC$168&amp;";  ","")&amp;IF(AND(EDATE($D138,Milestones!$AA$169)&lt;=AsOfDate,IF($R138=0,$X138,IF(AND($T138&lt;&gt;"",EDATE($D138,Milestones!$AA$169)&gt;=$T138),$W138,IF(AND($S138&lt;&gt;"",EDATE($D138,Milestones!$AA$169)&gt;=$S138),$V138,$U138)))=Milestones!$AB$169),UPPER(TEXT(EDATE($D138,Milestones!$AA$169),"dd mmm yy"))&amp;" "&amp;Milestones!$AB$169&amp;" "&amp;Milestones!$AC$169&amp;";  ","")&amp;IF(AND(EDATE($D138,Milestones!$AA$170)&lt;=AsOfDate,IF($R138=0,$X138,IF(AND($T138&lt;&gt;"",EDATE($D138,Milestones!$AA$170)&gt;=$T138),$W138,IF(AND($S138&lt;&gt;"",EDATE($D138,Milestones!$AA$170)&gt;=$S138),$V138,$U138)))=Milestones!$AB$170),UPPER(TEXT(EDATE($D138,Milestones!$AA$170),"dd mmm yy"))&amp;" "&amp;Milestones!$AB$170&amp;" "&amp;Milestones!$AC$170&amp;";  ","")&amp;IF(AND(EDATE($D138,Milestones!$AA$171)&lt;=AsOfDate,IF($R138=0,$X138,IF(AND($T138&lt;&gt;"",EDATE($D138,Milestones!$AA$171)&gt;=$T138),$W138,IF(AND($S138&lt;&gt;"",EDATE($D138,Milestones!$AA$171)&gt;=$S138),$V138,$U138)))=Milestones!$AB$171),UPPER(TEXT(EDATE($D138,Milestones!$AA$171),"dd mmm yy"))&amp;" "&amp;Milestones!$AB$171&amp;" "&amp;Milestones!$AC$171&amp;";  ","")&amp;IF(AND(EDATE($D138,Milestones!$AA$172)&lt;=AsOfDate,IF($R138=0,$X138,IF(AND($T138&lt;&gt;"",EDATE($D138,Milestones!$AA$172)&gt;=$T138),$W138,IF(AND($S138&lt;&gt;"",EDATE($D138,Milestones!$AA$172)&gt;=$S138),$V138,$U138)))=Milestones!$AB$172),UPPER(TEXT(EDATE($D138,Milestones!$AA$172),"dd mmm yy"))&amp;" "&amp;Milestones!$AB$172&amp;" "&amp;Milestones!$AC$172&amp;";  ","")&amp;IF(AND(EDATE($D138,Milestones!$AA$173)&lt;=AsOfDate,IF($R138=0,$X138,IF(AND($T138&lt;&gt;"",EDATE($D138,Milestones!$AA$173)&gt;=$T138),$W138,IF(AND($S138&lt;&gt;"",EDATE($D138,Milestones!$AA$173)&gt;=$S138),$V138,$U138)))=Milestones!$AB$173),UPPER(TEXT(EDATE($D138,Milestones!$AA$173),"dd mmm yy"))&amp;" "&amp;Milestones!$AB$173&amp;" "&amp;Milestones!$AC$173&amp;";  ","")&amp;IF(AND(EDATE($D138,Milestones!$AA$174)&lt;=AsOfDate,IF($R138=0,$X138,IF(AND($T138&lt;&gt;"",EDATE($D138,Milestones!$AA$174)&gt;=$T138),$W138,IF(AND($S138&lt;&gt;"",EDATE($D138,Milestones!$AA$174)&gt;=$S138),$V138,$U138)))=Milestones!$AB$174),UPPER(TEXT(EDATE($D138,Milestones!$AA$174),"dd mmm yy"))&amp;" "&amp;Milestones!$AB$174&amp;" "&amp;Milestones!$AC$174&amp;";  ","")&amp;IF(AND(EDATE($D138,Milestones!$AA$175)&lt;=AsOfDate,IF($R138=0,$X138,IF(AND($T138&lt;&gt;"",EDATE($D138,Milestones!$AA$175)&gt;=$T138),$W138,IF(AND($S138&lt;&gt;"",EDATE($D138,Milestones!$AA$175)&gt;=$S138),$V138,$U138)))=Milestones!$AB$175),UPPER(TEXT(EDATE($D138,Milestones!$AA$175),"dd mmm yy"))&amp;" "&amp;Milestones!$AB$175&amp;" "&amp;Milestones!$AC$175&amp;";  ","")&amp;IF(AND(EDATE($D138,Milestones!$AA$176)&lt;=AsOfDate,IF($R138=0,$X138,IF(AND($T138&lt;&gt;"",EDATE($D138,Milestones!$AA$176)&gt;=$T138),$W138,IF(AND($S138&lt;&gt;"",EDATE($D138,Milestones!$AA$176)&gt;=$S138),$V138,$U138)))=Milestones!$AB$176),UPPER(TEXT(EDATE($D138,Milestones!$AA$176),"dd mmm yy"))&amp;" "&amp;Milestones!$AB$176&amp;" "&amp;Milestones!$AC$176&amp;";  ","")&amp;IF(AND(EDATE($D138,Milestones!$AA$177)&lt;=AsOfDate,IF($R138=0,$X138,IF(AND($T138&lt;&gt;"",EDATE($D138,Milestones!$AA$177)&gt;=$T138),$W138,IF(AND($S138&lt;&gt;"",EDATE($D138,Milestones!$AA$177)&gt;=$S138),$V138,$U138)))=Milestones!$AB$177),UPPER(TEXT(EDATE($D138,Milestones!$AA$177),"dd mmm yy"))&amp;" "&amp;Milestones!$AB$177&amp;" "&amp;Milestones!$AC$177&amp;";  ","")&amp;IF(AND(EDATE($D138,Milestones!$AA$178)&lt;=AsOfDate,IF($R138=0,$X138,IF(AND($T138&lt;&gt;"",EDATE($D138,Milestones!$AA$178)&gt;=$T138),$W138,IF(AND($S138&lt;&gt;"",EDATE($D138,Milestones!$AA$178)&gt;=$S138),$V138,$U138)))=Milestones!$AB$178),UPPER(TEXT(EDATE($D138,Milestones!$AA$178),"dd mmm yy"))&amp;" "&amp;Milestones!$AB$178&amp;" "&amp;Milestones!$AC$178&amp;";  ","")&amp;IF(AND(EDATE($D138,Milestones!$AA$179)&lt;=AsOfDate,IF($R138=0,$X138,IF(AND($T138&lt;&gt;"",EDATE($D138,Milestones!$AA$179)&gt;=$T138),$W138,IF(AND($S138&lt;&gt;"",EDATE($D138,Milestones!$AA$179)&gt;=$S138),$V138,$U138)))=Milestones!$AB$179),UPPER(TEXT(EDATE($D138,Milestones!$AA$179),"dd mmm yy"))&amp;" "&amp;Milestones!$AB$179&amp;" "&amp;Milestones!$AC$179&amp;";  ",""))</f>
        <v/>
      </c>
      <c r="Q138" s="0" t="str">
        <f aca="false">IF(OR($A138="",$D138=""),"",IF(AND(EDATE($D138,Milestones!$AA$180)&lt;=AsOfDate,IF($R138=0,$X138,IF(AND($T138&lt;&gt;"",EDATE($D138,Milestones!$AA$180)&gt;=$T138),$W138,IF(AND($S138&lt;&gt;"",EDATE($D138,Milestones!$AA$180)&gt;=$S138),$V138,$U138)))=Milestones!$AB$180),UPPER(TEXT(EDATE($D138,Milestones!$AA$180),"dd mmm yy"))&amp;" "&amp;Milestones!$AB$180&amp;" "&amp;Milestones!$AC$180&amp;";  ","")&amp;IF(AND(EDATE($D138,Milestones!$AA$181)&lt;=AsOfDate,IF($R138=0,$X138,IF(AND($T138&lt;&gt;"",EDATE($D138,Milestones!$AA$181)&gt;=$T138),$W138,IF(AND($S138&lt;&gt;"",EDATE($D138,Milestones!$AA$181)&gt;=$S138),$V138,$U138)))=Milestones!$AB$181),UPPER(TEXT(EDATE($D138,Milestones!$AA$181),"dd mmm yy"))&amp;" "&amp;Milestones!$AB$181&amp;" "&amp;Milestones!$AC$181&amp;";  ","")&amp;IF(AND(EDATE($D138,Milestones!$AA$182)&lt;=AsOfDate,IF($R138=0,$X138,IF(AND($T138&lt;&gt;"",EDATE($D138,Milestones!$AA$182)&gt;=$T138),$W138,IF(AND($S138&lt;&gt;"",EDATE($D138,Milestones!$AA$182)&gt;=$S138),$V138,$U138)))=Milestones!$AB$182),UPPER(TEXT(EDATE($D138,Milestones!$AA$182),"dd mmm yy"))&amp;" "&amp;Milestones!$AB$182&amp;" "&amp;Milestones!$AC$182&amp;";  ","")&amp;IF(AND(EDATE($D138,Milestones!$AA$183)&lt;=AsOfDate,IF($R138=0,$X138,IF(AND($T138&lt;&gt;"",EDATE($D138,Milestones!$AA$183)&gt;=$T138),$W138,IF(AND($S138&lt;&gt;"",EDATE($D138,Milestones!$AA$183)&gt;=$S138),$V138,$U138)))=Milestones!$AB$183),UPPER(TEXT(EDATE($D138,Milestones!$AA$183),"dd mmm yy"))&amp;" "&amp;Milestones!$AB$183&amp;" "&amp;Milestones!$AC$183&amp;";  ","")&amp;IF(AND(EDATE($D138,Milestones!$AA$184)&lt;=AsOfDate,IF($R138=0,$X138,IF(AND($T138&lt;&gt;"",EDATE($D138,Milestones!$AA$184)&gt;=$T138),$W138,IF(AND($S138&lt;&gt;"",EDATE($D138,Milestones!$AA$184)&gt;=$S138),$V138,$U138)))=Milestones!$AB$184),UPPER(TEXT(EDATE($D138,Milestones!$AA$184),"dd mmm yy"))&amp;" "&amp;Milestones!$AB$184&amp;" "&amp;Milestones!$AC$184&amp;";  ","")&amp;IF(AND(EDATE($D138,Milestones!$AA$185)&lt;=AsOfDate,IF($R138=0,$X138,IF(AND($T138&lt;&gt;"",EDATE($D138,Milestones!$AA$185)&gt;=$T138),$W138,IF(AND($S138&lt;&gt;"",EDATE($D138,Milestones!$AA$185)&gt;=$S138),$V138,$U138)))=Milestones!$AB$185),UPPER(TEXT(EDATE($D138,Milestones!$AA$185),"dd mmm yy"))&amp;" "&amp;Milestones!$AB$185&amp;" "&amp;Milestones!$AC$185&amp;";  ","")&amp;IF(AND(EDATE($D138,Milestones!$AA$186)&lt;=AsOfDate,IF($R138=0,$X138,IF(AND($T138&lt;&gt;"",EDATE($D138,Milestones!$AA$186)&gt;=$T138),$W138,IF(AND($S138&lt;&gt;"",EDATE($D138,Milestones!$AA$186)&gt;=$S138),$V138,$U138)))=Milestones!$AB$186),UPPER(TEXT(EDATE($D138,Milestones!$AA$186),"dd mmm yy"))&amp;" "&amp;Milestones!$AB$186&amp;" "&amp;Milestones!$AC$186&amp;";  ","")&amp;IF(AND(EDATE($D138,Milestones!$AA$187)&lt;=AsOfDate,IF($R138=0,$X138,IF(AND($T138&lt;&gt;"",EDATE($D138,Milestones!$AA$187)&gt;=$T138),$W138,IF(AND($S138&lt;&gt;"",EDATE($D138,Milestones!$AA$187)&gt;=$S138),$V138,$U138)))=Milestones!$AB$187),UPPER(TEXT(EDATE($D138,Milestones!$AA$187),"dd mmm yy"))&amp;" "&amp;Milestones!$AB$187&amp;" "&amp;Milestones!$AC$187&amp;";  ","")&amp;IF(AND(EDATE($D138,Milestones!$AA$188)&lt;=AsOfDate,IF($R138=0,$X138,IF(AND($T138&lt;&gt;"",EDATE($D138,Milestones!$AA$188)&gt;=$T138),$W138,IF(AND($S138&lt;&gt;"",EDATE($D138,Milestones!$AA$188)&gt;=$S138),$V138,$U138)))=Milestones!$AB$188),UPPER(TEXT(EDATE($D138,Milestones!$AA$188),"dd mmm yy"))&amp;" "&amp;Milestones!$AB$188&amp;" "&amp;Milestones!$AC$188&amp;";  ","")&amp;IF(AND(EDATE($D138,Milestones!$AA$189)&lt;=AsOfDate,IF($R138=0,$X138,IF(AND($T138&lt;&gt;"",EDATE($D138,Milestones!$AA$189)&gt;=$T138),$W138,IF(AND($S138&lt;&gt;"",EDATE($D138,Milestones!$AA$189)&gt;=$S138),$V138,$U138)))=Milestones!$AB$189),UPPER(TEXT(EDATE($D138,Milestones!$AA$189),"dd mmm yy"))&amp;" "&amp;Milestones!$AB$189&amp;" "&amp;Milestones!$AC$189&amp;";  ","")&amp;IF(AND(EDATE($D138,Milestones!$AA$190)&lt;=AsOfDate,IF($R138=0,$X138,IF(AND($T138&lt;&gt;"",EDATE($D138,Milestones!$AA$190)&gt;=$T138),$W138,IF(AND($S138&lt;&gt;"",EDATE($D138,Milestones!$AA$190)&gt;=$S138),$V138,$U138)))=Milestones!$AB$190),UPPER(TEXT(EDATE($D138,Milestones!$AA$190),"dd mmm yy"))&amp;" "&amp;Milestones!$AB$190&amp;" "&amp;Milestones!$AC$190&amp;";  ","")&amp;IF(AND(EDATE($D138,Milestones!$AA$191)&lt;=AsOfDate,IF($R138=0,$X138,IF(AND($T138&lt;&gt;"",EDATE($D138,Milestones!$AA$191)&gt;=$T138),$W138,IF(AND($S138&lt;&gt;"",EDATE($D138,Milestones!$AA$191)&gt;=$S138),$V138,$U138)))=Milestones!$AB$191),UPPER(TEXT(EDATE($D138,Milestones!$AA$191),"dd mmm yy"))&amp;" "&amp;Milestones!$AB$191&amp;" "&amp;Milestones!$AC$191&amp;";  ","")&amp;IF(AND(EDATE($D138,Milestones!$AA$192)&lt;=AsOfDate,IF($R138=0,$X138,IF(AND($T138&lt;&gt;"",EDATE($D138,Milestones!$AA$192)&gt;=$T138),$W138,IF(AND($S138&lt;&gt;"",EDATE($D138,Milestones!$AA$192)&gt;=$S138),$V138,$U138)))=Milestones!$AB$192),UPPER(TEXT(EDATE($D138,Milestones!$AA$192),"dd mmm yy"))&amp;" "&amp;Milestones!$AB$192&amp;" "&amp;Milestones!$AC$192&amp;";  ","")&amp;IF(AND(EDATE($D138,Milestones!$AA$193)&lt;=AsOfDate,IF($R138=0,$X138,IF(AND($T138&lt;&gt;"",EDATE($D138,Milestones!$AA$193)&gt;=$T138),$W138,IF(AND($S138&lt;&gt;"",EDATE($D138,Milestones!$AA$193)&gt;=$S138),$V138,$U138)))=Milestones!$AB$193),UPPER(TEXT(EDATE($D138,Milestones!$AA$193),"dd mmm yy"))&amp;" "&amp;Milestones!$AB$193&amp;" "&amp;Milestones!$AC$193&amp;";  ","")&amp;IF(AND(EDATE($D138,Milestones!$AA$194)&lt;=AsOfDate,IF($R138=0,$X138,IF(AND($T138&lt;&gt;"",EDATE($D138,Milestones!$AA$194)&gt;=$T138),$W138,IF(AND($S138&lt;&gt;"",EDATE($D138,Milestones!$AA$194)&gt;=$S138),$V138,$U138)))=Milestones!$AB$194),UPPER(TEXT(EDATE($D138,Milestones!$AA$194),"dd mmm yy"))&amp;" "&amp;Milestones!$AB$194&amp;" "&amp;Milestones!$AC$194&amp;";  ","")&amp;IF(AND(EDATE($D138,Milestones!$AA$195)&lt;=AsOfDate,IF($R138=0,$X138,IF(AND($T138&lt;&gt;"",EDATE($D138,Milestones!$AA$195)&gt;=$T138),$W138,IF(AND($S138&lt;&gt;"",EDATE($D138,Milestones!$AA$195)&gt;=$S138),$V138,$U138)))=Milestones!$AB$195),UPPER(TEXT(EDATE($D138,Milestones!$AA$195),"dd mmm yy"))&amp;" "&amp;Milestones!$AB$195&amp;" "&amp;Milestones!$AC$195&amp;";  ","")&amp;IF(AND(EDATE($D138,Milestones!$AA$196)&lt;=AsOfDate,IF($R138=0,$X138,IF(AND($T138&lt;&gt;"",EDATE($D138,Milestones!$AA$196)&gt;=$T138),$W138,IF(AND($S138&lt;&gt;"",EDATE($D138,Milestones!$AA$196)&gt;=$S138),$V138,$U138)))=Milestones!$AB$196),UPPER(TEXT(EDATE($D138,Milestones!$AA$196),"dd mmm yy"))&amp;" "&amp;Milestones!$AB$196&amp;" "&amp;Milestones!$AC$196&amp;";  ","")&amp;IF(AND(EDATE($D138,Milestones!$AA$197)&lt;=AsOfDate,IF($R138=0,$X138,IF(AND($T138&lt;&gt;"",EDATE($D138,Milestones!$AA$197)&gt;=$T138),$W138,IF(AND($S138&lt;&gt;"",EDATE($D138,Milestones!$AA$197)&gt;=$S138),$V138,$U138)))=Milestones!$AB$197),UPPER(TEXT(EDATE($D138,Milestones!$AA$197),"dd mmm yy"))&amp;" "&amp;Milestones!$AB$197&amp;" "&amp;Milestones!$AC$197&amp;";  ","")&amp;IF(AND(EDATE($D138,Milestones!$AA$198)&lt;=AsOfDate,IF($R138=0,$X138,IF(AND($T138&lt;&gt;"",EDATE($D138,Milestones!$AA$198)&gt;=$T138),$W138,IF(AND($S138&lt;&gt;"",EDATE($D138,Milestones!$AA$198)&gt;=$S138),$V138,$U138)))=Milestones!$AB$198),UPPER(TEXT(EDATE($D138,Milestones!$AA$198),"dd mmm yy"))&amp;" "&amp;Milestones!$AB$198&amp;" "&amp;Milestones!$AC$198&amp;";  ","")&amp;IF(AND(EDATE($D138,Milestones!$AA$199)&lt;=AsOfDate,IF($R138=0,$X138,IF(AND($T138&lt;&gt;"",EDATE($D138,Milestones!$AA$199)&gt;=$T138),$W138,IF(AND($S138&lt;&gt;"",EDATE($D138,Milestones!$AA$199)&gt;=$S138),$V138,$U138)))=Milestones!$AB$199),UPPER(TEXT(EDATE($D138,Milestones!$AA$199),"dd mmm yy"))&amp;" "&amp;Milestones!$AB$199&amp;" "&amp;Milestones!$AC$199&amp;";  ",""))</f>
        <v/>
      </c>
      <c r="R138" s="0" t="str">
        <f aca="false">IF(Staff!$A138="","",Staff!$AI138)</f>
        <v/>
      </c>
      <c r="S138" s="0" t="str">
        <f aca="false">IF(Staff!$A138="","",Staff!$AK138)</f>
        <v/>
      </c>
      <c r="T138" s="0" t="str">
        <f aca="false">IF(Staff!$A138="","",Staff!$AL138)</f>
        <v/>
      </c>
      <c r="U138" s="0" t="str">
        <f aca="false">IF(Staff!$A138="","",Staff!$AP138)</f>
        <v/>
      </c>
      <c r="V138" s="0" t="str">
        <f aca="false">IF(Staff!$A138="","",Staff!$AQ138)</f>
        <v/>
      </c>
      <c r="W138" s="0" t="str">
        <f aca="false">IF(Staff!$A138="","",Staff!$AR138)</f>
        <v/>
      </c>
      <c r="X138" s="0" t="str">
        <f aca="false">IF(Staff!$A138="","",Staff!$AS138)</f>
        <v/>
      </c>
    </row>
    <row r="139" customFormat="false" ht="15" hidden="false" customHeight="false" outlineLevel="0" collapsed="false">
      <c r="A139" s="19" t="str">
        <f aca="false">IF(Staff!$A139="","",Staff!$A139)</f>
        <v/>
      </c>
      <c r="B139" s="19" t="str">
        <f aca="false">IF(Staff!$A139="","",Staff!$B139)</f>
        <v/>
      </c>
      <c r="C139" s="19" t="str">
        <f aca="false">IF(Staff!$A139="","",Staff!$C139)</f>
        <v/>
      </c>
      <c r="D139" s="17" t="str">
        <f aca="false">IF(Staff!$A139="","",Staff!$AH139)</f>
        <v/>
      </c>
      <c r="E139" s="19" t="str">
        <f aca="false">IF(Staff!$A139="","",Staff!$O139)</f>
        <v/>
      </c>
      <c r="F139" s="19" t="str">
        <f aca="false">IF(E139="","",E139*HoursPerDay)</f>
        <v/>
      </c>
      <c r="G139" s="19" t="str">
        <f aca="false">IF(Staff!$A139="","",Staff!$AE139)</f>
        <v/>
      </c>
      <c r="H139" s="32" t="str">
        <f aca="false">IF($A139="","",I139&amp;J139&amp;K139&amp;L139&amp;M139&amp;N139&amp;O139&amp;P139&amp;Q139)</f>
        <v/>
      </c>
      <c r="I139" s="0" t="str">
        <f aca="false">IF(OR($A139="",$D139=""),"",IF(AND(EDATE($D139,Milestones!$AA$20)&lt;=AsOfDate,IF($R139=0,$X139,IF(AND($T139&lt;&gt;"",EDATE($D139,Milestones!$AA$20)&gt;=$T139),$W139,IF(AND($S139&lt;&gt;"",EDATE($D139,Milestones!$AA$20)&gt;=$S139),$V139,$U139)))=Milestones!$AB$20),UPPER(TEXT(EDATE($D139,Milestones!$AA$20),"dd mmm yy"))&amp;" "&amp;Milestones!$AB$20&amp;" "&amp;Milestones!$AC$20&amp;";  ","")&amp;IF(AND(EDATE($D139,Milestones!$AA$21)&lt;=AsOfDate,IF($R139=0,$X139,IF(AND($T139&lt;&gt;"",EDATE($D139,Milestones!$AA$21)&gt;=$T139),$W139,IF(AND($S139&lt;&gt;"",EDATE($D139,Milestones!$AA$21)&gt;=$S139),$V139,$U139)))=Milestones!$AB$21),UPPER(TEXT(EDATE($D139,Milestones!$AA$21),"dd mmm yy"))&amp;" "&amp;Milestones!$AB$21&amp;" "&amp;Milestones!$AC$21&amp;";  ","")&amp;IF(AND(EDATE($D139,Milestones!$AA$22)&lt;=AsOfDate,IF($R139=0,$X139,IF(AND($T139&lt;&gt;"",EDATE($D139,Milestones!$AA$22)&gt;=$T139),$W139,IF(AND($S139&lt;&gt;"",EDATE($D139,Milestones!$AA$22)&gt;=$S139),$V139,$U139)))=Milestones!$AB$22),UPPER(TEXT(EDATE($D139,Milestones!$AA$22),"dd mmm yy"))&amp;" "&amp;Milestones!$AB$22&amp;" "&amp;Milestones!$AC$22&amp;";  ","")&amp;IF(AND(EDATE($D139,Milestones!$AA$23)&lt;=AsOfDate,IF($R139=0,$X139,IF(AND($T139&lt;&gt;"",EDATE($D139,Milestones!$AA$23)&gt;=$T139),$W139,IF(AND($S139&lt;&gt;"",EDATE($D139,Milestones!$AA$23)&gt;=$S139),$V139,$U139)))=Milestones!$AB$23),UPPER(TEXT(EDATE($D139,Milestones!$AA$23),"dd mmm yy"))&amp;" "&amp;Milestones!$AB$23&amp;" "&amp;Milestones!$AC$23&amp;";  ","")&amp;IF(AND(EDATE($D139,Milestones!$AA$24)&lt;=AsOfDate,IF($R139=0,$X139,IF(AND($T139&lt;&gt;"",EDATE($D139,Milestones!$AA$24)&gt;=$T139),$W139,IF(AND($S139&lt;&gt;"",EDATE($D139,Milestones!$AA$24)&gt;=$S139),$V139,$U139)))=Milestones!$AB$24),UPPER(TEXT(EDATE($D139,Milestones!$AA$24),"dd mmm yy"))&amp;" "&amp;Milestones!$AB$24&amp;" "&amp;Milestones!$AC$24&amp;";  ","")&amp;IF(AND(EDATE($D139,Milestones!$AA$25)&lt;=AsOfDate,IF($R139=0,$X139,IF(AND($T139&lt;&gt;"",EDATE($D139,Milestones!$AA$25)&gt;=$T139),$W139,IF(AND($S139&lt;&gt;"",EDATE($D139,Milestones!$AA$25)&gt;=$S139),$V139,$U139)))=Milestones!$AB$25),UPPER(TEXT(EDATE($D139,Milestones!$AA$25),"dd mmm yy"))&amp;" "&amp;Milestones!$AB$25&amp;" "&amp;Milestones!$AC$25&amp;";  ","")&amp;IF(AND(EDATE($D139,Milestones!$AA$26)&lt;=AsOfDate,IF($R139=0,$X139,IF(AND($T139&lt;&gt;"",EDATE($D139,Milestones!$AA$26)&gt;=$T139),$W139,IF(AND($S139&lt;&gt;"",EDATE($D139,Milestones!$AA$26)&gt;=$S139),$V139,$U139)))=Milestones!$AB$26),UPPER(TEXT(EDATE($D139,Milestones!$AA$26),"dd mmm yy"))&amp;" "&amp;Milestones!$AB$26&amp;" "&amp;Milestones!$AC$26&amp;";  ","")&amp;IF(AND(EDATE($D139,Milestones!$AA$27)&lt;=AsOfDate,IF($R139=0,$X139,IF(AND($T139&lt;&gt;"",EDATE($D139,Milestones!$AA$27)&gt;=$T139),$W139,IF(AND($S139&lt;&gt;"",EDATE($D139,Milestones!$AA$27)&gt;=$S139),$V139,$U139)))=Milestones!$AB$27),UPPER(TEXT(EDATE($D139,Milestones!$AA$27),"dd mmm yy"))&amp;" "&amp;Milestones!$AB$27&amp;" "&amp;Milestones!$AC$27&amp;";  ","")&amp;IF(AND(EDATE($D139,Milestones!$AA$28)&lt;=AsOfDate,IF($R139=0,$X139,IF(AND($T139&lt;&gt;"",EDATE($D139,Milestones!$AA$28)&gt;=$T139),$W139,IF(AND($S139&lt;&gt;"",EDATE($D139,Milestones!$AA$28)&gt;=$S139),$V139,$U139)))=Milestones!$AB$28),UPPER(TEXT(EDATE($D139,Milestones!$AA$28),"dd mmm yy"))&amp;" "&amp;Milestones!$AB$28&amp;" "&amp;Milestones!$AC$28&amp;";  ","")&amp;IF(AND(EDATE($D139,Milestones!$AA$29)&lt;=AsOfDate,IF($R139=0,$X139,IF(AND($T139&lt;&gt;"",EDATE($D139,Milestones!$AA$29)&gt;=$T139),$W139,IF(AND($S139&lt;&gt;"",EDATE($D139,Milestones!$AA$29)&gt;=$S139),$V139,$U139)))=Milestones!$AB$29),UPPER(TEXT(EDATE($D139,Milestones!$AA$29),"dd mmm yy"))&amp;" "&amp;Milestones!$AB$29&amp;" "&amp;Milestones!$AC$29&amp;";  ","")&amp;IF(AND(EDATE($D139,Milestones!$AA$30)&lt;=AsOfDate,IF($R139=0,$X139,IF(AND($T139&lt;&gt;"",EDATE($D139,Milestones!$AA$30)&gt;=$T139),$W139,IF(AND($S139&lt;&gt;"",EDATE($D139,Milestones!$AA$30)&gt;=$S139),$V139,$U139)))=Milestones!$AB$30),UPPER(TEXT(EDATE($D139,Milestones!$AA$30),"dd mmm yy"))&amp;" "&amp;Milestones!$AB$30&amp;" "&amp;Milestones!$AC$30&amp;";  ","")&amp;IF(AND(EDATE($D139,Milestones!$AA$31)&lt;=AsOfDate,IF($R139=0,$X139,IF(AND($T139&lt;&gt;"",EDATE($D139,Milestones!$AA$31)&gt;=$T139),$W139,IF(AND($S139&lt;&gt;"",EDATE($D139,Milestones!$AA$31)&gt;=$S139),$V139,$U139)))=Milestones!$AB$31),UPPER(TEXT(EDATE($D139,Milestones!$AA$31),"dd mmm yy"))&amp;" "&amp;Milestones!$AB$31&amp;" "&amp;Milestones!$AC$31&amp;";  ","")&amp;IF(AND(EDATE($D139,Milestones!$AA$32)&lt;=AsOfDate,IF($R139=0,$X139,IF(AND($T139&lt;&gt;"",EDATE($D139,Milestones!$AA$32)&gt;=$T139),$W139,IF(AND($S139&lt;&gt;"",EDATE($D139,Milestones!$AA$32)&gt;=$S139),$V139,$U139)))=Milestones!$AB$32),UPPER(TEXT(EDATE($D139,Milestones!$AA$32),"dd mmm yy"))&amp;" "&amp;Milestones!$AB$32&amp;" "&amp;Milestones!$AC$32&amp;";  ","")&amp;IF(AND(EDATE($D139,Milestones!$AA$33)&lt;=AsOfDate,IF($R139=0,$X139,IF(AND($T139&lt;&gt;"",EDATE($D139,Milestones!$AA$33)&gt;=$T139),$W139,IF(AND($S139&lt;&gt;"",EDATE($D139,Milestones!$AA$33)&gt;=$S139),$V139,$U139)))=Milestones!$AB$33),UPPER(TEXT(EDATE($D139,Milestones!$AA$33),"dd mmm yy"))&amp;" "&amp;Milestones!$AB$33&amp;" "&amp;Milestones!$AC$33&amp;";  ","")&amp;IF(AND(EDATE($D139,Milestones!$AA$34)&lt;=AsOfDate,IF($R139=0,$X139,IF(AND($T139&lt;&gt;"",EDATE($D139,Milestones!$AA$34)&gt;=$T139),$W139,IF(AND($S139&lt;&gt;"",EDATE($D139,Milestones!$AA$34)&gt;=$S139),$V139,$U139)))=Milestones!$AB$34),UPPER(TEXT(EDATE($D139,Milestones!$AA$34),"dd mmm yy"))&amp;" "&amp;Milestones!$AB$34&amp;" "&amp;Milestones!$AC$34&amp;";  ","")&amp;IF(AND(EDATE($D139,Milestones!$AA$35)&lt;=AsOfDate,IF($R139=0,$X139,IF(AND($T139&lt;&gt;"",EDATE($D139,Milestones!$AA$35)&gt;=$T139),$W139,IF(AND($S139&lt;&gt;"",EDATE($D139,Milestones!$AA$35)&gt;=$S139),$V139,$U139)))=Milestones!$AB$35),UPPER(TEXT(EDATE($D139,Milestones!$AA$35),"dd mmm yy"))&amp;" "&amp;Milestones!$AB$35&amp;" "&amp;Milestones!$AC$35&amp;";  ","")&amp;IF(AND(EDATE($D139,Milestones!$AA$36)&lt;=AsOfDate,IF($R139=0,$X139,IF(AND($T139&lt;&gt;"",EDATE($D139,Milestones!$AA$36)&gt;=$T139),$W139,IF(AND($S139&lt;&gt;"",EDATE($D139,Milestones!$AA$36)&gt;=$S139),$V139,$U139)))=Milestones!$AB$36),UPPER(TEXT(EDATE($D139,Milestones!$AA$36),"dd mmm yy"))&amp;" "&amp;Milestones!$AB$36&amp;" "&amp;Milestones!$AC$36&amp;";  ","")&amp;IF(AND(EDATE($D139,Milestones!$AA$37)&lt;=AsOfDate,IF($R139=0,$X139,IF(AND($T139&lt;&gt;"",EDATE($D139,Milestones!$AA$37)&gt;=$T139),$W139,IF(AND($S139&lt;&gt;"",EDATE($D139,Milestones!$AA$37)&gt;=$S139),$V139,$U139)))=Milestones!$AB$37),UPPER(TEXT(EDATE($D139,Milestones!$AA$37),"dd mmm yy"))&amp;" "&amp;Milestones!$AB$37&amp;" "&amp;Milestones!$AC$37&amp;";  ","")&amp;IF(AND(EDATE($D139,Milestones!$AA$38)&lt;=AsOfDate,IF($R139=0,$X139,IF(AND($T139&lt;&gt;"",EDATE($D139,Milestones!$AA$38)&gt;=$T139),$W139,IF(AND($S139&lt;&gt;"",EDATE($D139,Milestones!$AA$38)&gt;=$S139),$V139,$U139)))=Milestones!$AB$38),UPPER(TEXT(EDATE($D139,Milestones!$AA$38),"dd mmm yy"))&amp;" "&amp;Milestones!$AB$38&amp;" "&amp;Milestones!$AC$38&amp;";  ","")&amp;IF(AND(EDATE($D139,Milestones!$AA$39)&lt;=AsOfDate,IF($R139=0,$X139,IF(AND($T139&lt;&gt;"",EDATE($D139,Milestones!$AA$39)&gt;=$T139),$W139,IF(AND($S139&lt;&gt;"",EDATE($D139,Milestones!$AA$39)&gt;=$S139),$V139,$U139)))=Milestones!$AB$39),UPPER(TEXT(EDATE($D139,Milestones!$AA$39),"dd mmm yy"))&amp;" "&amp;Milestones!$AB$39&amp;" "&amp;Milestones!$AC$39&amp;";  ",""))</f>
        <v/>
      </c>
      <c r="J139" s="0" t="str">
        <f aca="false">IF(OR($A139="",$D139=""),"",IF(AND(EDATE($D139,Milestones!$AA$40)&lt;=AsOfDate,IF($R139=0,$X139,IF(AND($T139&lt;&gt;"",EDATE($D139,Milestones!$AA$40)&gt;=$T139),$W139,IF(AND($S139&lt;&gt;"",EDATE($D139,Milestones!$AA$40)&gt;=$S139),$V139,$U139)))=Milestones!$AB$40),UPPER(TEXT(EDATE($D139,Milestones!$AA$40),"dd mmm yy"))&amp;" "&amp;Milestones!$AB$40&amp;" "&amp;Milestones!$AC$40&amp;";  ","")&amp;IF(AND(EDATE($D139,Milestones!$AA$41)&lt;=AsOfDate,IF($R139=0,$X139,IF(AND($T139&lt;&gt;"",EDATE($D139,Milestones!$AA$41)&gt;=$T139),$W139,IF(AND($S139&lt;&gt;"",EDATE($D139,Milestones!$AA$41)&gt;=$S139),$V139,$U139)))=Milestones!$AB$41),UPPER(TEXT(EDATE($D139,Milestones!$AA$41),"dd mmm yy"))&amp;" "&amp;Milestones!$AB$41&amp;" "&amp;Milestones!$AC$41&amp;";  ","")&amp;IF(AND(EDATE($D139,Milestones!$AA$42)&lt;=AsOfDate,IF($R139=0,$X139,IF(AND($T139&lt;&gt;"",EDATE($D139,Milestones!$AA$42)&gt;=$T139),$W139,IF(AND($S139&lt;&gt;"",EDATE($D139,Milestones!$AA$42)&gt;=$S139),$V139,$U139)))=Milestones!$AB$42),UPPER(TEXT(EDATE($D139,Milestones!$AA$42),"dd mmm yy"))&amp;" "&amp;Milestones!$AB$42&amp;" "&amp;Milestones!$AC$42&amp;";  ","")&amp;IF(AND(EDATE($D139,Milestones!$AA$43)&lt;=AsOfDate,IF($R139=0,$X139,IF(AND($T139&lt;&gt;"",EDATE($D139,Milestones!$AA$43)&gt;=$T139),$W139,IF(AND($S139&lt;&gt;"",EDATE($D139,Milestones!$AA$43)&gt;=$S139),$V139,$U139)))=Milestones!$AB$43),UPPER(TEXT(EDATE($D139,Milestones!$AA$43),"dd mmm yy"))&amp;" "&amp;Milestones!$AB$43&amp;" "&amp;Milestones!$AC$43&amp;";  ","")&amp;IF(AND(EDATE($D139,Milestones!$AA$44)&lt;=AsOfDate,IF($R139=0,$X139,IF(AND($T139&lt;&gt;"",EDATE($D139,Milestones!$AA$44)&gt;=$T139),$W139,IF(AND($S139&lt;&gt;"",EDATE($D139,Milestones!$AA$44)&gt;=$S139),$V139,$U139)))=Milestones!$AB$44),UPPER(TEXT(EDATE($D139,Milestones!$AA$44),"dd mmm yy"))&amp;" "&amp;Milestones!$AB$44&amp;" "&amp;Milestones!$AC$44&amp;";  ","")&amp;IF(AND(EDATE($D139,Milestones!$AA$45)&lt;=AsOfDate,IF($R139=0,$X139,IF(AND($T139&lt;&gt;"",EDATE($D139,Milestones!$AA$45)&gt;=$T139),$W139,IF(AND($S139&lt;&gt;"",EDATE($D139,Milestones!$AA$45)&gt;=$S139),$V139,$U139)))=Milestones!$AB$45),UPPER(TEXT(EDATE($D139,Milestones!$AA$45),"dd mmm yy"))&amp;" "&amp;Milestones!$AB$45&amp;" "&amp;Milestones!$AC$45&amp;";  ","")&amp;IF(AND(EDATE($D139,Milestones!$AA$46)&lt;=AsOfDate,IF($R139=0,$X139,IF(AND($T139&lt;&gt;"",EDATE($D139,Milestones!$AA$46)&gt;=$T139),$W139,IF(AND($S139&lt;&gt;"",EDATE($D139,Milestones!$AA$46)&gt;=$S139),$V139,$U139)))=Milestones!$AB$46),UPPER(TEXT(EDATE($D139,Milestones!$AA$46),"dd mmm yy"))&amp;" "&amp;Milestones!$AB$46&amp;" "&amp;Milestones!$AC$46&amp;";  ","")&amp;IF(AND(EDATE($D139,Milestones!$AA$47)&lt;=AsOfDate,IF($R139=0,$X139,IF(AND($T139&lt;&gt;"",EDATE($D139,Milestones!$AA$47)&gt;=$T139),$W139,IF(AND($S139&lt;&gt;"",EDATE($D139,Milestones!$AA$47)&gt;=$S139),$V139,$U139)))=Milestones!$AB$47),UPPER(TEXT(EDATE($D139,Milestones!$AA$47),"dd mmm yy"))&amp;" "&amp;Milestones!$AB$47&amp;" "&amp;Milestones!$AC$47&amp;";  ","")&amp;IF(AND(EDATE($D139,Milestones!$AA$48)&lt;=AsOfDate,IF($R139=0,$X139,IF(AND($T139&lt;&gt;"",EDATE($D139,Milestones!$AA$48)&gt;=$T139),$W139,IF(AND($S139&lt;&gt;"",EDATE($D139,Milestones!$AA$48)&gt;=$S139),$V139,$U139)))=Milestones!$AB$48),UPPER(TEXT(EDATE($D139,Milestones!$AA$48),"dd mmm yy"))&amp;" "&amp;Milestones!$AB$48&amp;" "&amp;Milestones!$AC$48&amp;";  ","")&amp;IF(AND(EDATE($D139,Milestones!$AA$49)&lt;=AsOfDate,IF($R139=0,$X139,IF(AND($T139&lt;&gt;"",EDATE($D139,Milestones!$AA$49)&gt;=$T139),$W139,IF(AND($S139&lt;&gt;"",EDATE($D139,Milestones!$AA$49)&gt;=$S139),$V139,$U139)))=Milestones!$AB$49),UPPER(TEXT(EDATE($D139,Milestones!$AA$49),"dd mmm yy"))&amp;" "&amp;Milestones!$AB$49&amp;" "&amp;Milestones!$AC$49&amp;";  ","")&amp;IF(AND(EDATE($D139,Milestones!$AA$50)&lt;=AsOfDate,IF($R139=0,$X139,IF(AND($T139&lt;&gt;"",EDATE($D139,Milestones!$AA$50)&gt;=$T139),$W139,IF(AND($S139&lt;&gt;"",EDATE($D139,Milestones!$AA$50)&gt;=$S139),$V139,$U139)))=Milestones!$AB$50),UPPER(TEXT(EDATE($D139,Milestones!$AA$50),"dd mmm yy"))&amp;" "&amp;Milestones!$AB$50&amp;" "&amp;Milestones!$AC$50&amp;";  ","")&amp;IF(AND(EDATE($D139,Milestones!$AA$51)&lt;=AsOfDate,IF($R139=0,$X139,IF(AND($T139&lt;&gt;"",EDATE($D139,Milestones!$AA$51)&gt;=$T139),$W139,IF(AND($S139&lt;&gt;"",EDATE($D139,Milestones!$AA$51)&gt;=$S139),$V139,$U139)))=Milestones!$AB$51),UPPER(TEXT(EDATE($D139,Milestones!$AA$51),"dd mmm yy"))&amp;" "&amp;Milestones!$AB$51&amp;" "&amp;Milestones!$AC$51&amp;";  ","")&amp;IF(AND(EDATE($D139,Milestones!$AA$52)&lt;=AsOfDate,IF($R139=0,$X139,IF(AND($T139&lt;&gt;"",EDATE($D139,Milestones!$AA$52)&gt;=$T139),$W139,IF(AND($S139&lt;&gt;"",EDATE($D139,Milestones!$AA$52)&gt;=$S139),$V139,$U139)))=Milestones!$AB$52),UPPER(TEXT(EDATE($D139,Milestones!$AA$52),"dd mmm yy"))&amp;" "&amp;Milestones!$AB$52&amp;" "&amp;Milestones!$AC$52&amp;";  ","")&amp;IF(AND(EDATE($D139,Milestones!$AA$53)&lt;=AsOfDate,IF($R139=0,$X139,IF(AND($T139&lt;&gt;"",EDATE($D139,Milestones!$AA$53)&gt;=$T139),$W139,IF(AND($S139&lt;&gt;"",EDATE($D139,Milestones!$AA$53)&gt;=$S139),$V139,$U139)))=Milestones!$AB$53),UPPER(TEXT(EDATE($D139,Milestones!$AA$53),"dd mmm yy"))&amp;" "&amp;Milestones!$AB$53&amp;" "&amp;Milestones!$AC$53&amp;";  ","")&amp;IF(AND(EDATE($D139,Milestones!$AA$54)&lt;=AsOfDate,IF($R139=0,$X139,IF(AND($T139&lt;&gt;"",EDATE($D139,Milestones!$AA$54)&gt;=$T139),$W139,IF(AND($S139&lt;&gt;"",EDATE($D139,Milestones!$AA$54)&gt;=$S139),$V139,$U139)))=Milestones!$AB$54),UPPER(TEXT(EDATE($D139,Milestones!$AA$54),"dd mmm yy"))&amp;" "&amp;Milestones!$AB$54&amp;" "&amp;Milestones!$AC$54&amp;";  ","")&amp;IF(AND(EDATE($D139,Milestones!$AA$55)&lt;=AsOfDate,IF($R139=0,$X139,IF(AND($T139&lt;&gt;"",EDATE($D139,Milestones!$AA$55)&gt;=$T139),$W139,IF(AND($S139&lt;&gt;"",EDATE($D139,Milestones!$AA$55)&gt;=$S139),$V139,$U139)))=Milestones!$AB$55),UPPER(TEXT(EDATE($D139,Milestones!$AA$55),"dd mmm yy"))&amp;" "&amp;Milestones!$AB$55&amp;" "&amp;Milestones!$AC$55&amp;";  ","")&amp;IF(AND(EDATE($D139,Milestones!$AA$56)&lt;=AsOfDate,IF($R139=0,$X139,IF(AND($T139&lt;&gt;"",EDATE($D139,Milestones!$AA$56)&gt;=$T139),$W139,IF(AND($S139&lt;&gt;"",EDATE($D139,Milestones!$AA$56)&gt;=$S139),$V139,$U139)))=Milestones!$AB$56),UPPER(TEXT(EDATE($D139,Milestones!$AA$56),"dd mmm yy"))&amp;" "&amp;Milestones!$AB$56&amp;" "&amp;Milestones!$AC$56&amp;";  ","")&amp;IF(AND(EDATE($D139,Milestones!$AA$57)&lt;=AsOfDate,IF($R139=0,$X139,IF(AND($T139&lt;&gt;"",EDATE($D139,Milestones!$AA$57)&gt;=$T139),$W139,IF(AND($S139&lt;&gt;"",EDATE($D139,Milestones!$AA$57)&gt;=$S139),$V139,$U139)))=Milestones!$AB$57),UPPER(TEXT(EDATE($D139,Milestones!$AA$57),"dd mmm yy"))&amp;" "&amp;Milestones!$AB$57&amp;" "&amp;Milestones!$AC$57&amp;";  ","")&amp;IF(AND(EDATE($D139,Milestones!$AA$58)&lt;=AsOfDate,IF($R139=0,$X139,IF(AND($T139&lt;&gt;"",EDATE($D139,Milestones!$AA$58)&gt;=$T139),$W139,IF(AND($S139&lt;&gt;"",EDATE($D139,Milestones!$AA$58)&gt;=$S139),$V139,$U139)))=Milestones!$AB$58),UPPER(TEXT(EDATE($D139,Milestones!$AA$58),"dd mmm yy"))&amp;" "&amp;Milestones!$AB$58&amp;" "&amp;Milestones!$AC$58&amp;";  ","")&amp;IF(AND(EDATE($D139,Milestones!$AA$59)&lt;=AsOfDate,IF($R139=0,$X139,IF(AND($T139&lt;&gt;"",EDATE($D139,Milestones!$AA$59)&gt;=$T139),$W139,IF(AND($S139&lt;&gt;"",EDATE($D139,Milestones!$AA$59)&gt;=$S139),$V139,$U139)))=Milestones!$AB$59),UPPER(TEXT(EDATE($D139,Milestones!$AA$59),"dd mmm yy"))&amp;" "&amp;Milestones!$AB$59&amp;" "&amp;Milestones!$AC$59&amp;";  ",""))</f>
        <v/>
      </c>
      <c r="K139" s="0" t="str">
        <f aca="false">IF(OR($A139="",$D139=""),"",IF(AND(EDATE($D139,Milestones!$AA$60)&lt;=AsOfDate,IF($R139=0,$X139,IF(AND($T139&lt;&gt;"",EDATE($D139,Milestones!$AA$60)&gt;=$T139),$W139,IF(AND($S139&lt;&gt;"",EDATE($D139,Milestones!$AA$60)&gt;=$S139),$V139,$U139)))=Milestones!$AB$60),UPPER(TEXT(EDATE($D139,Milestones!$AA$60),"dd mmm yy"))&amp;" "&amp;Milestones!$AB$60&amp;" "&amp;Milestones!$AC$60&amp;";  ","")&amp;IF(AND(EDATE($D139,Milestones!$AA$61)&lt;=AsOfDate,IF($R139=0,$X139,IF(AND($T139&lt;&gt;"",EDATE($D139,Milestones!$AA$61)&gt;=$T139),$W139,IF(AND($S139&lt;&gt;"",EDATE($D139,Milestones!$AA$61)&gt;=$S139),$V139,$U139)))=Milestones!$AB$61),UPPER(TEXT(EDATE($D139,Milestones!$AA$61),"dd mmm yy"))&amp;" "&amp;Milestones!$AB$61&amp;" "&amp;Milestones!$AC$61&amp;";  ","")&amp;IF(AND(EDATE($D139,Milestones!$AA$62)&lt;=AsOfDate,IF($R139=0,$X139,IF(AND($T139&lt;&gt;"",EDATE($D139,Milestones!$AA$62)&gt;=$T139),$W139,IF(AND($S139&lt;&gt;"",EDATE($D139,Milestones!$AA$62)&gt;=$S139),$V139,$U139)))=Milestones!$AB$62),UPPER(TEXT(EDATE($D139,Milestones!$AA$62),"dd mmm yy"))&amp;" "&amp;Milestones!$AB$62&amp;" "&amp;Milestones!$AC$62&amp;";  ","")&amp;IF(AND(EDATE($D139,Milestones!$AA$63)&lt;=AsOfDate,IF($R139=0,$X139,IF(AND($T139&lt;&gt;"",EDATE($D139,Milestones!$AA$63)&gt;=$T139),$W139,IF(AND($S139&lt;&gt;"",EDATE($D139,Milestones!$AA$63)&gt;=$S139),$V139,$U139)))=Milestones!$AB$63),UPPER(TEXT(EDATE($D139,Milestones!$AA$63),"dd mmm yy"))&amp;" "&amp;Milestones!$AB$63&amp;" "&amp;Milestones!$AC$63&amp;";  ","")&amp;IF(AND(EDATE($D139,Milestones!$AA$64)&lt;=AsOfDate,IF($R139=0,$X139,IF(AND($T139&lt;&gt;"",EDATE($D139,Milestones!$AA$64)&gt;=$T139),$W139,IF(AND($S139&lt;&gt;"",EDATE($D139,Milestones!$AA$64)&gt;=$S139),$V139,$U139)))=Milestones!$AB$64),UPPER(TEXT(EDATE($D139,Milestones!$AA$64),"dd mmm yy"))&amp;" "&amp;Milestones!$AB$64&amp;" "&amp;Milestones!$AC$64&amp;";  ","")&amp;IF(AND(EDATE($D139,Milestones!$AA$65)&lt;=AsOfDate,IF($R139=0,$X139,IF(AND($T139&lt;&gt;"",EDATE($D139,Milestones!$AA$65)&gt;=$T139),$W139,IF(AND($S139&lt;&gt;"",EDATE($D139,Milestones!$AA$65)&gt;=$S139),$V139,$U139)))=Milestones!$AB$65),UPPER(TEXT(EDATE($D139,Milestones!$AA$65),"dd mmm yy"))&amp;" "&amp;Milestones!$AB$65&amp;" "&amp;Milestones!$AC$65&amp;";  ","")&amp;IF(AND(EDATE($D139,Milestones!$AA$66)&lt;=AsOfDate,IF($R139=0,$X139,IF(AND($T139&lt;&gt;"",EDATE($D139,Milestones!$AA$66)&gt;=$T139),$W139,IF(AND($S139&lt;&gt;"",EDATE($D139,Milestones!$AA$66)&gt;=$S139),$V139,$U139)))=Milestones!$AB$66),UPPER(TEXT(EDATE($D139,Milestones!$AA$66),"dd mmm yy"))&amp;" "&amp;Milestones!$AB$66&amp;" "&amp;Milestones!$AC$66&amp;";  ","")&amp;IF(AND(EDATE($D139,Milestones!$AA$67)&lt;=AsOfDate,IF($R139=0,$X139,IF(AND($T139&lt;&gt;"",EDATE($D139,Milestones!$AA$67)&gt;=$T139),$W139,IF(AND($S139&lt;&gt;"",EDATE($D139,Milestones!$AA$67)&gt;=$S139),$V139,$U139)))=Milestones!$AB$67),UPPER(TEXT(EDATE($D139,Milestones!$AA$67),"dd mmm yy"))&amp;" "&amp;Milestones!$AB$67&amp;" "&amp;Milestones!$AC$67&amp;";  ","")&amp;IF(AND(EDATE($D139,Milestones!$AA$68)&lt;=AsOfDate,IF($R139=0,$X139,IF(AND($T139&lt;&gt;"",EDATE($D139,Milestones!$AA$68)&gt;=$T139),$W139,IF(AND($S139&lt;&gt;"",EDATE($D139,Milestones!$AA$68)&gt;=$S139),$V139,$U139)))=Milestones!$AB$68),UPPER(TEXT(EDATE($D139,Milestones!$AA$68),"dd mmm yy"))&amp;" "&amp;Milestones!$AB$68&amp;" "&amp;Milestones!$AC$68&amp;";  ","")&amp;IF(AND(EDATE($D139,Milestones!$AA$69)&lt;=AsOfDate,IF($R139=0,$X139,IF(AND($T139&lt;&gt;"",EDATE($D139,Milestones!$AA$69)&gt;=$T139),$W139,IF(AND($S139&lt;&gt;"",EDATE($D139,Milestones!$AA$69)&gt;=$S139),$V139,$U139)))=Milestones!$AB$69),UPPER(TEXT(EDATE($D139,Milestones!$AA$69),"dd mmm yy"))&amp;" "&amp;Milestones!$AB$69&amp;" "&amp;Milestones!$AC$69&amp;";  ","")&amp;IF(AND(EDATE($D139,Milestones!$AA$70)&lt;=AsOfDate,IF($R139=0,$X139,IF(AND($T139&lt;&gt;"",EDATE($D139,Milestones!$AA$70)&gt;=$T139),$W139,IF(AND($S139&lt;&gt;"",EDATE($D139,Milestones!$AA$70)&gt;=$S139),$V139,$U139)))=Milestones!$AB$70),UPPER(TEXT(EDATE($D139,Milestones!$AA$70),"dd mmm yy"))&amp;" "&amp;Milestones!$AB$70&amp;" "&amp;Milestones!$AC$70&amp;";  ","")&amp;IF(AND(EDATE($D139,Milestones!$AA$71)&lt;=AsOfDate,IF($R139=0,$X139,IF(AND($T139&lt;&gt;"",EDATE($D139,Milestones!$AA$71)&gt;=$T139),$W139,IF(AND($S139&lt;&gt;"",EDATE($D139,Milestones!$AA$71)&gt;=$S139),$V139,$U139)))=Milestones!$AB$71),UPPER(TEXT(EDATE($D139,Milestones!$AA$71),"dd mmm yy"))&amp;" "&amp;Milestones!$AB$71&amp;" "&amp;Milestones!$AC$71&amp;";  ","")&amp;IF(AND(EDATE($D139,Milestones!$AA$72)&lt;=AsOfDate,IF($R139=0,$X139,IF(AND($T139&lt;&gt;"",EDATE($D139,Milestones!$AA$72)&gt;=$T139),$W139,IF(AND($S139&lt;&gt;"",EDATE($D139,Milestones!$AA$72)&gt;=$S139),$V139,$U139)))=Milestones!$AB$72),UPPER(TEXT(EDATE($D139,Milestones!$AA$72),"dd mmm yy"))&amp;" "&amp;Milestones!$AB$72&amp;" "&amp;Milestones!$AC$72&amp;";  ","")&amp;IF(AND(EDATE($D139,Milestones!$AA$73)&lt;=AsOfDate,IF($R139=0,$X139,IF(AND($T139&lt;&gt;"",EDATE($D139,Milestones!$AA$73)&gt;=$T139),$W139,IF(AND($S139&lt;&gt;"",EDATE($D139,Milestones!$AA$73)&gt;=$S139),$V139,$U139)))=Milestones!$AB$73),UPPER(TEXT(EDATE($D139,Milestones!$AA$73),"dd mmm yy"))&amp;" "&amp;Milestones!$AB$73&amp;" "&amp;Milestones!$AC$73&amp;";  ","")&amp;IF(AND(EDATE($D139,Milestones!$AA$74)&lt;=AsOfDate,IF($R139=0,$X139,IF(AND($T139&lt;&gt;"",EDATE($D139,Milestones!$AA$74)&gt;=$T139),$W139,IF(AND($S139&lt;&gt;"",EDATE($D139,Milestones!$AA$74)&gt;=$S139),$V139,$U139)))=Milestones!$AB$74),UPPER(TEXT(EDATE($D139,Milestones!$AA$74),"dd mmm yy"))&amp;" "&amp;Milestones!$AB$74&amp;" "&amp;Milestones!$AC$74&amp;";  ","")&amp;IF(AND(EDATE($D139,Milestones!$AA$75)&lt;=AsOfDate,IF($R139=0,$X139,IF(AND($T139&lt;&gt;"",EDATE($D139,Milestones!$AA$75)&gt;=$T139),$W139,IF(AND($S139&lt;&gt;"",EDATE($D139,Milestones!$AA$75)&gt;=$S139),$V139,$U139)))=Milestones!$AB$75),UPPER(TEXT(EDATE($D139,Milestones!$AA$75),"dd mmm yy"))&amp;" "&amp;Milestones!$AB$75&amp;" "&amp;Milestones!$AC$75&amp;";  ","")&amp;IF(AND(EDATE($D139,Milestones!$AA$76)&lt;=AsOfDate,IF($R139=0,$X139,IF(AND($T139&lt;&gt;"",EDATE($D139,Milestones!$AA$76)&gt;=$T139),$W139,IF(AND($S139&lt;&gt;"",EDATE($D139,Milestones!$AA$76)&gt;=$S139),$V139,$U139)))=Milestones!$AB$76),UPPER(TEXT(EDATE($D139,Milestones!$AA$76),"dd mmm yy"))&amp;" "&amp;Milestones!$AB$76&amp;" "&amp;Milestones!$AC$76&amp;";  ","")&amp;IF(AND(EDATE($D139,Milestones!$AA$77)&lt;=AsOfDate,IF($R139=0,$X139,IF(AND($T139&lt;&gt;"",EDATE($D139,Milestones!$AA$77)&gt;=$T139),$W139,IF(AND($S139&lt;&gt;"",EDATE($D139,Milestones!$AA$77)&gt;=$S139),$V139,$U139)))=Milestones!$AB$77),UPPER(TEXT(EDATE($D139,Milestones!$AA$77),"dd mmm yy"))&amp;" "&amp;Milestones!$AB$77&amp;" "&amp;Milestones!$AC$77&amp;";  ","")&amp;IF(AND(EDATE($D139,Milestones!$AA$78)&lt;=AsOfDate,IF($R139=0,$X139,IF(AND($T139&lt;&gt;"",EDATE($D139,Milestones!$AA$78)&gt;=$T139),$W139,IF(AND($S139&lt;&gt;"",EDATE($D139,Milestones!$AA$78)&gt;=$S139),$V139,$U139)))=Milestones!$AB$78),UPPER(TEXT(EDATE($D139,Milestones!$AA$78),"dd mmm yy"))&amp;" "&amp;Milestones!$AB$78&amp;" "&amp;Milestones!$AC$78&amp;";  ","")&amp;IF(AND(EDATE($D139,Milestones!$AA$79)&lt;=AsOfDate,IF($R139=0,$X139,IF(AND($T139&lt;&gt;"",EDATE($D139,Milestones!$AA$79)&gt;=$T139),$W139,IF(AND($S139&lt;&gt;"",EDATE($D139,Milestones!$AA$79)&gt;=$S139),$V139,$U139)))=Milestones!$AB$79),UPPER(TEXT(EDATE($D139,Milestones!$AA$79),"dd mmm yy"))&amp;" "&amp;Milestones!$AB$79&amp;" "&amp;Milestones!$AC$79&amp;";  ",""))</f>
        <v/>
      </c>
      <c r="L139" s="0" t="str">
        <f aca="false">IF(OR($A139="",$D139=""),"",IF(AND(EDATE($D139,Milestones!$AA$80)&lt;=AsOfDate,IF($R139=0,$X139,IF(AND($T139&lt;&gt;"",EDATE($D139,Milestones!$AA$80)&gt;=$T139),$W139,IF(AND($S139&lt;&gt;"",EDATE($D139,Milestones!$AA$80)&gt;=$S139),$V139,$U139)))=Milestones!$AB$80),UPPER(TEXT(EDATE($D139,Milestones!$AA$80),"dd mmm yy"))&amp;" "&amp;Milestones!$AB$80&amp;" "&amp;Milestones!$AC$80&amp;";  ","")&amp;IF(AND(EDATE($D139,Milestones!$AA$81)&lt;=AsOfDate,IF($R139=0,$X139,IF(AND($T139&lt;&gt;"",EDATE($D139,Milestones!$AA$81)&gt;=$T139),$W139,IF(AND($S139&lt;&gt;"",EDATE($D139,Milestones!$AA$81)&gt;=$S139),$V139,$U139)))=Milestones!$AB$81),UPPER(TEXT(EDATE($D139,Milestones!$AA$81),"dd mmm yy"))&amp;" "&amp;Milestones!$AB$81&amp;" "&amp;Milestones!$AC$81&amp;";  ","")&amp;IF(AND(EDATE($D139,Milestones!$AA$82)&lt;=AsOfDate,IF($R139=0,$X139,IF(AND($T139&lt;&gt;"",EDATE($D139,Milestones!$AA$82)&gt;=$T139),$W139,IF(AND($S139&lt;&gt;"",EDATE($D139,Milestones!$AA$82)&gt;=$S139),$V139,$U139)))=Milestones!$AB$82),UPPER(TEXT(EDATE($D139,Milestones!$AA$82),"dd mmm yy"))&amp;" "&amp;Milestones!$AB$82&amp;" "&amp;Milestones!$AC$82&amp;";  ","")&amp;IF(AND(EDATE($D139,Milestones!$AA$83)&lt;=AsOfDate,IF($R139=0,$X139,IF(AND($T139&lt;&gt;"",EDATE($D139,Milestones!$AA$83)&gt;=$T139),$W139,IF(AND($S139&lt;&gt;"",EDATE($D139,Milestones!$AA$83)&gt;=$S139),$V139,$U139)))=Milestones!$AB$83),UPPER(TEXT(EDATE($D139,Milestones!$AA$83),"dd mmm yy"))&amp;" "&amp;Milestones!$AB$83&amp;" "&amp;Milestones!$AC$83&amp;";  ","")&amp;IF(AND(EDATE($D139,Milestones!$AA$84)&lt;=AsOfDate,IF($R139=0,$X139,IF(AND($T139&lt;&gt;"",EDATE($D139,Milestones!$AA$84)&gt;=$T139),$W139,IF(AND($S139&lt;&gt;"",EDATE($D139,Milestones!$AA$84)&gt;=$S139),$V139,$U139)))=Milestones!$AB$84),UPPER(TEXT(EDATE($D139,Milestones!$AA$84),"dd mmm yy"))&amp;" "&amp;Milestones!$AB$84&amp;" "&amp;Milestones!$AC$84&amp;";  ","")&amp;IF(AND(EDATE($D139,Milestones!$AA$85)&lt;=AsOfDate,IF($R139=0,$X139,IF(AND($T139&lt;&gt;"",EDATE($D139,Milestones!$AA$85)&gt;=$T139),$W139,IF(AND($S139&lt;&gt;"",EDATE($D139,Milestones!$AA$85)&gt;=$S139),$V139,$U139)))=Milestones!$AB$85),UPPER(TEXT(EDATE($D139,Milestones!$AA$85),"dd mmm yy"))&amp;" "&amp;Milestones!$AB$85&amp;" "&amp;Milestones!$AC$85&amp;";  ","")&amp;IF(AND(EDATE($D139,Milestones!$AA$86)&lt;=AsOfDate,IF($R139=0,$X139,IF(AND($T139&lt;&gt;"",EDATE($D139,Milestones!$AA$86)&gt;=$T139),$W139,IF(AND($S139&lt;&gt;"",EDATE($D139,Milestones!$AA$86)&gt;=$S139),$V139,$U139)))=Milestones!$AB$86),UPPER(TEXT(EDATE($D139,Milestones!$AA$86),"dd mmm yy"))&amp;" "&amp;Milestones!$AB$86&amp;" "&amp;Milestones!$AC$86&amp;";  ","")&amp;IF(AND(EDATE($D139,Milestones!$AA$87)&lt;=AsOfDate,IF($R139=0,$X139,IF(AND($T139&lt;&gt;"",EDATE($D139,Milestones!$AA$87)&gt;=$T139),$W139,IF(AND($S139&lt;&gt;"",EDATE($D139,Milestones!$AA$87)&gt;=$S139),$V139,$U139)))=Milestones!$AB$87),UPPER(TEXT(EDATE($D139,Milestones!$AA$87),"dd mmm yy"))&amp;" "&amp;Milestones!$AB$87&amp;" "&amp;Milestones!$AC$87&amp;";  ","")&amp;IF(AND(EDATE($D139,Milestones!$AA$88)&lt;=AsOfDate,IF($R139=0,$X139,IF(AND($T139&lt;&gt;"",EDATE($D139,Milestones!$AA$88)&gt;=$T139),$W139,IF(AND($S139&lt;&gt;"",EDATE($D139,Milestones!$AA$88)&gt;=$S139),$V139,$U139)))=Milestones!$AB$88),UPPER(TEXT(EDATE($D139,Milestones!$AA$88),"dd mmm yy"))&amp;" "&amp;Milestones!$AB$88&amp;" "&amp;Milestones!$AC$88&amp;";  ","")&amp;IF(AND(EDATE($D139,Milestones!$AA$89)&lt;=AsOfDate,IF($R139=0,$X139,IF(AND($T139&lt;&gt;"",EDATE($D139,Milestones!$AA$89)&gt;=$T139),$W139,IF(AND($S139&lt;&gt;"",EDATE($D139,Milestones!$AA$89)&gt;=$S139),$V139,$U139)))=Milestones!$AB$89),UPPER(TEXT(EDATE($D139,Milestones!$AA$89),"dd mmm yy"))&amp;" "&amp;Milestones!$AB$89&amp;" "&amp;Milestones!$AC$89&amp;";  ","")&amp;IF(AND(EDATE($D139,Milestones!$AA$90)&lt;=AsOfDate,IF($R139=0,$X139,IF(AND($T139&lt;&gt;"",EDATE($D139,Milestones!$AA$90)&gt;=$T139),$W139,IF(AND($S139&lt;&gt;"",EDATE($D139,Milestones!$AA$90)&gt;=$S139),$V139,$U139)))=Milestones!$AB$90),UPPER(TEXT(EDATE($D139,Milestones!$AA$90),"dd mmm yy"))&amp;" "&amp;Milestones!$AB$90&amp;" "&amp;Milestones!$AC$90&amp;";  ","")&amp;IF(AND(EDATE($D139,Milestones!$AA$91)&lt;=AsOfDate,IF($R139=0,$X139,IF(AND($T139&lt;&gt;"",EDATE($D139,Milestones!$AA$91)&gt;=$T139),$W139,IF(AND($S139&lt;&gt;"",EDATE($D139,Milestones!$AA$91)&gt;=$S139),$V139,$U139)))=Milestones!$AB$91),UPPER(TEXT(EDATE($D139,Milestones!$AA$91),"dd mmm yy"))&amp;" "&amp;Milestones!$AB$91&amp;" "&amp;Milestones!$AC$91&amp;";  ","")&amp;IF(AND(EDATE($D139,Milestones!$AA$92)&lt;=AsOfDate,IF($R139=0,$X139,IF(AND($T139&lt;&gt;"",EDATE($D139,Milestones!$AA$92)&gt;=$T139),$W139,IF(AND($S139&lt;&gt;"",EDATE($D139,Milestones!$AA$92)&gt;=$S139),$V139,$U139)))=Milestones!$AB$92),UPPER(TEXT(EDATE($D139,Milestones!$AA$92),"dd mmm yy"))&amp;" "&amp;Milestones!$AB$92&amp;" "&amp;Milestones!$AC$92&amp;";  ","")&amp;IF(AND(EDATE($D139,Milestones!$AA$93)&lt;=AsOfDate,IF($R139=0,$X139,IF(AND($T139&lt;&gt;"",EDATE($D139,Milestones!$AA$93)&gt;=$T139),$W139,IF(AND($S139&lt;&gt;"",EDATE($D139,Milestones!$AA$93)&gt;=$S139),$V139,$U139)))=Milestones!$AB$93),UPPER(TEXT(EDATE($D139,Milestones!$AA$93),"dd mmm yy"))&amp;" "&amp;Milestones!$AB$93&amp;" "&amp;Milestones!$AC$93&amp;";  ","")&amp;IF(AND(EDATE($D139,Milestones!$AA$94)&lt;=AsOfDate,IF($R139=0,$X139,IF(AND($T139&lt;&gt;"",EDATE($D139,Milestones!$AA$94)&gt;=$T139),$W139,IF(AND($S139&lt;&gt;"",EDATE($D139,Milestones!$AA$94)&gt;=$S139),$V139,$U139)))=Milestones!$AB$94),UPPER(TEXT(EDATE($D139,Milestones!$AA$94),"dd mmm yy"))&amp;" "&amp;Milestones!$AB$94&amp;" "&amp;Milestones!$AC$94&amp;";  ","")&amp;IF(AND(EDATE($D139,Milestones!$AA$95)&lt;=AsOfDate,IF($R139=0,$X139,IF(AND($T139&lt;&gt;"",EDATE($D139,Milestones!$AA$95)&gt;=$T139),$W139,IF(AND($S139&lt;&gt;"",EDATE($D139,Milestones!$AA$95)&gt;=$S139),$V139,$U139)))=Milestones!$AB$95),UPPER(TEXT(EDATE($D139,Milestones!$AA$95),"dd mmm yy"))&amp;" "&amp;Milestones!$AB$95&amp;" "&amp;Milestones!$AC$95&amp;";  ","")&amp;IF(AND(EDATE($D139,Milestones!$AA$96)&lt;=AsOfDate,IF($R139=0,$X139,IF(AND($T139&lt;&gt;"",EDATE($D139,Milestones!$AA$96)&gt;=$T139),$W139,IF(AND($S139&lt;&gt;"",EDATE($D139,Milestones!$AA$96)&gt;=$S139),$V139,$U139)))=Milestones!$AB$96),UPPER(TEXT(EDATE($D139,Milestones!$AA$96),"dd mmm yy"))&amp;" "&amp;Milestones!$AB$96&amp;" "&amp;Milestones!$AC$96&amp;";  ","")&amp;IF(AND(EDATE($D139,Milestones!$AA$97)&lt;=AsOfDate,IF($R139=0,$X139,IF(AND($T139&lt;&gt;"",EDATE($D139,Milestones!$AA$97)&gt;=$T139),$W139,IF(AND($S139&lt;&gt;"",EDATE($D139,Milestones!$AA$97)&gt;=$S139),$V139,$U139)))=Milestones!$AB$97),UPPER(TEXT(EDATE($D139,Milestones!$AA$97),"dd mmm yy"))&amp;" "&amp;Milestones!$AB$97&amp;" "&amp;Milestones!$AC$97&amp;";  ","")&amp;IF(AND(EDATE($D139,Milestones!$AA$98)&lt;=AsOfDate,IF($R139=0,$X139,IF(AND($T139&lt;&gt;"",EDATE($D139,Milestones!$AA$98)&gt;=$T139),$W139,IF(AND($S139&lt;&gt;"",EDATE($D139,Milestones!$AA$98)&gt;=$S139),$V139,$U139)))=Milestones!$AB$98),UPPER(TEXT(EDATE($D139,Milestones!$AA$98),"dd mmm yy"))&amp;" "&amp;Milestones!$AB$98&amp;" "&amp;Milestones!$AC$98&amp;";  ","")&amp;IF(AND(EDATE($D139,Milestones!$AA$99)&lt;=AsOfDate,IF($R139=0,$X139,IF(AND($T139&lt;&gt;"",EDATE($D139,Milestones!$AA$99)&gt;=$T139),$W139,IF(AND($S139&lt;&gt;"",EDATE($D139,Milestones!$AA$99)&gt;=$S139),$V139,$U139)))=Milestones!$AB$99),UPPER(TEXT(EDATE($D139,Milestones!$AA$99),"dd mmm yy"))&amp;" "&amp;Milestones!$AB$99&amp;" "&amp;Milestones!$AC$99&amp;";  ",""))</f>
        <v/>
      </c>
      <c r="M139" s="0" t="str">
        <f aca="false">IF(OR($A139="",$D139=""),"",IF(AND(EDATE($D139,Milestones!$AA$100)&lt;=AsOfDate,IF($R139=0,$X139,IF(AND($T139&lt;&gt;"",EDATE($D139,Milestones!$AA$100)&gt;=$T139),$W139,IF(AND($S139&lt;&gt;"",EDATE($D139,Milestones!$AA$100)&gt;=$S139),$V139,$U139)))=Milestones!$AB$100),UPPER(TEXT(EDATE($D139,Milestones!$AA$100),"dd mmm yy"))&amp;" "&amp;Milestones!$AB$100&amp;" "&amp;Milestones!$AC$100&amp;";  ","")&amp;IF(AND(EDATE($D139,Milestones!$AA$101)&lt;=AsOfDate,IF($R139=0,$X139,IF(AND($T139&lt;&gt;"",EDATE($D139,Milestones!$AA$101)&gt;=$T139),$W139,IF(AND($S139&lt;&gt;"",EDATE($D139,Milestones!$AA$101)&gt;=$S139),$V139,$U139)))=Milestones!$AB$101),UPPER(TEXT(EDATE($D139,Milestones!$AA$101),"dd mmm yy"))&amp;" "&amp;Milestones!$AB$101&amp;" "&amp;Milestones!$AC$101&amp;";  ","")&amp;IF(AND(EDATE($D139,Milestones!$AA$102)&lt;=AsOfDate,IF($R139=0,$X139,IF(AND($T139&lt;&gt;"",EDATE($D139,Milestones!$AA$102)&gt;=$T139),$W139,IF(AND($S139&lt;&gt;"",EDATE($D139,Milestones!$AA$102)&gt;=$S139),$V139,$U139)))=Milestones!$AB$102),UPPER(TEXT(EDATE($D139,Milestones!$AA$102),"dd mmm yy"))&amp;" "&amp;Milestones!$AB$102&amp;" "&amp;Milestones!$AC$102&amp;";  ","")&amp;IF(AND(EDATE($D139,Milestones!$AA$103)&lt;=AsOfDate,IF($R139=0,$X139,IF(AND($T139&lt;&gt;"",EDATE($D139,Milestones!$AA$103)&gt;=$T139),$W139,IF(AND($S139&lt;&gt;"",EDATE($D139,Milestones!$AA$103)&gt;=$S139),$V139,$U139)))=Milestones!$AB$103),UPPER(TEXT(EDATE($D139,Milestones!$AA$103),"dd mmm yy"))&amp;" "&amp;Milestones!$AB$103&amp;" "&amp;Milestones!$AC$103&amp;";  ","")&amp;IF(AND(EDATE($D139,Milestones!$AA$104)&lt;=AsOfDate,IF($R139=0,$X139,IF(AND($T139&lt;&gt;"",EDATE($D139,Milestones!$AA$104)&gt;=$T139),$W139,IF(AND($S139&lt;&gt;"",EDATE($D139,Milestones!$AA$104)&gt;=$S139),$V139,$U139)))=Milestones!$AB$104),UPPER(TEXT(EDATE($D139,Milestones!$AA$104),"dd mmm yy"))&amp;" "&amp;Milestones!$AB$104&amp;" "&amp;Milestones!$AC$104&amp;";  ","")&amp;IF(AND(EDATE($D139,Milestones!$AA$105)&lt;=AsOfDate,IF($R139=0,$X139,IF(AND($T139&lt;&gt;"",EDATE($D139,Milestones!$AA$105)&gt;=$T139),$W139,IF(AND($S139&lt;&gt;"",EDATE($D139,Milestones!$AA$105)&gt;=$S139),$V139,$U139)))=Milestones!$AB$105),UPPER(TEXT(EDATE($D139,Milestones!$AA$105),"dd mmm yy"))&amp;" "&amp;Milestones!$AB$105&amp;" "&amp;Milestones!$AC$105&amp;";  ","")&amp;IF(AND(EDATE($D139,Milestones!$AA$106)&lt;=AsOfDate,IF($R139=0,$X139,IF(AND($T139&lt;&gt;"",EDATE($D139,Milestones!$AA$106)&gt;=$T139),$W139,IF(AND($S139&lt;&gt;"",EDATE($D139,Milestones!$AA$106)&gt;=$S139),$V139,$U139)))=Milestones!$AB$106),UPPER(TEXT(EDATE($D139,Milestones!$AA$106),"dd mmm yy"))&amp;" "&amp;Milestones!$AB$106&amp;" "&amp;Milestones!$AC$106&amp;";  ","")&amp;IF(AND(EDATE($D139,Milestones!$AA$107)&lt;=AsOfDate,IF($R139=0,$X139,IF(AND($T139&lt;&gt;"",EDATE($D139,Milestones!$AA$107)&gt;=$T139),$W139,IF(AND($S139&lt;&gt;"",EDATE($D139,Milestones!$AA$107)&gt;=$S139),$V139,$U139)))=Milestones!$AB$107),UPPER(TEXT(EDATE($D139,Milestones!$AA$107),"dd mmm yy"))&amp;" "&amp;Milestones!$AB$107&amp;" "&amp;Milestones!$AC$107&amp;";  ","")&amp;IF(AND(EDATE($D139,Milestones!$AA$108)&lt;=AsOfDate,IF($R139=0,$X139,IF(AND($T139&lt;&gt;"",EDATE($D139,Milestones!$AA$108)&gt;=$T139),$W139,IF(AND($S139&lt;&gt;"",EDATE($D139,Milestones!$AA$108)&gt;=$S139),$V139,$U139)))=Milestones!$AB$108),UPPER(TEXT(EDATE($D139,Milestones!$AA$108),"dd mmm yy"))&amp;" "&amp;Milestones!$AB$108&amp;" "&amp;Milestones!$AC$108&amp;";  ","")&amp;IF(AND(EDATE($D139,Milestones!$AA$109)&lt;=AsOfDate,IF($R139=0,$X139,IF(AND($T139&lt;&gt;"",EDATE($D139,Milestones!$AA$109)&gt;=$T139),$W139,IF(AND($S139&lt;&gt;"",EDATE($D139,Milestones!$AA$109)&gt;=$S139),$V139,$U139)))=Milestones!$AB$109),UPPER(TEXT(EDATE($D139,Milestones!$AA$109),"dd mmm yy"))&amp;" "&amp;Milestones!$AB$109&amp;" "&amp;Milestones!$AC$109&amp;";  ","")&amp;IF(AND(EDATE($D139,Milestones!$AA$110)&lt;=AsOfDate,IF($R139=0,$X139,IF(AND($T139&lt;&gt;"",EDATE($D139,Milestones!$AA$110)&gt;=$T139),$W139,IF(AND($S139&lt;&gt;"",EDATE($D139,Milestones!$AA$110)&gt;=$S139),$V139,$U139)))=Milestones!$AB$110),UPPER(TEXT(EDATE($D139,Milestones!$AA$110),"dd mmm yy"))&amp;" "&amp;Milestones!$AB$110&amp;" "&amp;Milestones!$AC$110&amp;";  ","")&amp;IF(AND(EDATE($D139,Milestones!$AA$111)&lt;=AsOfDate,IF($R139=0,$X139,IF(AND($T139&lt;&gt;"",EDATE($D139,Milestones!$AA$111)&gt;=$T139),$W139,IF(AND($S139&lt;&gt;"",EDATE($D139,Milestones!$AA$111)&gt;=$S139),$V139,$U139)))=Milestones!$AB$111),UPPER(TEXT(EDATE($D139,Milestones!$AA$111),"dd mmm yy"))&amp;" "&amp;Milestones!$AB$111&amp;" "&amp;Milestones!$AC$111&amp;";  ","")&amp;IF(AND(EDATE($D139,Milestones!$AA$112)&lt;=AsOfDate,IF($R139=0,$X139,IF(AND($T139&lt;&gt;"",EDATE($D139,Milestones!$AA$112)&gt;=$T139),$W139,IF(AND($S139&lt;&gt;"",EDATE($D139,Milestones!$AA$112)&gt;=$S139),$V139,$U139)))=Milestones!$AB$112),UPPER(TEXT(EDATE($D139,Milestones!$AA$112),"dd mmm yy"))&amp;" "&amp;Milestones!$AB$112&amp;" "&amp;Milestones!$AC$112&amp;";  ","")&amp;IF(AND(EDATE($D139,Milestones!$AA$113)&lt;=AsOfDate,IF($R139=0,$X139,IF(AND($T139&lt;&gt;"",EDATE($D139,Milestones!$AA$113)&gt;=$T139),$W139,IF(AND($S139&lt;&gt;"",EDATE($D139,Milestones!$AA$113)&gt;=$S139),$V139,$U139)))=Milestones!$AB$113),UPPER(TEXT(EDATE($D139,Milestones!$AA$113),"dd mmm yy"))&amp;" "&amp;Milestones!$AB$113&amp;" "&amp;Milestones!$AC$113&amp;";  ","")&amp;IF(AND(EDATE($D139,Milestones!$AA$114)&lt;=AsOfDate,IF($R139=0,$X139,IF(AND($T139&lt;&gt;"",EDATE($D139,Milestones!$AA$114)&gt;=$T139),$W139,IF(AND($S139&lt;&gt;"",EDATE($D139,Milestones!$AA$114)&gt;=$S139),$V139,$U139)))=Milestones!$AB$114),UPPER(TEXT(EDATE($D139,Milestones!$AA$114),"dd mmm yy"))&amp;" "&amp;Milestones!$AB$114&amp;" "&amp;Milestones!$AC$114&amp;";  ","")&amp;IF(AND(EDATE($D139,Milestones!$AA$115)&lt;=AsOfDate,IF($R139=0,$X139,IF(AND($T139&lt;&gt;"",EDATE($D139,Milestones!$AA$115)&gt;=$T139),$W139,IF(AND($S139&lt;&gt;"",EDATE($D139,Milestones!$AA$115)&gt;=$S139),$V139,$U139)))=Milestones!$AB$115),UPPER(TEXT(EDATE($D139,Milestones!$AA$115),"dd mmm yy"))&amp;" "&amp;Milestones!$AB$115&amp;" "&amp;Milestones!$AC$115&amp;";  ","")&amp;IF(AND(EDATE($D139,Milestones!$AA$116)&lt;=AsOfDate,IF($R139=0,$X139,IF(AND($T139&lt;&gt;"",EDATE($D139,Milestones!$AA$116)&gt;=$T139),$W139,IF(AND($S139&lt;&gt;"",EDATE($D139,Milestones!$AA$116)&gt;=$S139),$V139,$U139)))=Milestones!$AB$116),UPPER(TEXT(EDATE($D139,Milestones!$AA$116),"dd mmm yy"))&amp;" "&amp;Milestones!$AB$116&amp;" "&amp;Milestones!$AC$116&amp;";  ","")&amp;IF(AND(EDATE($D139,Milestones!$AA$117)&lt;=AsOfDate,IF($R139=0,$X139,IF(AND($T139&lt;&gt;"",EDATE($D139,Milestones!$AA$117)&gt;=$T139),$W139,IF(AND($S139&lt;&gt;"",EDATE($D139,Milestones!$AA$117)&gt;=$S139),$V139,$U139)))=Milestones!$AB$117),UPPER(TEXT(EDATE($D139,Milestones!$AA$117),"dd mmm yy"))&amp;" "&amp;Milestones!$AB$117&amp;" "&amp;Milestones!$AC$117&amp;";  ","")&amp;IF(AND(EDATE($D139,Milestones!$AA$118)&lt;=AsOfDate,IF($R139=0,$X139,IF(AND($T139&lt;&gt;"",EDATE($D139,Milestones!$AA$118)&gt;=$T139),$W139,IF(AND($S139&lt;&gt;"",EDATE($D139,Milestones!$AA$118)&gt;=$S139),$V139,$U139)))=Milestones!$AB$118),UPPER(TEXT(EDATE($D139,Milestones!$AA$118),"dd mmm yy"))&amp;" "&amp;Milestones!$AB$118&amp;" "&amp;Milestones!$AC$118&amp;";  ","")&amp;IF(AND(EDATE($D139,Milestones!$AA$119)&lt;=AsOfDate,IF($R139=0,$X139,IF(AND($T139&lt;&gt;"",EDATE($D139,Milestones!$AA$119)&gt;=$T139),$W139,IF(AND($S139&lt;&gt;"",EDATE($D139,Milestones!$AA$119)&gt;=$S139),$V139,$U139)))=Milestones!$AB$119),UPPER(TEXT(EDATE($D139,Milestones!$AA$119),"dd mmm yy"))&amp;" "&amp;Milestones!$AB$119&amp;" "&amp;Milestones!$AC$119&amp;";  ",""))</f>
        <v/>
      </c>
      <c r="N139" s="0" t="str">
        <f aca="false">IF(OR($A139="",$D139=""),"",IF(AND(EDATE($D139,Milestones!$AA$120)&lt;=AsOfDate,IF($R139=0,$X139,IF(AND($T139&lt;&gt;"",EDATE($D139,Milestones!$AA$120)&gt;=$T139),$W139,IF(AND($S139&lt;&gt;"",EDATE($D139,Milestones!$AA$120)&gt;=$S139),$V139,$U139)))=Milestones!$AB$120),UPPER(TEXT(EDATE($D139,Milestones!$AA$120),"dd mmm yy"))&amp;" "&amp;Milestones!$AB$120&amp;" "&amp;Milestones!$AC$120&amp;";  ","")&amp;IF(AND(EDATE($D139,Milestones!$AA$121)&lt;=AsOfDate,IF($R139=0,$X139,IF(AND($T139&lt;&gt;"",EDATE($D139,Milestones!$AA$121)&gt;=$T139),$W139,IF(AND($S139&lt;&gt;"",EDATE($D139,Milestones!$AA$121)&gt;=$S139),$V139,$U139)))=Milestones!$AB$121),UPPER(TEXT(EDATE($D139,Milestones!$AA$121),"dd mmm yy"))&amp;" "&amp;Milestones!$AB$121&amp;" "&amp;Milestones!$AC$121&amp;";  ","")&amp;IF(AND(EDATE($D139,Milestones!$AA$122)&lt;=AsOfDate,IF($R139=0,$X139,IF(AND($T139&lt;&gt;"",EDATE($D139,Milestones!$AA$122)&gt;=$T139),$W139,IF(AND($S139&lt;&gt;"",EDATE($D139,Milestones!$AA$122)&gt;=$S139),$V139,$U139)))=Milestones!$AB$122),UPPER(TEXT(EDATE($D139,Milestones!$AA$122),"dd mmm yy"))&amp;" "&amp;Milestones!$AB$122&amp;" "&amp;Milestones!$AC$122&amp;";  ","")&amp;IF(AND(EDATE($D139,Milestones!$AA$123)&lt;=AsOfDate,IF($R139=0,$X139,IF(AND($T139&lt;&gt;"",EDATE($D139,Milestones!$AA$123)&gt;=$T139),$W139,IF(AND($S139&lt;&gt;"",EDATE($D139,Milestones!$AA$123)&gt;=$S139),$V139,$U139)))=Milestones!$AB$123),UPPER(TEXT(EDATE($D139,Milestones!$AA$123),"dd mmm yy"))&amp;" "&amp;Milestones!$AB$123&amp;" "&amp;Milestones!$AC$123&amp;";  ","")&amp;IF(AND(EDATE($D139,Milestones!$AA$124)&lt;=AsOfDate,IF($R139=0,$X139,IF(AND($T139&lt;&gt;"",EDATE($D139,Milestones!$AA$124)&gt;=$T139),$W139,IF(AND($S139&lt;&gt;"",EDATE($D139,Milestones!$AA$124)&gt;=$S139),$V139,$U139)))=Milestones!$AB$124),UPPER(TEXT(EDATE($D139,Milestones!$AA$124),"dd mmm yy"))&amp;" "&amp;Milestones!$AB$124&amp;" "&amp;Milestones!$AC$124&amp;";  ","")&amp;IF(AND(EDATE($D139,Milestones!$AA$125)&lt;=AsOfDate,IF($R139=0,$X139,IF(AND($T139&lt;&gt;"",EDATE($D139,Milestones!$AA$125)&gt;=$T139),$W139,IF(AND($S139&lt;&gt;"",EDATE($D139,Milestones!$AA$125)&gt;=$S139),$V139,$U139)))=Milestones!$AB$125),UPPER(TEXT(EDATE($D139,Milestones!$AA$125),"dd mmm yy"))&amp;" "&amp;Milestones!$AB$125&amp;" "&amp;Milestones!$AC$125&amp;";  ","")&amp;IF(AND(EDATE($D139,Milestones!$AA$126)&lt;=AsOfDate,IF($R139=0,$X139,IF(AND($T139&lt;&gt;"",EDATE($D139,Milestones!$AA$126)&gt;=$T139),$W139,IF(AND($S139&lt;&gt;"",EDATE($D139,Milestones!$AA$126)&gt;=$S139),$V139,$U139)))=Milestones!$AB$126),UPPER(TEXT(EDATE($D139,Milestones!$AA$126),"dd mmm yy"))&amp;" "&amp;Milestones!$AB$126&amp;" "&amp;Milestones!$AC$126&amp;";  ","")&amp;IF(AND(EDATE($D139,Milestones!$AA$127)&lt;=AsOfDate,IF($R139=0,$X139,IF(AND($T139&lt;&gt;"",EDATE($D139,Milestones!$AA$127)&gt;=$T139),$W139,IF(AND($S139&lt;&gt;"",EDATE($D139,Milestones!$AA$127)&gt;=$S139),$V139,$U139)))=Milestones!$AB$127),UPPER(TEXT(EDATE($D139,Milestones!$AA$127),"dd mmm yy"))&amp;" "&amp;Milestones!$AB$127&amp;" "&amp;Milestones!$AC$127&amp;";  ","")&amp;IF(AND(EDATE($D139,Milestones!$AA$128)&lt;=AsOfDate,IF($R139=0,$X139,IF(AND($T139&lt;&gt;"",EDATE($D139,Milestones!$AA$128)&gt;=$T139),$W139,IF(AND($S139&lt;&gt;"",EDATE($D139,Milestones!$AA$128)&gt;=$S139),$V139,$U139)))=Milestones!$AB$128),UPPER(TEXT(EDATE($D139,Milestones!$AA$128),"dd mmm yy"))&amp;" "&amp;Milestones!$AB$128&amp;" "&amp;Milestones!$AC$128&amp;";  ","")&amp;IF(AND(EDATE($D139,Milestones!$AA$129)&lt;=AsOfDate,IF($R139=0,$X139,IF(AND($T139&lt;&gt;"",EDATE($D139,Milestones!$AA$129)&gt;=$T139),$W139,IF(AND($S139&lt;&gt;"",EDATE($D139,Milestones!$AA$129)&gt;=$S139),$V139,$U139)))=Milestones!$AB$129),UPPER(TEXT(EDATE($D139,Milestones!$AA$129),"dd mmm yy"))&amp;" "&amp;Milestones!$AB$129&amp;" "&amp;Milestones!$AC$129&amp;";  ","")&amp;IF(AND(EDATE($D139,Milestones!$AA$130)&lt;=AsOfDate,IF($R139=0,$X139,IF(AND($T139&lt;&gt;"",EDATE($D139,Milestones!$AA$130)&gt;=$T139),$W139,IF(AND($S139&lt;&gt;"",EDATE($D139,Milestones!$AA$130)&gt;=$S139),$V139,$U139)))=Milestones!$AB$130),UPPER(TEXT(EDATE($D139,Milestones!$AA$130),"dd mmm yy"))&amp;" "&amp;Milestones!$AB$130&amp;" "&amp;Milestones!$AC$130&amp;";  ","")&amp;IF(AND(EDATE($D139,Milestones!$AA$131)&lt;=AsOfDate,IF($R139=0,$X139,IF(AND($T139&lt;&gt;"",EDATE($D139,Milestones!$AA$131)&gt;=$T139),$W139,IF(AND($S139&lt;&gt;"",EDATE($D139,Milestones!$AA$131)&gt;=$S139),$V139,$U139)))=Milestones!$AB$131),UPPER(TEXT(EDATE($D139,Milestones!$AA$131),"dd mmm yy"))&amp;" "&amp;Milestones!$AB$131&amp;" "&amp;Milestones!$AC$131&amp;";  ","")&amp;IF(AND(EDATE($D139,Milestones!$AA$132)&lt;=AsOfDate,IF($R139=0,$X139,IF(AND($T139&lt;&gt;"",EDATE($D139,Milestones!$AA$132)&gt;=$T139),$W139,IF(AND($S139&lt;&gt;"",EDATE($D139,Milestones!$AA$132)&gt;=$S139),$V139,$U139)))=Milestones!$AB$132),UPPER(TEXT(EDATE($D139,Milestones!$AA$132),"dd mmm yy"))&amp;" "&amp;Milestones!$AB$132&amp;" "&amp;Milestones!$AC$132&amp;";  ","")&amp;IF(AND(EDATE($D139,Milestones!$AA$133)&lt;=AsOfDate,IF($R139=0,$X139,IF(AND($T139&lt;&gt;"",EDATE($D139,Milestones!$AA$133)&gt;=$T139),$W139,IF(AND($S139&lt;&gt;"",EDATE($D139,Milestones!$AA$133)&gt;=$S139),$V139,$U139)))=Milestones!$AB$133),UPPER(TEXT(EDATE($D139,Milestones!$AA$133),"dd mmm yy"))&amp;" "&amp;Milestones!$AB$133&amp;" "&amp;Milestones!$AC$133&amp;";  ","")&amp;IF(AND(EDATE($D139,Milestones!$AA$134)&lt;=AsOfDate,IF($R139=0,$X139,IF(AND($T139&lt;&gt;"",EDATE($D139,Milestones!$AA$134)&gt;=$T139),$W139,IF(AND($S139&lt;&gt;"",EDATE($D139,Milestones!$AA$134)&gt;=$S139),$V139,$U139)))=Milestones!$AB$134),UPPER(TEXT(EDATE($D139,Milestones!$AA$134),"dd mmm yy"))&amp;" "&amp;Milestones!$AB$134&amp;" "&amp;Milestones!$AC$134&amp;";  ","")&amp;IF(AND(EDATE($D139,Milestones!$AA$135)&lt;=AsOfDate,IF($R139=0,$X139,IF(AND($T139&lt;&gt;"",EDATE($D139,Milestones!$AA$135)&gt;=$T139),$W139,IF(AND($S139&lt;&gt;"",EDATE($D139,Milestones!$AA$135)&gt;=$S139),$V139,$U139)))=Milestones!$AB$135),UPPER(TEXT(EDATE($D139,Milestones!$AA$135),"dd mmm yy"))&amp;" "&amp;Milestones!$AB$135&amp;" "&amp;Milestones!$AC$135&amp;";  ","")&amp;IF(AND(EDATE($D139,Milestones!$AA$136)&lt;=AsOfDate,IF($R139=0,$X139,IF(AND($T139&lt;&gt;"",EDATE($D139,Milestones!$AA$136)&gt;=$T139),$W139,IF(AND($S139&lt;&gt;"",EDATE($D139,Milestones!$AA$136)&gt;=$S139),$V139,$U139)))=Milestones!$AB$136),UPPER(TEXT(EDATE($D139,Milestones!$AA$136),"dd mmm yy"))&amp;" "&amp;Milestones!$AB$136&amp;" "&amp;Milestones!$AC$136&amp;";  ","")&amp;IF(AND(EDATE($D139,Milestones!$AA$137)&lt;=AsOfDate,IF($R139=0,$X139,IF(AND($T139&lt;&gt;"",EDATE($D139,Milestones!$AA$137)&gt;=$T139),$W139,IF(AND($S139&lt;&gt;"",EDATE($D139,Milestones!$AA$137)&gt;=$S139),$V139,$U139)))=Milestones!$AB$137),UPPER(TEXT(EDATE($D139,Milestones!$AA$137),"dd mmm yy"))&amp;" "&amp;Milestones!$AB$137&amp;" "&amp;Milestones!$AC$137&amp;";  ","")&amp;IF(AND(EDATE($D139,Milestones!$AA$138)&lt;=AsOfDate,IF($R139=0,$X139,IF(AND($T139&lt;&gt;"",EDATE($D139,Milestones!$AA$138)&gt;=$T139),$W139,IF(AND($S139&lt;&gt;"",EDATE($D139,Milestones!$AA$138)&gt;=$S139),$V139,$U139)))=Milestones!$AB$138),UPPER(TEXT(EDATE($D139,Milestones!$AA$138),"dd mmm yy"))&amp;" "&amp;Milestones!$AB$138&amp;" "&amp;Milestones!$AC$138&amp;";  ","")&amp;IF(AND(EDATE($D139,Milestones!$AA$139)&lt;=AsOfDate,IF($R139=0,$X139,IF(AND($T139&lt;&gt;"",EDATE($D139,Milestones!$AA$139)&gt;=$T139),$W139,IF(AND($S139&lt;&gt;"",EDATE($D139,Milestones!$AA$139)&gt;=$S139),$V139,$U139)))=Milestones!$AB$139),UPPER(TEXT(EDATE($D139,Milestones!$AA$139),"dd mmm yy"))&amp;" "&amp;Milestones!$AB$139&amp;" "&amp;Milestones!$AC$139&amp;";  ",""))</f>
        <v/>
      </c>
      <c r="O139" s="0" t="str">
        <f aca="false">IF(OR($A139="",$D139=""),"",IF(AND(EDATE($D139,Milestones!$AA$140)&lt;=AsOfDate,IF($R139=0,$X139,IF(AND($T139&lt;&gt;"",EDATE($D139,Milestones!$AA$140)&gt;=$T139),$W139,IF(AND($S139&lt;&gt;"",EDATE($D139,Milestones!$AA$140)&gt;=$S139),$V139,$U139)))=Milestones!$AB$140),UPPER(TEXT(EDATE($D139,Milestones!$AA$140),"dd mmm yy"))&amp;" "&amp;Milestones!$AB$140&amp;" "&amp;Milestones!$AC$140&amp;";  ","")&amp;IF(AND(EDATE($D139,Milestones!$AA$141)&lt;=AsOfDate,IF($R139=0,$X139,IF(AND($T139&lt;&gt;"",EDATE($D139,Milestones!$AA$141)&gt;=$T139),$W139,IF(AND($S139&lt;&gt;"",EDATE($D139,Milestones!$AA$141)&gt;=$S139),$V139,$U139)))=Milestones!$AB$141),UPPER(TEXT(EDATE($D139,Milestones!$AA$141),"dd mmm yy"))&amp;" "&amp;Milestones!$AB$141&amp;" "&amp;Milestones!$AC$141&amp;";  ","")&amp;IF(AND(EDATE($D139,Milestones!$AA$142)&lt;=AsOfDate,IF($R139=0,$X139,IF(AND($T139&lt;&gt;"",EDATE($D139,Milestones!$AA$142)&gt;=$T139),$W139,IF(AND($S139&lt;&gt;"",EDATE($D139,Milestones!$AA$142)&gt;=$S139),$V139,$U139)))=Milestones!$AB$142),UPPER(TEXT(EDATE($D139,Milestones!$AA$142),"dd mmm yy"))&amp;" "&amp;Milestones!$AB$142&amp;" "&amp;Milestones!$AC$142&amp;";  ","")&amp;IF(AND(EDATE($D139,Milestones!$AA$143)&lt;=AsOfDate,IF($R139=0,$X139,IF(AND($T139&lt;&gt;"",EDATE($D139,Milestones!$AA$143)&gt;=$T139),$W139,IF(AND($S139&lt;&gt;"",EDATE($D139,Milestones!$AA$143)&gt;=$S139),$V139,$U139)))=Milestones!$AB$143),UPPER(TEXT(EDATE($D139,Milestones!$AA$143),"dd mmm yy"))&amp;" "&amp;Milestones!$AB$143&amp;" "&amp;Milestones!$AC$143&amp;";  ","")&amp;IF(AND(EDATE($D139,Milestones!$AA$144)&lt;=AsOfDate,IF($R139=0,$X139,IF(AND($T139&lt;&gt;"",EDATE($D139,Milestones!$AA$144)&gt;=$T139),$W139,IF(AND($S139&lt;&gt;"",EDATE($D139,Milestones!$AA$144)&gt;=$S139),$V139,$U139)))=Milestones!$AB$144),UPPER(TEXT(EDATE($D139,Milestones!$AA$144),"dd mmm yy"))&amp;" "&amp;Milestones!$AB$144&amp;" "&amp;Milestones!$AC$144&amp;";  ","")&amp;IF(AND(EDATE($D139,Milestones!$AA$145)&lt;=AsOfDate,IF($R139=0,$X139,IF(AND($T139&lt;&gt;"",EDATE($D139,Milestones!$AA$145)&gt;=$T139),$W139,IF(AND($S139&lt;&gt;"",EDATE($D139,Milestones!$AA$145)&gt;=$S139),$V139,$U139)))=Milestones!$AB$145),UPPER(TEXT(EDATE($D139,Milestones!$AA$145),"dd mmm yy"))&amp;" "&amp;Milestones!$AB$145&amp;" "&amp;Milestones!$AC$145&amp;";  ","")&amp;IF(AND(EDATE($D139,Milestones!$AA$146)&lt;=AsOfDate,IF($R139=0,$X139,IF(AND($T139&lt;&gt;"",EDATE($D139,Milestones!$AA$146)&gt;=$T139),$W139,IF(AND($S139&lt;&gt;"",EDATE($D139,Milestones!$AA$146)&gt;=$S139),$V139,$U139)))=Milestones!$AB$146),UPPER(TEXT(EDATE($D139,Milestones!$AA$146),"dd mmm yy"))&amp;" "&amp;Milestones!$AB$146&amp;" "&amp;Milestones!$AC$146&amp;";  ","")&amp;IF(AND(EDATE($D139,Milestones!$AA$147)&lt;=AsOfDate,IF($R139=0,$X139,IF(AND($T139&lt;&gt;"",EDATE($D139,Milestones!$AA$147)&gt;=$T139),$W139,IF(AND($S139&lt;&gt;"",EDATE($D139,Milestones!$AA$147)&gt;=$S139),$V139,$U139)))=Milestones!$AB$147),UPPER(TEXT(EDATE($D139,Milestones!$AA$147),"dd mmm yy"))&amp;" "&amp;Milestones!$AB$147&amp;" "&amp;Milestones!$AC$147&amp;";  ","")&amp;IF(AND(EDATE($D139,Milestones!$AA$148)&lt;=AsOfDate,IF($R139=0,$X139,IF(AND($T139&lt;&gt;"",EDATE($D139,Milestones!$AA$148)&gt;=$T139),$W139,IF(AND($S139&lt;&gt;"",EDATE($D139,Milestones!$AA$148)&gt;=$S139),$V139,$U139)))=Milestones!$AB$148),UPPER(TEXT(EDATE($D139,Milestones!$AA$148),"dd mmm yy"))&amp;" "&amp;Milestones!$AB$148&amp;" "&amp;Milestones!$AC$148&amp;";  ","")&amp;IF(AND(EDATE($D139,Milestones!$AA$149)&lt;=AsOfDate,IF($R139=0,$X139,IF(AND($T139&lt;&gt;"",EDATE($D139,Milestones!$AA$149)&gt;=$T139),$W139,IF(AND($S139&lt;&gt;"",EDATE($D139,Milestones!$AA$149)&gt;=$S139),$V139,$U139)))=Milestones!$AB$149),UPPER(TEXT(EDATE($D139,Milestones!$AA$149),"dd mmm yy"))&amp;" "&amp;Milestones!$AB$149&amp;" "&amp;Milestones!$AC$149&amp;";  ","")&amp;IF(AND(EDATE($D139,Milestones!$AA$150)&lt;=AsOfDate,IF($R139=0,$X139,IF(AND($T139&lt;&gt;"",EDATE($D139,Milestones!$AA$150)&gt;=$T139),$W139,IF(AND($S139&lt;&gt;"",EDATE($D139,Milestones!$AA$150)&gt;=$S139),$V139,$U139)))=Milestones!$AB$150),UPPER(TEXT(EDATE($D139,Milestones!$AA$150),"dd mmm yy"))&amp;" "&amp;Milestones!$AB$150&amp;" "&amp;Milestones!$AC$150&amp;";  ","")&amp;IF(AND(EDATE($D139,Milestones!$AA$151)&lt;=AsOfDate,IF($R139=0,$X139,IF(AND($T139&lt;&gt;"",EDATE($D139,Milestones!$AA$151)&gt;=$T139),$W139,IF(AND($S139&lt;&gt;"",EDATE($D139,Milestones!$AA$151)&gt;=$S139),$V139,$U139)))=Milestones!$AB$151),UPPER(TEXT(EDATE($D139,Milestones!$AA$151),"dd mmm yy"))&amp;" "&amp;Milestones!$AB$151&amp;" "&amp;Milestones!$AC$151&amp;";  ","")&amp;IF(AND(EDATE($D139,Milestones!$AA$152)&lt;=AsOfDate,IF($R139=0,$X139,IF(AND($T139&lt;&gt;"",EDATE($D139,Milestones!$AA$152)&gt;=$T139),$W139,IF(AND($S139&lt;&gt;"",EDATE($D139,Milestones!$AA$152)&gt;=$S139),$V139,$U139)))=Milestones!$AB$152),UPPER(TEXT(EDATE($D139,Milestones!$AA$152),"dd mmm yy"))&amp;" "&amp;Milestones!$AB$152&amp;" "&amp;Milestones!$AC$152&amp;";  ","")&amp;IF(AND(EDATE($D139,Milestones!$AA$153)&lt;=AsOfDate,IF($R139=0,$X139,IF(AND($T139&lt;&gt;"",EDATE($D139,Milestones!$AA$153)&gt;=$T139),$W139,IF(AND($S139&lt;&gt;"",EDATE($D139,Milestones!$AA$153)&gt;=$S139),$V139,$U139)))=Milestones!$AB$153),UPPER(TEXT(EDATE($D139,Milestones!$AA$153),"dd mmm yy"))&amp;" "&amp;Milestones!$AB$153&amp;" "&amp;Milestones!$AC$153&amp;";  ","")&amp;IF(AND(EDATE($D139,Milestones!$AA$154)&lt;=AsOfDate,IF($R139=0,$X139,IF(AND($T139&lt;&gt;"",EDATE($D139,Milestones!$AA$154)&gt;=$T139),$W139,IF(AND($S139&lt;&gt;"",EDATE($D139,Milestones!$AA$154)&gt;=$S139),$V139,$U139)))=Milestones!$AB$154),UPPER(TEXT(EDATE($D139,Milestones!$AA$154),"dd mmm yy"))&amp;" "&amp;Milestones!$AB$154&amp;" "&amp;Milestones!$AC$154&amp;";  ","")&amp;IF(AND(EDATE($D139,Milestones!$AA$155)&lt;=AsOfDate,IF($R139=0,$X139,IF(AND($T139&lt;&gt;"",EDATE($D139,Milestones!$AA$155)&gt;=$T139),$W139,IF(AND($S139&lt;&gt;"",EDATE($D139,Milestones!$AA$155)&gt;=$S139),$V139,$U139)))=Milestones!$AB$155),UPPER(TEXT(EDATE($D139,Milestones!$AA$155),"dd mmm yy"))&amp;" "&amp;Milestones!$AB$155&amp;" "&amp;Milestones!$AC$155&amp;";  ","")&amp;IF(AND(EDATE($D139,Milestones!$AA$156)&lt;=AsOfDate,IF($R139=0,$X139,IF(AND($T139&lt;&gt;"",EDATE($D139,Milestones!$AA$156)&gt;=$T139),$W139,IF(AND($S139&lt;&gt;"",EDATE($D139,Milestones!$AA$156)&gt;=$S139),$V139,$U139)))=Milestones!$AB$156),UPPER(TEXT(EDATE($D139,Milestones!$AA$156),"dd mmm yy"))&amp;" "&amp;Milestones!$AB$156&amp;" "&amp;Milestones!$AC$156&amp;";  ","")&amp;IF(AND(EDATE($D139,Milestones!$AA$157)&lt;=AsOfDate,IF($R139=0,$X139,IF(AND($T139&lt;&gt;"",EDATE($D139,Milestones!$AA$157)&gt;=$T139),$W139,IF(AND($S139&lt;&gt;"",EDATE($D139,Milestones!$AA$157)&gt;=$S139),$V139,$U139)))=Milestones!$AB$157),UPPER(TEXT(EDATE($D139,Milestones!$AA$157),"dd mmm yy"))&amp;" "&amp;Milestones!$AB$157&amp;" "&amp;Milestones!$AC$157&amp;";  ","")&amp;IF(AND(EDATE($D139,Milestones!$AA$158)&lt;=AsOfDate,IF($R139=0,$X139,IF(AND($T139&lt;&gt;"",EDATE($D139,Milestones!$AA$158)&gt;=$T139),$W139,IF(AND($S139&lt;&gt;"",EDATE($D139,Milestones!$AA$158)&gt;=$S139),$V139,$U139)))=Milestones!$AB$158),UPPER(TEXT(EDATE($D139,Milestones!$AA$158),"dd mmm yy"))&amp;" "&amp;Milestones!$AB$158&amp;" "&amp;Milestones!$AC$158&amp;";  ","")&amp;IF(AND(EDATE($D139,Milestones!$AA$159)&lt;=AsOfDate,IF($R139=0,$X139,IF(AND($T139&lt;&gt;"",EDATE($D139,Milestones!$AA$159)&gt;=$T139),$W139,IF(AND($S139&lt;&gt;"",EDATE($D139,Milestones!$AA$159)&gt;=$S139),$V139,$U139)))=Milestones!$AB$159),UPPER(TEXT(EDATE($D139,Milestones!$AA$159),"dd mmm yy"))&amp;" "&amp;Milestones!$AB$159&amp;" "&amp;Milestones!$AC$159&amp;";  ",""))</f>
        <v/>
      </c>
      <c r="P139" s="0" t="str">
        <f aca="false">IF(OR($A139="",$D139=""),"",IF(AND(EDATE($D139,Milestones!$AA$160)&lt;=AsOfDate,IF($R139=0,$X139,IF(AND($T139&lt;&gt;"",EDATE($D139,Milestones!$AA$160)&gt;=$T139),$W139,IF(AND($S139&lt;&gt;"",EDATE($D139,Milestones!$AA$160)&gt;=$S139),$V139,$U139)))=Milestones!$AB$160),UPPER(TEXT(EDATE($D139,Milestones!$AA$160),"dd mmm yy"))&amp;" "&amp;Milestones!$AB$160&amp;" "&amp;Milestones!$AC$160&amp;";  ","")&amp;IF(AND(EDATE($D139,Milestones!$AA$161)&lt;=AsOfDate,IF($R139=0,$X139,IF(AND($T139&lt;&gt;"",EDATE($D139,Milestones!$AA$161)&gt;=$T139),$W139,IF(AND($S139&lt;&gt;"",EDATE($D139,Milestones!$AA$161)&gt;=$S139),$V139,$U139)))=Milestones!$AB$161),UPPER(TEXT(EDATE($D139,Milestones!$AA$161),"dd mmm yy"))&amp;" "&amp;Milestones!$AB$161&amp;" "&amp;Milestones!$AC$161&amp;";  ","")&amp;IF(AND(EDATE($D139,Milestones!$AA$162)&lt;=AsOfDate,IF($R139=0,$X139,IF(AND($T139&lt;&gt;"",EDATE($D139,Milestones!$AA$162)&gt;=$T139),$W139,IF(AND($S139&lt;&gt;"",EDATE($D139,Milestones!$AA$162)&gt;=$S139),$V139,$U139)))=Milestones!$AB$162),UPPER(TEXT(EDATE($D139,Milestones!$AA$162),"dd mmm yy"))&amp;" "&amp;Milestones!$AB$162&amp;" "&amp;Milestones!$AC$162&amp;";  ","")&amp;IF(AND(EDATE($D139,Milestones!$AA$163)&lt;=AsOfDate,IF($R139=0,$X139,IF(AND($T139&lt;&gt;"",EDATE($D139,Milestones!$AA$163)&gt;=$T139),$W139,IF(AND($S139&lt;&gt;"",EDATE($D139,Milestones!$AA$163)&gt;=$S139),$V139,$U139)))=Milestones!$AB$163),UPPER(TEXT(EDATE($D139,Milestones!$AA$163),"dd mmm yy"))&amp;" "&amp;Milestones!$AB$163&amp;" "&amp;Milestones!$AC$163&amp;";  ","")&amp;IF(AND(EDATE($D139,Milestones!$AA$164)&lt;=AsOfDate,IF($R139=0,$X139,IF(AND($T139&lt;&gt;"",EDATE($D139,Milestones!$AA$164)&gt;=$T139),$W139,IF(AND($S139&lt;&gt;"",EDATE($D139,Milestones!$AA$164)&gt;=$S139),$V139,$U139)))=Milestones!$AB$164),UPPER(TEXT(EDATE($D139,Milestones!$AA$164),"dd mmm yy"))&amp;" "&amp;Milestones!$AB$164&amp;" "&amp;Milestones!$AC$164&amp;";  ","")&amp;IF(AND(EDATE($D139,Milestones!$AA$165)&lt;=AsOfDate,IF($R139=0,$X139,IF(AND($T139&lt;&gt;"",EDATE($D139,Milestones!$AA$165)&gt;=$T139),$W139,IF(AND($S139&lt;&gt;"",EDATE($D139,Milestones!$AA$165)&gt;=$S139),$V139,$U139)))=Milestones!$AB$165),UPPER(TEXT(EDATE($D139,Milestones!$AA$165),"dd mmm yy"))&amp;" "&amp;Milestones!$AB$165&amp;" "&amp;Milestones!$AC$165&amp;";  ","")&amp;IF(AND(EDATE($D139,Milestones!$AA$166)&lt;=AsOfDate,IF($R139=0,$X139,IF(AND($T139&lt;&gt;"",EDATE($D139,Milestones!$AA$166)&gt;=$T139),$W139,IF(AND($S139&lt;&gt;"",EDATE($D139,Milestones!$AA$166)&gt;=$S139),$V139,$U139)))=Milestones!$AB$166),UPPER(TEXT(EDATE($D139,Milestones!$AA$166),"dd mmm yy"))&amp;" "&amp;Milestones!$AB$166&amp;" "&amp;Milestones!$AC$166&amp;";  ","")&amp;IF(AND(EDATE($D139,Milestones!$AA$167)&lt;=AsOfDate,IF($R139=0,$X139,IF(AND($T139&lt;&gt;"",EDATE($D139,Milestones!$AA$167)&gt;=$T139),$W139,IF(AND($S139&lt;&gt;"",EDATE($D139,Milestones!$AA$167)&gt;=$S139),$V139,$U139)))=Milestones!$AB$167),UPPER(TEXT(EDATE($D139,Milestones!$AA$167),"dd mmm yy"))&amp;" "&amp;Milestones!$AB$167&amp;" "&amp;Milestones!$AC$167&amp;";  ","")&amp;IF(AND(EDATE($D139,Milestones!$AA$168)&lt;=AsOfDate,IF($R139=0,$X139,IF(AND($T139&lt;&gt;"",EDATE($D139,Milestones!$AA$168)&gt;=$T139),$W139,IF(AND($S139&lt;&gt;"",EDATE($D139,Milestones!$AA$168)&gt;=$S139),$V139,$U139)))=Milestones!$AB$168),UPPER(TEXT(EDATE($D139,Milestones!$AA$168),"dd mmm yy"))&amp;" "&amp;Milestones!$AB$168&amp;" "&amp;Milestones!$AC$168&amp;";  ","")&amp;IF(AND(EDATE($D139,Milestones!$AA$169)&lt;=AsOfDate,IF($R139=0,$X139,IF(AND($T139&lt;&gt;"",EDATE($D139,Milestones!$AA$169)&gt;=$T139),$W139,IF(AND($S139&lt;&gt;"",EDATE($D139,Milestones!$AA$169)&gt;=$S139),$V139,$U139)))=Milestones!$AB$169),UPPER(TEXT(EDATE($D139,Milestones!$AA$169),"dd mmm yy"))&amp;" "&amp;Milestones!$AB$169&amp;" "&amp;Milestones!$AC$169&amp;";  ","")&amp;IF(AND(EDATE($D139,Milestones!$AA$170)&lt;=AsOfDate,IF($R139=0,$X139,IF(AND($T139&lt;&gt;"",EDATE($D139,Milestones!$AA$170)&gt;=$T139),$W139,IF(AND($S139&lt;&gt;"",EDATE($D139,Milestones!$AA$170)&gt;=$S139),$V139,$U139)))=Milestones!$AB$170),UPPER(TEXT(EDATE($D139,Milestones!$AA$170),"dd mmm yy"))&amp;" "&amp;Milestones!$AB$170&amp;" "&amp;Milestones!$AC$170&amp;";  ","")&amp;IF(AND(EDATE($D139,Milestones!$AA$171)&lt;=AsOfDate,IF($R139=0,$X139,IF(AND($T139&lt;&gt;"",EDATE($D139,Milestones!$AA$171)&gt;=$T139),$W139,IF(AND($S139&lt;&gt;"",EDATE($D139,Milestones!$AA$171)&gt;=$S139),$V139,$U139)))=Milestones!$AB$171),UPPER(TEXT(EDATE($D139,Milestones!$AA$171),"dd mmm yy"))&amp;" "&amp;Milestones!$AB$171&amp;" "&amp;Milestones!$AC$171&amp;";  ","")&amp;IF(AND(EDATE($D139,Milestones!$AA$172)&lt;=AsOfDate,IF($R139=0,$X139,IF(AND($T139&lt;&gt;"",EDATE($D139,Milestones!$AA$172)&gt;=$T139),$W139,IF(AND($S139&lt;&gt;"",EDATE($D139,Milestones!$AA$172)&gt;=$S139),$V139,$U139)))=Milestones!$AB$172),UPPER(TEXT(EDATE($D139,Milestones!$AA$172),"dd mmm yy"))&amp;" "&amp;Milestones!$AB$172&amp;" "&amp;Milestones!$AC$172&amp;";  ","")&amp;IF(AND(EDATE($D139,Milestones!$AA$173)&lt;=AsOfDate,IF($R139=0,$X139,IF(AND($T139&lt;&gt;"",EDATE($D139,Milestones!$AA$173)&gt;=$T139),$W139,IF(AND($S139&lt;&gt;"",EDATE($D139,Milestones!$AA$173)&gt;=$S139),$V139,$U139)))=Milestones!$AB$173),UPPER(TEXT(EDATE($D139,Milestones!$AA$173),"dd mmm yy"))&amp;" "&amp;Milestones!$AB$173&amp;" "&amp;Milestones!$AC$173&amp;";  ","")&amp;IF(AND(EDATE($D139,Milestones!$AA$174)&lt;=AsOfDate,IF($R139=0,$X139,IF(AND($T139&lt;&gt;"",EDATE($D139,Milestones!$AA$174)&gt;=$T139),$W139,IF(AND($S139&lt;&gt;"",EDATE($D139,Milestones!$AA$174)&gt;=$S139),$V139,$U139)))=Milestones!$AB$174),UPPER(TEXT(EDATE($D139,Milestones!$AA$174),"dd mmm yy"))&amp;" "&amp;Milestones!$AB$174&amp;" "&amp;Milestones!$AC$174&amp;";  ","")&amp;IF(AND(EDATE($D139,Milestones!$AA$175)&lt;=AsOfDate,IF($R139=0,$X139,IF(AND($T139&lt;&gt;"",EDATE($D139,Milestones!$AA$175)&gt;=$T139),$W139,IF(AND($S139&lt;&gt;"",EDATE($D139,Milestones!$AA$175)&gt;=$S139),$V139,$U139)))=Milestones!$AB$175),UPPER(TEXT(EDATE($D139,Milestones!$AA$175),"dd mmm yy"))&amp;" "&amp;Milestones!$AB$175&amp;" "&amp;Milestones!$AC$175&amp;";  ","")&amp;IF(AND(EDATE($D139,Milestones!$AA$176)&lt;=AsOfDate,IF($R139=0,$X139,IF(AND($T139&lt;&gt;"",EDATE($D139,Milestones!$AA$176)&gt;=$T139),$W139,IF(AND($S139&lt;&gt;"",EDATE($D139,Milestones!$AA$176)&gt;=$S139),$V139,$U139)))=Milestones!$AB$176),UPPER(TEXT(EDATE($D139,Milestones!$AA$176),"dd mmm yy"))&amp;" "&amp;Milestones!$AB$176&amp;" "&amp;Milestones!$AC$176&amp;";  ","")&amp;IF(AND(EDATE($D139,Milestones!$AA$177)&lt;=AsOfDate,IF($R139=0,$X139,IF(AND($T139&lt;&gt;"",EDATE($D139,Milestones!$AA$177)&gt;=$T139),$W139,IF(AND($S139&lt;&gt;"",EDATE($D139,Milestones!$AA$177)&gt;=$S139),$V139,$U139)))=Milestones!$AB$177),UPPER(TEXT(EDATE($D139,Milestones!$AA$177),"dd mmm yy"))&amp;" "&amp;Milestones!$AB$177&amp;" "&amp;Milestones!$AC$177&amp;";  ","")&amp;IF(AND(EDATE($D139,Milestones!$AA$178)&lt;=AsOfDate,IF($R139=0,$X139,IF(AND($T139&lt;&gt;"",EDATE($D139,Milestones!$AA$178)&gt;=$T139),$W139,IF(AND($S139&lt;&gt;"",EDATE($D139,Milestones!$AA$178)&gt;=$S139),$V139,$U139)))=Milestones!$AB$178),UPPER(TEXT(EDATE($D139,Milestones!$AA$178),"dd mmm yy"))&amp;" "&amp;Milestones!$AB$178&amp;" "&amp;Milestones!$AC$178&amp;";  ","")&amp;IF(AND(EDATE($D139,Milestones!$AA$179)&lt;=AsOfDate,IF($R139=0,$X139,IF(AND($T139&lt;&gt;"",EDATE($D139,Milestones!$AA$179)&gt;=$T139),$W139,IF(AND($S139&lt;&gt;"",EDATE($D139,Milestones!$AA$179)&gt;=$S139),$V139,$U139)))=Milestones!$AB$179),UPPER(TEXT(EDATE($D139,Milestones!$AA$179),"dd mmm yy"))&amp;" "&amp;Milestones!$AB$179&amp;" "&amp;Milestones!$AC$179&amp;";  ",""))</f>
        <v/>
      </c>
      <c r="Q139" s="0" t="str">
        <f aca="false">IF(OR($A139="",$D139=""),"",IF(AND(EDATE($D139,Milestones!$AA$180)&lt;=AsOfDate,IF($R139=0,$X139,IF(AND($T139&lt;&gt;"",EDATE($D139,Milestones!$AA$180)&gt;=$T139),$W139,IF(AND($S139&lt;&gt;"",EDATE($D139,Milestones!$AA$180)&gt;=$S139),$V139,$U139)))=Milestones!$AB$180),UPPER(TEXT(EDATE($D139,Milestones!$AA$180),"dd mmm yy"))&amp;" "&amp;Milestones!$AB$180&amp;" "&amp;Milestones!$AC$180&amp;";  ","")&amp;IF(AND(EDATE($D139,Milestones!$AA$181)&lt;=AsOfDate,IF($R139=0,$X139,IF(AND($T139&lt;&gt;"",EDATE($D139,Milestones!$AA$181)&gt;=$T139),$W139,IF(AND($S139&lt;&gt;"",EDATE($D139,Milestones!$AA$181)&gt;=$S139),$V139,$U139)))=Milestones!$AB$181),UPPER(TEXT(EDATE($D139,Milestones!$AA$181),"dd mmm yy"))&amp;" "&amp;Milestones!$AB$181&amp;" "&amp;Milestones!$AC$181&amp;";  ","")&amp;IF(AND(EDATE($D139,Milestones!$AA$182)&lt;=AsOfDate,IF($R139=0,$X139,IF(AND($T139&lt;&gt;"",EDATE($D139,Milestones!$AA$182)&gt;=$T139),$W139,IF(AND($S139&lt;&gt;"",EDATE($D139,Milestones!$AA$182)&gt;=$S139),$V139,$U139)))=Milestones!$AB$182),UPPER(TEXT(EDATE($D139,Milestones!$AA$182),"dd mmm yy"))&amp;" "&amp;Milestones!$AB$182&amp;" "&amp;Milestones!$AC$182&amp;";  ","")&amp;IF(AND(EDATE($D139,Milestones!$AA$183)&lt;=AsOfDate,IF($R139=0,$X139,IF(AND($T139&lt;&gt;"",EDATE($D139,Milestones!$AA$183)&gt;=$T139),$W139,IF(AND($S139&lt;&gt;"",EDATE($D139,Milestones!$AA$183)&gt;=$S139),$V139,$U139)))=Milestones!$AB$183),UPPER(TEXT(EDATE($D139,Milestones!$AA$183),"dd mmm yy"))&amp;" "&amp;Milestones!$AB$183&amp;" "&amp;Milestones!$AC$183&amp;";  ","")&amp;IF(AND(EDATE($D139,Milestones!$AA$184)&lt;=AsOfDate,IF($R139=0,$X139,IF(AND($T139&lt;&gt;"",EDATE($D139,Milestones!$AA$184)&gt;=$T139),$W139,IF(AND($S139&lt;&gt;"",EDATE($D139,Milestones!$AA$184)&gt;=$S139),$V139,$U139)))=Milestones!$AB$184),UPPER(TEXT(EDATE($D139,Milestones!$AA$184),"dd mmm yy"))&amp;" "&amp;Milestones!$AB$184&amp;" "&amp;Milestones!$AC$184&amp;";  ","")&amp;IF(AND(EDATE($D139,Milestones!$AA$185)&lt;=AsOfDate,IF($R139=0,$X139,IF(AND($T139&lt;&gt;"",EDATE($D139,Milestones!$AA$185)&gt;=$T139),$W139,IF(AND($S139&lt;&gt;"",EDATE($D139,Milestones!$AA$185)&gt;=$S139),$V139,$U139)))=Milestones!$AB$185),UPPER(TEXT(EDATE($D139,Milestones!$AA$185),"dd mmm yy"))&amp;" "&amp;Milestones!$AB$185&amp;" "&amp;Milestones!$AC$185&amp;";  ","")&amp;IF(AND(EDATE($D139,Milestones!$AA$186)&lt;=AsOfDate,IF($R139=0,$X139,IF(AND($T139&lt;&gt;"",EDATE($D139,Milestones!$AA$186)&gt;=$T139),$W139,IF(AND($S139&lt;&gt;"",EDATE($D139,Milestones!$AA$186)&gt;=$S139),$V139,$U139)))=Milestones!$AB$186),UPPER(TEXT(EDATE($D139,Milestones!$AA$186),"dd mmm yy"))&amp;" "&amp;Milestones!$AB$186&amp;" "&amp;Milestones!$AC$186&amp;";  ","")&amp;IF(AND(EDATE($D139,Milestones!$AA$187)&lt;=AsOfDate,IF($R139=0,$X139,IF(AND($T139&lt;&gt;"",EDATE($D139,Milestones!$AA$187)&gt;=$T139),$W139,IF(AND($S139&lt;&gt;"",EDATE($D139,Milestones!$AA$187)&gt;=$S139),$V139,$U139)))=Milestones!$AB$187),UPPER(TEXT(EDATE($D139,Milestones!$AA$187),"dd mmm yy"))&amp;" "&amp;Milestones!$AB$187&amp;" "&amp;Milestones!$AC$187&amp;";  ","")&amp;IF(AND(EDATE($D139,Milestones!$AA$188)&lt;=AsOfDate,IF($R139=0,$X139,IF(AND($T139&lt;&gt;"",EDATE($D139,Milestones!$AA$188)&gt;=$T139),$W139,IF(AND($S139&lt;&gt;"",EDATE($D139,Milestones!$AA$188)&gt;=$S139),$V139,$U139)))=Milestones!$AB$188),UPPER(TEXT(EDATE($D139,Milestones!$AA$188),"dd mmm yy"))&amp;" "&amp;Milestones!$AB$188&amp;" "&amp;Milestones!$AC$188&amp;";  ","")&amp;IF(AND(EDATE($D139,Milestones!$AA$189)&lt;=AsOfDate,IF($R139=0,$X139,IF(AND($T139&lt;&gt;"",EDATE($D139,Milestones!$AA$189)&gt;=$T139),$W139,IF(AND($S139&lt;&gt;"",EDATE($D139,Milestones!$AA$189)&gt;=$S139),$V139,$U139)))=Milestones!$AB$189),UPPER(TEXT(EDATE($D139,Milestones!$AA$189),"dd mmm yy"))&amp;" "&amp;Milestones!$AB$189&amp;" "&amp;Milestones!$AC$189&amp;";  ","")&amp;IF(AND(EDATE($D139,Milestones!$AA$190)&lt;=AsOfDate,IF($R139=0,$X139,IF(AND($T139&lt;&gt;"",EDATE($D139,Milestones!$AA$190)&gt;=$T139),$W139,IF(AND($S139&lt;&gt;"",EDATE($D139,Milestones!$AA$190)&gt;=$S139),$V139,$U139)))=Milestones!$AB$190),UPPER(TEXT(EDATE($D139,Milestones!$AA$190),"dd mmm yy"))&amp;" "&amp;Milestones!$AB$190&amp;" "&amp;Milestones!$AC$190&amp;";  ","")&amp;IF(AND(EDATE($D139,Milestones!$AA$191)&lt;=AsOfDate,IF($R139=0,$X139,IF(AND($T139&lt;&gt;"",EDATE($D139,Milestones!$AA$191)&gt;=$T139),$W139,IF(AND($S139&lt;&gt;"",EDATE($D139,Milestones!$AA$191)&gt;=$S139),$V139,$U139)))=Milestones!$AB$191),UPPER(TEXT(EDATE($D139,Milestones!$AA$191),"dd mmm yy"))&amp;" "&amp;Milestones!$AB$191&amp;" "&amp;Milestones!$AC$191&amp;";  ","")&amp;IF(AND(EDATE($D139,Milestones!$AA$192)&lt;=AsOfDate,IF($R139=0,$X139,IF(AND($T139&lt;&gt;"",EDATE($D139,Milestones!$AA$192)&gt;=$T139),$W139,IF(AND($S139&lt;&gt;"",EDATE($D139,Milestones!$AA$192)&gt;=$S139),$V139,$U139)))=Milestones!$AB$192),UPPER(TEXT(EDATE($D139,Milestones!$AA$192),"dd mmm yy"))&amp;" "&amp;Milestones!$AB$192&amp;" "&amp;Milestones!$AC$192&amp;";  ","")&amp;IF(AND(EDATE($D139,Milestones!$AA$193)&lt;=AsOfDate,IF($R139=0,$X139,IF(AND($T139&lt;&gt;"",EDATE($D139,Milestones!$AA$193)&gt;=$T139),$W139,IF(AND($S139&lt;&gt;"",EDATE($D139,Milestones!$AA$193)&gt;=$S139),$V139,$U139)))=Milestones!$AB$193),UPPER(TEXT(EDATE($D139,Milestones!$AA$193),"dd mmm yy"))&amp;" "&amp;Milestones!$AB$193&amp;" "&amp;Milestones!$AC$193&amp;";  ","")&amp;IF(AND(EDATE($D139,Milestones!$AA$194)&lt;=AsOfDate,IF($R139=0,$X139,IF(AND($T139&lt;&gt;"",EDATE($D139,Milestones!$AA$194)&gt;=$T139),$W139,IF(AND($S139&lt;&gt;"",EDATE($D139,Milestones!$AA$194)&gt;=$S139),$V139,$U139)))=Milestones!$AB$194),UPPER(TEXT(EDATE($D139,Milestones!$AA$194),"dd mmm yy"))&amp;" "&amp;Milestones!$AB$194&amp;" "&amp;Milestones!$AC$194&amp;";  ","")&amp;IF(AND(EDATE($D139,Milestones!$AA$195)&lt;=AsOfDate,IF($R139=0,$X139,IF(AND($T139&lt;&gt;"",EDATE($D139,Milestones!$AA$195)&gt;=$T139),$W139,IF(AND($S139&lt;&gt;"",EDATE($D139,Milestones!$AA$195)&gt;=$S139),$V139,$U139)))=Milestones!$AB$195),UPPER(TEXT(EDATE($D139,Milestones!$AA$195),"dd mmm yy"))&amp;" "&amp;Milestones!$AB$195&amp;" "&amp;Milestones!$AC$195&amp;";  ","")&amp;IF(AND(EDATE($D139,Milestones!$AA$196)&lt;=AsOfDate,IF($R139=0,$X139,IF(AND($T139&lt;&gt;"",EDATE($D139,Milestones!$AA$196)&gt;=$T139),$W139,IF(AND($S139&lt;&gt;"",EDATE($D139,Milestones!$AA$196)&gt;=$S139),$V139,$U139)))=Milestones!$AB$196),UPPER(TEXT(EDATE($D139,Milestones!$AA$196),"dd mmm yy"))&amp;" "&amp;Milestones!$AB$196&amp;" "&amp;Milestones!$AC$196&amp;";  ","")&amp;IF(AND(EDATE($D139,Milestones!$AA$197)&lt;=AsOfDate,IF($R139=0,$X139,IF(AND($T139&lt;&gt;"",EDATE($D139,Milestones!$AA$197)&gt;=$T139),$W139,IF(AND($S139&lt;&gt;"",EDATE($D139,Milestones!$AA$197)&gt;=$S139),$V139,$U139)))=Milestones!$AB$197),UPPER(TEXT(EDATE($D139,Milestones!$AA$197),"dd mmm yy"))&amp;" "&amp;Milestones!$AB$197&amp;" "&amp;Milestones!$AC$197&amp;";  ","")&amp;IF(AND(EDATE($D139,Milestones!$AA$198)&lt;=AsOfDate,IF($R139=0,$X139,IF(AND($T139&lt;&gt;"",EDATE($D139,Milestones!$AA$198)&gt;=$T139),$W139,IF(AND($S139&lt;&gt;"",EDATE($D139,Milestones!$AA$198)&gt;=$S139),$V139,$U139)))=Milestones!$AB$198),UPPER(TEXT(EDATE($D139,Milestones!$AA$198),"dd mmm yy"))&amp;" "&amp;Milestones!$AB$198&amp;" "&amp;Milestones!$AC$198&amp;";  ","")&amp;IF(AND(EDATE($D139,Milestones!$AA$199)&lt;=AsOfDate,IF($R139=0,$X139,IF(AND($T139&lt;&gt;"",EDATE($D139,Milestones!$AA$199)&gt;=$T139),$W139,IF(AND($S139&lt;&gt;"",EDATE($D139,Milestones!$AA$199)&gt;=$S139),$V139,$U139)))=Milestones!$AB$199),UPPER(TEXT(EDATE($D139,Milestones!$AA$199),"dd mmm yy"))&amp;" "&amp;Milestones!$AB$199&amp;" "&amp;Milestones!$AC$199&amp;";  ",""))</f>
        <v/>
      </c>
      <c r="R139" s="0" t="str">
        <f aca="false">IF(Staff!$A139="","",Staff!$AI139)</f>
        <v/>
      </c>
      <c r="S139" s="0" t="str">
        <f aca="false">IF(Staff!$A139="","",Staff!$AK139)</f>
        <v/>
      </c>
      <c r="T139" s="0" t="str">
        <f aca="false">IF(Staff!$A139="","",Staff!$AL139)</f>
        <v/>
      </c>
      <c r="U139" s="0" t="str">
        <f aca="false">IF(Staff!$A139="","",Staff!$AP139)</f>
        <v/>
      </c>
      <c r="V139" s="0" t="str">
        <f aca="false">IF(Staff!$A139="","",Staff!$AQ139)</f>
        <v/>
      </c>
      <c r="W139" s="0" t="str">
        <f aca="false">IF(Staff!$A139="","",Staff!$AR139)</f>
        <v/>
      </c>
      <c r="X139" s="0" t="str">
        <f aca="false">IF(Staff!$A139="","",Staff!$AS139)</f>
        <v/>
      </c>
    </row>
    <row r="140" customFormat="false" ht="15" hidden="false" customHeight="false" outlineLevel="0" collapsed="false">
      <c r="A140" s="19" t="str">
        <f aca="false">IF(Staff!$A140="","",Staff!$A140)</f>
        <v/>
      </c>
      <c r="B140" s="19" t="str">
        <f aca="false">IF(Staff!$A140="","",Staff!$B140)</f>
        <v/>
      </c>
      <c r="C140" s="19" t="str">
        <f aca="false">IF(Staff!$A140="","",Staff!$C140)</f>
        <v/>
      </c>
      <c r="D140" s="17" t="str">
        <f aca="false">IF(Staff!$A140="","",Staff!$AH140)</f>
        <v/>
      </c>
      <c r="E140" s="19" t="str">
        <f aca="false">IF(Staff!$A140="","",Staff!$O140)</f>
        <v/>
      </c>
      <c r="F140" s="19" t="str">
        <f aca="false">IF(E140="","",E140*HoursPerDay)</f>
        <v/>
      </c>
      <c r="G140" s="19" t="str">
        <f aca="false">IF(Staff!$A140="","",Staff!$AE140)</f>
        <v/>
      </c>
      <c r="H140" s="32" t="str">
        <f aca="false">IF($A140="","",I140&amp;J140&amp;K140&amp;L140&amp;M140&amp;N140&amp;O140&amp;P140&amp;Q140)</f>
        <v/>
      </c>
      <c r="I140" s="0" t="str">
        <f aca="false">IF(OR($A140="",$D140=""),"",IF(AND(EDATE($D140,Milestones!$AA$20)&lt;=AsOfDate,IF($R140=0,$X140,IF(AND($T140&lt;&gt;"",EDATE($D140,Milestones!$AA$20)&gt;=$T140),$W140,IF(AND($S140&lt;&gt;"",EDATE($D140,Milestones!$AA$20)&gt;=$S140),$V140,$U140)))=Milestones!$AB$20),UPPER(TEXT(EDATE($D140,Milestones!$AA$20),"dd mmm yy"))&amp;" "&amp;Milestones!$AB$20&amp;" "&amp;Milestones!$AC$20&amp;";  ","")&amp;IF(AND(EDATE($D140,Milestones!$AA$21)&lt;=AsOfDate,IF($R140=0,$X140,IF(AND($T140&lt;&gt;"",EDATE($D140,Milestones!$AA$21)&gt;=$T140),$W140,IF(AND($S140&lt;&gt;"",EDATE($D140,Milestones!$AA$21)&gt;=$S140),$V140,$U140)))=Milestones!$AB$21),UPPER(TEXT(EDATE($D140,Milestones!$AA$21),"dd mmm yy"))&amp;" "&amp;Milestones!$AB$21&amp;" "&amp;Milestones!$AC$21&amp;";  ","")&amp;IF(AND(EDATE($D140,Milestones!$AA$22)&lt;=AsOfDate,IF($R140=0,$X140,IF(AND($T140&lt;&gt;"",EDATE($D140,Milestones!$AA$22)&gt;=$T140),$W140,IF(AND($S140&lt;&gt;"",EDATE($D140,Milestones!$AA$22)&gt;=$S140),$V140,$U140)))=Milestones!$AB$22),UPPER(TEXT(EDATE($D140,Milestones!$AA$22),"dd mmm yy"))&amp;" "&amp;Milestones!$AB$22&amp;" "&amp;Milestones!$AC$22&amp;";  ","")&amp;IF(AND(EDATE($D140,Milestones!$AA$23)&lt;=AsOfDate,IF($R140=0,$X140,IF(AND($T140&lt;&gt;"",EDATE($D140,Milestones!$AA$23)&gt;=$T140),$W140,IF(AND($S140&lt;&gt;"",EDATE($D140,Milestones!$AA$23)&gt;=$S140),$V140,$U140)))=Milestones!$AB$23),UPPER(TEXT(EDATE($D140,Milestones!$AA$23),"dd mmm yy"))&amp;" "&amp;Milestones!$AB$23&amp;" "&amp;Milestones!$AC$23&amp;";  ","")&amp;IF(AND(EDATE($D140,Milestones!$AA$24)&lt;=AsOfDate,IF($R140=0,$X140,IF(AND($T140&lt;&gt;"",EDATE($D140,Milestones!$AA$24)&gt;=$T140),$W140,IF(AND($S140&lt;&gt;"",EDATE($D140,Milestones!$AA$24)&gt;=$S140),$V140,$U140)))=Milestones!$AB$24),UPPER(TEXT(EDATE($D140,Milestones!$AA$24),"dd mmm yy"))&amp;" "&amp;Milestones!$AB$24&amp;" "&amp;Milestones!$AC$24&amp;";  ","")&amp;IF(AND(EDATE($D140,Milestones!$AA$25)&lt;=AsOfDate,IF($R140=0,$X140,IF(AND($T140&lt;&gt;"",EDATE($D140,Milestones!$AA$25)&gt;=$T140),$W140,IF(AND($S140&lt;&gt;"",EDATE($D140,Milestones!$AA$25)&gt;=$S140),$V140,$U140)))=Milestones!$AB$25),UPPER(TEXT(EDATE($D140,Milestones!$AA$25),"dd mmm yy"))&amp;" "&amp;Milestones!$AB$25&amp;" "&amp;Milestones!$AC$25&amp;";  ","")&amp;IF(AND(EDATE($D140,Milestones!$AA$26)&lt;=AsOfDate,IF($R140=0,$X140,IF(AND($T140&lt;&gt;"",EDATE($D140,Milestones!$AA$26)&gt;=$T140),$W140,IF(AND($S140&lt;&gt;"",EDATE($D140,Milestones!$AA$26)&gt;=$S140),$V140,$U140)))=Milestones!$AB$26),UPPER(TEXT(EDATE($D140,Milestones!$AA$26),"dd mmm yy"))&amp;" "&amp;Milestones!$AB$26&amp;" "&amp;Milestones!$AC$26&amp;";  ","")&amp;IF(AND(EDATE($D140,Milestones!$AA$27)&lt;=AsOfDate,IF($R140=0,$X140,IF(AND($T140&lt;&gt;"",EDATE($D140,Milestones!$AA$27)&gt;=$T140),$W140,IF(AND($S140&lt;&gt;"",EDATE($D140,Milestones!$AA$27)&gt;=$S140),$V140,$U140)))=Milestones!$AB$27),UPPER(TEXT(EDATE($D140,Milestones!$AA$27),"dd mmm yy"))&amp;" "&amp;Milestones!$AB$27&amp;" "&amp;Milestones!$AC$27&amp;";  ","")&amp;IF(AND(EDATE($D140,Milestones!$AA$28)&lt;=AsOfDate,IF($R140=0,$X140,IF(AND($T140&lt;&gt;"",EDATE($D140,Milestones!$AA$28)&gt;=$T140),$W140,IF(AND($S140&lt;&gt;"",EDATE($D140,Milestones!$AA$28)&gt;=$S140),$V140,$U140)))=Milestones!$AB$28),UPPER(TEXT(EDATE($D140,Milestones!$AA$28),"dd mmm yy"))&amp;" "&amp;Milestones!$AB$28&amp;" "&amp;Milestones!$AC$28&amp;";  ","")&amp;IF(AND(EDATE($D140,Milestones!$AA$29)&lt;=AsOfDate,IF($R140=0,$X140,IF(AND($T140&lt;&gt;"",EDATE($D140,Milestones!$AA$29)&gt;=$T140),$W140,IF(AND($S140&lt;&gt;"",EDATE($D140,Milestones!$AA$29)&gt;=$S140),$V140,$U140)))=Milestones!$AB$29),UPPER(TEXT(EDATE($D140,Milestones!$AA$29),"dd mmm yy"))&amp;" "&amp;Milestones!$AB$29&amp;" "&amp;Milestones!$AC$29&amp;";  ","")&amp;IF(AND(EDATE($D140,Milestones!$AA$30)&lt;=AsOfDate,IF($R140=0,$X140,IF(AND($T140&lt;&gt;"",EDATE($D140,Milestones!$AA$30)&gt;=$T140),$W140,IF(AND($S140&lt;&gt;"",EDATE($D140,Milestones!$AA$30)&gt;=$S140),$V140,$U140)))=Milestones!$AB$30),UPPER(TEXT(EDATE($D140,Milestones!$AA$30),"dd mmm yy"))&amp;" "&amp;Milestones!$AB$30&amp;" "&amp;Milestones!$AC$30&amp;";  ","")&amp;IF(AND(EDATE($D140,Milestones!$AA$31)&lt;=AsOfDate,IF($R140=0,$X140,IF(AND($T140&lt;&gt;"",EDATE($D140,Milestones!$AA$31)&gt;=$T140),$W140,IF(AND($S140&lt;&gt;"",EDATE($D140,Milestones!$AA$31)&gt;=$S140),$V140,$U140)))=Milestones!$AB$31),UPPER(TEXT(EDATE($D140,Milestones!$AA$31),"dd mmm yy"))&amp;" "&amp;Milestones!$AB$31&amp;" "&amp;Milestones!$AC$31&amp;";  ","")&amp;IF(AND(EDATE($D140,Milestones!$AA$32)&lt;=AsOfDate,IF($R140=0,$X140,IF(AND($T140&lt;&gt;"",EDATE($D140,Milestones!$AA$32)&gt;=$T140),$W140,IF(AND($S140&lt;&gt;"",EDATE($D140,Milestones!$AA$32)&gt;=$S140),$V140,$U140)))=Milestones!$AB$32),UPPER(TEXT(EDATE($D140,Milestones!$AA$32),"dd mmm yy"))&amp;" "&amp;Milestones!$AB$32&amp;" "&amp;Milestones!$AC$32&amp;";  ","")&amp;IF(AND(EDATE($D140,Milestones!$AA$33)&lt;=AsOfDate,IF($R140=0,$X140,IF(AND($T140&lt;&gt;"",EDATE($D140,Milestones!$AA$33)&gt;=$T140),$W140,IF(AND($S140&lt;&gt;"",EDATE($D140,Milestones!$AA$33)&gt;=$S140),$V140,$U140)))=Milestones!$AB$33),UPPER(TEXT(EDATE($D140,Milestones!$AA$33),"dd mmm yy"))&amp;" "&amp;Milestones!$AB$33&amp;" "&amp;Milestones!$AC$33&amp;";  ","")&amp;IF(AND(EDATE($D140,Milestones!$AA$34)&lt;=AsOfDate,IF($R140=0,$X140,IF(AND($T140&lt;&gt;"",EDATE($D140,Milestones!$AA$34)&gt;=$T140),$W140,IF(AND($S140&lt;&gt;"",EDATE($D140,Milestones!$AA$34)&gt;=$S140),$V140,$U140)))=Milestones!$AB$34),UPPER(TEXT(EDATE($D140,Milestones!$AA$34),"dd mmm yy"))&amp;" "&amp;Milestones!$AB$34&amp;" "&amp;Milestones!$AC$34&amp;";  ","")&amp;IF(AND(EDATE($D140,Milestones!$AA$35)&lt;=AsOfDate,IF($R140=0,$X140,IF(AND($T140&lt;&gt;"",EDATE($D140,Milestones!$AA$35)&gt;=$T140),$W140,IF(AND($S140&lt;&gt;"",EDATE($D140,Milestones!$AA$35)&gt;=$S140),$V140,$U140)))=Milestones!$AB$35),UPPER(TEXT(EDATE($D140,Milestones!$AA$35),"dd mmm yy"))&amp;" "&amp;Milestones!$AB$35&amp;" "&amp;Milestones!$AC$35&amp;";  ","")&amp;IF(AND(EDATE($D140,Milestones!$AA$36)&lt;=AsOfDate,IF($R140=0,$X140,IF(AND($T140&lt;&gt;"",EDATE($D140,Milestones!$AA$36)&gt;=$T140),$W140,IF(AND($S140&lt;&gt;"",EDATE($D140,Milestones!$AA$36)&gt;=$S140),$V140,$U140)))=Milestones!$AB$36),UPPER(TEXT(EDATE($D140,Milestones!$AA$36),"dd mmm yy"))&amp;" "&amp;Milestones!$AB$36&amp;" "&amp;Milestones!$AC$36&amp;";  ","")&amp;IF(AND(EDATE($D140,Milestones!$AA$37)&lt;=AsOfDate,IF($R140=0,$X140,IF(AND($T140&lt;&gt;"",EDATE($D140,Milestones!$AA$37)&gt;=$T140),$W140,IF(AND($S140&lt;&gt;"",EDATE($D140,Milestones!$AA$37)&gt;=$S140),$V140,$U140)))=Milestones!$AB$37),UPPER(TEXT(EDATE($D140,Milestones!$AA$37),"dd mmm yy"))&amp;" "&amp;Milestones!$AB$37&amp;" "&amp;Milestones!$AC$37&amp;";  ","")&amp;IF(AND(EDATE($D140,Milestones!$AA$38)&lt;=AsOfDate,IF($R140=0,$X140,IF(AND($T140&lt;&gt;"",EDATE($D140,Milestones!$AA$38)&gt;=$T140),$W140,IF(AND($S140&lt;&gt;"",EDATE($D140,Milestones!$AA$38)&gt;=$S140),$V140,$U140)))=Milestones!$AB$38),UPPER(TEXT(EDATE($D140,Milestones!$AA$38),"dd mmm yy"))&amp;" "&amp;Milestones!$AB$38&amp;" "&amp;Milestones!$AC$38&amp;";  ","")&amp;IF(AND(EDATE($D140,Milestones!$AA$39)&lt;=AsOfDate,IF($R140=0,$X140,IF(AND($T140&lt;&gt;"",EDATE($D140,Milestones!$AA$39)&gt;=$T140),$W140,IF(AND($S140&lt;&gt;"",EDATE($D140,Milestones!$AA$39)&gt;=$S140),$V140,$U140)))=Milestones!$AB$39),UPPER(TEXT(EDATE($D140,Milestones!$AA$39),"dd mmm yy"))&amp;" "&amp;Milestones!$AB$39&amp;" "&amp;Milestones!$AC$39&amp;";  ",""))</f>
        <v/>
      </c>
      <c r="J140" s="0" t="str">
        <f aca="false">IF(OR($A140="",$D140=""),"",IF(AND(EDATE($D140,Milestones!$AA$40)&lt;=AsOfDate,IF($R140=0,$X140,IF(AND($T140&lt;&gt;"",EDATE($D140,Milestones!$AA$40)&gt;=$T140),$W140,IF(AND($S140&lt;&gt;"",EDATE($D140,Milestones!$AA$40)&gt;=$S140),$V140,$U140)))=Milestones!$AB$40),UPPER(TEXT(EDATE($D140,Milestones!$AA$40),"dd mmm yy"))&amp;" "&amp;Milestones!$AB$40&amp;" "&amp;Milestones!$AC$40&amp;";  ","")&amp;IF(AND(EDATE($D140,Milestones!$AA$41)&lt;=AsOfDate,IF($R140=0,$X140,IF(AND($T140&lt;&gt;"",EDATE($D140,Milestones!$AA$41)&gt;=$T140),$W140,IF(AND($S140&lt;&gt;"",EDATE($D140,Milestones!$AA$41)&gt;=$S140),$V140,$U140)))=Milestones!$AB$41),UPPER(TEXT(EDATE($D140,Milestones!$AA$41),"dd mmm yy"))&amp;" "&amp;Milestones!$AB$41&amp;" "&amp;Milestones!$AC$41&amp;";  ","")&amp;IF(AND(EDATE($D140,Milestones!$AA$42)&lt;=AsOfDate,IF($R140=0,$X140,IF(AND($T140&lt;&gt;"",EDATE($D140,Milestones!$AA$42)&gt;=$T140),$W140,IF(AND($S140&lt;&gt;"",EDATE($D140,Milestones!$AA$42)&gt;=$S140),$V140,$U140)))=Milestones!$AB$42),UPPER(TEXT(EDATE($D140,Milestones!$AA$42),"dd mmm yy"))&amp;" "&amp;Milestones!$AB$42&amp;" "&amp;Milestones!$AC$42&amp;";  ","")&amp;IF(AND(EDATE($D140,Milestones!$AA$43)&lt;=AsOfDate,IF($R140=0,$X140,IF(AND($T140&lt;&gt;"",EDATE($D140,Milestones!$AA$43)&gt;=$T140),$W140,IF(AND($S140&lt;&gt;"",EDATE($D140,Milestones!$AA$43)&gt;=$S140),$V140,$U140)))=Milestones!$AB$43),UPPER(TEXT(EDATE($D140,Milestones!$AA$43),"dd mmm yy"))&amp;" "&amp;Milestones!$AB$43&amp;" "&amp;Milestones!$AC$43&amp;";  ","")&amp;IF(AND(EDATE($D140,Milestones!$AA$44)&lt;=AsOfDate,IF($R140=0,$X140,IF(AND($T140&lt;&gt;"",EDATE($D140,Milestones!$AA$44)&gt;=$T140),$W140,IF(AND($S140&lt;&gt;"",EDATE($D140,Milestones!$AA$44)&gt;=$S140),$V140,$U140)))=Milestones!$AB$44),UPPER(TEXT(EDATE($D140,Milestones!$AA$44),"dd mmm yy"))&amp;" "&amp;Milestones!$AB$44&amp;" "&amp;Milestones!$AC$44&amp;";  ","")&amp;IF(AND(EDATE($D140,Milestones!$AA$45)&lt;=AsOfDate,IF($R140=0,$X140,IF(AND($T140&lt;&gt;"",EDATE($D140,Milestones!$AA$45)&gt;=$T140),$W140,IF(AND($S140&lt;&gt;"",EDATE($D140,Milestones!$AA$45)&gt;=$S140),$V140,$U140)))=Milestones!$AB$45),UPPER(TEXT(EDATE($D140,Milestones!$AA$45),"dd mmm yy"))&amp;" "&amp;Milestones!$AB$45&amp;" "&amp;Milestones!$AC$45&amp;";  ","")&amp;IF(AND(EDATE($D140,Milestones!$AA$46)&lt;=AsOfDate,IF($R140=0,$X140,IF(AND($T140&lt;&gt;"",EDATE($D140,Milestones!$AA$46)&gt;=$T140),$W140,IF(AND($S140&lt;&gt;"",EDATE($D140,Milestones!$AA$46)&gt;=$S140),$V140,$U140)))=Milestones!$AB$46),UPPER(TEXT(EDATE($D140,Milestones!$AA$46),"dd mmm yy"))&amp;" "&amp;Milestones!$AB$46&amp;" "&amp;Milestones!$AC$46&amp;";  ","")&amp;IF(AND(EDATE($D140,Milestones!$AA$47)&lt;=AsOfDate,IF($R140=0,$X140,IF(AND($T140&lt;&gt;"",EDATE($D140,Milestones!$AA$47)&gt;=$T140),$W140,IF(AND($S140&lt;&gt;"",EDATE($D140,Milestones!$AA$47)&gt;=$S140),$V140,$U140)))=Milestones!$AB$47),UPPER(TEXT(EDATE($D140,Milestones!$AA$47),"dd mmm yy"))&amp;" "&amp;Milestones!$AB$47&amp;" "&amp;Milestones!$AC$47&amp;";  ","")&amp;IF(AND(EDATE($D140,Milestones!$AA$48)&lt;=AsOfDate,IF($R140=0,$X140,IF(AND($T140&lt;&gt;"",EDATE($D140,Milestones!$AA$48)&gt;=$T140),$W140,IF(AND($S140&lt;&gt;"",EDATE($D140,Milestones!$AA$48)&gt;=$S140),$V140,$U140)))=Milestones!$AB$48),UPPER(TEXT(EDATE($D140,Milestones!$AA$48),"dd mmm yy"))&amp;" "&amp;Milestones!$AB$48&amp;" "&amp;Milestones!$AC$48&amp;";  ","")&amp;IF(AND(EDATE($D140,Milestones!$AA$49)&lt;=AsOfDate,IF($R140=0,$X140,IF(AND($T140&lt;&gt;"",EDATE($D140,Milestones!$AA$49)&gt;=$T140),$W140,IF(AND($S140&lt;&gt;"",EDATE($D140,Milestones!$AA$49)&gt;=$S140),$V140,$U140)))=Milestones!$AB$49),UPPER(TEXT(EDATE($D140,Milestones!$AA$49),"dd mmm yy"))&amp;" "&amp;Milestones!$AB$49&amp;" "&amp;Milestones!$AC$49&amp;";  ","")&amp;IF(AND(EDATE($D140,Milestones!$AA$50)&lt;=AsOfDate,IF($R140=0,$X140,IF(AND($T140&lt;&gt;"",EDATE($D140,Milestones!$AA$50)&gt;=$T140),$W140,IF(AND($S140&lt;&gt;"",EDATE($D140,Milestones!$AA$50)&gt;=$S140),$V140,$U140)))=Milestones!$AB$50),UPPER(TEXT(EDATE($D140,Milestones!$AA$50),"dd mmm yy"))&amp;" "&amp;Milestones!$AB$50&amp;" "&amp;Milestones!$AC$50&amp;";  ","")&amp;IF(AND(EDATE($D140,Milestones!$AA$51)&lt;=AsOfDate,IF($R140=0,$X140,IF(AND($T140&lt;&gt;"",EDATE($D140,Milestones!$AA$51)&gt;=$T140),$W140,IF(AND($S140&lt;&gt;"",EDATE($D140,Milestones!$AA$51)&gt;=$S140),$V140,$U140)))=Milestones!$AB$51),UPPER(TEXT(EDATE($D140,Milestones!$AA$51),"dd mmm yy"))&amp;" "&amp;Milestones!$AB$51&amp;" "&amp;Milestones!$AC$51&amp;";  ","")&amp;IF(AND(EDATE($D140,Milestones!$AA$52)&lt;=AsOfDate,IF($R140=0,$X140,IF(AND($T140&lt;&gt;"",EDATE($D140,Milestones!$AA$52)&gt;=$T140),$W140,IF(AND($S140&lt;&gt;"",EDATE($D140,Milestones!$AA$52)&gt;=$S140),$V140,$U140)))=Milestones!$AB$52),UPPER(TEXT(EDATE($D140,Milestones!$AA$52),"dd mmm yy"))&amp;" "&amp;Milestones!$AB$52&amp;" "&amp;Milestones!$AC$52&amp;";  ","")&amp;IF(AND(EDATE($D140,Milestones!$AA$53)&lt;=AsOfDate,IF($R140=0,$X140,IF(AND($T140&lt;&gt;"",EDATE($D140,Milestones!$AA$53)&gt;=$T140),$W140,IF(AND($S140&lt;&gt;"",EDATE($D140,Milestones!$AA$53)&gt;=$S140),$V140,$U140)))=Milestones!$AB$53),UPPER(TEXT(EDATE($D140,Milestones!$AA$53),"dd mmm yy"))&amp;" "&amp;Milestones!$AB$53&amp;" "&amp;Milestones!$AC$53&amp;";  ","")&amp;IF(AND(EDATE($D140,Milestones!$AA$54)&lt;=AsOfDate,IF($R140=0,$X140,IF(AND($T140&lt;&gt;"",EDATE($D140,Milestones!$AA$54)&gt;=$T140),$W140,IF(AND($S140&lt;&gt;"",EDATE($D140,Milestones!$AA$54)&gt;=$S140),$V140,$U140)))=Milestones!$AB$54),UPPER(TEXT(EDATE($D140,Milestones!$AA$54),"dd mmm yy"))&amp;" "&amp;Milestones!$AB$54&amp;" "&amp;Milestones!$AC$54&amp;";  ","")&amp;IF(AND(EDATE($D140,Milestones!$AA$55)&lt;=AsOfDate,IF($R140=0,$X140,IF(AND($T140&lt;&gt;"",EDATE($D140,Milestones!$AA$55)&gt;=$T140),$W140,IF(AND($S140&lt;&gt;"",EDATE($D140,Milestones!$AA$55)&gt;=$S140),$V140,$U140)))=Milestones!$AB$55),UPPER(TEXT(EDATE($D140,Milestones!$AA$55),"dd mmm yy"))&amp;" "&amp;Milestones!$AB$55&amp;" "&amp;Milestones!$AC$55&amp;";  ","")&amp;IF(AND(EDATE($D140,Milestones!$AA$56)&lt;=AsOfDate,IF($R140=0,$X140,IF(AND($T140&lt;&gt;"",EDATE($D140,Milestones!$AA$56)&gt;=$T140),$W140,IF(AND($S140&lt;&gt;"",EDATE($D140,Milestones!$AA$56)&gt;=$S140),$V140,$U140)))=Milestones!$AB$56),UPPER(TEXT(EDATE($D140,Milestones!$AA$56),"dd mmm yy"))&amp;" "&amp;Milestones!$AB$56&amp;" "&amp;Milestones!$AC$56&amp;";  ","")&amp;IF(AND(EDATE($D140,Milestones!$AA$57)&lt;=AsOfDate,IF($R140=0,$X140,IF(AND($T140&lt;&gt;"",EDATE($D140,Milestones!$AA$57)&gt;=$T140),$W140,IF(AND($S140&lt;&gt;"",EDATE($D140,Milestones!$AA$57)&gt;=$S140),$V140,$U140)))=Milestones!$AB$57),UPPER(TEXT(EDATE($D140,Milestones!$AA$57),"dd mmm yy"))&amp;" "&amp;Milestones!$AB$57&amp;" "&amp;Milestones!$AC$57&amp;";  ","")&amp;IF(AND(EDATE($D140,Milestones!$AA$58)&lt;=AsOfDate,IF($R140=0,$X140,IF(AND($T140&lt;&gt;"",EDATE($D140,Milestones!$AA$58)&gt;=$T140),$W140,IF(AND($S140&lt;&gt;"",EDATE($D140,Milestones!$AA$58)&gt;=$S140),$V140,$U140)))=Milestones!$AB$58),UPPER(TEXT(EDATE($D140,Milestones!$AA$58),"dd mmm yy"))&amp;" "&amp;Milestones!$AB$58&amp;" "&amp;Milestones!$AC$58&amp;";  ","")&amp;IF(AND(EDATE($D140,Milestones!$AA$59)&lt;=AsOfDate,IF($R140=0,$X140,IF(AND($T140&lt;&gt;"",EDATE($D140,Milestones!$AA$59)&gt;=$T140),$W140,IF(AND($S140&lt;&gt;"",EDATE($D140,Milestones!$AA$59)&gt;=$S140),$V140,$U140)))=Milestones!$AB$59),UPPER(TEXT(EDATE($D140,Milestones!$AA$59),"dd mmm yy"))&amp;" "&amp;Milestones!$AB$59&amp;" "&amp;Milestones!$AC$59&amp;";  ",""))</f>
        <v/>
      </c>
      <c r="K140" s="0" t="str">
        <f aca="false">IF(OR($A140="",$D140=""),"",IF(AND(EDATE($D140,Milestones!$AA$60)&lt;=AsOfDate,IF($R140=0,$X140,IF(AND($T140&lt;&gt;"",EDATE($D140,Milestones!$AA$60)&gt;=$T140),$W140,IF(AND($S140&lt;&gt;"",EDATE($D140,Milestones!$AA$60)&gt;=$S140),$V140,$U140)))=Milestones!$AB$60),UPPER(TEXT(EDATE($D140,Milestones!$AA$60),"dd mmm yy"))&amp;" "&amp;Milestones!$AB$60&amp;" "&amp;Milestones!$AC$60&amp;";  ","")&amp;IF(AND(EDATE($D140,Milestones!$AA$61)&lt;=AsOfDate,IF($R140=0,$X140,IF(AND($T140&lt;&gt;"",EDATE($D140,Milestones!$AA$61)&gt;=$T140),$W140,IF(AND($S140&lt;&gt;"",EDATE($D140,Milestones!$AA$61)&gt;=$S140),$V140,$U140)))=Milestones!$AB$61),UPPER(TEXT(EDATE($D140,Milestones!$AA$61),"dd mmm yy"))&amp;" "&amp;Milestones!$AB$61&amp;" "&amp;Milestones!$AC$61&amp;";  ","")&amp;IF(AND(EDATE($D140,Milestones!$AA$62)&lt;=AsOfDate,IF($R140=0,$X140,IF(AND($T140&lt;&gt;"",EDATE($D140,Milestones!$AA$62)&gt;=$T140),$W140,IF(AND($S140&lt;&gt;"",EDATE($D140,Milestones!$AA$62)&gt;=$S140),$V140,$U140)))=Milestones!$AB$62),UPPER(TEXT(EDATE($D140,Milestones!$AA$62),"dd mmm yy"))&amp;" "&amp;Milestones!$AB$62&amp;" "&amp;Milestones!$AC$62&amp;";  ","")&amp;IF(AND(EDATE($D140,Milestones!$AA$63)&lt;=AsOfDate,IF($R140=0,$X140,IF(AND($T140&lt;&gt;"",EDATE($D140,Milestones!$AA$63)&gt;=$T140),$W140,IF(AND($S140&lt;&gt;"",EDATE($D140,Milestones!$AA$63)&gt;=$S140),$V140,$U140)))=Milestones!$AB$63),UPPER(TEXT(EDATE($D140,Milestones!$AA$63),"dd mmm yy"))&amp;" "&amp;Milestones!$AB$63&amp;" "&amp;Milestones!$AC$63&amp;";  ","")&amp;IF(AND(EDATE($D140,Milestones!$AA$64)&lt;=AsOfDate,IF($R140=0,$X140,IF(AND($T140&lt;&gt;"",EDATE($D140,Milestones!$AA$64)&gt;=$T140),$W140,IF(AND($S140&lt;&gt;"",EDATE($D140,Milestones!$AA$64)&gt;=$S140),$V140,$U140)))=Milestones!$AB$64),UPPER(TEXT(EDATE($D140,Milestones!$AA$64),"dd mmm yy"))&amp;" "&amp;Milestones!$AB$64&amp;" "&amp;Milestones!$AC$64&amp;";  ","")&amp;IF(AND(EDATE($D140,Milestones!$AA$65)&lt;=AsOfDate,IF($R140=0,$X140,IF(AND($T140&lt;&gt;"",EDATE($D140,Milestones!$AA$65)&gt;=$T140),$W140,IF(AND($S140&lt;&gt;"",EDATE($D140,Milestones!$AA$65)&gt;=$S140),$V140,$U140)))=Milestones!$AB$65),UPPER(TEXT(EDATE($D140,Milestones!$AA$65),"dd mmm yy"))&amp;" "&amp;Milestones!$AB$65&amp;" "&amp;Milestones!$AC$65&amp;";  ","")&amp;IF(AND(EDATE($D140,Milestones!$AA$66)&lt;=AsOfDate,IF($R140=0,$X140,IF(AND($T140&lt;&gt;"",EDATE($D140,Milestones!$AA$66)&gt;=$T140),$W140,IF(AND($S140&lt;&gt;"",EDATE($D140,Milestones!$AA$66)&gt;=$S140),$V140,$U140)))=Milestones!$AB$66),UPPER(TEXT(EDATE($D140,Milestones!$AA$66),"dd mmm yy"))&amp;" "&amp;Milestones!$AB$66&amp;" "&amp;Milestones!$AC$66&amp;";  ","")&amp;IF(AND(EDATE($D140,Milestones!$AA$67)&lt;=AsOfDate,IF($R140=0,$X140,IF(AND($T140&lt;&gt;"",EDATE($D140,Milestones!$AA$67)&gt;=$T140),$W140,IF(AND($S140&lt;&gt;"",EDATE($D140,Milestones!$AA$67)&gt;=$S140),$V140,$U140)))=Milestones!$AB$67),UPPER(TEXT(EDATE($D140,Milestones!$AA$67),"dd mmm yy"))&amp;" "&amp;Milestones!$AB$67&amp;" "&amp;Milestones!$AC$67&amp;";  ","")&amp;IF(AND(EDATE($D140,Milestones!$AA$68)&lt;=AsOfDate,IF($R140=0,$X140,IF(AND($T140&lt;&gt;"",EDATE($D140,Milestones!$AA$68)&gt;=$T140),$W140,IF(AND($S140&lt;&gt;"",EDATE($D140,Milestones!$AA$68)&gt;=$S140),$V140,$U140)))=Milestones!$AB$68),UPPER(TEXT(EDATE($D140,Milestones!$AA$68),"dd mmm yy"))&amp;" "&amp;Milestones!$AB$68&amp;" "&amp;Milestones!$AC$68&amp;";  ","")&amp;IF(AND(EDATE($D140,Milestones!$AA$69)&lt;=AsOfDate,IF($R140=0,$X140,IF(AND($T140&lt;&gt;"",EDATE($D140,Milestones!$AA$69)&gt;=$T140),$W140,IF(AND($S140&lt;&gt;"",EDATE($D140,Milestones!$AA$69)&gt;=$S140),$V140,$U140)))=Milestones!$AB$69),UPPER(TEXT(EDATE($D140,Milestones!$AA$69),"dd mmm yy"))&amp;" "&amp;Milestones!$AB$69&amp;" "&amp;Milestones!$AC$69&amp;";  ","")&amp;IF(AND(EDATE($D140,Milestones!$AA$70)&lt;=AsOfDate,IF($R140=0,$X140,IF(AND($T140&lt;&gt;"",EDATE($D140,Milestones!$AA$70)&gt;=$T140),$W140,IF(AND($S140&lt;&gt;"",EDATE($D140,Milestones!$AA$70)&gt;=$S140),$V140,$U140)))=Milestones!$AB$70),UPPER(TEXT(EDATE($D140,Milestones!$AA$70),"dd mmm yy"))&amp;" "&amp;Milestones!$AB$70&amp;" "&amp;Milestones!$AC$70&amp;";  ","")&amp;IF(AND(EDATE($D140,Milestones!$AA$71)&lt;=AsOfDate,IF($R140=0,$X140,IF(AND($T140&lt;&gt;"",EDATE($D140,Milestones!$AA$71)&gt;=$T140),$W140,IF(AND($S140&lt;&gt;"",EDATE($D140,Milestones!$AA$71)&gt;=$S140),$V140,$U140)))=Milestones!$AB$71),UPPER(TEXT(EDATE($D140,Milestones!$AA$71),"dd mmm yy"))&amp;" "&amp;Milestones!$AB$71&amp;" "&amp;Milestones!$AC$71&amp;";  ","")&amp;IF(AND(EDATE($D140,Milestones!$AA$72)&lt;=AsOfDate,IF($R140=0,$X140,IF(AND($T140&lt;&gt;"",EDATE($D140,Milestones!$AA$72)&gt;=$T140),$W140,IF(AND($S140&lt;&gt;"",EDATE($D140,Milestones!$AA$72)&gt;=$S140),$V140,$U140)))=Milestones!$AB$72),UPPER(TEXT(EDATE($D140,Milestones!$AA$72),"dd mmm yy"))&amp;" "&amp;Milestones!$AB$72&amp;" "&amp;Milestones!$AC$72&amp;";  ","")&amp;IF(AND(EDATE($D140,Milestones!$AA$73)&lt;=AsOfDate,IF($R140=0,$X140,IF(AND($T140&lt;&gt;"",EDATE($D140,Milestones!$AA$73)&gt;=$T140),$W140,IF(AND($S140&lt;&gt;"",EDATE($D140,Milestones!$AA$73)&gt;=$S140),$V140,$U140)))=Milestones!$AB$73),UPPER(TEXT(EDATE($D140,Milestones!$AA$73),"dd mmm yy"))&amp;" "&amp;Milestones!$AB$73&amp;" "&amp;Milestones!$AC$73&amp;";  ","")&amp;IF(AND(EDATE($D140,Milestones!$AA$74)&lt;=AsOfDate,IF($R140=0,$X140,IF(AND($T140&lt;&gt;"",EDATE($D140,Milestones!$AA$74)&gt;=$T140),$W140,IF(AND($S140&lt;&gt;"",EDATE($D140,Milestones!$AA$74)&gt;=$S140),$V140,$U140)))=Milestones!$AB$74),UPPER(TEXT(EDATE($D140,Milestones!$AA$74),"dd mmm yy"))&amp;" "&amp;Milestones!$AB$74&amp;" "&amp;Milestones!$AC$74&amp;";  ","")&amp;IF(AND(EDATE($D140,Milestones!$AA$75)&lt;=AsOfDate,IF($R140=0,$X140,IF(AND($T140&lt;&gt;"",EDATE($D140,Milestones!$AA$75)&gt;=$T140),$W140,IF(AND($S140&lt;&gt;"",EDATE($D140,Milestones!$AA$75)&gt;=$S140),$V140,$U140)))=Milestones!$AB$75),UPPER(TEXT(EDATE($D140,Milestones!$AA$75),"dd mmm yy"))&amp;" "&amp;Milestones!$AB$75&amp;" "&amp;Milestones!$AC$75&amp;";  ","")&amp;IF(AND(EDATE($D140,Milestones!$AA$76)&lt;=AsOfDate,IF($R140=0,$X140,IF(AND($T140&lt;&gt;"",EDATE($D140,Milestones!$AA$76)&gt;=$T140),$W140,IF(AND($S140&lt;&gt;"",EDATE($D140,Milestones!$AA$76)&gt;=$S140),$V140,$U140)))=Milestones!$AB$76),UPPER(TEXT(EDATE($D140,Milestones!$AA$76),"dd mmm yy"))&amp;" "&amp;Milestones!$AB$76&amp;" "&amp;Milestones!$AC$76&amp;";  ","")&amp;IF(AND(EDATE($D140,Milestones!$AA$77)&lt;=AsOfDate,IF($R140=0,$X140,IF(AND($T140&lt;&gt;"",EDATE($D140,Milestones!$AA$77)&gt;=$T140),$W140,IF(AND($S140&lt;&gt;"",EDATE($D140,Milestones!$AA$77)&gt;=$S140),$V140,$U140)))=Milestones!$AB$77),UPPER(TEXT(EDATE($D140,Milestones!$AA$77),"dd mmm yy"))&amp;" "&amp;Milestones!$AB$77&amp;" "&amp;Milestones!$AC$77&amp;";  ","")&amp;IF(AND(EDATE($D140,Milestones!$AA$78)&lt;=AsOfDate,IF($R140=0,$X140,IF(AND($T140&lt;&gt;"",EDATE($D140,Milestones!$AA$78)&gt;=$T140),$W140,IF(AND($S140&lt;&gt;"",EDATE($D140,Milestones!$AA$78)&gt;=$S140),$V140,$U140)))=Milestones!$AB$78),UPPER(TEXT(EDATE($D140,Milestones!$AA$78),"dd mmm yy"))&amp;" "&amp;Milestones!$AB$78&amp;" "&amp;Milestones!$AC$78&amp;";  ","")&amp;IF(AND(EDATE($D140,Milestones!$AA$79)&lt;=AsOfDate,IF($R140=0,$X140,IF(AND($T140&lt;&gt;"",EDATE($D140,Milestones!$AA$79)&gt;=$T140),$W140,IF(AND($S140&lt;&gt;"",EDATE($D140,Milestones!$AA$79)&gt;=$S140),$V140,$U140)))=Milestones!$AB$79),UPPER(TEXT(EDATE($D140,Milestones!$AA$79),"dd mmm yy"))&amp;" "&amp;Milestones!$AB$79&amp;" "&amp;Milestones!$AC$79&amp;";  ",""))</f>
        <v/>
      </c>
      <c r="L140" s="0" t="str">
        <f aca="false">IF(OR($A140="",$D140=""),"",IF(AND(EDATE($D140,Milestones!$AA$80)&lt;=AsOfDate,IF($R140=0,$X140,IF(AND($T140&lt;&gt;"",EDATE($D140,Milestones!$AA$80)&gt;=$T140),$W140,IF(AND($S140&lt;&gt;"",EDATE($D140,Milestones!$AA$80)&gt;=$S140),$V140,$U140)))=Milestones!$AB$80),UPPER(TEXT(EDATE($D140,Milestones!$AA$80),"dd mmm yy"))&amp;" "&amp;Milestones!$AB$80&amp;" "&amp;Milestones!$AC$80&amp;";  ","")&amp;IF(AND(EDATE($D140,Milestones!$AA$81)&lt;=AsOfDate,IF($R140=0,$X140,IF(AND($T140&lt;&gt;"",EDATE($D140,Milestones!$AA$81)&gt;=$T140),$W140,IF(AND($S140&lt;&gt;"",EDATE($D140,Milestones!$AA$81)&gt;=$S140),$V140,$U140)))=Milestones!$AB$81),UPPER(TEXT(EDATE($D140,Milestones!$AA$81),"dd mmm yy"))&amp;" "&amp;Milestones!$AB$81&amp;" "&amp;Milestones!$AC$81&amp;";  ","")&amp;IF(AND(EDATE($D140,Milestones!$AA$82)&lt;=AsOfDate,IF($R140=0,$X140,IF(AND($T140&lt;&gt;"",EDATE($D140,Milestones!$AA$82)&gt;=$T140),$W140,IF(AND($S140&lt;&gt;"",EDATE($D140,Milestones!$AA$82)&gt;=$S140),$V140,$U140)))=Milestones!$AB$82),UPPER(TEXT(EDATE($D140,Milestones!$AA$82),"dd mmm yy"))&amp;" "&amp;Milestones!$AB$82&amp;" "&amp;Milestones!$AC$82&amp;";  ","")&amp;IF(AND(EDATE($D140,Milestones!$AA$83)&lt;=AsOfDate,IF($R140=0,$X140,IF(AND($T140&lt;&gt;"",EDATE($D140,Milestones!$AA$83)&gt;=$T140),$W140,IF(AND($S140&lt;&gt;"",EDATE($D140,Milestones!$AA$83)&gt;=$S140),$V140,$U140)))=Milestones!$AB$83),UPPER(TEXT(EDATE($D140,Milestones!$AA$83),"dd mmm yy"))&amp;" "&amp;Milestones!$AB$83&amp;" "&amp;Milestones!$AC$83&amp;";  ","")&amp;IF(AND(EDATE($D140,Milestones!$AA$84)&lt;=AsOfDate,IF($R140=0,$X140,IF(AND($T140&lt;&gt;"",EDATE($D140,Milestones!$AA$84)&gt;=$T140),$W140,IF(AND($S140&lt;&gt;"",EDATE($D140,Milestones!$AA$84)&gt;=$S140),$V140,$U140)))=Milestones!$AB$84),UPPER(TEXT(EDATE($D140,Milestones!$AA$84),"dd mmm yy"))&amp;" "&amp;Milestones!$AB$84&amp;" "&amp;Milestones!$AC$84&amp;";  ","")&amp;IF(AND(EDATE($D140,Milestones!$AA$85)&lt;=AsOfDate,IF($R140=0,$X140,IF(AND($T140&lt;&gt;"",EDATE($D140,Milestones!$AA$85)&gt;=$T140),$W140,IF(AND($S140&lt;&gt;"",EDATE($D140,Milestones!$AA$85)&gt;=$S140),$V140,$U140)))=Milestones!$AB$85),UPPER(TEXT(EDATE($D140,Milestones!$AA$85),"dd mmm yy"))&amp;" "&amp;Milestones!$AB$85&amp;" "&amp;Milestones!$AC$85&amp;";  ","")&amp;IF(AND(EDATE($D140,Milestones!$AA$86)&lt;=AsOfDate,IF($R140=0,$X140,IF(AND($T140&lt;&gt;"",EDATE($D140,Milestones!$AA$86)&gt;=$T140),$W140,IF(AND($S140&lt;&gt;"",EDATE($D140,Milestones!$AA$86)&gt;=$S140),$V140,$U140)))=Milestones!$AB$86),UPPER(TEXT(EDATE($D140,Milestones!$AA$86),"dd mmm yy"))&amp;" "&amp;Milestones!$AB$86&amp;" "&amp;Milestones!$AC$86&amp;";  ","")&amp;IF(AND(EDATE($D140,Milestones!$AA$87)&lt;=AsOfDate,IF($R140=0,$X140,IF(AND($T140&lt;&gt;"",EDATE($D140,Milestones!$AA$87)&gt;=$T140),$W140,IF(AND($S140&lt;&gt;"",EDATE($D140,Milestones!$AA$87)&gt;=$S140),$V140,$U140)))=Milestones!$AB$87),UPPER(TEXT(EDATE($D140,Milestones!$AA$87),"dd mmm yy"))&amp;" "&amp;Milestones!$AB$87&amp;" "&amp;Milestones!$AC$87&amp;";  ","")&amp;IF(AND(EDATE($D140,Milestones!$AA$88)&lt;=AsOfDate,IF($R140=0,$X140,IF(AND($T140&lt;&gt;"",EDATE($D140,Milestones!$AA$88)&gt;=$T140),$W140,IF(AND($S140&lt;&gt;"",EDATE($D140,Milestones!$AA$88)&gt;=$S140),$V140,$U140)))=Milestones!$AB$88),UPPER(TEXT(EDATE($D140,Milestones!$AA$88),"dd mmm yy"))&amp;" "&amp;Milestones!$AB$88&amp;" "&amp;Milestones!$AC$88&amp;";  ","")&amp;IF(AND(EDATE($D140,Milestones!$AA$89)&lt;=AsOfDate,IF($R140=0,$X140,IF(AND($T140&lt;&gt;"",EDATE($D140,Milestones!$AA$89)&gt;=$T140),$W140,IF(AND($S140&lt;&gt;"",EDATE($D140,Milestones!$AA$89)&gt;=$S140),$V140,$U140)))=Milestones!$AB$89),UPPER(TEXT(EDATE($D140,Milestones!$AA$89),"dd mmm yy"))&amp;" "&amp;Milestones!$AB$89&amp;" "&amp;Milestones!$AC$89&amp;";  ","")&amp;IF(AND(EDATE($D140,Milestones!$AA$90)&lt;=AsOfDate,IF($R140=0,$X140,IF(AND($T140&lt;&gt;"",EDATE($D140,Milestones!$AA$90)&gt;=$T140),$W140,IF(AND($S140&lt;&gt;"",EDATE($D140,Milestones!$AA$90)&gt;=$S140),$V140,$U140)))=Milestones!$AB$90),UPPER(TEXT(EDATE($D140,Milestones!$AA$90),"dd mmm yy"))&amp;" "&amp;Milestones!$AB$90&amp;" "&amp;Milestones!$AC$90&amp;";  ","")&amp;IF(AND(EDATE($D140,Milestones!$AA$91)&lt;=AsOfDate,IF($R140=0,$X140,IF(AND($T140&lt;&gt;"",EDATE($D140,Milestones!$AA$91)&gt;=$T140),$W140,IF(AND($S140&lt;&gt;"",EDATE($D140,Milestones!$AA$91)&gt;=$S140),$V140,$U140)))=Milestones!$AB$91),UPPER(TEXT(EDATE($D140,Milestones!$AA$91),"dd mmm yy"))&amp;" "&amp;Milestones!$AB$91&amp;" "&amp;Milestones!$AC$91&amp;";  ","")&amp;IF(AND(EDATE($D140,Milestones!$AA$92)&lt;=AsOfDate,IF($R140=0,$X140,IF(AND($T140&lt;&gt;"",EDATE($D140,Milestones!$AA$92)&gt;=$T140),$W140,IF(AND($S140&lt;&gt;"",EDATE($D140,Milestones!$AA$92)&gt;=$S140),$V140,$U140)))=Milestones!$AB$92),UPPER(TEXT(EDATE($D140,Milestones!$AA$92),"dd mmm yy"))&amp;" "&amp;Milestones!$AB$92&amp;" "&amp;Milestones!$AC$92&amp;";  ","")&amp;IF(AND(EDATE($D140,Milestones!$AA$93)&lt;=AsOfDate,IF($R140=0,$X140,IF(AND($T140&lt;&gt;"",EDATE($D140,Milestones!$AA$93)&gt;=$T140),$W140,IF(AND($S140&lt;&gt;"",EDATE($D140,Milestones!$AA$93)&gt;=$S140),$V140,$U140)))=Milestones!$AB$93),UPPER(TEXT(EDATE($D140,Milestones!$AA$93),"dd mmm yy"))&amp;" "&amp;Milestones!$AB$93&amp;" "&amp;Milestones!$AC$93&amp;";  ","")&amp;IF(AND(EDATE($D140,Milestones!$AA$94)&lt;=AsOfDate,IF($R140=0,$X140,IF(AND($T140&lt;&gt;"",EDATE($D140,Milestones!$AA$94)&gt;=$T140),$W140,IF(AND($S140&lt;&gt;"",EDATE($D140,Milestones!$AA$94)&gt;=$S140),$V140,$U140)))=Milestones!$AB$94),UPPER(TEXT(EDATE($D140,Milestones!$AA$94),"dd mmm yy"))&amp;" "&amp;Milestones!$AB$94&amp;" "&amp;Milestones!$AC$94&amp;";  ","")&amp;IF(AND(EDATE($D140,Milestones!$AA$95)&lt;=AsOfDate,IF($R140=0,$X140,IF(AND($T140&lt;&gt;"",EDATE($D140,Milestones!$AA$95)&gt;=$T140),$W140,IF(AND($S140&lt;&gt;"",EDATE($D140,Milestones!$AA$95)&gt;=$S140),$V140,$U140)))=Milestones!$AB$95),UPPER(TEXT(EDATE($D140,Milestones!$AA$95),"dd mmm yy"))&amp;" "&amp;Milestones!$AB$95&amp;" "&amp;Milestones!$AC$95&amp;";  ","")&amp;IF(AND(EDATE($D140,Milestones!$AA$96)&lt;=AsOfDate,IF($R140=0,$X140,IF(AND($T140&lt;&gt;"",EDATE($D140,Milestones!$AA$96)&gt;=$T140),$W140,IF(AND($S140&lt;&gt;"",EDATE($D140,Milestones!$AA$96)&gt;=$S140),$V140,$U140)))=Milestones!$AB$96),UPPER(TEXT(EDATE($D140,Milestones!$AA$96),"dd mmm yy"))&amp;" "&amp;Milestones!$AB$96&amp;" "&amp;Milestones!$AC$96&amp;";  ","")&amp;IF(AND(EDATE($D140,Milestones!$AA$97)&lt;=AsOfDate,IF($R140=0,$X140,IF(AND($T140&lt;&gt;"",EDATE($D140,Milestones!$AA$97)&gt;=$T140),$W140,IF(AND($S140&lt;&gt;"",EDATE($D140,Milestones!$AA$97)&gt;=$S140),$V140,$U140)))=Milestones!$AB$97),UPPER(TEXT(EDATE($D140,Milestones!$AA$97),"dd mmm yy"))&amp;" "&amp;Milestones!$AB$97&amp;" "&amp;Milestones!$AC$97&amp;";  ","")&amp;IF(AND(EDATE($D140,Milestones!$AA$98)&lt;=AsOfDate,IF($R140=0,$X140,IF(AND($T140&lt;&gt;"",EDATE($D140,Milestones!$AA$98)&gt;=$T140),$W140,IF(AND($S140&lt;&gt;"",EDATE($D140,Milestones!$AA$98)&gt;=$S140),$V140,$U140)))=Milestones!$AB$98),UPPER(TEXT(EDATE($D140,Milestones!$AA$98),"dd mmm yy"))&amp;" "&amp;Milestones!$AB$98&amp;" "&amp;Milestones!$AC$98&amp;";  ","")&amp;IF(AND(EDATE($D140,Milestones!$AA$99)&lt;=AsOfDate,IF($R140=0,$X140,IF(AND($T140&lt;&gt;"",EDATE($D140,Milestones!$AA$99)&gt;=$T140),$W140,IF(AND($S140&lt;&gt;"",EDATE($D140,Milestones!$AA$99)&gt;=$S140),$V140,$U140)))=Milestones!$AB$99),UPPER(TEXT(EDATE($D140,Milestones!$AA$99),"dd mmm yy"))&amp;" "&amp;Milestones!$AB$99&amp;" "&amp;Milestones!$AC$99&amp;";  ",""))</f>
        <v/>
      </c>
      <c r="M140" s="0" t="str">
        <f aca="false">IF(OR($A140="",$D140=""),"",IF(AND(EDATE($D140,Milestones!$AA$100)&lt;=AsOfDate,IF($R140=0,$X140,IF(AND($T140&lt;&gt;"",EDATE($D140,Milestones!$AA$100)&gt;=$T140),$W140,IF(AND($S140&lt;&gt;"",EDATE($D140,Milestones!$AA$100)&gt;=$S140),$V140,$U140)))=Milestones!$AB$100),UPPER(TEXT(EDATE($D140,Milestones!$AA$100),"dd mmm yy"))&amp;" "&amp;Milestones!$AB$100&amp;" "&amp;Milestones!$AC$100&amp;";  ","")&amp;IF(AND(EDATE($D140,Milestones!$AA$101)&lt;=AsOfDate,IF($R140=0,$X140,IF(AND($T140&lt;&gt;"",EDATE($D140,Milestones!$AA$101)&gt;=$T140),$W140,IF(AND($S140&lt;&gt;"",EDATE($D140,Milestones!$AA$101)&gt;=$S140),$V140,$U140)))=Milestones!$AB$101),UPPER(TEXT(EDATE($D140,Milestones!$AA$101),"dd mmm yy"))&amp;" "&amp;Milestones!$AB$101&amp;" "&amp;Milestones!$AC$101&amp;";  ","")&amp;IF(AND(EDATE($D140,Milestones!$AA$102)&lt;=AsOfDate,IF($R140=0,$X140,IF(AND($T140&lt;&gt;"",EDATE($D140,Milestones!$AA$102)&gt;=$T140),$W140,IF(AND($S140&lt;&gt;"",EDATE($D140,Milestones!$AA$102)&gt;=$S140),$V140,$U140)))=Milestones!$AB$102),UPPER(TEXT(EDATE($D140,Milestones!$AA$102),"dd mmm yy"))&amp;" "&amp;Milestones!$AB$102&amp;" "&amp;Milestones!$AC$102&amp;";  ","")&amp;IF(AND(EDATE($D140,Milestones!$AA$103)&lt;=AsOfDate,IF($R140=0,$X140,IF(AND($T140&lt;&gt;"",EDATE($D140,Milestones!$AA$103)&gt;=$T140),$W140,IF(AND($S140&lt;&gt;"",EDATE($D140,Milestones!$AA$103)&gt;=$S140),$V140,$U140)))=Milestones!$AB$103),UPPER(TEXT(EDATE($D140,Milestones!$AA$103),"dd mmm yy"))&amp;" "&amp;Milestones!$AB$103&amp;" "&amp;Milestones!$AC$103&amp;";  ","")&amp;IF(AND(EDATE($D140,Milestones!$AA$104)&lt;=AsOfDate,IF($R140=0,$X140,IF(AND($T140&lt;&gt;"",EDATE($D140,Milestones!$AA$104)&gt;=$T140),$W140,IF(AND($S140&lt;&gt;"",EDATE($D140,Milestones!$AA$104)&gt;=$S140),$V140,$U140)))=Milestones!$AB$104),UPPER(TEXT(EDATE($D140,Milestones!$AA$104),"dd mmm yy"))&amp;" "&amp;Milestones!$AB$104&amp;" "&amp;Milestones!$AC$104&amp;";  ","")&amp;IF(AND(EDATE($D140,Milestones!$AA$105)&lt;=AsOfDate,IF($R140=0,$X140,IF(AND($T140&lt;&gt;"",EDATE($D140,Milestones!$AA$105)&gt;=$T140),$W140,IF(AND($S140&lt;&gt;"",EDATE($D140,Milestones!$AA$105)&gt;=$S140),$V140,$U140)))=Milestones!$AB$105),UPPER(TEXT(EDATE($D140,Milestones!$AA$105),"dd mmm yy"))&amp;" "&amp;Milestones!$AB$105&amp;" "&amp;Milestones!$AC$105&amp;";  ","")&amp;IF(AND(EDATE($D140,Milestones!$AA$106)&lt;=AsOfDate,IF($R140=0,$X140,IF(AND($T140&lt;&gt;"",EDATE($D140,Milestones!$AA$106)&gt;=$T140),$W140,IF(AND($S140&lt;&gt;"",EDATE($D140,Milestones!$AA$106)&gt;=$S140),$V140,$U140)))=Milestones!$AB$106),UPPER(TEXT(EDATE($D140,Milestones!$AA$106),"dd mmm yy"))&amp;" "&amp;Milestones!$AB$106&amp;" "&amp;Milestones!$AC$106&amp;";  ","")&amp;IF(AND(EDATE($D140,Milestones!$AA$107)&lt;=AsOfDate,IF($R140=0,$X140,IF(AND($T140&lt;&gt;"",EDATE($D140,Milestones!$AA$107)&gt;=$T140),$W140,IF(AND($S140&lt;&gt;"",EDATE($D140,Milestones!$AA$107)&gt;=$S140),$V140,$U140)))=Milestones!$AB$107),UPPER(TEXT(EDATE($D140,Milestones!$AA$107),"dd mmm yy"))&amp;" "&amp;Milestones!$AB$107&amp;" "&amp;Milestones!$AC$107&amp;";  ","")&amp;IF(AND(EDATE($D140,Milestones!$AA$108)&lt;=AsOfDate,IF($R140=0,$X140,IF(AND($T140&lt;&gt;"",EDATE($D140,Milestones!$AA$108)&gt;=$T140),$W140,IF(AND($S140&lt;&gt;"",EDATE($D140,Milestones!$AA$108)&gt;=$S140),$V140,$U140)))=Milestones!$AB$108),UPPER(TEXT(EDATE($D140,Milestones!$AA$108),"dd mmm yy"))&amp;" "&amp;Milestones!$AB$108&amp;" "&amp;Milestones!$AC$108&amp;";  ","")&amp;IF(AND(EDATE($D140,Milestones!$AA$109)&lt;=AsOfDate,IF($R140=0,$X140,IF(AND($T140&lt;&gt;"",EDATE($D140,Milestones!$AA$109)&gt;=$T140),$W140,IF(AND($S140&lt;&gt;"",EDATE($D140,Milestones!$AA$109)&gt;=$S140),$V140,$U140)))=Milestones!$AB$109),UPPER(TEXT(EDATE($D140,Milestones!$AA$109),"dd mmm yy"))&amp;" "&amp;Milestones!$AB$109&amp;" "&amp;Milestones!$AC$109&amp;";  ","")&amp;IF(AND(EDATE($D140,Milestones!$AA$110)&lt;=AsOfDate,IF($R140=0,$X140,IF(AND($T140&lt;&gt;"",EDATE($D140,Milestones!$AA$110)&gt;=$T140),$W140,IF(AND($S140&lt;&gt;"",EDATE($D140,Milestones!$AA$110)&gt;=$S140),$V140,$U140)))=Milestones!$AB$110),UPPER(TEXT(EDATE($D140,Milestones!$AA$110),"dd mmm yy"))&amp;" "&amp;Milestones!$AB$110&amp;" "&amp;Milestones!$AC$110&amp;";  ","")&amp;IF(AND(EDATE($D140,Milestones!$AA$111)&lt;=AsOfDate,IF($R140=0,$X140,IF(AND($T140&lt;&gt;"",EDATE($D140,Milestones!$AA$111)&gt;=$T140),$W140,IF(AND($S140&lt;&gt;"",EDATE($D140,Milestones!$AA$111)&gt;=$S140),$V140,$U140)))=Milestones!$AB$111),UPPER(TEXT(EDATE($D140,Milestones!$AA$111),"dd mmm yy"))&amp;" "&amp;Milestones!$AB$111&amp;" "&amp;Milestones!$AC$111&amp;";  ","")&amp;IF(AND(EDATE($D140,Milestones!$AA$112)&lt;=AsOfDate,IF($R140=0,$X140,IF(AND($T140&lt;&gt;"",EDATE($D140,Milestones!$AA$112)&gt;=$T140),$W140,IF(AND($S140&lt;&gt;"",EDATE($D140,Milestones!$AA$112)&gt;=$S140),$V140,$U140)))=Milestones!$AB$112),UPPER(TEXT(EDATE($D140,Milestones!$AA$112),"dd mmm yy"))&amp;" "&amp;Milestones!$AB$112&amp;" "&amp;Milestones!$AC$112&amp;";  ","")&amp;IF(AND(EDATE($D140,Milestones!$AA$113)&lt;=AsOfDate,IF($R140=0,$X140,IF(AND($T140&lt;&gt;"",EDATE($D140,Milestones!$AA$113)&gt;=$T140),$W140,IF(AND($S140&lt;&gt;"",EDATE($D140,Milestones!$AA$113)&gt;=$S140),$V140,$U140)))=Milestones!$AB$113),UPPER(TEXT(EDATE($D140,Milestones!$AA$113),"dd mmm yy"))&amp;" "&amp;Milestones!$AB$113&amp;" "&amp;Milestones!$AC$113&amp;";  ","")&amp;IF(AND(EDATE($D140,Milestones!$AA$114)&lt;=AsOfDate,IF($R140=0,$X140,IF(AND($T140&lt;&gt;"",EDATE($D140,Milestones!$AA$114)&gt;=$T140),$W140,IF(AND($S140&lt;&gt;"",EDATE($D140,Milestones!$AA$114)&gt;=$S140),$V140,$U140)))=Milestones!$AB$114),UPPER(TEXT(EDATE($D140,Milestones!$AA$114),"dd mmm yy"))&amp;" "&amp;Milestones!$AB$114&amp;" "&amp;Milestones!$AC$114&amp;";  ","")&amp;IF(AND(EDATE($D140,Milestones!$AA$115)&lt;=AsOfDate,IF($R140=0,$X140,IF(AND($T140&lt;&gt;"",EDATE($D140,Milestones!$AA$115)&gt;=$T140),$W140,IF(AND($S140&lt;&gt;"",EDATE($D140,Milestones!$AA$115)&gt;=$S140),$V140,$U140)))=Milestones!$AB$115),UPPER(TEXT(EDATE($D140,Milestones!$AA$115),"dd mmm yy"))&amp;" "&amp;Milestones!$AB$115&amp;" "&amp;Milestones!$AC$115&amp;";  ","")&amp;IF(AND(EDATE($D140,Milestones!$AA$116)&lt;=AsOfDate,IF($R140=0,$X140,IF(AND($T140&lt;&gt;"",EDATE($D140,Milestones!$AA$116)&gt;=$T140),$W140,IF(AND($S140&lt;&gt;"",EDATE($D140,Milestones!$AA$116)&gt;=$S140),$V140,$U140)))=Milestones!$AB$116),UPPER(TEXT(EDATE($D140,Milestones!$AA$116),"dd mmm yy"))&amp;" "&amp;Milestones!$AB$116&amp;" "&amp;Milestones!$AC$116&amp;";  ","")&amp;IF(AND(EDATE($D140,Milestones!$AA$117)&lt;=AsOfDate,IF($R140=0,$X140,IF(AND($T140&lt;&gt;"",EDATE($D140,Milestones!$AA$117)&gt;=$T140),$W140,IF(AND($S140&lt;&gt;"",EDATE($D140,Milestones!$AA$117)&gt;=$S140),$V140,$U140)))=Milestones!$AB$117),UPPER(TEXT(EDATE($D140,Milestones!$AA$117),"dd mmm yy"))&amp;" "&amp;Milestones!$AB$117&amp;" "&amp;Milestones!$AC$117&amp;";  ","")&amp;IF(AND(EDATE($D140,Milestones!$AA$118)&lt;=AsOfDate,IF($R140=0,$X140,IF(AND($T140&lt;&gt;"",EDATE($D140,Milestones!$AA$118)&gt;=$T140),$W140,IF(AND($S140&lt;&gt;"",EDATE($D140,Milestones!$AA$118)&gt;=$S140),$V140,$U140)))=Milestones!$AB$118),UPPER(TEXT(EDATE($D140,Milestones!$AA$118),"dd mmm yy"))&amp;" "&amp;Milestones!$AB$118&amp;" "&amp;Milestones!$AC$118&amp;";  ","")&amp;IF(AND(EDATE($D140,Milestones!$AA$119)&lt;=AsOfDate,IF($R140=0,$X140,IF(AND($T140&lt;&gt;"",EDATE($D140,Milestones!$AA$119)&gt;=$T140),$W140,IF(AND($S140&lt;&gt;"",EDATE($D140,Milestones!$AA$119)&gt;=$S140),$V140,$U140)))=Milestones!$AB$119),UPPER(TEXT(EDATE($D140,Milestones!$AA$119),"dd mmm yy"))&amp;" "&amp;Milestones!$AB$119&amp;" "&amp;Milestones!$AC$119&amp;";  ",""))</f>
        <v/>
      </c>
      <c r="N140" s="0" t="str">
        <f aca="false">IF(OR($A140="",$D140=""),"",IF(AND(EDATE($D140,Milestones!$AA$120)&lt;=AsOfDate,IF($R140=0,$X140,IF(AND($T140&lt;&gt;"",EDATE($D140,Milestones!$AA$120)&gt;=$T140),$W140,IF(AND($S140&lt;&gt;"",EDATE($D140,Milestones!$AA$120)&gt;=$S140),$V140,$U140)))=Milestones!$AB$120),UPPER(TEXT(EDATE($D140,Milestones!$AA$120),"dd mmm yy"))&amp;" "&amp;Milestones!$AB$120&amp;" "&amp;Milestones!$AC$120&amp;";  ","")&amp;IF(AND(EDATE($D140,Milestones!$AA$121)&lt;=AsOfDate,IF($R140=0,$X140,IF(AND($T140&lt;&gt;"",EDATE($D140,Milestones!$AA$121)&gt;=$T140),$W140,IF(AND($S140&lt;&gt;"",EDATE($D140,Milestones!$AA$121)&gt;=$S140),$V140,$U140)))=Milestones!$AB$121),UPPER(TEXT(EDATE($D140,Milestones!$AA$121),"dd mmm yy"))&amp;" "&amp;Milestones!$AB$121&amp;" "&amp;Milestones!$AC$121&amp;";  ","")&amp;IF(AND(EDATE($D140,Milestones!$AA$122)&lt;=AsOfDate,IF($R140=0,$X140,IF(AND($T140&lt;&gt;"",EDATE($D140,Milestones!$AA$122)&gt;=$T140),$W140,IF(AND($S140&lt;&gt;"",EDATE($D140,Milestones!$AA$122)&gt;=$S140),$V140,$U140)))=Milestones!$AB$122),UPPER(TEXT(EDATE($D140,Milestones!$AA$122),"dd mmm yy"))&amp;" "&amp;Milestones!$AB$122&amp;" "&amp;Milestones!$AC$122&amp;";  ","")&amp;IF(AND(EDATE($D140,Milestones!$AA$123)&lt;=AsOfDate,IF($R140=0,$X140,IF(AND($T140&lt;&gt;"",EDATE($D140,Milestones!$AA$123)&gt;=$T140),$W140,IF(AND($S140&lt;&gt;"",EDATE($D140,Milestones!$AA$123)&gt;=$S140),$V140,$U140)))=Milestones!$AB$123),UPPER(TEXT(EDATE($D140,Milestones!$AA$123),"dd mmm yy"))&amp;" "&amp;Milestones!$AB$123&amp;" "&amp;Milestones!$AC$123&amp;";  ","")&amp;IF(AND(EDATE($D140,Milestones!$AA$124)&lt;=AsOfDate,IF($R140=0,$X140,IF(AND($T140&lt;&gt;"",EDATE($D140,Milestones!$AA$124)&gt;=$T140),$W140,IF(AND($S140&lt;&gt;"",EDATE($D140,Milestones!$AA$124)&gt;=$S140),$V140,$U140)))=Milestones!$AB$124),UPPER(TEXT(EDATE($D140,Milestones!$AA$124),"dd mmm yy"))&amp;" "&amp;Milestones!$AB$124&amp;" "&amp;Milestones!$AC$124&amp;";  ","")&amp;IF(AND(EDATE($D140,Milestones!$AA$125)&lt;=AsOfDate,IF($R140=0,$X140,IF(AND($T140&lt;&gt;"",EDATE($D140,Milestones!$AA$125)&gt;=$T140),$W140,IF(AND($S140&lt;&gt;"",EDATE($D140,Milestones!$AA$125)&gt;=$S140),$V140,$U140)))=Milestones!$AB$125),UPPER(TEXT(EDATE($D140,Milestones!$AA$125),"dd mmm yy"))&amp;" "&amp;Milestones!$AB$125&amp;" "&amp;Milestones!$AC$125&amp;";  ","")&amp;IF(AND(EDATE($D140,Milestones!$AA$126)&lt;=AsOfDate,IF($R140=0,$X140,IF(AND($T140&lt;&gt;"",EDATE($D140,Milestones!$AA$126)&gt;=$T140),$W140,IF(AND($S140&lt;&gt;"",EDATE($D140,Milestones!$AA$126)&gt;=$S140),$V140,$U140)))=Milestones!$AB$126),UPPER(TEXT(EDATE($D140,Milestones!$AA$126),"dd mmm yy"))&amp;" "&amp;Milestones!$AB$126&amp;" "&amp;Milestones!$AC$126&amp;";  ","")&amp;IF(AND(EDATE($D140,Milestones!$AA$127)&lt;=AsOfDate,IF($R140=0,$X140,IF(AND($T140&lt;&gt;"",EDATE($D140,Milestones!$AA$127)&gt;=$T140),$W140,IF(AND($S140&lt;&gt;"",EDATE($D140,Milestones!$AA$127)&gt;=$S140),$V140,$U140)))=Milestones!$AB$127),UPPER(TEXT(EDATE($D140,Milestones!$AA$127),"dd mmm yy"))&amp;" "&amp;Milestones!$AB$127&amp;" "&amp;Milestones!$AC$127&amp;";  ","")&amp;IF(AND(EDATE($D140,Milestones!$AA$128)&lt;=AsOfDate,IF($R140=0,$X140,IF(AND($T140&lt;&gt;"",EDATE($D140,Milestones!$AA$128)&gt;=$T140),$W140,IF(AND($S140&lt;&gt;"",EDATE($D140,Milestones!$AA$128)&gt;=$S140),$V140,$U140)))=Milestones!$AB$128),UPPER(TEXT(EDATE($D140,Milestones!$AA$128),"dd mmm yy"))&amp;" "&amp;Milestones!$AB$128&amp;" "&amp;Milestones!$AC$128&amp;";  ","")&amp;IF(AND(EDATE($D140,Milestones!$AA$129)&lt;=AsOfDate,IF($R140=0,$X140,IF(AND($T140&lt;&gt;"",EDATE($D140,Milestones!$AA$129)&gt;=$T140),$W140,IF(AND($S140&lt;&gt;"",EDATE($D140,Milestones!$AA$129)&gt;=$S140),$V140,$U140)))=Milestones!$AB$129),UPPER(TEXT(EDATE($D140,Milestones!$AA$129),"dd mmm yy"))&amp;" "&amp;Milestones!$AB$129&amp;" "&amp;Milestones!$AC$129&amp;";  ","")&amp;IF(AND(EDATE($D140,Milestones!$AA$130)&lt;=AsOfDate,IF($R140=0,$X140,IF(AND($T140&lt;&gt;"",EDATE($D140,Milestones!$AA$130)&gt;=$T140),$W140,IF(AND($S140&lt;&gt;"",EDATE($D140,Milestones!$AA$130)&gt;=$S140),$V140,$U140)))=Milestones!$AB$130),UPPER(TEXT(EDATE($D140,Milestones!$AA$130),"dd mmm yy"))&amp;" "&amp;Milestones!$AB$130&amp;" "&amp;Milestones!$AC$130&amp;";  ","")&amp;IF(AND(EDATE($D140,Milestones!$AA$131)&lt;=AsOfDate,IF($R140=0,$X140,IF(AND($T140&lt;&gt;"",EDATE($D140,Milestones!$AA$131)&gt;=$T140),$W140,IF(AND($S140&lt;&gt;"",EDATE($D140,Milestones!$AA$131)&gt;=$S140),$V140,$U140)))=Milestones!$AB$131),UPPER(TEXT(EDATE($D140,Milestones!$AA$131),"dd mmm yy"))&amp;" "&amp;Milestones!$AB$131&amp;" "&amp;Milestones!$AC$131&amp;";  ","")&amp;IF(AND(EDATE($D140,Milestones!$AA$132)&lt;=AsOfDate,IF($R140=0,$X140,IF(AND($T140&lt;&gt;"",EDATE($D140,Milestones!$AA$132)&gt;=$T140),$W140,IF(AND($S140&lt;&gt;"",EDATE($D140,Milestones!$AA$132)&gt;=$S140),$V140,$U140)))=Milestones!$AB$132),UPPER(TEXT(EDATE($D140,Milestones!$AA$132),"dd mmm yy"))&amp;" "&amp;Milestones!$AB$132&amp;" "&amp;Milestones!$AC$132&amp;";  ","")&amp;IF(AND(EDATE($D140,Milestones!$AA$133)&lt;=AsOfDate,IF($R140=0,$X140,IF(AND($T140&lt;&gt;"",EDATE($D140,Milestones!$AA$133)&gt;=$T140),$W140,IF(AND($S140&lt;&gt;"",EDATE($D140,Milestones!$AA$133)&gt;=$S140),$V140,$U140)))=Milestones!$AB$133),UPPER(TEXT(EDATE($D140,Milestones!$AA$133),"dd mmm yy"))&amp;" "&amp;Milestones!$AB$133&amp;" "&amp;Milestones!$AC$133&amp;";  ","")&amp;IF(AND(EDATE($D140,Milestones!$AA$134)&lt;=AsOfDate,IF($R140=0,$X140,IF(AND($T140&lt;&gt;"",EDATE($D140,Milestones!$AA$134)&gt;=$T140),$W140,IF(AND($S140&lt;&gt;"",EDATE($D140,Milestones!$AA$134)&gt;=$S140),$V140,$U140)))=Milestones!$AB$134),UPPER(TEXT(EDATE($D140,Milestones!$AA$134),"dd mmm yy"))&amp;" "&amp;Milestones!$AB$134&amp;" "&amp;Milestones!$AC$134&amp;";  ","")&amp;IF(AND(EDATE($D140,Milestones!$AA$135)&lt;=AsOfDate,IF($R140=0,$X140,IF(AND($T140&lt;&gt;"",EDATE($D140,Milestones!$AA$135)&gt;=$T140),$W140,IF(AND($S140&lt;&gt;"",EDATE($D140,Milestones!$AA$135)&gt;=$S140),$V140,$U140)))=Milestones!$AB$135),UPPER(TEXT(EDATE($D140,Milestones!$AA$135),"dd mmm yy"))&amp;" "&amp;Milestones!$AB$135&amp;" "&amp;Milestones!$AC$135&amp;";  ","")&amp;IF(AND(EDATE($D140,Milestones!$AA$136)&lt;=AsOfDate,IF($R140=0,$X140,IF(AND($T140&lt;&gt;"",EDATE($D140,Milestones!$AA$136)&gt;=$T140),$W140,IF(AND($S140&lt;&gt;"",EDATE($D140,Milestones!$AA$136)&gt;=$S140),$V140,$U140)))=Milestones!$AB$136),UPPER(TEXT(EDATE($D140,Milestones!$AA$136),"dd mmm yy"))&amp;" "&amp;Milestones!$AB$136&amp;" "&amp;Milestones!$AC$136&amp;";  ","")&amp;IF(AND(EDATE($D140,Milestones!$AA$137)&lt;=AsOfDate,IF($R140=0,$X140,IF(AND($T140&lt;&gt;"",EDATE($D140,Milestones!$AA$137)&gt;=$T140),$W140,IF(AND($S140&lt;&gt;"",EDATE($D140,Milestones!$AA$137)&gt;=$S140),$V140,$U140)))=Milestones!$AB$137),UPPER(TEXT(EDATE($D140,Milestones!$AA$137),"dd mmm yy"))&amp;" "&amp;Milestones!$AB$137&amp;" "&amp;Milestones!$AC$137&amp;";  ","")&amp;IF(AND(EDATE($D140,Milestones!$AA$138)&lt;=AsOfDate,IF($R140=0,$X140,IF(AND($T140&lt;&gt;"",EDATE($D140,Milestones!$AA$138)&gt;=$T140),$W140,IF(AND($S140&lt;&gt;"",EDATE($D140,Milestones!$AA$138)&gt;=$S140),$V140,$U140)))=Milestones!$AB$138),UPPER(TEXT(EDATE($D140,Milestones!$AA$138),"dd mmm yy"))&amp;" "&amp;Milestones!$AB$138&amp;" "&amp;Milestones!$AC$138&amp;";  ","")&amp;IF(AND(EDATE($D140,Milestones!$AA$139)&lt;=AsOfDate,IF($R140=0,$X140,IF(AND($T140&lt;&gt;"",EDATE($D140,Milestones!$AA$139)&gt;=$T140),$W140,IF(AND($S140&lt;&gt;"",EDATE($D140,Milestones!$AA$139)&gt;=$S140),$V140,$U140)))=Milestones!$AB$139),UPPER(TEXT(EDATE($D140,Milestones!$AA$139),"dd mmm yy"))&amp;" "&amp;Milestones!$AB$139&amp;" "&amp;Milestones!$AC$139&amp;";  ",""))</f>
        <v/>
      </c>
      <c r="O140" s="0" t="str">
        <f aca="false">IF(OR($A140="",$D140=""),"",IF(AND(EDATE($D140,Milestones!$AA$140)&lt;=AsOfDate,IF($R140=0,$X140,IF(AND($T140&lt;&gt;"",EDATE($D140,Milestones!$AA$140)&gt;=$T140),$W140,IF(AND($S140&lt;&gt;"",EDATE($D140,Milestones!$AA$140)&gt;=$S140),$V140,$U140)))=Milestones!$AB$140),UPPER(TEXT(EDATE($D140,Milestones!$AA$140),"dd mmm yy"))&amp;" "&amp;Milestones!$AB$140&amp;" "&amp;Milestones!$AC$140&amp;";  ","")&amp;IF(AND(EDATE($D140,Milestones!$AA$141)&lt;=AsOfDate,IF($R140=0,$X140,IF(AND($T140&lt;&gt;"",EDATE($D140,Milestones!$AA$141)&gt;=$T140),$W140,IF(AND($S140&lt;&gt;"",EDATE($D140,Milestones!$AA$141)&gt;=$S140),$V140,$U140)))=Milestones!$AB$141),UPPER(TEXT(EDATE($D140,Milestones!$AA$141),"dd mmm yy"))&amp;" "&amp;Milestones!$AB$141&amp;" "&amp;Milestones!$AC$141&amp;";  ","")&amp;IF(AND(EDATE($D140,Milestones!$AA$142)&lt;=AsOfDate,IF($R140=0,$X140,IF(AND($T140&lt;&gt;"",EDATE($D140,Milestones!$AA$142)&gt;=$T140),$W140,IF(AND($S140&lt;&gt;"",EDATE($D140,Milestones!$AA$142)&gt;=$S140),$V140,$U140)))=Milestones!$AB$142),UPPER(TEXT(EDATE($D140,Milestones!$AA$142),"dd mmm yy"))&amp;" "&amp;Milestones!$AB$142&amp;" "&amp;Milestones!$AC$142&amp;";  ","")&amp;IF(AND(EDATE($D140,Milestones!$AA$143)&lt;=AsOfDate,IF($R140=0,$X140,IF(AND($T140&lt;&gt;"",EDATE($D140,Milestones!$AA$143)&gt;=$T140),$W140,IF(AND($S140&lt;&gt;"",EDATE($D140,Milestones!$AA$143)&gt;=$S140),$V140,$U140)))=Milestones!$AB$143),UPPER(TEXT(EDATE($D140,Milestones!$AA$143),"dd mmm yy"))&amp;" "&amp;Milestones!$AB$143&amp;" "&amp;Milestones!$AC$143&amp;";  ","")&amp;IF(AND(EDATE($D140,Milestones!$AA$144)&lt;=AsOfDate,IF($R140=0,$X140,IF(AND($T140&lt;&gt;"",EDATE($D140,Milestones!$AA$144)&gt;=$T140),$W140,IF(AND($S140&lt;&gt;"",EDATE($D140,Milestones!$AA$144)&gt;=$S140),$V140,$U140)))=Milestones!$AB$144),UPPER(TEXT(EDATE($D140,Milestones!$AA$144),"dd mmm yy"))&amp;" "&amp;Milestones!$AB$144&amp;" "&amp;Milestones!$AC$144&amp;";  ","")&amp;IF(AND(EDATE($D140,Milestones!$AA$145)&lt;=AsOfDate,IF($R140=0,$X140,IF(AND($T140&lt;&gt;"",EDATE($D140,Milestones!$AA$145)&gt;=$T140),$W140,IF(AND($S140&lt;&gt;"",EDATE($D140,Milestones!$AA$145)&gt;=$S140),$V140,$U140)))=Milestones!$AB$145),UPPER(TEXT(EDATE($D140,Milestones!$AA$145),"dd mmm yy"))&amp;" "&amp;Milestones!$AB$145&amp;" "&amp;Milestones!$AC$145&amp;";  ","")&amp;IF(AND(EDATE($D140,Milestones!$AA$146)&lt;=AsOfDate,IF($R140=0,$X140,IF(AND($T140&lt;&gt;"",EDATE($D140,Milestones!$AA$146)&gt;=$T140),$W140,IF(AND($S140&lt;&gt;"",EDATE($D140,Milestones!$AA$146)&gt;=$S140),$V140,$U140)))=Milestones!$AB$146),UPPER(TEXT(EDATE($D140,Milestones!$AA$146),"dd mmm yy"))&amp;" "&amp;Milestones!$AB$146&amp;" "&amp;Milestones!$AC$146&amp;";  ","")&amp;IF(AND(EDATE($D140,Milestones!$AA$147)&lt;=AsOfDate,IF($R140=0,$X140,IF(AND($T140&lt;&gt;"",EDATE($D140,Milestones!$AA$147)&gt;=$T140),$W140,IF(AND($S140&lt;&gt;"",EDATE($D140,Milestones!$AA$147)&gt;=$S140),$V140,$U140)))=Milestones!$AB$147),UPPER(TEXT(EDATE($D140,Milestones!$AA$147),"dd mmm yy"))&amp;" "&amp;Milestones!$AB$147&amp;" "&amp;Milestones!$AC$147&amp;";  ","")&amp;IF(AND(EDATE($D140,Milestones!$AA$148)&lt;=AsOfDate,IF($R140=0,$X140,IF(AND($T140&lt;&gt;"",EDATE($D140,Milestones!$AA$148)&gt;=$T140),$W140,IF(AND($S140&lt;&gt;"",EDATE($D140,Milestones!$AA$148)&gt;=$S140),$V140,$U140)))=Milestones!$AB$148),UPPER(TEXT(EDATE($D140,Milestones!$AA$148),"dd mmm yy"))&amp;" "&amp;Milestones!$AB$148&amp;" "&amp;Milestones!$AC$148&amp;";  ","")&amp;IF(AND(EDATE($D140,Milestones!$AA$149)&lt;=AsOfDate,IF($R140=0,$X140,IF(AND($T140&lt;&gt;"",EDATE($D140,Milestones!$AA$149)&gt;=$T140),$W140,IF(AND($S140&lt;&gt;"",EDATE($D140,Milestones!$AA$149)&gt;=$S140),$V140,$U140)))=Milestones!$AB$149),UPPER(TEXT(EDATE($D140,Milestones!$AA$149),"dd mmm yy"))&amp;" "&amp;Milestones!$AB$149&amp;" "&amp;Milestones!$AC$149&amp;";  ","")&amp;IF(AND(EDATE($D140,Milestones!$AA$150)&lt;=AsOfDate,IF($R140=0,$X140,IF(AND($T140&lt;&gt;"",EDATE($D140,Milestones!$AA$150)&gt;=$T140),$W140,IF(AND($S140&lt;&gt;"",EDATE($D140,Milestones!$AA$150)&gt;=$S140),$V140,$U140)))=Milestones!$AB$150),UPPER(TEXT(EDATE($D140,Milestones!$AA$150),"dd mmm yy"))&amp;" "&amp;Milestones!$AB$150&amp;" "&amp;Milestones!$AC$150&amp;";  ","")&amp;IF(AND(EDATE($D140,Milestones!$AA$151)&lt;=AsOfDate,IF($R140=0,$X140,IF(AND($T140&lt;&gt;"",EDATE($D140,Milestones!$AA$151)&gt;=$T140),$W140,IF(AND($S140&lt;&gt;"",EDATE($D140,Milestones!$AA$151)&gt;=$S140),$V140,$U140)))=Milestones!$AB$151),UPPER(TEXT(EDATE($D140,Milestones!$AA$151),"dd mmm yy"))&amp;" "&amp;Milestones!$AB$151&amp;" "&amp;Milestones!$AC$151&amp;";  ","")&amp;IF(AND(EDATE($D140,Milestones!$AA$152)&lt;=AsOfDate,IF($R140=0,$X140,IF(AND($T140&lt;&gt;"",EDATE($D140,Milestones!$AA$152)&gt;=$T140),$W140,IF(AND($S140&lt;&gt;"",EDATE($D140,Milestones!$AA$152)&gt;=$S140),$V140,$U140)))=Milestones!$AB$152),UPPER(TEXT(EDATE($D140,Milestones!$AA$152),"dd mmm yy"))&amp;" "&amp;Milestones!$AB$152&amp;" "&amp;Milestones!$AC$152&amp;";  ","")&amp;IF(AND(EDATE($D140,Milestones!$AA$153)&lt;=AsOfDate,IF($R140=0,$X140,IF(AND($T140&lt;&gt;"",EDATE($D140,Milestones!$AA$153)&gt;=$T140),$W140,IF(AND($S140&lt;&gt;"",EDATE($D140,Milestones!$AA$153)&gt;=$S140),$V140,$U140)))=Milestones!$AB$153),UPPER(TEXT(EDATE($D140,Milestones!$AA$153),"dd mmm yy"))&amp;" "&amp;Milestones!$AB$153&amp;" "&amp;Milestones!$AC$153&amp;";  ","")&amp;IF(AND(EDATE($D140,Milestones!$AA$154)&lt;=AsOfDate,IF($R140=0,$X140,IF(AND($T140&lt;&gt;"",EDATE($D140,Milestones!$AA$154)&gt;=$T140),$W140,IF(AND($S140&lt;&gt;"",EDATE($D140,Milestones!$AA$154)&gt;=$S140),$V140,$U140)))=Milestones!$AB$154),UPPER(TEXT(EDATE($D140,Milestones!$AA$154),"dd mmm yy"))&amp;" "&amp;Milestones!$AB$154&amp;" "&amp;Milestones!$AC$154&amp;";  ","")&amp;IF(AND(EDATE($D140,Milestones!$AA$155)&lt;=AsOfDate,IF($R140=0,$X140,IF(AND($T140&lt;&gt;"",EDATE($D140,Milestones!$AA$155)&gt;=$T140),$W140,IF(AND($S140&lt;&gt;"",EDATE($D140,Milestones!$AA$155)&gt;=$S140),$V140,$U140)))=Milestones!$AB$155),UPPER(TEXT(EDATE($D140,Milestones!$AA$155),"dd mmm yy"))&amp;" "&amp;Milestones!$AB$155&amp;" "&amp;Milestones!$AC$155&amp;";  ","")&amp;IF(AND(EDATE($D140,Milestones!$AA$156)&lt;=AsOfDate,IF($R140=0,$X140,IF(AND($T140&lt;&gt;"",EDATE($D140,Milestones!$AA$156)&gt;=$T140),$W140,IF(AND($S140&lt;&gt;"",EDATE($D140,Milestones!$AA$156)&gt;=$S140),$V140,$U140)))=Milestones!$AB$156),UPPER(TEXT(EDATE($D140,Milestones!$AA$156),"dd mmm yy"))&amp;" "&amp;Milestones!$AB$156&amp;" "&amp;Milestones!$AC$156&amp;";  ","")&amp;IF(AND(EDATE($D140,Milestones!$AA$157)&lt;=AsOfDate,IF($R140=0,$X140,IF(AND($T140&lt;&gt;"",EDATE($D140,Milestones!$AA$157)&gt;=$T140),$W140,IF(AND($S140&lt;&gt;"",EDATE($D140,Milestones!$AA$157)&gt;=$S140),$V140,$U140)))=Milestones!$AB$157),UPPER(TEXT(EDATE($D140,Milestones!$AA$157),"dd mmm yy"))&amp;" "&amp;Milestones!$AB$157&amp;" "&amp;Milestones!$AC$157&amp;";  ","")&amp;IF(AND(EDATE($D140,Milestones!$AA$158)&lt;=AsOfDate,IF($R140=0,$X140,IF(AND($T140&lt;&gt;"",EDATE($D140,Milestones!$AA$158)&gt;=$T140),$W140,IF(AND($S140&lt;&gt;"",EDATE($D140,Milestones!$AA$158)&gt;=$S140),$V140,$U140)))=Milestones!$AB$158),UPPER(TEXT(EDATE($D140,Milestones!$AA$158),"dd mmm yy"))&amp;" "&amp;Milestones!$AB$158&amp;" "&amp;Milestones!$AC$158&amp;";  ","")&amp;IF(AND(EDATE($D140,Milestones!$AA$159)&lt;=AsOfDate,IF($R140=0,$X140,IF(AND($T140&lt;&gt;"",EDATE($D140,Milestones!$AA$159)&gt;=$T140),$W140,IF(AND($S140&lt;&gt;"",EDATE($D140,Milestones!$AA$159)&gt;=$S140),$V140,$U140)))=Milestones!$AB$159),UPPER(TEXT(EDATE($D140,Milestones!$AA$159),"dd mmm yy"))&amp;" "&amp;Milestones!$AB$159&amp;" "&amp;Milestones!$AC$159&amp;";  ",""))</f>
        <v/>
      </c>
      <c r="P140" s="0" t="str">
        <f aca="false">IF(OR($A140="",$D140=""),"",IF(AND(EDATE($D140,Milestones!$AA$160)&lt;=AsOfDate,IF($R140=0,$X140,IF(AND($T140&lt;&gt;"",EDATE($D140,Milestones!$AA$160)&gt;=$T140),$W140,IF(AND($S140&lt;&gt;"",EDATE($D140,Milestones!$AA$160)&gt;=$S140),$V140,$U140)))=Milestones!$AB$160),UPPER(TEXT(EDATE($D140,Milestones!$AA$160),"dd mmm yy"))&amp;" "&amp;Milestones!$AB$160&amp;" "&amp;Milestones!$AC$160&amp;";  ","")&amp;IF(AND(EDATE($D140,Milestones!$AA$161)&lt;=AsOfDate,IF($R140=0,$X140,IF(AND($T140&lt;&gt;"",EDATE($D140,Milestones!$AA$161)&gt;=$T140),$W140,IF(AND($S140&lt;&gt;"",EDATE($D140,Milestones!$AA$161)&gt;=$S140),$V140,$U140)))=Milestones!$AB$161),UPPER(TEXT(EDATE($D140,Milestones!$AA$161),"dd mmm yy"))&amp;" "&amp;Milestones!$AB$161&amp;" "&amp;Milestones!$AC$161&amp;";  ","")&amp;IF(AND(EDATE($D140,Milestones!$AA$162)&lt;=AsOfDate,IF($R140=0,$X140,IF(AND($T140&lt;&gt;"",EDATE($D140,Milestones!$AA$162)&gt;=$T140),$W140,IF(AND($S140&lt;&gt;"",EDATE($D140,Milestones!$AA$162)&gt;=$S140),$V140,$U140)))=Milestones!$AB$162),UPPER(TEXT(EDATE($D140,Milestones!$AA$162),"dd mmm yy"))&amp;" "&amp;Milestones!$AB$162&amp;" "&amp;Milestones!$AC$162&amp;";  ","")&amp;IF(AND(EDATE($D140,Milestones!$AA$163)&lt;=AsOfDate,IF($R140=0,$X140,IF(AND($T140&lt;&gt;"",EDATE($D140,Milestones!$AA$163)&gt;=$T140),$W140,IF(AND($S140&lt;&gt;"",EDATE($D140,Milestones!$AA$163)&gt;=$S140),$V140,$U140)))=Milestones!$AB$163),UPPER(TEXT(EDATE($D140,Milestones!$AA$163),"dd mmm yy"))&amp;" "&amp;Milestones!$AB$163&amp;" "&amp;Milestones!$AC$163&amp;";  ","")&amp;IF(AND(EDATE($D140,Milestones!$AA$164)&lt;=AsOfDate,IF($R140=0,$X140,IF(AND($T140&lt;&gt;"",EDATE($D140,Milestones!$AA$164)&gt;=$T140),$W140,IF(AND($S140&lt;&gt;"",EDATE($D140,Milestones!$AA$164)&gt;=$S140),$V140,$U140)))=Milestones!$AB$164),UPPER(TEXT(EDATE($D140,Milestones!$AA$164),"dd mmm yy"))&amp;" "&amp;Milestones!$AB$164&amp;" "&amp;Milestones!$AC$164&amp;";  ","")&amp;IF(AND(EDATE($D140,Milestones!$AA$165)&lt;=AsOfDate,IF($R140=0,$X140,IF(AND($T140&lt;&gt;"",EDATE($D140,Milestones!$AA$165)&gt;=$T140),$W140,IF(AND($S140&lt;&gt;"",EDATE($D140,Milestones!$AA$165)&gt;=$S140),$V140,$U140)))=Milestones!$AB$165),UPPER(TEXT(EDATE($D140,Milestones!$AA$165),"dd mmm yy"))&amp;" "&amp;Milestones!$AB$165&amp;" "&amp;Milestones!$AC$165&amp;";  ","")&amp;IF(AND(EDATE($D140,Milestones!$AA$166)&lt;=AsOfDate,IF($R140=0,$X140,IF(AND($T140&lt;&gt;"",EDATE($D140,Milestones!$AA$166)&gt;=$T140),$W140,IF(AND($S140&lt;&gt;"",EDATE($D140,Milestones!$AA$166)&gt;=$S140),$V140,$U140)))=Milestones!$AB$166),UPPER(TEXT(EDATE($D140,Milestones!$AA$166),"dd mmm yy"))&amp;" "&amp;Milestones!$AB$166&amp;" "&amp;Milestones!$AC$166&amp;";  ","")&amp;IF(AND(EDATE($D140,Milestones!$AA$167)&lt;=AsOfDate,IF($R140=0,$X140,IF(AND($T140&lt;&gt;"",EDATE($D140,Milestones!$AA$167)&gt;=$T140),$W140,IF(AND($S140&lt;&gt;"",EDATE($D140,Milestones!$AA$167)&gt;=$S140),$V140,$U140)))=Milestones!$AB$167),UPPER(TEXT(EDATE($D140,Milestones!$AA$167),"dd mmm yy"))&amp;" "&amp;Milestones!$AB$167&amp;" "&amp;Milestones!$AC$167&amp;";  ","")&amp;IF(AND(EDATE($D140,Milestones!$AA$168)&lt;=AsOfDate,IF($R140=0,$X140,IF(AND($T140&lt;&gt;"",EDATE($D140,Milestones!$AA$168)&gt;=$T140),$W140,IF(AND($S140&lt;&gt;"",EDATE($D140,Milestones!$AA$168)&gt;=$S140),$V140,$U140)))=Milestones!$AB$168),UPPER(TEXT(EDATE($D140,Milestones!$AA$168),"dd mmm yy"))&amp;" "&amp;Milestones!$AB$168&amp;" "&amp;Milestones!$AC$168&amp;";  ","")&amp;IF(AND(EDATE($D140,Milestones!$AA$169)&lt;=AsOfDate,IF($R140=0,$X140,IF(AND($T140&lt;&gt;"",EDATE($D140,Milestones!$AA$169)&gt;=$T140),$W140,IF(AND($S140&lt;&gt;"",EDATE($D140,Milestones!$AA$169)&gt;=$S140),$V140,$U140)))=Milestones!$AB$169),UPPER(TEXT(EDATE($D140,Milestones!$AA$169),"dd mmm yy"))&amp;" "&amp;Milestones!$AB$169&amp;" "&amp;Milestones!$AC$169&amp;";  ","")&amp;IF(AND(EDATE($D140,Milestones!$AA$170)&lt;=AsOfDate,IF($R140=0,$X140,IF(AND($T140&lt;&gt;"",EDATE($D140,Milestones!$AA$170)&gt;=$T140),$W140,IF(AND($S140&lt;&gt;"",EDATE($D140,Milestones!$AA$170)&gt;=$S140),$V140,$U140)))=Milestones!$AB$170),UPPER(TEXT(EDATE($D140,Milestones!$AA$170),"dd mmm yy"))&amp;" "&amp;Milestones!$AB$170&amp;" "&amp;Milestones!$AC$170&amp;";  ","")&amp;IF(AND(EDATE($D140,Milestones!$AA$171)&lt;=AsOfDate,IF($R140=0,$X140,IF(AND($T140&lt;&gt;"",EDATE($D140,Milestones!$AA$171)&gt;=$T140),$W140,IF(AND($S140&lt;&gt;"",EDATE($D140,Milestones!$AA$171)&gt;=$S140),$V140,$U140)))=Milestones!$AB$171),UPPER(TEXT(EDATE($D140,Milestones!$AA$171),"dd mmm yy"))&amp;" "&amp;Milestones!$AB$171&amp;" "&amp;Milestones!$AC$171&amp;";  ","")&amp;IF(AND(EDATE($D140,Milestones!$AA$172)&lt;=AsOfDate,IF($R140=0,$X140,IF(AND($T140&lt;&gt;"",EDATE($D140,Milestones!$AA$172)&gt;=$T140),$W140,IF(AND($S140&lt;&gt;"",EDATE($D140,Milestones!$AA$172)&gt;=$S140),$V140,$U140)))=Milestones!$AB$172),UPPER(TEXT(EDATE($D140,Milestones!$AA$172),"dd mmm yy"))&amp;" "&amp;Milestones!$AB$172&amp;" "&amp;Milestones!$AC$172&amp;";  ","")&amp;IF(AND(EDATE($D140,Milestones!$AA$173)&lt;=AsOfDate,IF($R140=0,$X140,IF(AND($T140&lt;&gt;"",EDATE($D140,Milestones!$AA$173)&gt;=$T140),$W140,IF(AND($S140&lt;&gt;"",EDATE($D140,Milestones!$AA$173)&gt;=$S140),$V140,$U140)))=Milestones!$AB$173),UPPER(TEXT(EDATE($D140,Milestones!$AA$173),"dd mmm yy"))&amp;" "&amp;Milestones!$AB$173&amp;" "&amp;Milestones!$AC$173&amp;";  ","")&amp;IF(AND(EDATE($D140,Milestones!$AA$174)&lt;=AsOfDate,IF($R140=0,$X140,IF(AND($T140&lt;&gt;"",EDATE($D140,Milestones!$AA$174)&gt;=$T140),$W140,IF(AND($S140&lt;&gt;"",EDATE($D140,Milestones!$AA$174)&gt;=$S140),$V140,$U140)))=Milestones!$AB$174),UPPER(TEXT(EDATE($D140,Milestones!$AA$174),"dd mmm yy"))&amp;" "&amp;Milestones!$AB$174&amp;" "&amp;Milestones!$AC$174&amp;";  ","")&amp;IF(AND(EDATE($D140,Milestones!$AA$175)&lt;=AsOfDate,IF($R140=0,$X140,IF(AND($T140&lt;&gt;"",EDATE($D140,Milestones!$AA$175)&gt;=$T140),$W140,IF(AND($S140&lt;&gt;"",EDATE($D140,Milestones!$AA$175)&gt;=$S140),$V140,$U140)))=Milestones!$AB$175),UPPER(TEXT(EDATE($D140,Milestones!$AA$175),"dd mmm yy"))&amp;" "&amp;Milestones!$AB$175&amp;" "&amp;Milestones!$AC$175&amp;";  ","")&amp;IF(AND(EDATE($D140,Milestones!$AA$176)&lt;=AsOfDate,IF($R140=0,$X140,IF(AND($T140&lt;&gt;"",EDATE($D140,Milestones!$AA$176)&gt;=$T140),$W140,IF(AND($S140&lt;&gt;"",EDATE($D140,Milestones!$AA$176)&gt;=$S140),$V140,$U140)))=Milestones!$AB$176),UPPER(TEXT(EDATE($D140,Milestones!$AA$176),"dd mmm yy"))&amp;" "&amp;Milestones!$AB$176&amp;" "&amp;Milestones!$AC$176&amp;";  ","")&amp;IF(AND(EDATE($D140,Milestones!$AA$177)&lt;=AsOfDate,IF($R140=0,$X140,IF(AND($T140&lt;&gt;"",EDATE($D140,Milestones!$AA$177)&gt;=$T140),$W140,IF(AND($S140&lt;&gt;"",EDATE($D140,Milestones!$AA$177)&gt;=$S140),$V140,$U140)))=Milestones!$AB$177),UPPER(TEXT(EDATE($D140,Milestones!$AA$177),"dd mmm yy"))&amp;" "&amp;Milestones!$AB$177&amp;" "&amp;Milestones!$AC$177&amp;";  ","")&amp;IF(AND(EDATE($D140,Milestones!$AA$178)&lt;=AsOfDate,IF($R140=0,$X140,IF(AND($T140&lt;&gt;"",EDATE($D140,Milestones!$AA$178)&gt;=$T140),$W140,IF(AND($S140&lt;&gt;"",EDATE($D140,Milestones!$AA$178)&gt;=$S140),$V140,$U140)))=Milestones!$AB$178),UPPER(TEXT(EDATE($D140,Milestones!$AA$178),"dd mmm yy"))&amp;" "&amp;Milestones!$AB$178&amp;" "&amp;Milestones!$AC$178&amp;";  ","")&amp;IF(AND(EDATE($D140,Milestones!$AA$179)&lt;=AsOfDate,IF($R140=0,$X140,IF(AND($T140&lt;&gt;"",EDATE($D140,Milestones!$AA$179)&gt;=$T140),$W140,IF(AND($S140&lt;&gt;"",EDATE($D140,Milestones!$AA$179)&gt;=$S140),$V140,$U140)))=Milestones!$AB$179),UPPER(TEXT(EDATE($D140,Milestones!$AA$179),"dd mmm yy"))&amp;" "&amp;Milestones!$AB$179&amp;" "&amp;Milestones!$AC$179&amp;";  ",""))</f>
        <v/>
      </c>
      <c r="Q140" s="0" t="str">
        <f aca="false">IF(OR($A140="",$D140=""),"",IF(AND(EDATE($D140,Milestones!$AA$180)&lt;=AsOfDate,IF($R140=0,$X140,IF(AND($T140&lt;&gt;"",EDATE($D140,Milestones!$AA$180)&gt;=$T140),$W140,IF(AND($S140&lt;&gt;"",EDATE($D140,Milestones!$AA$180)&gt;=$S140),$V140,$U140)))=Milestones!$AB$180),UPPER(TEXT(EDATE($D140,Milestones!$AA$180),"dd mmm yy"))&amp;" "&amp;Milestones!$AB$180&amp;" "&amp;Milestones!$AC$180&amp;";  ","")&amp;IF(AND(EDATE($D140,Milestones!$AA$181)&lt;=AsOfDate,IF($R140=0,$X140,IF(AND($T140&lt;&gt;"",EDATE($D140,Milestones!$AA$181)&gt;=$T140),$W140,IF(AND($S140&lt;&gt;"",EDATE($D140,Milestones!$AA$181)&gt;=$S140),$V140,$U140)))=Milestones!$AB$181),UPPER(TEXT(EDATE($D140,Milestones!$AA$181),"dd mmm yy"))&amp;" "&amp;Milestones!$AB$181&amp;" "&amp;Milestones!$AC$181&amp;";  ","")&amp;IF(AND(EDATE($D140,Milestones!$AA$182)&lt;=AsOfDate,IF($R140=0,$X140,IF(AND($T140&lt;&gt;"",EDATE($D140,Milestones!$AA$182)&gt;=$T140),$W140,IF(AND($S140&lt;&gt;"",EDATE($D140,Milestones!$AA$182)&gt;=$S140),$V140,$U140)))=Milestones!$AB$182),UPPER(TEXT(EDATE($D140,Milestones!$AA$182),"dd mmm yy"))&amp;" "&amp;Milestones!$AB$182&amp;" "&amp;Milestones!$AC$182&amp;";  ","")&amp;IF(AND(EDATE($D140,Milestones!$AA$183)&lt;=AsOfDate,IF($R140=0,$X140,IF(AND($T140&lt;&gt;"",EDATE($D140,Milestones!$AA$183)&gt;=$T140),$W140,IF(AND($S140&lt;&gt;"",EDATE($D140,Milestones!$AA$183)&gt;=$S140),$V140,$U140)))=Milestones!$AB$183),UPPER(TEXT(EDATE($D140,Milestones!$AA$183),"dd mmm yy"))&amp;" "&amp;Milestones!$AB$183&amp;" "&amp;Milestones!$AC$183&amp;";  ","")&amp;IF(AND(EDATE($D140,Milestones!$AA$184)&lt;=AsOfDate,IF($R140=0,$X140,IF(AND($T140&lt;&gt;"",EDATE($D140,Milestones!$AA$184)&gt;=$T140),$W140,IF(AND($S140&lt;&gt;"",EDATE($D140,Milestones!$AA$184)&gt;=$S140),$V140,$U140)))=Milestones!$AB$184),UPPER(TEXT(EDATE($D140,Milestones!$AA$184),"dd mmm yy"))&amp;" "&amp;Milestones!$AB$184&amp;" "&amp;Milestones!$AC$184&amp;";  ","")&amp;IF(AND(EDATE($D140,Milestones!$AA$185)&lt;=AsOfDate,IF($R140=0,$X140,IF(AND($T140&lt;&gt;"",EDATE($D140,Milestones!$AA$185)&gt;=$T140),$W140,IF(AND($S140&lt;&gt;"",EDATE($D140,Milestones!$AA$185)&gt;=$S140),$V140,$U140)))=Milestones!$AB$185),UPPER(TEXT(EDATE($D140,Milestones!$AA$185),"dd mmm yy"))&amp;" "&amp;Milestones!$AB$185&amp;" "&amp;Milestones!$AC$185&amp;";  ","")&amp;IF(AND(EDATE($D140,Milestones!$AA$186)&lt;=AsOfDate,IF($R140=0,$X140,IF(AND($T140&lt;&gt;"",EDATE($D140,Milestones!$AA$186)&gt;=$T140),$W140,IF(AND($S140&lt;&gt;"",EDATE($D140,Milestones!$AA$186)&gt;=$S140),$V140,$U140)))=Milestones!$AB$186),UPPER(TEXT(EDATE($D140,Milestones!$AA$186),"dd mmm yy"))&amp;" "&amp;Milestones!$AB$186&amp;" "&amp;Milestones!$AC$186&amp;";  ","")&amp;IF(AND(EDATE($D140,Milestones!$AA$187)&lt;=AsOfDate,IF($R140=0,$X140,IF(AND($T140&lt;&gt;"",EDATE($D140,Milestones!$AA$187)&gt;=$T140),$W140,IF(AND($S140&lt;&gt;"",EDATE($D140,Milestones!$AA$187)&gt;=$S140),$V140,$U140)))=Milestones!$AB$187),UPPER(TEXT(EDATE($D140,Milestones!$AA$187),"dd mmm yy"))&amp;" "&amp;Milestones!$AB$187&amp;" "&amp;Milestones!$AC$187&amp;";  ","")&amp;IF(AND(EDATE($D140,Milestones!$AA$188)&lt;=AsOfDate,IF($R140=0,$X140,IF(AND($T140&lt;&gt;"",EDATE($D140,Milestones!$AA$188)&gt;=$T140),$W140,IF(AND($S140&lt;&gt;"",EDATE($D140,Milestones!$AA$188)&gt;=$S140),$V140,$U140)))=Milestones!$AB$188),UPPER(TEXT(EDATE($D140,Milestones!$AA$188),"dd mmm yy"))&amp;" "&amp;Milestones!$AB$188&amp;" "&amp;Milestones!$AC$188&amp;";  ","")&amp;IF(AND(EDATE($D140,Milestones!$AA$189)&lt;=AsOfDate,IF($R140=0,$X140,IF(AND($T140&lt;&gt;"",EDATE($D140,Milestones!$AA$189)&gt;=$T140),$W140,IF(AND($S140&lt;&gt;"",EDATE($D140,Milestones!$AA$189)&gt;=$S140),$V140,$U140)))=Milestones!$AB$189),UPPER(TEXT(EDATE($D140,Milestones!$AA$189),"dd mmm yy"))&amp;" "&amp;Milestones!$AB$189&amp;" "&amp;Milestones!$AC$189&amp;";  ","")&amp;IF(AND(EDATE($D140,Milestones!$AA$190)&lt;=AsOfDate,IF($R140=0,$X140,IF(AND($T140&lt;&gt;"",EDATE($D140,Milestones!$AA$190)&gt;=$T140),$W140,IF(AND($S140&lt;&gt;"",EDATE($D140,Milestones!$AA$190)&gt;=$S140),$V140,$U140)))=Milestones!$AB$190),UPPER(TEXT(EDATE($D140,Milestones!$AA$190),"dd mmm yy"))&amp;" "&amp;Milestones!$AB$190&amp;" "&amp;Milestones!$AC$190&amp;";  ","")&amp;IF(AND(EDATE($D140,Milestones!$AA$191)&lt;=AsOfDate,IF($R140=0,$X140,IF(AND($T140&lt;&gt;"",EDATE($D140,Milestones!$AA$191)&gt;=$T140),$W140,IF(AND($S140&lt;&gt;"",EDATE($D140,Milestones!$AA$191)&gt;=$S140),$V140,$U140)))=Milestones!$AB$191),UPPER(TEXT(EDATE($D140,Milestones!$AA$191),"dd mmm yy"))&amp;" "&amp;Milestones!$AB$191&amp;" "&amp;Milestones!$AC$191&amp;";  ","")&amp;IF(AND(EDATE($D140,Milestones!$AA$192)&lt;=AsOfDate,IF($R140=0,$X140,IF(AND($T140&lt;&gt;"",EDATE($D140,Milestones!$AA$192)&gt;=$T140),$W140,IF(AND($S140&lt;&gt;"",EDATE($D140,Milestones!$AA$192)&gt;=$S140),$V140,$U140)))=Milestones!$AB$192),UPPER(TEXT(EDATE($D140,Milestones!$AA$192),"dd mmm yy"))&amp;" "&amp;Milestones!$AB$192&amp;" "&amp;Milestones!$AC$192&amp;";  ","")&amp;IF(AND(EDATE($D140,Milestones!$AA$193)&lt;=AsOfDate,IF($R140=0,$X140,IF(AND($T140&lt;&gt;"",EDATE($D140,Milestones!$AA$193)&gt;=$T140),$W140,IF(AND($S140&lt;&gt;"",EDATE($D140,Milestones!$AA$193)&gt;=$S140),$V140,$U140)))=Milestones!$AB$193),UPPER(TEXT(EDATE($D140,Milestones!$AA$193),"dd mmm yy"))&amp;" "&amp;Milestones!$AB$193&amp;" "&amp;Milestones!$AC$193&amp;";  ","")&amp;IF(AND(EDATE($D140,Milestones!$AA$194)&lt;=AsOfDate,IF($R140=0,$X140,IF(AND($T140&lt;&gt;"",EDATE($D140,Milestones!$AA$194)&gt;=$T140),$W140,IF(AND($S140&lt;&gt;"",EDATE($D140,Milestones!$AA$194)&gt;=$S140),$V140,$U140)))=Milestones!$AB$194),UPPER(TEXT(EDATE($D140,Milestones!$AA$194),"dd mmm yy"))&amp;" "&amp;Milestones!$AB$194&amp;" "&amp;Milestones!$AC$194&amp;";  ","")&amp;IF(AND(EDATE($D140,Milestones!$AA$195)&lt;=AsOfDate,IF($R140=0,$X140,IF(AND($T140&lt;&gt;"",EDATE($D140,Milestones!$AA$195)&gt;=$T140),$W140,IF(AND($S140&lt;&gt;"",EDATE($D140,Milestones!$AA$195)&gt;=$S140),$V140,$U140)))=Milestones!$AB$195),UPPER(TEXT(EDATE($D140,Milestones!$AA$195),"dd mmm yy"))&amp;" "&amp;Milestones!$AB$195&amp;" "&amp;Milestones!$AC$195&amp;";  ","")&amp;IF(AND(EDATE($D140,Milestones!$AA$196)&lt;=AsOfDate,IF($R140=0,$X140,IF(AND($T140&lt;&gt;"",EDATE($D140,Milestones!$AA$196)&gt;=$T140),$W140,IF(AND($S140&lt;&gt;"",EDATE($D140,Milestones!$AA$196)&gt;=$S140),$V140,$U140)))=Milestones!$AB$196),UPPER(TEXT(EDATE($D140,Milestones!$AA$196),"dd mmm yy"))&amp;" "&amp;Milestones!$AB$196&amp;" "&amp;Milestones!$AC$196&amp;";  ","")&amp;IF(AND(EDATE($D140,Milestones!$AA$197)&lt;=AsOfDate,IF($R140=0,$X140,IF(AND($T140&lt;&gt;"",EDATE($D140,Milestones!$AA$197)&gt;=$T140),$W140,IF(AND($S140&lt;&gt;"",EDATE($D140,Milestones!$AA$197)&gt;=$S140),$V140,$U140)))=Milestones!$AB$197),UPPER(TEXT(EDATE($D140,Milestones!$AA$197),"dd mmm yy"))&amp;" "&amp;Milestones!$AB$197&amp;" "&amp;Milestones!$AC$197&amp;";  ","")&amp;IF(AND(EDATE($D140,Milestones!$AA$198)&lt;=AsOfDate,IF($R140=0,$X140,IF(AND($T140&lt;&gt;"",EDATE($D140,Milestones!$AA$198)&gt;=$T140),$W140,IF(AND($S140&lt;&gt;"",EDATE($D140,Milestones!$AA$198)&gt;=$S140),$V140,$U140)))=Milestones!$AB$198),UPPER(TEXT(EDATE($D140,Milestones!$AA$198),"dd mmm yy"))&amp;" "&amp;Milestones!$AB$198&amp;" "&amp;Milestones!$AC$198&amp;";  ","")&amp;IF(AND(EDATE($D140,Milestones!$AA$199)&lt;=AsOfDate,IF($R140=0,$X140,IF(AND($T140&lt;&gt;"",EDATE($D140,Milestones!$AA$199)&gt;=$T140),$W140,IF(AND($S140&lt;&gt;"",EDATE($D140,Milestones!$AA$199)&gt;=$S140),$V140,$U140)))=Milestones!$AB$199),UPPER(TEXT(EDATE($D140,Milestones!$AA$199),"dd mmm yy"))&amp;" "&amp;Milestones!$AB$199&amp;" "&amp;Milestones!$AC$199&amp;";  ",""))</f>
        <v/>
      </c>
      <c r="R140" s="0" t="str">
        <f aca="false">IF(Staff!$A140="","",Staff!$AI140)</f>
        <v/>
      </c>
      <c r="S140" s="0" t="str">
        <f aca="false">IF(Staff!$A140="","",Staff!$AK140)</f>
        <v/>
      </c>
      <c r="T140" s="0" t="str">
        <f aca="false">IF(Staff!$A140="","",Staff!$AL140)</f>
        <v/>
      </c>
      <c r="U140" s="0" t="str">
        <f aca="false">IF(Staff!$A140="","",Staff!$AP140)</f>
        <v/>
      </c>
      <c r="V140" s="0" t="str">
        <f aca="false">IF(Staff!$A140="","",Staff!$AQ140)</f>
        <v/>
      </c>
      <c r="W140" s="0" t="str">
        <f aca="false">IF(Staff!$A140="","",Staff!$AR140)</f>
        <v/>
      </c>
      <c r="X140" s="0" t="str">
        <f aca="false">IF(Staff!$A140="","",Staff!$AS140)</f>
        <v/>
      </c>
    </row>
    <row r="141" customFormat="false" ht="15" hidden="false" customHeight="false" outlineLevel="0" collapsed="false">
      <c r="A141" s="19" t="str">
        <f aca="false">IF(Staff!$A141="","",Staff!$A141)</f>
        <v/>
      </c>
      <c r="B141" s="19" t="str">
        <f aca="false">IF(Staff!$A141="","",Staff!$B141)</f>
        <v/>
      </c>
      <c r="C141" s="19" t="str">
        <f aca="false">IF(Staff!$A141="","",Staff!$C141)</f>
        <v/>
      </c>
      <c r="D141" s="17" t="str">
        <f aca="false">IF(Staff!$A141="","",Staff!$AH141)</f>
        <v/>
      </c>
      <c r="E141" s="19" t="str">
        <f aca="false">IF(Staff!$A141="","",Staff!$O141)</f>
        <v/>
      </c>
      <c r="F141" s="19" t="str">
        <f aca="false">IF(E141="","",E141*HoursPerDay)</f>
        <v/>
      </c>
      <c r="G141" s="19" t="str">
        <f aca="false">IF(Staff!$A141="","",Staff!$AE141)</f>
        <v/>
      </c>
      <c r="H141" s="32" t="str">
        <f aca="false">IF($A141="","",I141&amp;J141&amp;K141&amp;L141&amp;M141&amp;N141&amp;O141&amp;P141&amp;Q141)</f>
        <v/>
      </c>
      <c r="I141" s="0" t="str">
        <f aca="false">IF(OR($A141="",$D141=""),"",IF(AND(EDATE($D141,Milestones!$AA$20)&lt;=AsOfDate,IF($R141=0,$X141,IF(AND($T141&lt;&gt;"",EDATE($D141,Milestones!$AA$20)&gt;=$T141),$W141,IF(AND($S141&lt;&gt;"",EDATE($D141,Milestones!$AA$20)&gt;=$S141),$V141,$U141)))=Milestones!$AB$20),UPPER(TEXT(EDATE($D141,Milestones!$AA$20),"dd mmm yy"))&amp;" "&amp;Milestones!$AB$20&amp;" "&amp;Milestones!$AC$20&amp;";  ","")&amp;IF(AND(EDATE($D141,Milestones!$AA$21)&lt;=AsOfDate,IF($R141=0,$X141,IF(AND($T141&lt;&gt;"",EDATE($D141,Milestones!$AA$21)&gt;=$T141),$W141,IF(AND($S141&lt;&gt;"",EDATE($D141,Milestones!$AA$21)&gt;=$S141),$V141,$U141)))=Milestones!$AB$21),UPPER(TEXT(EDATE($D141,Milestones!$AA$21),"dd mmm yy"))&amp;" "&amp;Milestones!$AB$21&amp;" "&amp;Milestones!$AC$21&amp;";  ","")&amp;IF(AND(EDATE($D141,Milestones!$AA$22)&lt;=AsOfDate,IF($R141=0,$X141,IF(AND($T141&lt;&gt;"",EDATE($D141,Milestones!$AA$22)&gt;=$T141),$W141,IF(AND($S141&lt;&gt;"",EDATE($D141,Milestones!$AA$22)&gt;=$S141),$V141,$U141)))=Milestones!$AB$22),UPPER(TEXT(EDATE($D141,Milestones!$AA$22),"dd mmm yy"))&amp;" "&amp;Milestones!$AB$22&amp;" "&amp;Milestones!$AC$22&amp;";  ","")&amp;IF(AND(EDATE($D141,Milestones!$AA$23)&lt;=AsOfDate,IF($R141=0,$X141,IF(AND($T141&lt;&gt;"",EDATE($D141,Milestones!$AA$23)&gt;=$T141),$W141,IF(AND($S141&lt;&gt;"",EDATE($D141,Milestones!$AA$23)&gt;=$S141),$V141,$U141)))=Milestones!$AB$23),UPPER(TEXT(EDATE($D141,Milestones!$AA$23),"dd mmm yy"))&amp;" "&amp;Milestones!$AB$23&amp;" "&amp;Milestones!$AC$23&amp;";  ","")&amp;IF(AND(EDATE($D141,Milestones!$AA$24)&lt;=AsOfDate,IF($R141=0,$X141,IF(AND($T141&lt;&gt;"",EDATE($D141,Milestones!$AA$24)&gt;=$T141),$W141,IF(AND($S141&lt;&gt;"",EDATE($D141,Milestones!$AA$24)&gt;=$S141),$V141,$U141)))=Milestones!$AB$24),UPPER(TEXT(EDATE($D141,Milestones!$AA$24),"dd mmm yy"))&amp;" "&amp;Milestones!$AB$24&amp;" "&amp;Milestones!$AC$24&amp;";  ","")&amp;IF(AND(EDATE($D141,Milestones!$AA$25)&lt;=AsOfDate,IF($R141=0,$X141,IF(AND($T141&lt;&gt;"",EDATE($D141,Milestones!$AA$25)&gt;=$T141),$W141,IF(AND($S141&lt;&gt;"",EDATE($D141,Milestones!$AA$25)&gt;=$S141),$V141,$U141)))=Milestones!$AB$25),UPPER(TEXT(EDATE($D141,Milestones!$AA$25),"dd mmm yy"))&amp;" "&amp;Milestones!$AB$25&amp;" "&amp;Milestones!$AC$25&amp;";  ","")&amp;IF(AND(EDATE($D141,Milestones!$AA$26)&lt;=AsOfDate,IF($R141=0,$X141,IF(AND($T141&lt;&gt;"",EDATE($D141,Milestones!$AA$26)&gt;=$T141),$W141,IF(AND($S141&lt;&gt;"",EDATE($D141,Milestones!$AA$26)&gt;=$S141),$V141,$U141)))=Milestones!$AB$26),UPPER(TEXT(EDATE($D141,Milestones!$AA$26),"dd mmm yy"))&amp;" "&amp;Milestones!$AB$26&amp;" "&amp;Milestones!$AC$26&amp;";  ","")&amp;IF(AND(EDATE($D141,Milestones!$AA$27)&lt;=AsOfDate,IF($R141=0,$X141,IF(AND($T141&lt;&gt;"",EDATE($D141,Milestones!$AA$27)&gt;=$T141),$W141,IF(AND($S141&lt;&gt;"",EDATE($D141,Milestones!$AA$27)&gt;=$S141),$V141,$U141)))=Milestones!$AB$27),UPPER(TEXT(EDATE($D141,Milestones!$AA$27),"dd mmm yy"))&amp;" "&amp;Milestones!$AB$27&amp;" "&amp;Milestones!$AC$27&amp;";  ","")&amp;IF(AND(EDATE($D141,Milestones!$AA$28)&lt;=AsOfDate,IF($R141=0,$X141,IF(AND($T141&lt;&gt;"",EDATE($D141,Milestones!$AA$28)&gt;=$T141),$W141,IF(AND($S141&lt;&gt;"",EDATE($D141,Milestones!$AA$28)&gt;=$S141),$V141,$U141)))=Milestones!$AB$28),UPPER(TEXT(EDATE($D141,Milestones!$AA$28),"dd mmm yy"))&amp;" "&amp;Milestones!$AB$28&amp;" "&amp;Milestones!$AC$28&amp;";  ","")&amp;IF(AND(EDATE($D141,Milestones!$AA$29)&lt;=AsOfDate,IF($R141=0,$X141,IF(AND($T141&lt;&gt;"",EDATE($D141,Milestones!$AA$29)&gt;=$T141),$W141,IF(AND($S141&lt;&gt;"",EDATE($D141,Milestones!$AA$29)&gt;=$S141),$V141,$U141)))=Milestones!$AB$29),UPPER(TEXT(EDATE($D141,Milestones!$AA$29),"dd mmm yy"))&amp;" "&amp;Milestones!$AB$29&amp;" "&amp;Milestones!$AC$29&amp;";  ","")&amp;IF(AND(EDATE($D141,Milestones!$AA$30)&lt;=AsOfDate,IF($R141=0,$X141,IF(AND($T141&lt;&gt;"",EDATE($D141,Milestones!$AA$30)&gt;=$T141),$W141,IF(AND($S141&lt;&gt;"",EDATE($D141,Milestones!$AA$30)&gt;=$S141),$V141,$U141)))=Milestones!$AB$30),UPPER(TEXT(EDATE($D141,Milestones!$AA$30),"dd mmm yy"))&amp;" "&amp;Milestones!$AB$30&amp;" "&amp;Milestones!$AC$30&amp;";  ","")&amp;IF(AND(EDATE($D141,Milestones!$AA$31)&lt;=AsOfDate,IF($R141=0,$X141,IF(AND($T141&lt;&gt;"",EDATE($D141,Milestones!$AA$31)&gt;=$T141),$W141,IF(AND($S141&lt;&gt;"",EDATE($D141,Milestones!$AA$31)&gt;=$S141),$V141,$U141)))=Milestones!$AB$31),UPPER(TEXT(EDATE($D141,Milestones!$AA$31),"dd mmm yy"))&amp;" "&amp;Milestones!$AB$31&amp;" "&amp;Milestones!$AC$31&amp;";  ","")&amp;IF(AND(EDATE($D141,Milestones!$AA$32)&lt;=AsOfDate,IF($R141=0,$X141,IF(AND($T141&lt;&gt;"",EDATE($D141,Milestones!$AA$32)&gt;=$T141),$W141,IF(AND($S141&lt;&gt;"",EDATE($D141,Milestones!$AA$32)&gt;=$S141),$V141,$U141)))=Milestones!$AB$32),UPPER(TEXT(EDATE($D141,Milestones!$AA$32),"dd mmm yy"))&amp;" "&amp;Milestones!$AB$32&amp;" "&amp;Milestones!$AC$32&amp;";  ","")&amp;IF(AND(EDATE($D141,Milestones!$AA$33)&lt;=AsOfDate,IF($R141=0,$X141,IF(AND($T141&lt;&gt;"",EDATE($D141,Milestones!$AA$33)&gt;=$T141),$W141,IF(AND($S141&lt;&gt;"",EDATE($D141,Milestones!$AA$33)&gt;=$S141),$V141,$U141)))=Milestones!$AB$33),UPPER(TEXT(EDATE($D141,Milestones!$AA$33),"dd mmm yy"))&amp;" "&amp;Milestones!$AB$33&amp;" "&amp;Milestones!$AC$33&amp;";  ","")&amp;IF(AND(EDATE($D141,Milestones!$AA$34)&lt;=AsOfDate,IF($R141=0,$X141,IF(AND($T141&lt;&gt;"",EDATE($D141,Milestones!$AA$34)&gt;=$T141),$W141,IF(AND($S141&lt;&gt;"",EDATE($D141,Milestones!$AA$34)&gt;=$S141),$V141,$U141)))=Milestones!$AB$34),UPPER(TEXT(EDATE($D141,Milestones!$AA$34),"dd mmm yy"))&amp;" "&amp;Milestones!$AB$34&amp;" "&amp;Milestones!$AC$34&amp;";  ","")&amp;IF(AND(EDATE($D141,Milestones!$AA$35)&lt;=AsOfDate,IF($R141=0,$X141,IF(AND($T141&lt;&gt;"",EDATE($D141,Milestones!$AA$35)&gt;=$T141),$W141,IF(AND($S141&lt;&gt;"",EDATE($D141,Milestones!$AA$35)&gt;=$S141),$V141,$U141)))=Milestones!$AB$35),UPPER(TEXT(EDATE($D141,Milestones!$AA$35),"dd mmm yy"))&amp;" "&amp;Milestones!$AB$35&amp;" "&amp;Milestones!$AC$35&amp;";  ","")&amp;IF(AND(EDATE($D141,Milestones!$AA$36)&lt;=AsOfDate,IF($R141=0,$X141,IF(AND($T141&lt;&gt;"",EDATE($D141,Milestones!$AA$36)&gt;=$T141),$W141,IF(AND($S141&lt;&gt;"",EDATE($D141,Milestones!$AA$36)&gt;=$S141),$V141,$U141)))=Milestones!$AB$36),UPPER(TEXT(EDATE($D141,Milestones!$AA$36),"dd mmm yy"))&amp;" "&amp;Milestones!$AB$36&amp;" "&amp;Milestones!$AC$36&amp;";  ","")&amp;IF(AND(EDATE($D141,Milestones!$AA$37)&lt;=AsOfDate,IF($R141=0,$X141,IF(AND($T141&lt;&gt;"",EDATE($D141,Milestones!$AA$37)&gt;=$T141),$W141,IF(AND($S141&lt;&gt;"",EDATE($D141,Milestones!$AA$37)&gt;=$S141),$V141,$U141)))=Milestones!$AB$37),UPPER(TEXT(EDATE($D141,Milestones!$AA$37),"dd mmm yy"))&amp;" "&amp;Milestones!$AB$37&amp;" "&amp;Milestones!$AC$37&amp;";  ","")&amp;IF(AND(EDATE($D141,Milestones!$AA$38)&lt;=AsOfDate,IF($R141=0,$X141,IF(AND($T141&lt;&gt;"",EDATE($D141,Milestones!$AA$38)&gt;=$T141),$W141,IF(AND($S141&lt;&gt;"",EDATE($D141,Milestones!$AA$38)&gt;=$S141),$V141,$U141)))=Milestones!$AB$38),UPPER(TEXT(EDATE($D141,Milestones!$AA$38),"dd mmm yy"))&amp;" "&amp;Milestones!$AB$38&amp;" "&amp;Milestones!$AC$38&amp;";  ","")&amp;IF(AND(EDATE($D141,Milestones!$AA$39)&lt;=AsOfDate,IF($R141=0,$X141,IF(AND($T141&lt;&gt;"",EDATE($D141,Milestones!$AA$39)&gt;=$T141),$W141,IF(AND($S141&lt;&gt;"",EDATE($D141,Milestones!$AA$39)&gt;=$S141),$V141,$U141)))=Milestones!$AB$39),UPPER(TEXT(EDATE($D141,Milestones!$AA$39),"dd mmm yy"))&amp;" "&amp;Milestones!$AB$39&amp;" "&amp;Milestones!$AC$39&amp;";  ",""))</f>
        <v/>
      </c>
      <c r="J141" s="0" t="str">
        <f aca="false">IF(OR($A141="",$D141=""),"",IF(AND(EDATE($D141,Milestones!$AA$40)&lt;=AsOfDate,IF($R141=0,$X141,IF(AND($T141&lt;&gt;"",EDATE($D141,Milestones!$AA$40)&gt;=$T141),$W141,IF(AND($S141&lt;&gt;"",EDATE($D141,Milestones!$AA$40)&gt;=$S141),$V141,$U141)))=Milestones!$AB$40),UPPER(TEXT(EDATE($D141,Milestones!$AA$40),"dd mmm yy"))&amp;" "&amp;Milestones!$AB$40&amp;" "&amp;Milestones!$AC$40&amp;";  ","")&amp;IF(AND(EDATE($D141,Milestones!$AA$41)&lt;=AsOfDate,IF($R141=0,$X141,IF(AND($T141&lt;&gt;"",EDATE($D141,Milestones!$AA$41)&gt;=$T141),$W141,IF(AND($S141&lt;&gt;"",EDATE($D141,Milestones!$AA$41)&gt;=$S141),$V141,$U141)))=Milestones!$AB$41),UPPER(TEXT(EDATE($D141,Milestones!$AA$41),"dd mmm yy"))&amp;" "&amp;Milestones!$AB$41&amp;" "&amp;Milestones!$AC$41&amp;";  ","")&amp;IF(AND(EDATE($D141,Milestones!$AA$42)&lt;=AsOfDate,IF($R141=0,$X141,IF(AND($T141&lt;&gt;"",EDATE($D141,Milestones!$AA$42)&gt;=$T141),$W141,IF(AND($S141&lt;&gt;"",EDATE($D141,Milestones!$AA$42)&gt;=$S141),$V141,$U141)))=Milestones!$AB$42),UPPER(TEXT(EDATE($D141,Milestones!$AA$42),"dd mmm yy"))&amp;" "&amp;Milestones!$AB$42&amp;" "&amp;Milestones!$AC$42&amp;";  ","")&amp;IF(AND(EDATE($D141,Milestones!$AA$43)&lt;=AsOfDate,IF($R141=0,$X141,IF(AND($T141&lt;&gt;"",EDATE($D141,Milestones!$AA$43)&gt;=$T141),$W141,IF(AND($S141&lt;&gt;"",EDATE($D141,Milestones!$AA$43)&gt;=$S141),$V141,$U141)))=Milestones!$AB$43),UPPER(TEXT(EDATE($D141,Milestones!$AA$43),"dd mmm yy"))&amp;" "&amp;Milestones!$AB$43&amp;" "&amp;Milestones!$AC$43&amp;";  ","")&amp;IF(AND(EDATE($D141,Milestones!$AA$44)&lt;=AsOfDate,IF($R141=0,$X141,IF(AND($T141&lt;&gt;"",EDATE($D141,Milestones!$AA$44)&gt;=$T141),$W141,IF(AND($S141&lt;&gt;"",EDATE($D141,Milestones!$AA$44)&gt;=$S141),$V141,$U141)))=Milestones!$AB$44),UPPER(TEXT(EDATE($D141,Milestones!$AA$44),"dd mmm yy"))&amp;" "&amp;Milestones!$AB$44&amp;" "&amp;Milestones!$AC$44&amp;";  ","")&amp;IF(AND(EDATE($D141,Milestones!$AA$45)&lt;=AsOfDate,IF($R141=0,$X141,IF(AND($T141&lt;&gt;"",EDATE($D141,Milestones!$AA$45)&gt;=$T141),$W141,IF(AND($S141&lt;&gt;"",EDATE($D141,Milestones!$AA$45)&gt;=$S141),$V141,$U141)))=Milestones!$AB$45),UPPER(TEXT(EDATE($D141,Milestones!$AA$45),"dd mmm yy"))&amp;" "&amp;Milestones!$AB$45&amp;" "&amp;Milestones!$AC$45&amp;";  ","")&amp;IF(AND(EDATE($D141,Milestones!$AA$46)&lt;=AsOfDate,IF($R141=0,$X141,IF(AND($T141&lt;&gt;"",EDATE($D141,Milestones!$AA$46)&gt;=$T141),$W141,IF(AND($S141&lt;&gt;"",EDATE($D141,Milestones!$AA$46)&gt;=$S141),$V141,$U141)))=Milestones!$AB$46),UPPER(TEXT(EDATE($D141,Milestones!$AA$46),"dd mmm yy"))&amp;" "&amp;Milestones!$AB$46&amp;" "&amp;Milestones!$AC$46&amp;";  ","")&amp;IF(AND(EDATE($D141,Milestones!$AA$47)&lt;=AsOfDate,IF($R141=0,$X141,IF(AND($T141&lt;&gt;"",EDATE($D141,Milestones!$AA$47)&gt;=$T141),$W141,IF(AND($S141&lt;&gt;"",EDATE($D141,Milestones!$AA$47)&gt;=$S141),$V141,$U141)))=Milestones!$AB$47),UPPER(TEXT(EDATE($D141,Milestones!$AA$47),"dd mmm yy"))&amp;" "&amp;Milestones!$AB$47&amp;" "&amp;Milestones!$AC$47&amp;";  ","")&amp;IF(AND(EDATE($D141,Milestones!$AA$48)&lt;=AsOfDate,IF($R141=0,$X141,IF(AND($T141&lt;&gt;"",EDATE($D141,Milestones!$AA$48)&gt;=$T141),$W141,IF(AND($S141&lt;&gt;"",EDATE($D141,Milestones!$AA$48)&gt;=$S141),$V141,$U141)))=Milestones!$AB$48),UPPER(TEXT(EDATE($D141,Milestones!$AA$48),"dd mmm yy"))&amp;" "&amp;Milestones!$AB$48&amp;" "&amp;Milestones!$AC$48&amp;";  ","")&amp;IF(AND(EDATE($D141,Milestones!$AA$49)&lt;=AsOfDate,IF($R141=0,$X141,IF(AND($T141&lt;&gt;"",EDATE($D141,Milestones!$AA$49)&gt;=$T141),$W141,IF(AND($S141&lt;&gt;"",EDATE($D141,Milestones!$AA$49)&gt;=$S141),$V141,$U141)))=Milestones!$AB$49),UPPER(TEXT(EDATE($D141,Milestones!$AA$49),"dd mmm yy"))&amp;" "&amp;Milestones!$AB$49&amp;" "&amp;Milestones!$AC$49&amp;";  ","")&amp;IF(AND(EDATE($D141,Milestones!$AA$50)&lt;=AsOfDate,IF($R141=0,$X141,IF(AND($T141&lt;&gt;"",EDATE($D141,Milestones!$AA$50)&gt;=$T141),$W141,IF(AND($S141&lt;&gt;"",EDATE($D141,Milestones!$AA$50)&gt;=$S141),$V141,$U141)))=Milestones!$AB$50),UPPER(TEXT(EDATE($D141,Milestones!$AA$50),"dd mmm yy"))&amp;" "&amp;Milestones!$AB$50&amp;" "&amp;Milestones!$AC$50&amp;";  ","")&amp;IF(AND(EDATE($D141,Milestones!$AA$51)&lt;=AsOfDate,IF($R141=0,$X141,IF(AND($T141&lt;&gt;"",EDATE($D141,Milestones!$AA$51)&gt;=$T141),$W141,IF(AND($S141&lt;&gt;"",EDATE($D141,Milestones!$AA$51)&gt;=$S141),$V141,$U141)))=Milestones!$AB$51),UPPER(TEXT(EDATE($D141,Milestones!$AA$51),"dd mmm yy"))&amp;" "&amp;Milestones!$AB$51&amp;" "&amp;Milestones!$AC$51&amp;";  ","")&amp;IF(AND(EDATE($D141,Milestones!$AA$52)&lt;=AsOfDate,IF($R141=0,$X141,IF(AND($T141&lt;&gt;"",EDATE($D141,Milestones!$AA$52)&gt;=$T141),$W141,IF(AND($S141&lt;&gt;"",EDATE($D141,Milestones!$AA$52)&gt;=$S141),$V141,$U141)))=Milestones!$AB$52),UPPER(TEXT(EDATE($D141,Milestones!$AA$52),"dd mmm yy"))&amp;" "&amp;Milestones!$AB$52&amp;" "&amp;Milestones!$AC$52&amp;";  ","")&amp;IF(AND(EDATE($D141,Milestones!$AA$53)&lt;=AsOfDate,IF($R141=0,$X141,IF(AND($T141&lt;&gt;"",EDATE($D141,Milestones!$AA$53)&gt;=$T141),$W141,IF(AND($S141&lt;&gt;"",EDATE($D141,Milestones!$AA$53)&gt;=$S141),$V141,$U141)))=Milestones!$AB$53),UPPER(TEXT(EDATE($D141,Milestones!$AA$53),"dd mmm yy"))&amp;" "&amp;Milestones!$AB$53&amp;" "&amp;Milestones!$AC$53&amp;";  ","")&amp;IF(AND(EDATE($D141,Milestones!$AA$54)&lt;=AsOfDate,IF($R141=0,$X141,IF(AND($T141&lt;&gt;"",EDATE($D141,Milestones!$AA$54)&gt;=$T141),$W141,IF(AND($S141&lt;&gt;"",EDATE($D141,Milestones!$AA$54)&gt;=$S141),$V141,$U141)))=Milestones!$AB$54),UPPER(TEXT(EDATE($D141,Milestones!$AA$54),"dd mmm yy"))&amp;" "&amp;Milestones!$AB$54&amp;" "&amp;Milestones!$AC$54&amp;";  ","")&amp;IF(AND(EDATE($D141,Milestones!$AA$55)&lt;=AsOfDate,IF($R141=0,$X141,IF(AND($T141&lt;&gt;"",EDATE($D141,Milestones!$AA$55)&gt;=$T141),$W141,IF(AND($S141&lt;&gt;"",EDATE($D141,Milestones!$AA$55)&gt;=$S141),$V141,$U141)))=Milestones!$AB$55),UPPER(TEXT(EDATE($D141,Milestones!$AA$55),"dd mmm yy"))&amp;" "&amp;Milestones!$AB$55&amp;" "&amp;Milestones!$AC$55&amp;";  ","")&amp;IF(AND(EDATE($D141,Milestones!$AA$56)&lt;=AsOfDate,IF($R141=0,$X141,IF(AND($T141&lt;&gt;"",EDATE($D141,Milestones!$AA$56)&gt;=$T141),$W141,IF(AND($S141&lt;&gt;"",EDATE($D141,Milestones!$AA$56)&gt;=$S141),$V141,$U141)))=Milestones!$AB$56),UPPER(TEXT(EDATE($D141,Milestones!$AA$56),"dd mmm yy"))&amp;" "&amp;Milestones!$AB$56&amp;" "&amp;Milestones!$AC$56&amp;";  ","")&amp;IF(AND(EDATE($D141,Milestones!$AA$57)&lt;=AsOfDate,IF($R141=0,$X141,IF(AND($T141&lt;&gt;"",EDATE($D141,Milestones!$AA$57)&gt;=$T141),$W141,IF(AND($S141&lt;&gt;"",EDATE($D141,Milestones!$AA$57)&gt;=$S141),$V141,$U141)))=Milestones!$AB$57),UPPER(TEXT(EDATE($D141,Milestones!$AA$57),"dd mmm yy"))&amp;" "&amp;Milestones!$AB$57&amp;" "&amp;Milestones!$AC$57&amp;";  ","")&amp;IF(AND(EDATE($D141,Milestones!$AA$58)&lt;=AsOfDate,IF($R141=0,$X141,IF(AND($T141&lt;&gt;"",EDATE($D141,Milestones!$AA$58)&gt;=$T141),$W141,IF(AND($S141&lt;&gt;"",EDATE($D141,Milestones!$AA$58)&gt;=$S141),$V141,$U141)))=Milestones!$AB$58),UPPER(TEXT(EDATE($D141,Milestones!$AA$58),"dd mmm yy"))&amp;" "&amp;Milestones!$AB$58&amp;" "&amp;Milestones!$AC$58&amp;";  ","")&amp;IF(AND(EDATE($D141,Milestones!$AA$59)&lt;=AsOfDate,IF($R141=0,$X141,IF(AND($T141&lt;&gt;"",EDATE($D141,Milestones!$AA$59)&gt;=$T141),$W141,IF(AND($S141&lt;&gt;"",EDATE($D141,Milestones!$AA$59)&gt;=$S141),$V141,$U141)))=Milestones!$AB$59),UPPER(TEXT(EDATE($D141,Milestones!$AA$59),"dd mmm yy"))&amp;" "&amp;Milestones!$AB$59&amp;" "&amp;Milestones!$AC$59&amp;";  ",""))</f>
        <v/>
      </c>
      <c r="K141" s="0" t="str">
        <f aca="false">IF(OR($A141="",$D141=""),"",IF(AND(EDATE($D141,Milestones!$AA$60)&lt;=AsOfDate,IF($R141=0,$X141,IF(AND($T141&lt;&gt;"",EDATE($D141,Milestones!$AA$60)&gt;=$T141),$W141,IF(AND($S141&lt;&gt;"",EDATE($D141,Milestones!$AA$60)&gt;=$S141),$V141,$U141)))=Milestones!$AB$60),UPPER(TEXT(EDATE($D141,Milestones!$AA$60),"dd mmm yy"))&amp;" "&amp;Milestones!$AB$60&amp;" "&amp;Milestones!$AC$60&amp;";  ","")&amp;IF(AND(EDATE($D141,Milestones!$AA$61)&lt;=AsOfDate,IF($R141=0,$X141,IF(AND($T141&lt;&gt;"",EDATE($D141,Milestones!$AA$61)&gt;=$T141),$W141,IF(AND($S141&lt;&gt;"",EDATE($D141,Milestones!$AA$61)&gt;=$S141),$V141,$U141)))=Milestones!$AB$61),UPPER(TEXT(EDATE($D141,Milestones!$AA$61),"dd mmm yy"))&amp;" "&amp;Milestones!$AB$61&amp;" "&amp;Milestones!$AC$61&amp;";  ","")&amp;IF(AND(EDATE($D141,Milestones!$AA$62)&lt;=AsOfDate,IF($R141=0,$X141,IF(AND($T141&lt;&gt;"",EDATE($D141,Milestones!$AA$62)&gt;=$T141),$W141,IF(AND($S141&lt;&gt;"",EDATE($D141,Milestones!$AA$62)&gt;=$S141),$V141,$U141)))=Milestones!$AB$62),UPPER(TEXT(EDATE($D141,Milestones!$AA$62),"dd mmm yy"))&amp;" "&amp;Milestones!$AB$62&amp;" "&amp;Milestones!$AC$62&amp;";  ","")&amp;IF(AND(EDATE($D141,Milestones!$AA$63)&lt;=AsOfDate,IF($R141=0,$X141,IF(AND($T141&lt;&gt;"",EDATE($D141,Milestones!$AA$63)&gt;=$T141),$W141,IF(AND($S141&lt;&gt;"",EDATE($D141,Milestones!$AA$63)&gt;=$S141),$V141,$U141)))=Milestones!$AB$63),UPPER(TEXT(EDATE($D141,Milestones!$AA$63),"dd mmm yy"))&amp;" "&amp;Milestones!$AB$63&amp;" "&amp;Milestones!$AC$63&amp;";  ","")&amp;IF(AND(EDATE($D141,Milestones!$AA$64)&lt;=AsOfDate,IF($R141=0,$X141,IF(AND($T141&lt;&gt;"",EDATE($D141,Milestones!$AA$64)&gt;=$T141),$W141,IF(AND($S141&lt;&gt;"",EDATE($D141,Milestones!$AA$64)&gt;=$S141),$V141,$U141)))=Milestones!$AB$64),UPPER(TEXT(EDATE($D141,Milestones!$AA$64),"dd mmm yy"))&amp;" "&amp;Milestones!$AB$64&amp;" "&amp;Milestones!$AC$64&amp;";  ","")&amp;IF(AND(EDATE($D141,Milestones!$AA$65)&lt;=AsOfDate,IF($R141=0,$X141,IF(AND($T141&lt;&gt;"",EDATE($D141,Milestones!$AA$65)&gt;=$T141),$W141,IF(AND($S141&lt;&gt;"",EDATE($D141,Milestones!$AA$65)&gt;=$S141),$V141,$U141)))=Milestones!$AB$65),UPPER(TEXT(EDATE($D141,Milestones!$AA$65),"dd mmm yy"))&amp;" "&amp;Milestones!$AB$65&amp;" "&amp;Milestones!$AC$65&amp;";  ","")&amp;IF(AND(EDATE($D141,Milestones!$AA$66)&lt;=AsOfDate,IF($R141=0,$X141,IF(AND($T141&lt;&gt;"",EDATE($D141,Milestones!$AA$66)&gt;=$T141),$W141,IF(AND($S141&lt;&gt;"",EDATE($D141,Milestones!$AA$66)&gt;=$S141),$V141,$U141)))=Milestones!$AB$66),UPPER(TEXT(EDATE($D141,Milestones!$AA$66),"dd mmm yy"))&amp;" "&amp;Milestones!$AB$66&amp;" "&amp;Milestones!$AC$66&amp;";  ","")&amp;IF(AND(EDATE($D141,Milestones!$AA$67)&lt;=AsOfDate,IF($R141=0,$X141,IF(AND($T141&lt;&gt;"",EDATE($D141,Milestones!$AA$67)&gt;=$T141),$W141,IF(AND($S141&lt;&gt;"",EDATE($D141,Milestones!$AA$67)&gt;=$S141),$V141,$U141)))=Milestones!$AB$67),UPPER(TEXT(EDATE($D141,Milestones!$AA$67),"dd mmm yy"))&amp;" "&amp;Milestones!$AB$67&amp;" "&amp;Milestones!$AC$67&amp;";  ","")&amp;IF(AND(EDATE($D141,Milestones!$AA$68)&lt;=AsOfDate,IF($R141=0,$X141,IF(AND($T141&lt;&gt;"",EDATE($D141,Milestones!$AA$68)&gt;=$T141),$W141,IF(AND($S141&lt;&gt;"",EDATE($D141,Milestones!$AA$68)&gt;=$S141),$V141,$U141)))=Milestones!$AB$68),UPPER(TEXT(EDATE($D141,Milestones!$AA$68),"dd mmm yy"))&amp;" "&amp;Milestones!$AB$68&amp;" "&amp;Milestones!$AC$68&amp;";  ","")&amp;IF(AND(EDATE($D141,Milestones!$AA$69)&lt;=AsOfDate,IF($R141=0,$X141,IF(AND($T141&lt;&gt;"",EDATE($D141,Milestones!$AA$69)&gt;=$T141),$W141,IF(AND($S141&lt;&gt;"",EDATE($D141,Milestones!$AA$69)&gt;=$S141),$V141,$U141)))=Milestones!$AB$69),UPPER(TEXT(EDATE($D141,Milestones!$AA$69),"dd mmm yy"))&amp;" "&amp;Milestones!$AB$69&amp;" "&amp;Milestones!$AC$69&amp;";  ","")&amp;IF(AND(EDATE($D141,Milestones!$AA$70)&lt;=AsOfDate,IF($R141=0,$X141,IF(AND($T141&lt;&gt;"",EDATE($D141,Milestones!$AA$70)&gt;=$T141),$W141,IF(AND($S141&lt;&gt;"",EDATE($D141,Milestones!$AA$70)&gt;=$S141),$V141,$U141)))=Milestones!$AB$70),UPPER(TEXT(EDATE($D141,Milestones!$AA$70),"dd mmm yy"))&amp;" "&amp;Milestones!$AB$70&amp;" "&amp;Milestones!$AC$70&amp;";  ","")&amp;IF(AND(EDATE($D141,Milestones!$AA$71)&lt;=AsOfDate,IF($R141=0,$X141,IF(AND($T141&lt;&gt;"",EDATE($D141,Milestones!$AA$71)&gt;=$T141),$W141,IF(AND($S141&lt;&gt;"",EDATE($D141,Milestones!$AA$71)&gt;=$S141),$V141,$U141)))=Milestones!$AB$71),UPPER(TEXT(EDATE($D141,Milestones!$AA$71),"dd mmm yy"))&amp;" "&amp;Milestones!$AB$71&amp;" "&amp;Milestones!$AC$71&amp;";  ","")&amp;IF(AND(EDATE($D141,Milestones!$AA$72)&lt;=AsOfDate,IF($R141=0,$X141,IF(AND($T141&lt;&gt;"",EDATE($D141,Milestones!$AA$72)&gt;=$T141),$W141,IF(AND($S141&lt;&gt;"",EDATE($D141,Milestones!$AA$72)&gt;=$S141),$V141,$U141)))=Milestones!$AB$72),UPPER(TEXT(EDATE($D141,Milestones!$AA$72),"dd mmm yy"))&amp;" "&amp;Milestones!$AB$72&amp;" "&amp;Milestones!$AC$72&amp;";  ","")&amp;IF(AND(EDATE($D141,Milestones!$AA$73)&lt;=AsOfDate,IF($R141=0,$X141,IF(AND($T141&lt;&gt;"",EDATE($D141,Milestones!$AA$73)&gt;=$T141),$W141,IF(AND($S141&lt;&gt;"",EDATE($D141,Milestones!$AA$73)&gt;=$S141),$V141,$U141)))=Milestones!$AB$73),UPPER(TEXT(EDATE($D141,Milestones!$AA$73),"dd mmm yy"))&amp;" "&amp;Milestones!$AB$73&amp;" "&amp;Milestones!$AC$73&amp;";  ","")&amp;IF(AND(EDATE($D141,Milestones!$AA$74)&lt;=AsOfDate,IF($R141=0,$X141,IF(AND($T141&lt;&gt;"",EDATE($D141,Milestones!$AA$74)&gt;=$T141),$W141,IF(AND($S141&lt;&gt;"",EDATE($D141,Milestones!$AA$74)&gt;=$S141),$V141,$U141)))=Milestones!$AB$74),UPPER(TEXT(EDATE($D141,Milestones!$AA$74),"dd mmm yy"))&amp;" "&amp;Milestones!$AB$74&amp;" "&amp;Milestones!$AC$74&amp;";  ","")&amp;IF(AND(EDATE($D141,Milestones!$AA$75)&lt;=AsOfDate,IF($R141=0,$X141,IF(AND($T141&lt;&gt;"",EDATE($D141,Milestones!$AA$75)&gt;=$T141),$W141,IF(AND($S141&lt;&gt;"",EDATE($D141,Milestones!$AA$75)&gt;=$S141),$V141,$U141)))=Milestones!$AB$75),UPPER(TEXT(EDATE($D141,Milestones!$AA$75),"dd mmm yy"))&amp;" "&amp;Milestones!$AB$75&amp;" "&amp;Milestones!$AC$75&amp;";  ","")&amp;IF(AND(EDATE($D141,Milestones!$AA$76)&lt;=AsOfDate,IF($R141=0,$X141,IF(AND($T141&lt;&gt;"",EDATE($D141,Milestones!$AA$76)&gt;=$T141),$W141,IF(AND($S141&lt;&gt;"",EDATE($D141,Milestones!$AA$76)&gt;=$S141),$V141,$U141)))=Milestones!$AB$76),UPPER(TEXT(EDATE($D141,Milestones!$AA$76),"dd mmm yy"))&amp;" "&amp;Milestones!$AB$76&amp;" "&amp;Milestones!$AC$76&amp;";  ","")&amp;IF(AND(EDATE($D141,Milestones!$AA$77)&lt;=AsOfDate,IF($R141=0,$X141,IF(AND($T141&lt;&gt;"",EDATE($D141,Milestones!$AA$77)&gt;=$T141),$W141,IF(AND($S141&lt;&gt;"",EDATE($D141,Milestones!$AA$77)&gt;=$S141),$V141,$U141)))=Milestones!$AB$77),UPPER(TEXT(EDATE($D141,Milestones!$AA$77),"dd mmm yy"))&amp;" "&amp;Milestones!$AB$77&amp;" "&amp;Milestones!$AC$77&amp;";  ","")&amp;IF(AND(EDATE($D141,Milestones!$AA$78)&lt;=AsOfDate,IF($R141=0,$X141,IF(AND($T141&lt;&gt;"",EDATE($D141,Milestones!$AA$78)&gt;=$T141),$W141,IF(AND($S141&lt;&gt;"",EDATE($D141,Milestones!$AA$78)&gt;=$S141),$V141,$U141)))=Milestones!$AB$78),UPPER(TEXT(EDATE($D141,Milestones!$AA$78),"dd mmm yy"))&amp;" "&amp;Milestones!$AB$78&amp;" "&amp;Milestones!$AC$78&amp;";  ","")&amp;IF(AND(EDATE($D141,Milestones!$AA$79)&lt;=AsOfDate,IF($R141=0,$X141,IF(AND($T141&lt;&gt;"",EDATE($D141,Milestones!$AA$79)&gt;=$T141),$W141,IF(AND($S141&lt;&gt;"",EDATE($D141,Milestones!$AA$79)&gt;=$S141),$V141,$U141)))=Milestones!$AB$79),UPPER(TEXT(EDATE($D141,Milestones!$AA$79),"dd mmm yy"))&amp;" "&amp;Milestones!$AB$79&amp;" "&amp;Milestones!$AC$79&amp;";  ",""))</f>
        <v/>
      </c>
      <c r="L141" s="0" t="str">
        <f aca="false">IF(OR($A141="",$D141=""),"",IF(AND(EDATE($D141,Milestones!$AA$80)&lt;=AsOfDate,IF($R141=0,$X141,IF(AND($T141&lt;&gt;"",EDATE($D141,Milestones!$AA$80)&gt;=$T141),$W141,IF(AND($S141&lt;&gt;"",EDATE($D141,Milestones!$AA$80)&gt;=$S141),$V141,$U141)))=Milestones!$AB$80),UPPER(TEXT(EDATE($D141,Milestones!$AA$80),"dd mmm yy"))&amp;" "&amp;Milestones!$AB$80&amp;" "&amp;Milestones!$AC$80&amp;";  ","")&amp;IF(AND(EDATE($D141,Milestones!$AA$81)&lt;=AsOfDate,IF($R141=0,$X141,IF(AND($T141&lt;&gt;"",EDATE($D141,Milestones!$AA$81)&gt;=$T141),$W141,IF(AND($S141&lt;&gt;"",EDATE($D141,Milestones!$AA$81)&gt;=$S141),$V141,$U141)))=Milestones!$AB$81),UPPER(TEXT(EDATE($D141,Milestones!$AA$81),"dd mmm yy"))&amp;" "&amp;Milestones!$AB$81&amp;" "&amp;Milestones!$AC$81&amp;";  ","")&amp;IF(AND(EDATE($D141,Milestones!$AA$82)&lt;=AsOfDate,IF($R141=0,$X141,IF(AND($T141&lt;&gt;"",EDATE($D141,Milestones!$AA$82)&gt;=$T141),$W141,IF(AND($S141&lt;&gt;"",EDATE($D141,Milestones!$AA$82)&gt;=$S141),$V141,$U141)))=Milestones!$AB$82),UPPER(TEXT(EDATE($D141,Milestones!$AA$82),"dd mmm yy"))&amp;" "&amp;Milestones!$AB$82&amp;" "&amp;Milestones!$AC$82&amp;";  ","")&amp;IF(AND(EDATE($D141,Milestones!$AA$83)&lt;=AsOfDate,IF($R141=0,$X141,IF(AND($T141&lt;&gt;"",EDATE($D141,Milestones!$AA$83)&gt;=$T141),$W141,IF(AND($S141&lt;&gt;"",EDATE($D141,Milestones!$AA$83)&gt;=$S141),$V141,$U141)))=Milestones!$AB$83),UPPER(TEXT(EDATE($D141,Milestones!$AA$83),"dd mmm yy"))&amp;" "&amp;Milestones!$AB$83&amp;" "&amp;Milestones!$AC$83&amp;";  ","")&amp;IF(AND(EDATE($D141,Milestones!$AA$84)&lt;=AsOfDate,IF($R141=0,$X141,IF(AND($T141&lt;&gt;"",EDATE($D141,Milestones!$AA$84)&gt;=$T141),$W141,IF(AND($S141&lt;&gt;"",EDATE($D141,Milestones!$AA$84)&gt;=$S141),$V141,$U141)))=Milestones!$AB$84),UPPER(TEXT(EDATE($D141,Milestones!$AA$84),"dd mmm yy"))&amp;" "&amp;Milestones!$AB$84&amp;" "&amp;Milestones!$AC$84&amp;";  ","")&amp;IF(AND(EDATE($D141,Milestones!$AA$85)&lt;=AsOfDate,IF($R141=0,$X141,IF(AND($T141&lt;&gt;"",EDATE($D141,Milestones!$AA$85)&gt;=$T141),$W141,IF(AND($S141&lt;&gt;"",EDATE($D141,Milestones!$AA$85)&gt;=$S141),$V141,$U141)))=Milestones!$AB$85),UPPER(TEXT(EDATE($D141,Milestones!$AA$85),"dd mmm yy"))&amp;" "&amp;Milestones!$AB$85&amp;" "&amp;Milestones!$AC$85&amp;";  ","")&amp;IF(AND(EDATE($D141,Milestones!$AA$86)&lt;=AsOfDate,IF($R141=0,$X141,IF(AND($T141&lt;&gt;"",EDATE($D141,Milestones!$AA$86)&gt;=$T141),$W141,IF(AND($S141&lt;&gt;"",EDATE($D141,Milestones!$AA$86)&gt;=$S141),$V141,$U141)))=Milestones!$AB$86),UPPER(TEXT(EDATE($D141,Milestones!$AA$86),"dd mmm yy"))&amp;" "&amp;Milestones!$AB$86&amp;" "&amp;Milestones!$AC$86&amp;";  ","")&amp;IF(AND(EDATE($D141,Milestones!$AA$87)&lt;=AsOfDate,IF($R141=0,$X141,IF(AND($T141&lt;&gt;"",EDATE($D141,Milestones!$AA$87)&gt;=$T141),$W141,IF(AND($S141&lt;&gt;"",EDATE($D141,Milestones!$AA$87)&gt;=$S141),$V141,$U141)))=Milestones!$AB$87),UPPER(TEXT(EDATE($D141,Milestones!$AA$87),"dd mmm yy"))&amp;" "&amp;Milestones!$AB$87&amp;" "&amp;Milestones!$AC$87&amp;";  ","")&amp;IF(AND(EDATE($D141,Milestones!$AA$88)&lt;=AsOfDate,IF($R141=0,$X141,IF(AND($T141&lt;&gt;"",EDATE($D141,Milestones!$AA$88)&gt;=$T141),$W141,IF(AND($S141&lt;&gt;"",EDATE($D141,Milestones!$AA$88)&gt;=$S141),$V141,$U141)))=Milestones!$AB$88),UPPER(TEXT(EDATE($D141,Milestones!$AA$88),"dd mmm yy"))&amp;" "&amp;Milestones!$AB$88&amp;" "&amp;Milestones!$AC$88&amp;";  ","")&amp;IF(AND(EDATE($D141,Milestones!$AA$89)&lt;=AsOfDate,IF($R141=0,$X141,IF(AND($T141&lt;&gt;"",EDATE($D141,Milestones!$AA$89)&gt;=$T141),$W141,IF(AND($S141&lt;&gt;"",EDATE($D141,Milestones!$AA$89)&gt;=$S141),$V141,$U141)))=Milestones!$AB$89),UPPER(TEXT(EDATE($D141,Milestones!$AA$89),"dd mmm yy"))&amp;" "&amp;Milestones!$AB$89&amp;" "&amp;Milestones!$AC$89&amp;";  ","")&amp;IF(AND(EDATE($D141,Milestones!$AA$90)&lt;=AsOfDate,IF($R141=0,$X141,IF(AND($T141&lt;&gt;"",EDATE($D141,Milestones!$AA$90)&gt;=$T141),$W141,IF(AND($S141&lt;&gt;"",EDATE($D141,Milestones!$AA$90)&gt;=$S141),$V141,$U141)))=Milestones!$AB$90),UPPER(TEXT(EDATE($D141,Milestones!$AA$90),"dd mmm yy"))&amp;" "&amp;Milestones!$AB$90&amp;" "&amp;Milestones!$AC$90&amp;";  ","")&amp;IF(AND(EDATE($D141,Milestones!$AA$91)&lt;=AsOfDate,IF($R141=0,$X141,IF(AND($T141&lt;&gt;"",EDATE($D141,Milestones!$AA$91)&gt;=$T141),$W141,IF(AND($S141&lt;&gt;"",EDATE($D141,Milestones!$AA$91)&gt;=$S141),$V141,$U141)))=Milestones!$AB$91),UPPER(TEXT(EDATE($D141,Milestones!$AA$91),"dd mmm yy"))&amp;" "&amp;Milestones!$AB$91&amp;" "&amp;Milestones!$AC$91&amp;";  ","")&amp;IF(AND(EDATE($D141,Milestones!$AA$92)&lt;=AsOfDate,IF($R141=0,$X141,IF(AND($T141&lt;&gt;"",EDATE($D141,Milestones!$AA$92)&gt;=$T141),$W141,IF(AND($S141&lt;&gt;"",EDATE($D141,Milestones!$AA$92)&gt;=$S141),$V141,$U141)))=Milestones!$AB$92),UPPER(TEXT(EDATE($D141,Milestones!$AA$92),"dd mmm yy"))&amp;" "&amp;Milestones!$AB$92&amp;" "&amp;Milestones!$AC$92&amp;";  ","")&amp;IF(AND(EDATE($D141,Milestones!$AA$93)&lt;=AsOfDate,IF($R141=0,$X141,IF(AND($T141&lt;&gt;"",EDATE($D141,Milestones!$AA$93)&gt;=$T141),$W141,IF(AND($S141&lt;&gt;"",EDATE($D141,Milestones!$AA$93)&gt;=$S141),$V141,$U141)))=Milestones!$AB$93),UPPER(TEXT(EDATE($D141,Milestones!$AA$93),"dd mmm yy"))&amp;" "&amp;Milestones!$AB$93&amp;" "&amp;Milestones!$AC$93&amp;";  ","")&amp;IF(AND(EDATE($D141,Milestones!$AA$94)&lt;=AsOfDate,IF($R141=0,$X141,IF(AND($T141&lt;&gt;"",EDATE($D141,Milestones!$AA$94)&gt;=$T141),$W141,IF(AND($S141&lt;&gt;"",EDATE($D141,Milestones!$AA$94)&gt;=$S141),$V141,$U141)))=Milestones!$AB$94),UPPER(TEXT(EDATE($D141,Milestones!$AA$94),"dd mmm yy"))&amp;" "&amp;Milestones!$AB$94&amp;" "&amp;Milestones!$AC$94&amp;";  ","")&amp;IF(AND(EDATE($D141,Milestones!$AA$95)&lt;=AsOfDate,IF($R141=0,$X141,IF(AND($T141&lt;&gt;"",EDATE($D141,Milestones!$AA$95)&gt;=$T141),$W141,IF(AND($S141&lt;&gt;"",EDATE($D141,Milestones!$AA$95)&gt;=$S141),$V141,$U141)))=Milestones!$AB$95),UPPER(TEXT(EDATE($D141,Milestones!$AA$95),"dd mmm yy"))&amp;" "&amp;Milestones!$AB$95&amp;" "&amp;Milestones!$AC$95&amp;";  ","")&amp;IF(AND(EDATE($D141,Milestones!$AA$96)&lt;=AsOfDate,IF($R141=0,$X141,IF(AND($T141&lt;&gt;"",EDATE($D141,Milestones!$AA$96)&gt;=$T141),$W141,IF(AND($S141&lt;&gt;"",EDATE($D141,Milestones!$AA$96)&gt;=$S141),$V141,$U141)))=Milestones!$AB$96),UPPER(TEXT(EDATE($D141,Milestones!$AA$96),"dd mmm yy"))&amp;" "&amp;Milestones!$AB$96&amp;" "&amp;Milestones!$AC$96&amp;";  ","")&amp;IF(AND(EDATE($D141,Milestones!$AA$97)&lt;=AsOfDate,IF($R141=0,$X141,IF(AND($T141&lt;&gt;"",EDATE($D141,Milestones!$AA$97)&gt;=$T141),$W141,IF(AND($S141&lt;&gt;"",EDATE($D141,Milestones!$AA$97)&gt;=$S141),$V141,$U141)))=Milestones!$AB$97),UPPER(TEXT(EDATE($D141,Milestones!$AA$97),"dd mmm yy"))&amp;" "&amp;Milestones!$AB$97&amp;" "&amp;Milestones!$AC$97&amp;";  ","")&amp;IF(AND(EDATE($D141,Milestones!$AA$98)&lt;=AsOfDate,IF($R141=0,$X141,IF(AND($T141&lt;&gt;"",EDATE($D141,Milestones!$AA$98)&gt;=$T141),$W141,IF(AND($S141&lt;&gt;"",EDATE($D141,Milestones!$AA$98)&gt;=$S141),$V141,$U141)))=Milestones!$AB$98),UPPER(TEXT(EDATE($D141,Milestones!$AA$98),"dd mmm yy"))&amp;" "&amp;Milestones!$AB$98&amp;" "&amp;Milestones!$AC$98&amp;";  ","")&amp;IF(AND(EDATE($D141,Milestones!$AA$99)&lt;=AsOfDate,IF($R141=0,$X141,IF(AND($T141&lt;&gt;"",EDATE($D141,Milestones!$AA$99)&gt;=$T141),$W141,IF(AND($S141&lt;&gt;"",EDATE($D141,Milestones!$AA$99)&gt;=$S141),$V141,$U141)))=Milestones!$AB$99),UPPER(TEXT(EDATE($D141,Milestones!$AA$99),"dd mmm yy"))&amp;" "&amp;Milestones!$AB$99&amp;" "&amp;Milestones!$AC$99&amp;";  ",""))</f>
        <v/>
      </c>
      <c r="M141" s="0" t="str">
        <f aca="false">IF(OR($A141="",$D141=""),"",IF(AND(EDATE($D141,Milestones!$AA$100)&lt;=AsOfDate,IF($R141=0,$X141,IF(AND($T141&lt;&gt;"",EDATE($D141,Milestones!$AA$100)&gt;=$T141),$W141,IF(AND($S141&lt;&gt;"",EDATE($D141,Milestones!$AA$100)&gt;=$S141),$V141,$U141)))=Milestones!$AB$100),UPPER(TEXT(EDATE($D141,Milestones!$AA$100),"dd mmm yy"))&amp;" "&amp;Milestones!$AB$100&amp;" "&amp;Milestones!$AC$100&amp;";  ","")&amp;IF(AND(EDATE($D141,Milestones!$AA$101)&lt;=AsOfDate,IF($R141=0,$X141,IF(AND($T141&lt;&gt;"",EDATE($D141,Milestones!$AA$101)&gt;=$T141),$W141,IF(AND($S141&lt;&gt;"",EDATE($D141,Milestones!$AA$101)&gt;=$S141),$V141,$U141)))=Milestones!$AB$101),UPPER(TEXT(EDATE($D141,Milestones!$AA$101),"dd mmm yy"))&amp;" "&amp;Milestones!$AB$101&amp;" "&amp;Milestones!$AC$101&amp;";  ","")&amp;IF(AND(EDATE($D141,Milestones!$AA$102)&lt;=AsOfDate,IF($R141=0,$X141,IF(AND($T141&lt;&gt;"",EDATE($D141,Milestones!$AA$102)&gt;=$T141),$W141,IF(AND($S141&lt;&gt;"",EDATE($D141,Milestones!$AA$102)&gt;=$S141),$V141,$U141)))=Milestones!$AB$102),UPPER(TEXT(EDATE($D141,Milestones!$AA$102),"dd mmm yy"))&amp;" "&amp;Milestones!$AB$102&amp;" "&amp;Milestones!$AC$102&amp;";  ","")&amp;IF(AND(EDATE($D141,Milestones!$AA$103)&lt;=AsOfDate,IF($R141=0,$X141,IF(AND($T141&lt;&gt;"",EDATE($D141,Milestones!$AA$103)&gt;=$T141),$W141,IF(AND($S141&lt;&gt;"",EDATE($D141,Milestones!$AA$103)&gt;=$S141),$V141,$U141)))=Milestones!$AB$103),UPPER(TEXT(EDATE($D141,Milestones!$AA$103),"dd mmm yy"))&amp;" "&amp;Milestones!$AB$103&amp;" "&amp;Milestones!$AC$103&amp;";  ","")&amp;IF(AND(EDATE($D141,Milestones!$AA$104)&lt;=AsOfDate,IF($R141=0,$X141,IF(AND($T141&lt;&gt;"",EDATE($D141,Milestones!$AA$104)&gt;=$T141),$W141,IF(AND($S141&lt;&gt;"",EDATE($D141,Milestones!$AA$104)&gt;=$S141),$V141,$U141)))=Milestones!$AB$104),UPPER(TEXT(EDATE($D141,Milestones!$AA$104),"dd mmm yy"))&amp;" "&amp;Milestones!$AB$104&amp;" "&amp;Milestones!$AC$104&amp;";  ","")&amp;IF(AND(EDATE($D141,Milestones!$AA$105)&lt;=AsOfDate,IF($R141=0,$X141,IF(AND($T141&lt;&gt;"",EDATE($D141,Milestones!$AA$105)&gt;=$T141),$W141,IF(AND($S141&lt;&gt;"",EDATE($D141,Milestones!$AA$105)&gt;=$S141),$V141,$U141)))=Milestones!$AB$105),UPPER(TEXT(EDATE($D141,Milestones!$AA$105),"dd mmm yy"))&amp;" "&amp;Milestones!$AB$105&amp;" "&amp;Milestones!$AC$105&amp;";  ","")&amp;IF(AND(EDATE($D141,Milestones!$AA$106)&lt;=AsOfDate,IF($R141=0,$X141,IF(AND($T141&lt;&gt;"",EDATE($D141,Milestones!$AA$106)&gt;=$T141),$W141,IF(AND($S141&lt;&gt;"",EDATE($D141,Milestones!$AA$106)&gt;=$S141),$V141,$U141)))=Milestones!$AB$106),UPPER(TEXT(EDATE($D141,Milestones!$AA$106),"dd mmm yy"))&amp;" "&amp;Milestones!$AB$106&amp;" "&amp;Milestones!$AC$106&amp;";  ","")&amp;IF(AND(EDATE($D141,Milestones!$AA$107)&lt;=AsOfDate,IF($R141=0,$X141,IF(AND($T141&lt;&gt;"",EDATE($D141,Milestones!$AA$107)&gt;=$T141),$W141,IF(AND($S141&lt;&gt;"",EDATE($D141,Milestones!$AA$107)&gt;=$S141),$V141,$U141)))=Milestones!$AB$107),UPPER(TEXT(EDATE($D141,Milestones!$AA$107),"dd mmm yy"))&amp;" "&amp;Milestones!$AB$107&amp;" "&amp;Milestones!$AC$107&amp;";  ","")&amp;IF(AND(EDATE($D141,Milestones!$AA$108)&lt;=AsOfDate,IF($R141=0,$X141,IF(AND($T141&lt;&gt;"",EDATE($D141,Milestones!$AA$108)&gt;=$T141),$W141,IF(AND($S141&lt;&gt;"",EDATE($D141,Milestones!$AA$108)&gt;=$S141),$V141,$U141)))=Milestones!$AB$108),UPPER(TEXT(EDATE($D141,Milestones!$AA$108),"dd mmm yy"))&amp;" "&amp;Milestones!$AB$108&amp;" "&amp;Milestones!$AC$108&amp;";  ","")&amp;IF(AND(EDATE($D141,Milestones!$AA$109)&lt;=AsOfDate,IF($R141=0,$X141,IF(AND($T141&lt;&gt;"",EDATE($D141,Milestones!$AA$109)&gt;=$T141),$W141,IF(AND($S141&lt;&gt;"",EDATE($D141,Milestones!$AA$109)&gt;=$S141),$V141,$U141)))=Milestones!$AB$109),UPPER(TEXT(EDATE($D141,Milestones!$AA$109),"dd mmm yy"))&amp;" "&amp;Milestones!$AB$109&amp;" "&amp;Milestones!$AC$109&amp;";  ","")&amp;IF(AND(EDATE($D141,Milestones!$AA$110)&lt;=AsOfDate,IF($R141=0,$X141,IF(AND($T141&lt;&gt;"",EDATE($D141,Milestones!$AA$110)&gt;=$T141),$W141,IF(AND($S141&lt;&gt;"",EDATE($D141,Milestones!$AA$110)&gt;=$S141),$V141,$U141)))=Milestones!$AB$110),UPPER(TEXT(EDATE($D141,Milestones!$AA$110),"dd mmm yy"))&amp;" "&amp;Milestones!$AB$110&amp;" "&amp;Milestones!$AC$110&amp;";  ","")&amp;IF(AND(EDATE($D141,Milestones!$AA$111)&lt;=AsOfDate,IF($R141=0,$X141,IF(AND($T141&lt;&gt;"",EDATE($D141,Milestones!$AA$111)&gt;=$T141),$W141,IF(AND($S141&lt;&gt;"",EDATE($D141,Milestones!$AA$111)&gt;=$S141),$V141,$U141)))=Milestones!$AB$111),UPPER(TEXT(EDATE($D141,Milestones!$AA$111),"dd mmm yy"))&amp;" "&amp;Milestones!$AB$111&amp;" "&amp;Milestones!$AC$111&amp;";  ","")&amp;IF(AND(EDATE($D141,Milestones!$AA$112)&lt;=AsOfDate,IF($R141=0,$X141,IF(AND($T141&lt;&gt;"",EDATE($D141,Milestones!$AA$112)&gt;=$T141),$W141,IF(AND($S141&lt;&gt;"",EDATE($D141,Milestones!$AA$112)&gt;=$S141),$V141,$U141)))=Milestones!$AB$112),UPPER(TEXT(EDATE($D141,Milestones!$AA$112),"dd mmm yy"))&amp;" "&amp;Milestones!$AB$112&amp;" "&amp;Milestones!$AC$112&amp;";  ","")&amp;IF(AND(EDATE($D141,Milestones!$AA$113)&lt;=AsOfDate,IF($R141=0,$X141,IF(AND($T141&lt;&gt;"",EDATE($D141,Milestones!$AA$113)&gt;=$T141),$W141,IF(AND($S141&lt;&gt;"",EDATE($D141,Milestones!$AA$113)&gt;=$S141),$V141,$U141)))=Milestones!$AB$113),UPPER(TEXT(EDATE($D141,Milestones!$AA$113),"dd mmm yy"))&amp;" "&amp;Milestones!$AB$113&amp;" "&amp;Milestones!$AC$113&amp;";  ","")&amp;IF(AND(EDATE($D141,Milestones!$AA$114)&lt;=AsOfDate,IF($R141=0,$X141,IF(AND($T141&lt;&gt;"",EDATE($D141,Milestones!$AA$114)&gt;=$T141),$W141,IF(AND($S141&lt;&gt;"",EDATE($D141,Milestones!$AA$114)&gt;=$S141),$V141,$U141)))=Milestones!$AB$114),UPPER(TEXT(EDATE($D141,Milestones!$AA$114),"dd mmm yy"))&amp;" "&amp;Milestones!$AB$114&amp;" "&amp;Milestones!$AC$114&amp;";  ","")&amp;IF(AND(EDATE($D141,Milestones!$AA$115)&lt;=AsOfDate,IF($R141=0,$X141,IF(AND($T141&lt;&gt;"",EDATE($D141,Milestones!$AA$115)&gt;=$T141),$W141,IF(AND($S141&lt;&gt;"",EDATE($D141,Milestones!$AA$115)&gt;=$S141),$V141,$U141)))=Milestones!$AB$115),UPPER(TEXT(EDATE($D141,Milestones!$AA$115),"dd mmm yy"))&amp;" "&amp;Milestones!$AB$115&amp;" "&amp;Milestones!$AC$115&amp;";  ","")&amp;IF(AND(EDATE($D141,Milestones!$AA$116)&lt;=AsOfDate,IF($R141=0,$X141,IF(AND($T141&lt;&gt;"",EDATE($D141,Milestones!$AA$116)&gt;=$T141),$W141,IF(AND($S141&lt;&gt;"",EDATE($D141,Milestones!$AA$116)&gt;=$S141),$V141,$U141)))=Milestones!$AB$116),UPPER(TEXT(EDATE($D141,Milestones!$AA$116),"dd mmm yy"))&amp;" "&amp;Milestones!$AB$116&amp;" "&amp;Milestones!$AC$116&amp;";  ","")&amp;IF(AND(EDATE($D141,Milestones!$AA$117)&lt;=AsOfDate,IF($R141=0,$X141,IF(AND($T141&lt;&gt;"",EDATE($D141,Milestones!$AA$117)&gt;=$T141),$W141,IF(AND($S141&lt;&gt;"",EDATE($D141,Milestones!$AA$117)&gt;=$S141),$V141,$U141)))=Milestones!$AB$117),UPPER(TEXT(EDATE($D141,Milestones!$AA$117),"dd mmm yy"))&amp;" "&amp;Milestones!$AB$117&amp;" "&amp;Milestones!$AC$117&amp;";  ","")&amp;IF(AND(EDATE($D141,Milestones!$AA$118)&lt;=AsOfDate,IF($R141=0,$X141,IF(AND($T141&lt;&gt;"",EDATE($D141,Milestones!$AA$118)&gt;=$T141),$W141,IF(AND($S141&lt;&gt;"",EDATE($D141,Milestones!$AA$118)&gt;=$S141),$V141,$U141)))=Milestones!$AB$118),UPPER(TEXT(EDATE($D141,Milestones!$AA$118),"dd mmm yy"))&amp;" "&amp;Milestones!$AB$118&amp;" "&amp;Milestones!$AC$118&amp;";  ","")&amp;IF(AND(EDATE($D141,Milestones!$AA$119)&lt;=AsOfDate,IF($R141=0,$X141,IF(AND($T141&lt;&gt;"",EDATE($D141,Milestones!$AA$119)&gt;=$T141),$W141,IF(AND($S141&lt;&gt;"",EDATE($D141,Milestones!$AA$119)&gt;=$S141),$V141,$U141)))=Milestones!$AB$119),UPPER(TEXT(EDATE($D141,Milestones!$AA$119),"dd mmm yy"))&amp;" "&amp;Milestones!$AB$119&amp;" "&amp;Milestones!$AC$119&amp;";  ",""))</f>
        <v/>
      </c>
      <c r="N141" s="0" t="str">
        <f aca="false">IF(OR($A141="",$D141=""),"",IF(AND(EDATE($D141,Milestones!$AA$120)&lt;=AsOfDate,IF($R141=0,$X141,IF(AND($T141&lt;&gt;"",EDATE($D141,Milestones!$AA$120)&gt;=$T141),$W141,IF(AND($S141&lt;&gt;"",EDATE($D141,Milestones!$AA$120)&gt;=$S141),$V141,$U141)))=Milestones!$AB$120),UPPER(TEXT(EDATE($D141,Milestones!$AA$120),"dd mmm yy"))&amp;" "&amp;Milestones!$AB$120&amp;" "&amp;Milestones!$AC$120&amp;";  ","")&amp;IF(AND(EDATE($D141,Milestones!$AA$121)&lt;=AsOfDate,IF($R141=0,$X141,IF(AND($T141&lt;&gt;"",EDATE($D141,Milestones!$AA$121)&gt;=$T141),$W141,IF(AND($S141&lt;&gt;"",EDATE($D141,Milestones!$AA$121)&gt;=$S141),$V141,$U141)))=Milestones!$AB$121),UPPER(TEXT(EDATE($D141,Milestones!$AA$121),"dd mmm yy"))&amp;" "&amp;Milestones!$AB$121&amp;" "&amp;Milestones!$AC$121&amp;";  ","")&amp;IF(AND(EDATE($D141,Milestones!$AA$122)&lt;=AsOfDate,IF($R141=0,$X141,IF(AND($T141&lt;&gt;"",EDATE($D141,Milestones!$AA$122)&gt;=$T141),$W141,IF(AND($S141&lt;&gt;"",EDATE($D141,Milestones!$AA$122)&gt;=$S141),$V141,$U141)))=Milestones!$AB$122),UPPER(TEXT(EDATE($D141,Milestones!$AA$122),"dd mmm yy"))&amp;" "&amp;Milestones!$AB$122&amp;" "&amp;Milestones!$AC$122&amp;";  ","")&amp;IF(AND(EDATE($D141,Milestones!$AA$123)&lt;=AsOfDate,IF($R141=0,$X141,IF(AND($T141&lt;&gt;"",EDATE($D141,Milestones!$AA$123)&gt;=$T141),$W141,IF(AND($S141&lt;&gt;"",EDATE($D141,Milestones!$AA$123)&gt;=$S141),$V141,$U141)))=Milestones!$AB$123),UPPER(TEXT(EDATE($D141,Milestones!$AA$123),"dd mmm yy"))&amp;" "&amp;Milestones!$AB$123&amp;" "&amp;Milestones!$AC$123&amp;";  ","")&amp;IF(AND(EDATE($D141,Milestones!$AA$124)&lt;=AsOfDate,IF($R141=0,$X141,IF(AND($T141&lt;&gt;"",EDATE($D141,Milestones!$AA$124)&gt;=$T141),$W141,IF(AND($S141&lt;&gt;"",EDATE($D141,Milestones!$AA$124)&gt;=$S141),$V141,$U141)))=Milestones!$AB$124),UPPER(TEXT(EDATE($D141,Milestones!$AA$124),"dd mmm yy"))&amp;" "&amp;Milestones!$AB$124&amp;" "&amp;Milestones!$AC$124&amp;";  ","")&amp;IF(AND(EDATE($D141,Milestones!$AA$125)&lt;=AsOfDate,IF($R141=0,$X141,IF(AND($T141&lt;&gt;"",EDATE($D141,Milestones!$AA$125)&gt;=$T141),$W141,IF(AND($S141&lt;&gt;"",EDATE($D141,Milestones!$AA$125)&gt;=$S141),$V141,$U141)))=Milestones!$AB$125),UPPER(TEXT(EDATE($D141,Milestones!$AA$125),"dd mmm yy"))&amp;" "&amp;Milestones!$AB$125&amp;" "&amp;Milestones!$AC$125&amp;";  ","")&amp;IF(AND(EDATE($D141,Milestones!$AA$126)&lt;=AsOfDate,IF($R141=0,$X141,IF(AND($T141&lt;&gt;"",EDATE($D141,Milestones!$AA$126)&gt;=$T141),$W141,IF(AND($S141&lt;&gt;"",EDATE($D141,Milestones!$AA$126)&gt;=$S141),$V141,$U141)))=Milestones!$AB$126),UPPER(TEXT(EDATE($D141,Milestones!$AA$126),"dd mmm yy"))&amp;" "&amp;Milestones!$AB$126&amp;" "&amp;Milestones!$AC$126&amp;";  ","")&amp;IF(AND(EDATE($D141,Milestones!$AA$127)&lt;=AsOfDate,IF($R141=0,$X141,IF(AND($T141&lt;&gt;"",EDATE($D141,Milestones!$AA$127)&gt;=$T141),$W141,IF(AND($S141&lt;&gt;"",EDATE($D141,Milestones!$AA$127)&gt;=$S141),$V141,$U141)))=Milestones!$AB$127),UPPER(TEXT(EDATE($D141,Milestones!$AA$127),"dd mmm yy"))&amp;" "&amp;Milestones!$AB$127&amp;" "&amp;Milestones!$AC$127&amp;";  ","")&amp;IF(AND(EDATE($D141,Milestones!$AA$128)&lt;=AsOfDate,IF($R141=0,$X141,IF(AND($T141&lt;&gt;"",EDATE($D141,Milestones!$AA$128)&gt;=$T141),$W141,IF(AND($S141&lt;&gt;"",EDATE($D141,Milestones!$AA$128)&gt;=$S141),$V141,$U141)))=Milestones!$AB$128),UPPER(TEXT(EDATE($D141,Milestones!$AA$128),"dd mmm yy"))&amp;" "&amp;Milestones!$AB$128&amp;" "&amp;Milestones!$AC$128&amp;";  ","")&amp;IF(AND(EDATE($D141,Milestones!$AA$129)&lt;=AsOfDate,IF($R141=0,$X141,IF(AND($T141&lt;&gt;"",EDATE($D141,Milestones!$AA$129)&gt;=$T141),$W141,IF(AND($S141&lt;&gt;"",EDATE($D141,Milestones!$AA$129)&gt;=$S141),$V141,$U141)))=Milestones!$AB$129),UPPER(TEXT(EDATE($D141,Milestones!$AA$129),"dd mmm yy"))&amp;" "&amp;Milestones!$AB$129&amp;" "&amp;Milestones!$AC$129&amp;";  ","")&amp;IF(AND(EDATE($D141,Milestones!$AA$130)&lt;=AsOfDate,IF($R141=0,$X141,IF(AND($T141&lt;&gt;"",EDATE($D141,Milestones!$AA$130)&gt;=$T141),$W141,IF(AND($S141&lt;&gt;"",EDATE($D141,Milestones!$AA$130)&gt;=$S141),$V141,$U141)))=Milestones!$AB$130),UPPER(TEXT(EDATE($D141,Milestones!$AA$130),"dd mmm yy"))&amp;" "&amp;Milestones!$AB$130&amp;" "&amp;Milestones!$AC$130&amp;";  ","")&amp;IF(AND(EDATE($D141,Milestones!$AA$131)&lt;=AsOfDate,IF($R141=0,$X141,IF(AND($T141&lt;&gt;"",EDATE($D141,Milestones!$AA$131)&gt;=$T141),$W141,IF(AND($S141&lt;&gt;"",EDATE($D141,Milestones!$AA$131)&gt;=$S141),$V141,$U141)))=Milestones!$AB$131),UPPER(TEXT(EDATE($D141,Milestones!$AA$131),"dd mmm yy"))&amp;" "&amp;Milestones!$AB$131&amp;" "&amp;Milestones!$AC$131&amp;";  ","")&amp;IF(AND(EDATE($D141,Milestones!$AA$132)&lt;=AsOfDate,IF($R141=0,$X141,IF(AND($T141&lt;&gt;"",EDATE($D141,Milestones!$AA$132)&gt;=$T141),$W141,IF(AND($S141&lt;&gt;"",EDATE($D141,Milestones!$AA$132)&gt;=$S141),$V141,$U141)))=Milestones!$AB$132),UPPER(TEXT(EDATE($D141,Milestones!$AA$132),"dd mmm yy"))&amp;" "&amp;Milestones!$AB$132&amp;" "&amp;Milestones!$AC$132&amp;";  ","")&amp;IF(AND(EDATE($D141,Milestones!$AA$133)&lt;=AsOfDate,IF($R141=0,$X141,IF(AND($T141&lt;&gt;"",EDATE($D141,Milestones!$AA$133)&gt;=$T141),$W141,IF(AND($S141&lt;&gt;"",EDATE($D141,Milestones!$AA$133)&gt;=$S141),$V141,$U141)))=Milestones!$AB$133),UPPER(TEXT(EDATE($D141,Milestones!$AA$133),"dd mmm yy"))&amp;" "&amp;Milestones!$AB$133&amp;" "&amp;Milestones!$AC$133&amp;";  ","")&amp;IF(AND(EDATE($D141,Milestones!$AA$134)&lt;=AsOfDate,IF($R141=0,$X141,IF(AND($T141&lt;&gt;"",EDATE($D141,Milestones!$AA$134)&gt;=$T141),$W141,IF(AND($S141&lt;&gt;"",EDATE($D141,Milestones!$AA$134)&gt;=$S141),$V141,$U141)))=Milestones!$AB$134),UPPER(TEXT(EDATE($D141,Milestones!$AA$134),"dd mmm yy"))&amp;" "&amp;Milestones!$AB$134&amp;" "&amp;Milestones!$AC$134&amp;";  ","")&amp;IF(AND(EDATE($D141,Milestones!$AA$135)&lt;=AsOfDate,IF($R141=0,$X141,IF(AND($T141&lt;&gt;"",EDATE($D141,Milestones!$AA$135)&gt;=$T141),$W141,IF(AND($S141&lt;&gt;"",EDATE($D141,Milestones!$AA$135)&gt;=$S141),$V141,$U141)))=Milestones!$AB$135),UPPER(TEXT(EDATE($D141,Milestones!$AA$135),"dd mmm yy"))&amp;" "&amp;Milestones!$AB$135&amp;" "&amp;Milestones!$AC$135&amp;";  ","")&amp;IF(AND(EDATE($D141,Milestones!$AA$136)&lt;=AsOfDate,IF($R141=0,$X141,IF(AND($T141&lt;&gt;"",EDATE($D141,Milestones!$AA$136)&gt;=$T141),$W141,IF(AND($S141&lt;&gt;"",EDATE($D141,Milestones!$AA$136)&gt;=$S141),$V141,$U141)))=Milestones!$AB$136),UPPER(TEXT(EDATE($D141,Milestones!$AA$136),"dd mmm yy"))&amp;" "&amp;Milestones!$AB$136&amp;" "&amp;Milestones!$AC$136&amp;";  ","")&amp;IF(AND(EDATE($D141,Milestones!$AA$137)&lt;=AsOfDate,IF($R141=0,$X141,IF(AND($T141&lt;&gt;"",EDATE($D141,Milestones!$AA$137)&gt;=$T141),$W141,IF(AND($S141&lt;&gt;"",EDATE($D141,Milestones!$AA$137)&gt;=$S141),$V141,$U141)))=Milestones!$AB$137),UPPER(TEXT(EDATE($D141,Milestones!$AA$137),"dd mmm yy"))&amp;" "&amp;Milestones!$AB$137&amp;" "&amp;Milestones!$AC$137&amp;";  ","")&amp;IF(AND(EDATE($D141,Milestones!$AA$138)&lt;=AsOfDate,IF($R141=0,$X141,IF(AND($T141&lt;&gt;"",EDATE($D141,Milestones!$AA$138)&gt;=$T141),$W141,IF(AND($S141&lt;&gt;"",EDATE($D141,Milestones!$AA$138)&gt;=$S141),$V141,$U141)))=Milestones!$AB$138),UPPER(TEXT(EDATE($D141,Milestones!$AA$138),"dd mmm yy"))&amp;" "&amp;Milestones!$AB$138&amp;" "&amp;Milestones!$AC$138&amp;";  ","")&amp;IF(AND(EDATE($D141,Milestones!$AA$139)&lt;=AsOfDate,IF($R141=0,$X141,IF(AND($T141&lt;&gt;"",EDATE($D141,Milestones!$AA$139)&gt;=$T141),$W141,IF(AND($S141&lt;&gt;"",EDATE($D141,Milestones!$AA$139)&gt;=$S141),$V141,$U141)))=Milestones!$AB$139),UPPER(TEXT(EDATE($D141,Milestones!$AA$139),"dd mmm yy"))&amp;" "&amp;Milestones!$AB$139&amp;" "&amp;Milestones!$AC$139&amp;";  ",""))</f>
        <v/>
      </c>
      <c r="O141" s="0" t="str">
        <f aca="false">IF(OR($A141="",$D141=""),"",IF(AND(EDATE($D141,Milestones!$AA$140)&lt;=AsOfDate,IF($R141=0,$X141,IF(AND($T141&lt;&gt;"",EDATE($D141,Milestones!$AA$140)&gt;=$T141),$W141,IF(AND($S141&lt;&gt;"",EDATE($D141,Milestones!$AA$140)&gt;=$S141),$V141,$U141)))=Milestones!$AB$140),UPPER(TEXT(EDATE($D141,Milestones!$AA$140),"dd mmm yy"))&amp;" "&amp;Milestones!$AB$140&amp;" "&amp;Milestones!$AC$140&amp;";  ","")&amp;IF(AND(EDATE($D141,Milestones!$AA$141)&lt;=AsOfDate,IF($R141=0,$X141,IF(AND($T141&lt;&gt;"",EDATE($D141,Milestones!$AA$141)&gt;=$T141),$W141,IF(AND($S141&lt;&gt;"",EDATE($D141,Milestones!$AA$141)&gt;=$S141),$V141,$U141)))=Milestones!$AB$141),UPPER(TEXT(EDATE($D141,Milestones!$AA$141),"dd mmm yy"))&amp;" "&amp;Milestones!$AB$141&amp;" "&amp;Milestones!$AC$141&amp;";  ","")&amp;IF(AND(EDATE($D141,Milestones!$AA$142)&lt;=AsOfDate,IF($R141=0,$X141,IF(AND($T141&lt;&gt;"",EDATE($D141,Milestones!$AA$142)&gt;=$T141),$W141,IF(AND($S141&lt;&gt;"",EDATE($D141,Milestones!$AA$142)&gt;=$S141),$V141,$U141)))=Milestones!$AB$142),UPPER(TEXT(EDATE($D141,Milestones!$AA$142),"dd mmm yy"))&amp;" "&amp;Milestones!$AB$142&amp;" "&amp;Milestones!$AC$142&amp;";  ","")&amp;IF(AND(EDATE($D141,Milestones!$AA$143)&lt;=AsOfDate,IF($R141=0,$X141,IF(AND($T141&lt;&gt;"",EDATE($D141,Milestones!$AA$143)&gt;=$T141),$W141,IF(AND($S141&lt;&gt;"",EDATE($D141,Milestones!$AA$143)&gt;=$S141),$V141,$U141)))=Milestones!$AB$143),UPPER(TEXT(EDATE($D141,Milestones!$AA$143),"dd mmm yy"))&amp;" "&amp;Milestones!$AB$143&amp;" "&amp;Milestones!$AC$143&amp;";  ","")&amp;IF(AND(EDATE($D141,Milestones!$AA$144)&lt;=AsOfDate,IF($R141=0,$X141,IF(AND($T141&lt;&gt;"",EDATE($D141,Milestones!$AA$144)&gt;=$T141),$W141,IF(AND($S141&lt;&gt;"",EDATE($D141,Milestones!$AA$144)&gt;=$S141),$V141,$U141)))=Milestones!$AB$144),UPPER(TEXT(EDATE($D141,Milestones!$AA$144),"dd mmm yy"))&amp;" "&amp;Milestones!$AB$144&amp;" "&amp;Milestones!$AC$144&amp;";  ","")&amp;IF(AND(EDATE($D141,Milestones!$AA$145)&lt;=AsOfDate,IF($R141=0,$X141,IF(AND($T141&lt;&gt;"",EDATE($D141,Milestones!$AA$145)&gt;=$T141),$W141,IF(AND($S141&lt;&gt;"",EDATE($D141,Milestones!$AA$145)&gt;=$S141),$V141,$U141)))=Milestones!$AB$145),UPPER(TEXT(EDATE($D141,Milestones!$AA$145),"dd mmm yy"))&amp;" "&amp;Milestones!$AB$145&amp;" "&amp;Milestones!$AC$145&amp;";  ","")&amp;IF(AND(EDATE($D141,Milestones!$AA$146)&lt;=AsOfDate,IF($R141=0,$X141,IF(AND($T141&lt;&gt;"",EDATE($D141,Milestones!$AA$146)&gt;=$T141),$W141,IF(AND($S141&lt;&gt;"",EDATE($D141,Milestones!$AA$146)&gt;=$S141),$V141,$U141)))=Milestones!$AB$146),UPPER(TEXT(EDATE($D141,Milestones!$AA$146),"dd mmm yy"))&amp;" "&amp;Milestones!$AB$146&amp;" "&amp;Milestones!$AC$146&amp;";  ","")&amp;IF(AND(EDATE($D141,Milestones!$AA$147)&lt;=AsOfDate,IF($R141=0,$X141,IF(AND($T141&lt;&gt;"",EDATE($D141,Milestones!$AA$147)&gt;=$T141),$W141,IF(AND($S141&lt;&gt;"",EDATE($D141,Milestones!$AA$147)&gt;=$S141),$V141,$U141)))=Milestones!$AB$147),UPPER(TEXT(EDATE($D141,Milestones!$AA$147),"dd mmm yy"))&amp;" "&amp;Milestones!$AB$147&amp;" "&amp;Milestones!$AC$147&amp;";  ","")&amp;IF(AND(EDATE($D141,Milestones!$AA$148)&lt;=AsOfDate,IF($R141=0,$X141,IF(AND($T141&lt;&gt;"",EDATE($D141,Milestones!$AA$148)&gt;=$T141),$W141,IF(AND($S141&lt;&gt;"",EDATE($D141,Milestones!$AA$148)&gt;=$S141),$V141,$U141)))=Milestones!$AB$148),UPPER(TEXT(EDATE($D141,Milestones!$AA$148),"dd mmm yy"))&amp;" "&amp;Milestones!$AB$148&amp;" "&amp;Milestones!$AC$148&amp;";  ","")&amp;IF(AND(EDATE($D141,Milestones!$AA$149)&lt;=AsOfDate,IF($R141=0,$X141,IF(AND($T141&lt;&gt;"",EDATE($D141,Milestones!$AA$149)&gt;=$T141),$W141,IF(AND($S141&lt;&gt;"",EDATE($D141,Milestones!$AA$149)&gt;=$S141),$V141,$U141)))=Milestones!$AB$149),UPPER(TEXT(EDATE($D141,Milestones!$AA$149),"dd mmm yy"))&amp;" "&amp;Milestones!$AB$149&amp;" "&amp;Milestones!$AC$149&amp;";  ","")&amp;IF(AND(EDATE($D141,Milestones!$AA$150)&lt;=AsOfDate,IF($R141=0,$X141,IF(AND($T141&lt;&gt;"",EDATE($D141,Milestones!$AA$150)&gt;=$T141),$W141,IF(AND($S141&lt;&gt;"",EDATE($D141,Milestones!$AA$150)&gt;=$S141),$V141,$U141)))=Milestones!$AB$150),UPPER(TEXT(EDATE($D141,Milestones!$AA$150),"dd mmm yy"))&amp;" "&amp;Milestones!$AB$150&amp;" "&amp;Milestones!$AC$150&amp;";  ","")&amp;IF(AND(EDATE($D141,Milestones!$AA$151)&lt;=AsOfDate,IF($R141=0,$X141,IF(AND($T141&lt;&gt;"",EDATE($D141,Milestones!$AA$151)&gt;=$T141),$W141,IF(AND($S141&lt;&gt;"",EDATE($D141,Milestones!$AA$151)&gt;=$S141),$V141,$U141)))=Milestones!$AB$151),UPPER(TEXT(EDATE($D141,Milestones!$AA$151),"dd mmm yy"))&amp;" "&amp;Milestones!$AB$151&amp;" "&amp;Milestones!$AC$151&amp;";  ","")&amp;IF(AND(EDATE($D141,Milestones!$AA$152)&lt;=AsOfDate,IF($R141=0,$X141,IF(AND($T141&lt;&gt;"",EDATE($D141,Milestones!$AA$152)&gt;=$T141),$W141,IF(AND($S141&lt;&gt;"",EDATE($D141,Milestones!$AA$152)&gt;=$S141),$V141,$U141)))=Milestones!$AB$152),UPPER(TEXT(EDATE($D141,Milestones!$AA$152),"dd mmm yy"))&amp;" "&amp;Milestones!$AB$152&amp;" "&amp;Milestones!$AC$152&amp;";  ","")&amp;IF(AND(EDATE($D141,Milestones!$AA$153)&lt;=AsOfDate,IF($R141=0,$X141,IF(AND($T141&lt;&gt;"",EDATE($D141,Milestones!$AA$153)&gt;=$T141),$W141,IF(AND($S141&lt;&gt;"",EDATE($D141,Milestones!$AA$153)&gt;=$S141),$V141,$U141)))=Milestones!$AB$153),UPPER(TEXT(EDATE($D141,Milestones!$AA$153),"dd mmm yy"))&amp;" "&amp;Milestones!$AB$153&amp;" "&amp;Milestones!$AC$153&amp;";  ","")&amp;IF(AND(EDATE($D141,Milestones!$AA$154)&lt;=AsOfDate,IF($R141=0,$X141,IF(AND($T141&lt;&gt;"",EDATE($D141,Milestones!$AA$154)&gt;=$T141),$W141,IF(AND($S141&lt;&gt;"",EDATE($D141,Milestones!$AA$154)&gt;=$S141),$V141,$U141)))=Milestones!$AB$154),UPPER(TEXT(EDATE($D141,Milestones!$AA$154),"dd mmm yy"))&amp;" "&amp;Milestones!$AB$154&amp;" "&amp;Milestones!$AC$154&amp;";  ","")&amp;IF(AND(EDATE($D141,Milestones!$AA$155)&lt;=AsOfDate,IF($R141=0,$X141,IF(AND($T141&lt;&gt;"",EDATE($D141,Milestones!$AA$155)&gt;=$T141),$W141,IF(AND($S141&lt;&gt;"",EDATE($D141,Milestones!$AA$155)&gt;=$S141),$V141,$U141)))=Milestones!$AB$155),UPPER(TEXT(EDATE($D141,Milestones!$AA$155),"dd mmm yy"))&amp;" "&amp;Milestones!$AB$155&amp;" "&amp;Milestones!$AC$155&amp;";  ","")&amp;IF(AND(EDATE($D141,Milestones!$AA$156)&lt;=AsOfDate,IF($R141=0,$X141,IF(AND($T141&lt;&gt;"",EDATE($D141,Milestones!$AA$156)&gt;=$T141),$W141,IF(AND($S141&lt;&gt;"",EDATE($D141,Milestones!$AA$156)&gt;=$S141),$V141,$U141)))=Milestones!$AB$156),UPPER(TEXT(EDATE($D141,Milestones!$AA$156),"dd mmm yy"))&amp;" "&amp;Milestones!$AB$156&amp;" "&amp;Milestones!$AC$156&amp;";  ","")&amp;IF(AND(EDATE($D141,Milestones!$AA$157)&lt;=AsOfDate,IF($R141=0,$X141,IF(AND($T141&lt;&gt;"",EDATE($D141,Milestones!$AA$157)&gt;=$T141),$W141,IF(AND($S141&lt;&gt;"",EDATE($D141,Milestones!$AA$157)&gt;=$S141),$V141,$U141)))=Milestones!$AB$157),UPPER(TEXT(EDATE($D141,Milestones!$AA$157),"dd mmm yy"))&amp;" "&amp;Milestones!$AB$157&amp;" "&amp;Milestones!$AC$157&amp;";  ","")&amp;IF(AND(EDATE($D141,Milestones!$AA$158)&lt;=AsOfDate,IF($R141=0,$X141,IF(AND($T141&lt;&gt;"",EDATE($D141,Milestones!$AA$158)&gt;=$T141),$W141,IF(AND($S141&lt;&gt;"",EDATE($D141,Milestones!$AA$158)&gt;=$S141),$V141,$U141)))=Milestones!$AB$158),UPPER(TEXT(EDATE($D141,Milestones!$AA$158),"dd mmm yy"))&amp;" "&amp;Milestones!$AB$158&amp;" "&amp;Milestones!$AC$158&amp;";  ","")&amp;IF(AND(EDATE($D141,Milestones!$AA$159)&lt;=AsOfDate,IF($R141=0,$X141,IF(AND($T141&lt;&gt;"",EDATE($D141,Milestones!$AA$159)&gt;=$T141),$W141,IF(AND($S141&lt;&gt;"",EDATE($D141,Milestones!$AA$159)&gt;=$S141),$V141,$U141)))=Milestones!$AB$159),UPPER(TEXT(EDATE($D141,Milestones!$AA$159),"dd mmm yy"))&amp;" "&amp;Milestones!$AB$159&amp;" "&amp;Milestones!$AC$159&amp;";  ",""))</f>
        <v/>
      </c>
      <c r="P141" s="0" t="str">
        <f aca="false">IF(OR($A141="",$D141=""),"",IF(AND(EDATE($D141,Milestones!$AA$160)&lt;=AsOfDate,IF($R141=0,$X141,IF(AND($T141&lt;&gt;"",EDATE($D141,Milestones!$AA$160)&gt;=$T141),$W141,IF(AND($S141&lt;&gt;"",EDATE($D141,Milestones!$AA$160)&gt;=$S141),$V141,$U141)))=Milestones!$AB$160),UPPER(TEXT(EDATE($D141,Milestones!$AA$160),"dd mmm yy"))&amp;" "&amp;Milestones!$AB$160&amp;" "&amp;Milestones!$AC$160&amp;";  ","")&amp;IF(AND(EDATE($D141,Milestones!$AA$161)&lt;=AsOfDate,IF($R141=0,$X141,IF(AND($T141&lt;&gt;"",EDATE($D141,Milestones!$AA$161)&gt;=$T141),$W141,IF(AND($S141&lt;&gt;"",EDATE($D141,Milestones!$AA$161)&gt;=$S141),$V141,$U141)))=Milestones!$AB$161),UPPER(TEXT(EDATE($D141,Milestones!$AA$161),"dd mmm yy"))&amp;" "&amp;Milestones!$AB$161&amp;" "&amp;Milestones!$AC$161&amp;";  ","")&amp;IF(AND(EDATE($D141,Milestones!$AA$162)&lt;=AsOfDate,IF($R141=0,$X141,IF(AND($T141&lt;&gt;"",EDATE($D141,Milestones!$AA$162)&gt;=$T141),$W141,IF(AND($S141&lt;&gt;"",EDATE($D141,Milestones!$AA$162)&gt;=$S141),$V141,$U141)))=Milestones!$AB$162),UPPER(TEXT(EDATE($D141,Milestones!$AA$162),"dd mmm yy"))&amp;" "&amp;Milestones!$AB$162&amp;" "&amp;Milestones!$AC$162&amp;";  ","")&amp;IF(AND(EDATE($D141,Milestones!$AA$163)&lt;=AsOfDate,IF($R141=0,$X141,IF(AND($T141&lt;&gt;"",EDATE($D141,Milestones!$AA$163)&gt;=$T141),$W141,IF(AND($S141&lt;&gt;"",EDATE($D141,Milestones!$AA$163)&gt;=$S141),$V141,$U141)))=Milestones!$AB$163),UPPER(TEXT(EDATE($D141,Milestones!$AA$163),"dd mmm yy"))&amp;" "&amp;Milestones!$AB$163&amp;" "&amp;Milestones!$AC$163&amp;";  ","")&amp;IF(AND(EDATE($D141,Milestones!$AA$164)&lt;=AsOfDate,IF($R141=0,$X141,IF(AND($T141&lt;&gt;"",EDATE($D141,Milestones!$AA$164)&gt;=$T141),$W141,IF(AND($S141&lt;&gt;"",EDATE($D141,Milestones!$AA$164)&gt;=$S141),$V141,$U141)))=Milestones!$AB$164),UPPER(TEXT(EDATE($D141,Milestones!$AA$164),"dd mmm yy"))&amp;" "&amp;Milestones!$AB$164&amp;" "&amp;Milestones!$AC$164&amp;";  ","")&amp;IF(AND(EDATE($D141,Milestones!$AA$165)&lt;=AsOfDate,IF($R141=0,$X141,IF(AND($T141&lt;&gt;"",EDATE($D141,Milestones!$AA$165)&gt;=$T141),$W141,IF(AND($S141&lt;&gt;"",EDATE($D141,Milestones!$AA$165)&gt;=$S141),$V141,$U141)))=Milestones!$AB$165),UPPER(TEXT(EDATE($D141,Milestones!$AA$165),"dd mmm yy"))&amp;" "&amp;Milestones!$AB$165&amp;" "&amp;Milestones!$AC$165&amp;";  ","")&amp;IF(AND(EDATE($D141,Milestones!$AA$166)&lt;=AsOfDate,IF($R141=0,$X141,IF(AND($T141&lt;&gt;"",EDATE($D141,Milestones!$AA$166)&gt;=$T141),$W141,IF(AND($S141&lt;&gt;"",EDATE($D141,Milestones!$AA$166)&gt;=$S141),$V141,$U141)))=Milestones!$AB$166),UPPER(TEXT(EDATE($D141,Milestones!$AA$166),"dd mmm yy"))&amp;" "&amp;Milestones!$AB$166&amp;" "&amp;Milestones!$AC$166&amp;";  ","")&amp;IF(AND(EDATE($D141,Milestones!$AA$167)&lt;=AsOfDate,IF($R141=0,$X141,IF(AND($T141&lt;&gt;"",EDATE($D141,Milestones!$AA$167)&gt;=$T141),$W141,IF(AND($S141&lt;&gt;"",EDATE($D141,Milestones!$AA$167)&gt;=$S141),$V141,$U141)))=Milestones!$AB$167),UPPER(TEXT(EDATE($D141,Milestones!$AA$167),"dd mmm yy"))&amp;" "&amp;Milestones!$AB$167&amp;" "&amp;Milestones!$AC$167&amp;";  ","")&amp;IF(AND(EDATE($D141,Milestones!$AA$168)&lt;=AsOfDate,IF($R141=0,$X141,IF(AND($T141&lt;&gt;"",EDATE($D141,Milestones!$AA$168)&gt;=$T141),$W141,IF(AND($S141&lt;&gt;"",EDATE($D141,Milestones!$AA$168)&gt;=$S141),$V141,$U141)))=Milestones!$AB$168),UPPER(TEXT(EDATE($D141,Milestones!$AA$168),"dd mmm yy"))&amp;" "&amp;Milestones!$AB$168&amp;" "&amp;Milestones!$AC$168&amp;";  ","")&amp;IF(AND(EDATE($D141,Milestones!$AA$169)&lt;=AsOfDate,IF($R141=0,$X141,IF(AND($T141&lt;&gt;"",EDATE($D141,Milestones!$AA$169)&gt;=$T141),$W141,IF(AND($S141&lt;&gt;"",EDATE($D141,Milestones!$AA$169)&gt;=$S141),$V141,$U141)))=Milestones!$AB$169),UPPER(TEXT(EDATE($D141,Milestones!$AA$169),"dd mmm yy"))&amp;" "&amp;Milestones!$AB$169&amp;" "&amp;Milestones!$AC$169&amp;";  ","")&amp;IF(AND(EDATE($D141,Milestones!$AA$170)&lt;=AsOfDate,IF($R141=0,$X141,IF(AND($T141&lt;&gt;"",EDATE($D141,Milestones!$AA$170)&gt;=$T141),$W141,IF(AND($S141&lt;&gt;"",EDATE($D141,Milestones!$AA$170)&gt;=$S141),$V141,$U141)))=Milestones!$AB$170),UPPER(TEXT(EDATE($D141,Milestones!$AA$170),"dd mmm yy"))&amp;" "&amp;Milestones!$AB$170&amp;" "&amp;Milestones!$AC$170&amp;";  ","")&amp;IF(AND(EDATE($D141,Milestones!$AA$171)&lt;=AsOfDate,IF($R141=0,$X141,IF(AND($T141&lt;&gt;"",EDATE($D141,Milestones!$AA$171)&gt;=$T141),$W141,IF(AND($S141&lt;&gt;"",EDATE($D141,Milestones!$AA$171)&gt;=$S141),$V141,$U141)))=Milestones!$AB$171),UPPER(TEXT(EDATE($D141,Milestones!$AA$171),"dd mmm yy"))&amp;" "&amp;Milestones!$AB$171&amp;" "&amp;Milestones!$AC$171&amp;";  ","")&amp;IF(AND(EDATE($D141,Milestones!$AA$172)&lt;=AsOfDate,IF($R141=0,$X141,IF(AND($T141&lt;&gt;"",EDATE($D141,Milestones!$AA$172)&gt;=$T141),$W141,IF(AND($S141&lt;&gt;"",EDATE($D141,Milestones!$AA$172)&gt;=$S141),$V141,$U141)))=Milestones!$AB$172),UPPER(TEXT(EDATE($D141,Milestones!$AA$172),"dd mmm yy"))&amp;" "&amp;Milestones!$AB$172&amp;" "&amp;Milestones!$AC$172&amp;";  ","")&amp;IF(AND(EDATE($D141,Milestones!$AA$173)&lt;=AsOfDate,IF($R141=0,$X141,IF(AND($T141&lt;&gt;"",EDATE($D141,Milestones!$AA$173)&gt;=$T141),$W141,IF(AND($S141&lt;&gt;"",EDATE($D141,Milestones!$AA$173)&gt;=$S141),$V141,$U141)))=Milestones!$AB$173),UPPER(TEXT(EDATE($D141,Milestones!$AA$173),"dd mmm yy"))&amp;" "&amp;Milestones!$AB$173&amp;" "&amp;Milestones!$AC$173&amp;";  ","")&amp;IF(AND(EDATE($D141,Milestones!$AA$174)&lt;=AsOfDate,IF($R141=0,$X141,IF(AND($T141&lt;&gt;"",EDATE($D141,Milestones!$AA$174)&gt;=$T141),$W141,IF(AND($S141&lt;&gt;"",EDATE($D141,Milestones!$AA$174)&gt;=$S141),$V141,$U141)))=Milestones!$AB$174),UPPER(TEXT(EDATE($D141,Milestones!$AA$174),"dd mmm yy"))&amp;" "&amp;Milestones!$AB$174&amp;" "&amp;Milestones!$AC$174&amp;";  ","")&amp;IF(AND(EDATE($D141,Milestones!$AA$175)&lt;=AsOfDate,IF($R141=0,$X141,IF(AND($T141&lt;&gt;"",EDATE($D141,Milestones!$AA$175)&gt;=$T141),$W141,IF(AND($S141&lt;&gt;"",EDATE($D141,Milestones!$AA$175)&gt;=$S141),$V141,$U141)))=Milestones!$AB$175),UPPER(TEXT(EDATE($D141,Milestones!$AA$175),"dd mmm yy"))&amp;" "&amp;Milestones!$AB$175&amp;" "&amp;Milestones!$AC$175&amp;";  ","")&amp;IF(AND(EDATE($D141,Milestones!$AA$176)&lt;=AsOfDate,IF($R141=0,$X141,IF(AND($T141&lt;&gt;"",EDATE($D141,Milestones!$AA$176)&gt;=$T141),$W141,IF(AND($S141&lt;&gt;"",EDATE($D141,Milestones!$AA$176)&gt;=$S141),$V141,$U141)))=Milestones!$AB$176),UPPER(TEXT(EDATE($D141,Milestones!$AA$176),"dd mmm yy"))&amp;" "&amp;Milestones!$AB$176&amp;" "&amp;Milestones!$AC$176&amp;";  ","")&amp;IF(AND(EDATE($D141,Milestones!$AA$177)&lt;=AsOfDate,IF($R141=0,$X141,IF(AND($T141&lt;&gt;"",EDATE($D141,Milestones!$AA$177)&gt;=$T141),$W141,IF(AND($S141&lt;&gt;"",EDATE($D141,Milestones!$AA$177)&gt;=$S141),$V141,$U141)))=Milestones!$AB$177),UPPER(TEXT(EDATE($D141,Milestones!$AA$177),"dd mmm yy"))&amp;" "&amp;Milestones!$AB$177&amp;" "&amp;Milestones!$AC$177&amp;";  ","")&amp;IF(AND(EDATE($D141,Milestones!$AA$178)&lt;=AsOfDate,IF($R141=0,$X141,IF(AND($T141&lt;&gt;"",EDATE($D141,Milestones!$AA$178)&gt;=$T141),$W141,IF(AND($S141&lt;&gt;"",EDATE($D141,Milestones!$AA$178)&gt;=$S141),$V141,$U141)))=Milestones!$AB$178),UPPER(TEXT(EDATE($D141,Milestones!$AA$178),"dd mmm yy"))&amp;" "&amp;Milestones!$AB$178&amp;" "&amp;Milestones!$AC$178&amp;";  ","")&amp;IF(AND(EDATE($D141,Milestones!$AA$179)&lt;=AsOfDate,IF($R141=0,$X141,IF(AND($T141&lt;&gt;"",EDATE($D141,Milestones!$AA$179)&gt;=$T141),$W141,IF(AND($S141&lt;&gt;"",EDATE($D141,Milestones!$AA$179)&gt;=$S141),$V141,$U141)))=Milestones!$AB$179),UPPER(TEXT(EDATE($D141,Milestones!$AA$179),"dd mmm yy"))&amp;" "&amp;Milestones!$AB$179&amp;" "&amp;Milestones!$AC$179&amp;";  ",""))</f>
        <v/>
      </c>
      <c r="Q141" s="0" t="str">
        <f aca="false">IF(OR($A141="",$D141=""),"",IF(AND(EDATE($D141,Milestones!$AA$180)&lt;=AsOfDate,IF($R141=0,$X141,IF(AND($T141&lt;&gt;"",EDATE($D141,Milestones!$AA$180)&gt;=$T141),$W141,IF(AND($S141&lt;&gt;"",EDATE($D141,Milestones!$AA$180)&gt;=$S141),$V141,$U141)))=Milestones!$AB$180),UPPER(TEXT(EDATE($D141,Milestones!$AA$180),"dd mmm yy"))&amp;" "&amp;Milestones!$AB$180&amp;" "&amp;Milestones!$AC$180&amp;";  ","")&amp;IF(AND(EDATE($D141,Milestones!$AA$181)&lt;=AsOfDate,IF($R141=0,$X141,IF(AND($T141&lt;&gt;"",EDATE($D141,Milestones!$AA$181)&gt;=$T141),$W141,IF(AND($S141&lt;&gt;"",EDATE($D141,Milestones!$AA$181)&gt;=$S141),$V141,$U141)))=Milestones!$AB$181),UPPER(TEXT(EDATE($D141,Milestones!$AA$181),"dd mmm yy"))&amp;" "&amp;Milestones!$AB$181&amp;" "&amp;Milestones!$AC$181&amp;";  ","")&amp;IF(AND(EDATE($D141,Milestones!$AA$182)&lt;=AsOfDate,IF($R141=0,$X141,IF(AND($T141&lt;&gt;"",EDATE($D141,Milestones!$AA$182)&gt;=$T141),$W141,IF(AND($S141&lt;&gt;"",EDATE($D141,Milestones!$AA$182)&gt;=$S141),$V141,$U141)))=Milestones!$AB$182),UPPER(TEXT(EDATE($D141,Milestones!$AA$182),"dd mmm yy"))&amp;" "&amp;Milestones!$AB$182&amp;" "&amp;Milestones!$AC$182&amp;";  ","")&amp;IF(AND(EDATE($D141,Milestones!$AA$183)&lt;=AsOfDate,IF($R141=0,$X141,IF(AND($T141&lt;&gt;"",EDATE($D141,Milestones!$AA$183)&gt;=$T141),$W141,IF(AND($S141&lt;&gt;"",EDATE($D141,Milestones!$AA$183)&gt;=$S141),$V141,$U141)))=Milestones!$AB$183),UPPER(TEXT(EDATE($D141,Milestones!$AA$183),"dd mmm yy"))&amp;" "&amp;Milestones!$AB$183&amp;" "&amp;Milestones!$AC$183&amp;";  ","")&amp;IF(AND(EDATE($D141,Milestones!$AA$184)&lt;=AsOfDate,IF($R141=0,$X141,IF(AND($T141&lt;&gt;"",EDATE($D141,Milestones!$AA$184)&gt;=$T141),$W141,IF(AND($S141&lt;&gt;"",EDATE($D141,Milestones!$AA$184)&gt;=$S141),$V141,$U141)))=Milestones!$AB$184),UPPER(TEXT(EDATE($D141,Milestones!$AA$184),"dd mmm yy"))&amp;" "&amp;Milestones!$AB$184&amp;" "&amp;Milestones!$AC$184&amp;";  ","")&amp;IF(AND(EDATE($D141,Milestones!$AA$185)&lt;=AsOfDate,IF($R141=0,$X141,IF(AND($T141&lt;&gt;"",EDATE($D141,Milestones!$AA$185)&gt;=$T141),$W141,IF(AND($S141&lt;&gt;"",EDATE($D141,Milestones!$AA$185)&gt;=$S141),$V141,$U141)))=Milestones!$AB$185),UPPER(TEXT(EDATE($D141,Milestones!$AA$185),"dd mmm yy"))&amp;" "&amp;Milestones!$AB$185&amp;" "&amp;Milestones!$AC$185&amp;";  ","")&amp;IF(AND(EDATE($D141,Milestones!$AA$186)&lt;=AsOfDate,IF($R141=0,$X141,IF(AND($T141&lt;&gt;"",EDATE($D141,Milestones!$AA$186)&gt;=$T141),$W141,IF(AND($S141&lt;&gt;"",EDATE($D141,Milestones!$AA$186)&gt;=$S141),$V141,$U141)))=Milestones!$AB$186),UPPER(TEXT(EDATE($D141,Milestones!$AA$186),"dd mmm yy"))&amp;" "&amp;Milestones!$AB$186&amp;" "&amp;Milestones!$AC$186&amp;";  ","")&amp;IF(AND(EDATE($D141,Milestones!$AA$187)&lt;=AsOfDate,IF($R141=0,$X141,IF(AND($T141&lt;&gt;"",EDATE($D141,Milestones!$AA$187)&gt;=$T141),$W141,IF(AND($S141&lt;&gt;"",EDATE($D141,Milestones!$AA$187)&gt;=$S141),$V141,$U141)))=Milestones!$AB$187),UPPER(TEXT(EDATE($D141,Milestones!$AA$187),"dd mmm yy"))&amp;" "&amp;Milestones!$AB$187&amp;" "&amp;Milestones!$AC$187&amp;";  ","")&amp;IF(AND(EDATE($D141,Milestones!$AA$188)&lt;=AsOfDate,IF($R141=0,$X141,IF(AND($T141&lt;&gt;"",EDATE($D141,Milestones!$AA$188)&gt;=$T141),$W141,IF(AND($S141&lt;&gt;"",EDATE($D141,Milestones!$AA$188)&gt;=$S141),$V141,$U141)))=Milestones!$AB$188),UPPER(TEXT(EDATE($D141,Milestones!$AA$188),"dd mmm yy"))&amp;" "&amp;Milestones!$AB$188&amp;" "&amp;Milestones!$AC$188&amp;";  ","")&amp;IF(AND(EDATE($D141,Milestones!$AA$189)&lt;=AsOfDate,IF($R141=0,$X141,IF(AND($T141&lt;&gt;"",EDATE($D141,Milestones!$AA$189)&gt;=$T141),$W141,IF(AND($S141&lt;&gt;"",EDATE($D141,Milestones!$AA$189)&gt;=$S141),$V141,$U141)))=Milestones!$AB$189),UPPER(TEXT(EDATE($D141,Milestones!$AA$189),"dd mmm yy"))&amp;" "&amp;Milestones!$AB$189&amp;" "&amp;Milestones!$AC$189&amp;";  ","")&amp;IF(AND(EDATE($D141,Milestones!$AA$190)&lt;=AsOfDate,IF($R141=0,$X141,IF(AND($T141&lt;&gt;"",EDATE($D141,Milestones!$AA$190)&gt;=$T141),$W141,IF(AND($S141&lt;&gt;"",EDATE($D141,Milestones!$AA$190)&gt;=$S141),$V141,$U141)))=Milestones!$AB$190),UPPER(TEXT(EDATE($D141,Milestones!$AA$190),"dd mmm yy"))&amp;" "&amp;Milestones!$AB$190&amp;" "&amp;Milestones!$AC$190&amp;";  ","")&amp;IF(AND(EDATE($D141,Milestones!$AA$191)&lt;=AsOfDate,IF($R141=0,$X141,IF(AND($T141&lt;&gt;"",EDATE($D141,Milestones!$AA$191)&gt;=$T141),$W141,IF(AND($S141&lt;&gt;"",EDATE($D141,Milestones!$AA$191)&gt;=$S141),$V141,$U141)))=Milestones!$AB$191),UPPER(TEXT(EDATE($D141,Milestones!$AA$191),"dd mmm yy"))&amp;" "&amp;Milestones!$AB$191&amp;" "&amp;Milestones!$AC$191&amp;";  ","")&amp;IF(AND(EDATE($D141,Milestones!$AA$192)&lt;=AsOfDate,IF($R141=0,$X141,IF(AND($T141&lt;&gt;"",EDATE($D141,Milestones!$AA$192)&gt;=$T141),$W141,IF(AND($S141&lt;&gt;"",EDATE($D141,Milestones!$AA$192)&gt;=$S141),$V141,$U141)))=Milestones!$AB$192),UPPER(TEXT(EDATE($D141,Milestones!$AA$192),"dd mmm yy"))&amp;" "&amp;Milestones!$AB$192&amp;" "&amp;Milestones!$AC$192&amp;";  ","")&amp;IF(AND(EDATE($D141,Milestones!$AA$193)&lt;=AsOfDate,IF($R141=0,$X141,IF(AND($T141&lt;&gt;"",EDATE($D141,Milestones!$AA$193)&gt;=$T141),$W141,IF(AND($S141&lt;&gt;"",EDATE($D141,Milestones!$AA$193)&gt;=$S141),$V141,$U141)))=Milestones!$AB$193),UPPER(TEXT(EDATE($D141,Milestones!$AA$193),"dd mmm yy"))&amp;" "&amp;Milestones!$AB$193&amp;" "&amp;Milestones!$AC$193&amp;";  ","")&amp;IF(AND(EDATE($D141,Milestones!$AA$194)&lt;=AsOfDate,IF($R141=0,$X141,IF(AND($T141&lt;&gt;"",EDATE($D141,Milestones!$AA$194)&gt;=$T141),$W141,IF(AND($S141&lt;&gt;"",EDATE($D141,Milestones!$AA$194)&gt;=$S141),$V141,$U141)))=Milestones!$AB$194),UPPER(TEXT(EDATE($D141,Milestones!$AA$194),"dd mmm yy"))&amp;" "&amp;Milestones!$AB$194&amp;" "&amp;Milestones!$AC$194&amp;";  ","")&amp;IF(AND(EDATE($D141,Milestones!$AA$195)&lt;=AsOfDate,IF($R141=0,$X141,IF(AND($T141&lt;&gt;"",EDATE($D141,Milestones!$AA$195)&gt;=$T141),$W141,IF(AND($S141&lt;&gt;"",EDATE($D141,Milestones!$AA$195)&gt;=$S141),$V141,$U141)))=Milestones!$AB$195),UPPER(TEXT(EDATE($D141,Milestones!$AA$195),"dd mmm yy"))&amp;" "&amp;Milestones!$AB$195&amp;" "&amp;Milestones!$AC$195&amp;";  ","")&amp;IF(AND(EDATE($D141,Milestones!$AA$196)&lt;=AsOfDate,IF($R141=0,$X141,IF(AND($T141&lt;&gt;"",EDATE($D141,Milestones!$AA$196)&gt;=$T141),$W141,IF(AND($S141&lt;&gt;"",EDATE($D141,Milestones!$AA$196)&gt;=$S141),$V141,$U141)))=Milestones!$AB$196),UPPER(TEXT(EDATE($D141,Milestones!$AA$196),"dd mmm yy"))&amp;" "&amp;Milestones!$AB$196&amp;" "&amp;Milestones!$AC$196&amp;";  ","")&amp;IF(AND(EDATE($D141,Milestones!$AA$197)&lt;=AsOfDate,IF($R141=0,$X141,IF(AND($T141&lt;&gt;"",EDATE($D141,Milestones!$AA$197)&gt;=$T141),$W141,IF(AND($S141&lt;&gt;"",EDATE($D141,Milestones!$AA$197)&gt;=$S141),$V141,$U141)))=Milestones!$AB$197),UPPER(TEXT(EDATE($D141,Milestones!$AA$197),"dd mmm yy"))&amp;" "&amp;Milestones!$AB$197&amp;" "&amp;Milestones!$AC$197&amp;";  ","")&amp;IF(AND(EDATE($D141,Milestones!$AA$198)&lt;=AsOfDate,IF($R141=0,$X141,IF(AND($T141&lt;&gt;"",EDATE($D141,Milestones!$AA$198)&gt;=$T141),$W141,IF(AND($S141&lt;&gt;"",EDATE($D141,Milestones!$AA$198)&gt;=$S141),$V141,$U141)))=Milestones!$AB$198),UPPER(TEXT(EDATE($D141,Milestones!$AA$198),"dd mmm yy"))&amp;" "&amp;Milestones!$AB$198&amp;" "&amp;Milestones!$AC$198&amp;";  ","")&amp;IF(AND(EDATE($D141,Milestones!$AA$199)&lt;=AsOfDate,IF($R141=0,$X141,IF(AND($T141&lt;&gt;"",EDATE($D141,Milestones!$AA$199)&gt;=$T141),$W141,IF(AND($S141&lt;&gt;"",EDATE($D141,Milestones!$AA$199)&gt;=$S141),$V141,$U141)))=Milestones!$AB$199),UPPER(TEXT(EDATE($D141,Milestones!$AA$199),"dd mmm yy"))&amp;" "&amp;Milestones!$AB$199&amp;" "&amp;Milestones!$AC$199&amp;";  ",""))</f>
        <v/>
      </c>
      <c r="R141" s="0" t="str">
        <f aca="false">IF(Staff!$A141="","",Staff!$AI141)</f>
        <v/>
      </c>
      <c r="S141" s="0" t="str">
        <f aca="false">IF(Staff!$A141="","",Staff!$AK141)</f>
        <v/>
      </c>
      <c r="T141" s="0" t="str">
        <f aca="false">IF(Staff!$A141="","",Staff!$AL141)</f>
        <v/>
      </c>
      <c r="U141" s="0" t="str">
        <f aca="false">IF(Staff!$A141="","",Staff!$AP141)</f>
        <v/>
      </c>
      <c r="V141" s="0" t="str">
        <f aca="false">IF(Staff!$A141="","",Staff!$AQ141)</f>
        <v/>
      </c>
      <c r="W141" s="0" t="str">
        <f aca="false">IF(Staff!$A141="","",Staff!$AR141)</f>
        <v/>
      </c>
      <c r="X141" s="0" t="str">
        <f aca="false">IF(Staff!$A141="","",Staff!$AS141)</f>
        <v/>
      </c>
    </row>
    <row r="142" customFormat="false" ht="15" hidden="false" customHeight="false" outlineLevel="0" collapsed="false">
      <c r="A142" s="19" t="str">
        <f aca="false">IF(Staff!$A142="","",Staff!$A142)</f>
        <v/>
      </c>
      <c r="B142" s="19" t="str">
        <f aca="false">IF(Staff!$A142="","",Staff!$B142)</f>
        <v/>
      </c>
      <c r="C142" s="19" t="str">
        <f aca="false">IF(Staff!$A142="","",Staff!$C142)</f>
        <v/>
      </c>
      <c r="D142" s="17" t="str">
        <f aca="false">IF(Staff!$A142="","",Staff!$AH142)</f>
        <v/>
      </c>
      <c r="E142" s="19" t="str">
        <f aca="false">IF(Staff!$A142="","",Staff!$O142)</f>
        <v/>
      </c>
      <c r="F142" s="19" t="str">
        <f aca="false">IF(E142="","",E142*HoursPerDay)</f>
        <v/>
      </c>
      <c r="G142" s="19" t="str">
        <f aca="false">IF(Staff!$A142="","",Staff!$AE142)</f>
        <v/>
      </c>
      <c r="H142" s="32" t="str">
        <f aca="false">IF($A142="","",I142&amp;J142&amp;K142&amp;L142&amp;M142&amp;N142&amp;O142&amp;P142&amp;Q142)</f>
        <v/>
      </c>
      <c r="I142" s="0" t="str">
        <f aca="false">IF(OR($A142="",$D142=""),"",IF(AND(EDATE($D142,Milestones!$AA$20)&lt;=AsOfDate,IF($R142=0,$X142,IF(AND($T142&lt;&gt;"",EDATE($D142,Milestones!$AA$20)&gt;=$T142),$W142,IF(AND($S142&lt;&gt;"",EDATE($D142,Milestones!$AA$20)&gt;=$S142),$V142,$U142)))=Milestones!$AB$20),UPPER(TEXT(EDATE($D142,Milestones!$AA$20),"dd mmm yy"))&amp;" "&amp;Milestones!$AB$20&amp;" "&amp;Milestones!$AC$20&amp;";  ","")&amp;IF(AND(EDATE($D142,Milestones!$AA$21)&lt;=AsOfDate,IF($R142=0,$X142,IF(AND($T142&lt;&gt;"",EDATE($D142,Milestones!$AA$21)&gt;=$T142),$W142,IF(AND($S142&lt;&gt;"",EDATE($D142,Milestones!$AA$21)&gt;=$S142),$V142,$U142)))=Milestones!$AB$21),UPPER(TEXT(EDATE($D142,Milestones!$AA$21),"dd mmm yy"))&amp;" "&amp;Milestones!$AB$21&amp;" "&amp;Milestones!$AC$21&amp;";  ","")&amp;IF(AND(EDATE($D142,Milestones!$AA$22)&lt;=AsOfDate,IF($R142=0,$X142,IF(AND($T142&lt;&gt;"",EDATE($D142,Milestones!$AA$22)&gt;=$T142),$W142,IF(AND($S142&lt;&gt;"",EDATE($D142,Milestones!$AA$22)&gt;=$S142),$V142,$U142)))=Milestones!$AB$22),UPPER(TEXT(EDATE($D142,Milestones!$AA$22),"dd mmm yy"))&amp;" "&amp;Milestones!$AB$22&amp;" "&amp;Milestones!$AC$22&amp;";  ","")&amp;IF(AND(EDATE($D142,Milestones!$AA$23)&lt;=AsOfDate,IF($R142=0,$X142,IF(AND($T142&lt;&gt;"",EDATE($D142,Milestones!$AA$23)&gt;=$T142),$W142,IF(AND($S142&lt;&gt;"",EDATE($D142,Milestones!$AA$23)&gt;=$S142),$V142,$U142)))=Milestones!$AB$23),UPPER(TEXT(EDATE($D142,Milestones!$AA$23),"dd mmm yy"))&amp;" "&amp;Milestones!$AB$23&amp;" "&amp;Milestones!$AC$23&amp;";  ","")&amp;IF(AND(EDATE($D142,Milestones!$AA$24)&lt;=AsOfDate,IF($R142=0,$X142,IF(AND($T142&lt;&gt;"",EDATE($D142,Milestones!$AA$24)&gt;=$T142),$W142,IF(AND($S142&lt;&gt;"",EDATE($D142,Milestones!$AA$24)&gt;=$S142),$V142,$U142)))=Milestones!$AB$24),UPPER(TEXT(EDATE($D142,Milestones!$AA$24),"dd mmm yy"))&amp;" "&amp;Milestones!$AB$24&amp;" "&amp;Milestones!$AC$24&amp;";  ","")&amp;IF(AND(EDATE($D142,Milestones!$AA$25)&lt;=AsOfDate,IF($R142=0,$X142,IF(AND($T142&lt;&gt;"",EDATE($D142,Milestones!$AA$25)&gt;=$T142),$W142,IF(AND($S142&lt;&gt;"",EDATE($D142,Milestones!$AA$25)&gt;=$S142),$V142,$U142)))=Milestones!$AB$25),UPPER(TEXT(EDATE($D142,Milestones!$AA$25),"dd mmm yy"))&amp;" "&amp;Milestones!$AB$25&amp;" "&amp;Milestones!$AC$25&amp;";  ","")&amp;IF(AND(EDATE($D142,Milestones!$AA$26)&lt;=AsOfDate,IF($R142=0,$X142,IF(AND($T142&lt;&gt;"",EDATE($D142,Milestones!$AA$26)&gt;=$T142),$W142,IF(AND($S142&lt;&gt;"",EDATE($D142,Milestones!$AA$26)&gt;=$S142),$V142,$U142)))=Milestones!$AB$26),UPPER(TEXT(EDATE($D142,Milestones!$AA$26),"dd mmm yy"))&amp;" "&amp;Milestones!$AB$26&amp;" "&amp;Milestones!$AC$26&amp;";  ","")&amp;IF(AND(EDATE($D142,Milestones!$AA$27)&lt;=AsOfDate,IF($R142=0,$X142,IF(AND($T142&lt;&gt;"",EDATE($D142,Milestones!$AA$27)&gt;=$T142),$W142,IF(AND($S142&lt;&gt;"",EDATE($D142,Milestones!$AA$27)&gt;=$S142),$V142,$U142)))=Milestones!$AB$27),UPPER(TEXT(EDATE($D142,Milestones!$AA$27),"dd mmm yy"))&amp;" "&amp;Milestones!$AB$27&amp;" "&amp;Milestones!$AC$27&amp;";  ","")&amp;IF(AND(EDATE($D142,Milestones!$AA$28)&lt;=AsOfDate,IF($R142=0,$X142,IF(AND($T142&lt;&gt;"",EDATE($D142,Milestones!$AA$28)&gt;=$T142),$W142,IF(AND($S142&lt;&gt;"",EDATE($D142,Milestones!$AA$28)&gt;=$S142),$V142,$U142)))=Milestones!$AB$28),UPPER(TEXT(EDATE($D142,Milestones!$AA$28),"dd mmm yy"))&amp;" "&amp;Milestones!$AB$28&amp;" "&amp;Milestones!$AC$28&amp;";  ","")&amp;IF(AND(EDATE($D142,Milestones!$AA$29)&lt;=AsOfDate,IF($R142=0,$X142,IF(AND($T142&lt;&gt;"",EDATE($D142,Milestones!$AA$29)&gt;=$T142),$W142,IF(AND($S142&lt;&gt;"",EDATE($D142,Milestones!$AA$29)&gt;=$S142),$V142,$U142)))=Milestones!$AB$29),UPPER(TEXT(EDATE($D142,Milestones!$AA$29),"dd mmm yy"))&amp;" "&amp;Milestones!$AB$29&amp;" "&amp;Milestones!$AC$29&amp;";  ","")&amp;IF(AND(EDATE($D142,Milestones!$AA$30)&lt;=AsOfDate,IF($R142=0,$X142,IF(AND($T142&lt;&gt;"",EDATE($D142,Milestones!$AA$30)&gt;=$T142),$W142,IF(AND($S142&lt;&gt;"",EDATE($D142,Milestones!$AA$30)&gt;=$S142),$V142,$U142)))=Milestones!$AB$30),UPPER(TEXT(EDATE($D142,Milestones!$AA$30),"dd mmm yy"))&amp;" "&amp;Milestones!$AB$30&amp;" "&amp;Milestones!$AC$30&amp;";  ","")&amp;IF(AND(EDATE($D142,Milestones!$AA$31)&lt;=AsOfDate,IF($R142=0,$X142,IF(AND($T142&lt;&gt;"",EDATE($D142,Milestones!$AA$31)&gt;=$T142),$W142,IF(AND($S142&lt;&gt;"",EDATE($D142,Milestones!$AA$31)&gt;=$S142),$V142,$U142)))=Milestones!$AB$31),UPPER(TEXT(EDATE($D142,Milestones!$AA$31),"dd mmm yy"))&amp;" "&amp;Milestones!$AB$31&amp;" "&amp;Milestones!$AC$31&amp;";  ","")&amp;IF(AND(EDATE($D142,Milestones!$AA$32)&lt;=AsOfDate,IF($R142=0,$X142,IF(AND($T142&lt;&gt;"",EDATE($D142,Milestones!$AA$32)&gt;=$T142),$W142,IF(AND($S142&lt;&gt;"",EDATE($D142,Milestones!$AA$32)&gt;=$S142),$V142,$U142)))=Milestones!$AB$32),UPPER(TEXT(EDATE($D142,Milestones!$AA$32),"dd mmm yy"))&amp;" "&amp;Milestones!$AB$32&amp;" "&amp;Milestones!$AC$32&amp;";  ","")&amp;IF(AND(EDATE($D142,Milestones!$AA$33)&lt;=AsOfDate,IF($R142=0,$X142,IF(AND($T142&lt;&gt;"",EDATE($D142,Milestones!$AA$33)&gt;=$T142),$W142,IF(AND($S142&lt;&gt;"",EDATE($D142,Milestones!$AA$33)&gt;=$S142),$V142,$U142)))=Milestones!$AB$33),UPPER(TEXT(EDATE($D142,Milestones!$AA$33),"dd mmm yy"))&amp;" "&amp;Milestones!$AB$33&amp;" "&amp;Milestones!$AC$33&amp;";  ","")&amp;IF(AND(EDATE($D142,Milestones!$AA$34)&lt;=AsOfDate,IF($R142=0,$X142,IF(AND($T142&lt;&gt;"",EDATE($D142,Milestones!$AA$34)&gt;=$T142),$W142,IF(AND($S142&lt;&gt;"",EDATE($D142,Milestones!$AA$34)&gt;=$S142),$V142,$U142)))=Milestones!$AB$34),UPPER(TEXT(EDATE($D142,Milestones!$AA$34),"dd mmm yy"))&amp;" "&amp;Milestones!$AB$34&amp;" "&amp;Milestones!$AC$34&amp;";  ","")&amp;IF(AND(EDATE($D142,Milestones!$AA$35)&lt;=AsOfDate,IF($R142=0,$X142,IF(AND($T142&lt;&gt;"",EDATE($D142,Milestones!$AA$35)&gt;=$T142),$W142,IF(AND($S142&lt;&gt;"",EDATE($D142,Milestones!$AA$35)&gt;=$S142),$V142,$U142)))=Milestones!$AB$35),UPPER(TEXT(EDATE($D142,Milestones!$AA$35),"dd mmm yy"))&amp;" "&amp;Milestones!$AB$35&amp;" "&amp;Milestones!$AC$35&amp;";  ","")&amp;IF(AND(EDATE($D142,Milestones!$AA$36)&lt;=AsOfDate,IF($R142=0,$X142,IF(AND($T142&lt;&gt;"",EDATE($D142,Milestones!$AA$36)&gt;=$T142),$W142,IF(AND($S142&lt;&gt;"",EDATE($D142,Milestones!$AA$36)&gt;=$S142),$V142,$U142)))=Milestones!$AB$36),UPPER(TEXT(EDATE($D142,Milestones!$AA$36),"dd mmm yy"))&amp;" "&amp;Milestones!$AB$36&amp;" "&amp;Milestones!$AC$36&amp;";  ","")&amp;IF(AND(EDATE($D142,Milestones!$AA$37)&lt;=AsOfDate,IF($R142=0,$X142,IF(AND($T142&lt;&gt;"",EDATE($D142,Milestones!$AA$37)&gt;=$T142),$W142,IF(AND($S142&lt;&gt;"",EDATE($D142,Milestones!$AA$37)&gt;=$S142),$V142,$U142)))=Milestones!$AB$37),UPPER(TEXT(EDATE($D142,Milestones!$AA$37),"dd mmm yy"))&amp;" "&amp;Milestones!$AB$37&amp;" "&amp;Milestones!$AC$37&amp;";  ","")&amp;IF(AND(EDATE($D142,Milestones!$AA$38)&lt;=AsOfDate,IF($R142=0,$X142,IF(AND($T142&lt;&gt;"",EDATE($D142,Milestones!$AA$38)&gt;=$T142),$W142,IF(AND($S142&lt;&gt;"",EDATE($D142,Milestones!$AA$38)&gt;=$S142),$V142,$U142)))=Milestones!$AB$38),UPPER(TEXT(EDATE($D142,Milestones!$AA$38),"dd mmm yy"))&amp;" "&amp;Milestones!$AB$38&amp;" "&amp;Milestones!$AC$38&amp;";  ","")&amp;IF(AND(EDATE($D142,Milestones!$AA$39)&lt;=AsOfDate,IF($R142=0,$X142,IF(AND($T142&lt;&gt;"",EDATE($D142,Milestones!$AA$39)&gt;=$T142),$W142,IF(AND($S142&lt;&gt;"",EDATE($D142,Milestones!$AA$39)&gt;=$S142),$V142,$U142)))=Milestones!$AB$39),UPPER(TEXT(EDATE($D142,Milestones!$AA$39),"dd mmm yy"))&amp;" "&amp;Milestones!$AB$39&amp;" "&amp;Milestones!$AC$39&amp;";  ",""))</f>
        <v/>
      </c>
      <c r="J142" s="0" t="str">
        <f aca="false">IF(OR($A142="",$D142=""),"",IF(AND(EDATE($D142,Milestones!$AA$40)&lt;=AsOfDate,IF($R142=0,$X142,IF(AND($T142&lt;&gt;"",EDATE($D142,Milestones!$AA$40)&gt;=$T142),$W142,IF(AND($S142&lt;&gt;"",EDATE($D142,Milestones!$AA$40)&gt;=$S142),$V142,$U142)))=Milestones!$AB$40),UPPER(TEXT(EDATE($D142,Milestones!$AA$40),"dd mmm yy"))&amp;" "&amp;Milestones!$AB$40&amp;" "&amp;Milestones!$AC$40&amp;";  ","")&amp;IF(AND(EDATE($D142,Milestones!$AA$41)&lt;=AsOfDate,IF($R142=0,$X142,IF(AND($T142&lt;&gt;"",EDATE($D142,Milestones!$AA$41)&gt;=$T142),$W142,IF(AND($S142&lt;&gt;"",EDATE($D142,Milestones!$AA$41)&gt;=$S142),$V142,$U142)))=Milestones!$AB$41),UPPER(TEXT(EDATE($D142,Milestones!$AA$41),"dd mmm yy"))&amp;" "&amp;Milestones!$AB$41&amp;" "&amp;Milestones!$AC$41&amp;";  ","")&amp;IF(AND(EDATE($D142,Milestones!$AA$42)&lt;=AsOfDate,IF($R142=0,$X142,IF(AND($T142&lt;&gt;"",EDATE($D142,Milestones!$AA$42)&gt;=$T142),$W142,IF(AND($S142&lt;&gt;"",EDATE($D142,Milestones!$AA$42)&gt;=$S142),$V142,$U142)))=Milestones!$AB$42),UPPER(TEXT(EDATE($D142,Milestones!$AA$42),"dd mmm yy"))&amp;" "&amp;Milestones!$AB$42&amp;" "&amp;Milestones!$AC$42&amp;";  ","")&amp;IF(AND(EDATE($D142,Milestones!$AA$43)&lt;=AsOfDate,IF($R142=0,$X142,IF(AND($T142&lt;&gt;"",EDATE($D142,Milestones!$AA$43)&gt;=$T142),$W142,IF(AND($S142&lt;&gt;"",EDATE($D142,Milestones!$AA$43)&gt;=$S142),$V142,$U142)))=Milestones!$AB$43),UPPER(TEXT(EDATE($D142,Milestones!$AA$43),"dd mmm yy"))&amp;" "&amp;Milestones!$AB$43&amp;" "&amp;Milestones!$AC$43&amp;";  ","")&amp;IF(AND(EDATE($D142,Milestones!$AA$44)&lt;=AsOfDate,IF($R142=0,$X142,IF(AND($T142&lt;&gt;"",EDATE($D142,Milestones!$AA$44)&gt;=$T142),$W142,IF(AND($S142&lt;&gt;"",EDATE($D142,Milestones!$AA$44)&gt;=$S142),$V142,$U142)))=Milestones!$AB$44),UPPER(TEXT(EDATE($D142,Milestones!$AA$44),"dd mmm yy"))&amp;" "&amp;Milestones!$AB$44&amp;" "&amp;Milestones!$AC$44&amp;";  ","")&amp;IF(AND(EDATE($D142,Milestones!$AA$45)&lt;=AsOfDate,IF($R142=0,$X142,IF(AND($T142&lt;&gt;"",EDATE($D142,Milestones!$AA$45)&gt;=$T142),$W142,IF(AND($S142&lt;&gt;"",EDATE($D142,Milestones!$AA$45)&gt;=$S142),$V142,$U142)))=Milestones!$AB$45),UPPER(TEXT(EDATE($D142,Milestones!$AA$45),"dd mmm yy"))&amp;" "&amp;Milestones!$AB$45&amp;" "&amp;Milestones!$AC$45&amp;";  ","")&amp;IF(AND(EDATE($D142,Milestones!$AA$46)&lt;=AsOfDate,IF($R142=0,$X142,IF(AND($T142&lt;&gt;"",EDATE($D142,Milestones!$AA$46)&gt;=$T142),$W142,IF(AND($S142&lt;&gt;"",EDATE($D142,Milestones!$AA$46)&gt;=$S142),$V142,$U142)))=Milestones!$AB$46),UPPER(TEXT(EDATE($D142,Milestones!$AA$46),"dd mmm yy"))&amp;" "&amp;Milestones!$AB$46&amp;" "&amp;Milestones!$AC$46&amp;";  ","")&amp;IF(AND(EDATE($D142,Milestones!$AA$47)&lt;=AsOfDate,IF($R142=0,$X142,IF(AND($T142&lt;&gt;"",EDATE($D142,Milestones!$AA$47)&gt;=$T142),$W142,IF(AND($S142&lt;&gt;"",EDATE($D142,Milestones!$AA$47)&gt;=$S142),$V142,$U142)))=Milestones!$AB$47),UPPER(TEXT(EDATE($D142,Milestones!$AA$47),"dd mmm yy"))&amp;" "&amp;Milestones!$AB$47&amp;" "&amp;Milestones!$AC$47&amp;";  ","")&amp;IF(AND(EDATE($D142,Milestones!$AA$48)&lt;=AsOfDate,IF($R142=0,$X142,IF(AND($T142&lt;&gt;"",EDATE($D142,Milestones!$AA$48)&gt;=$T142),$W142,IF(AND($S142&lt;&gt;"",EDATE($D142,Milestones!$AA$48)&gt;=$S142),$V142,$U142)))=Milestones!$AB$48),UPPER(TEXT(EDATE($D142,Milestones!$AA$48),"dd mmm yy"))&amp;" "&amp;Milestones!$AB$48&amp;" "&amp;Milestones!$AC$48&amp;";  ","")&amp;IF(AND(EDATE($D142,Milestones!$AA$49)&lt;=AsOfDate,IF($R142=0,$X142,IF(AND($T142&lt;&gt;"",EDATE($D142,Milestones!$AA$49)&gt;=$T142),$W142,IF(AND($S142&lt;&gt;"",EDATE($D142,Milestones!$AA$49)&gt;=$S142),$V142,$U142)))=Milestones!$AB$49),UPPER(TEXT(EDATE($D142,Milestones!$AA$49),"dd mmm yy"))&amp;" "&amp;Milestones!$AB$49&amp;" "&amp;Milestones!$AC$49&amp;";  ","")&amp;IF(AND(EDATE($D142,Milestones!$AA$50)&lt;=AsOfDate,IF($R142=0,$X142,IF(AND($T142&lt;&gt;"",EDATE($D142,Milestones!$AA$50)&gt;=$T142),$W142,IF(AND($S142&lt;&gt;"",EDATE($D142,Milestones!$AA$50)&gt;=$S142),$V142,$U142)))=Milestones!$AB$50),UPPER(TEXT(EDATE($D142,Milestones!$AA$50),"dd mmm yy"))&amp;" "&amp;Milestones!$AB$50&amp;" "&amp;Milestones!$AC$50&amp;";  ","")&amp;IF(AND(EDATE($D142,Milestones!$AA$51)&lt;=AsOfDate,IF($R142=0,$X142,IF(AND($T142&lt;&gt;"",EDATE($D142,Milestones!$AA$51)&gt;=$T142),$W142,IF(AND($S142&lt;&gt;"",EDATE($D142,Milestones!$AA$51)&gt;=$S142),$V142,$U142)))=Milestones!$AB$51),UPPER(TEXT(EDATE($D142,Milestones!$AA$51),"dd mmm yy"))&amp;" "&amp;Milestones!$AB$51&amp;" "&amp;Milestones!$AC$51&amp;";  ","")&amp;IF(AND(EDATE($D142,Milestones!$AA$52)&lt;=AsOfDate,IF($R142=0,$X142,IF(AND($T142&lt;&gt;"",EDATE($D142,Milestones!$AA$52)&gt;=$T142),$W142,IF(AND($S142&lt;&gt;"",EDATE($D142,Milestones!$AA$52)&gt;=$S142),$V142,$U142)))=Milestones!$AB$52),UPPER(TEXT(EDATE($D142,Milestones!$AA$52),"dd mmm yy"))&amp;" "&amp;Milestones!$AB$52&amp;" "&amp;Milestones!$AC$52&amp;";  ","")&amp;IF(AND(EDATE($D142,Milestones!$AA$53)&lt;=AsOfDate,IF($R142=0,$X142,IF(AND($T142&lt;&gt;"",EDATE($D142,Milestones!$AA$53)&gt;=$T142),$W142,IF(AND($S142&lt;&gt;"",EDATE($D142,Milestones!$AA$53)&gt;=$S142),$V142,$U142)))=Milestones!$AB$53),UPPER(TEXT(EDATE($D142,Milestones!$AA$53),"dd mmm yy"))&amp;" "&amp;Milestones!$AB$53&amp;" "&amp;Milestones!$AC$53&amp;";  ","")&amp;IF(AND(EDATE($D142,Milestones!$AA$54)&lt;=AsOfDate,IF($R142=0,$X142,IF(AND($T142&lt;&gt;"",EDATE($D142,Milestones!$AA$54)&gt;=$T142),$W142,IF(AND($S142&lt;&gt;"",EDATE($D142,Milestones!$AA$54)&gt;=$S142),$V142,$U142)))=Milestones!$AB$54),UPPER(TEXT(EDATE($D142,Milestones!$AA$54),"dd mmm yy"))&amp;" "&amp;Milestones!$AB$54&amp;" "&amp;Milestones!$AC$54&amp;";  ","")&amp;IF(AND(EDATE($D142,Milestones!$AA$55)&lt;=AsOfDate,IF($R142=0,$X142,IF(AND($T142&lt;&gt;"",EDATE($D142,Milestones!$AA$55)&gt;=$T142),$W142,IF(AND($S142&lt;&gt;"",EDATE($D142,Milestones!$AA$55)&gt;=$S142),$V142,$U142)))=Milestones!$AB$55),UPPER(TEXT(EDATE($D142,Milestones!$AA$55),"dd mmm yy"))&amp;" "&amp;Milestones!$AB$55&amp;" "&amp;Milestones!$AC$55&amp;";  ","")&amp;IF(AND(EDATE($D142,Milestones!$AA$56)&lt;=AsOfDate,IF($R142=0,$X142,IF(AND($T142&lt;&gt;"",EDATE($D142,Milestones!$AA$56)&gt;=$T142),$W142,IF(AND($S142&lt;&gt;"",EDATE($D142,Milestones!$AA$56)&gt;=$S142),$V142,$U142)))=Milestones!$AB$56),UPPER(TEXT(EDATE($D142,Milestones!$AA$56),"dd mmm yy"))&amp;" "&amp;Milestones!$AB$56&amp;" "&amp;Milestones!$AC$56&amp;";  ","")&amp;IF(AND(EDATE($D142,Milestones!$AA$57)&lt;=AsOfDate,IF($R142=0,$X142,IF(AND($T142&lt;&gt;"",EDATE($D142,Milestones!$AA$57)&gt;=$T142),$W142,IF(AND($S142&lt;&gt;"",EDATE($D142,Milestones!$AA$57)&gt;=$S142),$V142,$U142)))=Milestones!$AB$57),UPPER(TEXT(EDATE($D142,Milestones!$AA$57),"dd mmm yy"))&amp;" "&amp;Milestones!$AB$57&amp;" "&amp;Milestones!$AC$57&amp;";  ","")&amp;IF(AND(EDATE($D142,Milestones!$AA$58)&lt;=AsOfDate,IF($R142=0,$X142,IF(AND($T142&lt;&gt;"",EDATE($D142,Milestones!$AA$58)&gt;=$T142),$W142,IF(AND($S142&lt;&gt;"",EDATE($D142,Milestones!$AA$58)&gt;=$S142),$V142,$U142)))=Milestones!$AB$58),UPPER(TEXT(EDATE($D142,Milestones!$AA$58),"dd mmm yy"))&amp;" "&amp;Milestones!$AB$58&amp;" "&amp;Milestones!$AC$58&amp;";  ","")&amp;IF(AND(EDATE($D142,Milestones!$AA$59)&lt;=AsOfDate,IF($R142=0,$X142,IF(AND($T142&lt;&gt;"",EDATE($D142,Milestones!$AA$59)&gt;=$T142),$W142,IF(AND($S142&lt;&gt;"",EDATE($D142,Milestones!$AA$59)&gt;=$S142),$V142,$U142)))=Milestones!$AB$59),UPPER(TEXT(EDATE($D142,Milestones!$AA$59),"dd mmm yy"))&amp;" "&amp;Milestones!$AB$59&amp;" "&amp;Milestones!$AC$59&amp;";  ",""))</f>
        <v/>
      </c>
      <c r="K142" s="0" t="str">
        <f aca="false">IF(OR($A142="",$D142=""),"",IF(AND(EDATE($D142,Milestones!$AA$60)&lt;=AsOfDate,IF($R142=0,$X142,IF(AND($T142&lt;&gt;"",EDATE($D142,Milestones!$AA$60)&gt;=$T142),$W142,IF(AND($S142&lt;&gt;"",EDATE($D142,Milestones!$AA$60)&gt;=$S142),$V142,$U142)))=Milestones!$AB$60),UPPER(TEXT(EDATE($D142,Milestones!$AA$60),"dd mmm yy"))&amp;" "&amp;Milestones!$AB$60&amp;" "&amp;Milestones!$AC$60&amp;";  ","")&amp;IF(AND(EDATE($D142,Milestones!$AA$61)&lt;=AsOfDate,IF($R142=0,$X142,IF(AND($T142&lt;&gt;"",EDATE($D142,Milestones!$AA$61)&gt;=$T142),$W142,IF(AND($S142&lt;&gt;"",EDATE($D142,Milestones!$AA$61)&gt;=$S142),$V142,$U142)))=Milestones!$AB$61),UPPER(TEXT(EDATE($D142,Milestones!$AA$61),"dd mmm yy"))&amp;" "&amp;Milestones!$AB$61&amp;" "&amp;Milestones!$AC$61&amp;";  ","")&amp;IF(AND(EDATE($D142,Milestones!$AA$62)&lt;=AsOfDate,IF($R142=0,$X142,IF(AND($T142&lt;&gt;"",EDATE($D142,Milestones!$AA$62)&gt;=$T142),$W142,IF(AND($S142&lt;&gt;"",EDATE($D142,Milestones!$AA$62)&gt;=$S142),$V142,$U142)))=Milestones!$AB$62),UPPER(TEXT(EDATE($D142,Milestones!$AA$62),"dd mmm yy"))&amp;" "&amp;Milestones!$AB$62&amp;" "&amp;Milestones!$AC$62&amp;";  ","")&amp;IF(AND(EDATE($D142,Milestones!$AA$63)&lt;=AsOfDate,IF($R142=0,$X142,IF(AND($T142&lt;&gt;"",EDATE($D142,Milestones!$AA$63)&gt;=$T142),$W142,IF(AND($S142&lt;&gt;"",EDATE($D142,Milestones!$AA$63)&gt;=$S142),$V142,$U142)))=Milestones!$AB$63),UPPER(TEXT(EDATE($D142,Milestones!$AA$63),"dd mmm yy"))&amp;" "&amp;Milestones!$AB$63&amp;" "&amp;Milestones!$AC$63&amp;";  ","")&amp;IF(AND(EDATE($D142,Milestones!$AA$64)&lt;=AsOfDate,IF($R142=0,$X142,IF(AND($T142&lt;&gt;"",EDATE($D142,Milestones!$AA$64)&gt;=$T142),$W142,IF(AND($S142&lt;&gt;"",EDATE($D142,Milestones!$AA$64)&gt;=$S142),$V142,$U142)))=Milestones!$AB$64),UPPER(TEXT(EDATE($D142,Milestones!$AA$64),"dd mmm yy"))&amp;" "&amp;Milestones!$AB$64&amp;" "&amp;Milestones!$AC$64&amp;";  ","")&amp;IF(AND(EDATE($D142,Milestones!$AA$65)&lt;=AsOfDate,IF($R142=0,$X142,IF(AND($T142&lt;&gt;"",EDATE($D142,Milestones!$AA$65)&gt;=$T142),$W142,IF(AND($S142&lt;&gt;"",EDATE($D142,Milestones!$AA$65)&gt;=$S142),$V142,$U142)))=Milestones!$AB$65),UPPER(TEXT(EDATE($D142,Milestones!$AA$65),"dd mmm yy"))&amp;" "&amp;Milestones!$AB$65&amp;" "&amp;Milestones!$AC$65&amp;";  ","")&amp;IF(AND(EDATE($D142,Milestones!$AA$66)&lt;=AsOfDate,IF($R142=0,$X142,IF(AND($T142&lt;&gt;"",EDATE($D142,Milestones!$AA$66)&gt;=$T142),$W142,IF(AND($S142&lt;&gt;"",EDATE($D142,Milestones!$AA$66)&gt;=$S142),$V142,$U142)))=Milestones!$AB$66),UPPER(TEXT(EDATE($D142,Milestones!$AA$66),"dd mmm yy"))&amp;" "&amp;Milestones!$AB$66&amp;" "&amp;Milestones!$AC$66&amp;";  ","")&amp;IF(AND(EDATE($D142,Milestones!$AA$67)&lt;=AsOfDate,IF($R142=0,$X142,IF(AND($T142&lt;&gt;"",EDATE($D142,Milestones!$AA$67)&gt;=$T142),$W142,IF(AND($S142&lt;&gt;"",EDATE($D142,Milestones!$AA$67)&gt;=$S142),$V142,$U142)))=Milestones!$AB$67),UPPER(TEXT(EDATE($D142,Milestones!$AA$67),"dd mmm yy"))&amp;" "&amp;Milestones!$AB$67&amp;" "&amp;Milestones!$AC$67&amp;";  ","")&amp;IF(AND(EDATE($D142,Milestones!$AA$68)&lt;=AsOfDate,IF($R142=0,$X142,IF(AND($T142&lt;&gt;"",EDATE($D142,Milestones!$AA$68)&gt;=$T142),$W142,IF(AND($S142&lt;&gt;"",EDATE($D142,Milestones!$AA$68)&gt;=$S142),$V142,$U142)))=Milestones!$AB$68),UPPER(TEXT(EDATE($D142,Milestones!$AA$68),"dd mmm yy"))&amp;" "&amp;Milestones!$AB$68&amp;" "&amp;Milestones!$AC$68&amp;";  ","")&amp;IF(AND(EDATE($D142,Milestones!$AA$69)&lt;=AsOfDate,IF($R142=0,$X142,IF(AND($T142&lt;&gt;"",EDATE($D142,Milestones!$AA$69)&gt;=$T142),$W142,IF(AND($S142&lt;&gt;"",EDATE($D142,Milestones!$AA$69)&gt;=$S142),$V142,$U142)))=Milestones!$AB$69),UPPER(TEXT(EDATE($D142,Milestones!$AA$69),"dd mmm yy"))&amp;" "&amp;Milestones!$AB$69&amp;" "&amp;Milestones!$AC$69&amp;";  ","")&amp;IF(AND(EDATE($D142,Milestones!$AA$70)&lt;=AsOfDate,IF($R142=0,$X142,IF(AND($T142&lt;&gt;"",EDATE($D142,Milestones!$AA$70)&gt;=$T142),$W142,IF(AND($S142&lt;&gt;"",EDATE($D142,Milestones!$AA$70)&gt;=$S142),$V142,$U142)))=Milestones!$AB$70),UPPER(TEXT(EDATE($D142,Milestones!$AA$70),"dd mmm yy"))&amp;" "&amp;Milestones!$AB$70&amp;" "&amp;Milestones!$AC$70&amp;";  ","")&amp;IF(AND(EDATE($D142,Milestones!$AA$71)&lt;=AsOfDate,IF($R142=0,$X142,IF(AND($T142&lt;&gt;"",EDATE($D142,Milestones!$AA$71)&gt;=$T142),$W142,IF(AND($S142&lt;&gt;"",EDATE($D142,Milestones!$AA$71)&gt;=$S142),$V142,$U142)))=Milestones!$AB$71),UPPER(TEXT(EDATE($D142,Milestones!$AA$71),"dd mmm yy"))&amp;" "&amp;Milestones!$AB$71&amp;" "&amp;Milestones!$AC$71&amp;";  ","")&amp;IF(AND(EDATE($D142,Milestones!$AA$72)&lt;=AsOfDate,IF($R142=0,$X142,IF(AND($T142&lt;&gt;"",EDATE($D142,Milestones!$AA$72)&gt;=$T142),$W142,IF(AND($S142&lt;&gt;"",EDATE($D142,Milestones!$AA$72)&gt;=$S142),$V142,$U142)))=Milestones!$AB$72),UPPER(TEXT(EDATE($D142,Milestones!$AA$72),"dd mmm yy"))&amp;" "&amp;Milestones!$AB$72&amp;" "&amp;Milestones!$AC$72&amp;";  ","")&amp;IF(AND(EDATE($D142,Milestones!$AA$73)&lt;=AsOfDate,IF($R142=0,$X142,IF(AND($T142&lt;&gt;"",EDATE($D142,Milestones!$AA$73)&gt;=$T142),$W142,IF(AND($S142&lt;&gt;"",EDATE($D142,Milestones!$AA$73)&gt;=$S142),$V142,$U142)))=Milestones!$AB$73),UPPER(TEXT(EDATE($D142,Milestones!$AA$73),"dd mmm yy"))&amp;" "&amp;Milestones!$AB$73&amp;" "&amp;Milestones!$AC$73&amp;";  ","")&amp;IF(AND(EDATE($D142,Milestones!$AA$74)&lt;=AsOfDate,IF($R142=0,$X142,IF(AND($T142&lt;&gt;"",EDATE($D142,Milestones!$AA$74)&gt;=$T142),$W142,IF(AND($S142&lt;&gt;"",EDATE($D142,Milestones!$AA$74)&gt;=$S142),$V142,$U142)))=Milestones!$AB$74),UPPER(TEXT(EDATE($D142,Milestones!$AA$74),"dd mmm yy"))&amp;" "&amp;Milestones!$AB$74&amp;" "&amp;Milestones!$AC$74&amp;";  ","")&amp;IF(AND(EDATE($D142,Milestones!$AA$75)&lt;=AsOfDate,IF($R142=0,$X142,IF(AND($T142&lt;&gt;"",EDATE($D142,Milestones!$AA$75)&gt;=$T142),$W142,IF(AND($S142&lt;&gt;"",EDATE($D142,Milestones!$AA$75)&gt;=$S142),$V142,$U142)))=Milestones!$AB$75),UPPER(TEXT(EDATE($D142,Milestones!$AA$75),"dd mmm yy"))&amp;" "&amp;Milestones!$AB$75&amp;" "&amp;Milestones!$AC$75&amp;";  ","")&amp;IF(AND(EDATE($D142,Milestones!$AA$76)&lt;=AsOfDate,IF($R142=0,$X142,IF(AND($T142&lt;&gt;"",EDATE($D142,Milestones!$AA$76)&gt;=$T142),$W142,IF(AND($S142&lt;&gt;"",EDATE($D142,Milestones!$AA$76)&gt;=$S142),$V142,$U142)))=Milestones!$AB$76),UPPER(TEXT(EDATE($D142,Milestones!$AA$76),"dd mmm yy"))&amp;" "&amp;Milestones!$AB$76&amp;" "&amp;Milestones!$AC$76&amp;";  ","")&amp;IF(AND(EDATE($D142,Milestones!$AA$77)&lt;=AsOfDate,IF($R142=0,$X142,IF(AND($T142&lt;&gt;"",EDATE($D142,Milestones!$AA$77)&gt;=$T142),$W142,IF(AND($S142&lt;&gt;"",EDATE($D142,Milestones!$AA$77)&gt;=$S142),$V142,$U142)))=Milestones!$AB$77),UPPER(TEXT(EDATE($D142,Milestones!$AA$77),"dd mmm yy"))&amp;" "&amp;Milestones!$AB$77&amp;" "&amp;Milestones!$AC$77&amp;";  ","")&amp;IF(AND(EDATE($D142,Milestones!$AA$78)&lt;=AsOfDate,IF($R142=0,$X142,IF(AND($T142&lt;&gt;"",EDATE($D142,Milestones!$AA$78)&gt;=$T142),$W142,IF(AND($S142&lt;&gt;"",EDATE($D142,Milestones!$AA$78)&gt;=$S142),$V142,$U142)))=Milestones!$AB$78),UPPER(TEXT(EDATE($D142,Milestones!$AA$78),"dd mmm yy"))&amp;" "&amp;Milestones!$AB$78&amp;" "&amp;Milestones!$AC$78&amp;";  ","")&amp;IF(AND(EDATE($D142,Milestones!$AA$79)&lt;=AsOfDate,IF($R142=0,$X142,IF(AND($T142&lt;&gt;"",EDATE($D142,Milestones!$AA$79)&gt;=$T142),$W142,IF(AND($S142&lt;&gt;"",EDATE($D142,Milestones!$AA$79)&gt;=$S142),$V142,$U142)))=Milestones!$AB$79),UPPER(TEXT(EDATE($D142,Milestones!$AA$79),"dd mmm yy"))&amp;" "&amp;Milestones!$AB$79&amp;" "&amp;Milestones!$AC$79&amp;";  ",""))</f>
        <v/>
      </c>
      <c r="L142" s="0" t="str">
        <f aca="false">IF(OR($A142="",$D142=""),"",IF(AND(EDATE($D142,Milestones!$AA$80)&lt;=AsOfDate,IF($R142=0,$X142,IF(AND($T142&lt;&gt;"",EDATE($D142,Milestones!$AA$80)&gt;=$T142),$W142,IF(AND($S142&lt;&gt;"",EDATE($D142,Milestones!$AA$80)&gt;=$S142),$V142,$U142)))=Milestones!$AB$80),UPPER(TEXT(EDATE($D142,Milestones!$AA$80),"dd mmm yy"))&amp;" "&amp;Milestones!$AB$80&amp;" "&amp;Milestones!$AC$80&amp;";  ","")&amp;IF(AND(EDATE($D142,Milestones!$AA$81)&lt;=AsOfDate,IF($R142=0,$X142,IF(AND($T142&lt;&gt;"",EDATE($D142,Milestones!$AA$81)&gt;=$T142),$W142,IF(AND($S142&lt;&gt;"",EDATE($D142,Milestones!$AA$81)&gt;=$S142),$V142,$U142)))=Milestones!$AB$81),UPPER(TEXT(EDATE($D142,Milestones!$AA$81),"dd mmm yy"))&amp;" "&amp;Milestones!$AB$81&amp;" "&amp;Milestones!$AC$81&amp;";  ","")&amp;IF(AND(EDATE($D142,Milestones!$AA$82)&lt;=AsOfDate,IF($R142=0,$X142,IF(AND($T142&lt;&gt;"",EDATE($D142,Milestones!$AA$82)&gt;=$T142),$W142,IF(AND($S142&lt;&gt;"",EDATE($D142,Milestones!$AA$82)&gt;=$S142),$V142,$U142)))=Milestones!$AB$82),UPPER(TEXT(EDATE($D142,Milestones!$AA$82),"dd mmm yy"))&amp;" "&amp;Milestones!$AB$82&amp;" "&amp;Milestones!$AC$82&amp;";  ","")&amp;IF(AND(EDATE($D142,Milestones!$AA$83)&lt;=AsOfDate,IF($R142=0,$X142,IF(AND($T142&lt;&gt;"",EDATE($D142,Milestones!$AA$83)&gt;=$T142),$W142,IF(AND($S142&lt;&gt;"",EDATE($D142,Milestones!$AA$83)&gt;=$S142),$V142,$U142)))=Milestones!$AB$83),UPPER(TEXT(EDATE($D142,Milestones!$AA$83),"dd mmm yy"))&amp;" "&amp;Milestones!$AB$83&amp;" "&amp;Milestones!$AC$83&amp;";  ","")&amp;IF(AND(EDATE($D142,Milestones!$AA$84)&lt;=AsOfDate,IF($R142=0,$X142,IF(AND($T142&lt;&gt;"",EDATE($D142,Milestones!$AA$84)&gt;=$T142),$W142,IF(AND($S142&lt;&gt;"",EDATE($D142,Milestones!$AA$84)&gt;=$S142),$V142,$U142)))=Milestones!$AB$84),UPPER(TEXT(EDATE($D142,Milestones!$AA$84),"dd mmm yy"))&amp;" "&amp;Milestones!$AB$84&amp;" "&amp;Milestones!$AC$84&amp;";  ","")&amp;IF(AND(EDATE($D142,Milestones!$AA$85)&lt;=AsOfDate,IF($R142=0,$X142,IF(AND($T142&lt;&gt;"",EDATE($D142,Milestones!$AA$85)&gt;=$T142),$W142,IF(AND($S142&lt;&gt;"",EDATE($D142,Milestones!$AA$85)&gt;=$S142),$V142,$U142)))=Milestones!$AB$85),UPPER(TEXT(EDATE($D142,Milestones!$AA$85),"dd mmm yy"))&amp;" "&amp;Milestones!$AB$85&amp;" "&amp;Milestones!$AC$85&amp;";  ","")&amp;IF(AND(EDATE($D142,Milestones!$AA$86)&lt;=AsOfDate,IF($R142=0,$X142,IF(AND($T142&lt;&gt;"",EDATE($D142,Milestones!$AA$86)&gt;=$T142),$W142,IF(AND($S142&lt;&gt;"",EDATE($D142,Milestones!$AA$86)&gt;=$S142),$V142,$U142)))=Milestones!$AB$86),UPPER(TEXT(EDATE($D142,Milestones!$AA$86),"dd mmm yy"))&amp;" "&amp;Milestones!$AB$86&amp;" "&amp;Milestones!$AC$86&amp;";  ","")&amp;IF(AND(EDATE($D142,Milestones!$AA$87)&lt;=AsOfDate,IF($R142=0,$X142,IF(AND($T142&lt;&gt;"",EDATE($D142,Milestones!$AA$87)&gt;=$T142),$W142,IF(AND($S142&lt;&gt;"",EDATE($D142,Milestones!$AA$87)&gt;=$S142),$V142,$U142)))=Milestones!$AB$87),UPPER(TEXT(EDATE($D142,Milestones!$AA$87),"dd mmm yy"))&amp;" "&amp;Milestones!$AB$87&amp;" "&amp;Milestones!$AC$87&amp;";  ","")&amp;IF(AND(EDATE($D142,Milestones!$AA$88)&lt;=AsOfDate,IF($R142=0,$X142,IF(AND($T142&lt;&gt;"",EDATE($D142,Milestones!$AA$88)&gt;=$T142),$W142,IF(AND($S142&lt;&gt;"",EDATE($D142,Milestones!$AA$88)&gt;=$S142),$V142,$U142)))=Milestones!$AB$88),UPPER(TEXT(EDATE($D142,Milestones!$AA$88),"dd mmm yy"))&amp;" "&amp;Milestones!$AB$88&amp;" "&amp;Milestones!$AC$88&amp;";  ","")&amp;IF(AND(EDATE($D142,Milestones!$AA$89)&lt;=AsOfDate,IF($R142=0,$X142,IF(AND($T142&lt;&gt;"",EDATE($D142,Milestones!$AA$89)&gt;=$T142),$W142,IF(AND($S142&lt;&gt;"",EDATE($D142,Milestones!$AA$89)&gt;=$S142),$V142,$U142)))=Milestones!$AB$89),UPPER(TEXT(EDATE($D142,Milestones!$AA$89),"dd mmm yy"))&amp;" "&amp;Milestones!$AB$89&amp;" "&amp;Milestones!$AC$89&amp;";  ","")&amp;IF(AND(EDATE($D142,Milestones!$AA$90)&lt;=AsOfDate,IF($R142=0,$X142,IF(AND($T142&lt;&gt;"",EDATE($D142,Milestones!$AA$90)&gt;=$T142),$W142,IF(AND($S142&lt;&gt;"",EDATE($D142,Milestones!$AA$90)&gt;=$S142),$V142,$U142)))=Milestones!$AB$90),UPPER(TEXT(EDATE($D142,Milestones!$AA$90),"dd mmm yy"))&amp;" "&amp;Milestones!$AB$90&amp;" "&amp;Milestones!$AC$90&amp;";  ","")&amp;IF(AND(EDATE($D142,Milestones!$AA$91)&lt;=AsOfDate,IF($R142=0,$X142,IF(AND($T142&lt;&gt;"",EDATE($D142,Milestones!$AA$91)&gt;=$T142),$W142,IF(AND($S142&lt;&gt;"",EDATE($D142,Milestones!$AA$91)&gt;=$S142),$V142,$U142)))=Milestones!$AB$91),UPPER(TEXT(EDATE($D142,Milestones!$AA$91),"dd mmm yy"))&amp;" "&amp;Milestones!$AB$91&amp;" "&amp;Milestones!$AC$91&amp;";  ","")&amp;IF(AND(EDATE($D142,Milestones!$AA$92)&lt;=AsOfDate,IF($R142=0,$X142,IF(AND($T142&lt;&gt;"",EDATE($D142,Milestones!$AA$92)&gt;=$T142),$W142,IF(AND($S142&lt;&gt;"",EDATE($D142,Milestones!$AA$92)&gt;=$S142),$V142,$U142)))=Milestones!$AB$92),UPPER(TEXT(EDATE($D142,Milestones!$AA$92),"dd mmm yy"))&amp;" "&amp;Milestones!$AB$92&amp;" "&amp;Milestones!$AC$92&amp;";  ","")&amp;IF(AND(EDATE($D142,Milestones!$AA$93)&lt;=AsOfDate,IF($R142=0,$X142,IF(AND($T142&lt;&gt;"",EDATE($D142,Milestones!$AA$93)&gt;=$T142),$W142,IF(AND($S142&lt;&gt;"",EDATE($D142,Milestones!$AA$93)&gt;=$S142),$V142,$U142)))=Milestones!$AB$93),UPPER(TEXT(EDATE($D142,Milestones!$AA$93),"dd mmm yy"))&amp;" "&amp;Milestones!$AB$93&amp;" "&amp;Milestones!$AC$93&amp;";  ","")&amp;IF(AND(EDATE($D142,Milestones!$AA$94)&lt;=AsOfDate,IF($R142=0,$X142,IF(AND($T142&lt;&gt;"",EDATE($D142,Milestones!$AA$94)&gt;=$T142),$W142,IF(AND($S142&lt;&gt;"",EDATE($D142,Milestones!$AA$94)&gt;=$S142),$V142,$U142)))=Milestones!$AB$94),UPPER(TEXT(EDATE($D142,Milestones!$AA$94),"dd mmm yy"))&amp;" "&amp;Milestones!$AB$94&amp;" "&amp;Milestones!$AC$94&amp;";  ","")&amp;IF(AND(EDATE($D142,Milestones!$AA$95)&lt;=AsOfDate,IF($R142=0,$X142,IF(AND($T142&lt;&gt;"",EDATE($D142,Milestones!$AA$95)&gt;=$T142),$W142,IF(AND($S142&lt;&gt;"",EDATE($D142,Milestones!$AA$95)&gt;=$S142),$V142,$U142)))=Milestones!$AB$95),UPPER(TEXT(EDATE($D142,Milestones!$AA$95),"dd mmm yy"))&amp;" "&amp;Milestones!$AB$95&amp;" "&amp;Milestones!$AC$95&amp;";  ","")&amp;IF(AND(EDATE($D142,Milestones!$AA$96)&lt;=AsOfDate,IF($R142=0,$X142,IF(AND($T142&lt;&gt;"",EDATE($D142,Milestones!$AA$96)&gt;=$T142),$W142,IF(AND($S142&lt;&gt;"",EDATE($D142,Milestones!$AA$96)&gt;=$S142),$V142,$U142)))=Milestones!$AB$96),UPPER(TEXT(EDATE($D142,Milestones!$AA$96),"dd mmm yy"))&amp;" "&amp;Milestones!$AB$96&amp;" "&amp;Milestones!$AC$96&amp;";  ","")&amp;IF(AND(EDATE($D142,Milestones!$AA$97)&lt;=AsOfDate,IF($R142=0,$X142,IF(AND($T142&lt;&gt;"",EDATE($D142,Milestones!$AA$97)&gt;=$T142),$W142,IF(AND($S142&lt;&gt;"",EDATE($D142,Milestones!$AA$97)&gt;=$S142),$V142,$U142)))=Milestones!$AB$97),UPPER(TEXT(EDATE($D142,Milestones!$AA$97),"dd mmm yy"))&amp;" "&amp;Milestones!$AB$97&amp;" "&amp;Milestones!$AC$97&amp;";  ","")&amp;IF(AND(EDATE($D142,Milestones!$AA$98)&lt;=AsOfDate,IF($R142=0,$X142,IF(AND($T142&lt;&gt;"",EDATE($D142,Milestones!$AA$98)&gt;=$T142),$W142,IF(AND($S142&lt;&gt;"",EDATE($D142,Milestones!$AA$98)&gt;=$S142),$V142,$U142)))=Milestones!$AB$98),UPPER(TEXT(EDATE($D142,Milestones!$AA$98),"dd mmm yy"))&amp;" "&amp;Milestones!$AB$98&amp;" "&amp;Milestones!$AC$98&amp;";  ","")&amp;IF(AND(EDATE($D142,Milestones!$AA$99)&lt;=AsOfDate,IF($R142=0,$X142,IF(AND($T142&lt;&gt;"",EDATE($D142,Milestones!$AA$99)&gt;=$T142),$W142,IF(AND($S142&lt;&gt;"",EDATE($D142,Milestones!$AA$99)&gt;=$S142),$V142,$U142)))=Milestones!$AB$99),UPPER(TEXT(EDATE($D142,Milestones!$AA$99),"dd mmm yy"))&amp;" "&amp;Milestones!$AB$99&amp;" "&amp;Milestones!$AC$99&amp;";  ",""))</f>
        <v/>
      </c>
      <c r="M142" s="0" t="str">
        <f aca="false">IF(OR($A142="",$D142=""),"",IF(AND(EDATE($D142,Milestones!$AA$100)&lt;=AsOfDate,IF($R142=0,$X142,IF(AND($T142&lt;&gt;"",EDATE($D142,Milestones!$AA$100)&gt;=$T142),$W142,IF(AND($S142&lt;&gt;"",EDATE($D142,Milestones!$AA$100)&gt;=$S142),$V142,$U142)))=Milestones!$AB$100),UPPER(TEXT(EDATE($D142,Milestones!$AA$100),"dd mmm yy"))&amp;" "&amp;Milestones!$AB$100&amp;" "&amp;Milestones!$AC$100&amp;";  ","")&amp;IF(AND(EDATE($D142,Milestones!$AA$101)&lt;=AsOfDate,IF($R142=0,$X142,IF(AND($T142&lt;&gt;"",EDATE($D142,Milestones!$AA$101)&gt;=$T142),$W142,IF(AND($S142&lt;&gt;"",EDATE($D142,Milestones!$AA$101)&gt;=$S142),$V142,$U142)))=Milestones!$AB$101),UPPER(TEXT(EDATE($D142,Milestones!$AA$101),"dd mmm yy"))&amp;" "&amp;Milestones!$AB$101&amp;" "&amp;Milestones!$AC$101&amp;";  ","")&amp;IF(AND(EDATE($D142,Milestones!$AA$102)&lt;=AsOfDate,IF($R142=0,$X142,IF(AND($T142&lt;&gt;"",EDATE($D142,Milestones!$AA$102)&gt;=$T142),$W142,IF(AND($S142&lt;&gt;"",EDATE($D142,Milestones!$AA$102)&gt;=$S142),$V142,$U142)))=Milestones!$AB$102),UPPER(TEXT(EDATE($D142,Milestones!$AA$102),"dd mmm yy"))&amp;" "&amp;Milestones!$AB$102&amp;" "&amp;Milestones!$AC$102&amp;";  ","")&amp;IF(AND(EDATE($D142,Milestones!$AA$103)&lt;=AsOfDate,IF($R142=0,$X142,IF(AND($T142&lt;&gt;"",EDATE($D142,Milestones!$AA$103)&gt;=$T142),$W142,IF(AND($S142&lt;&gt;"",EDATE($D142,Milestones!$AA$103)&gt;=$S142),$V142,$U142)))=Milestones!$AB$103),UPPER(TEXT(EDATE($D142,Milestones!$AA$103),"dd mmm yy"))&amp;" "&amp;Milestones!$AB$103&amp;" "&amp;Milestones!$AC$103&amp;";  ","")&amp;IF(AND(EDATE($D142,Milestones!$AA$104)&lt;=AsOfDate,IF($R142=0,$X142,IF(AND($T142&lt;&gt;"",EDATE($D142,Milestones!$AA$104)&gt;=$T142),$W142,IF(AND($S142&lt;&gt;"",EDATE($D142,Milestones!$AA$104)&gt;=$S142),$V142,$U142)))=Milestones!$AB$104),UPPER(TEXT(EDATE($D142,Milestones!$AA$104),"dd mmm yy"))&amp;" "&amp;Milestones!$AB$104&amp;" "&amp;Milestones!$AC$104&amp;";  ","")&amp;IF(AND(EDATE($D142,Milestones!$AA$105)&lt;=AsOfDate,IF($R142=0,$X142,IF(AND($T142&lt;&gt;"",EDATE($D142,Milestones!$AA$105)&gt;=$T142),$W142,IF(AND($S142&lt;&gt;"",EDATE($D142,Milestones!$AA$105)&gt;=$S142),$V142,$U142)))=Milestones!$AB$105),UPPER(TEXT(EDATE($D142,Milestones!$AA$105),"dd mmm yy"))&amp;" "&amp;Milestones!$AB$105&amp;" "&amp;Milestones!$AC$105&amp;";  ","")&amp;IF(AND(EDATE($D142,Milestones!$AA$106)&lt;=AsOfDate,IF($R142=0,$X142,IF(AND($T142&lt;&gt;"",EDATE($D142,Milestones!$AA$106)&gt;=$T142),$W142,IF(AND($S142&lt;&gt;"",EDATE($D142,Milestones!$AA$106)&gt;=$S142),$V142,$U142)))=Milestones!$AB$106),UPPER(TEXT(EDATE($D142,Milestones!$AA$106),"dd mmm yy"))&amp;" "&amp;Milestones!$AB$106&amp;" "&amp;Milestones!$AC$106&amp;";  ","")&amp;IF(AND(EDATE($D142,Milestones!$AA$107)&lt;=AsOfDate,IF($R142=0,$X142,IF(AND($T142&lt;&gt;"",EDATE($D142,Milestones!$AA$107)&gt;=$T142),$W142,IF(AND($S142&lt;&gt;"",EDATE($D142,Milestones!$AA$107)&gt;=$S142),$V142,$U142)))=Milestones!$AB$107),UPPER(TEXT(EDATE($D142,Milestones!$AA$107),"dd mmm yy"))&amp;" "&amp;Milestones!$AB$107&amp;" "&amp;Milestones!$AC$107&amp;";  ","")&amp;IF(AND(EDATE($D142,Milestones!$AA$108)&lt;=AsOfDate,IF($R142=0,$X142,IF(AND($T142&lt;&gt;"",EDATE($D142,Milestones!$AA$108)&gt;=$T142),$W142,IF(AND($S142&lt;&gt;"",EDATE($D142,Milestones!$AA$108)&gt;=$S142),$V142,$U142)))=Milestones!$AB$108),UPPER(TEXT(EDATE($D142,Milestones!$AA$108),"dd mmm yy"))&amp;" "&amp;Milestones!$AB$108&amp;" "&amp;Milestones!$AC$108&amp;";  ","")&amp;IF(AND(EDATE($D142,Milestones!$AA$109)&lt;=AsOfDate,IF($R142=0,$X142,IF(AND($T142&lt;&gt;"",EDATE($D142,Milestones!$AA$109)&gt;=$T142),$W142,IF(AND($S142&lt;&gt;"",EDATE($D142,Milestones!$AA$109)&gt;=$S142),$V142,$U142)))=Milestones!$AB$109),UPPER(TEXT(EDATE($D142,Milestones!$AA$109),"dd mmm yy"))&amp;" "&amp;Milestones!$AB$109&amp;" "&amp;Milestones!$AC$109&amp;";  ","")&amp;IF(AND(EDATE($D142,Milestones!$AA$110)&lt;=AsOfDate,IF($R142=0,$X142,IF(AND($T142&lt;&gt;"",EDATE($D142,Milestones!$AA$110)&gt;=$T142),$W142,IF(AND($S142&lt;&gt;"",EDATE($D142,Milestones!$AA$110)&gt;=$S142),$V142,$U142)))=Milestones!$AB$110),UPPER(TEXT(EDATE($D142,Milestones!$AA$110),"dd mmm yy"))&amp;" "&amp;Milestones!$AB$110&amp;" "&amp;Milestones!$AC$110&amp;";  ","")&amp;IF(AND(EDATE($D142,Milestones!$AA$111)&lt;=AsOfDate,IF($R142=0,$X142,IF(AND($T142&lt;&gt;"",EDATE($D142,Milestones!$AA$111)&gt;=$T142),$W142,IF(AND($S142&lt;&gt;"",EDATE($D142,Milestones!$AA$111)&gt;=$S142),$V142,$U142)))=Milestones!$AB$111),UPPER(TEXT(EDATE($D142,Milestones!$AA$111),"dd mmm yy"))&amp;" "&amp;Milestones!$AB$111&amp;" "&amp;Milestones!$AC$111&amp;";  ","")&amp;IF(AND(EDATE($D142,Milestones!$AA$112)&lt;=AsOfDate,IF($R142=0,$X142,IF(AND($T142&lt;&gt;"",EDATE($D142,Milestones!$AA$112)&gt;=$T142),$W142,IF(AND($S142&lt;&gt;"",EDATE($D142,Milestones!$AA$112)&gt;=$S142),$V142,$U142)))=Milestones!$AB$112),UPPER(TEXT(EDATE($D142,Milestones!$AA$112),"dd mmm yy"))&amp;" "&amp;Milestones!$AB$112&amp;" "&amp;Milestones!$AC$112&amp;";  ","")&amp;IF(AND(EDATE($D142,Milestones!$AA$113)&lt;=AsOfDate,IF($R142=0,$X142,IF(AND($T142&lt;&gt;"",EDATE($D142,Milestones!$AA$113)&gt;=$T142),$W142,IF(AND($S142&lt;&gt;"",EDATE($D142,Milestones!$AA$113)&gt;=$S142),$V142,$U142)))=Milestones!$AB$113),UPPER(TEXT(EDATE($D142,Milestones!$AA$113),"dd mmm yy"))&amp;" "&amp;Milestones!$AB$113&amp;" "&amp;Milestones!$AC$113&amp;";  ","")&amp;IF(AND(EDATE($D142,Milestones!$AA$114)&lt;=AsOfDate,IF($R142=0,$X142,IF(AND($T142&lt;&gt;"",EDATE($D142,Milestones!$AA$114)&gt;=$T142),$W142,IF(AND($S142&lt;&gt;"",EDATE($D142,Milestones!$AA$114)&gt;=$S142),$V142,$U142)))=Milestones!$AB$114),UPPER(TEXT(EDATE($D142,Milestones!$AA$114),"dd mmm yy"))&amp;" "&amp;Milestones!$AB$114&amp;" "&amp;Milestones!$AC$114&amp;";  ","")&amp;IF(AND(EDATE($D142,Milestones!$AA$115)&lt;=AsOfDate,IF($R142=0,$X142,IF(AND($T142&lt;&gt;"",EDATE($D142,Milestones!$AA$115)&gt;=$T142),$W142,IF(AND($S142&lt;&gt;"",EDATE($D142,Milestones!$AA$115)&gt;=$S142),$V142,$U142)))=Milestones!$AB$115),UPPER(TEXT(EDATE($D142,Milestones!$AA$115),"dd mmm yy"))&amp;" "&amp;Milestones!$AB$115&amp;" "&amp;Milestones!$AC$115&amp;";  ","")&amp;IF(AND(EDATE($D142,Milestones!$AA$116)&lt;=AsOfDate,IF($R142=0,$X142,IF(AND($T142&lt;&gt;"",EDATE($D142,Milestones!$AA$116)&gt;=$T142),$W142,IF(AND($S142&lt;&gt;"",EDATE($D142,Milestones!$AA$116)&gt;=$S142),$V142,$U142)))=Milestones!$AB$116),UPPER(TEXT(EDATE($D142,Milestones!$AA$116),"dd mmm yy"))&amp;" "&amp;Milestones!$AB$116&amp;" "&amp;Milestones!$AC$116&amp;";  ","")&amp;IF(AND(EDATE($D142,Milestones!$AA$117)&lt;=AsOfDate,IF($R142=0,$X142,IF(AND($T142&lt;&gt;"",EDATE($D142,Milestones!$AA$117)&gt;=$T142),$W142,IF(AND($S142&lt;&gt;"",EDATE($D142,Milestones!$AA$117)&gt;=$S142),$V142,$U142)))=Milestones!$AB$117),UPPER(TEXT(EDATE($D142,Milestones!$AA$117),"dd mmm yy"))&amp;" "&amp;Milestones!$AB$117&amp;" "&amp;Milestones!$AC$117&amp;";  ","")&amp;IF(AND(EDATE($D142,Milestones!$AA$118)&lt;=AsOfDate,IF($R142=0,$X142,IF(AND($T142&lt;&gt;"",EDATE($D142,Milestones!$AA$118)&gt;=$T142),$W142,IF(AND($S142&lt;&gt;"",EDATE($D142,Milestones!$AA$118)&gt;=$S142),$V142,$U142)))=Milestones!$AB$118),UPPER(TEXT(EDATE($D142,Milestones!$AA$118),"dd mmm yy"))&amp;" "&amp;Milestones!$AB$118&amp;" "&amp;Milestones!$AC$118&amp;";  ","")&amp;IF(AND(EDATE($D142,Milestones!$AA$119)&lt;=AsOfDate,IF($R142=0,$X142,IF(AND($T142&lt;&gt;"",EDATE($D142,Milestones!$AA$119)&gt;=$T142),$W142,IF(AND($S142&lt;&gt;"",EDATE($D142,Milestones!$AA$119)&gt;=$S142),$V142,$U142)))=Milestones!$AB$119),UPPER(TEXT(EDATE($D142,Milestones!$AA$119),"dd mmm yy"))&amp;" "&amp;Milestones!$AB$119&amp;" "&amp;Milestones!$AC$119&amp;";  ",""))</f>
        <v/>
      </c>
      <c r="N142" s="0" t="str">
        <f aca="false">IF(OR($A142="",$D142=""),"",IF(AND(EDATE($D142,Milestones!$AA$120)&lt;=AsOfDate,IF($R142=0,$X142,IF(AND($T142&lt;&gt;"",EDATE($D142,Milestones!$AA$120)&gt;=$T142),$W142,IF(AND($S142&lt;&gt;"",EDATE($D142,Milestones!$AA$120)&gt;=$S142),$V142,$U142)))=Milestones!$AB$120),UPPER(TEXT(EDATE($D142,Milestones!$AA$120),"dd mmm yy"))&amp;" "&amp;Milestones!$AB$120&amp;" "&amp;Milestones!$AC$120&amp;";  ","")&amp;IF(AND(EDATE($D142,Milestones!$AA$121)&lt;=AsOfDate,IF($R142=0,$X142,IF(AND($T142&lt;&gt;"",EDATE($D142,Milestones!$AA$121)&gt;=$T142),$W142,IF(AND($S142&lt;&gt;"",EDATE($D142,Milestones!$AA$121)&gt;=$S142),$V142,$U142)))=Milestones!$AB$121),UPPER(TEXT(EDATE($D142,Milestones!$AA$121),"dd mmm yy"))&amp;" "&amp;Milestones!$AB$121&amp;" "&amp;Milestones!$AC$121&amp;";  ","")&amp;IF(AND(EDATE($D142,Milestones!$AA$122)&lt;=AsOfDate,IF($R142=0,$X142,IF(AND($T142&lt;&gt;"",EDATE($D142,Milestones!$AA$122)&gt;=$T142),$W142,IF(AND($S142&lt;&gt;"",EDATE($D142,Milestones!$AA$122)&gt;=$S142),$V142,$U142)))=Milestones!$AB$122),UPPER(TEXT(EDATE($D142,Milestones!$AA$122),"dd mmm yy"))&amp;" "&amp;Milestones!$AB$122&amp;" "&amp;Milestones!$AC$122&amp;";  ","")&amp;IF(AND(EDATE($D142,Milestones!$AA$123)&lt;=AsOfDate,IF($R142=0,$X142,IF(AND($T142&lt;&gt;"",EDATE($D142,Milestones!$AA$123)&gt;=$T142),$W142,IF(AND($S142&lt;&gt;"",EDATE($D142,Milestones!$AA$123)&gt;=$S142),$V142,$U142)))=Milestones!$AB$123),UPPER(TEXT(EDATE($D142,Milestones!$AA$123),"dd mmm yy"))&amp;" "&amp;Milestones!$AB$123&amp;" "&amp;Milestones!$AC$123&amp;";  ","")&amp;IF(AND(EDATE($D142,Milestones!$AA$124)&lt;=AsOfDate,IF($R142=0,$X142,IF(AND($T142&lt;&gt;"",EDATE($D142,Milestones!$AA$124)&gt;=$T142),$W142,IF(AND($S142&lt;&gt;"",EDATE($D142,Milestones!$AA$124)&gt;=$S142),$V142,$U142)))=Milestones!$AB$124),UPPER(TEXT(EDATE($D142,Milestones!$AA$124),"dd mmm yy"))&amp;" "&amp;Milestones!$AB$124&amp;" "&amp;Milestones!$AC$124&amp;";  ","")&amp;IF(AND(EDATE($D142,Milestones!$AA$125)&lt;=AsOfDate,IF($R142=0,$X142,IF(AND($T142&lt;&gt;"",EDATE($D142,Milestones!$AA$125)&gt;=$T142),$W142,IF(AND($S142&lt;&gt;"",EDATE($D142,Milestones!$AA$125)&gt;=$S142),$V142,$U142)))=Milestones!$AB$125),UPPER(TEXT(EDATE($D142,Milestones!$AA$125),"dd mmm yy"))&amp;" "&amp;Milestones!$AB$125&amp;" "&amp;Milestones!$AC$125&amp;";  ","")&amp;IF(AND(EDATE($D142,Milestones!$AA$126)&lt;=AsOfDate,IF($R142=0,$X142,IF(AND($T142&lt;&gt;"",EDATE($D142,Milestones!$AA$126)&gt;=$T142),$W142,IF(AND($S142&lt;&gt;"",EDATE($D142,Milestones!$AA$126)&gt;=$S142),$V142,$U142)))=Milestones!$AB$126),UPPER(TEXT(EDATE($D142,Milestones!$AA$126),"dd mmm yy"))&amp;" "&amp;Milestones!$AB$126&amp;" "&amp;Milestones!$AC$126&amp;";  ","")&amp;IF(AND(EDATE($D142,Milestones!$AA$127)&lt;=AsOfDate,IF($R142=0,$X142,IF(AND($T142&lt;&gt;"",EDATE($D142,Milestones!$AA$127)&gt;=$T142),$W142,IF(AND($S142&lt;&gt;"",EDATE($D142,Milestones!$AA$127)&gt;=$S142),$V142,$U142)))=Milestones!$AB$127),UPPER(TEXT(EDATE($D142,Milestones!$AA$127),"dd mmm yy"))&amp;" "&amp;Milestones!$AB$127&amp;" "&amp;Milestones!$AC$127&amp;";  ","")&amp;IF(AND(EDATE($D142,Milestones!$AA$128)&lt;=AsOfDate,IF($R142=0,$X142,IF(AND($T142&lt;&gt;"",EDATE($D142,Milestones!$AA$128)&gt;=$T142),$W142,IF(AND($S142&lt;&gt;"",EDATE($D142,Milestones!$AA$128)&gt;=$S142),$V142,$U142)))=Milestones!$AB$128),UPPER(TEXT(EDATE($D142,Milestones!$AA$128),"dd mmm yy"))&amp;" "&amp;Milestones!$AB$128&amp;" "&amp;Milestones!$AC$128&amp;";  ","")&amp;IF(AND(EDATE($D142,Milestones!$AA$129)&lt;=AsOfDate,IF($R142=0,$X142,IF(AND($T142&lt;&gt;"",EDATE($D142,Milestones!$AA$129)&gt;=$T142),$W142,IF(AND($S142&lt;&gt;"",EDATE($D142,Milestones!$AA$129)&gt;=$S142),$V142,$U142)))=Milestones!$AB$129),UPPER(TEXT(EDATE($D142,Milestones!$AA$129),"dd mmm yy"))&amp;" "&amp;Milestones!$AB$129&amp;" "&amp;Milestones!$AC$129&amp;";  ","")&amp;IF(AND(EDATE($D142,Milestones!$AA$130)&lt;=AsOfDate,IF($R142=0,$X142,IF(AND($T142&lt;&gt;"",EDATE($D142,Milestones!$AA$130)&gt;=$T142),$W142,IF(AND($S142&lt;&gt;"",EDATE($D142,Milestones!$AA$130)&gt;=$S142),$V142,$U142)))=Milestones!$AB$130),UPPER(TEXT(EDATE($D142,Milestones!$AA$130),"dd mmm yy"))&amp;" "&amp;Milestones!$AB$130&amp;" "&amp;Milestones!$AC$130&amp;";  ","")&amp;IF(AND(EDATE($D142,Milestones!$AA$131)&lt;=AsOfDate,IF($R142=0,$X142,IF(AND($T142&lt;&gt;"",EDATE($D142,Milestones!$AA$131)&gt;=$T142),$W142,IF(AND($S142&lt;&gt;"",EDATE($D142,Milestones!$AA$131)&gt;=$S142),$V142,$U142)))=Milestones!$AB$131),UPPER(TEXT(EDATE($D142,Milestones!$AA$131),"dd mmm yy"))&amp;" "&amp;Milestones!$AB$131&amp;" "&amp;Milestones!$AC$131&amp;";  ","")&amp;IF(AND(EDATE($D142,Milestones!$AA$132)&lt;=AsOfDate,IF($R142=0,$X142,IF(AND($T142&lt;&gt;"",EDATE($D142,Milestones!$AA$132)&gt;=$T142),$W142,IF(AND($S142&lt;&gt;"",EDATE($D142,Milestones!$AA$132)&gt;=$S142),$V142,$U142)))=Milestones!$AB$132),UPPER(TEXT(EDATE($D142,Milestones!$AA$132),"dd mmm yy"))&amp;" "&amp;Milestones!$AB$132&amp;" "&amp;Milestones!$AC$132&amp;";  ","")&amp;IF(AND(EDATE($D142,Milestones!$AA$133)&lt;=AsOfDate,IF($R142=0,$X142,IF(AND($T142&lt;&gt;"",EDATE($D142,Milestones!$AA$133)&gt;=$T142),$W142,IF(AND($S142&lt;&gt;"",EDATE($D142,Milestones!$AA$133)&gt;=$S142),$V142,$U142)))=Milestones!$AB$133),UPPER(TEXT(EDATE($D142,Milestones!$AA$133),"dd mmm yy"))&amp;" "&amp;Milestones!$AB$133&amp;" "&amp;Milestones!$AC$133&amp;";  ","")&amp;IF(AND(EDATE($D142,Milestones!$AA$134)&lt;=AsOfDate,IF($R142=0,$X142,IF(AND($T142&lt;&gt;"",EDATE($D142,Milestones!$AA$134)&gt;=$T142),$W142,IF(AND($S142&lt;&gt;"",EDATE($D142,Milestones!$AA$134)&gt;=$S142),$V142,$U142)))=Milestones!$AB$134),UPPER(TEXT(EDATE($D142,Milestones!$AA$134),"dd mmm yy"))&amp;" "&amp;Milestones!$AB$134&amp;" "&amp;Milestones!$AC$134&amp;";  ","")&amp;IF(AND(EDATE($D142,Milestones!$AA$135)&lt;=AsOfDate,IF($R142=0,$X142,IF(AND($T142&lt;&gt;"",EDATE($D142,Milestones!$AA$135)&gt;=$T142),$W142,IF(AND($S142&lt;&gt;"",EDATE($D142,Milestones!$AA$135)&gt;=$S142),$V142,$U142)))=Milestones!$AB$135),UPPER(TEXT(EDATE($D142,Milestones!$AA$135),"dd mmm yy"))&amp;" "&amp;Milestones!$AB$135&amp;" "&amp;Milestones!$AC$135&amp;";  ","")&amp;IF(AND(EDATE($D142,Milestones!$AA$136)&lt;=AsOfDate,IF($R142=0,$X142,IF(AND($T142&lt;&gt;"",EDATE($D142,Milestones!$AA$136)&gt;=$T142),$W142,IF(AND($S142&lt;&gt;"",EDATE($D142,Milestones!$AA$136)&gt;=$S142),$V142,$U142)))=Milestones!$AB$136),UPPER(TEXT(EDATE($D142,Milestones!$AA$136),"dd mmm yy"))&amp;" "&amp;Milestones!$AB$136&amp;" "&amp;Milestones!$AC$136&amp;";  ","")&amp;IF(AND(EDATE($D142,Milestones!$AA$137)&lt;=AsOfDate,IF($R142=0,$X142,IF(AND($T142&lt;&gt;"",EDATE($D142,Milestones!$AA$137)&gt;=$T142),$W142,IF(AND($S142&lt;&gt;"",EDATE($D142,Milestones!$AA$137)&gt;=$S142),$V142,$U142)))=Milestones!$AB$137),UPPER(TEXT(EDATE($D142,Milestones!$AA$137),"dd mmm yy"))&amp;" "&amp;Milestones!$AB$137&amp;" "&amp;Milestones!$AC$137&amp;";  ","")&amp;IF(AND(EDATE($D142,Milestones!$AA$138)&lt;=AsOfDate,IF($R142=0,$X142,IF(AND($T142&lt;&gt;"",EDATE($D142,Milestones!$AA$138)&gt;=$T142),$W142,IF(AND($S142&lt;&gt;"",EDATE($D142,Milestones!$AA$138)&gt;=$S142),$V142,$U142)))=Milestones!$AB$138),UPPER(TEXT(EDATE($D142,Milestones!$AA$138),"dd mmm yy"))&amp;" "&amp;Milestones!$AB$138&amp;" "&amp;Milestones!$AC$138&amp;";  ","")&amp;IF(AND(EDATE($D142,Milestones!$AA$139)&lt;=AsOfDate,IF($R142=0,$X142,IF(AND($T142&lt;&gt;"",EDATE($D142,Milestones!$AA$139)&gt;=$T142),$W142,IF(AND($S142&lt;&gt;"",EDATE($D142,Milestones!$AA$139)&gt;=$S142),$V142,$U142)))=Milestones!$AB$139),UPPER(TEXT(EDATE($D142,Milestones!$AA$139),"dd mmm yy"))&amp;" "&amp;Milestones!$AB$139&amp;" "&amp;Milestones!$AC$139&amp;";  ",""))</f>
        <v/>
      </c>
      <c r="O142" s="0" t="str">
        <f aca="false">IF(OR($A142="",$D142=""),"",IF(AND(EDATE($D142,Milestones!$AA$140)&lt;=AsOfDate,IF($R142=0,$X142,IF(AND($T142&lt;&gt;"",EDATE($D142,Milestones!$AA$140)&gt;=$T142),$W142,IF(AND($S142&lt;&gt;"",EDATE($D142,Milestones!$AA$140)&gt;=$S142),$V142,$U142)))=Milestones!$AB$140),UPPER(TEXT(EDATE($D142,Milestones!$AA$140),"dd mmm yy"))&amp;" "&amp;Milestones!$AB$140&amp;" "&amp;Milestones!$AC$140&amp;";  ","")&amp;IF(AND(EDATE($D142,Milestones!$AA$141)&lt;=AsOfDate,IF($R142=0,$X142,IF(AND($T142&lt;&gt;"",EDATE($D142,Milestones!$AA$141)&gt;=$T142),$W142,IF(AND($S142&lt;&gt;"",EDATE($D142,Milestones!$AA$141)&gt;=$S142),$V142,$U142)))=Milestones!$AB$141),UPPER(TEXT(EDATE($D142,Milestones!$AA$141),"dd mmm yy"))&amp;" "&amp;Milestones!$AB$141&amp;" "&amp;Milestones!$AC$141&amp;";  ","")&amp;IF(AND(EDATE($D142,Milestones!$AA$142)&lt;=AsOfDate,IF($R142=0,$X142,IF(AND($T142&lt;&gt;"",EDATE($D142,Milestones!$AA$142)&gt;=$T142),$W142,IF(AND($S142&lt;&gt;"",EDATE($D142,Milestones!$AA$142)&gt;=$S142),$V142,$U142)))=Milestones!$AB$142),UPPER(TEXT(EDATE($D142,Milestones!$AA$142),"dd mmm yy"))&amp;" "&amp;Milestones!$AB$142&amp;" "&amp;Milestones!$AC$142&amp;";  ","")&amp;IF(AND(EDATE($D142,Milestones!$AA$143)&lt;=AsOfDate,IF($R142=0,$X142,IF(AND($T142&lt;&gt;"",EDATE($D142,Milestones!$AA$143)&gt;=$T142),$W142,IF(AND($S142&lt;&gt;"",EDATE($D142,Milestones!$AA$143)&gt;=$S142),$V142,$U142)))=Milestones!$AB$143),UPPER(TEXT(EDATE($D142,Milestones!$AA$143),"dd mmm yy"))&amp;" "&amp;Milestones!$AB$143&amp;" "&amp;Milestones!$AC$143&amp;";  ","")&amp;IF(AND(EDATE($D142,Milestones!$AA$144)&lt;=AsOfDate,IF($R142=0,$X142,IF(AND($T142&lt;&gt;"",EDATE($D142,Milestones!$AA$144)&gt;=$T142),$W142,IF(AND($S142&lt;&gt;"",EDATE($D142,Milestones!$AA$144)&gt;=$S142),$V142,$U142)))=Milestones!$AB$144),UPPER(TEXT(EDATE($D142,Milestones!$AA$144),"dd mmm yy"))&amp;" "&amp;Milestones!$AB$144&amp;" "&amp;Milestones!$AC$144&amp;";  ","")&amp;IF(AND(EDATE($D142,Milestones!$AA$145)&lt;=AsOfDate,IF($R142=0,$X142,IF(AND($T142&lt;&gt;"",EDATE($D142,Milestones!$AA$145)&gt;=$T142),$W142,IF(AND($S142&lt;&gt;"",EDATE($D142,Milestones!$AA$145)&gt;=$S142),$V142,$U142)))=Milestones!$AB$145),UPPER(TEXT(EDATE($D142,Milestones!$AA$145),"dd mmm yy"))&amp;" "&amp;Milestones!$AB$145&amp;" "&amp;Milestones!$AC$145&amp;";  ","")&amp;IF(AND(EDATE($D142,Milestones!$AA$146)&lt;=AsOfDate,IF($R142=0,$X142,IF(AND($T142&lt;&gt;"",EDATE($D142,Milestones!$AA$146)&gt;=$T142),$W142,IF(AND($S142&lt;&gt;"",EDATE($D142,Milestones!$AA$146)&gt;=$S142),$V142,$U142)))=Milestones!$AB$146),UPPER(TEXT(EDATE($D142,Milestones!$AA$146),"dd mmm yy"))&amp;" "&amp;Milestones!$AB$146&amp;" "&amp;Milestones!$AC$146&amp;";  ","")&amp;IF(AND(EDATE($D142,Milestones!$AA$147)&lt;=AsOfDate,IF($R142=0,$X142,IF(AND($T142&lt;&gt;"",EDATE($D142,Milestones!$AA$147)&gt;=$T142),$W142,IF(AND($S142&lt;&gt;"",EDATE($D142,Milestones!$AA$147)&gt;=$S142),$V142,$U142)))=Milestones!$AB$147),UPPER(TEXT(EDATE($D142,Milestones!$AA$147),"dd mmm yy"))&amp;" "&amp;Milestones!$AB$147&amp;" "&amp;Milestones!$AC$147&amp;";  ","")&amp;IF(AND(EDATE($D142,Milestones!$AA$148)&lt;=AsOfDate,IF($R142=0,$X142,IF(AND($T142&lt;&gt;"",EDATE($D142,Milestones!$AA$148)&gt;=$T142),$W142,IF(AND($S142&lt;&gt;"",EDATE($D142,Milestones!$AA$148)&gt;=$S142),$V142,$U142)))=Milestones!$AB$148),UPPER(TEXT(EDATE($D142,Milestones!$AA$148),"dd mmm yy"))&amp;" "&amp;Milestones!$AB$148&amp;" "&amp;Milestones!$AC$148&amp;";  ","")&amp;IF(AND(EDATE($D142,Milestones!$AA$149)&lt;=AsOfDate,IF($R142=0,$X142,IF(AND($T142&lt;&gt;"",EDATE($D142,Milestones!$AA$149)&gt;=$T142),$W142,IF(AND($S142&lt;&gt;"",EDATE($D142,Milestones!$AA$149)&gt;=$S142),$V142,$U142)))=Milestones!$AB$149),UPPER(TEXT(EDATE($D142,Milestones!$AA$149),"dd mmm yy"))&amp;" "&amp;Milestones!$AB$149&amp;" "&amp;Milestones!$AC$149&amp;";  ","")&amp;IF(AND(EDATE($D142,Milestones!$AA$150)&lt;=AsOfDate,IF($R142=0,$X142,IF(AND($T142&lt;&gt;"",EDATE($D142,Milestones!$AA$150)&gt;=$T142),$W142,IF(AND($S142&lt;&gt;"",EDATE($D142,Milestones!$AA$150)&gt;=$S142),$V142,$U142)))=Milestones!$AB$150),UPPER(TEXT(EDATE($D142,Milestones!$AA$150),"dd mmm yy"))&amp;" "&amp;Milestones!$AB$150&amp;" "&amp;Milestones!$AC$150&amp;";  ","")&amp;IF(AND(EDATE($D142,Milestones!$AA$151)&lt;=AsOfDate,IF($R142=0,$X142,IF(AND($T142&lt;&gt;"",EDATE($D142,Milestones!$AA$151)&gt;=$T142),$W142,IF(AND($S142&lt;&gt;"",EDATE($D142,Milestones!$AA$151)&gt;=$S142),$V142,$U142)))=Milestones!$AB$151),UPPER(TEXT(EDATE($D142,Milestones!$AA$151),"dd mmm yy"))&amp;" "&amp;Milestones!$AB$151&amp;" "&amp;Milestones!$AC$151&amp;";  ","")&amp;IF(AND(EDATE($D142,Milestones!$AA$152)&lt;=AsOfDate,IF($R142=0,$X142,IF(AND($T142&lt;&gt;"",EDATE($D142,Milestones!$AA$152)&gt;=$T142),$W142,IF(AND($S142&lt;&gt;"",EDATE($D142,Milestones!$AA$152)&gt;=$S142),$V142,$U142)))=Milestones!$AB$152),UPPER(TEXT(EDATE($D142,Milestones!$AA$152),"dd mmm yy"))&amp;" "&amp;Milestones!$AB$152&amp;" "&amp;Milestones!$AC$152&amp;";  ","")&amp;IF(AND(EDATE($D142,Milestones!$AA$153)&lt;=AsOfDate,IF($R142=0,$X142,IF(AND($T142&lt;&gt;"",EDATE($D142,Milestones!$AA$153)&gt;=$T142),$W142,IF(AND($S142&lt;&gt;"",EDATE($D142,Milestones!$AA$153)&gt;=$S142),$V142,$U142)))=Milestones!$AB$153),UPPER(TEXT(EDATE($D142,Milestones!$AA$153),"dd mmm yy"))&amp;" "&amp;Milestones!$AB$153&amp;" "&amp;Milestones!$AC$153&amp;";  ","")&amp;IF(AND(EDATE($D142,Milestones!$AA$154)&lt;=AsOfDate,IF($R142=0,$X142,IF(AND($T142&lt;&gt;"",EDATE($D142,Milestones!$AA$154)&gt;=$T142),$W142,IF(AND($S142&lt;&gt;"",EDATE($D142,Milestones!$AA$154)&gt;=$S142),$V142,$U142)))=Milestones!$AB$154),UPPER(TEXT(EDATE($D142,Milestones!$AA$154),"dd mmm yy"))&amp;" "&amp;Milestones!$AB$154&amp;" "&amp;Milestones!$AC$154&amp;";  ","")&amp;IF(AND(EDATE($D142,Milestones!$AA$155)&lt;=AsOfDate,IF($R142=0,$X142,IF(AND($T142&lt;&gt;"",EDATE($D142,Milestones!$AA$155)&gt;=$T142),$W142,IF(AND($S142&lt;&gt;"",EDATE($D142,Milestones!$AA$155)&gt;=$S142),$V142,$U142)))=Milestones!$AB$155),UPPER(TEXT(EDATE($D142,Milestones!$AA$155),"dd mmm yy"))&amp;" "&amp;Milestones!$AB$155&amp;" "&amp;Milestones!$AC$155&amp;";  ","")&amp;IF(AND(EDATE($D142,Milestones!$AA$156)&lt;=AsOfDate,IF($R142=0,$X142,IF(AND($T142&lt;&gt;"",EDATE($D142,Milestones!$AA$156)&gt;=$T142),$W142,IF(AND($S142&lt;&gt;"",EDATE($D142,Milestones!$AA$156)&gt;=$S142),$V142,$U142)))=Milestones!$AB$156),UPPER(TEXT(EDATE($D142,Milestones!$AA$156),"dd mmm yy"))&amp;" "&amp;Milestones!$AB$156&amp;" "&amp;Milestones!$AC$156&amp;";  ","")&amp;IF(AND(EDATE($D142,Milestones!$AA$157)&lt;=AsOfDate,IF($R142=0,$X142,IF(AND($T142&lt;&gt;"",EDATE($D142,Milestones!$AA$157)&gt;=$T142),$W142,IF(AND($S142&lt;&gt;"",EDATE($D142,Milestones!$AA$157)&gt;=$S142),$V142,$U142)))=Milestones!$AB$157),UPPER(TEXT(EDATE($D142,Milestones!$AA$157),"dd mmm yy"))&amp;" "&amp;Milestones!$AB$157&amp;" "&amp;Milestones!$AC$157&amp;";  ","")&amp;IF(AND(EDATE($D142,Milestones!$AA$158)&lt;=AsOfDate,IF($R142=0,$X142,IF(AND($T142&lt;&gt;"",EDATE($D142,Milestones!$AA$158)&gt;=$T142),$W142,IF(AND($S142&lt;&gt;"",EDATE($D142,Milestones!$AA$158)&gt;=$S142),$V142,$U142)))=Milestones!$AB$158),UPPER(TEXT(EDATE($D142,Milestones!$AA$158),"dd mmm yy"))&amp;" "&amp;Milestones!$AB$158&amp;" "&amp;Milestones!$AC$158&amp;";  ","")&amp;IF(AND(EDATE($D142,Milestones!$AA$159)&lt;=AsOfDate,IF($R142=0,$X142,IF(AND($T142&lt;&gt;"",EDATE($D142,Milestones!$AA$159)&gt;=$T142),$W142,IF(AND($S142&lt;&gt;"",EDATE($D142,Milestones!$AA$159)&gt;=$S142),$V142,$U142)))=Milestones!$AB$159),UPPER(TEXT(EDATE($D142,Milestones!$AA$159),"dd mmm yy"))&amp;" "&amp;Milestones!$AB$159&amp;" "&amp;Milestones!$AC$159&amp;";  ",""))</f>
        <v/>
      </c>
      <c r="P142" s="0" t="str">
        <f aca="false">IF(OR($A142="",$D142=""),"",IF(AND(EDATE($D142,Milestones!$AA$160)&lt;=AsOfDate,IF($R142=0,$X142,IF(AND($T142&lt;&gt;"",EDATE($D142,Milestones!$AA$160)&gt;=$T142),$W142,IF(AND($S142&lt;&gt;"",EDATE($D142,Milestones!$AA$160)&gt;=$S142),$V142,$U142)))=Milestones!$AB$160),UPPER(TEXT(EDATE($D142,Milestones!$AA$160),"dd mmm yy"))&amp;" "&amp;Milestones!$AB$160&amp;" "&amp;Milestones!$AC$160&amp;";  ","")&amp;IF(AND(EDATE($D142,Milestones!$AA$161)&lt;=AsOfDate,IF($R142=0,$X142,IF(AND($T142&lt;&gt;"",EDATE($D142,Milestones!$AA$161)&gt;=$T142),$W142,IF(AND($S142&lt;&gt;"",EDATE($D142,Milestones!$AA$161)&gt;=$S142),$V142,$U142)))=Milestones!$AB$161),UPPER(TEXT(EDATE($D142,Milestones!$AA$161),"dd mmm yy"))&amp;" "&amp;Milestones!$AB$161&amp;" "&amp;Milestones!$AC$161&amp;";  ","")&amp;IF(AND(EDATE($D142,Milestones!$AA$162)&lt;=AsOfDate,IF($R142=0,$X142,IF(AND($T142&lt;&gt;"",EDATE($D142,Milestones!$AA$162)&gt;=$T142),$W142,IF(AND($S142&lt;&gt;"",EDATE($D142,Milestones!$AA$162)&gt;=$S142),$V142,$U142)))=Milestones!$AB$162),UPPER(TEXT(EDATE($D142,Milestones!$AA$162),"dd mmm yy"))&amp;" "&amp;Milestones!$AB$162&amp;" "&amp;Milestones!$AC$162&amp;";  ","")&amp;IF(AND(EDATE($D142,Milestones!$AA$163)&lt;=AsOfDate,IF($R142=0,$X142,IF(AND($T142&lt;&gt;"",EDATE($D142,Milestones!$AA$163)&gt;=$T142),$W142,IF(AND($S142&lt;&gt;"",EDATE($D142,Milestones!$AA$163)&gt;=$S142),$V142,$U142)))=Milestones!$AB$163),UPPER(TEXT(EDATE($D142,Milestones!$AA$163),"dd mmm yy"))&amp;" "&amp;Milestones!$AB$163&amp;" "&amp;Milestones!$AC$163&amp;";  ","")&amp;IF(AND(EDATE($D142,Milestones!$AA$164)&lt;=AsOfDate,IF($R142=0,$X142,IF(AND($T142&lt;&gt;"",EDATE($D142,Milestones!$AA$164)&gt;=$T142),$W142,IF(AND($S142&lt;&gt;"",EDATE($D142,Milestones!$AA$164)&gt;=$S142),$V142,$U142)))=Milestones!$AB$164),UPPER(TEXT(EDATE($D142,Milestones!$AA$164),"dd mmm yy"))&amp;" "&amp;Milestones!$AB$164&amp;" "&amp;Milestones!$AC$164&amp;";  ","")&amp;IF(AND(EDATE($D142,Milestones!$AA$165)&lt;=AsOfDate,IF($R142=0,$X142,IF(AND($T142&lt;&gt;"",EDATE($D142,Milestones!$AA$165)&gt;=$T142),$W142,IF(AND($S142&lt;&gt;"",EDATE($D142,Milestones!$AA$165)&gt;=$S142),$V142,$U142)))=Milestones!$AB$165),UPPER(TEXT(EDATE($D142,Milestones!$AA$165),"dd mmm yy"))&amp;" "&amp;Milestones!$AB$165&amp;" "&amp;Milestones!$AC$165&amp;";  ","")&amp;IF(AND(EDATE($D142,Milestones!$AA$166)&lt;=AsOfDate,IF($R142=0,$X142,IF(AND($T142&lt;&gt;"",EDATE($D142,Milestones!$AA$166)&gt;=$T142),$W142,IF(AND($S142&lt;&gt;"",EDATE($D142,Milestones!$AA$166)&gt;=$S142),$V142,$U142)))=Milestones!$AB$166),UPPER(TEXT(EDATE($D142,Milestones!$AA$166),"dd mmm yy"))&amp;" "&amp;Milestones!$AB$166&amp;" "&amp;Milestones!$AC$166&amp;";  ","")&amp;IF(AND(EDATE($D142,Milestones!$AA$167)&lt;=AsOfDate,IF($R142=0,$X142,IF(AND($T142&lt;&gt;"",EDATE($D142,Milestones!$AA$167)&gt;=$T142),$W142,IF(AND($S142&lt;&gt;"",EDATE($D142,Milestones!$AA$167)&gt;=$S142),$V142,$U142)))=Milestones!$AB$167),UPPER(TEXT(EDATE($D142,Milestones!$AA$167),"dd mmm yy"))&amp;" "&amp;Milestones!$AB$167&amp;" "&amp;Milestones!$AC$167&amp;";  ","")&amp;IF(AND(EDATE($D142,Milestones!$AA$168)&lt;=AsOfDate,IF($R142=0,$X142,IF(AND($T142&lt;&gt;"",EDATE($D142,Milestones!$AA$168)&gt;=$T142),$W142,IF(AND($S142&lt;&gt;"",EDATE($D142,Milestones!$AA$168)&gt;=$S142),$V142,$U142)))=Milestones!$AB$168),UPPER(TEXT(EDATE($D142,Milestones!$AA$168),"dd mmm yy"))&amp;" "&amp;Milestones!$AB$168&amp;" "&amp;Milestones!$AC$168&amp;";  ","")&amp;IF(AND(EDATE($D142,Milestones!$AA$169)&lt;=AsOfDate,IF($R142=0,$X142,IF(AND($T142&lt;&gt;"",EDATE($D142,Milestones!$AA$169)&gt;=$T142),$W142,IF(AND($S142&lt;&gt;"",EDATE($D142,Milestones!$AA$169)&gt;=$S142),$V142,$U142)))=Milestones!$AB$169),UPPER(TEXT(EDATE($D142,Milestones!$AA$169),"dd mmm yy"))&amp;" "&amp;Milestones!$AB$169&amp;" "&amp;Milestones!$AC$169&amp;";  ","")&amp;IF(AND(EDATE($D142,Milestones!$AA$170)&lt;=AsOfDate,IF($R142=0,$X142,IF(AND($T142&lt;&gt;"",EDATE($D142,Milestones!$AA$170)&gt;=$T142),$W142,IF(AND($S142&lt;&gt;"",EDATE($D142,Milestones!$AA$170)&gt;=$S142),$V142,$U142)))=Milestones!$AB$170),UPPER(TEXT(EDATE($D142,Milestones!$AA$170),"dd mmm yy"))&amp;" "&amp;Milestones!$AB$170&amp;" "&amp;Milestones!$AC$170&amp;";  ","")&amp;IF(AND(EDATE($D142,Milestones!$AA$171)&lt;=AsOfDate,IF($R142=0,$X142,IF(AND($T142&lt;&gt;"",EDATE($D142,Milestones!$AA$171)&gt;=$T142),$W142,IF(AND($S142&lt;&gt;"",EDATE($D142,Milestones!$AA$171)&gt;=$S142),$V142,$U142)))=Milestones!$AB$171),UPPER(TEXT(EDATE($D142,Milestones!$AA$171),"dd mmm yy"))&amp;" "&amp;Milestones!$AB$171&amp;" "&amp;Milestones!$AC$171&amp;";  ","")&amp;IF(AND(EDATE($D142,Milestones!$AA$172)&lt;=AsOfDate,IF($R142=0,$X142,IF(AND($T142&lt;&gt;"",EDATE($D142,Milestones!$AA$172)&gt;=$T142),$W142,IF(AND($S142&lt;&gt;"",EDATE($D142,Milestones!$AA$172)&gt;=$S142),$V142,$U142)))=Milestones!$AB$172),UPPER(TEXT(EDATE($D142,Milestones!$AA$172),"dd mmm yy"))&amp;" "&amp;Milestones!$AB$172&amp;" "&amp;Milestones!$AC$172&amp;";  ","")&amp;IF(AND(EDATE($D142,Milestones!$AA$173)&lt;=AsOfDate,IF($R142=0,$X142,IF(AND($T142&lt;&gt;"",EDATE($D142,Milestones!$AA$173)&gt;=$T142),$W142,IF(AND($S142&lt;&gt;"",EDATE($D142,Milestones!$AA$173)&gt;=$S142),$V142,$U142)))=Milestones!$AB$173),UPPER(TEXT(EDATE($D142,Milestones!$AA$173),"dd mmm yy"))&amp;" "&amp;Milestones!$AB$173&amp;" "&amp;Milestones!$AC$173&amp;";  ","")&amp;IF(AND(EDATE($D142,Milestones!$AA$174)&lt;=AsOfDate,IF($R142=0,$X142,IF(AND($T142&lt;&gt;"",EDATE($D142,Milestones!$AA$174)&gt;=$T142),$W142,IF(AND($S142&lt;&gt;"",EDATE($D142,Milestones!$AA$174)&gt;=$S142),$V142,$U142)))=Milestones!$AB$174),UPPER(TEXT(EDATE($D142,Milestones!$AA$174),"dd mmm yy"))&amp;" "&amp;Milestones!$AB$174&amp;" "&amp;Milestones!$AC$174&amp;";  ","")&amp;IF(AND(EDATE($D142,Milestones!$AA$175)&lt;=AsOfDate,IF($R142=0,$X142,IF(AND($T142&lt;&gt;"",EDATE($D142,Milestones!$AA$175)&gt;=$T142),$W142,IF(AND($S142&lt;&gt;"",EDATE($D142,Milestones!$AA$175)&gt;=$S142),$V142,$U142)))=Milestones!$AB$175),UPPER(TEXT(EDATE($D142,Milestones!$AA$175),"dd mmm yy"))&amp;" "&amp;Milestones!$AB$175&amp;" "&amp;Milestones!$AC$175&amp;";  ","")&amp;IF(AND(EDATE($D142,Milestones!$AA$176)&lt;=AsOfDate,IF($R142=0,$X142,IF(AND($T142&lt;&gt;"",EDATE($D142,Milestones!$AA$176)&gt;=$T142),$W142,IF(AND($S142&lt;&gt;"",EDATE($D142,Milestones!$AA$176)&gt;=$S142),$V142,$U142)))=Milestones!$AB$176),UPPER(TEXT(EDATE($D142,Milestones!$AA$176),"dd mmm yy"))&amp;" "&amp;Milestones!$AB$176&amp;" "&amp;Milestones!$AC$176&amp;";  ","")&amp;IF(AND(EDATE($D142,Milestones!$AA$177)&lt;=AsOfDate,IF($R142=0,$X142,IF(AND($T142&lt;&gt;"",EDATE($D142,Milestones!$AA$177)&gt;=$T142),$W142,IF(AND($S142&lt;&gt;"",EDATE($D142,Milestones!$AA$177)&gt;=$S142),$V142,$U142)))=Milestones!$AB$177),UPPER(TEXT(EDATE($D142,Milestones!$AA$177),"dd mmm yy"))&amp;" "&amp;Milestones!$AB$177&amp;" "&amp;Milestones!$AC$177&amp;";  ","")&amp;IF(AND(EDATE($D142,Milestones!$AA$178)&lt;=AsOfDate,IF($R142=0,$X142,IF(AND($T142&lt;&gt;"",EDATE($D142,Milestones!$AA$178)&gt;=$T142),$W142,IF(AND($S142&lt;&gt;"",EDATE($D142,Milestones!$AA$178)&gt;=$S142),$V142,$U142)))=Milestones!$AB$178),UPPER(TEXT(EDATE($D142,Milestones!$AA$178),"dd mmm yy"))&amp;" "&amp;Milestones!$AB$178&amp;" "&amp;Milestones!$AC$178&amp;";  ","")&amp;IF(AND(EDATE($D142,Milestones!$AA$179)&lt;=AsOfDate,IF($R142=0,$X142,IF(AND($T142&lt;&gt;"",EDATE($D142,Milestones!$AA$179)&gt;=$T142),$W142,IF(AND($S142&lt;&gt;"",EDATE($D142,Milestones!$AA$179)&gt;=$S142),$V142,$U142)))=Milestones!$AB$179),UPPER(TEXT(EDATE($D142,Milestones!$AA$179),"dd mmm yy"))&amp;" "&amp;Milestones!$AB$179&amp;" "&amp;Milestones!$AC$179&amp;";  ",""))</f>
        <v/>
      </c>
      <c r="Q142" s="0" t="str">
        <f aca="false">IF(OR($A142="",$D142=""),"",IF(AND(EDATE($D142,Milestones!$AA$180)&lt;=AsOfDate,IF($R142=0,$X142,IF(AND($T142&lt;&gt;"",EDATE($D142,Milestones!$AA$180)&gt;=$T142),$W142,IF(AND($S142&lt;&gt;"",EDATE($D142,Milestones!$AA$180)&gt;=$S142),$V142,$U142)))=Milestones!$AB$180),UPPER(TEXT(EDATE($D142,Milestones!$AA$180),"dd mmm yy"))&amp;" "&amp;Milestones!$AB$180&amp;" "&amp;Milestones!$AC$180&amp;";  ","")&amp;IF(AND(EDATE($D142,Milestones!$AA$181)&lt;=AsOfDate,IF($R142=0,$X142,IF(AND($T142&lt;&gt;"",EDATE($D142,Milestones!$AA$181)&gt;=$T142),$W142,IF(AND($S142&lt;&gt;"",EDATE($D142,Milestones!$AA$181)&gt;=$S142),$V142,$U142)))=Milestones!$AB$181),UPPER(TEXT(EDATE($D142,Milestones!$AA$181),"dd mmm yy"))&amp;" "&amp;Milestones!$AB$181&amp;" "&amp;Milestones!$AC$181&amp;";  ","")&amp;IF(AND(EDATE($D142,Milestones!$AA$182)&lt;=AsOfDate,IF($R142=0,$X142,IF(AND($T142&lt;&gt;"",EDATE($D142,Milestones!$AA$182)&gt;=$T142),$W142,IF(AND($S142&lt;&gt;"",EDATE($D142,Milestones!$AA$182)&gt;=$S142),$V142,$U142)))=Milestones!$AB$182),UPPER(TEXT(EDATE($D142,Milestones!$AA$182),"dd mmm yy"))&amp;" "&amp;Milestones!$AB$182&amp;" "&amp;Milestones!$AC$182&amp;";  ","")&amp;IF(AND(EDATE($D142,Milestones!$AA$183)&lt;=AsOfDate,IF($R142=0,$X142,IF(AND($T142&lt;&gt;"",EDATE($D142,Milestones!$AA$183)&gt;=$T142),$W142,IF(AND($S142&lt;&gt;"",EDATE($D142,Milestones!$AA$183)&gt;=$S142),$V142,$U142)))=Milestones!$AB$183),UPPER(TEXT(EDATE($D142,Milestones!$AA$183),"dd mmm yy"))&amp;" "&amp;Milestones!$AB$183&amp;" "&amp;Milestones!$AC$183&amp;";  ","")&amp;IF(AND(EDATE($D142,Milestones!$AA$184)&lt;=AsOfDate,IF($R142=0,$X142,IF(AND($T142&lt;&gt;"",EDATE($D142,Milestones!$AA$184)&gt;=$T142),$W142,IF(AND($S142&lt;&gt;"",EDATE($D142,Milestones!$AA$184)&gt;=$S142),$V142,$U142)))=Milestones!$AB$184),UPPER(TEXT(EDATE($D142,Milestones!$AA$184),"dd mmm yy"))&amp;" "&amp;Milestones!$AB$184&amp;" "&amp;Milestones!$AC$184&amp;";  ","")&amp;IF(AND(EDATE($D142,Milestones!$AA$185)&lt;=AsOfDate,IF($R142=0,$X142,IF(AND($T142&lt;&gt;"",EDATE($D142,Milestones!$AA$185)&gt;=$T142),$W142,IF(AND($S142&lt;&gt;"",EDATE($D142,Milestones!$AA$185)&gt;=$S142),$V142,$U142)))=Milestones!$AB$185),UPPER(TEXT(EDATE($D142,Milestones!$AA$185),"dd mmm yy"))&amp;" "&amp;Milestones!$AB$185&amp;" "&amp;Milestones!$AC$185&amp;";  ","")&amp;IF(AND(EDATE($D142,Milestones!$AA$186)&lt;=AsOfDate,IF($R142=0,$X142,IF(AND($T142&lt;&gt;"",EDATE($D142,Milestones!$AA$186)&gt;=$T142),$W142,IF(AND($S142&lt;&gt;"",EDATE($D142,Milestones!$AA$186)&gt;=$S142),$V142,$U142)))=Milestones!$AB$186),UPPER(TEXT(EDATE($D142,Milestones!$AA$186),"dd mmm yy"))&amp;" "&amp;Milestones!$AB$186&amp;" "&amp;Milestones!$AC$186&amp;";  ","")&amp;IF(AND(EDATE($D142,Milestones!$AA$187)&lt;=AsOfDate,IF($R142=0,$X142,IF(AND($T142&lt;&gt;"",EDATE($D142,Milestones!$AA$187)&gt;=$T142),$W142,IF(AND($S142&lt;&gt;"",EDATE($D142,Milestones!$AA$187)&gt;=$S142),$V142,$U142)))=Milestones!$AB$187),UPPER(TEXT(EDATE($D142,Milestones!$AA$187),"dd mmm yy"))&amp;" "&amp;Milestones!$AB$187&amp;" "&amp;Milestones!$AC$187&amp;";  ","")&amp;IF(AND(EDATE($D142,Milestones!$AA$188)&lt;=AsOfDate,IF($R142=0,$X142,IF(AND($T142&lt;&gt;"",EDATE($D142,Milestones!$AA$188)&gt;=$T142),$W142,IF(AND($S142&lt;&gt;"",EDATE($D142,Milestones!$AA$188)&gt;=$S142),$V142,$U142)))=Milestones!$AB$188),UPPER(TEXT(EDATE($D142,Milestones!$AA$188),"dd mmm yy"))&amp;" "&amp;Milestones!$AB$188&amp;" "&amp;Milestones!$AC$188&amp;";  ","")&amp;IF(AND(EDATE($D142,Milestones!$AA$189)&lt;=AsOfDate,IF($R142=0,$X142,IF(AND($T142&lt;&gt;"",EDATE($D142,Milestones!$AA$189)&gt;=$T142),$W142,IF(AND($S142&lt;&gt;"",EDATE($D142,Milestones!$AA$189)&gt;=$S142),$V142,$U142)))=Milestones!$AB$189),UPPER(TEXT(EDATE($D142,Milestones!$AA$189),"dd mmm yy"))&amp;" "&amp;Milestones!$AB$189&amp;" "&amp;Milestones!$AC$189&amp;";  ","")&amp;IF(AND(EDATE($D142,Milestones!$AA$190)&lt;=AsOfDate,IF($R142=0,$X142,IF(AND($T142&lt;&gt;"",EDATE($D142,Milestones!$AA$190)&gt;=$T142),$W142,IF(AND($S142&lt;&gt;"",EDATE($D142,Milestones!$AA$190)&gt;=$S142),$V142,$U142)))=Milestones!$AB$190),UPPER(TEXT(EDATE($D142,Milestones!$AA$190),"dd mmm yy"))&amp;" "&amp;Milestones!$AB$190&amp;" "&amp;Milestones!$AC$190&amp;";  ","")&amp;IF(AND(EDATE($D142,Milestones!$AA$191)&lt;=AsOfDate,IF($R142=0,$X142,IF(AND($T142&lt;&gt;"",EDATE($D142,Milestones!$AA$191)&gt;=$T142),$W142,IF(AND($S142&lt;&gt;"",EDATE($D142,Milestones!$AA$191)&gt;=$S142),$V142,$U142)))=Milestones!$AB$191),UPPER(TEXT(EDATE($D142,Milestones!$AA$191),"dd mmm yy"))&amp;" "&amp;Milestones!$AB$191&amp;" "&amp;Milestones!$AC$191&amp;";  ","")&amp;IF(AND(EDATE($D142,Milestones!$AA$192)&lt;=AsOfDate,IF($R142=0,$X142,IF(AND($T142&lt;&gt;"",EDATE($D142,Milestones!$AA$192)&gt;=$T142),$W142,IF(AND($S142&lt;&gt;"",EDATE($D142,Milestones!$AA$192)&gt;=$S142),$V142,$U142)))=Milestones!$AB$192),UPPER(TEXT(EDATE($D142,Milestones!$AA$192),"dd mmm yy"))&amp;" "&amp;Milestones!$AB$192&amp;" "&amp;Milestones!$AC$192&amp;";  ","")&amp;IF(AND(EDATE($D142,Milestones!$AA$193)&lt;=AsOfDate,IF($R142=0,$X142,IF(AND($T142&lt;&gt;"",EDATE($D142,Milestones!$AA$193)&gt;=$T142),$W142,IF(AND($S142&lt;&gt;"",EDATE($D142,Milestones!$AA$193)&gt;=$S142),$V142,$U142)))=Milestones!$AB$193),UPPER(TEXT(EDATE($D142,Milestones!$AA$193),"dd mmm yy"))&amp;" "&amp;Milestones!$AB$193&amp;" "&amp;Milestones!$AC$193&amp;";  ","")&amp;IF(AND(EDATE($D142,Milestones!$AA$194)&lt;=AsOfDate,IF($R142=0,$X142,IF(AND($T142&lt;&gt;"",EDATE($D142,Milestones!$AA$194)&gt;=$T142),$W142,IF(AND($S142&lt;&gt;"",EDATE($D142,Milestones!$AA$194)&gt;=$S142),$V142,$U142)))=Milestones!$AB$194),UPPER(TEXT(EDATE($D142,Milestones!$AA$194),"dd mmm yy"))&amp;" "&amp;Milestones!$AB$194&amp;" "&amp;Milestones!$AC$194&amp;";  ","")&amp;IF(AND(EDATE($D142,Milestones!$AA$195)&lt;=AsOfDate,IF($R142=0,$X142,IF(AND($T142&lt;&gt;"",EDATE($D142,Milestones!$AA$195)&gt;=$T142),$W142,IF(AND($S142&lt;&gt;"",EDATE($D142,Milestones!$AA$195)&gt;=$S142),$V142,$U142)))=Milestones!$AB$195),UPPER(TEXT(EDATE($D142,Milestones!$AA$195),"dd mmm yy"))&amp;" "&amp;Milestones!$AB$195&amp;" "&amp;Milestones!$AC$195&amp;";  ","")&amp;IF(AND(EDATE($D142,Milestones!$AA$196)&lt;=AsOfDate,IF($R142=0,$X142,IF(AND($T142&lt;&gt;"",EDATE($D142,Milestones!$AA$196)&gt;=$T142),$W142,IF(AND($S142&lt;&gt;"",EDATE($D142,Milestones!$AA$196)&gt;=$S142),$V142,$U142)))=Milestones!$AB$196),UPPER(TEXT(EDATE($D142,Milestones!$AA$196),"dd mmm yy"))&amp;" "&amp;Milestones!$AB$196&amp;" "&amp;Milestones!$AC$196&amp;";  ","")&amp;IF(AND(EDATE($D142,Milestones!$AA$197)&lt;=AsOfDate,IF($R142=0,$X142,IF(AND($T142&lt;&gt;"",EDATE($D142,Milestones!$AA$197)&gt;=$T142),$W142,IF(AND($S142&lt;&gt;"",EDATE($D142,Milestones!$AA$197)&gt;=$S142),$V142,$U142)))=Milestones!$AB$197),UPPER(TEXT(EDATE($D142,Milestones!$AA$197),"dd mmm yy"))&amp;" "&amp;Milestones!$AB$197&amp;" "&amp;Milestones!$AC$197&amp;";  ","")&amp;IF(AND(EDATE($D142,Milestones!$AA$198)&lt;=AsOfDate,IF($R142=0,$X142,IF(AND($T142&lt;&gt;"",EDATE($D142,Milestones!$AA$198)&gt;=$T142),$W142,IF(AND($S142&lt;&gt;"",EDATE($D142,Milestones!$AA$198)&gt;=$S142),$V142,$U142)))=Milestones!$AB$198),UPPER(TEXT(EDATE($D142,Milestones!$AA$198),"dd mmm yy"))&amp;" "&amp;Milestones!$AB$198&amp;" "&amp;Milestones!$AC$198&amp;";  ","")&amp;IF(AND(EDATE($D142,Milestones!$AA$199)&lt;=AsOfDate,IF($R142=0,$X142,IF(AND($T142&lt;&gt;"",EDATE($D142,Milestones!$AA$199)&gt;=$T142),$W142,IF(AND($S142&lt;&gt;"",EDATE($D142,Milestones!$AA$199)&gt;=$S142),$V142,$U142)))=Milestones!$AB$199),UPPER(TEXT(EDATE($D142,Milestones!$AA$199),"dd mmm yy"))&amp;" "&amp;Milestones!$AB$199&amp;" "&amp;Milestones!$AC$199&amp;";  ",""))</f>
        <v/>
      </c>
      <c r="R142" s="0" t="str">
        <f aca="false">IF(Staff!$A142="","",Staff!$AI142)</f>
        <v/>
      </c>
      <c r="S142" s="0" t="str">
        <f aca="false">IF(Staff!$A142="","",Staff!$AK142)</f>
        <v/>
      </c>
      <c r="T142" s="0" t="str">
        <f aca="false">IF(Staff!$A142="","",Staff!$AL142)</f>
        <v/>
      </c>
      <c r="U142" s="0" t="str">
        <f aca="false">IF(Staff!$A142="","",Staff!$AP142)</f>
        <v/>
      </c>
      <c r="V142" s="0" t="str">
        <f aca="false">IF(Staff!$A142="","",Staff!$AQ142)</f>
        <v/>
      </c>
      <c r="W142" s="0" t="str">
        <f aca="false">IF(Staff!$A142="","",Staff!$AR142)</f>
        <v/>
      </c>
      <c r="X142" s="0" t="str">
        <f aca="false">IF(Staff!$A142="","",Staff!$AS142)</f>
        <v/>
      </c>
    </row>
    <row r="143" customFormat="false" ht="15" hidden="false" customHeight="false" outlineLevel="0" collapsed="false">
      <c r="A143" s="19" t="str">
        <f aca="false">IF(Staff!$A143="","",Staff!$A143)</f>
        <v/>
      </c>
      <c r="B143" s="19" t="str">
        <f aca="false">IF(Staff!$A143="","",Staff!$B143)</f>
        <v/>
      </c>
      <c r="C143" s="19" t="str">
        <f aca="false">IF(Staff!$A143="","",Staff!$C143)</f>
        <v/>
      </c>
      <c r="D143" s="17" t="str">
        <f aca="false">IF(Staff!$A143="","",Staff!$AH143)</f>
        <v/>
      </c>
      <c r="E143" s="19" t="str">
        <f aca="false">IF(Staff!$A143="","",Staff!$O143)</f>
        <v/>
      </c>
      <c r="F143" s="19" t="str">
        <f aca="false">IF(E143="","",E143*HoursPerDay)</f>
        <v/>
      </c>
      <c r="G143" s="19" t="str">
        <f aca="false">IF(Staff!$A143="","",Staff!$AE143)</f>
        <v/>
      </c>
      <c r="H143" s="32" t="str">
        <f aca="false">IF($A143="","",I143&amp;J143&amp;K143&amp;L143&amp;M143&amp;N143&amp;O143&amp;P143&amp;Q143)</f>
        <v/>
      </c>
      <c r="I143" s="0" t="str">
        <f aca="false">IF(OR($A143="",$D143=""),"",IF(AND(EDATE($D143,Milestones!$AA$20)&lt;=AsOfDate,IF($R143=0,$X143,IF(AND($T143&lt;&gt;"",EDATE($D143,Milestones!$AA$20)&gt;=$T143),$W143,IF(AND($S143&lt;&gt;"",EDATE($D143,Milestones!$AA$20)&gt;=$S143),$V143,$U143)))=Milestones!$AB$20),UPPER(TEXT(EDATE($D143,Milestones!$AA$20),"dd mmm yy"))&amp;" "&amp;Milestones!$AB$20&amp;" "&amp;Milestones!$AC$20&amp;";  ","")&amp;IF(AND(EDATE($D143,Milestones!$AA$21)&lt;=AsOfDate,IF($R143=0,$X143,IF(AND($T143&lt;&gt;"",EDATE($D143,Milestones!$AA$21)&gt;=$T143),$W143,IF(AND($S143&lt;&gt;"",EDATE($D143,Milestones!$AA$21)&gt;=$S143),$V143,$U143)))=Milestones!$AB$21),UPPER(TEXT(EDATE($D143,Milestones!$AA$21),"dd mmm yy"))&amp;" "&amp;Milestones!$AB$21&amp;" "&amp;Milestones!$AC$21&amp;";  ","")&amp;IF(AND(EDATE($D143,Milestones!$AA$22)&lt;=AsOfDate,IF($R143=0,$X143,IF(AND($T143&lt;&gt;"",EDATE($D143,Milestones!$AA$22)&gt;=$T143),$W143,IF(AND($S143&lt;&gt;"",EDATE($D143,Milestones!$AA$22)&gt;=$S143),$V143,$U143)))=Milestones!$AB$22),UPPER(TEXT(EDATE($D143,Milestones!$AA$22),"dd mmm yy"))&amp;" "&amp;Milestones!$AB$22&amp;" "&amp;Milestones!$AC$22&amp;";  ","")&amp;IF(AND(EDATE($D143,Milestones!$AA$23)&lt;=AsOfDate,IF($R143=0,$X143,IF(AND($T143&lt;&gt;"",EDATE($D143,Milestones!$AA$23)&gt;=$T143),$W143,IF(AND($S143&lt;&gt;"",EDATE($D143,Milestones!$AA$23)&gt;=$S143),$V143,$U143)))=Milestones!$AB$23),UPPER(TEXT(EDATE($D143,Milestones!$AA$23),"dd mmm yy"))&amp;" "&amp;Milestones!$AB$23&amp;" "&amp;Milestones!$AC$23&amp;";  ","")&amp;IF(AND(EDATE($D143,Milestones!$AA$24)&lt;=AsOfDate,IF($R143=0,$X143,IF(AND($T143&lt;&gt;"",EDATE($D143,Milestones!$AA$24)&gt;=$T143),$W143,IF(AND($S143&lt;&gt;"",EDATE($D143,Milestones!$AA$24)&gt;=$S143),$V143,$U143)))=Milestones!$AB$24),UPPER(TEXT(EDATE($D143,Milestones!$AA$24),"dd mmm yy"))&amp;" "&amp;Milestones!$AB$24&amp;" "&amp;Milestones!$AC$24&amp;";  ","")&amp;IF(AND(EDATE($D143,Milestones!$AA$25)&lt;=AsOfDate,IF($R143=0,$X143,IF(AND($T143&lt;&gt;"",EDATE($D143,Milestones!$AA$25)&gt;=$T143),$W143,IF(AND($S143&lt;&gt;"",EDATE($D143,Milestones!$AA$25)&gt;=$S143),$V143,$U143)))=Milestones!$AB$25),UPPER(TEXT(EDATE($D143,Milestones!$AA$25),"dd mmm yy"))&amp;" "&amp;Milestones!$AB$25&amp;" "&amp;Milestones!$AC$25&amp;";  ","")&amp;IF(AND(EDATE($D143,Milestones!$AA$26)&lt;=AsOfDate,IF($R143=0,$X143,IF(AND($T143&lt;&gt;"",EDATE($D143,Milestones!$AA$26)&gt;=$T143),$W143,IF(AND($S143&lt;&gt;"",EDATE($D143,Milestones!$AA$26)&gt;=$S143),$V143,$U143)))=Milestones!$AB$26),UPPER(TEXT(EDATE($D143,Milestones!$AA$26),"dd mmm yy"))&amp;" "&amp;Milestones!$AB$26&amp;" "&amp;Milestones!$AC$26&amp;";  ","")&amp;IF(AND(EDATE($D143,Milestones!$AA$27)&lt;=AsOfDate,IF($R143=0,$X143,IF(AND($T143&lt;&gt;"",EDATE($D143,Milestones!$AA$27)&gt;=$T143),$W143,IF(AND($S143&lt;&gt;"",EDATE($D143,Milestones!$AA$27)&gt;=$S143),$V143,$U143)))=Milestones!$AB$27),UPPER(TEXT(EDATE($D143,Milestones!$AA$27),"dd mmm yy"))&amp;" "&amp;Milestones!$AB$27&amp;" "&amp;Milestones!$AC$27&amp;";  ","")&amp;IF(AND(EDATE($D143,Milestones!$AA$28)&lt;=AsOfDate,IF($R143=0,$X143,IF(AND($T143&lt;&gt;"",EDATE($D143,Milestones!$AA$28)&gt;=$T143),$W143,IF(AND($S143&lt;&gt;"",EDATE($D143,Milestones!$AA$28)&gt;=$S143),$V143,$U143)))=Milestones!$AB$28),UPPER(TEXT(EDATE($D143,Milestones!$AA$28),"dd mmm yy"))&amp;" "&amp;Milestones!$AB$28&amp;" "&amp;Milestones!$AC$28&amp;";  ","")&amp;IF(AND(EDATE($D143,Milestones!$AA$29)&lt;=AsOfDate,IF($R143=0,$X143,IF(AND($T143&lt;&gt;"",EDATE($D143,Milestones!$AA$29)&gt;=$T143),$W143,IF(AND($S143&lt;&gt;"",EDATE($D143,Milestones!$AA$29)&gt;=$S143),$V143,$U143)))=Milestones!$AB$29),UPPER(TEXT(EDATE($D143,Milestones!$AA$29),"dd mmm yy"))&amp;" "&amp;Milestones!$AB$29&amp;" "&amp;Milestones!$AC$29&amp;";  ","")&amp;IF(AND(EDATE($D143,Milestones!$AA$30)&lt;=AsOfDate,IF($R143=0,$X143,IF(AND($T143&lt;&gt;"",EDATE($D143,Milestones!$AA$30)&gt;=$T143),$W143,IF(AND($S143&lt;&gt;"",EDATE($D143,Milestones!$AA$30)&gt;=$S143),$V143,$U143)))=Milestones!$AB$30),UPPER(TEXT(EDATE($D143,Milestones!$AA$30),"dd mmm yy"))&amp;" "&amp;Milestones!$AB$30&amp;" "&amp;Milestones!$AC$30&amp;";  ","")&amp;IF(AND(EDATE($D143,Milestones!$AA$31)&lt;=AsOfDate,IF($R143=0,$X143,IF(AND($T143&lt;&gt;"",EDATE($D143,Milestones!$AA$31)&gt;=$T143),$W143,IF(AND($S143&lt;&gt;"",EDATE($D143,Milestones!$AA$31)&gt;=$S143),$V143,$U143)))=Milestones!$AB$31),UPPER(TEXT(EDATE($D143,Milestones!$AA$31),"dd mmm yy"))&amp;" "&amp;Milestones!$AB$31&amp;" "&amp;Milestones!$AC$31&amp;";  ","")&amp;IF(AND(EDATE($D143,Milestones!$AA$32)&lt;=AsOfDate,IF($R143=0,$X143,IF(AND($T143&lt;&gt;"",EDATE($D143,Milestones!$AA$32)&gt;=$T143),$W143,IF(AND($S143&lt;&gt;"",EDATE($D143,Milestones!$AA$32)&gt;=$S143),$V143,$U143)))=Milestones!$AB$32),UPPER(TEXT(EDATE($D143,Milestones!$AA$32),"dd mmm yy"))&amp;" "&amp;Milestones!$AB$32&amp;" "&amp;Milestones!$AC$32&amp;";  ","")&amp;IF(AND(EDATE($D143,Milestones!$AA$33)&lt;=AsOfDate,IF($R143=0,$X143,IF(AND($T143&lt;&gt;"",EDATE($D143,Milestones!$AA$33)&gt;=$T143),$W143,IF(AND($S143&lt;&gt;"",EDATE($D143,Milestones!$AA$33)&gt;=$S143),$V143,$U143)))=Milestones!$AB$33),UPPER(TEXT(EDATE($D143,Milestones!$AA$33),"dd mmm yy"))&amp;" "&amp;Milestones!$AB$33&amp;" "&amp;Milestones!$AC$33&amp;";  ","")&amp;IF(AND(EDATE($D143,Milestones!$AA$34)&lt;=AsOfDate,IF($R143=0,$X143,IF(AND($T143&lt;&gt;"",EDATE($D143,Milestones!$AA$34)&gt;=$T143),$W143,IF(AND($S143&lt;&gt;"",EDATE($D143,Milestones!$AA$34)&gt;=$S143),$V143,$U143)))=Milestones!$AB$34),UPPER(TEXT(EDATE($D143,Milestones!$AA$34),"dd mmm yy"))&amp;" "&amp;Milestones!$AB$34&amp;" "&amp;Milestones!$AC$34&amp;";  ","")&amp;IF(AND(EDATE($D143,Milestones!$AA$35)&lt;=AsOfDate,IF($R143=0,$X143,IF(AND($T143&lt;&gt;"",EDATE($D143,Milestones!$AA$35)&gt;=$T143),$W143,IF(AND($S143&lt;&gt;"",EDATE($D143,Milestones!$AA$35)&gt;=$S143),$V143,$U143)))=Milestones!$AB$35),UPPER(TEXT(EDATE($D143,Milestones!$AA$35),"dd mmm yy"))&amp;" "&amp;Milestones!$AB$35&amp;" "&amp;Milestones!$AC$35&amp;";  ","")&amp;IF(AND(EDATE($D143,Milestones!$AA$36)&lt;=AsOfDate,IF($R143=0,$X143,IF(AND($T143&lt;&gt;"",EDATE($D143,Milestones!$AA$36)&gt;=$T143),$W143,IF(AND($S143&lt;&gt;"",EDATE($D143,Milestones!$AA$36)&gt;=$S143),$V143,$U143)))=Milestones!$AB$36),UPPER(TEXT(EDATE($D143,Milestones!$AA$36),"dd mmm yy"))&amp;" "&amp;Milestones!$AB$36&amp;" "&amp;Milestones!$AC$36&amp;";  ","")&amp;IF(AND(EDATE($D143,Milestones!$AA$37)&lt;=AsOfDate,IF($R143=0,$X143,IF(AND($T143&lt;&gt;"",EDATE($D143,Milestones!$AA$37)&gt;=$T143),$W143,IF(AND($S143&lt;&gt;"",EDATE($D143,Milestones!$AA$37)&gt;=$S143),$V143,$U143)))=Milestones!$AB$37),UPPER(TEXT(EDATE($D143,Milestones!$AA$37),"dd mmm yy"))&amp;" "&amp;Milestones!$AB$37&amp;" "&amp;Milestones!$AC$37&amp;";  ","")&amp;IF(AND(EDATE($D143,Milestones!$AA$38)&lt;=AsOfDate,IF($R143=0,$X143,IF(AND($T143&lt;&gt;"",EDATE($D143,Milestones!$AA$38)&gt;=$T143),$W143,IF(AND($S143&lt;&gt;"",EDATE($D143,Milestones!$AA$38)&gt;=$S143),$V143,$U143)))=Milestones!$AB$38),UPPER(TEXT(EDATE($D143,Milestones!$AA$38),"dd mmm yy"))&amp;" "&amp;Milestones!$AB$38&amp;" "&amp;Milestones!$AC$38&amp;";  ","")&amp;IF(AND(EDATE($D143,Milestones!$AA$39)&lt;=AsOfDate,IF($R143=0,$X143,IF(AND($T143&lt;&gt;"",EDATE($D143,Milestones!$AA$39)&gt;=$T143),$W143,IF(AND($S143&lt;&gt;"",EDATE($D143,Milestones!$AA$39)&gt;=$S143),$V143,$U143)))=Milestones!$AB$39),UPPER(TEXT(EDATE($D143,Milestones!$AA$39),"dd mmm yy"))&amp;" "&amp;Milestones!$AB$39&amp;" "&amp;Milestones!$AC$39&amp;";  ",""))</f>
        <v/>
      </c>
      <c r="J143" s="0" t="str">
        <f aca="false">IF(OR($A143="",$D143=""),"",IF(AND(EDATE($D143,Milestones!$AA$40)&lt;=AsOfDate,IF($R143=0,$X143,IF(AND($T143&lt;&gt;"",EDATE($D143,Milestones!$AA$40)&gt;=$T143),$W143,IF(AND($S143&lt;&gt;"",EDATE($D143,Milestones!$AA$40)&gt;=$S143),$V143,$U143)))=Milestones!$AB$40),UPPER(TEXT(EDATE($D143,Milestones!$AA$40),"dd mmm yy"))&amp;" "&amp;Milestones!$AB$40&amp;" "&amp;Milestones!$AC$40&amp;";  ","")&amp;IF(AND(EDATE($D143,Milestones!$AA$41)&lt;=AsOfDate,IF($R143=0,$X143,IF(AND($T143&lt;&gt;"",EDATE($D143,Milestones!$AA$41)&gt;=$T143),$W143,IF(AND($S143&lt;&gt;"",EDATE($D143,Milestones!$AA$41)&gt;=$S143),$V143,$U143)))=Milestones!$AB$41),UPPER(TEXT(EDATE($D143,Milestones!$AA$41),"dd mmm yy"))&amp;" "&amp;Milestones!$AB$41&amp;" "&amp;Milestones!$AC$41&amp;";  ","")&amp;IF(AND(EDATE($D143,Milestones!$AA$42)&lt;=AsOfDate,IF($R143=0,$X143,IF(AND($T143&lt;&gt;"",EDATE($D143,Milestones!$AA$42)&gt;=$T143),$W143,IF(AND($S143&lt;&gt;"",EDATE($D143,Milestones!$AA$42)&gt;=$S143),$V143,$U143)))=Milestones!$AB$42),UPPER(TEXT(EDATE($D143,Milestones!$AA$42),"dd mmm yy"))&amp;" "&amp;Milestones!$AB$42&amp;" "&amp;Milestones!$AC$42&amp;";  ","")&amp;IF(AND(EDATE($D143,Milestones!$AA$43)&lt;=AsOfDate,IF($R143=0,$X143,IF(AND($T143&lt;&gt;"",EDATE($D143,Milestones!$AA$43)&gt;=$T143),$W143,IF(AND($S143&lt;&gt;"",EDATE($D143,Milestones!$AA$43)&gt;=$S143),$V143,$U143)))=Milestones!$AB$43),UPPER(TEXT(EDATE($D143,Milestones!$AA$43),"dd mmm yy"))&amp;" "&amp;Milestones!$AB$43&amp;" "&amp;Milestones!$AC$43&amp;";  ","")&amp;IF(AND(EDATE($D143,Milestones!$AA$44)&lt;=AsOfDate,IF($R143=0,$X143,IF(AND($T143&lt;&gt;"",EDATE($D143,Milestones!$AA$44)&gt;=$T143),$W143,IF(AND($S143&lt;&gt;"",EDATE($D143,Milestones!$AA$44)&gt;=$S143),$V143,$U143)))=Milestones!$AB$44),UPPER(TEXT(EDATE($D143,Milestones!$AA$44),"dd mmm yy"))&amp;" "&amp;Milestones!$AB$44&amp;" "&amp;Milestones!$AC$44&amp;";  ","")&amp;IF(AND(EDATE($D143,Milestones!$AA$45)&lt;=AsOfDate,IF($R143=0,$X143,IF(AND($T143&lt;&gt;"",EDATE($D143,Milestones!$AA$45)&gt;=$T143),$W143,IF(AND($S143&lt;&gt;"",EDATE($D143,Milestones!$AA$45)&gt;=$S143),$V143,$U143)))=Milestones!$AB$45),UPPER(TEXT(EDATE($D143,Milestones!$AA$45),"dd mmm yy"))&amp;" "&amp;Milestones!$AB$45&amp;" "&amp;Milestones!$AC$45&amp;";  ","")&amp;IF(AND(EDATE($D143,Milestones!$AA$46)&lt;=AsOfDate,IF($R143=0,$X143,IF(AND($T143&lt;&gt;"",EDATE($D143,Milestones!$AA$46)&gt;=$T143),$W143,IF(AND($S143&lt;&gt;"",EDATE($D143,Milestones!$AA$46)&gt;=$S143),$V143,$U143)))=Milestones!$AB$46),UPPER(TEXT(EDATE($D143,Milestones!$AA$46),"dd mmm yy"))&amp;" "&amp;Milestones!$AB$46&amp;" "&amp;Milestones!$AC$46&amp;";  ","")&amp;IF(AND(EDATE($D143,Milestones!$AA$47)&lt;=AsOfDate,IF($R143=0,$X143,IF(AND($T143&lt;&gt;"",EDATE($D143,Milestones!$AA$47)&gt;=$T143),$W143,IF(AND($S143&lt;&gt;"",EDATE($D143,Milestones!$AA$47)&gt;=$S143),$V143,$U143)))=Milestones!$AB$47),UPPER(TEXT(EDATE($D143,Milestones!$AA$47),"dd mmm yy"))&amp;" "&amp;Milestones!$AB$47&amp;" "&amp;Milestones!$AC$47&amp;";  ","")&amp;IF(AND(EDATE($D143,Milestones!$AA$48)&lt;=AsOfDate,IF($R143=0,$X143,IF(AND($T143&lt;&gt;"",EDATE($D143,Milestones!$AA$48)&gt;=$T143),$W143,IF(AND($S143&lt;&gt;"",EDATE($D143,Milestones!$AA$48)&gt;=$S143),$V143,$U143)))=Milestones!$AB$48),UPPER(TEXT(EDATE($D143,Milestones!$AA$48),"dd mmm yy"))&amp;" "&amp;Milestones!$AB$48&amp;" "&amp;Milestones!$AC$48&amp;";  ","")&amp;IF(AND(EDATE($D143,Milestones!$AA$49)&lt;=AsOfDate,IF($R143=0,$X143,IF(AND($T143&lt;&gt;"",EDATE($D143,Milestones!$AA$49)&gt;=$T143),$W143,IF(AND($S143&lt;&gt;"",EDATE($D143,Milestones!$AA$49)&gt;=$S143),$V143,$U143)))=Milestones!$AB$49),UPPER(TEXT(EDATE($D143,Milestones!$AA$49),"dd mmm yy"))&amp;" "&amp;Milestones!$AB$49&amp;" "&amp;Milestones!$AC$49&amp;";  ","")&amp;IF(AND(EDATE($D143,Milestones!$AA$50)&lt;=AsOfDate,IF($R143=0,$X143,IF(AND($T143&lt;&gt;"",EDATE($D143,Milestones!$AA$50)&gt;=$T143),$W143,IF(AND($S143&lt;&gt;"",EDATE($D143,Milestones!$AA$50)&gt;=$S143),$V143,$U143)))=Milestones!$AB$50),UPPER(TEXT(EDATE($D143,Milestones!$AA$50),"dd mmm yy"))&amp;" "&amp;Milestones!$AB$50&amp;" "&amp;Milestones!$AC$50&amp;";  ","")&amp;IF(AND(EDATE($D143,Milestones!$AA$51)&lt;=AsOfDate,IF($R143=0,$X143,IF(AND($T143&lt;&gt;"",EDATE($D143,Milestones!$AA$51)&gt;=$T143),$W143,IF(AND($S143&lt;&gt;"",EDATE($D143,Milestones!$AA$51)&gt;=$S143),$V143,$U143)))=Milestones!$AB$51),UPPER(TEXT(EDATE($D143,Milestones!$AA$51),"dd mmm yy"))&amp;" "&amp;Milestones!$AB$51&amp;" "&amp;Milestones!$AC$51&amp;";  ","")&amp;IF(AND(EDATE($D143,Milestones!$AA$52)&lt;=AsOfDate,IF($R143=0,$X143,IF(AND($T143&lt;&gt;"",EDATE($D143,Milestones!$AA$52)&gt;=$T143),$W143,IF(AND($S143&lt;&gt;"",EDATE($D143,Milestones!$AA$52)&gt;=$S143),$V143,$U143)))=Milestones!$AB$52),UPPER(TEXT(EDATE($D143,Milestones!$AA$52),"dd mmm yy"))&amp;" "&amp;Milestones!$AB$52&amp;" "&amp;Milestones!$AC$52&amp;";  ","")&amp;IF(AND(EDATE($D143,Milestones!$AA$53)&lt;=AsOfDate,IF($R143=0,$X143,IF(AND($T143&lt;&gt;"",EDATE($D143,Milestones!$AA$53)&gt;=$T143),$W143,IF(AND($S143&lt;&gt;"",EDATE($D143,Milestones!$AA$53)&gt;=$S143),$V143,$U143)))=Milestones!$AB$53),UPPER(TEXT(EDATE($D143,Milestones!$AA$53),"dd mmm yy"))&amp;" "&amp;Milestones!$AB$53&amp;" "&amp;Milestones!$AC$53&amp;";  ","")&amp;IF(AND(EDATE($D143,Milestones!$AA$54)&lt;=AsOfDate,IF($R143=0,$X143,IF(AND($T143&lt;&gt;"",EDATE($D143,Milestones!$AA$54)&gt;=$T143),$W143,IF(AND($S143&lt;&gt;"",EDATE($D143,Milestones!$AA$54)&gt;=$S143),$V143,$U143)))=Milestones!$AB$54),UPPER(TEXT(EDATE($D143,Milestones!$AA$54),"dd mmm yy"))&amp;" "&amp;Milestones!$AB$54&amp;" "&amp;Milestones!$AC$54&amp;";  ","")&amp;IF(AND(EDATE($D143,Milestones!$AA$55)&lt;=AsOfDate,IF($R143=0,$X143,IF(AND($T143&lt;&gt;"",EDATE($D143,Milestones!$AA$55)&gt;=$T143),$W143,IF(AND($S143&lt;&gt;"",EDATE($D143,Milestones!$AA$55)&gt;=$S143),$V143,$U143)))=Milestones!$AB$55),UPPER(TEXT(EDATE($D143,Milestones!$AA$55),"dd mmm yy"))&amp;" "&amp;Milestones!$AB$55&amp;" "&amp;Milestones!$AC$55&amp;";  ","")&amp;IF(AND(EDATE($D143,Milestones!$AA$56)&lt;=AsOfDate,IF($R143=0,$X143,IF(AND($T143&lt;&gt;"",EDATE($D143,Milestones!$AA$56)&gt;=$T143),$W143,IF(AND($S143&lt;&gt;"",EDATE($D143,Milestones!$AA$56)&gt;=$S143),$V143,$U143)))=Milestones!$AB$56),UPPER(TEXT(EDATE($D143,Milestones!$AA$56),"dd mmm yy"))&amp;" "&amp;Milestones!$AB$56&amp;" "&amp;Milestones!$AC$56&amp;";  ","")&amp;IF(AND(EDATE($D143,Milestones!$AA$57)&lt;=AsOfDate,IF($R143=0,$X143,IF(AND($T143&lt;&gt;"",EDATE($D143,Milestones!$AA$57)&gt;=$T143),$W143,IF(AND($S143&lt;&gt;"",EDATE($D143,Milestones!$AA$57)&gt;=$S143),$V143,$U143)))=Milestones!$AB$57),UPPER(TEXT(EDATE($D143,Milestones!$AA$57),"dd mmm yy"))&amp;" "&amp;Milestones!$AB$57&amp;" "&amp;Milestones!$AC$57&amp;";  ","")&amp;IF(AND(EDATE($D143,Milestones!$AA$58)&lt;=AsOfDate,IF($R143=0,$X143,IF(AND($T143&lt;&gt;"",EDATE($D143,Milestones!$AA$58)&gt;=$T143),$W143,IF(AND($S143&lt;&gt;"",EDATE($D143,Milestones!$AA$58)&gt;=$S143),$V143,$U143)))=Milestones!$AB$58),UPPER(TEXT(EDATE($D143,Milestones!$AA$58),"dd mmm yy"))&amp;" "&amp;Milestones!$AB$58&amp;" "&amp;Milestones!$AC$58&amp;";  ","")&amp;IF(AND(EDATE($D143,Milestones!$AA$59)&lt;=AsOfDate,IF($R143=0,$X143,IF(AND($T143&lt;&gt;"",EDATE($D143,Milestones!$AA$59)&gt;=$T143),$W143,IF(AND($S143&lt;&gt;"",EDATE($D143,Milestones!$AA$59)&gt;=$S143),$V143,$U143)))=Milestones!$AB$59),UPPER(TEXT(EDATE($D143,Milestones!$AA$59),"dd mmm yy"))&amp;" "&amp;Milestones!$AB$59&amp;" "&amp;Milestones!$AC$59&amp;";  ",""))</f>
        <v/>
      </c>
      <c r="K143" s="0" t="str">
        <f aca="false">IF(OR($A143="",$D143=""),"",IF(AND(EDATE($D143,Milestones!$AA$60)&lt;=AsOfDate,IF($R143=0,$X143,IF(AND($T143&lt;&gt;"",EDATE($D143,Milestones!$AA$60)&gt;=$T143),$W143,IF(AND($S143&lt;&gt;"",EDATE($D143,Milestones!$AA$60)&gt;=$S143),$V143,$U143)))=Milestones!$AB$60),UPPER(TEXT(EDATE($D143,Milestones!$AA$60),"dd mmm yy"))&amp;" "&amp;Milestones!$AB$60&amp;" "&amp;Milestones!$AC$60&amp;";  ","")&amp;IF(AND(EDATE($D143,Milestones!$AA$61)&lt;=AsOfDate,IF($R143=0,$X143,IF(AND($T143&lt;&gt;"",EDATE($D143,Milestones!$AA$61)&gt;=$T143),$W143,IF(AND($S143&lt;&gt;"",EDATE($D143,Milestones!$AA$61)&gt;=$S143),$V143,$U143)))=Milestones!$AB$61),UPPER(TEXT(EDATE($D143,Milestones!$AA$61),"dd mmm yy"))&amp;" "&amp;Milestones!$AB$61&amp;" "&amp;Milestones!$AC$61&amp;";  ","")&amp;IF(AND(EDATE($D143,Milestones!$AA$62)&lt;=AsOfDate,IF($R143=0,$X143,IF(AND($T143&lt;&gt;"",EDATE($D143,Milestones!$AA$62)&gt;=$T143),$W143,IF(AND($S143&lt;&gt;"",EDATE($D143,Milestones!$AA$62)&gt;=$S143),$V143,$U143)))=Milestones!$AB$62),UPPER(TEXT(EDATE($D143,Milestones!$AA$62),"dd mmm yy"))&amp;" "&amp;Milestones!$AB$62&amp;" "&amp;Milestones!$AC$62&amp;";  ","")&amp;IF(AND(EDATE($D143,Milestones!$AA$63)&lt;=AsOfDate,IF($R143=0,$X143,IF(AND($T143&lt;&gt;"",EDATE($D143,Milestones!$AA$63)&gt;=$T143),$W143,IF(AND($S143&lt;&gt;"",EDATE($D143,Milestones!$AA$63)&gt;=$S143),$V143,$U143)))=Milestones!$AB$63),UPPER(TEXT(EDATE($D143,Milestones!$AA$63),"dd mmm yy"))&amp;" "&amp;Milestones!$AB$63&amp;" "&amp;Milestones!$AC$63&amp;";  ","")&amp;IF(AND(EDATE($D143,Milestones!$AA$64)&lt;=AsOfDate,IF($R143=0,$X143,IF(AND($T143&lt;&gt;"",EDATE($D143,Milestones!$AA$64)&gt;=$T143),$W143,IF(AND($S143&lt;&gt;"",EDATE($D143,Milestones!$AA$64)&gt;=$S143),$V143,$U143)))=Milestones!$AB$64),UPPER(TEXT(EDATE($D143,Milestones!$AA$64),"dd mmm yy"))&amp;" "&amp;Milestones!$AB$64&amp;" "&amp;Milestones!$AC$64&amp;";  ","")&amp;IF(AND(EDATE($D143,Milestones!$AA$65)&lt;=AsOfDate,IF($R143=0,$X143,IF(AND($T143&lt;&gt;"",EDATE($D143,Milestones!$AA$65)&gt;=$T143),$W143,IF(AND($S143&lt;&gt;"",EDATE($D143,Milestones!$AA$65)&gt;=$S143),$V143,$U143)))=Milestones!$AB$65),UPPER(TEXT(EDATE($D143,Milestones!$AA$65),"dd mmm yy"))&amp;" "&amp;Milestones!$AB$65&amp;" "&amp;Milestones!$AC$65&amp;";  ","")&amp;IF(AND(EDATE($D143,Milestones!$AA$66)&lt;=AsOfDate,IF($R143=0,$X143,IF(AND($T143&lt;&gt;"",EDATE($D143,Milestones!$AA$66)&gt;=$T143),$W143,IF(AND($S143&lt;&gt;"",EDATE($D143,Milestones!$AA$66)&gt;=$S143),$V143,$U143)))=Milestones!$AB$66),UPPER(TEXT(EDATE($D143,Milestones!$AA$66),"dd mmm yy"))&amp;" "&amp;Milestones!$AB$66&amp;" "&amp;Milestones!$AC$66&amp;";  ","")&amp;IF(AND(EDATE($D143,Milestones!$AA$67)&lt;=AsOfDate,IF($R143=0,$X143,IF(AND($T143&lt;&gt;"",EDATE($D143,Milestones!$AA$67)&gt;=$T143),$W143,IF(AND($S143&lt;&gt;"",EDATE($D143,Milestones!$AA$67)&gt;=$S143),$V143,$U143)))=Milestones!$AB$67),UPPER(TEXT(EDATE($D143,Milestones!$AA$67),"dd mmm yy"))&amp;" "&amp;Milestones!$AB$67&amp;" "&amp;Milestones!$AC$67&amp;";  ","")&amp;IF(AND(EDATE($D143,Milestones!$AA$68)&lt;=AsOfDate,IF($R143=0,$X143,IF(AND($T143&lt;&gt;"",EDATE($D143,Milestones!$AA$68)&gt;=$T143),$W143,IF(AND($S143&lt;&gt;"",EDATE($D143,Milestones!$AA$68)&gt;=$S143),$V143,$U143)))=Milestones!$AB$68),UPPER(TEXT(EDATE($D143,Milestones!$AA$68),"dd mmm yy"))&amp;" "&amp;Milestones!$AB$68&amp;" "&amp;Milestones!$AC$68&amp;";  ","")&amp;IF(AND(EDATE($D143,Milestones!$AA$69)&lt;=AsOfDate,IF($R143=0,$X143,IF(AND($T143&lt;&gt;"",EDATE($D143,Milestones!$AA$69)&gt;=$T143),$W143,IF(AND($S143&lt;&gt;"",EDATE($D143,Milestones!$AA$69)&gt;=$S143),$V143,$U143)))=Milestones!$AB$69),UPPER(TEXT(EDATE($D143,Milestones!$AA$69),"dd mmm yy"))&amp;" "&amp;Milestones!$AB$69&amp;" "&amp;Milestones!$AC$69&amp;";  ","")&amp;IF(AND(EDATE($D143,Milestones!$AA$70)&lt;=AsOfDate,IF($R143=0,$X143,IF(AND($T143&lt;&gt;"",EDATE($D143,Milestones!$AA$70)&gt;=$T143),$W143,IF(AND($S143&lt;&gt;"",EDATE($D143,Milestones!$AA$70)&gt;=$S143),$V143,$U143)))=Milestones!$AB$70),UPPER(TEXT(EDATE($D143,Milestones!$AA$70),"dd mmm yy"))&amp;" "&amp;Milestones!$AB$70&amp;" "&amp;Milestones!$AC$70&amp;";  ","")&amp;IF(AND(EDATE($D143,Milestones!$AA$71)&lt;=AsOfDate,IF($R143=0,$X143,IF(AND($T143&lt;&gt;"",EDATE($D143,Milestones!$AA$71)&gt;=$T143),$W143,IF(AND($S143&lt;&gt;"",EDATE($D143,Milestones!$AA$71)&gt;=$S143),$V143,$U143)))=Milestones!$AB$71),UPPER(TEXT(EDATE($D143,Milestones!$AA$71),"dd mmm yy"))&amp;" "&amp;Milestones!$AB$71&amp;" "&amp;Milestones!$AC$71&amp;";  ","")&amp;IF(AND(EDATE($D143,Milestones!$AA$72)&lt;=AsOfDate,IF($R143=0,$X143,IF(AND($T143&lt;&gt;"",EDATE($D143,Milestones!$AA$72)&gt;=$T143),$W143,IF(AND($S143&lt;&gt;"",EDATE($D143,Milestones!$AA$72)&gt;=$S143),$V143,$U143)))=Milestones!$AB$72),UPPER(TEXT(EDATE($D143,Milestones!$AA$72),"dd mmm yy"))&amp;" "&amp;Milestones!$AB$72&amp;" "&amp;Milestones!$AC$72&amp;";  ","")&amp;IF(AND(EDATE($D143,Milestones!$AA$73)&lt;=AsOfDate,IF($R143=0,$X143,IF(AND($T143&lt;&gt;"",EDATE($D143,Milestones!$AA$73)&gt;=$T143),$W143,IF(AND($S143&lt;&gt;"",EDATE($D143,Milestones!$AA$73)&gt;=$S143),$V143,$U143)))=Milestones!$AB$73),UPPER(TEXT(EDATE($D143,Milestones!$AA$73),"dd mmm yy"))&amp;" "&amp;Milestones!$AB$73&amp;" "&amp;Milestones!$AC$73&amp;";  ","")&amp;IF(AND(EDATE($D143,Milestones!$AA$74)&lt;=AsOfDate,IF($R143=0,$X143,IF(AND($T143&lt;&gt;"",EDATE($D143,Milestones!$AA$74)&gt;=$T143),$W143,IF(AND($S143&lt;&gt;"",EDATE($D143,Milestones!$AA$74)&gt;=$S143),$V143,$U143)))=Milestones!$AB$74),UPPER(TEXT(EDATE($D143,Milestones!$AA$74),"dd mmm yy"))&amp;" "&amp;Milestones!$AB$74&amp;" "&amp;Milestones!$AC$74&amp;";  ","")&amp;IF(AND(EDATE($D143,Milestones!$AA$75)&lt;=AsOfDate,IF($R143=0,$X143,IF(AND($T143&lt;&gt;"",EDATE($D143,Milestones!$AA$75)&gt;=$T143),$W143,IF(AND($S143&lt;&gt;"",EDATE($D143,Milestones!$AA$75)&gt;=$S143),$V143,$U143)))=Milestones!$AB$75),UPPER(TEXT(EDATE($D143,Milestones!$AA$75),"dd mmm yy"))&amp;" "&amp;Milestones!$AB$75&amp;" "&amp;Milestones!$AC$75&amp;";  ","")&amp;IF(AND(EDATE($D143,Milestones!$AA$76)&lt;=AsOfDate,IF($R143=0,$X143,IF(AND($T143&lt;&gt;"",EDATE($D143,Milestones!$AA$76)&gt;=$T143),$W143,IF(AND($S143&lt;&gt;"",EDATE($D143,Milestones!$AA$76)&gt;=$S143),$V143,$U143)))=Milestones!$AB$76),UPPER(TEXT(EDATE($D143,Milestones!$AA$76),"dd mmm yy"))&amp;" "&amp;Milestones!$AB$76&amp;" "&amp;Milestones!$AC$76&amp;";  ","")&amp;IF(AND(EDATE($D143,Milestones!$AA$77)&lt;=AsOfDate,IF($R143=0,$X143,IF(AND($T143&lt;&gt;"",EDATE($D143,Milestones!$AA$77)&gt;=$T143),$W143,IF(AND($S143&lt;&gt;"",EDATE($D143,Milestones!$AA$77)&gt;=$S143),$V143,$U143)))=Milestones!$AB$77),UPPER(TEXT(EDATE($D143,Milestones!$AA$77),"dd mmm yy"))&amp;" "&amp;Milestones!$AB$77&amp;" "&amp;Milestones!$AC$77&amp;";  ","")&amp;IF(AND(EDATE($D143,Milestones!$AA$78)&lt;=AsOfDate,IF($R143=0,$X143,IF(AND($T143&lt;&gt;"",EDATE($D143,Milestones!$AA$78)&gt;=$T143),$W143,IF(AND($S143&lt;&gt;"",EDATE($D143,Milestones!$AA$78)&gt;=$S143),$V143,$U143)))=Milestones!$AB$78),UPPER(TEXT(EDATE($D143,Milestones!$AA$78),"dd mmm yy"))&amp;" "&amp;Milestones!$AB$78&amp;" "&amp;Milestones!$AC$78&amp;";  ","")&amp;IF(AND(EDATE($D143,Milestones!$AA$79)&lt;=AsOfDate,IF($R143=0,$X143,IF(AND($T143&lt;&gt;"",EDATE($D143,Milestones!$AA$79)&gt;=$T143),$W143,IF(AND($S143&lt;&gt;"",EDATE($D143,Milestones!$AA$79)&gt;=$S143),$V143,$U143)))=Milestones!$AB$79),UPPER(TEXT(EDATE($D143,Milestones!$AA$79),"dd mmm yy"))&amp;" "&amp;Milestones!$AB$79&amp;" "&amp;Milestones!$AC$79&amp;";  ",""))</f>
        <v/>
      </c>
      <c r="L143" s="0" t="str">
        <f aca="false">IF(OR($A143="",$D143=""),"",IF(AND(EDATE($D143,Milestones!$AA$80)&lt;=AsOfDate,IF($R143=0,$X143,IF(AND($T143&lt;&gt;"",EDATE($D143,Milestones!$AA$80)&gt;=$T143),$W143,IF(AND($S143&lt;&gt;"",EDATE($D143,Milestones!$AA$80)&gt;=$S143),$V143,$U143)))=Milestones!$AB$80),UPPER(TEXT(EDATE($D143,Milestones!$AA$80),"dd mmm yy"))&amp;" "&amp;Milestones!$AB$80&amp;" "&amp;Milestones!$AC$80&amp;";  ","")&amp;IF(AND(EDATE($D143,Milestones!$AA$81)&lt;=AsOfDate,IF($R143=0,$X143,IF(AND($T143&lt;&gt;"",EDATE($D143,Milestones!$AA$81)&gt;=$T143),$W143,IF(AND($S143&lt;&gt;"",EDATE($D143,Milestones!$AA$81)&gt;=$S143),$V143,$U143)))=Milestones!$AB$81),UPPER(TEXT(EDATE($D143,Milestones!$AA$81),"dd mmm yy"))&amp;" "&amp;Milestones!$AB$81&amp;" "&amp;Milestones!$AC$81&amp;";  ","")&amp;IF(AND(EDATE($D143,Milestones!$AA$82)&lt;=AsOfDate,IF($R143=0,$X143,IF(AND($T143&lt;&gt;"",EDATE($D143,Milestones!$AA$82)&gt;=$T143),$W143,IF(AND($S143&lt;&gt;"",EDATE($D143,Milestones!$AA$82)&gt;=$S143),$V143,$U143)))=Milestones!$AB$82),UPPER(TEXT(EDATE($D143,Milestones!$AA$82),"dd mmm yy"))&amp;" "&amp;Milestones!$AB$82&amp;" "&amp;Milestones!$AC$82&amp;";  ","")&amp;IF(AND(EDATE($D143,Milestones!$AA$83)&lt;=AsOfDate,IF($R143=0,$X143,IF(AND($T143&lt;&gt;"",EDATE($D143,Milestones!$AA$83)&gt;=$T143),$W143,IF(AND($S143&lt;&gt;"",EDATE($D143,Milestones!$AA$83)&gt;=$S143),$V143,$U143)))=Milestones!$AB$83),UPPER(TEXT(EDATE($D143,Milestones!$AA$83),"dd mmm yy"))&amp;" "&amp;Milestones!$AB$83&amp;" "&amp;Milestones!$AC$83&amp;";  ","")&amp;IF(AND(EDATE($D143,Milestones!$AA$84)&lt;=AsOfDate,IF($R143=0,$X143,IF(AND($T143&lt;&gt;"",EDATE($D143,Milestones!$AA$84)&gt;=$T143),$W143,IF(AND($S143&lt;&gt;"",EDATE($D143,Milestones!$AA$84)&gt;=$S143),$V143,$U143)))=Milestones!$AB$84),UPPER(TEXT(EDATE($D143,Milestones!$AA$84),"dd mmm yy"))&amp;" "&amp;Milestones!$AB$84&amp;" "&amp;Milestones!$AC$84&amp;";  ","")&amp;IF(AND(EDATE($D143,Milestones!$AA$85)&lt;=AsOfDate,IF($R143=0,$X143,IF(AND($T143&lt;&gt;"",EDATE($D143,Milestones!$AA$85)&gt;=$T143),$W143,IF(AND($S143&lt;&gt;"",EDATE($D143,Milestones!$AA$85)&gt;=$S143),$V143,$U143)))=Milestones!$AB$85),UPPER(TEXT(EDATE($D143,Milestones!$AA$85),"dd mmm yy"))&amp;" "&amp;Milestones!$AB$85&amp;" "&amp;Milestones!$AC$85&amp;";  ","")&amp;IF(AND(EDATE($D143,Milestones!$AA$86)&lt;=AsOfDate,IF($R143=0,$X143,IF(AND($T143&lt;&gt;"",EDATE($D143,Milestones!$AA$86)&gt;=$T143),$W143,IF(AND($S143&lt;&gt;"",EDATE($D143,Milestones!$AA$86)&gt;=$S143),$V143,$U143)))=Milestones!$AB$86),UPPER(TEXT(EDATE($D143,Milestones!$AA$86),"dd mmm yy"))&amp;" "&amp;Milestones!$AB$86&amp;" "&amp;Milestones!$AC$86&amp;";  ","")&amp;IF(AND(EDATE($D143,Milestones!$AA$87)&lt;=AsOfDate,IF($R143=0,$X143,IF(AND($T143&lt;&gt;"",EDATE($D143,Milestones!$AA$87)&gt;=$T143),$W143,IF(AND($S143&lt;&gt;"",EDATE($D143,Milestones!$AA$87)&gt;=$S143),$V143,$U143)))=Milestones!$AB$87),UPPER(TEXT(EDATE($D143,Milestones!$AA$87),"dd mmm yy"))&amp;" "&amp;Milestones!$AB$87&amp;" "&amp;Milestones!$AC$87&amp;";  ","")&amp;IF(AND(EDATE($D143,Milestones!$AA$88)&lt;=AsOfDate,IF($R143=0,$X143,IF(AND($T143&lt;&gt;"",EDATE($D143,Milestones!$AA$88)&gt;=$T143),$W143,IF(AND($S143&lt;&gt;"",EDATE($D143,Milestones!$AA$88)&gt;=$S143),$V143,$U143)))=Milestones!$AB$88),UPPER(TEXT(EDATE($D143,Milestones!$AA$88),"dd mmm yy"))&amp;" "&amp;Milestones!$AB$88&amp;" "&amp;Milestones!$AC$88&amp;";  ","")&amp;IF(AND(EDATE($D143,Milestones!$AA$89)&lt;=AsOfDate,IF($R143=0,$X143,IF(AND($T143&lt;&gt;"",EDATE($D143,Milestones!$AA$89)&gt;=$T143),$W143,IF(AND($S143&lt;&gt;"",EDATE($D143,Milestones!$AA$89)&gt;=$S143),$V143,$U143)))=Milestones!$AB$89),UPPER(TEXT(EDATE($D143,Milestones!$AA$89),"dd mmm yy"))&amp;" "&amp;Milestones!$AB$89&amp;" "&amp;Milestones!$AC$89&amp;";  ","")&amp;IF(AND(EDATE($D143,Milestones!$AA$90)&lt;=AsOfDate,IF($R143=0,$X143,IF(AND($T143&lt;&gt;"",EDATE($D143,Milestones!$AA$90)&gt;=$T143),$W143,IF(AND($S143&lt;&gt;"",EDATE($D143,Milestones!$AA$90)&gt;=$S143),$V143,$U143)))=Milestones!$AB$90),UPPER(TEXT(EDATE($D143,Milestones!$AA$90),"dd mmm yy"))&amp;" "&amp;Milestones!$AB$90&amp;" "&amp;Milestones!$AC$90&amp;";  ","")&amp;IF(AND(EDATE($D143,Milestones!$AA$91)&lt;=AsOfDate,IF($R143=0,$X143,IF(AND($T143&lt;&gt;"",EDATE($D143,Milestones!$AA$91)&gt;=$T143),$W143,IF(AND($S143&lt;&gt;"",EDATE($D143,Milestones!$AA$91)&gt;=$S143),$V143,$U143)))=Milestones!$AB$91),UPPER(TEXT(EDATE($D143,Milestones!$AA$91),"dd mmm yy"))&amp;" "&amp;Milestones!$AB$91&amp;" "&amp;Milestones!$AC$91&amp;";  ","")&amp;IF(AND(EDATE($D143,Milestones!$AA$92)&lt;=AsOfDate,IF($R143=0,$X143,IF(AND($T143&lt;&gt;"",EDATE($D143,Milestones!$AA$92)&gt;=$T143),$W143,IF(AND($S143&lt;&gt;"",EDATE($D143,Milestones!$AA$92)&gt;=$S143),$V143,$U143)))=Milestones!$AB$92),UPPER(TEXT(EDATE($D143,Milestones!$AA$92),"dd mmm yy"))&amp;" "&amp;Milestones!$AB$92&amp;" "&amp;Milestones!$AC$92&amp;";  ","")&amp;IF(AND(EDATE($D143,Milestones!$AA$93)&lt;=AsOfDate,IF($R143=0,$X143,IF(AND($T143&lt;&gt;"",EDATE($D143,Milestones!$AA$93)&gt;=$T143),$W143,IF(AND($S143&lt;&gt;"",EDATE($D143,Milestones!$AA$93)&gt;=$S143),$V143,$U143)))=Milestones!$AB$93),UPPER(TEXT(EDATE($D143,Milestones!$AA$93),"dd mmm yy"))&amp;" "&amp;Milestones!$AB$93&amp;" "&amp;Milestones!$AC$93&amp;";  ","")&amp;IF(AND(EDATE($D143,Milestones!$AA$94)&lt;=AsOfDate,IF($R143=0,$X143,IF(AND($T143&lt;&gt;"",EDATE($D143,Milestones!$AA$94)&gt;=$T143),$W143,IF(AND($S143&lt;&gt;"",EDATE($D143,Milestones!$AA$94)&gt;=$S143),$V143,$U143)))=Milestones!$AB$94),UPPER(TEXT(EDATE($D143,Milestones!$AA$94),"dd mmm yy"))&amp;" "&amp;Milestones!$AB$94&amp;" "&amp;Milestones!$AC$94&amp;";  ","")&amp;IF(AND(EDATE($D143,Milestones!$AA$95)&lt;=AsOfDate,IF($R143=0,$X143,IF(AND($T143&lt;&gt;"",EDATE($D143,Milestones!$AA$95)&gt;=$T143),$W143,IF(AND($S143&lt;&gt;"",EDATE($D143,Milestones!$AA$95)&gt;=$S143),$V143,$U143)))=Milestones!$AB$95),UPPER(TEXT(EDATE($D143,Milestones!$AA$95),"dd mmm yy"))&amp;" "&amp;Milestones!$AB$95&amp;" "&amp;Milestones!$AC$95&amp;";  ","")&amp;IF(AND(EDATE($D143,Milestones!$AA$96)&lt;=AsOfDate,IF($R143=0,$X143,IF(AND($T143&lt;&gt;"",EDATE($D143,Milestones!$AA$96)&gt;=$T143),$W143,IF(AND($S143&lt;&gt;"",EDATE($D143,Milestones!$AA$96)&gt;=$S143),$V143,$U143)))=Milestones!$AB$96),UPPER(TEXT(EDATE($D143,Milestones!$AA$96),"dd mmm yy"))&amp;" "&amp;Milestones!$AB$96&amp;" "&amp;Milestones!$AC$96&amp;";  ","")&amp;IF(AND(EDATE($D143,Milestones!$AA$97)&lt;=AsOfDate,IF($R143=0,$X143,IF(AND($T143&lt;&gt;"",EDATE($D143,Milestones!$AA$97)&gt;=$T143),$W143,IF(AND($S143&lt;&gt;"",EDATE($D143,Milestones!$AA$97)&gt;=$S143),$V143,$U143)))=Milestones!$AB$97),UPPER(TEXT(EDATE($D143,Milestones!$AA$97),"dd mmm yy"))&amp;" "&amp;Milestones!$AB$97&amp;" "&amp;Milestones!$AC$97&amp;";  ","")&amp;IF(AND(EDATE($D143,Milestones!$AA$98)&lt;=AsOfDate,IF($R143=0,$X143,IF(AND($T143&lt;&gt;"",EDATE($D143,Milestones!$AA$98)&gt;=$T143),$W143,IF(AND($S143&lt;&gt;"",EDATE($D143,Milestones!$AA$98)&gt;=$S143),$V143,$U143)))=Milestones!$AB$98),UPPER(TEXT(EDATE($D143,Milestones!$AA$98),"dd mmm yy"))&amp;" "&amp;Milestones!$AB$98&amp;" "&amp;Milestones!$AC$98&amp;";  ","")&amp;IF(AND(EDATE($D143,Milestones!$AA$99)&lt;=AsOfDate,IF($R143=0,$X143,IF(AND($T143&lt;&gt;"",EDATE($D143,Milestones!$AA$99)&gt;=$T143),$W143,IF(AND($S143&lt;&gt;"",EDATE($D143,Milestones!$AA$99)&gt;=$S143),$V143,$U143)))=Milestones!$AB$99),UPPER(TEXT(EDATE($D143,Milestones!$AA$99),"dd mmm yy"))&amp;" "&amp;Milestones!$AB$99&amp;" "&amp;Milestones!$AC$99&amp;";  ",""))</f>
        <v/>
      </c>
      <c r="M143" s="0" t="str">
        <f aca="false">IF(OR($A143="",$D143=""),"",IF(AND(EDATE($D143,Milestones!$AA$100)&lt;=AsOfDate,IF($R143=0,$X143,IF(AND($T143&lt;&gt;"",EDATE($D143,Milestones!$AA$100)&gt;=$T143),$W143,IF(AND($S143&lt;&gt;"",EDATE($D143,Milestones!$AA$100)&gt;=$S143),$V143,$U143)))=Milestones!$AB$100),UPPER(TEXT(EDATE($D143,Milestones!$AA$100),"dd mmm yy"))&amp;" "&amp;Milestones!$AB$100&amp;" "&amp;Milestones!$AC$100&amp;";  ","")&amp;IF(AND(EDATE($D143,Milestones!$AA$101)&lt;=AsOfDate,IF($R143=0,$X143,IF(AND($T143&lt;&gt;"",EDATE($D143,Milestones!$AA$101)&gt;=$T143),$W143,IF(AND($S143&lt;&gt;"",EDATE($D143,Milestones!$AA$101)&gt;=$S143),$V143,$U143)))=Milestones!$AB$101),UPPER(TEXT(EDATE($D143,Milestones!$AA$101),"dd mmm yy"))&amp;" "&amp;Milestones!$AB$101&amp;" "&amp;Milestones!$AC$101&amp;";  ","")&amp;IF(AND(EDATE($D143,Milestones!$AA$102)&lt;=AsOfDate,IF($R143=0,$X143,IF(AND($T143&lt;&gt;"",EDATE($D143,Milestones!$AA$102)&gt;=$T143),$W143,IF(AND($S143&lt;&gt;"",EDATE($D143,Milestones!$AA$102)&gt;=$S143),$V143,$U143)))=Milestones!$AB$102),UPPER(TEXT(EDATE($D143,Milestones!$AA$102),"dd mmm yy"))&amp;" "&amp;Milestones!$AB$102&amp;" "&amp;Milestones!$AC$102&amp;";  ","")&amp;IF(AND(EDATE($D143,Milestones!$AA$103)&lt;=AsOfDate,IF($R143=0,$X143,IF(AND($T143&lt;&gt;"",EDATE($D143,Milestones!$AA$103)&gt;=$T143),$W143,IF(AND($S143&lt;&gt;"",EDATE($D143,Milestones!$AA$103)&gt;=$S143),$V143,$U143)))=Milestones!$AB$103),UPPER(TEXT(EDATE($D143,Milestones!$AA$103),"dd mmm yy"))&amp;" "&amp;Milestones!$AB$103&amp;" "&amp;Milestones!$AC$103&amp;";  ","")&amp;IF(AND(EDATE($D143,Milestones!$AA$104)&lt;=AsOfDate,IF($R143=0,$X143,IF(AND($T143&lt;&gt;"",EDATE($D143,Milestones!$AA$104)&gt;=$T143),$W143,IF(AND($S143&lt;&gt;"",EDATE($D143,Milestones!$AA$104)&gt;=$S143),$V143,$U143)))=Milestones!$AB$104),UPPER(TEXT(EDATE($D143,Milestones!$AA$104),"dd mmm yy"))&amp;" "&amp;Milestones!$AB$104&amp;" "&amp;Milestones!$AC$104&amp;";  ","")&amp;IF(AND(EDATE($D143,Milestones!$AA$105)&lt;=AsOfDate,IF($R143=0,$X143,IF(AND($T143&lt;&gt;"",EDATE($D143,Milestones!$AA$105)&gt;=$T143),$W143,IF(AND($S143&lt;&gt;"",EDATE($D143,Milestones!$AA$105)&gt;=$S143),$V143,$U143)))=Milestones!$AB$105),UPPER(TEXT(EDATE($D143,Milestones!$AA$105),"dd mmm yy"))&amp;" "&amp;Milestones!$AB$105&amp;" "&amp;Milestones!$AC$105&amp;";  ","")&amp;IF(AND(EDATE($D143,Milestones!$AA$106)&lt;=AsOfDate,IF($R143=0,$X143,IF(AND($T143&lt;&gt;"",EDATE($D143,Milestones!$AA$106)&gt;=$T143),$W143,IF(AND($S143&lt;&gt;"",EDATE($D143,Milestones!$AA$106)&gt;=$S143),$V143,$U143)))=Milestones!$AB$106),UPPER(TEXT(EDATE($D143,Milestones!$AA$106),"dd mmm yy"))&amp;" "&amp;Milestones!$AB$106&amp;" "&amp;Milestones!$AC$106&amp;";  ","")&amp;IF(AND(EDATE($D143,Milestones!$AA$107)&lt;=AsOfDate,IF($R143=0,$X143,IF(AND($T143&lt;&gt;"",EDATE($D143,Milestones!$AA$107)&gt;=$T143),$W143,IF(AND($S143&lt;&gt;"",EDATE($D143,Milestones!$AA$107)&gt;=$S143),$V143,$U143)))=Milestones!$AB$107),UPPER(TEXT(EDATE($D143,Milestones!$AA$107),"dd mmm yy"))&amp;" "&amp;Milestones!$AB$107&amp;" "&amp;Milestones!$AC$107&amp;";  ","")&amp;IF(AND(EDATE($D143,Milestones!$AA$108)&lt;=AsOfDate,IF($R143=0,$X143,IF(AND($T143&lt;&gt;"",EDATE($D143,Milestones!$AA$108)&gt;=$T143),$W143,IF(AND($S143&lt;&gt;"",EDATE($D143,Milestones!$AA$108)&gt;=$S143),$V143,$U143)))=Milestones!$AB$108),UPPER(TEXT(EDATE($D143,Milestones!$AA$108),"dd mmm yy"))&amp;" "&amp;Milestones!$AB$108&amp;" "&amp;Milestones!$AC$108&amp;";  ","")&amp;IF(AND(EDATE($D143,Milestones!$AA$109)&lt;=AsOfDate,IF($R143=0,$X143,IF(AND($T143&lt;&gt;"",EDATE($D143,Milestones!$AA$109)&gt;=$T143),$W143,IF(AND($S143&lt;&gt;"",EDATE($D143,Milestones!$AA$109)&gt;=$S143),$V143,$U143)))=Milestones!$AB$109),UPPER(TEXT(EDATE($D143,Milestones!$AA$109),"dd mmm yy"))&amp;" "&amp;Milestones!$AB$109&amp;" "&amp;Milestones!$AC$109&amp;";  ","")&amp;IF(AND(EDATE($D143,Milestones!$AA$110)&lt;=AsOfDate,IF($R143=0,$X143,IF(AND($T143&lt;&gt;"",EDATE($D143,Milestones!$AA$110)&gt;=$T143),$W143,IF(AND($S143&lt;&gt;"",EDATE($D143,Milestones!$AA$110)&gt;=$S143),$V143,$U143)))=Milestones!$AB$110),UPPER(TEXT(EDATE($D143,Milestones!$AA$110),"dd mmm yy"))&amp;" "&amp;Milestones!$AB$110&amp;" "&amp;Milestones!$AC$110&amp;";  ","")&amp;IF(AND(EDATE($D143,Milestones!$AA$111)&lt;=AsOfDate,IF($R143=0,$X143,IF(AND($T143&lt;&gt;"",EDATE($D143,Milestones!$AA$111)&gt;=$T143),$W143,IF(AND($S143&lt;&gt;"",EDATE($D143,Milestones!$AA$111)&gt;=$S143),$V143,$U143)))=Milestones!$AB$111),UPPER(TEXT(EDATE($D143,Milestones!$AA$111),"dd mmm yy"))&amp;" "&amp;Milestones!$AB$111&amp;" "&amp;Milestones!$AC$111&amp;";  ","")&amp;IF(AND(EDATE($D143,Milestones!$AA$112)&lt;=AsOfDate,IF($R143=0,$X143,IF(AND($T143&lt;&gt;"",EDATE($D143,Milestones!$AA$112)&gt;=$T143),$W143,IF(AND($S143&lt;&gt;"",EDATE($D143,Milestones!$AA$112)&gt;=$S143),$V143,$U143)))=Milestones!$AB$112),UPPER(TEXT(EDATE($D143,Milestones!$AA$112),"dd mmm yy"))&amp;" "&amp;Milestones!$AB$112&amp;" "&amp;Milestones!$AC$112&amp;";  ","")&amp;IF(AND(EDATE($D143,Milestones!$AA$113)&lt;=AsOfDate,IF($R143=0,$X143,IF(AND($T143&lt;&gt;"",EDATE($D143,Milestones!$AA$113)&gt;=$T143),$W143,IF(AND($S143&lt;&gt;"",EDATE($D143,Milestones!$AA$113)&gt;=$S143),$V143,$U143)))=Milestones!$AB$113),UPPER(TEXT(EDATE($D143,Milestones!$AA$113),"dd mmm yy"))&amp;" "&amp;Milestones!$AB$113&amp;" "&amp;Milestones!$AC$113&amp;";  ","")&amp;IF(AND(EDATE($D143,Milestones!$AA$114)&lt;=AsOfDate,IF($R143=0,$X143,IF(AND($T143&lt;&gt;"",EDATE($D143,Milestones!$AA$114)&gt;=$T143),$W143,IF(AND($S143&lt;&gt;"",EDATE($D143,Milestones!$AA$114)&gt;=$S143),$V143,$U143)))=Milestones!$AB$114),UPPER(TEXT(EDATE($D143,Milestones!$AA$114),"dd mmm yy"))&amp;" "&amp;Milestones!$AB$114&amp;" "&amp;Milestones!$AC$114&amp;";  ","")&amp;IF(AND(EDATE($D143,Milestones!$AA$115)&lt;=AsOfDate,IF($R143=0,$X143,IF(AND($T143&lt;&gt;"",EDATE($D143,Milestones!$AA$115)&gt;=$T143),$W143,IF(AND($S143&lt;&gt;"",EDATE($D143,Milestones!$AA$115)&gt;=$S143),$V143,$U143)))=Milestones!$AB$115),UPPER(TEXT(EDATE($D143,Milestones!$AA$115),"dd mmm yy"))&amp;" "&amp;Milestones!$AB$115&amp;" "&amp;Milestones!$AC$115&amp;";  ","")&amp;IF(AND(EDATE($D143,Milestones!$AA$116)&lt;=AsOfDate,IF($R143=0,$X143,IF(AND($T143&lt;&gt;"",EDATE($D143,Milestones!$AA$116)&gt;=$T143),$W143,IF(AND($S143&lt;&gt;"",EDATE($D143,Milestones!$AA$116)&gt;=$S143),$V143,$U143)))=Milestones!$AB$116),UPPER(TEXT(EDATE($D143,Milestones!$AA$116),"dd mmm yy"))&amp;" "&amp;Milestones!$AB$116&amp;" "&amp;Milestones!$AC$116&amp;";  ","")&amp;IF(AND(EDATE($D143,Milestones!$AA$117)&lt;=AsOfDate,IF($R143=0,$X143,IF(AND($T143&lt;&gt;"",EDATE($D143,Milestones!$AA$117)&gt;=$T143),$W143,IF(AND($S143&lt;&gt;"",EDATE($D143,Milestones!$AA$117)&gt;=$S143),$V143,$U143)))=Milestones!$AB$117),UPPER(TEXT(EDATE($D143,Milestones!$AA$117),"dd mmm yy"))&amp;" "&amp;Milestones!$AB$117&amp;" "&amp;Milestones!$AC$117&amp;";  ","")&amp;IF(AND(EDATE($D143,Milestones!$AA$118)&lt;=AsOfDate,IF($R143=0,$X143,IF(AND($T143&lt;&gt;"",EDATE($D143,Milestones!$AA$118)&gt;=$T143),$W143,IF(AND($S143&lt;&gt;"",EDATE($D143,Milestones!$AA$118)&gt;=$S143),$V143,$U143)))=Milestones!$AB$118),UPPER(TEXT(EDATE($D143,Milestones!$AA$118),"dd mmm yy"))&amp;" "&amp;Milestones!$AB$118&amp;" "&amp;Milestones!$AC$118&amp;";  ","")&amp;IF(AND(EDATE($D143,Milestones!$AA$119)&lt;=AsOfDate,IF($R143=0,$X143,IF(AND($T143&lt;&gt;"",EDATE($D143,Milestones!$AA$119)&gt;=$T143),$W143,IF(AND($S143&lt;&gt;"",EDATE($D143,Milestones!$AA$119)&gt;=$S143),$V143,$U143)))=Milestones!$AB$119),UPPER(TEXT(EDATE($D143,Milestones!$AA$119),"dd mmm yy"))&amp;" "&amp;Milestones!$AB$119&amp;" "&amp;Milestones!$AC$119&amp;";  ",""))</f>
        <v/>
      </c>
      <c r="N143" s="0" t="str">
        <f aca="false">IF(OR($A143="",$D143=""),"",IF(AND(EDATE($D143,Milestones!$AA$120)&lt;=AsOfDate,IF($R143=0,$X143,IF(AND($T143&lt;&gt;"",EDATE($D143,Milestones!$AA$120)&gt;=$T143),$W143,IF(AND($S143&lt;&gt;"",EDATE($D143,Milestones!$AA$120)&gt;=$S143),$V143,$U143)))=Milestones!$AB$120),UPPER(TEXT(EDATE($D143,Milestones!$AA$120),"dd mmm yy"))&amp;" "&amp;Milestones!$AB$120&amp;" "&amp;Milestones!$AC$120&amp;";  ","")&amp;IF(AND(EDATE($D143,Milestones!$AA$121)&lt;=AsOfDate,IF($R143=0,$X143,IF(AND($T143&lt;&gt;"",EDATE($D143,Milestones!$AA$121)&gt;=$T143),$W143,IF(AND($S143&lt;&gt;"",EDATE($D143,Milestones!$AA$121)&gt;=$S143),$V143,$U143)))=Milestones!$AB$121),UPPER(TEXT(EDATE($D143,Milestones!$AA$121),"dd mmm yy"))&amp;" "&amp;Milestones!$AB$121&amp;" "&amp;Milestones!$AC$121&amp;";  ","")&amp;IF(AND(EDATE($D143,Milestones!$AA$122)&lt;=AsOfDate,IF($R143=0,$X143,IF(AND($T143&lt;&gt;"",EDATE($D143,Milestones!$AA$122)&gt;=$T143),$W143,IF(AND($S143&lt;&gt;"",EDATE($D143,Milestones!$AA$122)&gt;=$S143),$V143,$U143)))=Milestones!$AB$122),UPPER(TEXT(EDATE($D143,Milestones!$AA$122),"dd mmm yy"))&amp;" "&amp;Milestones!$AB$122&amp;" "&amp;Milestones!$AC$122&amp;";  ","")&amp;IF(AND(EDATE($D143,Milestones!$AA$123)&lt;=AsOfDate,IF($R143=0,$X143,IF(AND($T143&lt;&gt;"",EDATE($D143,Milestones!$AA$123)&gt;=$T143),$W143,IF(AND($S143&lt;&gt;"",EDATE($D143,Milestones!$AA$123)&gt;=$S143),$V143,$U143)))=Milestones!$AB$123),UPPER(TEXT(EDATE($D143,Milestones!$AA$123),"dd mmm yy"))&amp;" "&amp;Milestones!$AB$123&amp;" "&amp;Milestones!$AC$123&amp;";  ","")&amp;IF(AND(EDATE($D143,Milestones!$AA$124)&lt;=AsOfDate,IF($R143=0,$X143,IF(AND($T143&lt;&gt;"",EDATE($D143,Milestones!$AA$124)&gt;=$T143),$W143,IF(AND($S143&lt;&gt;"",EDATE($D143,Milestones!$AA$124)&gt;=$S143),$V143,$U143)))=Milestones!$AB$124),UPPER(TEXT(EDATE($D143,Milestones!$AA$124),"dd mmm yy"))&amp;" "&amp;Milestones!$AB$124&amp;" "&amp;Milestones!$AC$124&amp;";  ","")&amp;IF(AND(EDATE($D143,Milestones!$AA$125)&lt;=AsOfDate,IF($R143=0,$X143,IF(AND($T143&lt;&gt;"",EDATE($D143,Milestones!$AA$125)&gt;=$T143),$W143,IF(AND($S143&lt;&gt;"",EDATE($D143,Milestones!$AA$125)&gt;=$S143),$V143,$U143)))=Milestones!$AB$125),UPPER(TEXT(EDATE($D143,Milestones!$AA$125),"dd mmm yy"))&amp;" "&amp;Milestones!$AB$125&amp;" "&amp;Milestones!$AC$125&amp;";  ","")&amp;IF(AND(EDATE($D143,Milestones!$AA$126)&lt;=AsOfDate,IF($R143=0,$X143,IF(AND($T143&lt;&gt;"",EDATE($D143,Milestones!$AA$126)&gt;=$T143),$W143,IF(AND($S143&lt;&gt;"",EDATE($D143,Milestones!$AA$126)&gt;=$S143),$V143,$U143)))=Milestones!$AB$126),UPPER(TEXT(EDATE($D143,Milestones!$AA$126),"dd mmm yy"))&amp;" "&amp;Milestones!$AB$126&amp;" "&amp;Milestones!$AC$126&amp;";  ","")&amp;IF(AND(EDATE($D143,Milestones!$AA$127)&lt;=AsOfDate,IF($R143=0,$X143,IF(AND($T143&lt;&gt;"",EDATE($D143,Milestones!$AA$127)&gt;=$T143),$W143,IF(AND($S143&lt;&gt;"",EDATE($D143,Milestones!$AA$127)&gt;=$S143),$V143,$U143)))=Milestones!$AB$127),UPPER(TEXT(EDATE($D143,Milestones!$AA$127),"dd mmm yy"))&amp;" "&amp;Milestones!$AB$127&amp;" "&amp;Milestones!$AC$127&amp;";  ","")&amp;IF(AND(EDATE($D143,Milestones!$AA$128)&lt;=AsOfDate,IF($R143=0,$X143,IF(AND($T143&lt;&gt;"",EDATE($D143,Milestones!$AA$128)&gt;=$T143),$W143,IF(AND($S143&lt;&gt;"",EDATE($D143,Milestones!$AA$128)&gt;=$S143),$V143,$U143)))=Milestones!$AB$128),UPPER(TEXT(EDATE($D143,Milestones!$AA$128),"dd mmm yy"))&amp;" "&amp;Milestones!$AB$128&amp;" "&amp;Milestones!$AC$128&amp;";  ","")&amp;IF(AND(EDATE($D143,Milestones!$AA$129)&lt;=AsOfDate,IF($R143=0,$X143,IF(AND($T143&lt;&gt;"",EDATE($D143,Milestones!$AA$129)&gt;=$T143),$W143,IF(AND($S143&lt;&gt;"",EDATE($D143,Milestones!$AA$129)&gt;=$S143),$V143,$U143)))=Milestones!$AB$129),UPPER(TEXT(EDATE($D143,Milestones!$AA$129),"dd mmm yy"))&amp;" "&amp;Milestones!$AB$129&amp;" "&amp;Milestones!$AC$129&amp;";  ","")&amp;IF(AND(EDATE($D143,Milestones!$AA$130)&lt;=AsOfDate,IF($R143=0,$X143,IF(AND($T143&lt;&gt;"",EDATE($D143,Milestones!$AA$130)&gt;=$T143),$W143,IF(AND($S143&lt;&gt;"",EDATE($D143,Milestones!$AA$130)&gt;=$S143),$V143,$U143)))=Milestones!$AB$130),UPPER(TEXT(EDATE($D143,Milestones!$AA$130),"dd mmm yy"))&amp;" "&amp;Milestones!$AB$130&amp;" "&amp;Milestones!$AC$130&amp;";  ","")&amp;IF(AND(EDATE($D143,Milestones!$AA$131)&lt;=AsOfDate,IF($R143=0,$X143,IF(AND($T143&lt;&gt;"",EDATE($D143,Milestones!$AA$131)&gt;=$T143),$W143,IF(AND($S143&lt;&gt;"",EDATE($D143,Milestones!$AA$131)&gt;=$S143),$V143,$U143)))=Milestones!$AB$131),UPPER(TEXT(EDATE($D143,Milestones!$AA$131),"dd mmm yy"))&amp;" "&amp;Milestones!$AB$131&amp;" "&amp;Milestones!$AC$131&amp;";  ","")&amp;IF(AND(EDATE($D143,Milestones!$AA$132)&lt;=AsOfDate,IF($R143=0,$X143,IF(AND($T143&lt;&gt;"",EDATE($D143,Milestones!$AA$132)&gt;=$T143),$W143,IF(AND($S143&lt;&gt;"",EDATE($D143,Milestones!$AA$132)&gt;=$S143),$V143,$U143)))=Milestones!$AB$132),UPPER(TEXT(EDATE($D143,Milestones!$AA$132),"dd mmm yy"))&amp;" "&amp;Milestones!$AB$132&amp;" "&amp;Milestones!$AC$132&amp;";  ","")&amp;IF(AND(EDATE($D143,Milestones!$AA$133)&lt;=AsOfDate,IF($R143=0,$X143,IF(AND($T143&lt;&gt;"",EDATE($D143,Milestones!$AA$133)&gt;=$T143),$W143,IF(AND($S143&lt;&gt;"",EDATE($D143,Milestones!$AA$133)&gt;=$S143),$V143,$U143)))=Milestones!$AB$133),UPPER(TEXT(EDATE($D143,Milestones!$AA$133),"dd mmm yy"))&amp;" "&amp;Milestones!$AB$133&amp;" "&amp;Milestones!$AC$133&amp;";  ","")&amp;IF(AND(EDATE($D143,Milestones!$AA$134)&lt;=AsOfDate,IF($R143=0,$X143,IF(AND($T143&lt;&gt;"",EDATE($D143,Milestones!$AA$134)&gt;=$T143),$W143,IF(AND($S143&lt;&gt;"",EDATE($D143,Milestones!$AA$134)&gt;=$S143),$V143,$U143)))=Milestones!$AB$134),UPPER(TEXT(EDATE($D143,Milestones!$AA$134),"dd mmm yy"))&amp;" "&amp;Milestones!$AB$134&amp;" "&amp;Milestones!$AC$134&amp;";  ","")&amp;IF(AND(EDATE($D143,Milestones!$AA$135)&lt;=AsOfDate,IF($R143=0,$X143,IF(AND($T143&lt;&gt;"",EDATE($D143,Milestones!$AA$135)&gt;=$T143),$W143,IF(AND($S143&lt;&gt;"",EDATE($D143,Milestones!$AA$135)&gt;=$S143),$V143,$U143)))=Milestones!$AB$135),UPPER(TEXT(EDATE($D143,Milestones!$AA$135),"dd mmm yy"))&amp;" "&amp;Milestones!$AB$135&amp;" "&amp;Milestones!$AC$135&amp;";  ","")&amp;IF(AND(EDATE($D143,Milestones!$AA$136)&lt;=AsOfDate,IF($R143=0,$X143,IF(AND($T143&lt;&gt;"",EDATE($D143,Milestones!$AA$136)&gt;=$T143),$W143,IF(AND($S143&lt;&gt;"",EDATE($D143,Milestones!$AA$136)&gt;=$S143),$V143,$U143)))=Milestones!$AB$136),UPPER(TEXT(EDATE($D143,Milestones!$AA$136),"dd mmm yy"))&amp;" "&amp;Milestones!$AB$136&amp;" "&amp;Milestones!$AC$136&amp;";  ","")&amp;IF(AND(EDATE($D143,Milestones!$AA$137)&lt;=AsOfDate,IF($R143=0,$X143,IF(AND($T143&lt;&gt;"",EDATE($D143,Milestones!$AA$137)&gt;=$T143),$W143,IF(AND($S143&lt;&gt;"",EDATE($D143,Milestones!$AA$137)&gt;=$S143),$V143,$U143)))=Milestones!$AB$137),UPPER(TEXT(EDATE($D143,Milestones!$AA$137),"dd mmm yy"))&amp;" "&amp;Milestones!$AB$137&amp;" "&amp;Milestones!$AC$137&amp;";  ","")&amp;IF(AND(EDATE($D143,Milestones!$AA$138)&lt;=AsOfDate,IF($R143=0,$X143,IF(AND($T143&lt;&gt;"",EDATE($D143,Milestones!$AA$138)&gt;=$T143),$W143,IF(AND($S143&lt;&gt;"",EDATE($D143,Milestones!$AA$138)&gt;=$S143),$V143,$U143)))=Milestones!$AB$138),UPPER(TEXT(EDATE($D143,Milestones!$AA$138),"dd mmm yy"))&amp;" "&amp;Milestones!$AB$138&amp;" "&amp;Milestones!$AC$138&amp;";  ","")&amp;IF(AND(EDATE($D143,Milestones!$AA$139)&lt;=AsOfDate,IF($R143=0,$X143,IF(AND($T143&lt;&gt;"",EDATE($D143,Milestones!$AA$139)&gt;=$T143),$W143,IF(AND($S143&lt;&gt;"",EDATE($D143,Milestones!$AA$139)&gt;=$S143),$V143,$U143)))=Milestones!$AB$139),UPPER(TEXT(EDATE($D143,Milestones!$AA$139),"dd mmm yy"))&amp;" "&amp;Milestones!$AB$139&amp;" "&amp;Milestones!$AC$139&amp;";  ",""))</f>
        <v/>
      </c>
      <c r="O143" s="0" t="str">
        <f aca="false">IF(OR($A143="",$D143=""),"",IF(AND(EDATE($D143,Milestones!$AA$140)&lt;=AsOfDate,IF($R143=0,$X143,IF(AND($T143&lt;&gt;"",EDATE($D143,Milestones!$AA$140)&gt;=$T143),$W143,IF(AND($S143&lt;&gt;"",EDATE($D143,Milestones!$AA$140)&gt;=$S143),$V143,$U143)))=Milestones!$AB$140),UPPER(TEXT(EDATE($D143,Milestones!$AA$140),"dd mmm yy"))&amp;" "&amp;Milestones!$AB$140&amp;" "&amp;Milestones!$AC$140&amp;";  ","")&amp;IF(AND(EDATE($D143,Milestones!$AA$141)&lt;=AsOfDate,IF($R143=0,$X143,IF(AND($T143&lt;&gt;"",EDATE($D143,Milestones!$AA$141)&gt;=$T143),$W143,IF(AND($S143&lt;&gt;"",EDATE($D143,Milestones!$AA$141)&gt;=$S143),$V143,$U143)))=Milestones!$AB$141),UPPER(TEXT(EDATE($D143,Milestones!$AA$141),"dd mmm yy"))&amp;" "&amp;Milestones!$AB$141&amp;" "&amp;Milestones!$AC$141&amp;";  ","")&amp;IF(AND(EDATE($D143,Milestones!$AA$142)&lt;=AsOfDate,IF($R143=0,$X143,IF(AND($T143&lt;&gt;"",EDATE($D143,Milestones!$AA$142)&gt;=$T143),$W143,IF(AND($S143&lt;&gt;"",EDATE($D143,Milestones!$AA$142)&gt;=$S143),$V143,$U143)))=Milestones!$AB$142),UPPER(TEXT(EDATE($D143,Milestones!$AA$142),"dd mmm yy"))&amp;" "&amp;Milestones!$AB$142&amp;" "&amp;Milestones!$AC$142&amp;";  ","")&amp;IF(AND(EDATE($D143,Milestones!$AA$143)&lt;=AsOfDate,IF($R143=0,$X143,IF(AND($T143&lt;&gt;"",EDATE($D143,Milestones!$AA$143)&gt;=$T143),$W143,IF(AND($S143&lt;&gt;"",EDATE($D143,Milestones!$AA$143)&gt;=$S143),$V143,$U143)))=Milestones!$AB$143),UPPER(TEXT(EDATE($D143,Milestones!$AA$143),"dd mmm yy"))&amp;" "&amp;Milestones!$AB$143&amp;" "&amp;Milestones!$AC$143&amp;";  ","")&amp;IF(AND(EDATE($D143,Milestones!$AA$144)&lt;=AsOfDate,IF($R143=0,$X143,IF(AND($T143&lt;&gt;"",EDATE($D143,Milestones!$AA$144)&gt;=$T143),$W143,IF(AND($S143&lt;&gt;"",EDATE($D143,Milestones!$AA$144)&gt;=$S143),$V143,$U143)))=Milestones!$AB$144),UPPER(TEXT(EDATE($D143,Milestones!$AA$144),"dd mmm yy"))&amp;" "&amp;Milestones!$AB$144&amp;" "&amp;Milestones!$AC$144&amp;";  ","")&amp;IF(AND(EDATE($D143,Milestones!$AA$145)&lt;=AsOfDate,IF($R143=0,$X143,IF(AND($T143&lt;&gt;"",EDATE($D143,Milestones!$AA$145)&gt;=$T143),$W143,IF(AND($S143&lt;&gt;"",EDATE($D143,Milestones!$AA$145)&gt;=$S143),$V143,$U143)))=Milestones!$AB$145),UPPER(TEXT(EDATE($D143,Milestones!$AA$145),"dd mmm yy"))&amp;" "&amp;Milestones!$AB$145&amp;" "&amp;Milestones!$AC$145&amp;";  ","")&amp;IF(AND(EDATE($D143,Milestones!$AA$146)&lt;=AsOfDate,IF($R143=0,$X143,IF(AND($T143&lt;&gt;"",EDATE($D143,Milestones!$AA$146)&gt;=$T143),$W143,IF(AND($S143&lt;&gt;"",EDATE($D143,Milestones!$AA$146)&gt;=$S143),$V143,$U143)))=Milestones!$AB$146),UPPER(TEXT(EDATE($D143,Milestones!$AA$146),"dd mmm yy"))&amp;" "&amp;Milestones!$AB$146&amp;" "&amp;Milestones!$AC$146&amp;";  ","")&amp;IF(AND(EDATE($D143,Milestones!$AA$147)&lt;=AsOfDate,IF($R143=0,$X143,IF(AND($T143&lt;&gt;"",EDATE($D143,Milestones!$AA$147)&gt;=$T143),$W143,IF(AND($S143&lt;&gt;"",EDATE($D143,Milestones!$AA$147)&gt;=$S143),$V143,$U143)))=Milestones!$AB$147),UPPER(TEXT(EDATE($D143,Milestones!$AA$147),"dd mmm yy"))&amp;" "&amp;Milestones!$AB$147&amp;" "&amp;Milestones!$AC$147&amp;";  ","")&amp;IF(AND(EDATE($D143,Milestones!$AA$148)&lt;=AsOfDate,IF($R143=0,$X143,IF(AND($T143&lt;&gt;"",EDATE($D143,Milestones!$AA$148)&gt;=$T143),$W143,IF(AND($S143&lt;&gt;"",EDATE($D143,Milestones!$AA$148)&gt;=$S143),$V143,$U143)))=Milestones!$AB$148),UPPER(TEXT(EDATE($D143,Milestones!$AA$148),"dd mmm yy"))&amp;" "&amp;Milestones!$AB$148&amp;" "&amp;Milestones!$AC$148&amp;";  ","")&amp;IF(AND(EDATE($D143,Milestones!$AA$149)&lt;=AsOfDate,IF($R143=0,$X143,IF(AND($T143&lt;&gt;"",EDATE($D143,Milestones!$AA$149)&gt;=$T143),$W143,IF(AND($S143&lt;&gt;"",EDATE($D143,Milestones!$AA$149)&gt;=$S143),$V143,$U143)))=Milestones!$AB$149),UPPER(TEXT(EDATE($D143,Milestones!$AA$149),"dd mmm yy"))&amp;" "&amp;Milestones!$AB$149&amp;" "&amp;Milestones!$AC$149&amp;";  ","")&amp;IF(AND(EDATE($D143,Milestones!$AA$150)&lt;=AsOfDate,IF($R143=0,$X143,IF(AND($T143&lt;&gt;"",EDATE($D143,Milestones!$AA$150)&gt;=$T143),$W143,IF(AND($S143&lt;&gt;"",EDATE($D143,Milestones!$AA$150)&gt;=$S143),$V143,$U143)))=Milestones!$AB$150),UPPER(TEXT(EDATE($D143,Milestones!$AA$150),"dd mmm yy"))&amp;" "&amp;Milestones!$AB$150&amp;" "&amp;Milestones!$AC$150&amp;";  ","")&amp;IF(AND(EDATE($D143,Milestones!$AA$151)&lt;=AsOfDate,IF($R143=0,$X143,IF(AND($T143&lt;&gt;"",EDATE($D143,Milestones!$AA$151)&gt;=$T143),$W143,IF(AND($S143&lt;&gt;"",EDATE($D143,Milestones!$AA$151)&gt;=$S143),$V143,$U143)))=Milestones!$AB$151),UPPER(TEXT(EDATE($D143,Milestones!$AA$151),"dd mmm yy"))&amp;" "&amp;Milestones!$AB$151&amp;" "&amp;Milestones!$AC$151&amp;";  ","")&amp;IF(AND(EDATE($D143,Milestones!$AA$152)&lt;=AsOfDate,IF($R143=0,$X143,IF(AND($T143&lt;&gt;"",EDATE($D143,Milestones!$AA$152)&gt;=$T143),$W143,IF(AND($S143&lt;&gt;"",EDATE($D143,Milestones!$AA$152)&gt;=$S143),$V143,$U143)))=Milestones!$AB$152),UPPER(TEXT(EDATE($D143,Milestones!$AA$152),"dd mmm yy"))&amp;" "&amp;Milestones!$AB$152&amp;" "&amp;Milestones!$AC$152&amp;";  ","")&amp;IF(AND(EDATE($D143,Milestones!$AA$153)&lt;=AsOfDate,IF($R143=0,$X143,IF(AND($T143&lt;&gt;"",EDATE($D143,Milestones!$AA$153)&gt;=$T143),$W143,IF(AND($S143&lt;&gt;"",EDATE($D143,Milestones!$AA$153)&gt;=$S143),$V143,$U143)))=Milestones!$AB$153),UPPER(TEXT(EDATE($D143,Milestones!$AA$153),"dd mmm yy"))&amp;" "&amp;Milestones!$AB$153&amp;" "&amp;Milestones!$AC$153&amp;";  ","")&amp;IF(AND(EDATE($D143,Milestones!$AA$154)&lt;=AsOfDate,IF($R143=0,$X143,IF(AND($T143&lt;&gt;"",EDATE($D143,Milestones!$AA$154)&gt;=$T143),$W143,IF(AND($S143&lt;&gt;"",EDATE($D143,Milestones!$AA$154)&gt;=$S143),$V143,$U143)))=Milestones!$AB$154),UPPER(TEXT(EDATE($D143,Milestones!$AA$154),"dd mmm yy"))&amp;" "&amp;Milestones!$AB$154&amp;" "&amp;Milestones!$AC$154&amp;";  ","")&amp;IF(AND(EDATE($D143,Milestones!$AA$155)&lt;=AsOfDate,IF($R143=0,$X143,IF(AND($T143&lt;&gt;"",EDATE($D143,Milestones!$AA$155)&gt;=$T143),$W143,IF(AND($S143&lt;&gt;"",EDATE($D143,Milestones!$AA$155)&gt;=$S143),$V143,$U143)))=Milestones!$AB$155),UPPER(TEXT(EDATE($D143,Milestones!$AA$155),"dd mmm yy"))&amp;" "&amp;Milestones!$AB$155&amp;" "&amp;Milestones!$AC$155&amp;";  ","")&amp;IF(AND(EDATE($D143,Milestones!$AA$156)&lt;=AsOfDate,IF($R143=0,$X143,IF(AND($T143&lt;&gt;"",EDATE($D143,Milestones!$AA$156)&gt;=$T143),$W143,IF(AND($S143&lt;&gt;"",EDATE($D143,Milestones!$AA$156)&gt;=$S143),$V143,$U143)))=Milestones!$AB$156),UPPER(TEXT(EDATE($D143,Milestones!$AA$156),"dd mmm yy"))&amp;" "&amp;Milestones!$AB$156&amp;" "&amp;Milestones!$AC$156&amp;";  ","")&amp;IF(AND(EDATE($D143,Milestones!$AA$157)&lt;=AsOfDate,IF($R143=0,$X143,IF(AND($T143&lt;&gt;"",EDATE($D143,Milestones!$AA$157)&gt;=$T143),$W143,IF(AND($S143&lt;&gt;"",EDATE($D143,Milestones!$AA$157)&gt;=$S143),$V143,$U143)))=Milestones!$AB$157),UPPER(TEXT(EDATE($D143,Milestones!$AA$157),"dd mmm yy"))&amp;" "&amp;Milestones!$AB$157&amp;" "&amp;Milestones!$AC$157&amp;";  ","")&amp;IF(AND(EDATE($D143,Milestones!$AA$158)&lt;=AsOfDate,IF($R143=0,$X143,IF(AND($T143&lt;&gt;"",EDATE($D143,Milestones!$AA$158)&gt;=$T143),$W143,IF(AND($S143&lt;&gt;"",EDATE($D143,Milestones!$AA$158)&gt;=$S143),$V143,$U143)))=Milestones!$AB$158),UPPER(TEXT(EDATE($D143,Milestones!$AA$158),"dd mmm yy"))&amp;" "&amp;Milestones!$AB$158&amp;" "&amp;Milestones!$AC$158&amp;";  ","")&amp;IF(AND(EDATE($D143,Milestones!$AA$159)&lt;=AsOfDate,IF($R143=0,$X143,IF(AND($T143&lt;&gt;"",EDATE($D143,Milestones!$AA$159)&gt;=$T143),$W143,IF(AND($S143&lt;&gt;"",EDATE($D143,Milestones!$AA$159)&gt;=$S143),$V143,$U143)))=Milestones!$AB$159),UPPER(TEXT(EDATE($D143,Milestones!$AA$159),"dd mmm yy"))&amp;" "&amp;Milestones!$AB$159&amp;" "&amp;Milestones!$AC$159&amp;";  ",""))</f>
        <v/>
      </c>
      <c r="P143" s="0" t="str">
        <f aca="false">IF(OR($A143="",$D143=""),"",IF(AND(EDATE($D143,Milestones!$AA$160)&lt;=AsOfDate,IF($R143=0,$X143,IF(AND($T143&lt;&gt;"",EDATE($D143,Milestones!$AA$160)&gt;=$T143),$W143,IF(AND($S143&lt;&gt;"",EDATE($D143,Milestones!$AA$160)&gt;=$S143),$V143,$U143)))=Milestones!$AB$160),UPPER(TEXT(EDATE($D143,Milestones!$AA$160),"dd mmm yy"))&amp;" "&amp;Milestones!$AB$160&amp;" "&amp;Milestones!$AC$160&amp;";  ","")&amp;IF(AND(EDATE($D143,Milestones!$AA$161)&lt;=AsOfDate,IF($R143=0,$X143,IF(AND($T143&lt;&gt;"",EDATE($D143,Milestones!$AA$161)&gt;=$T143),$W143,IF(AND($S143&lt;&gt;"",EDATE($D143,Milestones!$AA$161)&gt;=$S143),$V143,$U143)))=Milestones!$AB$161),UPPER(TEXT(EDATE($D143,Milestones!$AA$161),"dd mmm yy"))&amp;" "&amp;Milestones!$AB$161&amp;" "&amp;Milestones!$AC$161&amp;";  ","")&amp;IF(AND(EDATE($D143,Milestones!$AA$162)&lt;=AsOfDate,IF($R143=0,$X143,IF(AND($T143&lt;&gt;"",EDATE($D143,Milestones!$AA$162)&gt;=$T143),$W143,IF(AND($S143&lt;&gt;"",EDATE($D143,Milestones!$AA$162)&gt;=$S143),$V143,$U143)))=Milestones!$AB$162),UPPER(TEXT(EDATE($D143,Milestones!$AA$162),"dd mmm yy"))&amp;" "&amp;Milestones!$AB$162&amp;" "&amp;Milestones!$AC$162&amp;";  ","")&amp;IF(AND(EDATE($D143,Milestones!$AA$163)&lt;=AsOfDate,IF($R143=0,$X143,IF(AND($T143&lt;&gt;"",EDATE($D143,Milestones!$AA$163)&gt;=$T143),$W143,IF(AND($S143&lt;&gt;"",EDATE($D143,Milestones!$AA$163)&gt;=$S143),$V143,$U143)))=Milestones!$AB$163),UPPER(TEXT(EDATE($D143,Milestones!$AA$163),"dd mmm yy"))&amp;" "&amp;Milestones!$AB$163&amp;" "&amp;Milestones!$AC$163&amp;";  ","")&amp;IF(AND(EDATE($D143,Milestones!$AA$164)&lt;=AsOfDate,IF($R143=0,$X143,IF(AND($T143&lt;&gt;"",EDATE($D143,Milestones!$AA$164)&gt;=$T143),$W143,IF(AND($S143&lt;&gt;"",EDATE($D143,Milestones!$AA$164)&gt;=$S143),$V143,$U143)))=Milestones!$AB$164),UPPER(TEXT(EDATE($D143,Milestones!$AA$164),"dd mmm yy"))&amp;" "&amp;Milestones!$AB$164&amp;" "&amp;Milestones!$AC$164&amp;";  ","")&amp;IF(AND(EDATE($D143,Milestones!$AA$165)&lt;=AsOfDate,IF($R143=0,$X143,IF(AND($T143&lt;&gt;"",EDATE($D143,Milestones!$AA$165)&gt;=$T143),$W143,IF(AND($S143&lt;&gt;"",EDATE($D143,Milestones!$AA$165)&gt;=$S143),$V143,$U143)))=Milestones!$AB$165),UPPER(TEXT(EDATE($D143,Milestones!$AA$165),"dd mmm yy"))&amp;" "&amp;Milestones!$AB$165&amp;" "&amp;Milestones!$AC$165&amp;";  ","")&amp;IF(AND(EDATE($D143,Milestones!$AA$166)&lt;=AsOfDate,IF($R143=0,$X143,IF(AND($T143&lt;&gt;"",EDATE($D143,Milestones!$AA$166)&gt;=$T143),$W143,IF(AND($S143&lt;&gt;"",EDATE($D143,Milestones!$AA$166)&gt;=$S143),$V143,$U143)))=Milestones!$AB$166),UPPER(TEXT(EDATE($D143,Milestones!$AA$166),"dd mmm yy"))&amp;" "&amp;Milestones!$AB$166&amp;" "&amp;Milestones!$AC$166&amp;";  ","")&amp;IF(AND(EDATE($D143,Milestones!$AA$167)&lt;=AsOfDate,IF($R143=0,$X143,IF(AND($T143&lt;&gt;"",EDATE($D143,Milestones!$AA$167)&gt;=$T143),$W143,IF(AND($S143&lt;&gt;"",EDATE($D143,Milestones!$AA$167)&gt;=$S143),$V143,$U143)))=Milestones!$AB$167),UPPER(TEXT(EDATE($D143,Milestones!$AA$167),"dd mmm yy"))&amp;" "&amp;Milestones!$AB$167&amp;" "&amp;Milestones!$AC$167&amp;";  ","")&amp;IF(AND(EDATE($D143,Milestones!$AA$168)&lt;=AsOfDate,IF($R143=0,$X143,IF(AND($T143&lt;&gt;"",EDATE($D143,Milestones!$AA$168)&gt;=$T143),$W143,IF(AND($S143&lt;&gt;"",EDATE($D143,Milestones!$AA$168)&gt;=$S143),$V143,$U143)))=Milestones!$AB$168),UPPER(TEXT(EDATE($D143,Milestones!$AA$168),"dd mmm yy"))&amp;" "&amp;Milestones!$AB$168&amp;" "&amp;Milestones!$AC$168&amp;";  ","")&amp;IF(AND(EDATE($D143,Milestones!$AA$169)&lt;=AsOfDate,IF($R143=0,$X143,IF(AND($T143&lt;&gt;"",EDATE($D143,Milestones!$AA$169)&gt;=$T143),$W143,IF(AND($S143&lt;&gt;"",EDATE($D143,Milestones!$AA$169)&gt;=$S143),$V143,$U143)))=Milestones!$AB$169),UPPER(TEXT(EDATE($D143,Milestones!$AA$169),"dd mmm yy"))&amp;" "&amp;Milestones!$AB$169&amp;" "&amp;Milestones!$AC$169&amp;";  ","")&amp;IF(AND(EDATE($D143,Milestones!$AA$170)&lt;=AsOfDate,IF($R143=0,$X143,IF(AND($T143&lt;&gt;"",EDATE($D143,Milestones!$AA$170)&gt;=$T143),$W143,IF(AND($S143&lt;&gt;"",EDATE($D143,Milestones!$AA$170)&gt;=$S143),$V143,$U143)))=Milestones!$AB$170),UPPER(TEXT(EDATE($D143,Milestones!$AA$170),"dd mmm yy"))&amp;" "&amp;Milestones!$AB$170&amp;" "&amp;Milestones!$AC$170&amp;";  ","")&amp;IF(AND(EDATE($D143,Milestones!$AA$171)&lt;=AsOfDate,IF($R143=0,$X143,IF(AND($T143&lt;&gt;"",EDATE($D143,Milestones!$AA$171)&gt;=$T143),$W143,IF(AND($S143&lt;&gt;"",EDATE($D143,Milestones!$AA$171)&gt;=$S143),$V143,$U143)))=Milestones!$AB$171),UPPER(TEXT(EDATE($D143,Milestones!$AA$171),"dd mmm yy"))&amp;" "&amp;Milestones!$AB$171&amp;" "&amp;Milestones!$AC$171&amp;";  ","")&amp;IF(AND(EDATE($D143,Milestones!$AA$172)&lt;=AsOfDate,IF($R143=0,$X143,IF(AND($T143&lt;&gt;"",EDATE($D143,Milestones!$AA$172)&gt;=$T143),$W143,IF(AND($S143&lt;&gt;"",EDATE($D143,Milestones!$AA$172)&gt;=$S143),$V143,$U143)))=Milestones!$AB$172),UPPER(TEXT(EDATE($D143,Milestones!$AA$172),"dd mmm yy"))&amp;" "&amp;Milestones!$AB$172&amp;" "&amp;Milestones!$AC$172&amp;";  ","")&amp;IF(AND(EDATE($D143,Milestones!$AA$173)&lt;=AsOfDate,IF($R143=0,$X143,IF(AND($T143&lt;&gt;"",EDATE($D143,Milestones!$AA$173)&gt;=$T143),$W143,IF(AND($S143&lt;&gt;"",EDATE($D143,Milestones!$AA$173)&gt;=$S143),$V143,$U143)))=Milestones!$AB$173),UPPER(TEXT(EDATE($D143,Milestones!$AA$173),"dd mmm yy"))&amp;" "&amp;Milestones!$AB$173&amp;" "&amp;Milestones!$AC$173&amp;";  ","")&amp;IF(AND(EDATE($D143,Milestones!$AA$174)&lt;=AsOfDate,IF($R143=0,$X143,IF(AND($T143&lt;&gt;"",EDATE($D143,Milestones!$AA$174)&gt;=$T143),$W143,IF(AND($S143&lt;&gt;"",EDATE($D143,Milestones!$AA$174)&gt;=$S143),$V143,$U143)))=Milestones!$AB$174),UPPER(TEXT(EDATE($D143,Milestones!$AA$174),"dd mmm yy"))&amp;" "&amp;Milestones!$AB$174&amp;" "&amp;Milestones!$AC$174&amp;";  ","")&amp;IF(AND(EDATE($D143,Milestones!$AA$175)&lt;=AsOfDate,IF($R143=0,$X143,IF(AND($T143&lt;&gt;"",EDATE($D143,Milestones!$AA$175)&gt;=$T143),$W143,IF(AND($S143&lt;&gt;"",EDATE($D143,Milestones!$AA$175)&gt;=$S143),$V143,$U143)))=Milestones!$AB$175),UPPER(TEXT(EDATE($D143,Milestones!$AA$175),"dd mmm yy"))&amp;" "&amp;Milestones!$AB$175&amp;" "&amp;Milestones!$AC$175&amp;";  ","")&amp;IF(AND(EDATE($D143,Milestones!$AA$176)&lt;=AsOfDate,IF($R143=0,$X143,IF(AND($T143&lt;&gt;"",EDATE($D143,Milestones!$AA$176)&gt;=$T143),$W143,IF(AND($S143&lt;&gt;"",EDATE($D143,Milestones!$AA$176)&gt;=$S143),$V143,$U143)))=Milestones!$AB$176),UPPER(TEXT(EDATE($D143,Milestones!$AA$176),"dd mmm yy"))&amp;" "&amp;Milestones!$AB$176&amp;" "&amp;Milestones!$AC$176&amp;";  ","")&amp;IF(AND(EDATE($D143,Milestones!$AA$177)&lt;=AsOfDate,IF($R143=0,$X143,IF(AND($T143&lt;&gt;"",EDATE($D143,Milestones!$AA$177)&gt;=$T143),$W143,IF(AND($S143&lt;&gt;"",EDATE($D143,Milestones!$AA$177)&gt;=$S143),$V143,$U143)))=Milestones!$AB$177),UPPER(TEXT(EDATE($D143,Milestones!$AA$177),"dd mmm yy"))&amp;" "&amp;Milestones!$AB$177&amp;" "&amp;Milestones!$AC$177&amp;";  ","")&amp;IF(AND(EDATE($D143,Milestones!$AA$178)&lt;=AsOfDate,IF($R143=0,$X143,IF(AND($T143&lt;&gt;"",EDATE($D143,Milestones!$AA$178)&gt;=$T143),$W143,IF(AND($S143&lt;&gt;"",EDATE($D143,Milestones!$AA$178)&gt;=$S143),$V143,$U143)))=Milestones!$AB$178),UPPER(TEXT(EDATE($D143,Milestones!$AA$178),"dd mmm yy"))&amp;" "&amp;Milestones!$AB$178&amp;" "&amp;Milestones!$AC$178&amp;";  ","")&amp;IF(AND(EDATE($D143,Milestones!$AA$179)&lt;=AsOfDate,IF($R143=0,$X143,IF(AND($T143&lt;&gt;"",EDATE($D143,Milestones!$AA$179)&gt;=$T143),$W143,IF(AND($S143&lt;&gt;"",EDATE($D143,Milestones!$AA$179)&gt;=$S143),$V143,$U143)))=Milestones!$AB$179),UPPER(TEXT(EDATE($D143,Milestones!$AA$179),"dd mmm yy"))&amp;" "&amp;Milestones!$AB$179&amp;" "&amp;Milestones!$AC$179&amp;";  ",""))</f>
        <v/>
      </c>
      <c r="Q143" s="0" t="str">
        <f aca="false">IF(OR($A143="",$D143=""),"",IF(AND(EDATE($D143,Milestones!$AA$180)&lt;=AsOfDate,IF($R143=0,$X143,IF(AND($T143&lt;&gt;"",EDATE($D143,Milestones!$AA$180)&gt;=$T143),$W143,IF(AND($S143&lt;&gt;"",EDATE($D143,Milestones!$AA$180)&gt;=$S143),$V143,$U143)))=Milestones!$AB$180),UPPER(TEXT(EDATE($D143,Milestones!$AA$180),"dd mmm yy"))&amp;" "&amp;Milestones!$AB$180&amp;" "&amp;Milestones!$AC$180&amp;";  ","")&amp;IF(AND(EDATE($D143,Milestones!$AA$181)&lt;=AsOfDate,IF($R143=0,$X143,IF(AND($T143&lt;&gt;"",EDATE($D143,Milestones!$AA$181)&gt;=$T143),$W143,IF(AND($S143&lt;&gt;"",EDATE($D143,Milestones!$AA$181)&gt;=$S143),$V143,$U143)))=Milestones!$AB$181),UPPER(TEXT(EDATE($D143,Milestones!$AA$181),"dd mmm yy"))&amp;" "&amp;Milestones!$AB$181&amp;" "&amp;Milestones!$AC$181&amp;";  ","")&amp;IF(AND(EDATE($D143,Milestones!$AA$182)&lt;=AsOfDate,IF($R143=0,$X143,IF(AND($T143&lt;&gt;"",EDATE($D143,Milestones!$AA$182)&gt;=$T143),$W143,IF(AND($S143&lt;&gt;"",EDATE($D143,Milestones!$AA$182)&gt;=$S143),$V143,$U143)))=Milestones!$AB$182),UPPER(TEXT(EDATE($D143,Milestones!$AA$182),"dd mmm yy"))&amp;" "&amp;Milestones!$AB$182&amp;" "&amp;Milestones!$AC$182&amp;";  ","")&amp;IF(AND(EDATE($D143,Milestones!$AA$183)&lt;=AsOfDate,IF($R143=0,$X143,IF(AND($T143&lt;&gt;"",EDATE($D143,Milestones!$AA$183)&gt;=$T143),$W143,IF(AND($S143&lt;&gt;"",EDATE($D143,Milestones!$AA$183)&gt;=$S143),$V143,$U143)))=Milestones!$AB$183),UPPER(TEXT(EDATE($D143,Milestones!$AA$183),"dd mmm yy"))&amp;" "&amp;Milestones!$AB$183&amp;" "&amp;Milestones!$AC$183&amp;";  ","")&amp;IF(AND(EDATE($D143,Milestones!$AA$184)&lt;=AsOfDate,IF($R143=0,$X143,IF(AND($T143&lt;&gt;"",EDATE($D143,Milestones!$AA$184)&gt;=$T143),$W143,IF(AND($S143&lt;&gt;"",EDATE($D143,Milestones!$AA$184)&gt;=$S143),$V143,$U143)))=Milestones!$AB$184),UPPER(TEXT(EDATE($D143,Milestones!$AA$184),"dd mmm yy"))&amp;" "&amp;Milestones!$AB$184&amp;" "&amp;Milestones!$AC$184&amp;";  ","")&amp;IF(AND(EDATE($D143,Milestones!$AA$185)&lt;=AsOfDate,IF($R143=0,$X143,IF(AND($T143&lt;&gt;"",EDATE($D143,Milestones!$AA$185)&gt;=$T143),$W143,IF(AND($S143&lt;&gt;"",EDATE($D143,Milestones!$AA$185)&gt;=$S143),$V143,$U143)))=Milestones!$AB$185),UPPER(TEXT(EDATE($D143,Milestones!$AA$185),"dd mmm yy"))&amp;" "&amp;Milestones!$AB$185&amp;" "&amp;Milestones!$AC$185&amp;";  ","")&amp;IF(AND(EDATE($D143,Milestones!$AA$186)&lt;=AsOfDate,IF($R143=0,$X143,IF(AND($T143&lt;&gt;"",EDATE($D143,Milestones!$AA$186)&gt;=$T143),$W143,IF(AND($S143&lt;&gt;"",EDATE($D143,Milestones!$AA$186)&gt;=$S143),$V143,$U143)))=Milestones!$AB$186),UPPER(TEXT(EDATE($D143,Milestones!$AA$186),"dd mmm yy"))&amp;" "&amp;Milestones!$AB$186&amp;" "&amp;Milestones!$AC$186&amp;";  ","")&amp;IF(AND(EDATE($D143,Milestones!$AA$187)&lt;=AsOfDate,IF($R143=0,$X143,IF(AND($T143&lt;&gt;"",EDATE($D143,Milestones!$AA$187)&gt;=$T143),$W143,IF(AND($S143&lt;&gt;"",EDATE($D143,Milestones!$AA$187)&gt;=$S143),$V143,$U143)))=Milestones!$AB$187),UPPER(TEXT(EDATE($D143,Milestones!$AA$187),"dd mmm yy"))&amp;" "&amp;Milestones!$AB$187&amp;" "&amp;Milestones!$AC$187&amp;";  ","")&amp;IF(AND(EDATE($D143,Milestones!$AA$188)&lt;=AsOfDate,IF($R143=0,$X143,IF(AND($T143&lt;&gt;"",EDATE($D143,Milestones!$AA$188)&gt;=$T143),$W143,IF(AND($S143&lt;&gt;"",EDATE($D143,Milestones!$AA$188)&gt;=$S143),$V143,$U143)))=Milestones!$AB$188),UPPER(TEXT(EDATE($D143,Milestones!$AA$188),"dd mmm yy"))&amp;" "&amp;Milestones!$AB$188&amp;" "&amp;Milestones!$AC$188&amp;";  ","")&amp;IF(AND(EDATE($D143,Milestones!$AA$189)&lt;=AsOfDate,IF($R143=0,$X143,IF(AND($T143&lt;&gt;"",EDATE($D143,Milestones!$AA$189)&gt;=$T143),$W143,IF(AND($S143&lt;&gt;"",EDATE($D143,Milestones!$AA$189)&gt;=$S143),$V143,$U143)))=Milestones!$AB$189),UPPER(TEXT(EDATE($D143,Milestones!$AA$189),"dd mmm yy"))&amp;" "&amp;Milestones!$AB$189&amp;" "&amp;Milestones!$AC$189&amp;";  ","")&amp;IF(AND(EDATE($D143,Milestones!$AA$190)&lt;=AsOfDate,IF($R143=0,$X143,IF(AND($T143&lt;&gt;"",EDATE($D143,Milestones!$AA$190)&gt;=$T143),$W143,IF(AND($S143&lt;&gt;"",EDATE($D143,Milestones!$AA$190)&gt;=$S143),$V143,$U143)))=Milestones!$AB$190),UPPER(TEXT(EDATE($D143,Milestones!$AA$190),"dd mmm yy"))&amp;" "&amp;Milestones!$AB$190&amp;" "&amp;Milestones!$AC$190&amp;";  ","")&amp;IF(AND(EDATE($D143,Milestones!$AA$191)&lt;=AsOfDate,IF($R143=0,$X143,IF(AND($T143&lt;&gt;"",EDATE($D143,Milestones!$AA$191)&gt;=$T143),$W143,IF(AND($S143&lt;&gt;"",EDATE($D143,Milestones!$AA$191)&gt;=$S143),$V143,$U143)))=Milestones!$AB$191),UPPER(TEXT(EDATE($D143,Milestones!$AA$191),"dd mmm yy"))&amp;" "&amp;Milestones!$AB$191&amp;" "&amp;Milestones!$AC$191&amp;";  ","")&amp;IF(AND(EDATE($D143,Milestones!$AA$192)&lt;=AsOfDate,IF($R143=0,$X143,IF(AND($T143&lt;&gt;"",EDATE($D143,Milestones!$AA$192)&gt;=$T143),$W143,IF(AND($S143&lt;&gt;"",EDATE($D143,Milestones!$AA$192)&gt;=$S143),$V143,$U143)))=Milestones!$AB$192),UPPER(TEXT(EDATE($D143,Milestones!$AA$192),"dd mmm yy"))&amp;" "&amp;Milestones!$AB$192&amp;" "&amp;Milestones!$AC$192&amp;";  ","")&amp;IF(AND(EDATE($D143,Milestones!$AA$193)&lt;=AsOfDate,IF($R143=0,$X143,IF(AND($T143&lt;&gt;"",EDATE($D143,Milestones!$AA$193)&gt;=$T143),$W143,IF(AND($S143&lt;&gt;"",EDATE($D143,Milestones!$AA$193)&gt;=$S143),$V143,$U143)))=Milestones!$AB$193),UPPER(TEXT(EDATE($D143,Milestones!$AA$193),"dd mmm yy"))&amp;" "&amp;Milestones!$AB$193&amp;" "&amp;Milestones!$AC$193&amp;";  ","")&amp;IF(AND(EDATE($D143,Milestones!$AA$194)&lt;=AsOfDate,IF($R143=0,$X143,IF(AND($T143&lt;&gt;"",EDATE($D143,Milestones!$AA$194)&gt;=$T143),$W143,IF(AND($S143&lt;&gt;"",EDATE($D143,Milestones!$AA$194)&gt;=$S143),$V143,$U143)))=Milestones!$AB$194),UPPER(TEXT(EDATE($D143,Milestones!$AA$194),"dd mmm yy"))&amp;" "&amp;Milestones!$AB$194&amp;" "&amp;Milestones!$AC$194&amp;";  ","")&amp;IF(AND(EDATE($D143,Milestones!$AA$195)&lt;=AsOfDate,IF($R143=0,$X143,IF(AND($T143&lt;&gt;"",EDATE($D143,Milestones!$AA$195)&gt;=$T143),$W143,IF(AND($S143&lt;&gt;"",EDATE($D143,Milestones!$AA$195)&gt;=$S143),$V143,$U143)))=Milestones!$AB$195),UPPER(TEXT(EDATE($D143,Milestones!$AA$195),"dd mmm yy"))&amp;" "&amp;Milestones!$AB$195&amp;" "&amp;Milestones!$AC$195&amp;";  ","")&amp;IF(AND(EDATE($D143,Milestones!$AA$196)&lt;=AsOfDate,IF($R143=0,$X143,IF(AND($T143&lt;&gt;"",EDATE($D143,Milestones!$AA$196)&gt;=$T143),$W143,IF(AND($S143&lt;&gt;"",EDATE($D143,Milestones!$AA$196)&gt;=$S143),$V143,$U143)))=Milestones!$AB$196),UPPER(TEXT(EDATE($D143,Milestones!$AA$196),"dd mmm yy"))&amp;" "&amp;Milestones!$AB$196&amp;" "&amp;Milestones!$AC$196&amp;";  ","")&amp;IF(AND(EDATE($D143,Milestones!$AA$197)&lt;=AsOfDate,IF($R143=0,$X143,IF(AND($T143&lt;&gt;"",EDATE($D143,Milestones!$AA$197)&gt;=$T143),$W143,IF(AND($S143&lt;&gt;"",EDATE($D143,Milestones!$AA$197)&gt;=$S143),$V143,$U143)))=Milestones!$AB$197),UPPER(TEXT(EDATE($D143,Milestones!$AA$197),"dd mmm yy"))&amp;" "&amp;Milestones!$AB$197&amp;" "&amp;Milestones!$AC$197&amp;";  ","")&amp;IF(AND(EDATE($D143,Milestones!$AA$198)&lt;=AsOfDate,IF($R143=0,$X143,IF(AND($T143&lt;&gt;"",EDATE($D143,Milestones!$AA$198)&gt;=$T143),$W143,IF(AND($S143&lt;&gt;"",EDATE($D143,Milestones!$AA$198)&gt;=$S143),$V143,$U143)))=Milestones!$AB$198),UPPER(TEXT(EDATE($D143,Milestones!$AA$198),"dd mmm yy"))&amp;" "&amp;Milestones!$AB$198&amp;" "&amp;Milestones!$AC$198&amp;";  ","")&amp;IF(AND(EDATE($D143,Milestones!$AA$199)&lt;=AsOfDate,IF($R143=0,$X143,IF(AND($T143&lt;&gt;"",EDATE($D143,Milestones!$AA$199)&gt;=$T143),$W143,IF(AND($S143&lt;&gt;"",EDATE($D143,Milestones!$AA$199)&gt;=$S143),$V143,$U143)))=Milestones!$AB$199),UPPER(TEXT(EDATE($D143,Milestones!$AA$199),"dd mmm yy"))&amp;" "&amp;Milestones!$AB$199&amp;" "&amp;Milestones!$AC$199&amp;";  ",""))</f>
        <v/>
      </c>
      <c r="R143" s="0" t="str">
        <f aca="false">IF(Staff!$A143="","",Staff!$AI143)</f>
        <v/>
      </c>
      <c r="S143" s="0" t="str">
        <f aca="false">IF(Staff!$A143="","",Staff!$AK143)</f>
        <v/>
      </c>
      <c r="T143" s="0" t="str">
        <f aca="false">IF(Staff!$A143="","",Staff!$AL143)</f>
        <v/>
      </c>
      <c r="U143" s="0" t="str">
        <f aca="false">IF(Staff!$A143="","",Staff!$AP143)</f>
        <v/>
      </c>
      <c r="V143" s="0" t="str">
        <f aca="false">IF(Staff!$A143="","",Staff!$AQ143)</f>
        <v/>
      </c>
      <c r="W143" s="0" t="str">
        <f aca="false">IF(Staff!$A143="","",Staff!$AR143)</f>
        <v/>
      </c>
      <c r="X143" s="0" t="str">
        <f aca="false">IF(Staff!$A143="","",Staff!$AS143)</f>
        <v/>
      </c>
    </row>
    <row r="144" customFormat="false" ht="15" hidden="false" customHeight="false" outlineLevel="0" collapsed="false">
      <c r="A144" s="19" t="str">
        <f aca="false">IF(Staff!$A144="","",Staff!$A144)</f>
        <v/>
      </c>
      <c r="B144" s="19" t="str">
        <f aca="false">IF(Staff!$A144="","",Staff!$B144)</f>
        <v/>
      </c>
      <c r="C144" s="19" t="str">
        <f aca="false">IF(Staff!$A144="","",Staff!$C144)</f>
        <v/>
      </c>
      <c r="D144" s="17" t="str">
        <f aca="false">IF(Staff!$A144="","",Staff!$AH144)</f>
        <v/>
      </c>
      <c r="E144" s="19" t="str">
        <f aca="false">IF(Staff!$A144="","",Staff!$O144)</f>
        <v/>
      </c>
      <c r="F144" s="19" t="str">
        <f aca="false">IF(E144="","",E144*HoursPerDay)</f>
        <v/>
      </c>
      <c r="G144" s="19" t="str">
        <f aca="false">IF(Staff!$A144="","",Staff!$AE144)</f>
        <v/>
      </c>
      <c r="H144" s="32" t="str">
        <f aca="false">IF($A144="","",I144&amp;J144&amp;K144&amp;L144&amp;M144&amp;N144&amp;O144&amp;P144&amp;Q144)</f>
        <v/>
      </c>
      <c r="I144" s="0" t="str">
        <f aca="false">IF(OR($A144="",$D144=""),"",IF(AND(EDATE($D144,Milestones!$AA$20)&lt;=AsOfDate,IF($R144=0,$X144,IF(AND($T144&lt;&gt;"",EDATE($D144,Milestones!$AA$20)&gt;=$T144),$W144,IF(AND($S144&lt;&gt;"",EDATE($D144,Milestones!$AA$20)&gt;=$S144),$V144,$U144)))=Milestones!$AB$20),UPPER(TEXT(EDATE($D144,Milestones!$AA$20),"dd mmm yy"))&amp;" "&amp;Milestones!$AB$20&amp;" "&amp;Milestones!$AC$20&amp;";  ","")&amp;IF(AND(EDATE($D144,Milestones!$AA$21)&lt;=AsOfDate,IF($R144=0,$X144,IF(AND($T144&lt;&gt;"",EDATE($D144,Milestones!$AA$21)&gt;=$T144),$W144,IF(AND($S144&lt;&gt;"",EDATE($D144,Milestones!$AA$21)&gt;=$S144),$V144,$U144)))=Milestones!$AB$21),UPPER(TEXT(EDATE($D144,Milestones!$AA$21),"dd mmm yy"))&amp;" "&amp;Milestones!$AB$21&amp;" "&amp;Milestones!$AC$21&amp;";  ","")&amp;IF(AND(EDATE($D144,Milestones!$AA$22)&lt;=AsOfDate,IF($R144=0,$X144,IF(AND($T144&lt;&gt;"",EDATE($D144,Milestones!$AA$22)&gt;=$T144),$W144,IF(AND($S144&lt;&gt;"",EDATE($D144,Milestones!$AA$22)&gt;=$S144),$V144,$U144)))=Milestones!$AB$22),UPPER(TEXT(EDATE($D144,Milestones!$AA$22),"dd mmm yy"))&amp;" "&amp;Milestones!$AB$22&amp;" "&amp;Milestones!$AC$22&amp;";  ","")&amp;IF(AND(EDATE($D144,Milestones!$AA$23)&lt;=AsOfDate,IF($R144=0,$X144,IF(AND($T144&lt;&gt;"",EDATE($D144,Milestones!$AA$23)&gt;=$T144),$W144,IF(AND($S144&lt;&gt;"",EDATE($D144,Milestones!$AA$23)&gt;=$S144),$V144,$U144)))=Milestones!$AB$23),UPPER(TEXT(EDATE($D144,Milestones!$AA$23),"dd mmm yy"))&amp;" "&amp;Milestones!$AB$23&amp;" "&amp;Milestones!$AC$23&amp;";  ","")&amp;IF(AND(EDATE($D144,Milestones!$AA$24)&lt;=AsOfDate,IF($R144=0,$X144,IF(AND($T144&lt;&gt;"",EDATE($D144,Milestones!$AA$24)&gt;=$T144),$W144,IF(AND($S144&lt;&gt;"",EDATE($D144,Milestones!$AA$24)&gt;=$S144),$V144,$U144)))=Milestones!$AB$24),UPPER(TEXT(EDATE($D144,Milestones!$AA$24),"dd mmm yy"))&amp;" "&amp;Milestones!$AB$24&amp;" "&amp;Milestones!$AC$24&amp;";  ","")&amp;IF(AND(EDATE($D144,Milestones!$AA$25)&lt;=AsOfDate,IF($R144=0,$X144,IF(AND($T144&lt;&gt;"",EDATE($D144,Milestones!$AA$25)&gt;=$T144),$W144,IF(AND($S144&lt;&gt;"",EDATE($D144,Milestones!$AA$25)&gt;=$S144),$V144,$U144)))=Milestones!$AB$25),UPPER(TEXT(EDATE($D144,Milestones!$AA$25),"dd mmm yy"))&amp;" "&amp;Milestones!$AB$25&amp;" "&amp;Milestones!$AC$25&amp;";  ","")&amp;IF(AND(EDATE($D144,Milestones!$AA$26)&lt;=AsOfDate,IF($R144=0,$X144,IF(AND($T144&lt;&gt;"",EDATE($D144,Milestones!$AA$26)&gt;=$T144),$W144,IF(AND($S144&lt;&gt;"",EDATE($D144,Milestones!$AA$26)&gt;=$S144),$V144,$U144)))=Milestones!$AB$26),UPPER(TEXT(EDATE($D144,Milestones!$AA$26),"dd mmm yy"))&amp;" "&amp;Milestones!$AB$26&amp;" "&amp;Milestones!$AC$26&amp;";  ","")&amp;IF(AND(EDATE($D144,Milestones!$AA$27)&lt;=AsOfDate,IF($R144=0,$X144,IF(AND($T144&lt;&gt;"",EDATE($D144,Milestones!$AA$27)&gt;=$T144),$W144,IF(AND($S144&lt;&gt;"",EDATE($D144,Milestones!$AA$27)&gt;=$S144),$V144,$U144)))=Milestones!$AB$27),UPPER(TEXT(EDATE($D144,Milestones!$AA$27),"dd mmm yy"))&amp;" "&amp;Milestones!$AB$27&amp;" "&amp;Milestones!$AC$27&amp;";  ","")&amp;IF(AND(EDATE($D144,Milestones!$AA$28)&lt;=AsOfDate,IF($R144=0,$X144,IF(AND($T144&lt;&gt;"",EDATE($D144,Milestones!$AA$28)&gt;=$T144),$W144,IF(AND($S144&lt;&gt;"",EDATE($D144,Milestones!$AA$28)&gt;=$S144),$V144,$U144)))=Milestones!$AB$28),UPPER(TEXT(EDATE($D144,Milestones!$AA$28),"dd mmm yy"))&amp;" "&amp;Milestones!$AB$28&amp;" "&amp;Milestones!$AC$28&amp;";  ","")&amp;IF(AND(EDATE($D144,Milestones!$AA$29)&lt;=AsOfDate,IF($R144=0,$X144,IF(AND($T144&lt;&gt;"",EDATE($D144,Milestones!$AA$29)&gt;=$T144),$W144,IF(AND($S144&lt;&gt;"",EDATE($D144,Milestones!$AA$29)&gt;=$S144),$V144,$U144)))=Milestones!$AB$29),UPPER(TEXT(EDATE($D144,Milestones!$AA$29),"dd mmm yy"))&amp;" "&amp;Milestones!$AB$29&amp;" "&amp;Milestones!$AC$29&amp;";  ","")&amp;IF(AND(EDATE($D144,Milestones!$AA$30)&lt;=AsOfDate,IF($R144=0,$X144,IF(AND($T144&lt;&gt;"",EDATE($D144,Milestones!$AA$30)&gt;=$T144),$W144,IF(AND($S144&lt;&gt;"",EDATE($D144,Milestones!$AA$30)&gt;=$S144),$V144,$U144)))=Milestones!$AB$30),UPPER(TEXT(EDATE($D144,Milestones!$AA$30),"dd mmm yy"))&amp;" "&amp;Milestones!$AB$30&amp;" "&amp;Milestones!$AC$30&amp;";  ","")&amp;IF(AND(EDATE($D144,Milestones!$AA$31)&lt;=AsOfDate,IF($R144=0,$X144,IF(AND($T144&lt;&gt;"",EDATE($D144,Milestones!$AA$31)&gt;=$T144),$W144,IF(AND($S144&lt;&gt;"",EDATE($D144,Milestones!$AA$31)&gt;=$S144),$V144,$U144)))=Milestones!$AB$31),UPPER(TEXT(EDATE($D144,Milestones!$AA$31),"dd mmm yy"))&amp;" "&amp;Milestones!$AB$31&amp;" "&amp;Milestones!$AC$31&amp;";  ","")&amp;IF(AND(EDATE($D144,Milestones!$AA$32)&lt;=AsOfDate,IF($R144=0,$X144,IF(AND($T144&lt;&gt;"",EDATE($D144,Milestones!$AA$32)&gt;=$T144),$W144,IF(AND($S144&lt;&gt;"",EDATE($D144,Milestones!$AA$32)&gt;=$S144),$V144,$U144)))=Milestones!$AB$32),UPPER(TEXT(EDATE($D144,Milestones!$AA$32),"dd mmm yy"))&amp;" "&amp;Milestones!$AB$32&amp;" "&amp;Milestones!$AC$32&amp;";  ","")&amp;IF(AND(EDATE($D144,Milestones!$AA$33)&lt;=AsOfDate,IF($R144=0,$X144,IF(AND($T144&lt;&gt;"",EDATE($D144,Milestones!$AA$33)&gt;=$T144),$W144,IF(AND($S144&lt;&gt;"",EDATE($D144,Milestones!$AA$33)&gt;=$S144),$V144,$U144)))=Milestones!$AB$33),UPPER(TEXT(EDATE($D144,Milestones!$AA$33),"dd mmm yy"))&amp;" "&amp;Milestones!$AB$33&amp;" "&amp;Milestones!$AC$33&amp;";  ","")&amp;IF(AND(EDATE($D144,Milestones!$AA$34)&lt;=AsOfDate,IF($R144=0,$X144,IF(AND($T144&lt;&gt;"",EDATE($D144,Milestones!$AA$34)&gt;=$T144),$W144,IF(AND($S144&lt;&gt;"",EDATE($D144,Milestones!$AA$34)&gt;=$S144),$V144,$U144)))=Milestones!$AB$34),UPPER(TEXT(EDATE($D144,Milestones!$AA$34),"dd mmm yy"))&amp;" "&amp;Milestones!$AB$34&amp;" "&amp;Milestones!$AC$34&amp;";  ","")&amp;IF(AND(EDATE($D144,Milestones!$AA$35)&lt;=AsOfDate,IF($R144=0,$X144,IF(AND($T144&lt;&gt;"",EDATE($D144,Milestones!$AA$35)&gt;=$T144),$W144,IF(AND($S144&lt;&gt;"",EDATE($D144,Milestones!$AA$35)&gt;=$S144),$V144,$U144)))=Milestones!$AB$35),UPPER(TEXT(EDATE($D144,Milestones!$AA$35),"dd mmm yy"))&amp;" "&amp;Milestones!$AB$35&amp;" "&amp;Milestones!$AC$35&amp;";  ","")&amp;IF(AND(EDATE($D144,Milestones!$AA$36)&lt;=AsOfDate,IF($R144=0,$X144,IF(AND($T144&lt;&gt;"",EDATE($D144,Milestones!$AA$36)&gt;=$T144),$W144,IF(AND($S144&lt;&gt;"",EDATE($D144,Milestones!$AA$36)&gt;=$S144),$V144,$U144)))=Milestones!$AB$36),UPPER(TEXT(EDATE($D144,Milestones!$AA$36),"dd mmm yy"))&amp;" "&amp;Milestones!$AB$36&amp;" "&amp;Milestones!$AC$36&amp;";  ","")&amp;IF(AND(EDATE($D144,Milestones!$AA$37)&lt;=AsOfDate,IF($R144=0,$X144,IF(AND($T144&lt;&gt;"",EDATE($D144,Milestones!$AA$37)&gt;=$T144),$W144,IF(AND($S144&lt;&gt;"",EDATE($D144,Milestones!$AA$37)&gt;=$S144),$V144,$U144)))=Milestones!$AB$37),UPPER(TEXT(EDATE($D144,Milestones!$AA$37),"dd mmm yy"))&amp;" "&amp;Milestones!$AB$37&amp;" "&amp;Milestones!$AC$37&amp;";  ","")&amp;IF(AND(EDATE($D144,Milestones!$AA$38)&lt;=AsOfDate,IF($R144=0,$X144,IF(AND($T144&lt;&gt;"",EDATE($D144,Milestones!$AA$38)&gt;=$T144),$W144,IF(AND($S144&lt;&gt;"",EDATE($D144,Milestones!$AA$38)&gt;=$S144),$V144,$U144)))=Milestones!$AB$38),UPPER(TEXT(EDATE($D144,Milestones!$AA$38),"dd mmm yy"))&amp;" "&amp;Milestones!$AB$38&amp;" "&amp;Milestones!$AC$38&amp;";  ","")&amp;IF(AND(EDATE($D144,Milestones!$AA$39)&lt;=AsOfDate,IF($R144=0,$X144,IF(AND($T144&lt;&gt;"",EDATE($D144,Milestones!$AA$39)&gt;=$T144),$W144,IF(AND($S144&lt;&gt;"",EDATE($D144,Milestones!$AA$39)&gt;=$S144),$V144,$U144)))=Milestones!$AB$39),UPPER(TEXT(EDATE($D144,Milestones!$AA$39),"dd mmm yy"))&amp;" "&amp;Milestones!$AB$39&amp;" "&amp;Milestones!$AC$39&amp;";  ",""))</f>
        <v/>
      </c>
      <c r="J144" s="0" t="str">
        <f aca="false">IF(OR($A144="",$D144=""),"",IF(AND(EDATE($D144,Milestones!$AA$40)&lt;=AsOfDate,IF($R144=0,$X144,IF(AND($T144&lt;&gt;"",EDATE($D144,Milestones!$AA$40)&gt;=$T144),$W144,IF(AND($S144&lt;&gt;"",EDATE($D144,Milestones!$AA$40)&gt;=$S144),$V144,$U144)))=Milestones!$AB$40),UPPER(TEXT(EDATE($D144,Milestones!$AA$40),"dd mmm yy"))&amp;" "&amp;Milestones!$AB$40&amp;" "&amp;Milestones!$AC$40&amp;";  ","")&amp;IF(AND(EDATE($D144,Milestones!$AA$41)&lt;=AsOfDate,IF($R144=0,$X144,IF(AND($T144&lt;&gt;"",EDATE($D144,Milestones!$AA$41)&gt;=$T144),$W144,IF(AND($S144&lt;&gt;"",EDATE($D144,Milestones!$AA$41)&gt;=$S144),$V144,$U144)))=Milestones!$AB$41),UPPER(TEXT(EDATE($D144,Milestones!$AA$41),"dd mmm yy"))&amp;" "&amp;Milestones!$AB$41&amp;" "&amp;Milestones!$AC$41&amp;";  ","")&amp;IF(AND(EDATE($D144,Milestones!$AA$42)&lt;=AsOfDate,IF($R144=0,$X144,IF(AND($T144&lt;&gt;"",EDATE($D144,Milestones!$AA$42)&gt;=$T144),$W144,IF(AND($S144&lt;&gt;"",EDATE($D144,Milestones!$AA$42)&gt;=$S144),$V144,$U144)))=Milestones!$AB$42),UPPER(TEXT(EDATE($D144,Milestones!$AA$42),"dd mmm yy"))&amp;" "&amp;Milestones!$AB$42&amp;" "&amp;Milestones!$AC$42&amp;";  ","")&amp;IF(AND(EDATE($D144,Milestones!$AA$43)&lt;=AsOfDate,IF($R144=0,$X144,IF(AND($T144&lt;&gt;"",EDATE($D144,Milestones!$AA$43)&gt;=$T144),$W144,IF(AND($S144&lt;&gt;"",EDATE($D144,Milestones!$AA$43)&gt;=$S144),$V144,$U144)))=Milestones!$AB$43),UPPER(TEXT(EDATE($D144,Milestones!$AA$43),"dd mmm yy"))&amp;" "&amp;Milestones!$AB$43&amp;" "&amp;Milestones!$AC$43&amp;";  ","")&amp;IF(AND(EDATE($D144,Milestones!$AA$44)&lt;=AsOfDate,IF($R144=0,$X144,IF(AND($T144&lt;&gt;"",EDATE($D144,Milestones!$AA$44)&gt;=$T144),$W144,IF(AND($S144&lt;&gt;"",EDATE($D144,Milestones!$AA$44)&gt;=$S144),$V144,$U144)))=Milestones!$AB$44),UPPER(TEXT(EDATE($D144,Milestones!$AA$44),"dd mmm yy"))&amp;" "&amp;Milestones!$AB$44&amp;" "&amp;Milestones!$AC$44&amp;";  ","")&amp;IF(AND(EDATE($D144,Milestones!$AA$45)&lt;=AsOfDate,IF($R144=0,$X144,IF(AND($T144&lt;&gt;"",EDATE($D144,Milestones!$AA$45)&gt;=$T144),$W144,IF(AND($S144&lt;&gt;"",EDATE($D144,Milestones!$AA$45)&gt;=$S144),$V144,$U144)))=Milestones!$AB$45),UPPER(TEXT(EDATE($D144,Milestones!$AA$45),"dd mmm yy"))&amp;" "&amp;Milestones!$AB$45&amp;" "&amp;Milestones!$AC$45&amp;";  ","")&amp;IF(AND(EDATE($D144,Milestones!$AA$46)&lt;=AsOfDate,IF($R144=0,$X144,IF(AND($T144&lt;&gt;"",EDATE($D144,Milestones!$AA$46)&gt;=$T144),$W144,IF(AND($S144&lt;&gt;"",EDATE($D144,Milestones!$AA$46)&gt;=$S144),$V144,$U144)))=Milestones!$AB$46),UPPER(TEXT(EDATE($D144,Milestones!$AA$46),"dd mmm yy"))&amp;" "&amp;Milestones!$AB$46&amp;" "&amp;Milestones!$AC$46&amp;";  ","")&amp;IF(AND(EDATE($D144,Milestones!$AA$47)&lt;=AsOfDate,IF($R144=0,$X144,IF(AND($T144&lt;&gt;"",EDATE($D144,Milestones!$AA$47)&gt;=$T144),$W144,IF(AND($S144&lt;&gt;"",EDATE($D144,Milestones!$AA$47)&gt;=$S144),$V144,$U144)))=Milestones!$AB$47),UPPER(TEXT(EDATE($D144,Milestones!$AA$47),"dd mmm yy"))&amp;" "&amp;Milestones!$AB$47&amp;" "&amp;Milestones!$AC$47&amp;";  ","")&amp;IF(AND(EDATE($D144,Milestones!$AA$48)&lt;=AsOfDate,IF($R144=0,$X144,IF(AND($T144&lt;&gt;"",EDATE($D144,Milestones!$AA$48)&gt;=$T144),$W144,IF(AND($S144&lt;&gt;"",EDATE($D144,Milestones!$AA$48)&gt;=$S144),$V144,$U144)))=Milestones!$AB$48),UPPER(TEXT(EDATE($D144,Milestones!$AA$48),"dd mmm yy"))&amp;" "&amp;Milestones!$AB$48&amp;" "&amp;Milestones!$AC$48&amp;";  ","")&amp;IF(AND(EDATE($D144,Milestones!$AA$49)&lt;=AsOfDate,IF($R144=0,$X144,IF(AND($T144&lt;&gt;"",EDATE($D144,Milestones!$AA$49)&gt;=$T144),$W144,IF(AND($S144&lt;&gt;"",EDATE($D144,Milestones!$AA$49)&gt;=$S144),$V144,$U144)))=Milestones!$AB$49),UPPER(TEXT(EDATE($D144,Milestones!$AA$49),"dd mmm yy"))&amp;" "&amp;Milestones!$AB$49&amp;" "&amp;Milestones!$AC$49&amp;";  ","")&amp;IF(AND(EDATE($D144,Milestones!$AA$50)&lt;=AsOfDate,IF($R144=0,$X144,IF(AND($T144&lt;&gt;"",EDATE($D144,Milestones!$AA$50)&gt;=$T144),$W144,IF(AND($S144&lt;&gt;"",EDATE($D144,Milestones!$AA$50)&gt;=$S144),$V144,$U144)))=Milestones!$AB$50),UPPER(TEXT(EDATE($D144,Milestones!$AA$50),"dd mmm yy"))&amp;" "&amp;Milestones!$AB$50&amp;" "&amp;Milestones!$AC$50&amp;";  ","")&amp;IF(AND(EDATE($D144,Milestones!$AA$51)&lt;=AsOfDate,IF($R144=0,$X144,IF(AND($T144&lt;&gt;"",EDATE($D144,Milestones!$AA$51)&gt;=$T144),$W144,IF(AND($S144&lt;&gt;"",EDATE($D144,Milestones!$AA$51)&gt;=$S144),$V144,$U144)))=Milestones!$AB$51),UPPER(TEXT(EDATE($D144,Milestones!$AA$51),"dd mmm yy"))&amp;" "&amp;Milestones!$AB$51&amp;" "&amp;Milestones!$AC$51&amp;";  ","")&amp;IF(AND(EDATE($D144,Milestones!$AA$52)&lt;=AsOfDate,IF($R144=0,$X144,IF(AND($T144&lt;&gt;"",EDATE($D144,Milestones!$AA$52)&gt;=$T144),$W144,IF(AND($S144&lt;&gt;"",EDATE($D144,Milestones!$AA$52)&gt;=$S144),$V144,$U144)))=Milestones!$AB$52),UPPER(TEXT(EDATE($D144,Milestones!$AA$52),"dd mmm yy"))&amp;" "&amp;Milestones!$AB$52&amp;" "&amp;Milestones!$AC$52&amp;";  ","")&amp;IF(AND(EDATE($D144,Milestones!$AA$53)&lt;=AsOfDate,IF($R144=0,$X144,IF(AND($T144&lt;&gt;"",EDATE($D144,Milestones!$AA$53)&gt;=$T144),$W144,IF(AND($S144&lt;&gt;"",EDATE($D144,Milestones!$AA$53)&gt;=$S144),$V144,$U144)))=Milestones!$AB$53),UPPER(TEXT(EDATE($D144,Milestones!$AA$53),"dd mmm yy"))&amp;" "&amp;Milestones!$AB$53&amp;" "&amp;Milestones!$AC$53&amp;";  ","")&amp;IF(AND(EDATE($D144,Milestones!$AA$54)&lt;=AsOfDate,IF($R144=0,$X144,IF(AND($T144&lt;&gt;"",EDATE($D144,Milestones!$AA$54)&gt;=$T144),$W144,IF(AND($S144&lt;&gt;"",EDATE($D144,Milestones!$AA$54)&gt;=$S144),$V144,$U144)))=Milestones!$AB$54),UPPER(TEXT(EDATE($D144,Milestones!$AA$54),"dd mmm yy"))&amp;" "&amp;Milestones!$AB$54&amp;" "&amp;Milestones!$AC$54&amp;";  ","")&amp;IF(AND(EDATE($D144,Milestones!$AA$55)&lt;=AsOfDate,IF($R144=0,$X144,IF(AND($T144&lt;&gt;"",EDATE($D144,Milestones!$AA$55)&gt;=$T144),$W144,IF(AND($S144&lt;&gt;"",EDATE($D144,Milestones!$AA$55)&gt;=$S144),$V144,$U144)))=Milestones!$AB$55),UPPER(TEXT(EDATE($D144,Milestones!$AA$55),"dd mmm yy"))&amp;" "&amp;Milestones!$AB$55&amp;" "&amp;Milestones!$AC$55&amp;";  ","")&amp;IF(AND(EDATE($D144,Milestones!$AA$56)&lt;=AsOfDate,IF($R144=0,$X144,IF(AND($T144&lt;&gt;"",EDATE($D144,Milestones!$AA$56)&gt;=$T144),$W144,IF(AND($S144&lt;&gt;"",EDATE($D144,Milestones!$AA$56)&gt;=$S144),$V144,$U144)))=Milestones!$AB$56),UPPER(TEXT(EDATE($D144,Milestones!$AA$56),"dd mmm yy"))&amp;" "&amp;Milestones!$AB$56&amp;" "&amp;Milestones!$AC$56&amp;";  ","")&amp;IF(AND(EDATE($D144,Milestones!$AA$57)&lt;=AsOfDate,IF($R144=0,$X144,IF(AND($T144&lt;&gt;"",EDATE($D144,Milestones!$AA$57)&gt;=$T144),$W144,IF(AND($S144&lt;&gt;"",EDATE($D144,Milestones!$AA$57)&gt;=$S144),$V144,$U144)))=Milestones!$AB$57),UPPER(TEXT(EDATE($D144,Milestones!$AA$57),"dd mmm yy"))&amp;" "&amp;Milestones!$AB$57&amp;" "&amp;Milestones!$AC$57&amp;";  ","")&amp;IF(AND(EDATE($D144,Milestones!$AA$58)&lt;=AsOfDate,IF($R144=0,$X144,IF(AND($T144&lt;&gt;"",EDATE($D144,Milestones!$AA$58)&gt;=$T144),$W144,IF(AND($S144&lt;&gt;"",EDATE($D144,Milestones!$AA$58)&gt;=$S144),$V144,$U144)))=Milestones!$AB$58),UPPER(TEXT(EDATE($D144,Milestones!$AA$58),"dd mmm yy"))&amp;" "&amp;Milestones!$AB$58&amp;" "&amp;Milestones!$AC$58&amp;";  ","")&amp;IF(AND(EDATE($D144,Milestones!$AA$59)&lt;=AsOfDate,IF($R144=0,$X144,IF(AND($T144&lt;&gt;"",EDATE($D144,Milestones!$AA$59)&gt;=$T144),$W144,IF(AND($S144&lt;&gt;"",EDATE($D144,Milestones!$AA$59)&gt;=$S144),$V144,$U144)))=Milestones!$AB$59),UPPER(TEXT(EDATE($D144,Milestones!$AA$59),"dd mmm yy"))&amp;" "&amp;Milestones!$AB$59&amp;" "&amp;Milestones!$AC$59&amp;";  ",""))</f>
        <v/>
      </c>
      <c r="K144" s="0" t="str">
        <f aca="false">IF(OR($A144="",$D144=""),"",IF(AND(EDATE($D144,Milestones!$AA$60)&lt;=AsOfDate,IF($R144=0,$X144,IF(AND($T144&lt;&gt;"",EDATE($D144,Milestones!$AA$60)&gt;=$T144),$W144,IF(AND($S144&lt;&gt;"",EDATE($D144,Milestones!$AA$60)&gt;=$S144),$V144,$U144)))=Milestones!$AB$60),UPPER(TEXT(EDATE($D144,Milestones!$AA$60),"dd mmm yy"))&amp;" "&amp;Milestones!$AB$60&amp;" "&amp;Milestones!$AC$60&amp;";  ","")&amp;IF(AND(EDATE($D144,Milestones!$AA$61)&lt;=AsOfDate,IF($R144=0,$X144,IF(AND($T144&lt;&gt;"",EDATE($D144,Milestones!$AA$61)&gt;=$T144),$W144,IF(AND($S144&lt;&gt;"",EDATE($D144,Milestones!$AA$61)&gt;=$S144),$V144,$U144)))=Milestones!$AB$61),UPPER(TEXT(EDATE($D144,Milestones!$AA$61),"dd mmm yy"))&amp;" "&amp;Milestones!$AB$61&amp;" "&amp;Milestones!$AC$61&amp;";  ","")&amp;IF(AND(EDATE($D144,Milestones!$AA$62)&lt;=AsOfDate,IF($R144=0,$X144,IF(AND($T144&lt;&gt;"",EDATE($D144,Milestones!$AA$62)&gt;=$T144),$W144,IF(AND($S144&lt;&gt;"",EDATE($D144,Milestones!$AA$62)&gt;=$S144),$V144,$U144)))=Milestones!$AB$62),UPPER(TEXT(EDATE($D144,Milestones!$AA$62),"dd mmm yy"))&amp;" "&amp;Milestones!$AB$62&amp;" "&amp;Milestones!$AC$62&amp;";  ","")&amp;IF(AND(EDATE($D144,Milestones!$AA$63)&lt;=AsOfDate,IF($R144=0,$X144,IF(AND($T144&lt;&gt;"",EDATE($D144,Milestones!$AA$63)&gt;=$T144),$W144,IF(AND($S144&lt;&gt;"",EDATE($D144,Milestones!$AA$63)&gt;=$S144),$V144,$U144)))=Milestones!$AB$63),UPPER(TEXT(EDATE($D144,Milestones!$AA$63),"dd mmm yy"))&amp;" "&amp;Milestones!$AB$63&amp;" "&amp;Milestones!$AC$63&amp;";  ","")&amp;IF(AND(EDATE($D144,Milestones!$AA$64)&lt;=AsOfDate,IF($R144=0,$X144,IF(AND($T144&lt;&gt;"",EDATE($D144,Milestones!$AA$64)&gt;=$T144),$W144,IF(AND($S144&lt;&gt;"",EDATE($D144,Milestones!$AA$64)&gt;=$S144),$V144,$U144)))=Milestones!$AB$64),UPPER(TEXT(EDATE($D144,Milestones!$AA$64),"dd mmm yy"))&amp;" "&amp;Milestones!$AB$64&amp;" "&amp;Milestones!$AC$64&amp;";  ","")&amp;IF(AND(EDATE($D144,Milestones!$AA$65)&lt;=AsOfDate,IF($R144=0,$X144,IF(AND($T144&lt;&gt;"",EDATE($D144,Milestones!$AA$65)&gt;=$T144),$W144,IF(AND($S144&lt;&gt;"",EDATE($D144,Milestones!$AA$65)&gt;=$S144),$V144,$U144)))=Milestones!$AB$65),UPPER(TEXT(EDATE($D144,Milestones!$AA$65),"dd mmm yy"))&amp;" "&amp;Milestones!$AB$65&amp;" "&amp;Milestones!$AC$65&amp;";  ","")&amp;IF(AND(EDATE($D144,Milestones!$AA$66)&lt;=AsOfDate,IF($R144=0,$X144,IF(AND($T144&lt;&gt;"",EDATE($D144,Milestones!$AA$66)&gt;=$T144),$W144,IF(AND($S144&lt;&gt;"",EDATE($D144,Milestones!$AA$66)&gt;=$S144),$V144,$U144)))=Milestones!$AB$66),UPPER(TEXT(EDATE($D144,Milestones!$AA$66),"dd mmm yy"))&amp;" "&amp;Milestones!$AB$66&amp;" "&amp;Milestones!$AC$66&amp;";  ","")&amp;IF(AND(EDATE($D144,Milestones!$AA$67)&lt;=AsOfDate,IF($R144=0,$X144,IF(AND($T144&lt;&gt;"",EDATE($D144,Milestones!$AA$67)&gt;=$T144),$W144,IF(AND($S144&lt;&gt;"",EDATE($D144,Milestones!$AA$67)&gt;=$S144),$V144,$U144)))=Milestones!$AB$67),UPPER(TEXT(EDATE($D144,Milestones!$AA$67),"dd mmm yy"))&amp;" "&amp;Milestones!$AB$67&amp;" "&amp;Milestones!$AC$67&amp;";  ","")&amp;IF(AND(EDATE($D144,Milestones!$AA$68)&lt;=AsOfDate,IF($R144=0,$X144,IF(AND($T144&lt;&gt;"",EDATE($D144,Milestones!$AA$68)&gt;=$T144),$W144,IF(AND($S144&lt;&gt;"",EDATE($D144,Milestones!$AA$68)&gt;=$S144),$V144,$U144)))=Milestones!$AB$68),UPPER(TEXT(EDATE($D144,Milestones!$AA$68),"dd mmm yy"))&amp;" "&amp;Milestones!$AB$68&amp;" "&amp;Milestones!$AC$68&amp;";  ","")&amp;IF(AND(EDATE($D144,Milestones!$AA$69)&lt;=AsOfDate,IF($R144=0,$X144,IF(AND($T144&lt;&gt;"",EDATE($D144,Milestones!$AA$69)&gt;=$T144),$W144,IF(AND($S144&lt;&gt;"",EDATE($D144,Milestones!$AA$69)&gt;=$S144),$V144,$U144)))=Milestones!$AB$69),UPPER(TEXT(EDATE($D144,Milestones!$AA$69),"dd mmm yy"))&amp;" "&amp;Milestones!$AB$69&amp;" "&amp;Milestones!$AC$69&amp;";  ","")&amp;IF(AND(EDATE($D144,Milestones!$AA$70)&lt;=AsOfDate,IF($R144=0,$X144,IF(AND($T144&lt;&gt;"",EDATE($D144,Milestones!$AA$70)&gt;=$T144),$W144,IF(AND($S144&lt;&gt;"",EDATE($D144,Milestones!$AA$70)&gt;=$S144),$V144,$U144)))=Milestones!$AB$70),UPPER(TEXT(EDATE($D144,Milestones!$AA$70),"dd mmm yy"))&amp;" "&amp;Milestones!$AB$70&amp;" "&amp;Milestones!$AC$70&amp;";  ","")&amp;IF(AND(EDATE($D144,Milestones!$AA$71)&lt;=AsOfDate,IF($R144=0,$X144,IF(AND($T144&lt;&gt;"",EDATE($D144,Milestones!$AA$71)&gt;=$T144),$W144,IF(AND($S144&lt;&gt;"",EDATE($D144,Milestones!$AA$71)&gt;=$S144),$V144,$U144)))=Milestones!$AB$71),UPPER(TEXT(EDATE($D144,Milestones!$AA$71),"dd mmm yy"))&amp;" "&amp;Milestones!$AB$71&amp;" "&amp;Milestones!$AC$71&amp;";  ","")&amp;IF(AND(EDATE($D144,Milestones!$AA$72)&lt;=AsOfDate,IF($R144=0,$X144,IF(AND($T144&lt;&gt;"",EDATE($D144,Milestones!$AA$72)&gt;=$T144),$W144,IF(AND($S144&lt;&gt;"",EDATE($D144,Milestones!$AA$72)&gt;=$S144),$V144,$U144)))=Milestones!$AB$72),UPPER(TEXT(EDATE($D144,Milestones!$AA$72),"dd mmm yy"))&amp;" "&amp;Milestones!$AB$72&amp;" "&amp;Milestones!$AC$72&amp;";  ","")&amp;IF(AND(EDATE($D144,Milestones!$AA$73)&lt;=AsOfDate,IF($R144=0,$X144,IF(AND($T144&lt;&gt;"",EDATE($D144,Milestones!$AA$73)&gt;=$T144),$W144,IF(AND($S144&lt;&gt;"",EDATE($D144,Milestones!$AA$73)&gt;=$S144),$V144,$U144)))=Milestones!$AB$73),UPPER(TEXT(EDATE($D144,Milestones!$AA$73),"dd mmm yy"))&amp;" "&amp;Milestones!$AB$73&amp;" "&amp;Milestones!$AC$73&amp;";  ","")&amp;IF(AND(EDATE($D144,Milestones!$AA$74)&lt;=AsOfDate,IF($R144=0,$X144,IF(AND($T144&lt;&gt;"",EDATE($D144,Milestones!$AA$74)&gt;=$T144),$W144,IF(AND($S144&lt;&gt;"",EDATE($D144,Milestones!$AA$74)&gt;=$S144),$V144,$U144)))=Milestones!$AB$74),UPPER(TEXT(EDATE($D144,Milestones!$AA$74),"dd mmm yy"))&amp;" "&amp;Milestones!$AB$74&amp;" "&amp;Milestones!$AC$74&amp;";  ","")&amp;IF(AND(EDATE($D144,Milestones!$AA$75)&lt;=AsOfDate,IF($R144=0,$X144,IF(AND($T144&lt;&gt;"",EDATE($D144,Milestones!$AA$75)&gt;=$T144),$W144,IF(AND($S144&lt;&gt;"",EDATE($D144,Milestones!$AA$75)&gt;=$S144),$V144,$U144)))=Milestones!$AB$75),UPPER(TEXT(EDATE($D144,Milestones!$AA$75),"dd mmm yy"))&amp;" "&amp;Milestones!$AB$75&amp;" "&amp;Milestones!$AC$75&amp;";  ","")&amp;IF(AND(EDATE($D144,Milestones!$AA$76)&lt;=AsOfDate,IF($R144=0,$X144,IF(AND($T144&lt;&gt;"",EDATE($D144,Milestones!$AA$76)&gt;=$T144),$W144,IF(AND($S144&lt;&gt;"",EDATE($D144,Milestones!$AA$76)&gt;=$S144),$V144,$U144)))=Milestones!$AB$76),UPPER(TEXT(EDATE($D144,Milestones!$AA$76),"dd mmm yy"))&amp;" "&amp;Milestones!$AB$76&amp;" "&amp;Milestones!$AC$76&amp;";  ","")&amp;IF(AND(EDATE($D144,Milestones!$AA$77)&lt;=AsOfDate,IF($R144=0,$X144,IF(AND($T144&lt;&gt;"",EDATE($D144,Milestones!$AA$77)&gt;=$T144),$W144,IF(AND($S144&lt;&gt;"",EDATE($D144,Milestones!$AA$77)&gt;=$S144),$V144,$U144)))=Milestones!$AB$77),UPPER(TEXT(EDATE($D144,Milestones!$AA$77),"dd mmm yy"))&amp;" "&amp;Milestones!$AB$77&amp;" "&amp;Milestones!$AC$77&amp;";  ","")&amp;IF(AND(EDATE($D144,Milestones!$AA$78)&lt;=AsOfDate,IF($R144=0,$X144,IF(AND($T144&lt;&gt;"",EDATE($D144,Milestones!$AA$78)&gt;=$T144),$W144,IF(AND($S144&lt;&gt;"",EDATE($D144,Milestones!$AA$78)&gt;=$S144),$V144,$U144)))=Milestones!$AB$78),UPPER(TEXT(EDATE($D144,Milestones!$AA$78),"dd mmm yy"))&amp;" "&amp;Milestones!$AB$78&amp;" "&amp;Milestones!$AC$78&amp;";  ","")&amp;IF(AND(EDATE($D144,Milestones!$AA$79)&lt;=AsOfDate,IF($R144=0,$X144,IF(AND($T144&lt;&gt;"",EDATE($D144,Milestones!$AA$79)&gt;=$T144),$W144,IF(AND($S144&lt;&gt;"",EDATE($D144,Milestones!$AA$79)&gt;=$S144),$V144,$U144)))=Milestones!$AB$79),UPPER(TEXT(EDATE($D144,Milestones!$AA$79),"dd mmm yy"))&amp;" "&amp;Milestones!$AB$79&amp;" "&amp;Milestones!$AC$79&amp;";  ",""))</f>
        <v/>
      </c>
      <c r="L144" s="0" t="str">
        <f aca="false">IF(OR($A144="",$D144=""),"",IF(AND(EDATE($D144,Milestones!$AA$80)&lt;=AsOfDate,IF($R144=0,$X144,IF(AND($T144&lt;&gt;"",EDATE($D144,Milestones!$AA$80)&gt;=$T144),$W144,IF(AND($S144&lt;&gt;"",EDATE($D144,Milestones!$AA$80)&gt;=$S144),$V144,$U144)))=Milestones!$AB$80),UPPER(TEXT(EDATE($D144,Milestones!$AA$80),"dd mmm yy"))&amp;" "&amp;Milestones!$AB$80&amp;" "&amp;Milestones!$AC$80&amp;";  ","")&amp;IF(AND(EDATE($D144,Milestones!$AA$81)&lt;=AsOfDate,IF($R144=0,$X144,IF(AND($T144&lt;&gt;"",EDATE($D144,Milestones!$AA$81)&gt;=$T144),$W144,IF(AND($S144&lt;&gt;"",EDATE($D144,Milestones!$AA$81)&gt;=$S144),$V144,$U144)))=Milestones!$AB$81),UPPER(TEXT(EDATE($D144,Milestones!$AA$81),"dd mmm yy"))&amp;" "&amp;Milestones!$AB$81&amp;" "&amp;Milestones!$AC$81&amp;";  ","")&amp;IF(AND(EDATE($D144,Milestones!$AA$82)&lt;=AsOfDate,IF($R144=0,$X144,IF(AND($T144&lt;&gt;"",EDATE($D144,Milestones!$AA$82)&gt;=$T144),$W144,IF(AND($S144&lt;&gt;"",EDATE($D144,Milestones!$AA$82)&gt;=$S144),$V144,$U144)))=Milestones!$AB$82),UPPER(TEXT(EDATE($D144,Milestones!$AA$82),"dd mmm yy"))&amp;" "&amp;Milestones!$AB$82&amp;" "&amp;Milestones!$AC$82&amp;";  ","")&amp;IF(AND(EDATE($D144,Milestones!$AA$83)&lt;=AsOfDate,IF($R144=0,$X144,IF(AND($T144&lt;&gt;"",EDATE($D144,Milestones!$AA$83)&gt;=$T144),$W144,IF(AND($S144&lt;&gt;"",EDATE($D144,Milestones!$AA$83)&gt;=$S144),$V144,$U144)))=Milestones!$AB$83),UPPER(TEXT(EDATE($D144,Milestones!$AA$83),"dd mmm yy"))&amp;" "&amp;Milestones!$AB$83&amp;" "&amp;Milestones!$AC$83&amp;";  ","")&amp;IF(AND(EDATE($D144,Milestones!$AA$84)&lt;=AsOfDate,IF($R144=0,$X144,IF(AND($T144&lt;&gt;"",EDATE($D144,Milestones!$AA$84)&gt;=$T144),$W144,IF(AND($S144&lt;&gt;"",EDATE($D144,Milestones!$AA$84)&gt;=$S144),$V144,$U144)))=Milestones!$AB$84),UPPER(TEXT(EDATE($D144,Milestones!$AA$84),"dd mmm yy"))&amp;" "&amp;Milestones!$AB$84&amp;" "&amp;Milestones!$AC$84&amp;";  ","")&amp;IF(AND(EDATE($D144,Milestones!$AA$85)&lt;=AsOfDate,IF($R144=0,$X144,IF(AND($T144&lt;&gt;"",EDATE($D144,Milestones!$AA$85)&gt;=$T144),$W144,IF(AND($S144&lt;&gt;"",EDATE($D144,Milestones!$AA$85)&gt;=$S144),$V144,$U144)))=Milestones!$AB$85),UPPER(TEXT(EDATE($D144,Milestones!$AA$85),"dd mmm yy"))&amp;" "&amp;Milestones!$AB$85&amp;" "&amp;Milestones!$AC$85&amp;";  ","")&amp;IF(AND(EDATE($D144,Milestones!$AA$86)&lt;=AsOfDate,IF($R144=0,$X144,IF(AND($T144&lt;&gt;"",EDATE($D144,Milestones!$AA$86)&gt;=$T144),$W144,IF(AND($S144&lt;&gt;"",EDATE($D144,Milestones!$AA$86)&gt;=$S144),$V144,$U144)))=Milestones!$AB$86),UPPER(TEXT(EDATE($D144,Milestones!$AA$86),"dd mmm yy"))&amp;" "&amp;Milestones!$AB$86&amp;" "&amp;Milestones!$AC$86&amp;";  ","")&amp;IF(AND(EDATE($D144,Milestones!$AA$87)&lt;=AsOfDate,IF($R144=0,$X144,IF(AND($T144&lt;&gt;"",EDATE($D144,Milestones!$AA$87)&gt;=$T144),$W144,IF(AND($S144&lt;&gt;"",EDATE($D144,Milestones!$AA$87)&gt;=$S144),$V144,$U144)))=Milestones!$AB$87),UPPER(TEXT(EDATE($D144,Milestones!$AA$87),"dd mmm yy"))&amp;" "&amp;Milestones!$AB$87&amp;" "&amp;Milestones!$AC$87&amp;";  ","")&amp;IF(AND(EDATE($D144,Milestones!$AA$88)&lt;=AsOfDate,IF($R144=0,$X144,IF(AND($T144&lt;&gt;"",EDATE($D144,Milestones!$AA$88)&gt;=$T144),$W144,IF(AND($S144&lt;&gt;"",EDATE($D144,Milestones!$AA$88)&gt;=$S144),$V144,$U144)))=Milestones!$AB$88),UPPER(TEXT(EDATE($D144,Milestones!$AA$88),"dd mmm yy"))&amp;" "&amp;Milestones!$AB$88&amp;" "&amp;Milestones!$AC$88&amp;";  ","")&amp;IF(AND(EDATE($D144,Milestones!$AA$89)&lt;=AsOfDate,IF($R144=0,$X144,IF(AND($T144&lt;&gt;"",EDATE($D144,Milestones!$AA$89)&gt;=$T144),$W144,IF(AND($S144&lt;&gt;"",EDATE($D144,Milestones!$AA$89)&gt;=$S144),$V144,$U144)))=Milestones!$AB$89),UPPER(TEXT(EDATE($D144,Milestones!$AA$89),"dd mmm yy"))&amp;" "&amp;Milestones!$AB$89&amp;" "&amp;Milestones!$AC$89&amp;";  ","")&amp;IF(AND(EDATE($D144,Milestones!$AA$90)&lt;=AsOfDate,IF($R144=0,$X144,IF(AND($T144&lt;&gt;"",EDATE($D144,Milestones!$AA$90)&gt;=$T144),$W144,IF(AND($S144&lt;&gt;"",EDATE($D144,Milestones!$AA$90)&gt;=$S144),$V144,$U144)))=Milestones!$AB$90),UPPER(TEXT(EDATE($D144,Milestones!$AA$90),"dd mmm yy"))&amp;" "&amp;Milestones!$AB$90&amp;" "&amp;Milestones!$AC$90&amp;";  ","")&amp;IF(AND(EDATE($D144,Milestones!$AA$91)&lt;=AsOfDate,IF($R144=0,$X144,IF(AND($T144&lt;&gt;"",EDATE($D144,Milestones!$AA$91)&gt;=$T144),$W144,IF(AND($S144&lt;&gt;"",EDATE($D144,Milestones!$AA$91)&gt;=$S144),$V144,$U144)))=Milestones!$AB$91),UPPER(TEXT(EDATE($D144,Milestones!$AA$91),"dd mmm yy"))&amp;" "&amp;Milestones!$AB$91&amp;" "&amp;Milestones!$AC$91&amp;";  ","")&amp;IF(AND(EDATE($D144,Milestones!$AA$92)&lt;=AsOfDate,IF($R144=0,$X144,IF(AND($T144&lt;&gt;"",EDATE($D144,Milestones!$AA$92)&gt;=$T144),$W144,IF(AND($S144&lt;&gt;"",EDATE($D144,Milestones!$AA$92)&gt;=$S144),$V144,$U144)))=Milestones!$AB$92),UPPER(TEXT(EDATE($D144,Milestones!$AA$92),"dd mmm yy"))&amp;" "&amp;Milestones!$AB$92&amp;" "&amp;Milestones!$AC$92&amp;";  ","")&amp;IF(AND(EDATE($D144,Milestones!$AA$93)&lt;=AsOfDate,IF($R144=0,$X144,IF(AND($T144&lt;&gt;"",EDATE($D144,Milestones!$AA$93)&gt;=$T144),$W144,IF(AND($S144&lt;&gt;"",EDATE($D144,Milestones!$AA$93)&gt;=$S144),$V144,$U144)))=Milestones!$AB$93),UPPER(TEXT(EDATE($D144,Milestones!$AA$93),"dd mmm yy"))&amp;" "&amp;Milestones!$AB$93&amp;" "&amp;Milestones!$AC$93&amp;";  ","")&amp;IF(AND(EDATE($D144,Milestones!$AA$94)&lt;=AsOfDate,IF($R144=0,$X144,IF(AND($T144&lt;&gt;"",EDATE($D144,Milestones!$AA$94)&gt;=$T144),$W144,IF(AND($S144&lt;&gt;"",EDATE($D144,Milestones!$AA$94)&gt;=$S144),$V144,$U144)))=Milestones!$AB$94),UPPER(TEXT(EDATE($D144,Milestones!$AA$94),"dd mmm yy"))&amp;" "&amp;Milestones!$AB$94&amp;" "&amp;Milestones!$AC$94&amp;";  ","")&amp;IF(AND(EDATE($D144,Milestones!$AA$95)&lt;=AsOfDate,IF($R144=0,$X144,IF(AND($T144&lt;&gt;"",EDATE($D144,Milestones!$AA$95)&gt;=$T144),$W144,IF(AND($S144&lt;&gt;"",EDATE($D144,Milestones!$AA$95)&gt;=$S144),$V144,$U144)))=Milestones!$AB$95),UPPER(TEXT(EDATE($D144,Milestones!$AA$95),"dd mmm yy"))&amp;" "&amp;Milestones!$AB$95&amp;" "&amp;Milestones!$AC$95&amp;";  ","")&amp;IF(AND(EDATE($D144,Milestones!$AA$96)&lt;=AsOfDate,IF($R144=0,$X144,IF(AND($T144&lt;&gt;"",EDATE($D144,Milestones!$AA$96)&gt;=$T144),$W144,IF(AND($S144&lt;&gt;"",EDATE($D144,Milestones!$AA$96)&gt;=$S144),$V144,$U144)))=Milestones!$AB$96),UPPER(TEXT(EDATE($D144,Milestones!$AA$96),"dd mmm yy"))&amp;" "&amp;Milestones!$AB$96&amp;" "&amp;Milestones!$AC$96&amp;";  ","")&amp;IF(AND(EDATE($D144,Milestones!$AA$97)&lt;=AsOfDate,IF($R144=0,$X144,IF(AND($T144&lt;&gt;"",EDATE($D144,Milestones!$AA$97)&gt;=$T144),$W144,IF(AND($S144&lt;&gt;"",EDATE($D144,Milestones!$AA$97)&gt;=$S144),$V144,$U144)))=Milestones!$AB$97),UPPER(TEXT(EDATE($D144,Milestones!$AA$97),"dd mmm yy"))&amp;" "&amp;Milestones!$AB$97&amp;" "&amp;Milestones!$AC$97&amp;";  ","")&amp;IF(AND(EDATE($D144,Milestones!$AA$98)&lt;=AsOfDate,IF($R144=0,$X144,IF(AND($T144&lt;&gt;"",EDATE($D144,Milestones!$AA$98)&gt;=$T144),$W144,IF(AND($S144&lt;&gt;"",EDATE($D144,Milestones!$AA$98)&gt;=$S144),$V144,$U144)))=Milestones!$AB$98),UPPER(TEXT(EDATE($D144,Milestones!$AA$98),"dd mmm yy"))&amp;" "&amp;Milestones!$AB$98&amp;" "&amp;Milestones!$AC$98&amp;";  ","")&amp;IF(AND(EDATE($D144,Milestones!$AA$99)&lt;=AsOfDate,IF($R144=0,$X144,IF(AND($T144&lt;&gt;"",EDATE($D144,Milestones!$AA$99)&gt;=$T144),$W144,IF(AND($S144&lt;&gt;"",EDATE($D144,Milestones!$AA$99)&gt;=$S144),$V144,$U144)))=Milestones!$AB$99),UPPER(TEXT(EDATE($D144,Milestones!$AA$99),"dd mmm yy"))&amp;" "&amp;Milestones!$AB$99&amp;" "&amp;Milestones!$AC$99&amp;";  ",""))</f>
        <v/>
      </c>
      <c r="M144" s="0" t="str">
        <f aca="false">IF(OR($A144="",$D144=""),"",IF(AND(EDATE($D144,Milestones!$AA$100)&lt;=AsOfDate,IF($R144=0,$X144,IF(AND($T144&lt;&gt;"",EDATE($D144,Milestones!$AA$100)&gt;=$T144),$W144,IF(AND($S144&lt;&gt;"",EDATE($D144,Milestones!$AA$100)&gt;=$S144),$V144,$U144)))=Milestones!$AB$100),UPPER(TEXT(EDATE($D144,Milestones!$AA$100),"dd mmm yy"))&amp;" "&amp;Milestones!$AB$100&amp;" "&amp;Milestones!$AC$100&amp;";  ","")&amp;IF(AND(EDATE($D144,Milestones!$AA$101)&lt;=AsOfDate,IF($R144=0,$X144,IF(AND($T144&lt;&gt;"",EDATE($D144,Milestones!$AA$101)&gt;=$T144),$W144,IF(AND($S144&lt;&gt;"",EDATE($D144,Milestones!$AA$101)&gt;=$S144),$V144,$U144)))=Milestones!$AB$101),UPPER(TEXT(EDATE($D144,Milestones!$AA$101),"dd mmm yy"))&amp;" "&amp;Milestones!$AB$101&amp;" "&amp;Milestones!$AC$101&amp;";  ","")&amp;IF(AND(EDATE($D144,Milestones!$AA$102)&lt;=AsOfDate,IF($R144=0,$X144,IF(AND($T144&lt;&gt;"",EDATE($D144,Milestones!$AA$102)&gt;=$T144),$W144,IF(AND($S144&lt;&gt;"",EDATE($D144,Milestones!$AA$102)&gt;=$S144),$V144,$U144)))=Milestones!$AB$102),UPPER(TEXT(EDATE($D144,Milestones!$AA$102),"dd mmm yy"))&amp;" "&amp;Milestones!$AB$102&amp;" "&amp;Milestones!$AC$102&amp;";  ","")&amp;IF(AND(EDATE($D144,Milestones!$AA$103)&lt;=AsOfDate,IF($R144=0,$X144,IF(AND($T144&lt;&gt;"",EDATE($D144,Milestones!$AA$103)&gt;=$T144),$W144,IF(AND($S144&lt;&gt;"",EDATE($D144,Milestones!$AA$103)&gt;=$S144),$V144,$U144)))=Milestones!$AB$103),UPPER(TEXT(EDATE($D144,Milestones!$AA$103),"dd mmm yy"))&amp;" "&amp;Milestones!$AB$103&amp;" "&amp;Milestones!$AC$103&amp;";  ","")&amp;IF(AND(EDATE($D144,Milestones!$AA$104)&lt;=AsOfDate,IF($R144=0,$X144,IF(AND($T144&lt;&gt;"",EDATE($D144,Milestones!$AA$104)&gt;=$T144),$W144,IF(AND($S144&lt;&gt;"",EDATE($D144,Milestones!$AA$104)&gt;=$S144),$V144,$U144)))=Milestones!$AB$104),UPPER(TEXT(EDATE($D144,Milestones!$AA$104),"dd mmm yy"))&amp;" "&amp;Milestones!$AB$104&amp;" "&amp;Milestones!$AC$104&amp;";  ","")&amp;IF(AND(EDATE($D144,Milestones!$AA$105)&lt;=AsOfDate,IF($R144=0,$X144,IF(AND($T144&lt;&gt;"",EDATE($D144,Milestones!$AA$105)&gt;=$T144),$W144,IF(AND($S144&lt;&gt;"",EDATE($D144,Milestones!$AA$105)&gt;=$S144),$V144,$U144)))=Milestones!$AB$105),UPPER(TEXT(EDATE($D144,Milestones!$AA$105),"dd mmm yy"))&amp;" "&amp;Milestones!$AB$105&amp;" "&amp;Milestones!$AC$105&amp;";  ","")&amp;IF(AND(EDATE($D144,Milestones!$AA$106)&lt;=AsOfDate,IF($R144=0,$X144,IF(AND($T144&lt;&gt;"",EDATE($D144,Milestones!$AA$106)&gt;=$T144),$W144,IF(AND($S144&lt;&gt;"",EDATE($D144,Milestones!$AA$106)&gt;=$S144),$V144,$U144)))=Milestones!$AB$106),UPPER(TEXT(EDATE($D144,Milestones!$AA$106),"dd mmm yy"))&amp;" "&amp;Milestones!$AB$106&amp;" "&amp;Milestones!$AC$106&amp;";  ","")&amp;IF(AND(EDATE($D144,Milestones!$AA$107)&lt;=AsOfDate,IF($R144=0,$X144,IF(AND($T144&lt;&gt;"",EDATE($D144,Milestones!$AA$107)&gt;=$T144),$W144,IF(AND($S144&lt;&gt;"",EDATE($D144,Milestones!$AA$107)&gt;=$S144),$V144,$U144)))=Milestones!$AB$107),UPPER(TEXT(EDATE($D144,Milestones!$AA$107),"dd mmm yy"))&amp;" "&amp;Milestones!$AB$107&amp;" "&amp;Milestones!$AC$107&amp;";  ","")&amp;IF(AND(EDATE($D144,Milestones!$AA$108)&lt;=AsOfDate,IF($R144=0,$X144,IF(AND($T144&lt;&gt;"",EDATE($D144,Milestones!$AA$108)&gt;=$T144),$W144,IF(AND($S144&lt;&gt;"",EDATE($D144,Milestones!$AA$108)&gt;=$S144),$V144,$U144)))=Milestones!$AB$108),UPPER(TEXT(EDATE($D144,Milestones!$AA$108),"dd mmm yy"))&amp;" "&amp;Milestones!$AB$108&amp;" "&amp;Milestones!$AC$108&amp;";  ","")&amp;IF(AND(EDATE($D144,Milestones!$AA$109)&lt;=AsOfDate,IF($R144=0,$X144,IF(AND($T144&lt;&gt;"",EDATE($D144,Milestones!$AA$109)&gt;=$T144),$W144,IF(AND($S144&lt;&gt;"",EDATE($D144,Milestones!$AA$109)&gt;=$S144),$V144,$U144)))=Milestones!$AB$109),UPPER(TEXT(EDATE($D144,Milestones!$AA$109),"dd mmm yy"))&amp;" "&amp;Milestones!$AB$109&amp;" "&amp;Milestones!$AC$109&amp;";  ","")&amp;IF(AND(EDATE($D144,Milestones!$AA$110)&lt;=AsOfDate,IF($R144=0,$X144,IF(AND($T144&lt;&gt;"",EDATE($D144,Milestones!$AA$110)&gt;=$T144),$W144,IF(AND($S144&lt;&gt;"",EDATE($D144,Milestones!$AA$110)&gt;=$S144),$V144,$U144)))=Milestones!$AB$110),UPPER(TEXT(EDATE($D144,Milestones!$AA$110),"dd mmm yy"))&amp;" "&amp;Milestones!$AB$110&amp;" "&amp;Milestones!$AC$110&amp;";  ","")&amp;IF(AND(EDATE($D144,Milestones!$AA$111)&lt;=AsOfDate,IF($R144=0,$X144,IF(AND($T144&lt;&gt;"",EDATE($D144,Milestones!$AA$111)&gt;=$T144),$W144,IF(AND($S144&lt;&gt;"",EDATE($D144,Milestones!$AA$111)&gt;=$S144),$V144,$U144)))=Milestones!$AB$111),UPPER(TEXT(EDATE($D144,Milestones!$AA$111),"dd mmm yy"))&amp;" "&amp;Milestones!$AB$111&amp;" "&amp;Milestones!$AC$111&amp;";  ","")&amp;IF(AND(EDATE($D144,Milestones!$AA$112)&lt;=AsOfDate,IF($R144=0,$X144,IF(AND($T144&lt;&gt;"",EDATE($D144,Milestones!$AA$112)&gt;=$T144),$W144,IF(AND($S144&lt;&gt;"",EDATE($D144,Milestones!$AA$112)&gt;=$S144),$V144,$U144)))=Milestones!$AB$112),UPPER(TEXT(EDATE($D144,Milestones!$AA$112),"dd mmm yy"))&amp;" "&amp;Milestones!$AB$112&amp;" "&amp;Milestones!$AC$112&amp;";  ","")&amp;IF(AND(EDATE($D144,Milestones!$AA$113)&lt;=AsOfDate,IF($R144=0,$X144,IF(AND($T144&lt;&gt;"",EDATE($D144,Milestones!$AA$113)&gt;=$T144),$W144,IF(AND($S144&lt;&gt;"",EDATE($D144,Milestones!$AA$113)&gt;=$S144),$V144,$U144)))=Milestones!$AB$113),UPPER(TEXT(EDATE($D144,Milestones!$AA$113),"dd mmm yy"))&amp;" "&amp;Milestones!$AB$113&amp;" "&amp;Milestones!$AC$113&amp;";  ","")&amp;IF(AND(EDATE($D144,Milestones!$AA$114)&lt;=AsOfDate,IF($R144=0,$X144,IF(AND($T144&lt;&gt;"",EDATE($D144,Milestones!$AA$114)&gt;=$T144),$W144,IF(AND($S144&lt;&gt;"",EDATE($D144,Milestones!$AA$114)&gt;=$S144),$V144,$U144)))=Milestones!$AB$114),UPPER(TEXT(EDATE($D144,Milestones!$AA$114),"dd mmm yy"))&amp;" "&amp;Milestones!$AB$114&amp;" "&amp;Milestones!$AC$114&amp;";  ","")&amp;IF(AND(EDATE($D144,Milestones!$AA$115)&lt;=AsOfDate,IF($R144=0,$X144,IF(AND($T144&lt;&gt;"",EDATE($D144,Milestones!$AA$115)&gt;=$T144),$W144,IF(AND($S144&lt;&gt;"",EDATE($D144,Milestones!$AA$115)&gt;=$S144),$V144,$U144)))=Milestones!$AB$115),UPPER(TEXT(EDATE($D144,Milestones!$AA$115),"dd mmm yy"))&amp;" "&amp;Milestones!$AB$115&amp;" "&amp;Milestones!$AC$115&amp;";  ","")&amp;IF(AND(EDATE($D144,Milestones!$AA$116)&lt;=AsOfDate,IF($R144=0,$X144,IF(AND($T144&lt;&gt;"",EDATE($D144,Milestones!$AA$116)&gt;=$T144),$W144,IF(AND($S144&lt;&gt;"",EDATE($D144,Milestones!$AA$116)&gt;=$S144),$V144,$U144)))=Milestones!$AB$116),UPPER(TEXT(EDATE($D144,Milestones!$AA$116),"dd mmm yy"))&amp;" "&amp;Milestones!$AB$116&amp;" "&amp;Milestones!$AC$116&amp;";  ","")&amp;IF(AND(EDATE($D144,Milestones!$AA$117)&lt;=AsOfDate,IF($R144=0,$X144,IF(AND($T144&lt;&gt;"",EDATE($D144,Milestones!$AA$117)&gt;=$T144),$W144,IF(AND($S144&lt;&gt;"",EDATE($D144,Milestones!$AA$117)&gt;=$S144),$V144,$U144)))=Milestones!$AB$117),UPPER(TEXT(EDATE($D144,Milestones!$AA$117),"dd mmm yy"))&amp;" "&amp;Milestones!$AB$117&amp;" "&amp;Milestones!$AC$117&amp;";  ","")&amp;IF(AND(EDATE($D144,Milestones!$AA$118)&lt;=AsOfDate,IF($R144=0,$X144,IF(AND($T144&lt;&gt;"",EDATE($D144,Milestones!$AA$118)&gt;=$T144),$W144,IF(AND($S144&lt;&gt;"",EDATE($D144,Milestones!$AA$118)&gt;=$S144),$V144,$U144)))=Milestones!$AB$118),UPPER(TEXT(EDATE($D144,Milestones!$AA$118),"dd mmm yy"))&amp;" "&amp;Milestones!$AB$118&amp;" "&amp;Milestones!$AC$118&amp;";  ","")&amp;IF(AND(EDATE($D144,Milestones!$AA$119)&lt;=AsOfDate,IF($R144=0,$X144,IF(AND($T144&lt;&gt;"",EDATE($D144,Milestones!$AA$119)&gt;=$T144),$W144,IF(AND($S144&lt;&gt;"",EDATE($D144,Milestones!$AA$119)&gt;=$S144),$V144,$U144)))=Milestones!$AB$119),UPPER(TEXT(EDATE($D144,Milestones!$AA$119),"dd mmm yy"))&amp;" "&amp;Milestones!$AB$119&amp;" "&amp;Milestones!$AC$119&amp;";  ",""))</f>
        <v/>
      </c>
      <c r="N144" s="0" t="str">
        <f aca="false">IF(OR($A144="",$D144=""),"",IF(AND(EDATE($D144,Milestones!$AA$120)&lt;=AsOfDate,IF($R144=0,$X144,IF(AND($T144&lt;&gt;"",EDATE($D144,Milestones!$AA$120)&gt;=$T144),$W144,IF(AND($S144&lt;&gt;"",EDATE($D144,Milestones!$AA$120)&gt;=$S144),$V144,$U144)))=Milestones!$AB$120),UPPER(TEXT(EDATE($D144,Milestones!$AA$120),"dd mmm yy"))&amp;" "&amp;Milestones!$AB$120&amp;" "&amp;Milestones!$AC$120&amp;";  ","")&amp;IF(AND(EDATE($D144,Milestones!$AA$121)&lt;=AsOfDate,IF($R144=0,$X144,IF(AND($T144&lt;&gt;"",EDATE($D144,Milestones!$AA$121)&gt;=$T144),$W144,IF(AND($S144&lt;&gt;"",EDATE($D144,Milestones!$AA$121)&gt;=$S144),$V144,$U144)))=Milestones!$AB$121),UPPER(TEXT(EDATE($D144,Milestones!$AA$121),"dd mmm yy"))&amp;" "&amp;Milestones!$AB$121&amp;" "&amp;Milestones!$AC$121&amp;";  ","")&amp;IF(AND(EDATE($D144,Milestones!$AA$122)&lt;=AsOfDate,IF($R144=0,$X144,IF(AND($T144&lt;&gt;"",EDATE($D144,Milestones!$AA$122)&gt;=$T144),$W144,IF(AND($S144&lt;&gt;"",EDATE($D144,Milestones!$AA$122)&gt;=$S144),$V144,$U144)))=Milestones!$AB$122),UPPER(TEXT(EDATE($D144,Milestones!$AA$122),"dd mmm yy"))&amp;" "&amp;Milestones!$AB$122&amp;" "&amp;Milestones!$AC$122&amp;";  ","")&amp;IF(AND(EDATE($D144,Milestones!$AA$123)&lt;=AsOfDate,IF($R144=0,$X144,IF(AND($T144&lt;&gt;"",EDATE($D144,Milestones!$AA$123)&gt;=$T144),$W144,IF(AND($S144&lt;&gt;"",EDATE($D144,Milestones!$AA$123)&gt;=$S144),$V144,$U144)))=Milestones!$AB$123),UPPER(TEXT(EDATE($D144,Milestones!$AA$123),"dd mmm yy"))&amp;" "&amp;Milestones!$AB$123&amp;" "&amp;Milestones!$AC$123&amp;";  ","")&amp;IF(AND(EDATE($D144,Milestones!$AA$124)&lt;=AsOfDate,IF($R144=0,$X144,IF(AND($T144&lt;&gt;"",EDATE($D144,Milestones!$AA$124)&gt;=$T144),$W144,IF(AND($S144&lt;&gt;"",EDATE($D144,Milestones!$AA$124)&gt;=$S144),$V144,$U144)))=Milestones!$AB$124),UPPER(TEXT(EDATE($D144,Milestones!$AA$124),"dd mmm yy"))&amp;" "&amp;Milestones!$AB$124&amp;" "&amp;Milestones!$AC$124&amp;";  ","")&amp;IF(AND(EDATE($D144,Milestones!$AA$125)&lt;=AsOfDate,IF($R144=0,$X144,IF(AND($T144&lt;&gt;"",EDATE($D144,Milestones!$AA$125)&gt;=$T144),$W144,IF(AND($S144&lt;&gt;"",EDATE($D144,Milestones!$AA$125)&gt;=$S144),$V144,$U144)))=Milestones!$AB$125),UPPER(TEXT(EDATE($D144,Milestones!$AA$125),"dd mmm yy"))&amp;" "&amp;Milestones!$AB$125&amp;" "&amp;Milestones!$AC$125&amp;";  ","")&amp;IF(AND(EDATE($D144,Milestones!$AA$126)&lt;=AsOfDate,IF($R144=0,$X144,IF(AND($T144&lt;&gt;"",EDATE($D144,Milestones!$AA$126)&gt;=$T144),$W144,IF(AND($S144&lt;&gt;"",EDATE($D144,Milestones!$AA$126)&gt;=$S144),$V144,$U144)))=Milestones!$AB$126),UPPER(TEXT(EDATE($D144,Milestones!$AA$126),"dd mmm yy"))&amp;" "&amp;Milestones!$AB$126&amp;" "&amp;Milestones!$AC$126&amp;";  ","")&amp;IF(AND(EDATE($D144,Milestones!$AA$127)&lt;=AsOfDate,IF($R144=0,$X144,IF(AND($T144&lt;&gt;"",EDATE($D144,Milestones!$AA$127)&gt;=$T144),$W144,IF(AND($S144&lt;&gt;"",EDATE($D144,Milestones!$AA$127)&gt;=$S144),$V144,$U144)))=Milestones!$AB$127),UPPER(TEXT(EDATE($D144,Milestones!$AA$127),"dd mmm yy"))&amp;" "&amp;Milestones!$AB$127&amp;" "&amp;Milestones!$AC$127&amp;";  ","")&amp;IF(AND(EDATE($D144,Milestones!$AA$128)&lt;=AsOfDate,IF($R144=0,$X144,IF(AND($T144&lt;&gt;"",EDATE($D144,Milestones!$AA$128)&gt;=$T144),$W144,IF(AND($S144&lt;&gt;"",EDATE($D144,Milestones!$AA$128)&gt;=$S144),$V144,$U144)))=Milestones!$AB$128),UPPER(TEXT(EDATE($D144,Milestones!$AA$128),"dd mmm yy"))&amp;" "&amp;Milestones!$AB$128&amp;" "&amp;Milestones!$AC$128&amp;";  ","")&amp;IF(AND(EDATE($D144,Milestones!$AA$129)&lt;=AsOfDate,IF($R144=0,$X144,IF(AND($T144&lt;&gt;"",EDATE($D144,Milestones!$AA$129)&gt;=$T144),$W144,IF(AND($S144&lt;&gt;"",EDATE($D144,Milestones!$AA$129)&gt;=$S144),$V144,$U144)))=Milestones!$AB$129),UPPER(TEXT(EDATE($D144,Milestones!$AA$129),"dd mmm yy"))&amp;" "&amp;Milestones!$AB$129&amp;" "&amp;Milestones!$AC$129&amp;";  ","")&amp;IF(AND(EDATE($D144,Milestones!$AA$130)&lt;=AsOfDate,IF($R144=0,$X144,IF(AND($T144&lt;&gt;"",EDATE($D144,Milestones!$AA$130)&gt;=$T144),$W144,IF(AND($S144&lt;&gt;"",EDATE($D144,Milestones!$AA$130)&gt;=$S144),$V144,$U144)))=Milestones!$AB$130),UPPER(TEXT(EDATE($D144,Milestones!$AA$130),"dd mmm yy"))&amp;" "&amp;Milestones!$AB$130&amp;" "&amp;Milestones!$AC$130&amp;";  ","")&amp;IF(AND(EDATE($D144,Milestones!$AA$131)&lt;=AsOfDate,IF($R144=0,$X144,IF(AND($T144&lt;&gt;"",EDATE($D144,Milestones!$AA$131)&gt;=$T144),$W144,IF(AND($S144&lt;&gt;"",EDATE($D144,Milestones!$AA$131)&gt;=$S144),$V144,$U144)))=Milestones!$AB$131),UPPER(TEXT(EDATE($D144,Milestones!$AA$131),"dd mmm yy"))&amp;" "&amp;Milestones!$AB$131&amp;" "&amp;Milestones!$AC$131&amp;";  ","")&amp;IF(AND(EDATE($D144,Milestones!$AA$132)&lt;=AsOfDate,IF($R144=0,$X144,IF(AND($T144&lt;&gt;"",EDATE($D144,Milestones!$AA$132)&gt;=$T144),$W144,IF(AND($S144&lt;&gt;"",EDATE($D144,Milestones!$AA$132)&gt;=$S144),$V144,$U144)))=Milestones!$AB$132),UPPER(TEXT(EDATE($D144,Milestones!$AA$132),"dd mmm yy"))&amp;" "&amp;Milestones!$AB$132&amp;" "&amp;Milestones!$AC$132&amp;";  ","")&amp;IF(AND(EDATE($D144,Milestones!$AA$133)&lt;=AsOfDate,IF($R144=0,$X144,IF(AND($T144&lt;&gt;"",EDATE($D144,Milestones!$AA$133)&gt;=$T144),$W144,IF(AND($S144&lt;&gt;"",EDATE($D144,Milestones!$AA$133)&gt;=$S144),$V144,$U144)))=Milestones!$AB$133),UPPER(TEXT(EDATE($D144,Milestones!$AA$133),"dd mmm yy"))&amp;" "&amp;Milestones!$AB$133&amp;" "&amp;Milestones!$AC$133&amp;";  ","")&amp;IF(AND(EDATE($D144,Milestones!$AA$134)&lt;=AsOfDate,IF($R144=0,$X144,IF(AND($T144&lt;&gt;"",EDATE($D144,Milestones!$AA$134)&gt;=$T144),$W144,IF(AND($S144&lt;&gt;"",EDATE($D144,Milestones!$AA$134)&gt;=$S144),$V144,$U144)))=Milestones!$AB$134),UPPER(TEXT(EDATE($D144,Milestones!$AA$134),"dd mmm yy"))&amp;" "&amp;Milestones!$AB$134&amp;" "&amp;Milestones!$AC$134&amp;";  ","")&amp;IF(AND(EDATE($D144,Milestones!$AA$135)&lt;=AsOfDate,IF($R144=0,$X144,IF(AND($T144&lt;&gt;"",EDATE($D144,Milestones!$AA$135)&gt;=$T144),$W144,IF(AND($S144&lt;&gt;"",EDATE($D144,Milestones!$AA$135)&gt;=$S144),$V144,$U144)))=Milestones!$AB$135),UPPER(TEXT(EDATE($D144,Milestones!$AA$135),"dd mmm yy"))&amp;" "&amp;Milestones!$AB$135&amp;" "&amp;Milestones!$AC$135&amp;";  ","")&amp;IF(AND(EDATE($D144,Milestones!$AA$136)&lt;=AsOfDate,IF($R144=0,$X144,IF(AND($T144&lt;&gt;"",EDATE($D144,Milestones!$AA$136)&gt;=$T144),$W144,IF(AND($S144&lt;&gt;"",EDATE($D144,Milestones!$AA$136)&gt;=$S144),$V144,$U144)))=Milestones!$AB$136),UPPER(TEXT(EDATE($D144,Milestones!$AA$136),"dd mmm yy"))&amp;" "&amp;Milestones!$AB$136&amp;" "&amp;Milestones!$AC$136&amp;";  ","")&amp;IF(AND(EDATE($D144,Milestones!$AA$137)&lt;=AsOfDate,IF($R144=0,$X144,IF(AND($T144&lt;&gt;"",EDATE($D144,Milestones!$AA$137)&gt;=$T144),$W144,IF(AND($S144&lt;&gt;"",EDATE($D144,Milestones!$AA$137)&gt;=$S144),$V144,$U144)))=Milestones!$AB$137),UPPER(TEXT(EDATE($D144,Milestones!$AA$137),"dd mmm yy"))&amp;" "&amp;Milestones!$AB$137&amp;" "&amp;Milestones!$AC$137&amp;";  ","")&amp;IF(AND(EDATE($D144,Milestones!$AA$138)&lt;=AsOfDate,IF($R144=0,$X144,IF(AND($T144&lt;&gt;"",EDATE($D144,Milestones!$AA$138)&gt;=$T144),$W144,IF(AND($S144&lt;&gt;"",EDATE($D144,Milestones!$AA$138)&gt;=$S144),$V144,$U144)))=Milestones!$AB$138),UPPER(TEXT(EDATE($D144,Milestones!$AA$138),"dd mmm yy"))&amp;" "&amp;Milestones!$AB$138&amp;" "&amp;Milestones!$AC$138&amp;";  ","")&amp;IF(AND(EDATE($D144,Milestones!$AA$139)&lt;=AsOfDate,IF($R144=0,$X144,IF(AND($T144&lt;&gt;"",EDATE($D144,Milestones!$AA$139)&gt;=$T144),$W144,IF(AND($S144&lt;&gt;"",EDATE($D144,Milestones!$AA$139)&gt;=$S144),$V144,$U144)))=Milestones!$AB$139),UPPER(TEXT(EDATE($D144,Milestones!$AA$139),"dd mmm yy"))&amp;" "&amp;Milestones!$AB$139&amp;" "&amp;Milestones!$AC$139&amp;";  ",""))</f>
        <v/>
      </c>
      <c r="O144" s="0" t="str">
        <f aca="false">IF(OR($A144="",$D144=""),"",IF(AND(EDATE($D144,Milestones!$AA$140)&lt;=AsOfDate,IF($R144=0,$X144,IF(AND($T144&lt;&gt;"",EDATE($D144,Milestones!$AA$140)&gt;=$T144),$W144,IF(AND($S144&lt;&gt;"",EDATE($D144,Milestones!$AA$140)&gt;=$S144),$V144,$U144)))=Milestones!$AB$140),UPPER(TEXT(EDATE($D144,Milestones!$AA$140),"dd mmm yy"))&amp;" "&amp;Milestones!$AB$140&amp;" "&amp;Milestones!$AC$140&amp;";  ","")&amp;IF(AND(EDATE($D144,Milestones!$AA$141)&lt;=AsOfDate,IF($R144=0,$X144,IF(AND($T144&lt;&gt;"",EDATE($D144,Milestones!$AA$141)&gt;=$T144),$W144,IF(AND($S144&lt;&gt;"",EDATE($D144,Milestones!$AA$141)&gt;=$S144),$V144,$U144)))=Milestones!$AB$141),UPPER(TEXT(EDATE($D144,Milestones!$AA$141),"dd mmm yy"))&amp;" "&amp;Milestones!$AB$141&amp;" "&amp;Milestones!$AC$141&amp;";  ","")&amp;IF(AND(EDATE($D144,Milestones!$AA$142)&lt;=AsOfDate,IF($R144=0,$X144,IF(AND($T144&lt;&gt;"",EDATE($D144,Milestones!$AA$142)&gt;=$T144),$W144,IF(AND($S144&lt;&gt;"",EDATE($D144,Milestones!$AA$142)&gt;=$S144),$V144,$U144)))=Milestones!$AB$142),UPPER(TEXT(EDATE($D144,Milestones!$AA$142),"dd mmm yy"))&amp;" "&amp;Milestones!$AB$142&amp;" "&amp;Milestones!$AC$142&amp;";  ","")&amp;IF(AND(EDATE($D144,Milestones!$AA$143)&lt;=AsOfDate,IF($R144=0,$X144,IF(AND($T144&lt;&gt;"",EDATE($D144,Milestones!$AA$143)&gt;=$T144),$W144,IF(AND($S144&lt;&gt;"",EDATE($D144,Milestones!$AA$143)&gt;=$S144),$V144,$U144)))=Milestones!$AB$143),UPPER(TEXT(EDATE($D144,Milestones!$AA$143),"dd mmm yy"))&amp;" "&amp;Milestones!$AB$143&amp;" "&amp;Milestones!$AC$143&amp;";  ","")&amp;IF(AND(EDATE($D144,Milestones!$AA$144)&lt;=AsOfDate,IF($R144=0,$X144,IF(AND($T144&lt;&gt;"",EDATE($D144,Milestones!$AA$144)&gt;=$T144),$W144,IF(AND($S144&lt;&gt;"",EDATE($D144,Milestones!$AA$144)&gt;=$S144),$V144,$U144)))=Milestones!$AB$144),UPPER(TEXT(EDATE($D144,Milestones!$AA$144),"dd mmm yy"))&amp;" "&amp;Milestones!$AB$144&amp;" "&amp;Milestones!$AC$144&amp;";  ","")&amp;IF(AND(EDATE($D144,Milestones!$AA$145)&lt;=AsOfDate,IF($R144=0,$X144,IF(AND($T144&lt;&gt;"",EDATE($D144,Milestones!$AA$145)&gt;=$T144),$W144,IF(AND($S144&lt;&gt;"",EDATE($D144,Milestones!$AA$145)&gt;=$S144),$V144,$U144)))=Milestones!$AB$145),UPPER(TEXT(EDATE($D144,Milestones!$AA$145),"dd mmm yy"))&amp;" "&amp;Milestones!$AB$145&amp;" "&amp;Milestones!$AC$145&amp;";  ","")&amp;IF(AND(EDATE($D144,Milestones!$AA$146)&lt;=AsOfDate,IF($R144=0,$X144,IF(AND($T144&lt;&gt;"",EDATE($D144,Milestones!$AA$146)&gt;=$T144),$W144,IF(AND($S144&lt;&gt;"",EDATE($D144,Milestones!$AA$146)&gt;=$S144),$V144,$U144)))=Milestones!$AB$146),UPPER(TEXT(EDATE($D144,Milestones!$AA$146),"dd mmm yy"))&amp;" "&amp;Milestones!$AB$146&amp;" "&amp;Milestones!$AC$146&amp;";  ","")&amp;IF(AND(EDATE($D144,Milestones!$AA$147)&lt;=AsOfDate,IF($R144=0,$X144,IF(AND($T144&lt;&gt;"",EDATE($D144,Milestones!$AA$147)&gt;=$T144),$W144,IF(AND($S144&lt;&gt;"",EDATE($D144,Milestones!$AA$147)&gt;=$S144),$V144,$U144)))=Milestones!$AB$147),UPPER(TEXT(EDATE($D144,Milestones!$AA$147),"dd mmm yy"))&amp;" "&amp;Milestones!$AB$147&amp;" "&amp;Milestones!$AC$147&amp;";  ","")&amp;IF(AND(EDATE($D144,Milestones!$AA$148)&lt;=AsOfDate,IF($R144=0,$X144,IF(AND($T144&lt;&gt;"",EDATE($D144,Milestones!$AA$148)&gt;=$T144),$W144,IF(AND($S144&lt;&gt;"",EDATE($D144,Milestones!$AA$148)&gt;=$S144),$V144,$U144)))=Milestones!$AB$148),UPPER(TEXT(EDATE($D144,Milestones!$AA$148),"dd mmm yy"))&amp;" "&amp;Milestones!$AB$148&amp;" "&amp;Milestones!$AC$148&amp;";  ","")&amp;IF(AND(EDATE($D144,Milestones!$AA$149)&lt;=AsOfDate,IF($R144=0,$X144,IF(AND($T144&lt;&gt;"",EDATE($D144,Milestones!$AA$149)&gt;=$T144),$W144,IF(AND($S144&lt;&gt;"",EDATE($D144,Milestones!$AA$149)&gt;=$S144),$V144,$U144)))=Milestones!$AB$149),UPPER(TEXT(EDATE($D144,Milestones!$AA$149),"dd mmm yy"))&amp;" "&amp;Milestones!$AB$149&amp;" "&amp;Milestones!$AC$149&amp;";  ","")&amp;IF(AND(EDATE($D144,Milestones!$AA$150)&lt;=AsOfDate,IF($R144=0,$X144,IF(AND($T144&lt;&gt;"",EDATE($D144,Milestones!$AA$150)&gt;=$T144),$W144,IF(AND($S144&lt;&gt;"",EDATE($D144,Milestones!$AA$150)&gt;=$S144),$V144,$U144)))=Milestones!$AB$150),UPPER(TEXT(EDATE($D144,Milestones!$AA$150),"dd mmm yy"))&amp;" "&amp;Milestones!$AB$150&amp;" "&amp;Milestones!$AC$150&amp;";  ","")&amp;IF(AND(EDATE($D144,Milestones!$AA$151)&lt;=AsOfDate,IF($R144=0,$X144,IF(AND($T144&lt;&gt;"",EDATE($D144,Milestones!$AA$151)&gt;=$T144),$W144,IF(AND($S144&lt;&gt;"",EDATE($D144,Milestones!$AA$151)&gt;=$S144),$V144,$U144)))=Milestones!$AB$151),UPPER(TEXT(EDATE($D144,Milestones!$AA$151),"dd mmm yy"))&amp;" "&amp;Milestones!$AB$151&amp;" "&amp;Milestones!$AC$151&amp;";  ","")&amp;IF(AND(EDATE($D144,Milestones!$AA$152)&lt;=AsOfDate,IF($R144=0,$X144,IF(AND($T144&lt;&gt;"",EDATE($D144,Milestones!$AA$152)&gt;=$T144),$W144,IF(AND($S144&lt;&gt;"",EDATE($D144,Milestones!$AA$152)&gt;=$S144),$V144,$U144)))=Milestones!$AB$152),UPPER(TEXT(EDATE($D144,Milestones!$AA$152),"dd mmm yy"))&amp;" "&amp;Milestones!$AB$152&amp;" "&amp;Milestones!$AC$152&amp;";  ","")&amp;IF(AND(EDATE($D144,Milestones!$AA$153)&lt;=AsOfDate,IF($R144=0,$X144,IF(AND($T144&lt;&gt;"",EDATE($D144,Milestones!$AA$153)&gt;=$T144),$W144,IF(AND($S144&lt;&gt;"",EDATE($D144,Milestones!$AA$153)&gt;=$S144),$V144,$U144)))=Milestones!$AB$153),UPPER(TEXT(EDATE($D144,Milestones!$AA$153),"dd mmm yy"))&amp;" "&amp;Milestones!$AB$153&amp;" "&amp;Milestones!$AC$153&amp;";  ","")&amp;IF(AND(EDATE($D144,Milestones!$AA$154)&lt;=AsOfDate,IF($R144=0,$X144,IF(AND($T144&lt;&gt;"",EDATE($D144,Milestones!$AA$154)&gt;=$T144),$W144,IF(AND($S144&lt;&gt;"",EDATE($D144,Milestones!$AA$154)&gt;=$S144),$V144,$U144)))=Milestones!$AB$154),UPPER(TEXT(EDATE($D144,Milestones!$AA$154),"dd mmm yy"))&amp;" "&amp;Milestones!$AB$154&amp;" "&amp;Milestones!$AC$154&amp;";  ","")&amp;IF(AND(EDATE($D144,Milestones!$AA$155)&lt;=AsOfDate,IF($R144=0,$X144,IF(AND($T144&lt;&gt;"",EDATE($D144,Milestones!$AA$155)&gt;=$T144),$W144,IF(AND($S144&lt;&gt;"",EDATE($D144,Milestones!$AA$155)&gt;=$S144),$V144,$U144)))=Milestones!$AB$155),UPPER(TEXT(EDATE($D144,Milestones!$AA$155),"dd mmm yy"))&amp;" "&amp;Milestones!$AB$155&amp;" "&amp;Milestones!$AC$155&amp;";  ","")&amp;IF(AND(EDATE($D144,Milestones!$AA$156)&lt;=AsOfDate,IF($R144=0,$X144,IF(AND($T144&lt;&gt;"",EDATE($D144,Milestones!$AA$156)&gt;=$T144),$W144,IF(AND($S144&lt;&gt;"",EDATE($D144,Milestones!$AA$156)&gt;=$S144),$V144,$U144)))=Milestones!$AB$156),UPPER(TEXT(EDATE($D144,Milestones!$AA$156),"dd mmm yy"))&amp;" "&amp;Milestones!$AB$156&amp;" "&amp;Milestones!$AC$156&amp;";  ","")&amp;IF(AND(EDATE($D144,Milestones!$AA$157)&lt;=AsOfDate,IF($R144=0,$X144,IF(AND($T144&lt;&gt;"",EDATE($D144,Milestones!$AA$157)&gt;=$T144),$W144,IF(AND($S144&lt;&gt;"",EDATE($D144,Milestones!$AA$157)&gt;=$S144),$V144,$U144)))=Milestones!$AB$157),UPPER(TEXT(EDATE($D144,Milestones!$AA$157),"dd mmm yy"))&amp;" "&amp;Milestones!$AB$157&amp;" "&amp;Milestones!$AC$157&amp;";  ","")&amp;IF(AND(EDATE($D144,Milestones!$AA$158)&lt;=AsOfDate,IF($R144=0,$X144,IF(AND($T144&lt;&gt;"",EDATE($D144,Milestones!$AA$158)&gt;=$T144),$W144,IF(AND($S144&lt;&gt;"",EDATE($D144,Milestones!$AA$158)&gt;=$S144),$V144,$U144)))=Milestones!$AB$158),UPPER(TEXT(EDATE($D144,Milestones!$AA$158),"dd mmm yy"))&amp;" "&amp;Milestones!$AB$158&amp;" "&amp;Milestones!$AC$158&amp;";  ","")&amp;IF(AND(EDATE($D144,Milestones!$AA$159)&lt;=AsOfDate,IF($R144=0,$X144,IF(AND($T144&lt;&gt;"",EDATE($D144,Milestones!$AA$159)&gt;=$T144),$W144,IF(AND($S144&lt;&gt;"",EDATE($D144,Milestones!$AA$159)&gt;=$S144),$V144,$U144)))=Milestones!$AB$159),UPPER(TEXT(EDATE($D144,Milestones!$AA$159),"dd mmm yy"))&amp;" "&amp;Milestones!$AB$159&amp;" "&amp;Milestones!$AC$159&amp;";  ",""))</f>
        <v/>
      </c>
      <c r="P144" s="0" t="str">
        <f aca="false">IF(OR($A144="",$D144=""),"",IF(AND(EDATE($D144,Milestones!$AA$160)&lt;=AsOfDate,IF($R144=0,$X144,IF(AND($T144&lt;&gt;"",EDATE($D144,Milestones!$AA$160)&gt;=$T144),$W144,IF(AND($S144&lt;&gt;"",EDATE($D144,Milestones!$AA$160)&gt;=$S144),$V144,$U144)))=Milestones!$AB$160),UPPER(TEXT(EDATE($D144,Milestones!$AA$160),"dd mmm yy"))&amp;" "&amp;Milestones!$AB$160&amp;" "&amp;Milestones!$AC$160&amp;";  ","")&amp;IF(AND(EDATE($D144,Milestones!$AA$161)&lt;=AsOfDate,IF($R144=0,$X144,IF(AND($T144&lt;&gt;"",EDATE($D144,Milestones!$AA$161)&gt;=$T144),$W144,IF(AND($S144&lt;&gt;"",EDATE($D144,Milestones!$AA$161)&gt;=$S144),$V144,$U144)))=Milestones!$AB$161),UPPER(TEXT(EDATE($D144,Milestones!$AA$161),"dd mmm yy"))&amp;" "&amp;Milestones!$AB$161&amp;" "&amp;Milestones!$AC$161&amp;";  ","")&amp;IF(AND(EDATE($D144,Milestones!$AA$162)&lt;=AsOfDate,IF($R144=0,$X144,IF(AND($T144&lt;&gt;"",EDATE($D144,Milestones!$AA$162)&gt;=$T144),$W144,IF(AND($S144&lt;&gt;"",EDATE($D144,Milestones!$AA$162)&gt;=$S144),$V144,$U144)))=Milestones!$AB$162),UPPER(TEXT(EDATE($D144,Milestones!$AA$162),"dd mmm yy"))&amp;" "&amp;Milestones!$AB$162&amp;" "&amp;Milestones!$AC$162&amp;";  ","")&amp;IF(AND(EDATE($D144,Milestones!$AA$163)&lt;=AsOfDate,IF($R144=0,$X144,IF(AND($T144&lt;&gt;"",EDATE($D144,Milestones!$AA$163)&gt;=$T144),$W144,IF(AND($S144&lt;&gt;"",EDATE($D144,Milestones!$AA$163)&gt;=$S144),$V144,$U144)))=Milestones!$AB$163),UPPER(TEXT(EDATE($D144,Milestones!$AA$163),"dd mmm yy"))&amp;" "&amp;Milestones!$AB$163&amp;" "&amp;Milestones!$AC$163&amp;";  ","")&amp;IF(AND(EDATE($D144,Milestones!$AA$164)&lt;=AsOfDate,IF($R144=0,$X144,IF(AND($T144&lt;&gt;"",EDATE($D144,Milestones!$AA$164)&gt;=$T144),$W144,IF(AND($S144&lt;&gt;"",EDATE($D144,Milestones!$AA$164)&gt;=$S144),$V144,$U144)))=Milestones!$AB$164),UPPER(TEXT(EDATE($D144,Milestones!$AA$164),"dd mmm yy"))&amp;" "&amp;Milestones!$AB$164&amp;" "&amp;Milestones!$AC$164&amp;";  ","")&amp;IF(AND(EDATE($D144,Milestones!$AA$165)&lt;=AsOfDate,IF($R144=0,$X144,IF(AND($T144&lt;&gt;"",EDATE($D144,Milestones!$AA$165)&gt;=$T144),$W144,IF(AND($S144&lt;&gt;"",EDATE($D144,Milestones!$AA$165)&gt;=$S144),$V144,$U144)))=Milestones!$AB$165),UPPER(TEXT(EDATE($D144,Milestones!$AA$165),"dd mmm yy"))&amp;" "&amp;Milestones!$AB$165&amp;" "&amp;Milestones!$AC$165&amp;";  ","")&amp;IF(AND(EDATE($D144,Milestones!$AA$166)&lt;=AsOfDate,IF($R144=0,$X144,IF(AND($T144&lt;&gt;"",EDATE($D144,Milestones!$AA$166)&gt;=$T144),$W144,IF(AND($S144&lt;&gt;"",EDATE($D144,Milestones!$AA$166)&gt;=$S144),$V144,$U144)))=Milestones!$AB$166),UPPER(TEXT(EDATE($D144,Milestones!$AA$166),"dd mmm yy"))&amp;" "&amp;Milestones!$AB$166&amp;" "&amp;Milestones!$AC$166&amp;";  ","")&amp;IF(AND(EDATE($D144,Milestones!$AA$167)&lt;=AsOfDate,IF($R144=0,$X144,IF(AND($T144&lt;&gt;"",EDATE($D144,Milestones!$AA$167)&gt;=$T144),$W144,IF(AND($S144&lt;&gt;"",EDATE($D144,Milestones!$AA$167)&gt;=$S144),$V144,$U144)))=Milestones!$AB$167),UPPER(TEXT(EDATE($D144,Milestones!$AA$167),"dd mmm yy"))&amp;" "&amp;Milestones!$AB$167&amp;" "&amp;Milestones!$AC$167&amp;";  ","")&amp;IF(AND(EDATE($D144,Milestones!$AA$168)&lt;=AsOfDate,IF($R144=0,$X144,IF(AND($T144&lt;&gt;"",EDATE($D144,Milestones!$AA$168)&gt;=$T144),$W144,IF(AND($S144&lt;&gt;"",EDATE($D144,Milestones!$AA$168)&gt;=$S144),$V144,$U144)))=Milestones!$AB$168),UPPER(TEXT(EDATE($D144,Milestones!$AA$168),"dd mmm yy"))&amp;" "&amp;Milestones!$AB$168&amp;" "&amp;Milestones!$AC$168&amp;";  ","")&amp;IF(AND(EDATE($D144,Milestones!$AA$169)&lt;=AsOfDate,IF($R144=0,$X144,IF(AND($T144&lt;&gt;"",EDATE($D144,Milestones!$AA$169)&gt;=$T144),$W144,IF(AND($S144&lt;&gt;"",EDATE($D144,Milestones!$AA$169)&gt;=$S144),$V144,$U144)))=Milestones!$AB$169),UPPER(TEXT(EDATE($D144,Milestones!$AA$169),"dd mmm yy"))&amp;" "&amp;Milestones!$AB$169&amp;" "&amp;Milestones!$AC$169&amp;";  ","")&amp;IF(AND(EDATE($D144,Milestones!$AA$170)&lt;=AsOfDate,IF($R144=0,$X144,IF(AND($T144&lt;&gt;"",EDATE($D144,Milestones!$AA$170)&gt;=$T144),$W144,IF(AND($S144&lt;&gt;"",EDATE($D144,Milestones!$AA$170)&gt;=$S144),$V144,$U144)))=Milestones!$AB$170),UPPER(TEXT(EDATE($D144,Milestones!$AA$170),"dd mmm yy"))&amp;" "&amp;Milestones!$AB$170&amp;" "&amp;Milestones!$AC$170&amp;";  ","")&amp;IF(AND(EDATE($D144,Milestones!$AA$171)&lt;=AsOfDate,IF($R144=0,$X144,IF(AND($T144&lt;&gt;"",EDATE($D144,Milestones!$AA$171)&gt;=$T144),$W144,IF(AND($S144&lt;&gt;"",EDATE($D144,Milestones!$AA$171)&gt;=$S144),$V144,$U144)))=Milestones!$AB$171),UPPER(TEXT(EDATE($D144,Milestones!$AA$171),"dd mmm yy"))&amp;" "&amp;Milestones!$AB$171&amp;" "&amp;Milestones!$AC$171&amp;";  ","")&amp;IF(AND(EDATE($D144,Milestones!$AA$172)&lt;=AsOfDate,IF($R144=0,$X144,IF(AND($T144&lt;&gt;"",EDATE($D144,Milestones!$AA$172)&gt;=$T144),$W144,IF(AND($S144&lt;&gt;"",EDATE($D144,Milestones!$AA$172)&gt;=$S144),$V144,$U144)))=Milestones!$AB$172),UPPER(TEXT(EDATE($D144,Milestones!$AA$172),"dd mmm yy"))&amp;" "&amp;Milestones!$AB$172&amp;" "&amp;Milestones!$AC$172&amp;";  ","")&amp;IF(AND(EDATE($D144,Milestones!$AA$173)&lt;=AsOfDate,IF($R144=0,$X144,IF(AND($T144&lt;&gt;"",EDATE($D144,Milestones!$AA$173)&gt;=$T144),$W144,IF(AND($S144&lt;&gt;"",EDATE($D144,Milestones!$AA$173)&gt;=$S144),$V144,$U144)))=Milestones!$AB$173),UPPER(TEXT(EDATE($D144,Milestones!$AA$173),"dd mmm yy"))&amp;" "&amp;Milestones!$AB$173&amp;" "&amp;Milestones!$AC$173&amp;";  ","")&amp;IF(AND(EDATE($D144,Milestones!$AA$174)&lt;=AsOfDate,IF($R144=0,$X144,IF(AND($T144&lt;&gt;"",EDATE($D144,Milestones!$AA$174)&gt;=$T144),$W144,IF(AND($S144&lt;&gt;"",EDATE($D144,Milestones!$AA$174)&gt;=$S144),$V144,$U144)))=Milestones!$AB$174),UPPER(TEXT(EDATE($D144,Milestones!$AA$174),"dd mmm yy"))&amp;" "&amp;Milestones!$AB$174&amp;" "&amp;Milestones!$AC$174&amp;";  ","")&amp;IF(AND(EDATE($D144,Milestones!$AA$175)&lt;=AsOfDate,IF($R144=0,$X144,IF(AND($T144&lt;&gt;"",EDATE($D144,Milestones!$AA$175)&gt;=$T144),$W144,IF(AND($S144&lt;&gt;"",EDATE($D144,Milestones!$AA$175)&gt;=$S144),$V144,$U144)))=Milestones!$AB$175),UPPER(TEXT(EDATE($D144,Milestones!$AA$175),"dd mmm yy"))&amp;" "&amp;Milestones!$AB$175&amp;" "&amp;Milestones!$AC$175&amp;";  ","")&amp;IF(AND(EDATE($D144,Milestones!$AA$176)&lt;=AsOfDate,IF($R144=0,$X144,IF(AND($T144&lt;&gt;"",EDATE($D144,Milestones!$AA$176)&gt;=$T144),$W144,IF(AND($S144&lt;&gt;"",EDATE($D144,Milestones!$AA$176)&gt;=$S144),$V144,$U144)))=Milestones!$AB$176),UPPER(TEXT(EDATE($D144,Milestones!$AA$176),"dd mmm yy"))&amp;" "&amp;Milestones!$AB$176&amp;" "&amp;Milestones!$AC$176&amp;";  ","")&amp;IF(AND(EDATE($D144,Milestones!$AA$177)&lt;=AsOfDate,IF($R144=0,$X144,IF(AND($T144&lt;&gt;"",EDATE($D144,Milestones!$AA$177)&gt;=$T144),$W144,IF(AND($S144&lt;&gt;"",EDATE($D144,Milestones!$AA$177)&gt;=$S144),$V144,$U144)))=Milestones!$AB$177),UPPER(TEXT(EDATE($D144,Milestones!$AA$177),"dd mmm yy"))&amp;" "&amp;Milestones!$AB$177&amp;" "&amp;Milestones!$AC$177&amp;";  ","")&amp;IF(AND(EDATE($D144,Milestones!$AA$178)&lt;=AsOfDate,IF($R144=0,$X144,IF(AND($T144&lt;&gt;"",EDATE($D144,Milestones!$AA$178)&gt;=$T144),$W144,IF(AND($S144&lt;&gt;"",EDATE($D144,Milestones!$AA$178)&gt;=$S144),$V144,$U144)))=Milestones!$AB$178),UPPER(TEXT(EDATE($D144,Milestones!$AA$178),"dd mmm yy"))&amp;" "&amp;Milestones!$AB$178&amp;" "&amp;Milestones!$AC$178&amp;";  ","")&amp;IF(AND(EDATE($D144,Milestones!$AA$179)&lt;=AsOfDate,IF($R144=0,$X144,IF(AND($T144&lt;&gt;"",EDATE($D144,Milestones!$AA$179)&gt;=$T144),$W144,IF(AND($S144&lt;&gt;"",EDATE($D144,Milestones!$AA$179)&gt;=$S144),$V144,$U144)))=Milestones!$AB$179),UPPER(TEXT(EDATE($D144,Milestones!$AA$179),"dd mmm yy"))&amp;" "&amp;Milestones!$AB$179&amp;" "&amp;Milestones!$AC$179&amp;";  ",""))</f>
        <v/>
      </c>
      <c r="Q144" s="0" t="str">
        <f aca="false">IF(OR($A144="",$D144=""),"",IF(AND(EDATE($D144,Milestones!$AA$180)&lt;=AsOfDate,IF($R144=0,$X144,IF(AND($T144&lt;&gt;"",EDATE($D144,Milestones!$AA$180)&gt;=$T144),$W144,IF(AND($S144&lt;&gt;"",EDATE($D144,Milestones!$AA$180)&gt;=$S144),$V144,$U144)))=Milestones!$AB$180),UPPER(TEXT(EDATE($D144,Milestones!$AA$180),"dd mmm yy"))&amp;" "&amp;Milestones!$AB$180&amp;" "&amp;Milestones!$AC$180&amp;";  ","")&amp;IF(AND(EDATE($D144,Milestones!$AA$181)&lt;=AsOfDate,IF($R144=0,$X144,IF(AND($T144&lt;&gt;"",EDATE($D144,Milestones!$AA$181)&gt;=$T144),$W144,IF(AND($S144&lt;&gt;"",EDATE($D144,Milestones!$AA$181)&gt;=$S144),$V144,$U144)))=Milestones!$AB$181),UPPER(TEXT(EDATE($D144,Milestones!$AA$181),"dd mmm yy"))&amp;" "&amp;Milestones!$AB$181&amp;" "&amp;Milestones!$AC$181&amp;";  ","")&amp;IF(AND(EDATE($D144,Milestones!$AA$182)&lt;=AsOfDate,IF($R144=0,$X144,IF(AND($T144&lt;&gt;"",EDATE($D144,Milestones!$AA$182)&gt;=$T144),$W144,IF(AND($S144&lt;&gt;"",EDATE($D144,Milestones!$AA$182)&gt;=$S144),$V144,$U144)))=Milestones!$AB$182),UPPER(TEXT(EDATE($D144,Milestones!$AA$182),"dd mmm yy"))&amp;" "&amp;Milestones!$AB$182&amp;" "&amp;Milestones!$AC$182&amp;";  ","")&amp;IF(AND(EDATE($D144,Milestones!$AA$183)&lt;=AsOfDate,IF($R144=0,$X144,IF(AND($T144&lt;&gt;"",EDATE($D144,Milestones!$AA$183)&gt;=$T144),$W144,IF(AND($S144&lt;&gt;"",EDATE($D144,Milestones!$AA$183)&gt;=$S144),$V144,$U144)))=Milestones!$AB$183),UPPER(TEXT(EDATE($D144,Milestones!$AA$183),"dd mmm yy"))&amp;" "&amp;Milestones!$AB$183&amp;" "&amp;Milestones!$AC$183&amp;";  ","")&amp;IF(AND(EDATE($D144,Milestones!$AA$184)&lt;=AsOfDate,IF($R144=0,$X144,IF(AND($T144&lt;&gt;"",EDATE($D144,Milestones!$AA$184)&gt;=$T144),$W144,IF(AND($S144&lt;&gt;"",EDATE($D144,Milestones!$AA$184)&gt;=$S144),$V144,$U144)))=Milestones!$AB$184),UPPER(TEXT(EDATE($D144,Milestones!$AA$184),"dd mmm yy"))&amp;" "&amp;Milestones!$AB$184&amp;" "&amp;Milestones!$AC$184&amp;";  ","")&amp;IF(AND(EDATE($D144,Milestones!$AA$185)&lt;=AsOfDate,IF($R144=0,$X144,IF(AND($T144&lt;&gt;"",EDATE($D144,Milestones!$AA$185)&gt;=$T144),$W144,IF(AND($S144&lt;&gt;"",EDATE($D144,Milestones!$AA$185)&gt;=$S144),$V144,$U144)))=Milestones!$AB$185),UPPER(TEXT(EDATE($D144,Milestones!$AA$185),"dd mmm yy"))&amp;" "&amp;Milestones!$AB$185&amp;" "&amp;Milestones!$AC$185&amp;";  ","")&amp;IF(AND(EDATE($D144,Milestones!$AA$186)&lt;=AsOfDate,IF($R144=0,$X144,IF(AND($T144&lt;&gt;"",EDATE($D144,Milestones!$AA$186)&gt;=$T144),$W144,IF(AND($S144&lt;&gt;"",EDATE($D144,Milestones!$AA$186)&gt;=$S144),$V144,$U144)))=Milestones!$AB$186),UPPER(TEXT(EDATE($D144,Milestones!$AA$186),"dd mmm yy"))&amp;" "&amp;Milestones!$AB$186&amp;" "&amp;Milestones!$AC$186&amp;";  ","")&amp;IF(AND(EDATE($D144,Milestones!$AA$187)&lt;=AsOfDate,IF($R144=0,$X144,IF(AND($T144&lt;&gt;"",EDATE($D144,Milestones!$AA$187)&gt;=$T144),$W144,IF(AND($S144&lt;&gt;"",EDATE($D144,Milestones!$AA$187)&gt;=$S144),$V144,$U144)))=Milestones!$AB$187),UPPER(TEXT(EDATE($D144,Milestones!$AA$187),"dd mmm yy"))&amp;" "&amp;Milestones!$AB$187&amp;" "&amp;Milestones!$AC$187&amp;";  ","")&amp;IF(AND(EDATE($D144,Milestones!$AA$188)&lt;=AsOfDate,IF($R144=0,$X144,IF(AND($T144&lt;&gt;"",EDATE($D144,Milestones!$AA$188)&gt;=$T144),$W144,IF(AND($S144&lt;&gt;"",EDATE($D144,Milestones!$AA$188)&gt;=$S144),$V144,$U144)))=Milestones!$AB$188),UPPER(TEXT(EDATE($D144,Milestones!$AA$188),"dd mmm yy"))&amp;" "&amp;Milestones!$AB$188&amp;" "&amp;Milestones!$AC$188&amp;";  ","")&amp;IF(AND(EDATE($D144,Milestones!$AA$189)&lt;=AsOfDate,IF($R144=0,$X144,IF(AND($T144&lt;&gt;"",EDATE($D144,Milestones!$AA$189)&gt;=$T144),$W144,IF(AND($S144&lt;&gt;"",EDATE($D144,Milestones!$AA$189)&gt;=$S144),$V144,$U144)))=Milestones!$AB$189),UPPER(TEXT(EDATE($D144,Milestones!$AA$189),"dd mmm yy"))&amp;" "&amp;Milestones!$AB$189&amp;" "&amp;Milestones!$AC$189&amp;";  ","")&amp;IF(AND(EDATE($D144,Milestones!$AA$190)&lt;=AsOfDate,IF($R144=0,$X144,IF(AND($T144&lt;&gt;"",EDATE($D144,Milestones!$AA$190)&gt;=$T144),$W144,IF(AND($S144&lt;&gt;"",EDATE($D144,Milestones!$AA$190)&gt;=$S144),$V144,$U144)))=Milestones!$AB$190),UPPER(TEXT(EDATE($D144,Milestones!$AA$190),"dd mmm yy"))&amp;" "&amp;Milestones!$AB$190&amp;" "&amp;Milestones!$AC$190&amp;";  ","")&amp;IF(AND(EDATE($D144,Milestones!$AA$191)&lt;=AsOfDate,IF($R144=0,$X144,IF(AND($T144&lt;&gt;"",EDATE($D144,Milestones!$AA$191)&gt;=$T144),$W144,IF(AND($S144&lt;&gt;"",EDATE($D144,Milestones!$AA$191)&gt;=$S144),$V144,$U144)))=Milestones!$AB$191),UPPER(TEXT(EDATE($D144,Milestones!$AA$191),"dd mmm yy"))&amp;" "&amp;Milestones!$AB$191&amp;" "&amp;Milestones!$AC$191&amp;";  ","")&amp;IF(AND(EDATE($D144,Milestones!$AA$192)&lt;=AsOfDate,IF($R144=0,$X144,IF(AND($T144&lt;&gt;"",EDATE($D144,Milestones!$AA$192)&gt;=$T144),$W144,IF(AND($S144&lt;&gt;"",EDATE($D144,Milestones!$AA$192)&gt;=$S144),$V144,$U144)))=Milestones!$AB$192),UPPER(TEXT(EDATE($D144,Milestones!$AA$192),"dd mmm yy"))&amp;" "&amp;Milestones!$AB$192&amp;" "&amp;Milestones!$AC$192&amp;";  ","")&amp;IF(AND(EDATE($D144,Milestones!$AA$193)&lt;=AsOfDate,IF($R144=0,$X144,IF(AND($T144&lt;&gt;"",EDATE($D144,Milestones!$AA$193)&gt;=$T144),$W144,IF(AND($S144&lt;&gt;"",EDATE($D144,Milestones!$AA$193)&gt;=$S144),$V144,$U144)))=Milestones!$AB$193),UPPER(TEXT(EDATE($D144,Milestones!$AA$193),"dd mmm yy"))&amp;" "&amp;Milestones!$AB$193&amp;" "&amp;Milestones!$AC$193&amp;";  ","")&amp;IF(AND(EDATE($D144,Milestones!$AA$194)&lt;=AsOfDate,IF($R144=0,$X144,IF(AND($T144&lt;&gt;"",EDATE($D144,Milestones!$AA$194)&gt;=$T144),$W144,IF(AND($S144&lt;&gt;"",EDATE($D144,Milestones!$AA$194)&gt;=$S144),$V144,$U144)))=Milestones!$AB$194),UPPER(TEXT(EDATE($D144,Milestones!$AA$194),"dd mmm yy"))&amp;" "&amp;Milestones!$AB$194&amp;" "&amp;Milestones!$AC$194&amp;";  ","")&amp;IF(AND(EDATE($D144,Milestones!$AA$195)&lt;=AsOfDate,IF($R144=0,$X144,IF(AND($T144&lt;&gt;"",EDATE($D144,Milestones!$AA$195)&gt;=$T144),$W144,IF(AND($S144&lt;&gt;"",EDATE($D144,Milestones!$AA$195)&gt;=$S144),$V144,$U144)))=Milestones!$AB$195),UPPER(TEXT(EDATE($D144,Milestones!$AA$195),"dd mmm yy"))&amp;" "&amp;Milestones!$AB$195&amp;" "&amp;Milestones!$AC$195&amp;";  ","")&amp;IF(AND(EDATE($D144,Milestones!$AA$196)&lt;=AsOfDate,IF($R144=0,$X144,IF(AND($T144&lt;&gt;"",EDATE($D144,Milestones!$AA$196)&gt;=$T144),$W144,IF(AND($S144&lt;&gt;"",EDATE($D144,Milestones!$AA$196)&gt;=$S144),$V144,$U144)))=Milestones!$AB$196),UPPER(TEXT(EDATE($D144,Milestones!$AA$196),"dd mmm yy"))&amp;" "&amp;Milestones!$AB$196&amp;" "&amp;Milestones!$AC$196&amp;";  ","")&amp;IF(AND(EDATE($D144,Milestones!$AA$197)&lt;=AsOfDate,IF($R144=0,$X144,IF(AND($T144&lt;&gt;"",EDATE($D144,Milestones!$AA$197)&gt;=$T144),$W144,IF(AND($S144&lt;&gt;"",EDATE($D144,Milestones!$AA$197)&gt;=$S144),$V144,$U144)))=Milestones!$AB$197),UPPER(TEXT(EDATE($D144,Milestones!$AA$197),"dd mmm yy"))&amp;" "&amp;Milestones!$AB$197&amp;" "&amp;Milestones!$AC$197&amp;";  ","")&amp;IF(AND(EDATE($D144,Milestones!$AA$198)&lt;=AsOfDate,IF($R144=0,$X144,IF(AND($T144&lt;&gt;"",EDATE($D144,Milestones!$AA$198)&gt;=$T144),$W144,IF(AND($S144&lt;&gt;"",EDATE($D144,Milestones!$AA$198)&gt;=$S144),$V144,$U144)))=Milestones!$AB$198),UPPER(TEXT(EDATE($D144,Milestones!$AA$198),"dd mmm yy"))&amp;" "&amp;Milestones!$AB$198&amp;" "&amp;Milestones!$AC$198&amp;";  ","")&amp;IF(AND(EDATE($D144,Milestones!$AA$199)&lt;=AsOfDate,IF($R144=0,$X144,IF(AND($T144&lt;&gt;"",EDATE($D144,Milestones!$AA$199)&gt;=$T144),$W144,IF(AND($S144&lt;&gt;"",EDATE($D144,Milestones!$AA$199)&gt;=$S144),$V144,$U144)))=Milestones!$AB$199),UPPER(TEXT(EDATE($D144,Milestones!$AA$199),"dd mmm yy"))&amp;" "&amp;Milestones!$AB$199&amp;" "&amp;Milestones!$AC$199&amp;";  ",""))</f>
        <v/>
      </c>
      <c r="R144" s="0" t="str">
        <f aca="false">IF(Staff!$A144="","",Staff!$AI144)</f>
        <v/>
      </c>
      <c r="S144" s="0" t="str">
        <f aca="false">IF(Staff!$A144="","",Staff!$AK144)</f>
        <v/>
      </c>
      <c r="T144" s="0" t="str">
        <f aca="false">IF(Staff!$A144="","",Staff!$AL144)</f>
        <v/>
      </c>
      <c r="U144" s="0" t="str">
        <f aca="false">IF(Staff!$A144="","",Staff!$AP144)</f>
        <v/>
      </c>
      <c r="V144" s="0" t="str">
        <f aca="false">IF(Staff!$A144="","",Staff!$AQ144)</f>
        <v/>
      </c>
      <c r="W144" s="0" t="str">
        <f aca="false">IF(Staff!$A144="","",Staff!$AR144)</f>
        <v/>
      </c>
      <c r="X144" s="0" t="str">
        <f aca="false">IF(Staff!$A144="","",Staff!$AS144)</f>
        <v/>
      </c>
    </row>
    <row r="145" customFormat="false" ht="15" hidden="false" customHeight="false" outlineLevel="0" collapsed="false">
      <c r="A145" s="19" t="str">
        <f aca="false">IF(Staff!$A145="","",Staff!$A145)</f>
        <v/>
      </c>
      <c r="B145" s="19" t="str">
        <f aca="false">IF(Staff!$A145="","",Staff!$B145)</f>
        <v/>
      </c>
      <c r="C145" s="19" t="str">
        <f aca="false">IF(Staff!$A145="","",Staff!$C145)</f>
        <v/>
      </c>
      <c r="D145" s="17" t="str">
        <f aca="false">IF(Staff!$A145="","",Staff!$AH145)</f>
        <v/>
      </c>
      <c r="E145" s="19" t="str">
        <f aca="false">IF(Staff!$A145="","",Staff!$O145)</f>
        <v/>
      </c>
      <c r="F145" s="19" t="str">
        <f aca="false">IF(E145="","",E145*HoursPerDay)</f>
        <v/>
      </c>
      <c r="G145" s="19" t="str">
        <f aca="false">IF(Staff!$A145="","",Staff!$AE145)</f>
        <v/>
      </c>
      <c r="H145" s="32" t="str">
        <f aca="false">IF($A145="","",I145&amp;J145&amp;K145&amp;L145&amp;M145&amp;N145&amp;O145&amp;P145&amp;Q145)</f>
        <v/>
      </c>
      <c r="I145" s="0" t="str">
        <f aca="false">IF(OR($A145="",$D145=""),"",IF(AND(EDATE($D145,Milestones!$AA$20)&lt;=AsOfDate,IF($R145=0,$X145,IF(AND($T145&lt;&gt;"",EDATE($D145,Milestones!$AA$20)&gt;=$T145),$W145,IF(AND($S145&lt;&gt;"",EDATE($D145,Milestones!$AA$20)&gt;=$S145),$V145,$U145)))=Milestones!$AB$20),UPPER(TEXT(EDATE($D145,Milestones!$AA$20),"dd mmm yy"))&amp;" "&amp;Milestones!$AB$20&amp;" "&amp;Milestones!$AC$20&amp;";  ","")&amp;IF(AND(EDATE($D145,Milestones!$AA$21)&lt;=AsOfDate,IF($R145=0,$X145,IF(AND($T145&lt;&gt;"",EDATE($D145,Milestones!$AA$21)&gt;=$T145),$W145,IF(AND($S145&lt;&gt;"",EDATE($D145,Milestones!$AA$21)&gt;=$S145),$V145,$U145)))=Milestones!$AB$21),UPPER(TEXT(EDATE($D145,Milestones!$AA$21),"dd mmm yy"))&amp;" "&amp;Milestones!$AB$21&amp;" "&amp;Milestones!$AC$21&amp;";  ","")&amp;IF(AND(EDATE($D145,Milestones!$AA$22)&lt;=AsOfDate,IF($R145=0,$X145,IF(AND($T145&lt;&gt;"",EDATE($D145,Milestones!$AA$22)&gt;=$T145),$W145,IF(AND($S145&lt;&gt;"",EDATE($D145,Milestones!$AA$22)&gt;=$S145),$V145,$U145)))=Milestones!$AB$22),UPPER(TEXT(EDATE($D145,Milestones!$AA$22),"dd mmm yy"))&amp;" "&amp;Milestones!$AB$22&amp;" "&amp;Milestones!$AC$22&amp;";  ","")&amp;IF(AND(EDATE($D145,Milestones!$AA$23)&lt;=AsOfDate,IF($R145=0,$X145,IF(AND($T145&lt;&gt;"",EDATE($D145,Milestones!$AA$23)&gt;=$T145),$W145,IF(AND($S145&lt;&gt;"",EDATE($D145,Milestones!$AA$23)&gt;=$S145),$V145,$U145)))=Milestones!$AB$23),UPPER(TEXT(EDATE($D145,Milestones!$AA$23),"dd mmm yy"))&amp;" "&amp;Milestones!$AB$23&amp;" "&amp;Milestones!$AC$23&amp;";  ","")&amp;IF(AND(EDATE($D145,Milestones!$AA$24)&lt;=AsOfDate,IF($R145=0,$X145,IF(AND($T145&lt;&gt;"",EDATE($D145,Milestones!$AA$24)&gt;=$T145),$W145,IF(AND($S145&lt;&gt;"",EDATE($D145,Milestones!$AA$24)&gt;=$S145),$V145,$U145)))=Milestones!$AB$24),UPPER(TEXT(EDATE($D145,Milestones!$AA$24),"dd mmm yy"))&amp;" "&amp;Milestones!$AB$24&amp;" "&amp;Milestones!$AC$24&amp;";  ","")&amp;IF(AND(EDATE($D145,Milestones!$AA$25)&lt;=AsOfDate,IF($R145=0,$X145,IF(AND($T145&lt;&gt;"",EDATE($D145,Milestones!$AA$25)&gt;=$T145),$W145,IF(AND($S145&lt;&gt;"",EDATE($D145,Milestones!$AA$25)&gt;=$S145),$V145,$U145)))=Milestones!$AB$25),UPPER(TEXT(EDATE($D145,Milestones!$AA$25),"dd mmm yy"))&amp;" "&amp;Milestones!$AB$25&amp;" "&amp;Milestones!$AC$25&amp;";  ","")&amp;IF(AND(EDATE($D145,Milestones!$AA$26)&lt;=AsOfDate,IF($R145=0,$X145,IF(AND($T145&lt;&gt;"",EDATE($D145,Milestones!$AA$26)&gt;=$T145),$W145,IF(AND($S145&lt;&gt;"",EDATE($D145,Milestones!$AA$26)&gt;=$S145),$V145,$U145)))=Milestones!$AB$26),UPPER(TEXT(EDATE($D145,Milestones!$AA$26),"dd mmm yy"))&amp;" "&amp;Milestones!$AB$26&amp;" "&amp;Milestones!$AC$26&amp;";  ","")&amp;IF(AND(EDATE($D145,Milestones!$AA$27)&lt;=AsOfDate,IF($R145=0,$X145,IF(AND($T145&lt;&gt;"",EDATE($D145,Milestones!$AA$27)&gt;=$T145),$W145,IF(AND($S145&lt;&gt;"",EDATE($D145,Milestones!$AA$27)&gt;=$S145),$V145,$U145)))=Milestones!$AB$27),UPPER(TEXT(EDATE($D145,Milestones!$AA$27),"dd mmm yy"))&amp;" "&amp;Milestones!$AB$27&amp;" "&amp;Milestones!$AC$27&amp;";  ","")&amp;IF(AND(EDATE($D145,Milestones!$AA$28)&lt;=AsOfDate,IF($R145=0,$X145,IF(AND($T145&lt;&gt;"",EDATE($D145,Milestones!$AA$28)&gt;=$T145),$W145,IF(AND($S145&lt;&gt;"",EDATE($D145,Milestones!$AA$28)&gt;=$S145),$V145,$U145)))=Milestones!$AB$28),UPPER(TEXT(EDATE($D145,Milestones!$AA$28),"dd mmm yy"))&amp;" "&amp;Milestones!$AB$28&amp;" "&amp;Milestones!$AC$28&amp;";  ","")&amp;IF(AND(EDATE($D145,Milestones!$AA$29)&lt;=AsOfDate,IF($R145=0,$X145,IF(AND($T145&lt;&gt;"",EDATE($D145,Milestones!$AA$29)&gt;=$T145),$W145,IF(AND($S145&lt;&gt;"",EDATE($D145,Milestones!$AA$29)&gt;=$S145),$V145,$U145)))=Milestones!$AB$29),UPPER(TEXT(EDATE($D145,Milestones!$AA$29),"dd mmm yy"))&amp;" "&amp;Milestones!$AB$29&amp;" "&amp;Milestones!$AC$29&amp;";  ","")&amp;IF(AND(EDATE($D145,Milestones!$AA$30)&lt;=AsOfDate,IF($R145=0,$X145,IF(AND($T145&lt;&gt;"",EDATE($D145,Milestones!$AA$30)&gt;=$T145),$W145,IF(AND($S145&lt;&gt;"",EDATE($D145,Milestones!$AA$30)&gt;=$S145),$V145,$U145)))=Milestones!$AB$30),UPPER(TEXT(EDATE($D145,Milestones!$AA$30),"dd mmm yy"))&amp;" "&amp;Milestones!$AB$30&amp;" "&amp;Milestones!$AC$30&amp;";  ","")&amp;IF(AND(EDATE($D145,Milestones!$AA$31)&lt;=AsOfDate,IF($R145=0,$X145,IF(AND($T145&lt;&gt;"",EDATE($D145,Milestones!$AA$31)&gt;=$T145),$W145,IF(AND($S145&lt;&gt;"",EDATE($D145,Milestones!$AA$31)&gt;=$S145),$V145,$U145)))=Milestones!$AB$31),UPPER(TEXT(EDATE($D145,Milestones!$AA$31),"dd mmm yy"))&amp;" "&amp;Milestones!$AB$31&amp;" "&amp;Milestones!$AC$31&amp;";  ","")&amp;IF(AND(EDATE($D145,Milestones!$AA$32)&lt;=AsOfDate,IF($R145=0,$X145,IF(AND($T145&lt;&gt;"",EDATE($D145,Milestones!$AA$32)&gt;=$T145),$W145,IF(AND($S145&lt;&gt;"",EDATE($D145,Milestones!$AA$32)&gt;=$S145),$V145,$U145)))=Milestones!$AB$32),UPPER(TEXT(EDATE($D145,Milestones!$AA$32),"dd mmm yy"))&amp;" "&amp;Milestones!$AB$32&amp;" "&amp;Milestones!$AC$32&amp;";  ","")&amp;IF(AND(EDATE($D145,Milestones!$AA$33)&lt;=AsOfDate,IF($R145=0,$X145,IF(AND($T145&lt;&gt;"",EDATE($D145,Milestones!$AA$33)&gt;=$T145),$W145,IF(AND($S145&lt;&gt;"",EDATE($D145,Milestones!$AA$33)&gt;=$S145),$V145,$U145)))=Milestones!$AB$33),UPPER(TEXT(EDATE($D145,Milestones!$AA$33),"dd mmm yy"))&amp;" "&amp;Milestones!$AB$33&amp;" "&amp;Milestones!$AC$33&amp;";  ","")&amp;IF(AND(EDATE($D145,Milestones!$AA$34)&lt;=AsOfDate,IF($R145=0,$X145,IF(AND($T145&lt;&gt;"",EDATE($D145,Milestones!$AA$34)&gt;=$T145),$W145,IF(AND($S145&lt;&gt;"",EDATE($D145,Milestones!$AA$34)&gt;=$S145),$V145,$U145)))=Milestones!$AB$34),UPPER(TEXT(EDATE($D145,Milestones!$AA$34),"dd mmm yy"))&amp;" "&amp;Milestones!$AB$34&amp;" "&amp;Milestones!$AC$34&amp;";  ","")&amp;IF(AND(EDATE($D145,Milestones!$AA$35)&lt;=AsOfDate,IF($R145=0,$X145,IF(AND($T145&lt;&gt;"",EDATE($D145,Milestones!$AA$35)&gt;=$T145),$W145,IF(AND($S145&lt;&gt;"",EDATE($D145,Milestones!$AA$35)&gt;=$S145),$V145,$U145)))=Milestones!$AB$35),UPPER(TEXT(EDATE($D145,Milestones!$AA$35),"dd mmm yy"))&amp;" "&amp;Milestones!$AB$35&amp;" "&amp;Milestones!$AC$35&amp;";  ","")&amp;IF(AND(EDATE($D145,Milestones!$AA$36)&lt;=AsOfDate,IF($R145=0,$X145,IF(AND($T145&lt;&gt;"",EDATE($D145,Milestones!$AA$36)&gt;=$T145),$W145,IF(AND($S145&lt;&gt;"",EDATE($D145,Milestones!$AA$36)&gt;=$S145),$V145,$U145)))=Milestones!$AB$36),UPPER(TEXT(EDATE($D145,Milestones!$AA$36),"dd mmm yy"))&amp;" "&amp;Milestones!$AB$36&amp;" "&amp;Milestones!$AC$36&amp;";  ","")&amp;IF(AND(EDATE($D145,Milestones!$AA$37)&lt;=AsOfDate,IF($R145=0,$X145,IF(AND($T145&lt;&gt;"",EDATE($D145,Milestones!$AA$37)&gt;=$T145),$W145,IF(AND($S145&lt;&gt;"",EDATE($D145,Milestones!$AA$37)&gt;=$S145),$V145,$U145)))=Milestones!$AB$37),UPPER(TEXT(EDATE($D145,Milestones!$AA$37),"dd mmm yy"))&amp;" "&amp;Milestones!$AB$37&amp;" "&amp;Milestones!$AC$37&amp;";  ","")&amp;IF(AND(EDATE($D145,Milestones!$AA$38)&lt;=AsOfDate,IF($R145=0,$X145,IF(AND($T145&lt;&gt;"",EDATE($D145,Milestones!$AA$38)&gt;=$T145),$W145,IF(AND($S145&lt;&gt;"",EDATE($D145,Milestones!$AA$38)&gt;=$S145),$V145,$U145)))=Milestones!$AB$38),UPPER(TEXT(EDATE($D145,Milestones!$AA$38),"dd mmm yy"))&amp;" "&amp;Milestones!$AB$38&amp;" "&amp;Milestones!$AC$38&amp;";  ","")&amp;IF(AND(EDATE($D145,Milestones!$AA$39)&lt;=AsOfDate,IF($R145=0,$X145,IF(AND($T145&lt;&gt;"",EDATE($D145,Milestones!$AA$39)&gt;=$T145),$W145,IF(AND($S145&lt;&gt;"",EDATE($D145,Milestones!$AA$39)&gt;=$S145),$V145,$U145)))=Milestones!$AB$39),UPPER(TEXT(EDATE($D145,Milestones!$AA$39),"dd mmm yy"))&amp;" "&amp;Milestones!$AB$39&amp;" "&amp;Milestones!$AC$39&amp;";  ",""))</f>
        <v/>
      </c>
      <c r="J145" s="0" t="str">
        <f aca="false">IF(OR($A145="",$D145=""),"",IF(AND(EDATE($D145,Milestones!$AA$40)&lt;=AsOfDate,IF($R145=0,$X145,IF(AND($T145&lt;&gt;"",EDATE($D145,Milestones!$AA$40)&gt;=$T145),$W145,IF(AND($S145&lt;&gt;"",EDATE($D145,Milestones!$AA$40)&gt;=$S145),$V145,$U145)))=Milestones!$AB$40),UPPER(TEXT(EDATE($D145,Milestones!$AA$40),"dd mmm yy"))&amp;" "&amp;Milestones!$AB$40&amp;" "&amp;Milestones!$AC$40&amp;";  ","")&amp;IF(AND(EDATE($D145,Milestones!$AA$41)&lt;=AsOfDate,IF($R145=0,$X145,IF(AND($T145&lt;&gt;"",EDATE($D145,Milestones!$AA$41)&gt;=$T145),$W145,IF(AND($S145&lt;&gt;"",EDATE($D145,Milestones!$AA$41)&gt;=$S145),$V145,$U145)))=Milestones!$AB$41),UPPER(TEXT(EDATE($D145,Milestones!$AA$41),"dd mmm yy"))&amp;" "&amp;Milestones!$AB$41&amp;" "&amp;Milestones!$AC$41&amp;";  ","")&amp;IF(AND(EDATE($D145,Milestones!$AA$42)&lt;=AsOfDate,IF($R145=0,$X145,IF(AND($T145&lt;&gt;"",EDATE($D145,Milestones!$AA$42)&gt;=$T145),$W145,IF(AND($S145&lt;&gt;"",EDATE($D145,Milestones!$AA$42)&gt;=$S145),$V145,$U145)))=Milestones!$AB$42),UPPER(TEXT(EDATE($D145,Milestones!$AA$42),"dd mmm yy"))&amp;" "&amp;Milestones!$AB$42&amp;" "&amp;Milestones!$AC$42&amp;";  ","")&amp;IF(AND(EDATE($D145,Milestones!$AA$43)&lt;=AsOfDate,IF($R145=0,$X145,IF(AND($T145&lt;&gt;"",EDATE($D145,Milestones!$AA$43)&gt;=$T145),$W145,IF(AND($S145&lt;&gt;"",EDATE($D145,Milestones!$AA$43)&gt;=$S145),$V145,$U145)))=Milestones!$AB$43),UPPER(TEXT(EDATE($D145,Milestones!$AA$43),"dd mmm yy"))&amp;" "&amp;Milestones!$AB$43&amp;" "&amp;Milestones!$AC$43&amp;";  ","")&amp;IF(AND(EDATE($D145,Milestones!$AA$44)&lt;=AsOfDate,IF($R145=0,$X145,IF(AND($T145&lt;&gt;"",EDATE($D145,Milestones!$AA$44)&gt;=$T145),$W145,IF(AND($S145&lt;&gt;"",EDATE($D145,Milestones!$AA$44)&gt;=$S145),$V145,$U145)))=Milestones!$AB$44),UPPER(TEXT(EDATE($D145,Milestones!$AA$44),"dd mmm yy"))&amp;" "&amp;Milestones!$AB$44&amp;" "&amp;Milestones!$AC$44&amp;";  ","")&amp;IF(AND(EDATE($D145,Milestones!$AA$45)&lt;=AsOfDate,IF($R145=0,$X145,IF(AND($T145&lt;&gt;"",EDATE($D145,Milestones!$AA$45)&gt;=$T145),$W145,IF(AND($S145&lt;&gt;"",EDATE($D145,Milestones!$AA$45)&gt;=$S145),$V145,$U145)))=Milestones!$AB$45),UPPER(TEXT(EDATE($D145,Milestones!$AA$45),"dd mmm yy"))&amp;" "&amp;Milestones!$AB$45&amp;" "&amp;Milestones!$AC$45&amp;";  ","")&amp;IF(AND(EDATE($D145,Milestones!$AA$46)&lt;=AsOfDate,IF($R145=0,$X145,IF(AND($T145&lt;&gt;"",EDATE($D145,Milestones!$AA$46)&gt;=$T145),$W145,IF(AND($S145&lt;&gt;"",EDATE($D145,Milestones!$AA$46)&gt;=$S145),$V145,$U145)))=Milestones!$AB$46),UPPER(TEXT(EDATE($D145,Milestones!$AA$46),"dd mmm yy"))&amp;" "&amp;Milestones!$AB$46&amp;" "&amp;Milestones!$AC$46&amp;";  ","")&amp;IF(AND(EDATE($D145,Milestones!$AA$47)&lt;=AsOfDate,IF($R145=0,$X145,IF(AND($T145&lt;&gt;"",EDATE($D145,Milestones!$AA$47)&gt;=$T145),$W145,IF(AND($S145&lt;&gt;"",EDATE($D145,Milestones!$AA$47)&gt;=$S145),$V145,$U145)))=Milestones!$AB$47),UPPER(TEXT(EDATE($D145,Milestones!$AA$47),"dd mmm yy"))&amp;" "&amp;Milestones!$AB$47&amp;" "&amp;Milestones!$AC$47&amp;";  ","")&amp;IF(AND(EDATE($D145,Milestones!$AA$48)&lt;=AsOfDate,IF($R145=0,$X145,IF(AND($T145&lt;&gt;"",EDATE($D145,Milestones!$AA$48)&gt;=$T145),$W145,IF(AND($S145&lt;&gt;"",EDATE($D145,Milestones!$AA$48)&gt;=$S145),$V145,$U145)))=Milestones!$AB$48),UPPER(TEXT(EDATE($D145,Milestones!$AA$48),"dd mmm yy"))&amp;" "&amp;Milestones!$AB$48&amp;" "&amp;Milestones!$AC$48&amp;";  ","")&amp;IF(AND(EDATE($D145,Milestones!$AA$49)&lt;=AsOfDate,IF($R145=0,$X145,IF(AND($T145&lt;&gt;"",EDATE($D145,Milestones!$AA$49)&gt;=$T145),$W145,IF(AND($S145&lt;&gt;"",EDATE($D145,Milestones!$AA$49)&gt;=$S145),$V145,$U145)))=Milestones!$AB$49),UPPER(TEXT(EDATE($D145,Milestones!$AA$49),"dd mmm yy"))&amp;" "&amp;Milestones!$AB$49&amp;" "&amp;Milestones!$AC$49&amp;";  ","")&amp;IF(AND(EDATE($D145,Milestones!$AA$50)&lt;=AsOfDate,IF($R145=0,$X145,IF(AND($T145&lt;&gt;"",EDATE($D145,Milestones!$AA$50)&gt;=$T145),$W145,IF(AND($S145&lt;&gt;"",EDATE($D145,Milestones!$AA$50)&gt;=$S145),$V145,$U145)))=Milestones!$AB$50),UPPER(TEXT(EDATE($D145,Milestones!$AA$50),"dd mmm yy"))&amp;" "&amp;Milestones!$AB$50&amp;" "&amp;Milestones!$AC$50&amp;";  ","")&amp;IF(AND(EDATE($D145,Milestones!$AA$51)&lt;=AsOfDate,IF($R145=0,$X145,IF(AND($T145&lt;&gt;"",EDATE($D145,Milestones!$AA$51)&gt;=$T145),$W145,IF(AND($S145&lt;&gt;"",EDATE($D145,Milestones!$AA$51)&gt;=$S145),$V145,$U145)))=Milestones!$AB$51),UPPER(TEXT(EDATE($D145,Milestones!$AA$51),"dd mmm yy"))&amp;" "&amp;Milestones!$AB$51&amp;" "&amp;Milestones!$AC$51&amp;";  ","")&amp;IF(AND(EDATE($D145,Milestones!$AA$52)&lt;=AsOfDate,IF($R145=0,$X145,IF(AND($T145&lt;&gt;"",EDATE($D145,Milestones!$AA$52)&gt;=$T145),$W145,IF(AND($S145&lt;&gt;"",EDATE($D145,Milestones!$AA$52)&gt;=$S145),$V145,$U145)))=Milestones!$AB$52),UPPER(TEXT(EDATE($D145,Milestones!$AA$52),"dd mmm yy"))&amp;" "&amp;Milestones!$AB$52&amp;" "&amp;Milestones!$AC$52&amp;";  ","")&amp;IF(AND(EDATE($D145,Milestones!$AA$53)&lt;=AsOfDate,IF($R145=0,$X145,IF(AND($T145&lt;&gt;"",EDATE($D145,Milestones!$AA$53)&gt;=$T145),$W145,IF(AND($S145&lt;&gt;"",EDATE($D145,Milestones!$AA$53)&gt;=$S145),$V145,$U145)))=Milestones!$AB$53),UPPER(TEXT(EDATE($D145,Milestones!$AA$53),"dd mmm yy"))&amp;" "&amp;Milestones!$AB$53&amp;" "&amp;Milestones!$AC$53&amp;";  ","")&amp;IF(AND(EDATE($D145,Milestones!$AA$54)&lt;=AsOfDate,IF($R145=0,$X145,IF(AND($T145&lt;&gt;"",EDATE($D145,Milestones!$AA$54)&gt;=$T145),$W145,IF(AND($S145&lt;&gt;"",EDATE($D145,Milestones!$AA$54)&gt;=$S145),$V145,$U145)))=Milestones!$AB$54),UPPER(TEXT(EDATE($D145,Milestones!$AA$54),"dd mmm yy"))&amp;" "&amp;Milestones!$AB$54&amp;" "&amp;Milestones!$AC$54&amp;";  ","")&amp;IF(AND(EDATE($D145,Milestones!$AA$55)&lt;=AsOfDate,IF($R145=0,$X145,IF(AND($T145&lt;&gt;"",EDATE($D145,Milestones!$AA$55)&gt;=$T145),$W145,IF(AND($S145&lt;&gt;"",EDATE($D145,Milestones!$AA$55)&gt;=$S145),$V145,$U145)))=Milestones!$AB$55),UPPER(TEXT(EDATE($D145,Milestones!$AA$55),"dd mmm yy"))&amp;" "&amp;Milestones!$AB$55&amp;" "&amp;Milestones!$AC$55&amp;";  ","")&amp;IF(AND(EDATE($D145,Milestones!$AA$56)&lt;=AsOfDate,IF($R145=0,$X145,IF(AND($T145&lt;&gt;"",EDATE($D145,Milestones!$AA$56)&gt;=$T145),$W145,IF(AND($S145&lt;&gt;"",EDATE($D145,Milestones!$AA$56)&gt;=$S145),$V145,$U145)))=Milestones!$AB$56),UPPER(TEXT(EDATE($D145,Milestones!$AA$56),"dd mmm yy"))&amp;" "&amp;Milestones!$AB$56&amp;" "&amp;Milestones!$AC$56&amp;";  ","")&amp;IF(AND(EDATE($D145,Milestones!$AA$57)&lt;=AsOfDate,IF($R145=0,$X145,IF(AND($T145&lt;&gt;"",EDATE($D145,Milestones!$AA$57)&gt;=$T145),$W145,IF(AND($S145&lt;&gt;"",EDATE($D145,Milestones!$AA$57)&gt;=$S145),$V145,$U145)))=Milestones!$AB$57),UPPER(TEXT(EDATE($D145,Milestones!$AA$57),"dd mmm yy"))&amp;" "&amp;Milestones!$AB$57&amp;" "&amp;Milestones!$AC$57&amp;";  ","")&amp;IF(AND(EDATE($D145,Milestones!$AA$58)&lt;=AsOfDate,IF($R145=0,$X145,IF(AND($T145&lt;&gt;"",EDATE($D145,Milestones!$AA$58)&gt;=$T145),$W145,IF(AND($S145&lt;&gt;"",EDATE($D145,Milestones!$AA$58)&gt;=$S145),$V145,$U145)))=Milestones!$AB$58),UPPER(TEXT(EDATE($D145,Milestones!$AA$58),"dd mmm yy"))&amp;" "&amp;Milestones!$AB$58&amp;" "&amp;Milestones!$AC$58&amp;";  ","")&amp;IF(AND(EDATE($D145,Milestones!$AA$59)&lt;=AsOfDate,IF($R145=0,$X145,IF(AND($T145&lt;&gt;"",EDATE($D145,Milestones!$AA$59)&gt;=$T145),$W145,IF(AND($S145&lt;&gt;"",EDATE($D145,Milestones!$AA$59)&gt;=$S145),$V145,$U145)))=Milestones!$AB$59),UPPER(TEXT(EDATE($D145,Milestones!$AA$59),"dd mmm yy"))&amp;" "&amp;Milestones!$AB$59&amp;" "&amp;Milestones!$AC$59&amp;";  ",""))</f>
        <v/>
      </c>
      <c r="K145" s="0" t="str">
        <f aca="false">IF(OR($A145="",$D145=""),"",IF(AND(EDATE($D145,Milestones!$AA$60)&lt;=AsOfDate,IF($R145=0,$X145,IF(AND($T145&lt;&gt;"",EDATE($D145,Milestones!$AA$60)&gt;=$T145),$W145,IF(AND($S145&lt;&gt;"",EDATE($D145,Milestones!$AA$60)&gt;=$S145),$V145,$U145)))=Milestones!$AB$60),UPPER(TEXT(EDATE($D145,Milestones!$AA$60),"dd mmm yy"))&amp;" "&amp;Milestones!$AB$60&amp;" "&amp;Milestones!$AC$60&amp;";  ","")&amp;IF(AND(EDATE($D145,Milestones!$AA$61)&lt;=AsOfDate,IF($R145=0,$X145,IF(AND($T145&lt;&gt;"",EDATE($D145,Milestones!$AA$61)&gt;=$T145),$W145,IF(AND($S145&lt;&gt;"",EDATE($D145,Milestones!$AA$61)&gt;=$S145),$V145,$U145)))=Milestones!$AB$61),UPPER(TEXT(EDATE($D145,Milestones!$AA$61),"dd mmm yy"))&amp;" "&amp;Milestones!$AB$61&amp;" "&amp;Milestones!$AC$61&amp;";  ","")&amp;IF(AND(EDATE($D145,Milestones!$AA$62)&lt;=AsOfDate,IF($R145=0,$X145,IF(AND($T145&lt;&gt;"",EDATE($D145,Milestones!$AA$62)&gt;=$T145),$W145,IF(AND($S145&lt;&gt;"",EDATE($D145,Milestones!$AA$62)&gt;=$S145),$V145,$U145)))=Milestones!$AB$62),UPPER(TEXT(EDATE($D145,Milestones!$AA$62),"dd mmm yy"))&amp;" "&amp;Milestones!$AB$62&amp;" "&amp;Milestones!$AC$62&amp;";  ","")&amp;IF(AND(EDATE($D145,Milestones!$AA$63)&lt;=AsOfDate,IF($R145=0,$X145,IF(AND($T145&lt;&gt;"",EDATE($D145,Milestones!$AA$63)&gt;=$T145),$W145,IF(AND($S145&lt;&gt;"",EDATE($D145,Milestones!$AA$63)&gt;=$S145),$V145,$U145)))=Milestones!$AB$63),UPPER(TEXT(EDATE($D145,Milestones!$AA$63),"dd mmm yy"))&amp;" "&amp;Milestones!$AB$63&amp;" "&amp;Milestones!$AC$63&amp;";  ","")&amp;IF(AND(EDATE($D145,Milestones!$AA$64)&lt;=AsOfDate,IF($R145=0,$X145,IF(AND($T145&lt;&gt;"",EDATE($D145,Milestones!$AA$64)&gt;=$T145),$W145,IF(AND($S145&lt;&gt;"",EDATE($D145,Milestones!$AA$64)&gt;=$S145),$V145,$U145)))=Milestones!$AB$64),UPPER(TEXT(EDATE($D145,Milestones!$AA$64),"dd mmm yy"))&amp;" "&amp;Milestones!$AB$64&amp;" "&amp;Milestones!$AC$64&amp;";  ","")&amp;IF(AND(EDATE($D145,Milestones!$AA$65)&lt;=AsOfDate,IF($R145=0,$X145,IF(AND($T145&lt;&gt;"",EDATE($D145,Milestones!$AA$65)&gt;=$T145),$W145,IF(AND($S145&lt;&gt;"",EDATE($D145,Milestones!$AA$65)&gt;=$S145),$V145,$U145)))=Milestones!$AB$65),UPPER(TEXT(EDATE($D145,Milestones!$AA$65),"dd mmm yy"))&amp;" "&amp;Milestones!$AB$65&amp;" "&amp;Milestones!$AC$65&amp;";  ","")&amp;IF(AND(EDATE($D145,Milestones!$AA$66)&lt;=AsOfDate,IF($R145=0,$X145,IF(AND($T145&lt;&gt;"",EDATE($D145,Milestones!$AA$66)&gt;=$T145),$W145,IF(AND($S145&lt;&gt;"",EDATE($D145,Milestones!$AA$66)&gt;=$S145),$V145,$U145)))=Milestones!$AB$66),UPPER(TEXT(EDATE($D145,Milestones!$AA$66),"dd mmm yy"))&amp;" "&amp;Milestones!$AB$66&amp;" "&amp;Milestones!$AC$66&amp;";  ","")&amp;IF(AND(EDATE($D145,Milestones!$AA$67)&lt;=AsOfDate,IF($R145=0,$X145,IF(AND($T145&lt;&gt;"",EDATE($D145,Milestones!$AA$67)&gt;=$T145),$W145,IF(AND($S145&lt;&gt;"",EDATE($D145,Milestones!$AA$67)&gt;=$S145),$V145,$U145)))=Milestones!$AB$67),UPPER(TEXT(EDATE($D145,Milestones!$AA$67),"dd mmm yy"))&amp;" "&amp;Milestones!$AB$67&amp;" "&amp;Milestones!$AC$67&amp;";  ","")&amp;IF(AND(EDATE($D145,Milestones!$AA$68)&lt;=AsOfDate,IF($R145=0,$X145,IF(AND($T145&lt;&gt;"",EDATE($D145,Milestones!$AA$68)&gt;=$T145),$W145,IF(AND($S145&lt;&gt;"",EDATE($D145,Milestones!$AA$68)&gt;=$S145),$V145,$U145)))=Milestones!$AB$68),UPPER(TEXT(EDATE($D145,Milestones!$AA$68),"dd mmm yy"))&amp;" "&amp;Milestones!$AB$68&amp;" "&amp;Milestones!$AC$68&amp;";  ","")&amp;IF(AND(EDATE($D145,Milestones!$AA$69)&lt;=AsOfDate,IF($R145=0,$X145,IF(AND($T145&lt;&gt;"",EDATE($D145,Milestones!$AA$69)&gt;=$T145),$W145,IF(AND($S145&lt;&gt;"",EDATE($D145,Milestones!$AA$69)&gt;=$S145),$V145,$U145)))=Milestones!$AB$69),UPPER(TEXT(EDATE($D145,Milestones!$AA$69),"dd mmm yy"))&amp;" "&amp;Milestones!$AB$69&amp;" "&amp;Milestones!$AC$69&amp;";  ","")&amp;IF(AND(EDATE($D145,Milestones!$AA$70)&lt;=AsOfDate,IF($R145=0,$X145,IF(AND($T145&lt;&gt;"",EDATE($D145,Milestones!$AA$70)&gt;=$T145),$W145,IF(AND($S145&lt;&gt;"",EDATE($D145,Milestones!$AA$70)&gt;=$S145),$V145,$U145)))=Milestones!$AB$70),UPPER(TEXT(EDATE($D145,Milestones!$AA$70),"dd mmm yy"))&amp;" "&amp;Milestones!$AB$70&amp;" "&amp;Milestones!$AC$70&amp;";  ","")&amp;IF(AND(EDATE($D145,Milestones!$AA$71)&lt;=AsOfDate,IF($R145=0,$X145,IF(AND($T145&lt;&gt;"",EDATE($D145,Milestones!$AA$71)&gt;=$T145),$W145,IF(AND($S145&lt;&gt;"",EDATE($D145,Milestones!$AA$71)&gt;=$S145),$V145,$U145)))=Milestones!$AB$71),UPPER(TEXT(EDATE($D145,Milestones!$AA$71),"dd mmm yy"))&amp;" "&amp;Milestones!$AB$71&amp;" "&amp;Milestones!$AC$71&amp;";  ","")&amp;IF(AND(EDATE($D145,Milestones!$AA$72)&lt;=AsOfDate,IF($R145=0,$X145,IF(AND($T145&lt;&gt;"",EDATE($D145,Milestones!$AA$72)&gt;=$T145),$W145,IF(AND($S145&lt;&gt;"",EDATE($D145,Milestones!$AA$72)&gt;=$S145),$V145,$U145)))=Milestones!$AB$72),UPPER(TEXT(EDATE($D145,Milestones!$AA$72),"dd mmm yy"))&amp;" "&amp;Milestones!$AB$72&amp;" "&amp;Milestones!$AC$72&amp;";  ","")&amp;IF(AND(EDATE($D145,Milestones!$AA$73)&lt;=AsOfDate,IF($R145=0,$X145,IF(AND($T145&lt;&gt;"",EDATE($D145,Milestones!$AA$73)&gt;=$T145),$W145,IF(AND($S145&lt;&gt;"",EDATE($D145,Milestones!$AA$73)&gt;=$S145),$V145,$U145)))=Milestones!$AB$73),UPPER(TEXT(EDATE($D145,Milestones!$AA$73),"dd mmm yy"))&amp;" "&amp;Milestones!$AB$73&amp;" "&amp;Milestones!$AC$73&amp;";  ","")&amp;IF(AND(EDATE($D145,Milestones!$AA$74)&lt;=AsOfDate,IF($R145=0,$X145,IF(AND($T145&lt;&gt;"",EDATE($D145,Milestones!$AA$74)&gt;=$T145),$W145,IF(AND($S145&lt;&gt;"",EDATE($D145,Milestones!$AA$74)&gt;=$S145),$V145,$U145)))=Milestones!$AB$74),UPPER(TEXT(EDATE($D145,Milestones!$AA$74),"dd mmm yy"))&amp;" "&amp;Milestones!$AB$74&amp;" "&amp;Milestones!$AC$74&amp;";  ","")&amp;IF(AND(EDATE($D145,Milestones!$AA$75)&lt;=AsOfDate,IF($R145=0,$X145,IF(AND($T145&lt;&gt;"",EDATE($D145,Milestones!$AA$75)&gt;=$T145),$W145,IF(AND($S145&lt;&gt;"",EDATE($D145,Milestones!$AA$75)&gt;=$S145),$V145,$U145)))=Milestones!$AB$75),UPPER(TEXT(EDATE($D145,Milestones!$AA$75),"dd mmm yy"))&amp;" "&amp;Milestones!$AB$75&amp;" "&amp;Milestones!$AC$75&amp;";  ","")&amp;IF(AND(EDATE($D145,Milestones!$AA$76)&lt;=AsOfDate,IF($R145=0,$X145,IF(AND($T145&lt;&gt;"",EDATE($D145,Milestones!$AA$76)&gt;=$T145),$W145,IF(AND($S145&lt;&gt;"",EDATE($D145,Milestones!$AA$76)&gt;=$S145),$V145,$U145)))=Milestones!$AB$76),UPPER(TEXT(EDATE($D145,Milestones!$AA$76),"dd mmm yy"))&amp;" "&amp;Milestones!$AB$76&amp;" "&amp;Milestones!$AC$76&amp;";  ","")&amp;IF(AND(EDATE($D145,Milestones!$AA$77)&lt;=AsOfDate,IF($R145=0,$X145,IF(AND($T145&lt;&gt;"",EDATE($D145,Milestones!$AA$77)&gt;=$T145),$W145,IF(AND($S145&lt;&gt;"",EDATE($D145,Milestones!$AA$77)&gt;=$S145),$V145,$U145)))=Milestones!$AB$77),UPPER(TEXT(EDATE($D145,Milestones!$AA$77),"dd mmm yy"))&amp;" "&amp;Milestones!$AB$77&amp;" "&amp;Milestones!$AC$77&amp;";  ","")&amp;IF(AND(EDATE($D145,Milestones!$AA$78)&lt;=AsOfDate,IF($R145=0,$X145,IF(AND($T145&lt;&gt;"",EDATE($D145,Milestones!$AA$78)&gt;=$T145),$W145,IF(AND($S145&lt;&gt;"",EDATE($D145,Milestones!$AA$78)&gt;=$S145),$V145,$U145)))=Milestones!$AB$78),UPPER(TEXT(EDATE($D145,Milestones!$AA$78),"dd mmm yy"))&amp;" "&amp;Milestones!$AB$78&amp;" "&amp;Milestones!$AC$78&amp;";  ","")&amp;IF(AND(EDATE($D145,Milestones!$AA$79)&lt;=AsOfDate,IF($R145=0,$X145,IF(AND($T145&lt;&gt;"",EDATE($D145,Milestones!$AA$79)&gt;=$T145),$W145,IF(AND($S145&lt;&gt;"",EDATE($D145,Milestones!$AA$79)&gt;=$S145),$V145,$U145)))=Milestones!$AB$79),UPPER(TEXT(EDATE($D145,Milestones!$AA$79),"dd mmm yy"))&amp;" "&amp;Milestones!$AB$79&amp;" "&amp;Milestones!$AC$79&amp;";  ",""))</f>
        <v/>
      </c>
      <c r="L145" s="0" t="str">
        <f aca="false">IF(OR($A145="",$D145=""),"",IF(AND(EDATE($D145,Milestones!$AA$80)&lt;=AsOfDate,IF($R145=0,$X145,IF(AND($T145&lt;&gt;"",EDATE($D145,Milestones!$AA$80)&gt;=$T145),$W145,IF(AND($S145&lt;&gt;"",EDATE($D145,Milestones!$AA$80)&gt;=$S145),$V145,$U145)))=Milestones!$AB$80),UPPER(TEXT(EDATE($D145,Milestones!$AA$80),"dd mmm yy"))&amp;" "&amp;Milestones!$AB$80&amp;" "&amp;Milestones!$AC$80&amp;";  ","")&amp;IF(AND(EDATE($D145,Milestones!$AA$81)&lt;=AsOfDate,IF($R145=0,$X145,IF(AND($T145&lt;&gt;"",EDATE($D145,Milestones!$AA$81)&gt;=$T145),$W145,IF(AND($S145&lt;&gt;"",EDATE($D145,Milestones!$AA$81)&gt;=$S145),$V145,$U145)))=Milestones!$AB$81),UPPER(TEXT(EDATE($D145,Milestones!$AA$81),"dd mmm yy"))&amp;" "&amp;Milestones!$AB$81&amp;" "&amp;Milestones!$AC$81&amp;";  ","")&amp;IF(AND(EDATE($D145,Milestones!$AA$82)&lt;=AsOfDate,IF($R145=0,$X145,IF(AND($T145&lt;&gt;"",EDATE($D145,Milestones!$AA$82)&gt;=$T145),$W145,IF(AND($S145&lt;&gt;"",EDATE($D145,Milestones!$AA$82)&gt;=$S145),$V145,$U145)))=Milestones!$AB$82),UPPER(TEXT(EDATE($D145,Milestones!$AA$82),"dd mmm yy"))&amp;" "&amp;Milestones!$AB$82&amp;" "&amp;Milestones!$AC$82&amp;";  ","")&amp;IF(AND(EDATE($D145,Milestones!$AA$83)&lt;=AsOfDate,IF($R145=0,$X145,IF(AND($T145&lt;&gt;"",EDATE($D145,Milestones!$AA$83)&gt;=$T145),$W145,IF(AND($S145&lt;&gt;"",EDATE($D145,Milestones!$AA$83)&gt;=$S145),$V145,$U145)))=Milestones!$AB$83),UPPER(TEXT(EDATE($D145,Milestones!$AA$83),"dd mmm yy"))&amp;" "&amp;Milestones!$AB$83&amp;" "&amp;Milestones!$AC$83&amp;";  ","")&amp;IF(AND(EDATE($D145,Milestones!$AA$84)&lt;=AsOfDate,IF($R145=0,$X145,IF(AND($T145&lt;&gt;"",EDATE($D145,Milestones!$AA$84)&gt;=$T145),$W145,IF(AND($S145&lt;&gt;"",EDATE($D145,Milestones!$AA$84)&gt;=$S145),$V145,$U145)))=Milestones!$AB$84),UPPER(TEXT(EDATE($D145,Milestones!$AA$84),"dd mmm yy"))&amp;" "&amp;Milestones!$AB$84&amp;" "&amp;Milestones!$AC$84&amp;";  ","")&amp;IF(AND(EDATE($D145,Milestones!$AA$85)&lt;=AsOfDate,IF($R145=0,$X145,IF(AND($T145&lt;&gt;"",EDATE($D145,Milestones!$AA$85)&gt;=$T145),$W145,IF(AND($S145&lt;&gt;"",EDATE($D145,Milestones!$AA$85)&gt;=$S145),$V145,$U145)))=Milestones!$AB$85),UPPER(TEXT(EDATE($D145,Milestones!$AA$85),"dd mmm yy"))&amp;" "&amp;Milestones!$AB$85&amp;" "&amp;Milestones!$AC$85&amp;";  ","")&amp;IF(AND(EDATE($D145,Milestones!$AA$86)&lt;=AsOfDate,IF($R145=0,$X145,IF(AND($T145&lt;&gt;"",EDATE($D145,Milestones!$AA$86)&gt;=$T145),$W145,IF(AND($S145&lt;&gt;"",EDATE($D145,Milestones!$AA$86)&gt;=$S145),$V145,$U145)))=Milestones!$AB$86),UPPER(TEXT(EDATE($D145,Milestones!$AA$86),"dd mmm yy"))&amp;" "&amp;Milestones!$AB$86&amp;" "&amp;Milestones!$AC$86&amp;";  ","")&amp;IF(AND(EDATE($D145,Milestones!$AA$87)&lt;=AsOfDate,IF($R145=0,$X145,IF(AND($T145&lt;&gt;"",EDATE($D145,Milestones!$AA$87)&gt;=$T145),$W145,IF(AND($S145&lt;&gt;"",EDATE($D145,Milestones!$AA$87)&gt;=$S145),$V145,$U145)))=Milestones!$AB$87),UPPER(TEXT(EDATE($D145,Milestones!$AA$87),"dd mmm yy"))&amp;" "&amp;Milestones!$AB$87&amp;" "&amp;Milestones!$AC$87&amp;";  ","")&amp;IF(AND(EDATE($D145,Milestones!$AA$88)&lt;=AsOfDate,IF($R145=0,$X145,IF(AND($T145&lt;&gt;"",EDATE($D145,Milestones!$AA$88)&gt;=$T145),$W145,IF(AND($S145&lt;&gt;"",EDATE($D145,Milestones!$AA$88)&gt;=$S145),$V145,$U145)))=Milestones!$AB$88),UPPER(TEXT(EDATE($D145,Milestones!$AA$88),"dd mmm yy"))&amp;" "&amp;Milestones!$AB$88&amp;" "&amp;Milestones!$AC$88&amp;";  ","")&amp;IF(AND(EDATE($D145,Milestones!$AA$89)&lt;=AsOfDate,IF($R145=0,$X145,IF(AND($T145&lt;&gt;"",EDATE($D145,Milestones!$AA$89)&gt;=$T145),$W145,IF(AND($S145&lt;&gt;"",EDATE($D145,Milestones!$AA$89)&gt;=$S145),$V145,$U145)))=Milestones!$AB$89),UPPER(TEXT(EDATE($D145,Milestones!$AA$89),"dd mmm yy"))&amp;" "&amp;Milestones!$AB$89&amp;" "&amp;Milestones!$AC$89&amp;";  ","")&amp;IF(AND(EDATE($D145,Milestones!$AA$90)&lt;=AsOfDate,IF($R145=0,$X145,IF(AND($T145&lt;&gt;"",EDATE($D145,Milestones!$AA$90)&gt;=$T145),$W145,IF(AND($S145&lt;&gt;"",EDATE($D145,Milestones!$AA$90)&gt;=$S145),$V145,$U145)))=Milestones!$AB$90),UPPER(TEXT(EDATE($D145,Milestones!$AA$90),"dd mmm yy"))&amp;" "&amp;Milestones!$AB$90&amp;" "&amp;Milestones!$AC$90&amp;";  ","")&amp;IF(AND(EDATE($D145,Milestones!$AA$91)&lt;=AsOfDate,IF($R145=0,$X145,IF(AND($T145&lt;&gt;"",EDATE($D145,Milestones!$AA$91)&gt;=$T145),$W145,IF(AND($S145&lt;&gt;"",EDATE($D145,Milestones!$AA$91)&gt;=$S145),$V145,$U145)))=Milestones!$AB$91),UPPER(TEXT(EDATE($D145,Milestones!$AA$91),"dd mmm yy"))&amp;" "&amp;Milestones!$AB$91&amp;" "&amp;Milestones!$AC$91&amp;";  ","")&amp;IF(AND(EDATE($D145,Milestones!$AA$92)&lt;=AsOfDate,IF($R145=0,$X145,IF(AND($T145&lt;&gt;"",EDATE($D145,Milestones!$AA$92)&gt;=$T145),$W145,IF(AND($S145&lt;&gt;"",EDATE($D145,Milestones!$AA$92)&gt;=$S145),$V145,$U145)))=Milestones!$AB$92),UPPER(TEXT(EDATE($D145,Milestones!$AA$92),"dd mmm yy"))&amp;" "&amp;Milestones!$AB$92&amp;" "&amp;Milestones!$AC$92&amp;";  ","")&amp;IF(AND(EDATE($D145,Milestones!$AA$93)&lt;=AsOfDate,IF($R145=0,$X145,IF(AND($T145&lt;&gt;"",EDATE($D145,Milestones!$AA$93)&gt;=$T145),$W145,IF(AND($S145&lt;&gt;"",EDATE($D145,Milestones!$AA$93)&gt;=$S145),$V145,$U145)))=Milestones!$AB$93),UPPER(TEXT(EDATE($D145,Milestones!$AA$93),"dd mmm yy"))&amp;" "&amp;Milestones!$AB$93&amp;" "&amp;Milestones!$AC$93&amp;";  ","")&amp;IF(AND(EDATE($D145,Milestones!$AA$94)&lt;=AsOfDate,IF($R145=0,$X145,IF(AND($T145&lt;&gt;"",EDATE($D145,Milestones!$AA$94)&gt;=$T145),$W145,IF(AND($S145&lt;&gt;"",EDATE($D145,Milestones!$AA$94)&gt;=$S145),$V145,$U145)))=Milestones!$AB$94),UPPER(TEXT(EDATE($D145,Milestones!$AA$94),"dd mmm yy"))&amp;" "&amp;Milestones!$AB$94&amp;" "&amp;Milestones!$AC$94&amp;";  ","")&amp;IF(AND(EDATE($D145,Milestones!$AA$95)&lt;=AsOfDate,IF($R145=0,$X145,IF(AND($T145&lt;&gt;"",EDATE($D145,Milestones!$AA$95)&gt;=$T145),$W145,IF(AND($S145&lt;&gt;"",EDATE($D145,Milestones!$AA$95)&gt;=$S145),$V145,$U145)))=Milestones!$AB$95),UPPER(TEXT(EDATE($D145,Milestones!$AA$95),"dd mmm yy"))&amp;" "&amp;Milestones!$AB$95&amp;" "&amp;Milestones!$AC$95&amp;";  ","")&amp;IF(AND(EDATE($D145,Milestones!$AA$96)&lt;=AsOfDate,IF($R145=0,$X145,IF(AND($T145&lt;&gt;"",EDATE($D145,Milestones!$AA$96)&gt;=$T145),$W145,IF(AND($S145&lt;&gt;"",EDATE($D145,Milestones!$AA$96)&gt;=$S145),$V145,$U145)))=Milestones!$AB$96),UPPER(TEXT(EDATE($D145,Milestones!$AA$96),"dd mmm yy"))&amp;" "&amp;Milestones!$AB$96&amp;" "&amp;Milestones!$AC$96&amp;";  ","")&amp;IF(AND(EDATE($D145,Milestones!$AA$97)&lt;=AsOfDate,IF($R145=0,$X145,IF(AND($T145&lt;&gt;"",EDATE($D145,Milestones!$AA$97)&gt;=$T145),$W145,IF(AND($S145&lt;&gt;"",EDATE($D145,Milestones!$AA$97)&gt;=$S145),$V145,$U145)))=Milestones!$AB$97),UPPER(TEXT(EDATE($D145,Milestones!$AA$97),"dd mmm yy"))&amp;" "&amp;Milestones!$AB$97&amp;" "&amp;Milestones!$AC$97&amp;";  ","")&amp;IF(AND(EDATE($D145,Milestones!$AA$98)&lt;=AsOfDate,IF($R145=0,$X145,IF(AND($T145&lt;&gt;"",EDATE($D145,Milestones!$AA$98)&gt;=$T145),$W145,IF(AND($S145&lt;&gt;"",EDATE($D145,Milestones!$AA$98)&gt;=$S145),$V145,$U145)))=Milestones!$AB$98),UPPER(TEXT(EDATE($D145,Milestones!$AA$98),"dd mmm yy"))&amp;" "&amp;Milestones!$AB$98&amp;" "&amp;Milestones!$AC$98&amp;";  ","")&amp;IF(AND(EDATE($D145,Milestones!$AA$99)&lt;=AsOfDate,IF($R145=0,$X145,IF(AND($T145&lt;&gt;"",EDATE($D145,Milestones!$AA$99)&gt;=$T145),$W145,IF(AND($S145&lt;&gt;"",EDATE($D145,Milestones!$AA$99)&gt;=$S145),$V145,$U145)))=Milestones!$AB$99),UPPER(TEXT(EDATE($D145,Milestones!$AA$99),"dd mmm yy"))&amp;" "&amp;Milestones!$AB$99&amp;" "&amp;Milestones!$AC$99&amp;";  ",""))</f>
        <v/>
      </c>
      <c r="M145" s="0" t="str">
        <f aca="false">IF(OR($A145="",$D145=""),"",IF(AND(EDATE($D145,Milestones!$AA$100)&lt;=AsOfDate,IF($R145=0,$X145,IF(AND($T145&lt;&gt;"",EDATE($D145,Milestones!$AA$100)&gt;=$T145),$W145,IF(AND($S145&lt;&gt;"",EDATE($D145,Milestones!$AA$100)&gt;=$S145),$V145,$U145)))=Milestones!$AB$100),UPPER(TEXT(EDATE($D145,Milestones!$AA$100),"dd mmm yy"))&amp;" "&amp;Milestones!$AB$100&amp;" "&amp;Milestones!$AC$100&amp;";  ","")&amp;IF(AND(EDATE($D145,Milestones!$AA$101)&lt;=AsOfDate,IF($R145=0,$X145,IF(AND($T145&lt;&gt;"",EDATE($D145,Milestones!$AA$101)&gt;=$T145),$W145,IF(AND($S145&lt;&gt;"",EDATE($D145,Milestones!$AA$101)&gt;=$S145),$V145,$U145)))=Milestones!$AB$101),UPPER(TEXT(EDATE($D145,Milestones!$AA$101),"dd mmm yy"))&amp;" "&amp;Milestones!$AB$101&amp;" "&amp;Milestones!$AC$101&amp;";  ","")&amp;IF(AND(EDATE($D145,Milestones!$AA$102)&lt;=AsOfDate,IF($R145=0,$X145,IF(AND($T145&lt;&gt;"",EDATE($D145,Milestones!$AA$102)&gt;=$T145),$W145,IF(AND($S145&lt;&gt;"",EDATE($D145,Milestones!$AA$102)&gt;=$S145),$V145,$U145)))=Milestones!$AB$102),UPPER(TEXT(EDATE($D145,Milestones!$AA$102),"dd mmm yy"))&amp;" "&amp;Milestones!$AB$102&amp;" "&amp;Milestones!$AC$102&amp;";  ","")&amp;IF(AND(EDATE($D145,Milestones!$AA$103)&lt;=AsOfDate,IF($R145=0,$X145,IF(AND($T145&lt;&gt;"",EDATE($D145,Milestones!$AA$103)&gt;=$T145),$W145,IF(AND($S145&lt;&gt;"",EDATE($D145,Milestones!$AA$103)&gt;=$S145),$V145,$U145)))=Milestones!$AB$103),UPPER(TEXT(EDATE($D145,Milestones!$AA$103),"dd mmm yy"))&amp;" "&amp;Milestones!$AB$103&amp;" "&amp;Milestones!$AC$103&amp;";  ","")&amp;IF(AND(EDATE($D145,Milestones!$AA$104)&lt;=AsOfDate,IF($R145=0,$X145,IF(AND($T145&lt;&gt;"",EDATE($D145,Milestones!$AA$104)&gt;=$T145),$W145,IF(AND($S145&lt;&gt;"",EDATE($D145,Milestones!$AA$104)&gt;=$S145),$V145,$U145)))=Milestones!$AB$104),UPPER(TEXT(EDATE($D145,Milestones!$AA$104),"dd mmm yy"))&amp;" "&amp;Milestones!$AB$104&amp;" "&amp;Milestones!$AC$104&amp;";  ","")&amp;IF(AND(EDATE($D145,Milestones!$AA$105)&lt;=AsOfDate,IF($R145=0,$X145,IF(AND($T145&lt;&gt;"",EDATE($D145,Milestones!$AA$105)&gt;=$T145),$W145,IF(AND($S145&lt;&gt;"",EDATE($D145,Milestones!$AA$105)&gt;=$S145),$V145,$U145)))=Milestones!$AB$105),UPPER(TEXT(EDATE($D145,Milestones!$AA$105),"dd mmm yy"))&amp;" "&amp;Milestones!$AB$105&amp;" "&amp;Milestones!$AC$105&amp;";  ","")&amp;IF(AND(EDATE($D145,Milestones!$AA$106)&lt;=AsOfDate,IF($R145=0,$X145,IF(AND($T145&lt;&gt;"",EDATE($D145,Milestones!$AA$106)&gt;=$T145),$W145,IF(AND($S145&lt;&gt;"",EDATE($D145,Milestones!$AA$106)&gt;=$S145),$V145,$U145)))=Milestones!$AB$106),UPPER(TEXT(EDATE($D145,Milestones!$AA$106),"dd mmm yy"))&amp;" "&amp;Milestones!$AB$106&amp;" "&amp;Milestones!$AC$106&amp;";  ","")&amp;IF(AND(EDATE($D145,Milestones!$AA$107)&lt;=AsOfDate,IF($R145=0,$X145,IF(AND($T145&lt;&gt;"",EDATE($D145,Milestones!$AA$107)&gt;=$T145),$W145,IF(AND($S145&lt;&gt;"",EDATE($D145,Milestones!$AA$107)&gt;=$S145),$V145,$U145)))=Milestones!$AB$107),UPPER(TEXT(EDATE($D145,Milestones!$AA$107),"dd mmm yy"))&amp;" "&amp;Milestones!$AB$107&amp;" "&amp;Milestones!$AC$107&amp;";  ","")&amp;IF(AND(EDATE($D145,Milestones!$AA$108)&lt;=AsOfDate,IF($R145=0,$X145,IF(AND($T145&lt;&gt;"",EDATE($D145,Milestones!$AA$108)&gt;=$T145),$W145,IF(AND($S145&lt;&gt;"",EDATE($D145,Milestones!$AA$108)&gt;=$S145),$V145,$U145)))=Milestones!$AB$108),UPPER(TEXT(EDATE($D145,Milestones!$AA$108),"dd mmm yy"))&amp;" "&amp;Milestones!$AB$108&amp;" "&amp;Milestones!$AC$108&amp;";  ","")&amp;IF(AND(EDATE($D145,Milestones!$AA$109)&lt;=AsOfDate,IF($R145=0,$X145,IF(AND($T145&lt;&gt;"",EDATE($D145,Milestones!$AA$109)&gt;=$T145),$W145,IF(AND($S145&lt;&gt;"",EDATE($D145,Milestones!$AA$109)&gt;=$S145),$V145,$U145)))=Milestones!$AB$109),UPPER(TEXT(EDATE($D145,Milestones!$AA$109),"dd mmm yy"))&amp;" "&amp;Milestones!$AB$109&amp;" "&amp;Milestones!$AC$109&amp;";  ","")&amp;IF(AND(EDATE($D145,Milestones!$AA$110)&lt;=AsOfDate,IF($R145=0,$X145,IF(AND($T145&lt;&gt;"",EDATE($D145,Milestones!$AA$110)&gt;=$T145),$W145,IF(AND($S145&lt;&gt;"",EDATE($D145,Milestones!$AA$110)&gt;=$S145),$V145,$U145)))=Milestones!$AB$110),UPPER(TEXT(EDATE($D145,Milestones!$AA$110),"dd mmm yy"))&amp;" "&amp;Milestones!$AB$110&amp;" "&amp;Milestones!$AC$110&amp;";  ","")&amp;IF(AND(EDATE($D145,Milestones!$AA$111)&lt;=AsOfDate,IF($R145=0,$X145,IF(AND($T145&lt;&gt;"",EDATE($D145,Milestones!$AA$111)&gt;=$T145),$W145,IF(AND($S145&lt;&gt;"",EDATE($D145,Milestones!$AA$111)&gt;=$S145),$V145,$U145)))=Milestones!$AB$111),UPPER(TEXT(EDATE($D145,Milestones!$AA$111),"dd mmm yy"))&amp;" "&amp;Milestones!$AB$111&amp;" "&amp;Milestones!$AC$111&amp;";  ","")&amp;IF(AND(EDATE($D145,Milestones!$AA$112)&lt;=AsOfDate,IF($R145=0,$X145,IF(AND($T145&lt;&gt;"",EDATE($D145,Milestones!$AA$112)&gt;=$T145),$W145,IF(AND($S145&lt;&gt;"",EDATE($D145,Milestones!$AA$112)&gt;=$S145),$V145,$U145)))=Milestones!$AB$112),UPPER(TEXT(EDATE($D145,Milestones!$AA$112),"dd mmm yy"))&amp;" "&amp;Milestones!$AB$112&amp;" "&amp;Milestones!$AC$112&amp;";  ","")&amp;IF(AND(EDATE($D145,Milestones!$AA$113)&lt;=AsOfDate,IF($R145=0,$X145,IF(AND($T145&lt;&gt;"",EDATE($D145,Milestones!$AA$113)&gt;=$T145),$W145,IF(AND($S145&lt;&gt;"",EDATE($D145,Milestones!$AA$113)&gt;=$S145),$V145,$U145)))=Milestones!$AB$113),UPPER(TEXT(EDATE($D145,Milestones!$AA$113),"dd mmm yy"))&amp;" "&amp;Milestones!$AB$113&amp;" "&amp;Milestones!$AC$113&amp;";  ","")&amp;IF(AND(EDATE($D145,Milestones!$AA$114)&lt;=AsOfDate,IF($R145=0,$X145,IF(AND($T145&lt;&gt;"",EDATE($D145,Milestones!$AA$114)&gt;=$T145),$W145,IF(AND($S145&lt;&gt;"",EDATE($D145,Milestones!$AA$114)&gt;=$S145),$V145,$U145)))=Milestones!$AB$114),UPPER(TEXT(EDATE($D145,Milestones!$AA$114),"dd mmm yy"))&amp;" "&amp;Milestones!$AB$114&amp;" "&amp;Milestones!$AC$114&amp;";  ","")&amp;IF(AND(EDATE($D145,Milestones!$AA$115)&lt;=AsOfDate,IF($R145=0,$X145,IF(AND($T145&lt;&gt;"",EDATE($D145,Milestones!$AA$115)&gt;=$T145),$W145,IF(AND($S145&lt;&gt;"",EDATE($D145,Milestones!$AA$115)&gt;=$S145),$V145,$U145)))=Milestones!$AB$115),UPPER(TEXT(EDATE($D145,Milestones!$AA$115),"dd mmm yy"))&amp;" "&amp;Milestones!$AB$115&amp;" "&amp;Milestones!$AC$115&amp;";  ","")&amp;IF(AND(EDATE($D145,Milestones!$AA$116)&lt;=AsOfDate,IF($R145=0,$X145,IF(AND($T145&lt;&gt;"",EDATE($D145,Milestones!$AA$116)&gt;=$T145),$W145,IF(AND($S145&lt;&gt;"",EDATE($D145,Milestones!$AA$116)&gt;=$S145),$V145,$U145)))=Milestones!$AB$116),UPPER(TEXT(EDATE($D145,Milestones!$AA$116),"dd mmm yy"))&amp;" "&amp;Milestones!$AB$116&amp;" "&amp;Milestones!$AC$116&amp;";  ","")&amp;IF(AND(EDATE($D145,Milestones!$AA$117)&lt;=AsOfDate,IF($R145=0,$X145,IF(AND($T145&lt;&gt;"",EDATE($D145,Milestones!$AA$117)&gt;=$T145),$W145,IF(AND($S145&lt;&gt;"",EDATE($D145,Milestones!$AA$117)&gt;=$S145),$V145,$U145)))=Milestones!$AB$117),UPPER(TEXT(EDATE($D145,Milestones!$AA$117),"dd mmm yy"))&amp;" "&amp;Milestones!$AB$117&amp;" "&amp;Milestones!$AC$117&amp;";  ","")&amp;IF(AND(EDATE($D145,Milestones!$AA$118)&lt;=AsOfDate,IF($R145=0,$X145,IF(AND($T145&lt;&gt;"",EDATE($D145,Milestones!$AA$118)&gt;=$T145),$W145,IF(AND($S145&lt;&gt;"",EDATE($D145,Milestones!$AA$118)&gt;=$S145),$V145,$U145)))=Milestones!$AB$118),UPPER(TEXT(EDATE($D145,Milestones!$AA$118),"dd mmm yy"))&amp;" "&amp;Milestones!$AB$118&amp;" "&amp;Milestones!$AC$118&amp;";  ","")&amp;IF(AND(EDATE($D145,Milestones!$AA$119)&lt;=AsOfDate,IF($R145=0,$X145,IF(AND($T145&lt;&gt;"",EDATE($D145,Milestones!$AA$119)&gt;=$T145),$W145,IF(AND($S145&lt;&gt;"",EDATE($D145,Milestones!$AA$119)&gt;=$S145),$V145,$U145)))=Milestones!$AB$119),UPPER(TEXT(EDATE($D145,Milestones!$AA$119),"dd mmm yy"))&amp;" "&amp;Milestones!$AB$119&amp;" "&amp;Milestones!$AC$119&amp;";  ",""))</f>
        <v/>
      </c>
      <c r="N145" s="0" t="str">
        <f aca="false">IF(OR($A145="",$D145=""),"",IF(AND(EDATE($D145,Milestones!$AA$120)&lt;=AsOfDate,IF($R145=0,$X145,IF(AND($T145&lt;&gt;"",EDATE($D145,Milestones!$AA$120)&gt;=$T145),$W145,IF(AND($S145&lt;&gt;"",EDATE($D145,Milestones!$AA$120)&gt;=$S145),$V145,$U145)))=Milestones!$AB$120),UPPER(TEXT(EDATE($D145,Milestones!$AA$120),"dd mmm yy"))&amp;" "&amp;Milestones!$AB$120&amp;" "&amp;Milestones!$AC$120&amp;";  ","")&amp;IF(AND(EDATE($D145,Milestones!$AA$121)&lt;=AsOfDate,IF($R145=0,$X145,IF(AND($T145&lt;&gt;"",EDATE($D145,Milestones!$AA$121)&gt;=$T145),$W145,IF(AND($S145&lt;&gt;"",EDATE($D145,Milestones!$AA$121)&gt;=$S145),$V145,$U145)))=Milestones!$AB$121),UPPER(TEXT(EDATE($D145,Milestones!$AA$121),"dd mmm yy"))&amp;" "&amp;Milestones!$AB$121&amp;" "&amp;Milestones!$AC$121&amp;";  ","")&amp;IF(AND(EDATE($D145,Milestones!$AA$122)&lt;=AsOfDate,IF($R145=0,$X145,IF(AND($T145&lt;&gt;"",EDATE($D145,Milestones!$AA$122)&gt;=$T145),$W145,IF(AND($S145&lt;&gt;"",EDATE($D145,Milestones!$AA$122)&gt;=$S145),$V145,$U145)))=Milestones!$AB$122),UPPER(TEXT(EDATE($D145,Milestones!$AA$122),"dd mmm yy"))&amp;" "&amp;Milestones!$AB$122&amp;" "&amp;Milestones!$AC$122&amp;";  ","")&amp;IF(AND(EDATE($D145,Milestones!$AA$123)&lt;=AsOfDate,IF($R145=0,$X145,IF(AND($T145&lt;&gt;"",EDATE($D145,Milestones!$AA$123)&gt;=$T145),$W145,IF(AND($S145&lt;&gt;"",EDATE($D145,Milestones!$AA$123)&gt;=$S145),$V145,$U145)))=Milestones!$AB$123),UPPER(TEXT(EDATE($D145,Milestones!$AA$123),"dd mmm yy"))&amp;" "&amp;Milestones!$AB$123&amp;" "&amp;Milestones!$AC$123&amp;";  ","")&amp;IF(AND(EDATE($D145,Milestones!$AA$124)&lt;=AsOfDate,IF($R145=0,$X145,IF(AND($T145&lt;&gt;"",EDATE($D145,Milestones!$AA$124)&gt;=$T145),$W145,IF(AND($S145&lt;&gt;"",EDATE($D145,Milestones!$AA$124)&gt;=$S145),$V145,$U145)))=Milestones!$AB$124),UPPER(TEXT(EDATE($D145,Milestones!$AA$124),"dd mmm yy"))&amp;" "&amp;Milestones!$AB$124&amp;" "&amp;Milestones!$AC$124&amp;";  ","")&amp;IF(AND(EDATE($D145,Milestones!$AA$125)&lt;=AsOfDate,IF($R145=0,$X145,IF(AND($T145&lt;&gt;"",EDATE($D145,Milestones!$AA$125)&gt;=$T145),$W145,IF(AND($S145&lt;&gt;"",EDATE($D145,Milestones!$AA$125)&gt;=$S145),$V145,$U145)))=Milestones!$AB$125),UPPER(TEXT(EDATE($D145,Milestones!$AA$125),"dd mmm yy"))&amp;" "&amp;Milestones!$AB$125&amp;" "&amp;Milestones!$AC$125&amp;";  ","")&amp;IF(AND(EDATE($D145,Milestones!$AA$126)&lt;=AsOfDate,IF($R145=0,$X145,IF(AND($T145&lt;&gt;"",EDATE($D145,Milestones!$AA$126)&gt;=$T145),$W145,IF(AND($S145&lt;&gt;"",EDATE($D145,Milestones!$AA$126)&gt;=$S145),$V145,$U145)))=Milestones!$AB$126),UPPER(TEXT(EDATE($D145,Milestones!$AA$126),"dd mmm yy"))&amp;" "&amp;Milestones!$AB$126&amp;" "&amp;Milestones!$AC$126&amp;";  ","")&amp;IF(AND(EDATE($D145,Milestones!$AA$127)&lt;=AsOfDate,IF($R145=0,$X145,IF(AND($T145&lt;&gt;"",EDATE($D145,Milestones!$AA$127)&gt;=$T145),$W145,IF(AND($S145&lt;&gt;"",EDATE($D145,Milestones!$AA$127)&gt;=$S145),$V145,$U145)))=Milestones!$AB$127),UPPER(TEXT(EDATE($D145,Milestones!$AA$127),"dd mmm yy"))&amp;" "&amp;Milestones!$AB$127&amp;" "&amp;Milestones!$AC$127&amp;";  ","")&amp;IF(AND(EDATE($D145,Milestones!$AA$128)&lt;=AsOfDate,IF($R145=0,$X145,IF(AND($T145&lt;&gt;"",EDATE($D145,Milestones!$AA$128)&gt;=$T145),$W145,IF(AND($S145&lt;&gt;"",EDATE($D145,Milestones!$AA$128)&gt;=$S145),$V145,$U145)))=Milestones!$AB$128),UPPER(TEXT(EDATE($D145,Milestones!$AA$128),"dd mmm yy"))&amp;" "&amp;Milestones!$AB$128&amp;" "&amp;Milestones!$AC$128&amp;";  ","")&amp;IF(AND(EDATE($D145,Milestones!$AA$129)&lt;=AsOfDate,IF($R145=0,$X145,IF(AND($T145&lt;&gt;"",EDATE($D145,Milestones!$AA$129)&gt;=$T145),$W145,IF(AND($S145&lt;&gt;"",EDATE($D145,Milestones!$AA$129)&gt;=$S145),$V145,$U145)))=Milestones!$AB$129),UPPER(TEXT(EDATE($D145,Milestones!$AA$129),"dd mmm yy"))&amp;" "&amp;Milestones!$AB$129&amp;" "&amp;Milestones!$AC$129&amp;";  ","")&amp;IF(AND(EDATE($D145,Milestones!$AA$130)&lt;=AsOfDate,IF($R145=0,$X145,IF(AND($T145&lt;&gt;"",EDATE($D145,Milestones!$AA$130)&gt;=$T145),$W145,IF(AND($S145&lt;&gt;"",EDATE($D145,Milestones!$AA$130)&gt;=$S145),$V145,$U145)))=Milestones!$AB$130),UPPER(TEXT(EDATE($D145,Milestones!$AA$130),"dd mmm yy"))&amp;" "&amp;Milestones!$AB$130&amp;" "&amp;Milestones!$AC$130&amp;";  ","")&amp;IF(AND(EDATE($D145,Milestones!$AA$131)&lt;=AsOfDate,IF($R145=0,$X145,IF(AND($T145&lt;&gt;"",EDATE($D145,Milestones!$AA$131)&gt;=$T145),$W145,IF(AND($S145&lt;&gt;"",EDATE($D145,Milestones!$AA$131)&gt;=$S145),$V145,$U145)))=Milestones!$AB$131),UPPER(TEXT(EDATE($D145,Milestones!$AA$131),"dd mmm yy"))&amp;" "&amp;Milestones!$AB$131&amp;" "&amp;Milestones!$AC$131&amp;";  ","")&amp;IF(AND(EDATE($D145,Milestones!$AA$132)&lt;=AsOfDate,IF($R145=0,$X145,IF(AND($T145&lt;&gt;"",EDATE($D145,Milestones!$AA$132)&gt;=$T145),$W145,IF(AND($S145&lt;&gt;"",EDATE($D145,Milestones!$AA$132)&gt;=$S145),$V145,$U145)))=Milestones!$AB$132),UPPER(TEXT(EDATE($D145,Milestones!$AA$132),"dd mmm yy"))&amp;" "&amp;Milestones!$AB$132&amp;" "&amp;Milestones!$AC$132&amp;";  ","")&amp;IF(AND(EDATE($D145,Milestones!$AA$133)&lt;=AsOfDate,IF($R145=0,$X145,IF(AND($T145&lt;&gt;"",EDATE($D145,Milestones!$AA$133)&gt;=$T145),$W145,IF(AND($S145&lt;&gt;"",EDATE($D145,Milestones!$AA$133)&gt;=$S145),$V145,$U145)))=Milestones!$AB$133),UPPER(TEXT(EDATE($D145,Milestones!$AA$133),"dd mmm yy"))&amp;" "&amp;Milestones!$AB$133&amp;" "&amp;Milestones!$AC$133&amp;";  ","")&amp;IF(AND(EDATE($D145,Milestones!$AA$134)&lt;=AsOfDate,IF($R145=0,$X145,IF(AND($T145&lt;&gt;"",EDATE($D145,Milestones!$AA$134)&gt;=$T145),$W145,IF(AND($S145&lt;&gt;"",EDATE($D145,Milestones!$AA$134)&gt;=$S145),$V145,$U145)))=Milestones!$AB$134),UPPER(TEXT(EDATE($D145,Milestones!$AA$134),"dd mmm yy"))&amp;" "&amp;Milestones!$AB$134&amp;" "&amp;Milestones!$AC$134&amp;";  ","")&amp;IF(AND(EDATE($D145,Milestones!$AA$135)&lt;=AsOfDate,IF($R145=0,$X145,IF(AND($T145&lt;&gt;"",EDATE($D145,Milestones!$AA$135)&gt;=$T145),$W145,IF(AND($S145&lt;&gt;"",EDATE($D145,Milestones!$AA$135)&gt;=$S145),$V145,$U145)))=Milestones!$AB$135),UPPER(TEXT(EDATE($D145,Milestones!$AA$135),"dd mmm yy"))&amp;" "&amp;Milestones!$AB$135&amp;" "&amp;Milestones!$AC$135&amp;";  ","")&amp;IF(AND(EDATE($D145,Milestones!$AA$136)&lt;=AsOfDate,IF($R145=0,$X145,IF(AND($T145&lt;&gt;"",EDATE($D145,Milestones!$AA$136)&gt;=$T145),$W145,IF(AND($S145&lt;&gt;"",EDATE($D145,Milestones!$AA$136)&gt;=$S145),$V145,$U145)))=Milestones!$AB$136),UPPER(TEXT(EDATE($D145,Milestones!$AA$136),"dd mmm yy"))&amp;" "&amp;Milestones!$AB$136&amp;" "&amp;Milestones!$AC$136&amp;";  ","")&amp;IF(AND(EDATE($D145,Milestones!$AA$137)&lt;=AsOfDate,IF($R145=0,$X145,IF(AND($T145&lt;&gt;"",EDATE($D145,Milestones!$AA$137)&gt;=$T145),$W145,IF(AND($S145&lt;&gt;"",EDATE($D145,Milestones!$AA$137)&gt;=$S145),$V145,$U145)))=Milestones!$AB$137),UPPER(TEXT(EDATE($D145,Milestones!$AA$137),"dd mmm yy"))&amp;" "&amp;Milestones!$AB$137&amp;" "&amp;Milestones!$AC$137&amp;";  ","")&amp;IF(AND(EDATE($D145,Milestones!$AA$138)&lt;=AsOfDate,IF($R145=0,$X145,IF(AND($T145&lt;&gt;"",EDATE($D145,Milestones!$AA$138)&gt;=$T145),$W145,IF(AND($S145&lt;&gt;"",EDATE($D145,Milestones!$AA$138)&gt;=$S145),$V145,$U145)))=Milestones!$AB$138),UPPER(TEXT(EDATE($D145,Milestones!$AA$138),"dd mmm yy"))&amp;" "&amp;Milestones!$AB$138&amp;" "&amp;Milestones!$AC$138&amp;";  ","")&amp;IF(AND(EDATE($D145,Milestones!$AA$139)&lt;=AsOfDate,IF($R145=0,$X145,IF(AND($T145&lt;&gt;"",EDATE($D145,Milestones!$AA$139)&gt;=$T145),$W145,IF(AND($S145&lt;&gt;"",EDATE($D145,Milestones!$AA$139)&gt;=$S145),$V145,$U145)))=Milestones!$AB$139),UPPER(TEXT(EDATE($D145,Milestones!$AA$139),"dd mmm yy"))&amp;" "&amp;Milestones!$AB$139&amp;" "&amp;Milestones!$AC$139&amp;";  ",""))</f>
        <v/>
      </c>
      <c r="O145" s="0" t="str">
        <f aca="false">IF(OR($A145="",$D145=""),"",IF(AND(EDATE($D145,Milestones!$AA$140)&lt;=AsOfDate,IF($R145=0,$X145,IF(AND($T145&lt;&gt;"",EDATE($D145,Milestones!$AA$140)&gt;=$T145),$W145,IF(AND($S145&lt;&gt;"",EDATE($D145,Milestones!$AA$140)&gt;=$S145),$V145,$U145)))=Milestones!$AB$140),UPPER(TEXT(EDATE($D145,Milestones!$AA$140),"dd mmm yy"))&amp;" "&amp;Milestones!$AB$140&amp;" "&amp;Milestones!$AC$140&amp;";  ","")&amp;IF(AND(EDATE($D145,Milestones!$AA$141)&lt;=AsOfDate,IF($R145=0,$X145,IF(AND($T145&lt;&gt;"",EDATE($D145,Milestones!$AA$141)&gt;=$T145),$W145,IF(AND($S145&lt;&gt;"",EDATE($D145,Milestones!$AA$141)&gt;=$S145),$V145,$U145)))=Milestones!$AB$141),UPPER(TEXT(EDATE($D145,Milestones!$AA$141),"dd mmm yy"))&amp;" "&amp;Milestones!$AB$141&amp;" "&amp;Milestones!$AC$141&amp;";  ","")&amp;IF(AND(EDATE($D145,Milestones!$AA$142)&lt;=AsOfDate,IF($R145=0,$X145,IF(AND($T145&lt;&gt;"",EDATE($D145,Milestones!$AA$142)&gt;=$T145),$W145,IF(AND($S145&lt;&gt;"",EDATE($D145,Milestones!$AA$142)&gt;=$S145),$V145,$U145)))=Milestones!$AB$142),UPPER(TEXT(EDATE($D145,Milestones!$AA$142),"dd mmm yy"))&amp;" "&amp;Milestones!$AB$142&amp;" "&amp;Milestones!$AC$142&amp;";  ","")&amp;IF(AND(EDATE($D145,Milestones!$AA$143)&lt;=AsOfDate,IF($R145=0,$X145,IF(AND($T145&lt;&gt;"",EDATE($D145,Milestones!$AA$143)&gt;=$T145),$W145,IF(AND($S145&lt;&gt;"",EDATE($D145,Milestones!$AA$143)&gt;=$S145),$V145,$U145)))=Milestones!$AB$143),UPPER(TEXT(EDATE($D145,Milestones!$AA$143),"dd mmm yy"))&amp;" "&amp;Milestones!$AB$143&amp;" "&amp;Milestones!$AC$143&amp;";  ","")&amp;IF(AND(EDATE($D145,Milestones!$AA$144)&lt;=AsOfDate,IF($R145=0,$X145,IF(AND($T145&lt;&gt;"",EDATE($D145,Milestones!$AA$144)&gt;=$T145),$W145,IF(AND($S145&lt;&gt;"",EDATE($D145,Milestones!$AA$144)&gt;=$S145),$V145,$U145)))=Milestones!$AB$144),UPPER(TEXT(EDATE($D145,Milestones!$AA$144),"dd mmm yy"))&amp;" "&amp;Milestones!$AB$144&amp;" "&amp;Milestones!$AC$144&amp;";  ","")&amp;IF(AND(EDATE($D145,Milestones!$AA$145)&lt;=AsOfDate,IF($R145=0,$X145,IF(AND($T145&lt;&gt;"",EDATE($D145,Milestones!$AA$145)&gt;=$T145),$W145,IF(AND($S145&lt;&gt;"",EDATE($D145,Milestones!$AA$145)&gt;=$S145),$V145,$U145)))=Milestones!$AB$145),UPPER(TEXT(EDATE($D145,Milestones!$AA$145),"dd mmm yy"))&amp;" "&amp;Milestones!$AB$145&amp;" "&amp;Milestones!$AC$145&amp;";  ","")&amp;IF(AND(EDATE($D145,Milestones!$AA$146)&lt;=AsOfDate,IF($R145=0,$X145,IF(AND($T145&lt;&gt;"",EDATE($D145,Milestones!$AA$146)&gt;=$T145),$W145,IF(AND($S145&lt;&gt;"",EDATE($D145,Milestones!$AA$146)&gt;=$S145),$V145,$U145)))=Milestones!$AB$146),UPPER(TEXT(EDATE($D145,Milestones!$AA$146),"dd mmm yy"))&amp;" "&amp;Milestones!$AB$146&amp;" "&amp;Milestones!$AC$146&amp;";  ","")&amp;IF(AND(EDATE($D145,Milestones!$AA$147)&lt;=AsOfDate,IF($R145=0,$X145,IF(AND($T145&lt;&gt;"",EDATE($D145,Milestones!$AA$147)&gt;=$T145),$W145,IF(AND($S145&lt;&gt;"",EDATE($D145,Milestones!$AA$147)&gt;=$S145),$V145,$U145)))=Milestones!$AB$147),UPPER(TEXT(EDATE($D145,Milestones!$AA$147),"dd mmm yy"))&amp;" "&amp;Milestones!$AB$147&amp;" "&amp;Milestones!$AC$147&amp;";  ","")&amp;IF(AND(EDATE($D145,Milestones!$AA$148)&lt;=AsOfDate,IF($R145=0,$X145,IF(AND($T145&lt;&gt;"",EDATE($D145,Milestones!$AA$148)&gt;=$T145),$W145,IF(AND($S145&lt;&gt;"",EDATE($D145,Milestones!$AA$148)&gt;=$S145),$V145,$U145)))=Milestones!$AB$148),UPPER(TEXT(EDATE($D145,Milestones!$AA$148),"dd mmm yy"))&amp;" "&amp;Milestones!$AB$148&amp;" "&amp;Milestones!$AC$148&amp;";  ","")&amp;IF(AND(EDATE($D145,Milestones!$AA$149)&lt;=AsOfDate,IF($R145=0,$X145,IF(AND($T145&lt;&gt;"",EDATE($D145,Milestones!$AA$149)&gt;=$T145),$W145,IF(AND($S145&lt;&gt;"",EDATE($D145,Milestones!$AA$149)&gt;=$S145),$V145,$U145)))=Milestones!$AB$149),UPPER(TEXT(EDATE($D145,Milestones!$AA$149),"dd mmm yy"))&amp;" "&amp;Milestones!$AB$149&amp;" "&amp;Milestones!$AC$149&amp;";  ","")&amp;IF(AND(EDATE($D145,Milestones!$AA$150)&lt;=AsOfDate,IF($R145=0,$X145,IF(AND($T145&lt;&gt;"",EDATE($D145,Milestones!$AA$150)&gt;=$T145),$W145,IF(AND($S145&lt;&gt;"",EDATE($D145,Milestones!$AA$150)&gt;=$S145),$V145,$U145)))=Milestones!$AB$150),UPPER(TEXT(EDATE($D145,Milestones!$AA$150),"dd mmm yy"))&amp;" "&amp;Milestones!$AB$150&amp;" "&amp;Milestones!$AC$150&amp;";  ","")&amp;IF(AND(EDATE($D145,Milestones!$AA$151)&lt;=AsOfDate,IF($R145=0,$X145,IF(AND($T145&lt;&gt;"",EDATE($D145,Milestones!$AA$151)&gt;=$T145),$W145,IF(AND($S145&lt;&gt;"",EDATE($D145,Milestones!$AA$151)&gt;=$S145),$V145,$U145)))=Milestones!$AB$151),UPPER(TEXT(EDATE($D145,Milestones!$AA$151),"dd mmm yy"))&amp;" "&amp;Milestones!$AB$151&amp;" "&amp;Milestones!$AC$151&amp;";  ","")&amp;IF(AND(EDATE($D145,Milestones!$AA$152)&lt;=AsOfDate,IF($R145=0,$X145,IF(AND($T145&lt;&gt;"",EDATE($D145,Milestones!$AA$152)&gt;=$T145),$W145,IF(AND($S145&lt;&gt;"",EDATE($D145,Milestones!$AA$152)&gt;=$S145),$V145,$U145)))=Milestones!$AB$152),UPPER(TEXT(EDATE($D145,Milestones!$AA$152),"dd mmm yy"))&amp;" "&amp;Milestones!$AB$152&amp;" "&amp;Milestones!$AC$152&amp;";  ","")&amp;IF(AND(EDATE($D145,Milestones!$AA$153)&lt;=AsOfDate,IF($R145=0,$X145,IF(AND($T145&lt;&gt;"",EDATE($D145,Milestones!$AA$153)&gt;=$T145),$W145,IF(AND($S145&lt;&gt;"",EDATE($D145,Milestones!$AA$153)&gt;=$S145),$V145,$U145)))=Milestones!$AB$153),UPPER(TEXT(EDATE($D145,Milestones!$AA$153),"dd mmm yy"))&amp;" "&amp;Milestones!$AB$153&amp;" "&amp;Milestones!$AC$153&amp;";  ","")&amp;IF(AND(EDATE($D145,Milestones!$AA$154)&lt;=AsOfDate,IF($R145=0,$X145,IF(AND($T145&lt;&gt;"",EDATE($D145,Milestones!$AA$154)&gt;=$T145),$W145,IF(AND($S145&lt;&gt;"",EDATE($D145,Milestones!$AA$154)&gt;=$S145),$V145,$U145)))=Milestones!$AB$154),UPPER(TEXT(EDATE($D145,Milestones!$AA$154),"dd mmm yy"))&amp;" "&amp;Milestones!$AB$154&amp;" "&amp;Milestones!$AC$154&amp;";  ","")&amp;IF(AND(EDATE($D145,Milestones!$AA$155)&lt;=AsOfDate,IF($R145=0,$X145,IF(AND($T145&lt;&gt;"",EDATE($D145,Milestones!$AA$155)&gt;=$T145),$W145,IF(AND($S145&lt;&gt;"",EDATE($D145,Milestones!$AA$155)&gt;=$S145),$V145,$U145)))=Milestones!$AB$155),UPPER(TEXT(EDATE($D145,Milestones!$AA$155),"dd mmm yy"))&amp;" "&amp;Milestones!$AB$155&amp;" "&amp;Milestones!$AC$155&amp;";  ","")&amp;IF(AND(EDATE($D145,Milestones!$AA$156)&lt;=AsOfDate,IF($R145=0,$X145,IF(AND($T145&lt;&gt;"",EDATE($D145,Milestones!$AA$156)&gt;=$T145),$W145,IF(AND($S145&lt;&gt;"",EDATE($D145,Milestones!$AA$156)&gt;=$S145),$V145,$U145)))=Milestones!$AB$156),UPPER(TEXT(EDATE($D145,Milestones!$AA$156),"dd mmm yy"))&amp;" "&amp;Milestones!$AB$156&amp;" "&amp;Milestones!$AC$156&amp;";  ","")&amp;IF(AND(EDATE($D145,Milestones!$AA$157)&lt;=AsOfDate,IF($R145=0,$X145,IF(AND($T145&lt;&gt;"",EDATE($D145,Milestones!$AA$157)&gt;=$T145),$W145,IF(AND($S145&lt;&gt;"",EDATE($D145,Milestones!$AA$157)&gt;=$S145),$V145,$U145)))=Milestones!$AB$157),UPPER(TEXT(EDATE($D145,Milestones!$AA$157),"dd mmm yy"))&amp;" "&amp;Milestones!$AB$157&amp;" "&amp;Milestones!$AC$157&amp;";  ","")&amp;IF(AND(EDATE($D145,Milestones!$AA$158)&lt;=AsOfDate,IF($R145=0,$X145,IF(AND($T145&lt;&gt;"",EDATE($D145,Milestones!$AA$158)&gt;=$T145),$W145,IF(AND($S145&lt;&gt;"",EDATE($D145,Milestones!$AA$158)&gt;=$S145),$V145,$U145)))=Milestones!$AB$158),UPPER(TEXT(EDATE($D145,Milestones!$AA$158),"dd mmm yy"))&amp;" "&amp;Milestones!$AB$158&amp;" "&amp;Milestones!$AC$158&amp;";  ","")&amp;IF(AND(EDATE($D145,Milestones!$AA$159)&lt;=AsOfDate,IF($R145=0,$X145,IF(AND($T145&lt;&gt;"",EDATE($D145,Milestones!$AA$159)&gt;=$T145),$W145,IF(AND($S145&lt;&gt;"",EDATE($D145,Milestones!$AA$159)&gt;=$S145),$V145,$U145)))=Milestones!$AB$159),UPPER(TEXT(EDATE($D145,Milestones!$AA$159),"dd mmm yy"))&amp;" "&amp;Milestones!$AB$159&amp;" "&amp;Milestones!$AC$159&amp;";  ",""))</f>
        <v/>
      </c>
      <c r="P145" s="0" t="str">
        <f aca="false">IF(OR($A145="",$D145=""),"",IF(AND(EDATE($D145,Milestones!$AA$160)&lt;=AsOfDate,IF($R145=0,$X145,IF(AND($T145&lt;&gt;"",EDATE($D145,Milestones!$AA$160)&gt;=$T145),$W145,IF(AND($S145&lt;&gt;"",EDATE($D145,Milestones!$AA$160)&gt;=$S145),$V145,$U145)))=Milestones!$AB$160),UPPER(TEXT(EDATE($D145,Milestones!$AA$160),"dd mmm yy"))&amp;" "&amp;Milestones!$AB$160&amp;" "&amp;Milestones!$AC$160&amp;";  ","")&amp;IF(AND(EDATE($D145,Milestones!$AA$161)&lt;=AsOfDate,IF($R145=0,$X145,IF(AND($T145&lt;&gt;"",EDATE($D145,Milestones!$AA$161)&gt;=$T145),$W145,IF(AND($S145&lt;&gt;"",EDATE($D145,Milestones!$AA$161)&gt;=$S145),$V145,$U145)))=Milestones!$AB$161),UPPER(TEXT(EDATE($D145,Milestones!$AA$161),"dd mmm yy"))&amp;" "&amp;Milestones!$AB$161&amp;" "&amp;Milestones!$AC$161&amp;";  ","")&amp;IF(AND(EDATE($D145,Milestones!$AA$162)&lt;=AsOfDate,IF($R145=0,$X145,IF(AND($T145&lt;&gt;"",EDATE($D145,Milestones!$AA$162)&gt;=$T145),$W145,IF(AND($S145&lt;&gt;"",EDATE($D145,Milestones!$AA$162)&gt;=$S145),$V145,$U145)))=Milestones!$AB$162),UPPER(TEXT(EDATE($D145,Milestones!$AA$162),"dd mmm yy"))&amp;" "&amp;Milestones!$AB$162&amp;" "&amp;Milestones!$AC$162&amp;";  ","")&amp;IF(AND(EDATE($D145,Milestones!$AA$163)&lt;=AsOfDate,IF($R145=0,$X145,IF(AND($T145&lt;&gt;"",EDATE($D145,Milestones!$AA$163)&gt;=$T145),$W145,IF(AND($S145&lt;&gt;"",EDATE($D145,Milestones!$AA$163)&gt;=$S145),$V145,$U145)))=Milestones!$AB$163),UPPER(TEXT(EDATE($D145,Milestones!$AA$163),"dd mmm yy"))&amp;" "&amp;Milestones!$AB$163&amp;" "&amp;Milestones!$AC$163&amp;";  ","")&amp;IF(AND(EDATE($D145,Milestones!$AA$164)&lt;=AsOfDate,IF($R145=0,$X145,IF(AND($T145&lt;&gt;"",EDATE($D145,Milestones!$AA$164)&gt;=$T145),$W145,IF(AND($S145&lt;&gt;"",EDATE($D145,Milestones!$AA$164)&gt;=$S145),$V145,$U145)))=Milestones!$AB$164),UPPER(TEXT(EDATE($D145,Milestones!$AA$164),"dd mmm yy"))&amp;" "&amp;Milestones!$AB$164&amp;" "&amp;Milestones!$AC$164&amp;";  ","")&amp;IF(AND(EDATE($D145,Milestones!$AA$165)&lt;=AsOfDate,IF($R145=0,$X145,IF(AND($T145&lt;&gt;"",EDATE($D145,Milestones!$AA$165)&gt;=$T145),$W145,IF(AND($S145&lt;&gt;"",EDATE($D145,Milestones!$AA$165)&gt;=$S145),$V145,$U145)))=Milestones!$AB$165),UPPER(TEXT(EDATE($D145,Milestones!$AA$165),"dd mmm yy"))&amp;" "&amp;Milestones!$AB$165&amp;" "&amp;Milestones!$AC$165&amp;";  ","")&amp;IF(AND(EDATE($D145,Milestones!$AA$166)&lt;=AsOfDate,IF($R145=0,$X145,IF(AND($T145&lt;&gt;"",EDATE($D145,Milestones!$AA$166)&gt;=$T145),$W145,IF(AND($S145&lt;&gt;"",EDATE($D145,Milestones!$AA$166)&gt;=$S145),$V145,$U145)))=Milestones!$AB$166),UPPER(TEXT(EDATE($D145,Milestones!$AA$166),"dd mmm yy"))&amp;" "&amp;Milestones!$AB$166&amp;" "&amp;Milestones!$AC$166&amp;";  ","")&amp;IF(AND(EDATE($D145,Milestones!$AA$167)&lt;=AsOfDate,IF($R145=0,$X145,IF(AND($T145&lt;&gt;"",EDATE($D145,Milestones!$AA$167)&gt;=$T145),$W145,IF(AND($S145&lt;&gt;"",EDATE($D145,Milestones!$AA$167)&gt;=$S145),$V145,$U145)))=Milestones!$AB$167),UPPER(TEXT(EDATE($D145,Milestones!$AA$167),"dd mmm yy"))&amp;" "&amp;Milestones!$AB$167&amp;" "&amp;Milestones!$AC$167&amp;";  ","")&amp;IF(AND(EDATE($D145,Milestones!$AA$168)&lt;=AsOfDate,IF($R145=0,$X145,IF(AND($T145&lt;&gt;"",EDATE($D145,Milestones!$AA$168)&gt;=$T145),$W145,IF(AND($S145&lt;&gt;"",EDATE($D145,Milestones!$AA$168)&gt;=$S145),$V145,$U145)))=Milestones!$AB$168),UPPER(TEXT(EDATE($D145,Milestones!$AA$168),"dd mmm yy"))&amp;" "&amp;Milestones!$AB$168&amp;" "&amp;Milestones!$AC$168&amp;";  ","")&amp;IF(AND(EDATE($D145,Milestones!$AA$169)&lt;=AsOfDate,IF($R145=0,$X145,IF(AND($T145&lt;&gt;"",EDATE($D145,Milestones!$AA$169)&gt;=$T145),$W145,IF(AND($S145&lt;&gt;"",EDATE($D145,Milestones!$AA$169)&gt;=$S145),$V145,$U145)))=Milestones!$AB$169),UPPER(TEXT(EDATE($D145,Milestones!$AA$169),"dd mmm yy"))&amp;" "&amp;Milestones!$AB$169&amp;" "&amp;Milestones!$AC$169&amp;";  ","")&amp;IF(AND(EDATE($D145,Milestones!$AA$170)&lt;=AsOfDate,IF($R145=0,$X145,IF(AND($T145&lt;&gt;"",EDATE($D145,Milestones!$AA$170)&gt;=$T145),$W145,IF(AND($S145&lt;&gt;"",EDATE($D145,Milestones!$AA$170)&gt;=$S145),$V145,$U145)))=Milestones!$AB$170),UPPER(TEXT(EDATE($D145,Milestones!$AA$170),"dd mmm yy"))&amp;" "&amp;Milestones!$AB$170&amp;" "&amp;Milestones!$AC$170&amp;";  ","")&amp;IF(AND(EDATE($D145,Milestones!$AA$171)&lt;=AsOfDate,IF($R145=0,$X145,IF(AND($T145&lt;&gt;"",EDATE($D145,Milestones!$AA$171)&gt;=$T145),$W145,IF(AND($S145&lt;&gt;"",EDATE($D145,Milestones!$AA$171)&gt;=$S145),$V145,$U145)))=Milestones!$AB$171),UPPER(TEXT(EDATE($D145,Milestones!$AA$171),"dd mmm yy"))&amp;" "&amp;Milestones!$AB$171&amp;" "&amp;Milestones!$AC$171&amp;";  ","")&amp;IF(AND(EDATE($D145,Milestones!$AA$172)&lt;=AsOfDate,IF($R145=0,$X145,IF(AND($T145&lt;&gt;"",EDATE($D145,Milestones!$AA$172)&gt;=$T145),$W145,IF(AND($S145&lt;&gt;"",EDATE($D145,Milestones!$AA$172)&gt;=$S145),$V145,$U145)))=Milestones!$AB$172),UPPER(TEXT(EDATE($D145,Milestones!$AA$172),"dd mmm yy"))&amp;" "&amp;Milestones!$AB$172&amp;" "&amp;Milestones!$AC$172&amp;";  ","")&amp;IF(AND(EDATE($D145,Milestones!$AA$173)&lt;=AsOfDate,IF($R145=0,$X145,IF(AND($T145&lt;&gt;"",EDATE($D145,Milestones!$AA$173)&gt;=$T145),$W145,IF(AND($S145&lt;&gt;"",EDATE($D145,Milestones!$AA$173)&gt;=$S145),$V145,$U145)))=Milestones!$AB$173),UPPER(TEXT(EDATE($D145,Milestones!$AA$173),"dd mmm yy"))&amp;" "&amp;Milestones!$AB$173&amp;" "&amp;Milestones!$AC$173&amp;";  ","")&amp;IF(AND(EDATE($D145,Milestones!$AA$174)&lt;=AsOfDate,IF($R145=0,$X145,IF(AND($T145&lt;&gt;"",EDATE($D145,Milestones!$AA$174)&gt;=$T145),$W145,IF(AND($S145&lt;&gt;"",EDATE($D145,Milestones!$AA$174)&gt;=$S145),$V145,$U145)))=Milestones!$AB$174),UPPER(TEXT(EDATE($D145,Milestones!$AA$174),"dd mmm yy"))&amp;" "&amp;Milestones!$AB$174&amp;" "&amp;Milestones!$AC$174&amp;";  ","")&amp;IF(AND(EDATE($D145,Milestones!$AA$175)&lt;=AsOfDate,IF($R145=0,$X145,IF(AND($T145&lt;&gt;"",EDATE($D145,Milestones!$AA$175)&gt;=$T145),$W145,IF(AND($S145&lt;&gt;"",EDATE($D145,Milestones!$AA$175)&gt;=$S145),$V145,$U145)))=Milestones!$AB$175),UPPER(TEXT(EDATE($D145,Milestones!$AA$175),"dd mmm yy"))&amp;" "&amp;Milestones!$AB$175&amp;" "&amp;Milestones!$AC$175&amp;";  ","")&amp;IF(AND(EDATE($D145,Milestones!$AA$176)&lt;=AsOfDate,IF($R145=0,$X145,IF(AND($T145&lt;&gt;"",EDATE($D145,Milestones!$AA$176)&gt;=$T145),$W145,IF(AND($S145&lt;&gt;"",EDATE($D145,Milestones!$AA$176)&gt;=$S145),$V145,$U145)))=Milestones!$AB$176),UPPER(TEXT(EDATE($D145,Milestones!$AA$176),"dd mmm yy"))&amp;" "&amp;Milestones!$AB$176&amp;" "&amp;Milestones!$AC$176&amp;";  ","")&amp;IF(AND(EDATE($D145,Milestones!$AA$177)&lt;=AsOfDate,IF($R145=0,$X145,IF(AND($T145&lt;&gt;"",EDATE($D145,Milestones!$AA$177)&gt;=$T145),$W145,IF(AND($S145&lt;&gt;"",EDATE($D145,Milestones!$AA$177)&gt;=$S145),$V145,$U145)))=Milestones!$AB$177),UPPER(TEXT(EDATE($D145,Milestones!$AA$177),"dd mmm yy"))&amp;" "&amp;Milestones!$AB$177&amp;" "&amp;Milestones!$AC$177&amp;";  ","")&amp;IF(AND(EDATE($D145,Milestones!$AA$178)&lt;=AsOfDate,IF($R145=0,$X145,IF(AND($T145&lt;&gt;"",EDATE($D145,Milestones!$AA$178)&gt;=$T145),$W145,IF(AND($S145&lt;&gt;"",EDATE($D145,Milestones!$AA$178)&gt;=$S145),$V145,$U145)))=Milestones!$AB$178),UPPER(TEXT(EDATE($D145,Milestones!$AA$178),"dd mmm yy"))&amp;" "&amp;Milestones!$AB$178&amp;" "&amp;Milestones!$AC$178&amp;";  ","")&amp;IF(AND(EDATE($D145,Milestones!$AA$179)&lt;=AsOfDate,IF($R145=0,$X145,IF(AND($T145&lt;&gt;"",EDATE($D145,Milestones!$AA$179)&gt;=$T145),$W145,IF(AND($S145&lt;&gt;"",EDATE($D145,Milestones!$AA$179)&gt;=$S145),$V145,$U145)))=Milestones!$AB$179),UPPER(TEXT(EDATE($D145,Milestones!$AA$179),"dd mmm yy"))&amp;" "&amp;Milestones!$AB$179&amp;" "&amp;Milestones!$AC$179&amp;";  ",""))</f>
        <v/>
      </c>
      <c r="Q145" s="0" t="str">
        <f aca="false">IF(OR($A145="",$D145=""),"",IF(AND(EDATE($D145,Milestones!$AA$180)&lt;=AsOfDate,IF($R145=0,$X145,IF(AND($T145&lt;&gt;"",EDATE($D145,Milestones!$AA$180)&gt;=$T145),$W145,IF(AND($S145&lt;&gt;"",EDATE($D145,Milestones!$AA$180)&gt;=$S145),$V145,$U145)))=Milestones!$AB$180),UPPER(TEXT(EDATE($D145,Milestones!$AA$180),"dd mmm yy"))&amp;" "&amp;Milestones!$AB$180&amp;" "&amp;Milestones!$AC$180&amp;";  ","")&amp;IF(AND(EDATE($D145,Milestones!$AA$181)&lt;=AsOfDate,IF($R145=0,$X145,IF(AND($T145&lt;&gt;"",EDATE($D145,Milestones!$AA$181)&gt;=$T145),$W145,IF(AND($S145&lt;&gt;"",EDATE($D145,Milestones!$AA$181)&gt;=$S145),$V145,$U145)))=Milestones!$AB$181),UPPER(TEXT(EDATE($D145,Milestones!$AA$181),"dd mmm yy"))&amp;" "&amp;Milestones!$AB$181&amp;" "&amp;Milestones!$AC$181&amp;";  ","")&amp;IF(AND(EDATE($D145,Milestones!$AA$182)&lt;=AsOfDate,IF($R145=0,$X145,IF(AND($T145&lt;&gt;"",EDATE($D145,Milestones!$AA$182)&gt;=$T145),$W145,IF(AND($S145&lt;&gt;"",EDATE($D145,Milestones!$AA$182)&gt;=$S145),$V145,$U145)))=Milestones!$AB$182),UPPER(TEXT(EDATE($D145,Milestones!$AA$182),"dd mmm yy"))&amp;" "&amp;Milestones!$AB$182&amp;" "&amp;Milestones!$AC$182&amp;";  ","")&amp;IF(AND(EDATE($D145,Milestones!$AA$183)&lt;=AsOfDate,IF($R145=0,$X145,IF(AND($T145&lt;&gt;"",EDATE($D145,Milestones!$AA$183)&gt;=$T145),$W145,IF(AND($S145&lt;&gt;"",EDATE($D145,Milestones!$AA$183)&gt;=$S145),$V145,$U145)))=Milestones!$AB$183),UPPER(TEXT(EDATE($D145,Milestones!$AA$183),"dd mmm yy"))&amp;" "&amp;Milestones!$AB$183&amp;" "&amp;Milestones!$AC$183&amp;";  ","")&amp;IF(AND(EDATE($D145,Milestones!$AA$184)&lt;=AsOfDate,IF($R145=0,$X145,IF(AND($T145&lt;&gt;"",EDATE($D145,Milestones!$AA$184)&gt;=$T145),$W145,IF(AND($S145&lt;&gt;"",EDATE($D145,Milestones!$AA$184)&gt;=$S145),$V145,$U145)))=Milestones!$AB$184),UPPER(TEXT(EDATE($D145,Milestones!$AA$184),"dd mmm yy"))&amp;" "&amp;Milestones!$AB$184&amp;" "&amp;Milestones!$AC$184&amp;";  ","")&amp;IF(AND(EDATE($D145,Milestones!$AA$185)&lt;=AsOfDate,IF($R145=0,$X145,IF(AND($T145&lt;&gt;"",EDATE($D145,Milestones!$AA$185)&gt;=$T145),$W145,IF(AND($S145&lt;&gt;"",EDATE($D145,Milestones!$AA$185)&gt;=$S145),$V145,$U145)))=Milestones!$AB$185),UPPER(TEXT(EDATE($D145,Milestones!$AA$185),"dd mmm yy"))&amp;" "&amp;Milestones!$AB$185&amp;" "&amp;Milestones!$AC$185&amp;";  ","")&amp;IF(AND(EDATE($D145,Milestones!$AA$186)&lt;=AsOfDate,IF($R145=0,$X145,IF(AND($T145&lt;&gt;"",EDATE($D145,Milestones!$AA$186)&gt;=$T145),$W145,IF(AND($S145&lt;&gt;"",EDATE($D145,Milestones!$AA$186)&gt;=$S145),$V145,$U145)))=Milestones!$AB$186),UPPER(TEXT(EDATE($D145,Milestones!$AA$186),"dd mmm yy"))&amp;" "&amp;Milestones!$AB$186&amp;" "&amp;Milestones!$AC$186&amp;";  ","")&amp;IF(AND(EDATE($D145,Milestones!$AA$187)&lt;=AsOfDate,IF($R145=0,$X145,IF(AND($T145&lt;&gt;"",EDATE($D145,Milestones!$AA$187)&gt;=$T145),$W145,IF(AND($S145&lt;&gt;"",EDATE($D145,Milestones!$AA$187)&gt;=$S145),$V145,$U145)))=Milestones!$AB$187),UPPER(TEXT(EDATE($D145,Milestones!$AA$187),"dd mmm yy"))&amp;" "&amp;Milestones!$AB$187&amp;" "&amp;Milestones!$AC$187&amp;";  ","")&amp;IF(AND(EDATE($D145,Milestones!$AA$188)&lt;=AsOfDate,IF($R145=0,$X145,IF(AND($T145&lt;&gt;"",EDATE($D145,Milestones!$AA$188)&gt;=$T145),$W145,IF(AND($S145&lt;&gt;"",EDATE($D145,Milestones!$AA$188)&gt;=$S145),$V145,$U145)))=Milestones!$AB$188),UPPER(TEXT(EDATE($D145,Milestones!$AA$188),"dd mmm yy"))&amp;" "&amp;Milestones!$AB$188&amp;" "&amp;Milestones!$AC$188&amp;";  ","")&amp;IF(AND(EDATE($D145,Milestones!$AA$189)&lt;=AsOfDate,IF($R145=0,$X145,IF(AND($T145&lt;&gt;"",EDATE($D145,Milestones!$AA$189)&gt;=$T145),$W145,IF(AND($S145&lt;&gt;"",EDATE($D145,Milestones!$AA$189)&gt;=$S145),$V145,$U145)))=Milestones!$AB$189),UPPER(TEXT(EDATE($D145,Milestones!$AA$189),"dd mmm yy"))&amp;" "&amp;Milestones!$AB$189&amp;" "&amp;Milestones!$AC$189&amp;";  ","")&amp;IF(AND(EDATE($D145,Milestones!$AA$190)&lt;=AsOfDate,IF($R145=0,$X145,IF(AND($T145&lt;&gt;"",EDATE($D145,Milestones!$AA$190)&gt;=$T145),$W145,IF(AND($S145&lt;&gt;"",EDATE($D145,Milestones!$AA$190)&gt;=$S145),$V145,$U145)))=Milestones!$AB$190),UPPER(TEXT(EDATE($D145,Milestones!$AA$190),"dd mmm yy"))&amp;" "&amp;Milestones!$AB$190&amp;" "&amp;Milestones!$AC$190&amp;";  ","")&amp;IF(AND(EDATE($D145,Milestones!$AA$191)&lt;=AsOfDate,IF($R145=0,$X145,IF(AND($T145&lt;&gt;"",EDATE($D145,Milestones!$AA$191)&gt;=$T145),$W145,IF(AND($S145&lt;&gt;"",EDATE($D145,Milestones!$AA$191)&gt;=$S145),$V145,$U145)))=Milestones!$AB$191),UPPER(TEXT(EDATE($D145,Milestones!$AA$191),"dd mmm yy"))&amp;" "&amp;Milestones!$AB$191&amp;" "&amp;Milestones!$AC$191&amp;";  ","")&amp;IF(AND(EDATE($D145,Milestones!$AA$192)&lt;=AsOfDate,IF($R145=0,$X145,IF(AND($T145&lt;&gt;"",EDATE($D145,Milestones!$AA$192)&gt;=$T145),$W145,IF(AND($S145&lt;&gt;"",EDATE($D145,Milestones!$AA$192)&gt;=$S145),$V145,$U145)))=Milestones!$AB$192),UPPER(TEXT(EDATE($D145,Milestones!$AA$192),"dd mmm yy"))&amp;" "&amp;Milestones!$AB$192&amp;" "&amp;Milestones!$AC$192&amp;";  ","")&amp;IF(AND(EDATE($D145,Milestones!$AA$193)&lt;=AsOfDate,IF($R145=0,$X145,IF(AND($T145&lt;&gt;"",EDATE($D145,Milestones!$AA$193)&gt;=$T145),$W145,IF(AND($S145&lt;&gt;"",EDATE($D145,Milestones!$AA$193)&gt;=$S145),$V145,$U145)))=Milestones!$AB$193),UPPER(TEXT(EDATE($D145,Milestones!$AA$193),"dd mmm yy"))&amp;" "&amp;Milestones!$AB$193&amp;" "&amp;Milestones!$AC$193&amp;";  ","")&amp;IF(AND(EDATE($D145,Milestones!$AA$194)&lt;=AsOfDate,IF($R145=0,$X145,IF(AND($T145&lt;&gt;"",EDATE($D145,Milestones!$AA$194)&gt;=$T145),$W145,IF(AND($S145&lt;&gt;"",EDATE($D145,Milestones!$AA$194)&gt;=$S145),$V145,$U145)))=Milestones!$AB$194),UPPER(TEXT(EDATE($D145,Milestones!$AA$194),"dd mmm yy"))&amp;" "&amp;Milestones!$AB$194&amp;" "&amp;Milestones!$AC$194&amp;";  ","")&amp;IF(AND(EDATE($D145,Milestones!$AA$195)&lt;=AsOfDate,IF($R145=0,$X145,IF(AND($T145&lt;&gt;"",EDATE($D145,Milestones!$AA$195)&gt;=$T145),$W145,IF(AND($S145&lt;&gt;"",EDATE($D145,Milestones!$AA$195)&gt;=$S145),$V145,$U145)))=Milestones!$AB$195),UPPER(TEXT(EDATE($D145,Milestones!$AA$195),"dd mmm yy"))&amp;" "&amp;Milestones!$AB$195&amp;" "&amp;Milestones!$AC$195&amp;";  ","")&amp;IF(AND(EDATE($D145,Milestones!$AA$196)&lt;=AsOfDate,IF($R145=0,$X145,IF(AND($T145&lt;&gt;"",EDATE($D145,Milestones!$AA$196)&gt;=$T145),$W145,IF(AND($S145&lt;&gt;"",EDATE($D145,Milestones!$AA$196)&gt;=$S145),$V145,$U145)))=Milestones!$AB$196),UPPER(TEXT(EDATE($D145,Milestones!$AA$196),"dd mmm yy"))&amp;" "&amp;Milestones!$AB$196&amp;" "&amp;Milestones!$AC$196&amp;";  ","")&amp;IF(AND(EDATE($D145,Milestones!$AA$197)&lt;=AsOfDate,IF($R145=0,$X145,IF(AND($T145&lt;&gt;"",EDATE($D145,Milestones!$AA$197)&gt;=$T145),$W145,IF(AND($S145&lt;&gt;"",EDATE($D145,Milestones!$AA$197)&gt;=$S145),$V145,$U145)))=Milestones!$AB$197),UPPER(TEXT(EDATE($D145,Milestones!$AA$197),"dd mmm yy"))&amp;" "&amp;Milestones!$AB$197&amp;" "&amp;Milestones!$AC$197&amp;";  ","")&amp;IF(AND(EDATE($D145,Milestones!$AA$198)&lt;=AsOfDate,IF($R145=0,$X145,IF(AND($T145&lt;&gt;"",EDATE($D145,Milestones!$AA$198)&gt;=$T145),$W145,IF(AND($S145&lt;&gt;"",EDATE($D145,Milestones!$AA$198)&gt;=$S145),$V145,$U145)))=Milestones!$AB$198),UPPER(TEXT(EDATE($D145,Milestones!$AA$198),"dd mmm yy"))&amp;" "&amp;Milestones!$AB$198&amp;" "&amp;Milestones!$AC$198&amp;";  ","")&amp;IF(AND(EDATE($D145,Milestones!$AA$199)&lt;=AsOfDate,IF($R145=0,$X145,IF(AND($T145&lt;&gt;"",EDATE($D145,Milestones!$AA$199)&gt;=$T145),$W145,IF(AND($S145&lt;&gt;"",EDATE($D145,Milestones!$AA$199)&gt;=$S145),$V145,$U145)))=Milestones!$AB$199),UPPER(TEXT(EDATE($D145,Milestones!$AA$199),"dd mmm yy"))&amp;" "&amp;Milestones!$AB$199&amp;" "&amp;Milestones!$AC$199&amp;";  ",""))</f>
        <v/>
      </c>
      <c r="R145" s="0" t="str">
        <f aca="false">IF(Staff!$A145="","",Staff!$AI145)</f>
        <v/>
      </c>
      <c r="S145" s="0" t="str">
        <f aca="false">IF(Staff!$A145="","",Staff!$AK145)</f>
        <v/>
      </c>
      <c r="T145" s="0" t="str">
        <f aca="false">IF(Staff!$A145="","",Staff!$AL145)</f>
        <v/>
      </c>
      <c r="U145" s="0" t="str">
        <f aca="false">IF(Staff!$A145="","",Staff!$AP145)</f>
        <v/>
      </c>
      <c r="V145" s="0" t="str">
        <f aca="false">IF(Staff!$A145="","",Staff!$AQ145)</f>
        <v/>
      </c>
      <c r="W145" s="0" t="str">
        <f aca="false">IF(Staff!$A145="","",Staff!$AR145)</f>
        <v/>
      </c>
      <c r="X145" s="0" t="str">
        <f aca="false">IF(Staff!$A145="","",Staff!$AS145)</f>
        <v/>
      </c>
    </row>
    <row r="146" customFormat="false" ht="15" hidden="false" customHeight="false" outlineLevel="0" collapsed="false">
      <c r="A146" s="19" t="str">
        <f aca="false">IF(Staff!$A146="","",Staff!$A146)</f>
        <v/>
      </c>
      <c r="B146" s="19" t="str">
        <f aca="false">IF(Staff!$A146="","",Staff!$B146)</f>
        <v/>
      </c>
      <c r="C146" s="19" t="str">
        <f aca="false">IF(Staff!$A146="","",Staff!$C146)</f>
        <v/>
      </c>
      <c r="D146" s="17" t="str">
        <f aca="false">IF(Staff!$A146="","",Staff!$AH146)</f>
        <v/>
      </c>
      <c r="E146" s="19" t="str">
        <f aca="false">IF(Staff!$A146="","",Staff!$O146)</f>
        <v/>
      </c>
      <c r="F146" s="19" t="str">
        <f aca="false">IF(E146="","",E146*HoursPerDay)</f>
        <v/>
      </c>
      <c r="G146" s="19" t="str">
        <f aca="false">IF(Staff!$A146="","",Staff!$AE146)</f>
        <v/>
      </c>
      <c r="H146" s="32" t="str">
        <f aca="false">IF($A146="","",I146&amp;J146&amp;K146&amp;L146&amp;M146&amp;N146&amp;O146&amp;P146&amp;Q146)</f>
        <v/>
      </c>
      <c r="I146" s="0" t="str">
        <f aca="false">IF(OR($A146="",$D146=""),"",IF(AND(EDATE($D146,Milestones!$AA$20)&lt;=AsOfDate,IF($R146=0,$X146,IF(AND($T146&lt;&gt;"",EDATE($D146,Milestones!$AA$20)&gt;=$T146),$W146,IF(AND($S146&lt;&gt;"",EDATE($D146,Milestones!$AA$20)&gt;=$S146),$V146,$U146)))=Milestones!$AB$20),UPPER(TEXT(EDATE($D146,Milestones!$AA$20),"dd mmm yy"))&amp;" "&amp;Milestones!$AB$20&amp;" "&amp;Milestones!$AC$20&amp;";  ","")&amp;IF(AND(EDATE($D146,Milestones!$AA$21)&lt;=AsOfDate,IF($R146=0,$X146,IF(AND($T146&lt;&gt;"",EDATE($D146,Milestones!$AA$21)&gt;=$T146),$W146,IF(AND($S146&lt;&gt;"",EDATE($D146,Milestones!$AA$21)&gt;=$S146),$V146,$U146)))=Milestones!$AB$21),UPPER(TEXT(EDATE($D146,Milestones!$AA$21),"dd mmm yy"))&amp;" "&amp;Milestones!$AB$21&amp;" "&amp;Milestones!$AC$21&amp;";  ","")&amp;IF(AND(EDATE($D146,Milestones!$AA$22)&lt;=AsOfDate,IF($R146=0,$X146,IF(AND($T146&lt;&gt;"",EDATE($D146,Milestones!$AA$22)&gt;=$T146),$W146,IF(AND($S146&lt;&gt;"",EDATE($D146,Milestones!$AA$22)&gt;=$S146),$V146,$U146)))=Milestones!$AB$22),UPPER(TEXT(EDATE($D146,Milestones!$AA$22),"dd mmm yy"))&amp;" "&amp;Milestones!$AB$22&amp;" "&amp;Milestones!$AC$22&amp;";  ","")&amp;IF(AND(EDATE($D146,Milestones!$AA$23)&lt;=AsOfDate,IF($R146=0,$X146,IF(AND($T146&lt;&gt;"",EDATE($D146,Milestones!$AA$23)&gt;=$T146),$W146,IF(AND($S146&lt;&gt;"",EDATE($D146,Milestones!$AA$23)&gt;=$S146),$V146,$U146)))=Milestones!$AB$23),UPPER(TEXT(EDATE($D146,Milestones!$AA$23),"dd mmm yy"))&amp;" "&amp;Milestones!$AB$23&amp;" "&amp;Milestones!$AC$23&amp;";  ","")&amp;IF(AND(EDATE($D146,Milestones!$AA$24)&lt;=AsOfDate,IF($R146=0,$X146,IF(AND($T146&lt;&gt;"",EDATE($D146,Milestones!$AA$24)&gt;=$T146),$W146,IF(AND($S146&lt;&gt;"",EDATE($D146,Milestones!$AA$24)&gt;=$S146),$V146,$U146)))=Milestones!$AB$24),UPPER(TEXT(EDATE($D146,Milestones!$AA$24),"dd mmm yy"))&amp;" "&amp;Milestones!$AB$24&amp;" "&amp;Milestones!$AC$24&amp;";  ","")&amp;IF(AND(EDATE($D146,Milestones!$AA$25)&lt;=AsOfDate,IF($R146=0,$X146,IF(AND($T146&lt;&gt;"",EDATE($D146,Milestones!$AA$25)&gt;=$T146),$W146,IF(AND($S146&lt;&gt;"",EDATE($D146,Milestones!$AA$25)&gt;=$S146),$V146,$U146)))=Milestones!$AB$25),UPPER(TEXT(EDATE($D146,Milestones!$AA$25),"dd mmm yy"))&amp;" "&amp;Milestones!$AB$25&amp;" "&amp;Milestones!$AC$25&amp;";  ","")&amp;IF(AND(EDATE($D146,Milestones!$AA$26)&lt;=AsOfDate,IF($R146=0,$X146,IF(AND($T146&lt;&gt;"",EDATE($D146,Milestones!$AA$26)&gt;=$T146),$W146,IF(AND($S146&lt;&gt;"",EDATE($D146,Milestones!$AA$26)&gt;=$S146),$V146,$U146)))=Milestones!$AB$26),UPPER(TEXT(EDATE($D146,Milestones!$AA$26),"dd mmm yy"))&amp;" "&amp;Milestones!$AB$26&amp;" "&amp;Milestones!$AC$26&amp;";  ","")&amp;IF(AND(EDATE($D146,Milestones!$AA$27)&lt;=AsOfDate,IF($R146=0,$X146,IF(AND($T146&lt;&gt;"",EDATE($D146,Milestones!$AA$27)&gt;=$T146),$W146,IF(AND($S146&lt;&gt;"",EDATE($D146,Milestones!$AA$27)&gt;=$S146),$V146,$U146)))=Milestones!$AB$27),UPPER(TEXT(EDATE($D146,Milestones!$AA$27),"dd mmm yy"))&amp;" "&amp;Milestones!$AB$27&amp;" "&amp;Milestones!$AC$27&amp;";  ","")&amp;IF(AND(EDATE($D146,Milestones!$AA$28)&lt;=AsOfDate,IF($R146=0,$X146,IF(AND($T146&lt;&gt;"",EDATE($D146,Milestones!$AA$28)&gt;=$T146),$W146,IF(AND($S146&lt;&gt;"",EDATE($D146,Milestones!$AA$28)&gt;=$S146),$V146,$U146)))=Milestones!$AB$28),UPPER(TEXT(EDATE($D146,Milestones!$AA$28),"dd mmm yy"))&amp;" "&amp;Milestones!$AB$28&amp;" "&amp;Milestones!$AC$28&amp;";  ","")&amp;IF(AND(EDATE($D146,Milestones!$AA$29)&lt;=AsOfDate,IF($R146=0,$X146,IF(AND($T146&lt;&gt;"",EDATE($D146,Milestones!$AA$29)&gt;=$T146),$W146,IF(AND($S146&lt;&gt;"",EDATE($D146,Milestones!$AA$29)&gt;=$S146),$V146,$U146)))=Milestones!$AB$29),UPPER(TEXT(EDATE($D146,Milestones!$AA$29),"dd mmm yy"))&amp;" "&amp;Milestones!$AB$29&amp;" "&amp;Milestones!$AC$29&amp;";  ","")&amp;IF(AND(EDATE($D146,Milestones!$AA$30)&lt;=AsOfDate,IF($R146=0,$X146,IF(AND($T146&lt;&gt;"",EDATE($D146,Milestones!$AA$30)&gt;=$T146),$W146,IF(AND($S146&lt;&gt;"",EDATE($D146,Milestones!$AA$30)&gt;=$S146),$V146,$U146)))=Milestones!$AB$30),UPPER(TEXT(EDATE($D146,Milestones!$AA$30),"dd mmm yy"))&amp;" "&amp;Milestones!$AB$30&amp;" "&amp;Milestones!$AC$30&amp;";  ","")&amp;IF(AND(EDATE($D146,Milestones!$AA$31)&lt;=AsOfDate,IF($R146=0,$X146,IF(AND($T146&lt;&gt;"",EDATE($D146,Milestones!$AA$31)&gt;=$T146),$W146,IF(AND($S146&lt;&gt;"",EDATE($D146,Milestones!$AA$31)&gt;=$S146),$V146,$U146)))=Milestones!$AB$31),UPPER(TEXT(EDATE($D146,Milestones!$AA$31),"dd mmm yy"))&amp;" "&amp;Milestones!$AB$31&amp;" "&amp;Milestones!$AC$31&amp;";  ","")&amp;IF(AND(EDATE($D146,Milestones!$AA$32)&lt;=AsOfDate,IF($R146=0,$X146,IF(AND($T146&lt;&gt;"",EDATE($D146,Milestones!$AA$32)&gt;=$T146),$W146,IF(AND($S146&lt;&gt;"",EDATE($D146,Milestones!$AA$32)&gt;=$S146),$V146,$U146)))=Milestones!$AB$32),UPPER(TEXT(EDATE($D146,Milestones!$AA$32),"dd mmm yy"))&amp;" "&amp;Milestones!$AB$32&amp;" "&amp;Milestones!$AC$32&amp;";  ","")&amp;IF(AND(EDATE($D146,Milestones!$AA$33)&lt;=AsOfDate,IF($R146=0,$X146,IF(AND($T146&lt;&gt;"",EDATE($D146,Milestones!$AA$33)&gt;=$T146),$W146,IF(AND($S146&lt;&gt;"",EDATE($D146,Milestones!$AA$33)&gt;=$S146),$V146,$U146)))=Milestones!$AB$33),UPPER(TEXT(EDATE($D146,Milestones!$AA$33),"dd mmm yy"))&amp;" "&amp;Milestones!$AB$33&amp;" "&amp;Milestones!$AC$33&amp;";  ","")&amp;IF(AND(EDATE($D146,Milestones!$AA$34)&lt;=AsOfDate,IF($R146=0,$X146,IF(AND($T146&lt;&gt;"",EDATE($D146,Milestones!$AA$34)&gt;=$T146),$W146,IF(AND($S146&lt;&gt;"",EDATE($D146,Milestones!$AA$34)&gt;=$S146),$V146,$U146)))=Milestones!$AB$34),UPPER(TEXT(EDATE($D146,Milestones!$AA$34),"dd mmm yy"))&amp;" "&amp;Milestones!$AB$34&amp;" "&amp;Milestones!$AC$34&amp;";  ","")&amp;IF(AND(EDATE($D146,Milestones!$AA$35)&lt;=AsOfDate,IF($R146=0,$X146,IF(AND($T146&lt;&gt;"",EDATE($D146,Milestones!$AA$35)&gt;=$T146),$W146,IF(AND($S146&lt;&gt;"",EDATE($D146,Milestones!$AA$35)&gt;=$S146),$V146,$U146)))=Milestones!$AB$35),UPPER(TEXT(EDATE($D146,Milestones!$AA$35),"dd mmm yy"))&amp;" "&amp;Milestones!$AB$35&amp;" "&amp;Milestones!$AC$35&amp;";  ","")&amp;IF(AND(EDATE($D146,Milestones!$AA$36)&lt;=AsOfDate,IF($R146=0,$X146,IF(AND($T146&lt;&gt;"",EDATE($D146,Milestones!$AA$36)&gt;=$T146),$W146,IF(AND($S146&lt;&gt;"",EDATE($D146,Milestones!$AA$36)&gt;=$S146),$V146,$U146)))=Milestones!$AB$36),UPPER(TEXT(EDATE($D146,Milestones!$AA$36),"dd mmm yy"))&amp;" "&amp;Milestones!$AB$36&amp;" "&amp;Milestones!$AC$36&amp;";  ","")&amp;IF(AND(EDATE($D146,Milestones!$AA$37)&lt;=AsOfDate,IF($R146=0,$X146,IF(AND($T146&lt;&gt;"",EDATE($D146,Milestones!$AA$37)&gt;=$T146),$W146,IF(AND($S146&lt;&gt;"",EDATE($D146,Milestones!$AA$37)&gt;=$S146),$V146,$U146)))=Milestones!$AB$37),UPPER(TEXT(EDATE($D146,Milestones!$AA$37),"dd mmm yy"))&amp;" "&amp;Milestones!$AB$37&amp;" "&amp;Milestones!$AC$37&amp;";  ","")&amp;IF(AND(EDATE($D146,Milestones!$AA$38)&lt;=AsOfDate,IF($R146=0,$X146,IF(AND($T146&lt;&gt;"",EDATE($D146,Milestones!$AA$38)&gt;=$T146),$W146,IF(AND($S146&lt;&gt;"",EDATE($D146,Milestones!$AA$38)&gt;=$S146),$V146,$U146)))=Milestones!$AB$38),UPPER(TEXT(EDATE($D146,Milestones!$AA$38),"dd mmm yy"))&amp;" "&amp;Milestones!$AB$38&amp;" "&amp;Milestones!$AC$38&amp;";  ","")&amp;IF(AND(EDATE($D146,Milestones!$AA$39)&lt;=AsOfDate,IF($R146=0,$X146,IF(AND($T146&lt;&gt;"",EDATE($D146,Milestones!$AA$39)&gt;=$T146),$W146,IF(AND($S146&lt;&gt;"",EDATE($D146,Milestones!$AA$39)&gt;=$S146),$V146,$U146)))=Milestones!$AB$39),UPPER(TEXT(EDATE($D146,Milestones!$AA$39),"dd mmm yy"))&amp;" "&amp;Milestones!$AB$39&amp;" "&amp;Milestones!$AC$39&amp;";  ",""))</f>
        <v/>
      </c>
      <c r="J146" s="0" t="str">
        <f aca="false">IF(OR($A146="",$D146=""),"",IF(AND(EDATE($D146,Milestones!$AA$40)&lt;=AsOfDate,IF($R146=0,$X146,IF(AND($T146&lt;&gt;"",EDATE($D146,Milestones!$AA$40)&gt;=$T146),$W146,IF(AND($S146&lt;&gt;"",EDATE($D146,Milestones!$AA$40)&gt;=$S146),$V146,$U146)))=Milestones!$AB$40),UPPER(TEXT(EDATE($D146,Milestones!$AA$40),"dd mmm yy"))&amp;" "&amp;Milestones!$AB$40&amp;" "&amp;Milestones!$AC$40&amp;";  ","")&amp;IF(AND(EDATE($D146,Milestones!$AA$41)&lt;=AsOfDate,IF($R146=0,$X146,IF(AND($T146&lt;&gt;"",EDATE($D146,Milestones!$AA$41)&gt;=$T146),$W146,IF(AND($S146&lt;&gt;"",EDATE($D146,Milestones!$AA$41)&gt;=$S146),$V146,$U146)))=Milestones!$AB$41),UPPER(TEXT(EDATE($D146,Milestones!$AA$41),"dd mmm yy"))&amp;" "&amp;Milestones!$AB$41&amp;" "&amp;Milestones!$AC$41&amp;";  ","")&amp;IF(AND(EDATE($D146,Milestones!$AA$42)&lt;=AsOfDate,IF($R146=0,$X146,IF(AND($T146&lt;&gt;"",EDATE($D146,Milestones!$AA$42)&gt;=$T146),$W146,IF(AND($S146&lt;&gt;"",EDATE($D146,Milestones!$AA$42)&gt;=$S146),$V146,$U146)))=Milestones!$AB$42),UPPER(TEXT(EDATE($D146,Milestones!$AA$42),"dd mmm yy"))&amp;" "&amp;Milestones!$AB$42&amp;" "&amp;Milestones!$AC$42&amp;";  ","")&amp;IF(AND(EDATE($D146,Milestones!$AA$43)&lt;=AsOfDate,IF($R146=0,$X146,IF(AND($T146&lt;&gt;"",EDATE($D146,Milestones!$AA$43)&gt;=$T146),$W146,IF(AND($S146&lt;&gt;"",EDATE($D146,Milestones!$AA$43)&gt;=$S146),$V146,$U146)))=Milestones!$AB$43),UPPER(TEXT(EDATE($D146,Milestones!$AA$43),"dd mmm yy"))&amp;" "&amp;Milestones!$AB$43&amp;" "&amp;Milestones!$AC$43&amp;";  ","")&amp;IF(AND(EDATE($D146,Milestones!$AA$44)&lt;=AsOfDate,IF($R146=0,$X146,IF(AND($T146&lt;&gt;"",EDATE($D146,Milestones!$AA$44)&gt;=$T146),$W146,IF(AND($S146&lt;&gt;"",EDATE($D146,Milestones!$AA$44)&gt;=$S146),$V146,$U146)))=Milestones!$AB$44),UPPER(TEXT(EDATE($D146,Milestones!$AA$44),"dd mmm yy"))&amp;" "&amp;Milestones!$AB$44&amp;" "&amp;Milestones!$AC$44&amp;";  ","")&amp;IF(AND(EDATE($D146,Milestones!$AA$45)&lt;=AsOfDate,IF($R146=0,$X146,IF(AND($T146&lt;&gt;"",EDATE($D146,Milestones!$AA$45)&gt;=$T146),$W146,IF(AND($S146&lt;&gt;"",EDATE($D146,Milestones!$AA$45)&gt;=$S146),$V146,$U146)))=Milestones!$AB$45),UPPER(TEXT(EDATE($D146,Milestones!$AA$45),"dd mmm yy"))&amp;" "&amp;Milestones!$AB$45&amp;" "&amp;Milestones!$AC$45&amp;";  ","")&amp;IF(AND(EDATE($D146,Milestones!$AA$46)&lt;=AsOfDate,IF($R146=0,$X146,IF(AND($T146&lt;&gt;"",EDATE($D146,Milestones!$AA$46)&gt;=$T146),$W146,IF(AND($S146&lt;&gt;"",EDATE($D146,Milestones!$AA$46)&gt;=$S146),$V146,$U146)))=Milestones!$AB$46),UPPER(TEXT(EDATE($D146,Milestones!$AA$46),"dd mmm yy"))&amp;" "&amp;Milestones!$AB$46&amp;" "&amp;Milestones!$AC$46&amp;";  ","")&amp;IF(AND(EDATE($D146,Milestones!$AA$47)&lt;=AsOfDate,IF($R146=0,$X146,IF(AND($T146&lt;&gt;"",EDATE($D146,Milestones!$AA$47)&gt;=$T146),$W146,IF(AND($S146&lt;&gt;"",EDATE($D146,Milestones!$AA$47)&gt;=$S146),$V146,$U146)))=Milestones!$AB$47),UPPER(TEXT(EDATE($D146,Milestones!$AA$47),"dd mmm yy"))&amp;" "&amp;Milestones!$AB$47&amp;" "&amp;Milestones!$AC$47&amp;";  ","")&amp;IF(AND(EDATE($D146,Milestones!$AA$48)&lt;=AsOfDate,IF($R146=0,$X146,IF(AND($T146&lt;&gt;"",EDATE($D146,Milestones!$AA$48)&gt;=$T146),$W146,IF(AND($S146&lt;&gt;"",EDATE($D146,Milestones!$AA$48)&gt;=$S146),$V146,$U146)))=Milestones!$AB$48),UPPER(TEXT(EDATE($D146,Milestones!$AA$48),"dd mmm yy"))&amp;" "&amp;Milestones!$AB$48&amp;" "&amp;Milestones!$AC$48&amp;";  ","")&amp;IF(AND(EDATE($D146,Milestones!$AA$49)&lt;=AsOfDate,IF($R146=0,$X146,IF(AND($T146&lt;&gt;"",EDATE($D146,Milestones!$AA$49)&gt;=$T146),$W146,IF(AND($S146&lt;&gt;"",EDATE($D146,Milestones!$AA$49)&gt;=$S146),$V146,$U146)))=Milestones!$AB$49),UPPER(TEXT(EDATE($D146,Milestones!$AA$49),"dd mmm yy"))&amp;" "&amp;Milestones!$AB$49&amp;" "&amp;Milestones!$AC$49&amp;";  ","")&amp;IF(AND(EDATE($D146,Milestones!$AA$50)&lt;=AsOfDate,IF($R146=0,$X146,IF(AND($T146&lt;&gt;"",EDATE($D146,Milestones!$AA$50)&gt;=$T146),$W146,IF(AND($S146&lt;&gt;"",EDATE($D146,Milestones!$AA$50)&gt;=$S146),$V146,$U146)))=Milestones!$AB$50),UPPER(TEXT(EDATE($D146,Milestones!$AA$50),"dd mmm yy"))&amp;" "&amp;Milestones!$AB$50&amp;" "&amp;Milestones!$AC$50&amp;";  ","")&amp;IF(AND(EDATE($D146,Milestones!$AA$51)&lt;=AsOfDate,IF($R146=0,$X146,IF(AND($T146&lt;&gt;"",EDATE($D146,Milestones!$AA$51)&gt;=$T146),$W146,IF(AND($S146&lt;&gt;"",EDATE($D146,Milestones!$AA$51)&gt;=$S146),$V146,$U146)))=Milestones!$AB$51),UPPER(TEXT(EDATE($D146,Milestones!$AA$51),"dd mmm yy"))&amp;" "&amp;Milestones!$AB$51&amp;" "&amp;Milestones!$AC$51&amp;";  ","")&amp;IF(AND(EDATE($D146,Milestones!$AA$52)&lt;=AsOfDate,IF($R146=0,$X146,IF(AND($T146&lt;&gt;"",EDATE($D146,Milestones!$AA$52)&gt;=$T146),$W146,IF(AND($S146&lt;&gt;"",EDATE($D146,Milestones!$AA$52)&gt;=$S146),$V146,$U146)))=Milestones!$AB$52),UPPER(TEXT(EDATE($D146,Milestones!$AA$52),"dd mmm yy"))&amp;" "&amp;Milestones!$AB$52&amp;" "&amp;Milestones!$AC$52&amp;";  ","")&amp;IF(AND(EDATE($D146,Milestones!$AA$53)&lt;=AsOfDate,IF($R146=0,$X146,IF(AND($T146&lt;&gt;"",EDATE($D146,Milestones!$AA$53)&gt;=$T146),$W146,IF(AND($S146&lt;&gt;"",EDATE($D146,Milestones!$AA$53)&gt;=$S146),$V146,$U146)))=Milestones!$AB$53),UPPER(TEXT(EDATE($D146,Milestones!$AA$53),"dd mmm yy"))&amp;" "&amp;Milestones!$AB$53&amp;" "&amp;Milestones!$AC$53&amp;";  ","")&amp;IF(AND(EDATE($D146,Milestones!$AA$54)&lt;=AsOfDate,IF($R146=0,$X146,IF(AND($T146&lt;&gt;"",EDATE($D146,Milestones!$AA$54)&gt;=$T146),$W146,IF(AND($S146&lt;&gt;"",EDATE($D146,Milestones!$AA$54)&gt;=$S146),$V146,$U146)))=Milestones!$AB$54),UPPER(TEXT(EDATE($D146,Milestones!$AA$54),"dd mmm yy"))&amp;" "&amp;Milestones!$AB$54&amp;" "&amp;Milestones!$AC$54&amp;";  ","")&amp;IF(AND(EDATE($D146,Milestones!$AA$55)&lt;=AsOfDate,IF($R146=0,$X146,IF(AND($T146&lt;&gt;"",EDATE($D146,Milestones!$AA$55)&gt;=$T146),$W146,IF(AND($S146&lt;&gt;"",EDATE($D146,Milestones!$AA$55)&gt;=$S146),$V146,$U146)))=Milestones!$AB$55),UPPER(TEXT(EDATE($D146,Milestones!$AA$55),"dd mmm yy"))&amp;" "&amp;Milestones!$AB$55&amp;" "&amp;Milestones!$AC$55&amp;";  ","")&amp;IF(AND(EDATE($D146,Milestones!$AA$56)&lt;=AsOfDate,IF($R146=0,$X146,IF(AND($T146&lt;&gt;"",EDATE($D146,Milestones!$AA$56)&gt;=$T146),$W146,IF(AND($S146&lt;&gt;"",EDATE($D146,Milestones!$AA$56)&gt;=$S146),$V146,$U146)))=Milestones!$AB$56),UPPER(TEXT(EDATE($D146,Milestones!$AA$56),"dd mmm yy"))&amp;" "&amp;Milestones!$AB$56&amp;" "&amp;Milestones!$AC$56&amp;";  ","")&amp;IF(AND(EDATE($D146,Milestones!$AA$57)&lt;=AsOfDate,IF($R146=0,$X146,IF(AND($T146&lt;&gt;"",EDATE($D146,Milestones!$AA$57)&gt;=$T146),$W146,IF(AND($S146&lt;&gt;"",EDATE($D146,Milestones!$AA$57)&gt;=$S146),$V146,$U146)))=Milestones!$AB$57),UPPER(TEXT(EDATE($D146,Milestones!$AA$57),"dd mmm yy"))&amp;" "&amp;Milestones!$AB$57&amp;" "&amp;Milestones!$AC$57&amp;";  ","")&amp;IF(AND(EDATE($D146,Milestones!$AA$58)&lt;=AsOfDate,IF($R146=0,$X146,IF(AND($T146&lt;&gt;"",EDATE($D146,Milestones!$AA$58)&gt;=$T146),$W146,IF(AND($S146&lt;&gt;"",EDATE($D146,Milestones!$AA$58)&gt;=$S146),$V146,$U146)))=Milestones!$AB$58),UPPER(TEXT(EDATE($D146,Milestones!$AA$58),"dd mmm yy"))&amp;" "&amp;Milestones!$AB$58&amp;" "&amp;Milestones!$AC$58&amp;";  ","")&amp;IF(AND(EDATE($D146,Milestones!$AA$59)&lt;=AsOfDate,IF($R146=0,$X146,IF(AND($T146&lt;&gt;"",EDATE($D146,Milestones!$AA$59)&gt;=$T146),$W146,IF(AND($S146&lt;&gt;"",EDATE($D146,Milestones!$AA$59)&gt;=$S146),$V146,$U146)))=Milestones!$AB$59),UPPER(TEXT(EDATE($D146,Milestones!$AA$59),"dd mmm yy"))&amp;" "&amp;Milestones!$AB$59&amp;" "&amp;Milestones!$AC$59&amp;";  ",""))</f>
        <v/>
      </c>
      <c r="K146" s="0" t="str">
        <f aca="false">IF(OR($A146="",$D146=""),"",IF(AND(EDATE($D146,Milestones!$AA$60)&lt;=AsOfDate,IF($R146=0,$X146,IF(AND($T146&lt;&gt;"",EDATE($D146,Milestones!$AA$60)&gt;=$T146),$W146,IF(AND($S146&lt;&gt;"",EDATE($D146,Milestones!$AA$60)&gt;=$S146),$V146,$U146)))=Milestones!$AB$60),UPPER(TEXT(EDATE($D146,Milestones!$AA$60),"dd mmm yy"))&amp;" "&amp;Milestones!$AB$60&amp;" "&amp;Milestones!$AC$60&amp;";  ","")&amp;IF(AND(EDATE($D146,Milestones!$AA$61)&lt;=AsOfDate,IF($R146=0,$X146,IF(AND($T146&lt;&gt;"",EDATE($D146,Milestones!$AA$61)&gt;=$T146),$W146,IF(AND($S146&lt;&gt;"",EDATE($D146,Milestones!$AA$61)&gt;=$S146),$V146,$U146)))=Milestones!$AB$61),UPPER(TEXT(EDATE($D146,Milestones!$AA$61),"dd mmm yy"))&amp;" "&amp;Milestones!$AB$61&amp;" "&amp;Milestones!$AC$61&amp;";  ","")&amp;IF(AND(EDATE($D146,Milestones!$AA$62)&lt;=AsOfDate,IF($R146=0,$X146,IF(AND($T146&lt;&gt;"",EDATE($D146,Milestones!$AA$62)&gt;=$T146),$W146,IF(AND($S146&lt;&gt;"",EDATE($D146,Milestones!$AA$62)&gt;=$S146),$V146,$U146)))=Milestones!$AB$62),UPPER(TEXT(EDATE($D146,Milestones!$AA$62),"dd mmm yy"))&amp;" "&amp;Milestones!$AB$62&amp;" "&amp;Milestones!$AC$62&amp;";  ","")&amp;IF(AND(EDATE($D146,Milestones!$AA$63)&lt;=AsOfDate,IF($R146=0,$X146,IF(AND($T146&lt;&gt;"",EDATE($D146,Milestones!$AA$63)&gt;=$T146),$W146,IF(AND($S146&lt;&gt;"",EDATE($D146,Milestones!$AA$63)&gt;=$S146),$V146,$U146)))=Milestones!$AB$63),UPPER(TEXT(EDATE($D146,Milestones!$AA$63),"dd mmm yy"))&amp;" "&amp;Milestones!$AB$63&amp;" "&amp;Milestones!$AC$63&amp;";  ","")&amp;IF(AND(EDATE($D146,Milestones!$AA$64)&lt;=AsOfDate,IF($R146=0,$X146,IF(AND($T146&lt;&gt;"",EDATE($D146,Milestones!$AA$64)&gt;=$T146),$W146,IF(AND($S146&lt;&gt;"",EDATE($D146,Milestones!$AA$64)&gt;=$S146),$V146,$U146)))=Milestones!$AB$64),UPPER(TEXT(EDATE($D146,Milestones!$AA$64),"dd mmm yy"))&amp;" "&amp;Milestones!$AB$64&amp;" "&amp;Milestones!$AC$64&amp;";  ","")&amp;IF(AND(EDATE($D146,Milestones!$AA$65)&lt;=AsOfDate,IF($R146=0,$X146,IF(AND($T146&lt;&gt;"",EDATE($D146,Milestones!$AA$65)&gt;=$T146),$W146,IF(AND($S146&lt;&gt;"",EDATE($D146,Milestones!$AA$65)&gt;=$S146),$V146,$U146)))=Milestones!$AB$65),UPPER(TEXT(EDATE($D146,Milestones!$AA$65),"dd mmm yy"))&amp;" "&amp;Milestones!$AB$65&amp;" "&amp;Milestones!$AC$65&amp;";  ","")&amp;IF(AND(EDATE($D146,Milestones!$AA$66)&lt;=AsOfDate,IF($R146=0,$X146,IF(AND($T146&lt;&gt;"",EDATE($D146,Milestones!$AA$66)&gt;=$T146),$W146,IF(AND($S146&lt;&gt;"",EDATE($D146,Milestones!$AA$66)&gt;=$S146),$V146,$U146)))=Milestones!$AB$66),UPPER(TEXT(EDATE($D146,Milestones!$AA$66),"dd mmm yy"))&amp;" "&amp;Milestones!$AB$66&amp;" "&amp;Milestones!$AC$66&amp;";  ","")&amp;IF(AND(EDATE($D146,Milestones!$AA$67)&lt;=AsOfDate,IF($R146=0,$X146,IF(AND($T146&lt;&gt;"",EDATE($D146,Milestones!$AA$67)&gt;=$T146),$W146,IF(AND($S146&lt;&gt;"",EDATE($D146,Milestones!$AA$67)&gt;=$S146),$V146,$U146)))=Milestones!$AB$67),UPPER(TEXT(EDATE($D146,Milestones!$AA$67),"dd mmm yy"))&amp;" "&amp;Milestones!$AB$67&amp;" "&amp;Milestones!$AC$67&amp;";  ","")&amp;IF(AND(EDATE($D146,Milestones!$AA$68)&lt;=AsOfDate,IF($R146=0,$X146,IF(AND($T146&lt;&gt;"",EDATE($D146,Milestones!$AA$68)&gt;=$T146),$W146,IF(AND($S146&lt;&gt;"",EDATE($D146,Milestones!$AA$68)&gt;=$S146),$V146,$U146)))=Milestones!$AB$68),UPPER(TEXT(EDATE($D146,Milestones!$AA$68),"dd mmm yy"))&amp;" "&amp;Milestones!$AB$68&amp;" "&amp;Milestones!$AC$68&amp;";  ","")&amp;IF(AND(EDATE($D146,Milestones!$AA$69)&lt;=AsOfDate,IF($R146=0,$X146,IF(AND($T146&lt;&gt;"",EDATE($D146,Milestones!$AA$69)&gt;=$T146),$W146,IF(AND($S146&lt;&gt;"",EDATE($D146,Milestones!$AA$69)&gt;=$S146),$V146,$U146)))=Milestones!$AB$69),UPPER(TEXT(EDATE($D146,Milestones!$AA$69),"dd mmm yy"))&amp;" "&amp;Milestones!$AB$69&amp;" "&amp;Milestones!$AC$69&amp;";  ","")&amp;IF(AND(EDATE($D146,Milestones!$AA$70)&lt;=AsOfDate,IF($R146=0,$X146,IF(AND($T146&lt;&gt;"",EDATE($D146,Milestones!$AA$70)&gt;=$T146),$W146,IF(AND($S146&lt;&gt;"",EDATE($D146,Milestones!$AA$70)&gt;=$S146),$V146,$U146)))=Milestones!$AB$70),UPPER(TEXT(EDATE($D146,Milestones!$AA$70),"dd mmm yy"))&amp;" "&amp;Milestones!$AB$70&amp;" "&amp;Milestones!$AC$70&amp;";  ","")&amp;IF(AND(EDATE($D146,Milestones!$AA$71)&lt;=AsOfDate,IF($R146=0,$X146,IF(AND($T146&lt;&gt;"",EDATE($D146,Milestones!$AA$71)&gt;=$T146),$W146,IF(AND($S146&lt;&gt;"",EDATE($D146,Milestones!$AA$71)&gt;=$S146),$V146,$U146)))=Milestones!$AB$71),UPPER(TEXT(EDATE($D146,Milestones!$AA$71),"dd mmm yy"))&amp;" "&amp;Milestones!$AB$71&amp;" "&amp;Milestones!$AC$71&amp;";  ","")&amp;IF(AND(EDATE($D146,Milestones!$AA$72)&lt;=AsOfDate,IF($R146=0,$X146,IF(AND($T146&lt;&gt;"",EDATE($D146,Milestones!$AA$72)&gt;=$T146),$W146,IF(AND($S146&lt;&gt;"",EDATE($D146,Milestones!$AA$72)&gt;=$S146),$V146,$U146)))=Milestones!$AB$72),UPPER(TEXT(EDATE($D146,Milestones!$AA$72),"dd mmm yy"))&amp;" "&amp;Milestones!$AB$72&amp;" "&amp;Milestones!$AC$72&amp;";  ","")&amp;IF(AND(EDATE($D146,Milestones!$AA$73)&lt;=AsOfDate,IF($R146=0,$X146,IF(AND($T146&lt;&gt;"",EDATE($D146,Milestones!$AA$73)&gt;=$T146),$W146,IF(AND($S146&lt;&gt;"",EDATE($D146,Milestones!$AA$73)&gt;=$S146),$V146,$U146)))=Milestones!$AB$73),UPPER(TEXT(EDATE($D146,Milestones!$AA$73),"dd mmm yy"))&amp;" "&amp;Milestones!$AB$73&amp;" "&amp;Milestones!$AC$73&amp;";  ","")&amp;IF(AND(EDATE($D146,Milestones!$AA$74)&lt;=AsOfDate,IF($R146=0,$X146,IF(AND($T146&lt;&gt;"",EDATE($D146,Milestones!$AA$74)&gt;=$T146),$W146,IF(AND($S146&lt;&gt;"",EDATE($D146,Milestones!$AA$74)&gt;=$S146),$V146,$U146)))=Milestones!$AB$74),UPPER(TEXT(EDATE($D146,Milestones!$AA$74),"dd mmm yy"))&amp;" "&amp;Milestones!$AB$74&amp;" "&amp;Milestones!$AC$74&amp;";  ","")&amp;IF(AND(EDATE($D146,Milestones!$AA$75)&lt;=AsOfDate,IF($R146=0,$X146,IF(AND($T146&lt;&gt;"",EDATE($D146,Milestones!$AA$75)&gt;=$T146),$W146,IF(AND($S146&lt;&gt;"",EDATE($D146,Milestones!$AA$75)&gt;=$S146),$V146,$U146)))=Milestones!$AB$75),UPPER(TEXT(EDATE($D146,Milestones!$AA$75),"dd mmm yy"))&amp;" "&amp;Milestones!$AB$75&amp;" "&amp;Milestones!$AC$75&amp;";  ","")&amp;IF(AND(EDATE($D146,Milestones!$AA$76)&lt;=AsOfDate,IF($R146=0,$X146,IF(AND($T146&lt;&gt;"",EDATE($D146,Milestones!$AA$76)&gt;=$T146),$W146,IF(AND($S146&lt;&gt;"",EDATE($D146,Milestones!$AA$76)&gt;=$S146),$V146,$U146)))=Milestones!$AB$76),UPPER(TEXT(EDATE($D146,Milestones!$AA$76),"dd mmm yy"))&amp;" "&amp;Milestones!$AB$76&amp;" "&amp;Milestones!$AC$76&amp;";  ","")&amp;IF(AND(EDATE($D146,Milestones!$AA$77)&lt;=AsOfDate,IF($R146=0,$X146,IF(AND($T146&lt;&gt;"",EDATE($D146,Milestones!$AA$77)&gt;=$T146),$W146,IF(AND($S146&lt;&gt;"",EDATE($D146,Milestones!$AA$77)&gt;=$S146),$V146,$U146)))=Milestones!$AB$77),UPPER(TEXT(EDATE($D146,Milestones!$AA$77),"dd mmm yy"))&amp;" "&amp;Milestones!$AB$77&amp;" "&amp;Milestones!$AC$77&amp;";  ","")&amp;IF(AND(EDATE($D146,Milestones!$AA$78)&lt;=AsOfDate,IF($R146=0,$X146,IF(AND($T146&lt;&gt;"",EDATE($D146,Milestones!$AA$78)&gt;=$T146),$W146,IF(AND($S146&lt;&gt;"",EDATE($D146,Milestones!$AA$78)&gt;=$S146),$V146,$U146)))=Milestones!$AB$78),UPPER(TEXT(EDATE($D146,Milestones!$AA$78),"dd mmm yy"))&amp;" "&amp;Milestones!$AB$78&amp;" "&amp;Milestones!$AC$78&amp;";  ","")&amp;IF(AND(EDATE($D146,Milestones!$AA$79)&lt;=AsOfDate,IF($R146=0,$X146,IF(AND($T146&lt;&gt;"",EDATE($D146,Milestones!$AA$79)&gt;=$T146),$W146,IF(AND($S146&lt;&gt;"",EDATE($D146,Milestones!$AA$79)&gt;=$S146),$V146,$U146)))=Milestones!$AB$79),UPPER(TEXT(EDATE($D146,Milestones!$AA$79),"dd mmm yy"))&amp;" "&amp;Milestones!$AB$79&amp;" "&amp;Milestones!$AC$79&amp;";  ",""))</f>
        <v/>
      </c>
      <c r="L146" s="0" t="str">
        <f aca="false">IF(OR($A146="",$D146=""),"",IF(AND(EDATE($D146,Milestones!$AA$80)&lt;=AsOfDate,IF($R146=0,$X146,IF(AND($T146&lt;&gt;"",EDATE($D146,Milestones!$AA$80)&gt;=$T146),$W146,IF(AND($S146&lt;&gt;"",EDATE($D146,Milestones!$AA$80)&gt;=$S146),$V146,$U146)))=Milestones!$AB$80),UPPER(TEXT(EDATE($D146,Milestones!$AA$80),"dd mmm yy"))&amp;" "&amp;Milestones!$AB$80&amp;" "&amp;Milestones!$AC$80&amp;";  ","")&amp;IF(AND(EDATE($D146,Milestones!$AA$81)&lt;=AsOfDate,IF($R146=0,$X146,IF(AND($T146&lt;&gt;"",EDATE($D146,Milestones!$AA$81)&gt;=$T146),$W146,IF(AND($S146&lt;&gt;"",EDATE($D146,Milestones!$AA$81)&gt;=$S146),$V146,$U146)))=Milestones!$AB$81),UPPER(TEXT(EDATE($D146,Milestones!$AA$81),"dd mmm yy"))&amp;" "&amp;Milestones!$AB$81&amp;" "&amp;Milestones!$AC$81&amp;";  ","")&amp;IF(AND(EDATE($D146,Milestones!$AA$82)&lt;=AsOfDate,IF($R146=0,$X146,IF(AND($T146&lt;&gt;"",EDATE($D146,Milestones!$AA$82)&gt;=$T146),$W146,IF(AND($S146&lt;&gt;"",EDATE($D146,Milestones!$AA$82)&gt;=$S146),$V146,$U146)))=Milestones!$AB$82),UPPER(TEXT(EDATE($D146,Milestones!$AA$82),"dd mmm yy"))&amp;" "&amp;Milestones!$AB$82&amp;" "&amp;Milestones!$AC$82&amp;";  ","")&amp;IF(AND(EDATE($D146,Milestones!$AA$83)&lt;=AsOfDate,IF($R146=0,$X146,IF(AND($T146&lt;&gt;"",EDATE($D146,Milestones!$AA$83)&gt;=$T146),$W146,IF(AND($S146&lt;&gt;"",EDATE($D146,Milestones!$AA$83)&gt;=$S146),$V146,$U146)))=Milestones!$AB$83),UPPER(TEXT(EDATE($D146,Milestones!$AA$83),"dd mmm yy"))&amp;" "&amp;Milestones!$AB$83&amp;" "&amp;Milestones!$AC$83&amp;";  ","")&amp;IF(AND(EDATE($D146,Milestones!$AA$84)&lt;=AsOfDate,IF($R146=0,$X146,IF(AND($T146&lt;&gt;"",EDATE($D146,Milestones!$AA$84)&gt;=$T146),$W146,IF(AND($S146&lt;&gt;"",EDATE($D146,Milestones!$AA$84)&gt;=$S146),$V146,$U146)))=Milestones!$AB$84),UPPER(TEXT(EDATE($D146,Milestones!$AA$84),"dd mmm yy"))&amp;" "&amp;Milestones!$AB$84&amp;" "&amp;Milestones!$AC$84&amp;";  ","")&amp;IF(AND(EDATE($D146,Milestones!$AA$85)&lt;=AsOfDate,IF($R146=0,$X146,IF(AND($T146&lt;&gt;"",EDATE($D146,Milestones!$AA$85)&gt;=$T146),$W146,IF(AND($S146&lt;&gt;"",EDATE($D146,Milestones!$AA$85)&gt;=$S146),$V146,$U146)))=Milestones!$AB$85),UPPER(TEXT(EDATE($D146,Milestones!$AA$85),"dd mmm yy"))&amp;" "&amp;Milestones!$AB$85&amp;" "&amp;Milestones!$AC$85&amp;";  ","")&amp;IF(AND(EDATE($D146,Milestones!$AA$86)&lt;=AsOfDate,IF($R146=0,$X146,IF(AND($T146&lt;&gt;"",EDATE($D146,Milestones!$AA$86)&gt;=$T146),$W146,IF(AND($S146&lt;&gt;"",EDATE($D146,Milestones!$AA$86)&gt;=$S146),$V146,$U146)))=Milestones!$AB$86),UPPER(TEXT(EDATE($D146,Milestones!$AA$86),"dd mmm yy"))&amp;" "&amp;Milestones!$AB$86&amp;" "&amp;Milestones!$AC$86&amp;";  ","")&amp;IF(AND(EDATE($D146,Milestones!$AA$87)&lt;=AsOfDate,IF($R146=0,$X146,IF(AND($T146&lt;&gt;"",EDATE($D146,Milestones!$AA$87)&gt;=$T146),$W146,IF(AND($S146&lt;&gt;"",EDATE($D146,Milestones!$AA$87)&gt;=$S146),$V146,$U146)))=Milestones!$AB$87),UPPER(TEXT(EDATE($D146,Milestones!$AA$87),"dd mmm yy"))&amp;" "&amp;Milestones!$AB$87&amp;" "&amp;Milestones!$AC$87&amp;";  ","")&amp;IF(AND(EDATE($D146,Milestones!$AA$88)&lt;=AsOfDate,IF($R146=0,$X146,IF(AND($T146&lt;&gt;"",EDATE($D146,Milestones!$AA$88)&gt;=$T146),$W146,IF(AND($S146&lt;&gt;"",EDATE($D146,Milestones!$AA$88)&gt;=$S146),$V146,$U146)))=Milestones!$AB$88),UPPER(TEXT(EDATE($D146,Milestones!$AA$88),"dd mmm yy"))&amp;" "&amp;Milestones!$AB$88&amp;" "&amp;Milestones!$AC$88&amp;";  ","")&amp;IF(AND(EDATE($D146,Milestones!$AA$89)&lt;=AsOfDate,IF($R146=0,$X146,IF(AND($T146&lt;&gt;"",EDATE($D146,Milestones!$AA$89)&gt;=$T146),$W146,IF(AND($S146&lt;&gt;"",EDATE($D146,Milestones!$AA$89)&gt;=$S146),$V146,$U146)))=Milestones!$AB$89),UPPER(TEXT(EDATE($D146,Milestones!$AA$89),"dd mmm yy"))&amp;" "&amp;Milestones!$AB$89&amp;" "&amp;Milestones!$AC$89&amp;";  ","")&amp;IF(AND(EDATE($D146,Milestones!$AA$90)&lt;=AsOfDate,IF($R146=0,$X146,IF(AND($T146&lt;&gt;"",EDATE($D146,Milestones!$AA$90)&gt;=$T146),$W146,IF(AND($S146&lt;&gt;"",EDATE($D146,Milestones!$AA$90)&gt;=$S146),$V146,$U146)))=Milestones!$AB$90),UPPER(TEXT(EDATE($D146,Milestones!$AA$90),"dd mmm yy"))&amp;" "&amp;Milestones!$AB$90&amp;" "&amp;Milestones!$AC$90&amp;";  ","")&amp;IF(AND(EDATE($D146,Milestones!$AA$91)&lt;=AsOfDate,IF($R146=0,$X146,IF(AND($T146&lt;&gt;"",EDATE($D146,Milestones!$AA$91)&gt;=$T146),$W146,IF(AND($S146&lt;&gt;"",EDATE($D146,Milestones!$AA$91)&gt;=$S146),$V146,$U146)))=Milestones!$AB$91),UPPER(TEXT(EDATE($D146,Milestones!$AA$91),"dd mmm yy"))&amp;" "&amp;Milestones!$AB$91&amp;" "&amp;Milestones!$AC$91&amp;";  ","")&amp;IF(AND(EDATE($D146,Milestones!$AA$92)&lt;=AsOfDate,IF($R146=0,$X146,IF(AND($T146&lt;&gt;"",EDATE($D146,Milestones!$AA$92)&gt;=$T146),$W146,IF(AND($S146&lt;&gt;"",EDATE($D146,Milestones!$AA$92)&gt;=$S146),$V146,$U146)))=Milestones!$AB$92),UPPER(TEXT(EDATE($D146,Milestones!$AA$92),"dd mmm yy"))&amp;" "&amp;Milestones!$AB$92&amp;" "&amp;Milestones!$AC$92&amp;";  ","")&amp;IF(AND(EDATE($D146,Milestones!$AA$93)&lt;=AsOfDate,IF($R146=0,$X146,IF(AND($T146&lt;&gt;"",EDATE($D146,Milestones!$AA$93)&gt;=$T146),$W146,IF(AND($S146&lt;&gt;"",EDATE($D146,Milestones!$AA$93)&gt;=$S146),$V146,$U146)))=Milestones!$AB$93),UPPER(TEXT(EDATE($D146,Milestones!$AA$93),"dd mmm yy"))&amp;" "&amp;Milestones!$AB$93&amp;" "&amp;Milestones!$AC$93&amp;";  ","")&amp;IF(AND(EDATE($D146,Milestones!$AA$94)&lt;=AsOfDate,IF($R146=0,$X146,IF(AND($T146&lt;&gt;"",EDATE($D146,Milestones!$AA$94)&gt;=$T146),$W146,IF(AND($S146&lt;&gt;"",EDATE($D146,Milestones!$AA$94)&gt;=$S146),$V146,$U146)))=Milestones!$AB$94),UPPER(TEXT(EDATE($D146,Milestones!$AA$94),"dd mmm yy"))&amp;" "&amp;Milestones!$AB$94&amp;" "&amp;Milestones!$AC$94&amp;";  ","")&amp;IF(AND(EDATE($D146,Milestones!$AA$95)&lt;=AsOfDate,IF($R146=0,$X146,IF(AND($T146&lt;&gt;"",EDATE($D146,Milestones!$AA$95)&gt;=$T146),$W146,IF(AND($S146&lt;&gt;"",EDATE($D146,Milestones!$AA$95)&gt;=$S146),$V146,$U146)))=Milestones!$AB$95),UPPER(TEXT(EDATE($D146,Milestones!$AA$95),"dd mmm yy"))&amp;" "&amp;Milestones!$AB$95&amp;" "&amp;Milestones!$AC$95&amp;";  ","")&amp;IF(AND(EDATE($D146,Milestones!$AA$96)&lt;=AsOfDate,IF($R146=0,$X146,IF(AND($T146&lt;&gt;"",EDATE($D146,Milestones!$AA$96)&gt;=$T146),$W146,IF(AND($S146&lt;&gt;"",EDATE($D146,Milestones!$AA$96)&gt;=$S146),$V146,$U146)))=Milestones!$AB$96),UPPER(TEXT(EDATE($D146,Milestones!$AA$96),"dd mmm yy"))&amp;" "&amp;Milestones!$AB$96&amp;" "&amp;Milestones!$AC$96&amp;";  ","")&amp;IF(AND(EDATE($D146,Milestones!$AA$97)&lt;=AsOfDate,IF($R146=0,$X146,IF(AND($T146&lt;&gt;"",EDATE($D146,Milestones!$AA$97)&gt;=$T146),$W146,IF(AND($S146&lt;&gt;"",EDATE($D146,Milestones!$AA$97)&gt;=$S146),$V146,$U146)))=Milestones!$AB$97),UPPER(TEXT(EDATE($D146,Milestones!$AA$97),"dd mmm yy"))&amp;" "&amp;Milestones!$AB$97&amp;" "&amp;Milestones!$AC$97&amp;";  ","")&amp;IF(AND(EDATE($D146,Milestones!$AA$98)&lt;=AsOfDate,IF($R146=0,$X146,IF(AND($T146&lt;&gt;"",EDATE($D146,Milestones!$AA$98)&gt;=$T146),$W146,IF(AND($S146&lt;&gt;"",EDATE($D146,Milestones!$AA$98)&gt;=$S146),$V146,$U146)))=Milestones!$AB$98),UPPER(TEXT(EDATE($D146,Milestones!$AA$98),"dd mmm yy"))&amp;" "&amp;Milestones!$AB$98&amp;" "&amp;Milestones!$AC$98&amp;";  ","")&amp;IF(AND(EDATE($D146,Milestones!$AA$99)&lt;=AsOfDate,IF($R146=0,$X146,IF(AND($T146&lt;&gt;"",EDATE($D146,Milestones!$AA$99)&gt;=$T146),$W146,IF(AND($S146&lt;&gt;"",EDATE($D146,Milestones!$AA$99)&gt;=$S146),$V146,$U146)))=Milestones!$AB$99),UPPER(TEXT(EDATE($D146,Milestones!$AA$99),"dd mmm yy"))&amp;" "&amp;Milestones!$AB$99&amp;" "&amp;Milestones!$AC$99&amp;";  ",""))</f>
        <v/>
      </c>
      <c r="M146" s="0" t="str">
        <f aca="false">IF(OR($A146="",$D146=""),"",IF(AND(EDATE($D146,Milestones!$AA$100)&lt;=AsOfDate,IF($R146=0,$X146,IF(AND($T146&lt;&gt;"",EDATE($D146,Milestones!$AA$100)&gt;=$T146),$W146,IF(AND($S146&lt;&gt;"",EDATE($D146,Milestones!$AA$100)&gt;=$S146),$V146,$U146)))=Milestones!$AB$100),UPPER(TEXT(EDATE($D146,Milestones!$AA$100),"dd mmm yy"))&amp;" "&amp;Milestones!$AB$100&amp;" "&amp;Milestones!$AC$100&amp;";  ","")&amp;IF(AND(EDATE($D146,Milestones!$AA$101)&lt;=AsOfDate,IF($R146=0,$X146,IF(AND($T146&lt;&gt;"",EDATE($D146,Milestones!$AA$101)&gt;=$T146),$W146,IF(AND($S146&lt;&gt;"",EDATE($D146,Milestones!$AA$101)&gt;=$S146),$V146,$U146)))=Milestones!$AB$101),UPPER(TEXT(EDATE($D146,Milestones!$AA$101),"dd mmm yy"))&amp;" "&amp;Milestones!$AB$101&amp;" "&amp;Milestones!$AC$101&amp;";  ","")&amp;IF(AND(EDATE($D146,Milestones!$AA$102)&lt;=AsOfDate,IF($R146=0,$X146,IF(AND($T146&lt;&gt;"",EDATE($D146,Milestones!$AA$102)&gt;=$T146),$W146,IF(AND($S146&lt;&gt;"",EDATE($D146,Milestones!$AA$102)&gt;=$S146),$V146,$U146)))=Milestones!$AB$102),UPPER(TEXT(EDATE($D146,Milestones!$AA$102),"dd mmm yy"))&amp;" "&amp;Milestones!$AB$102&amp;" "&amp;Milestones!$AC$102&amp;";  ","")&amp;IF(AND(EDATE($D146,Milestones!$AA$103)&lt;=AsOfDate,IF($R146=0,$X146,IF(AND($T146&lt;&gt;"",EDATE($D146,Milestones!$AA$103)&gt;=$T146),$W146,IF(AND($S146&lt;&gt;"",EDATE($D146,Milestones!$AA$103)&gt;=$S146),$V146,$U146)))=Milestones!$AB$103),UPPER(TEXT(EDATE($D146,Milestones!$AA$103),"dd mmm yy"))&amp;" "&amp;Milestones!$AB$103&amp;" "&amp;Milestones!$AC$103&amp;";  ","")&amp;IF(AND(EDATE($D146,Milestones!$AA$104)&lt;=AsOfDate,IF($R146=0,$X146,IF(AND($T146&lt;&gt;"",EDATE($D146,Milestones!$AA$104)&gt;=$T146),$W146,IF(AND($S146&lt;&gt;"",EDATE($D146,Milestones!$AA$104)&gt;=$S146),$V146,$U146)))=Milestones!$AB$104),UPPER(TEXT(EDATE($D146,Milestones!$AA$104),"dd mmm yy"))&amp;" "&amp;Milestones!$AB$104&amp;" "&amp;Milestones!$AC$104&amp;";  ","")&amp;IF(AND(EDATE($D146,Milestones!$AA$105)&lt;=AsOfDate,IF($R146=0,$X146,IF(AND($T146&lt;&gt;"",EDATE($D146,Milestones!$AA$105)&gt;=$T146),$W146,IF(AND($S146&lt;&gt;"",EDATE($D146,Milestones!$AA$105)&gt;=$S146),$V146,$U146)))=Milestones!$AB$105),UPPER(TEXT(EDATE($D146,Milestones!$AA$105),"dd mmm yy"))&amp;" "&amp;Milestones!$AB$105&amp;" "&amp;Milestones!$AC$105&amp;";  ","")&amp;IF(AND(EDATE($D146,Milestones!$AA$106)&lt;=AsOfDate,IF($R146=0,$X146,IF(AND($T146&lt;&gt;"",EDATE($D146,Milestones!$AA$106)&gt;=$T146),$W146,IF(AND($S146&lt;&gt;"",EDATE($D146,Milestones!$AA$106)&gt;=$S146),$V146,$U146)))=Milestones!$AB$106),UPPER(TEXT(EDATE($D146,Milestones!$AA$106),"dd mmm yy"))&amp;" "&amp;Milestones!$AB$106&amp;" "&amp;Milestones!$AC$106&amp;";  ","")&amp;IF(AND(EDATE($D146,Milestones!$AA$107)&lt;=AsOfDate,IF($R146=0,$X146,IF(AND($T146&lt;&gt;"",EDATE($D146,Milestones!$AA$107)&gt;=$T146),$W146,IF(AND($S146&lt;&gt;"",EDATE($D146,Milestones!$AA$107)&gt;=$S146),$V146,$U146)))=Milestones!$AB$107),UPPER(TEXT(EDATE($D146,Milestones!$AA$107),"dd mmm yy"))&amp;" "&amp;Milestones!$AB$107&amp;" "&amp;Milestones!$AC$107&amp;";  ","")&amp;IF(AND(EDATE($D146,Milestones!$AA$108)&lt;=AsOfDate,IF($R146=0,$X146,IF(AND($T146&lt;&gt;"",EDATE($D146,Milestones!$AA$108)&gt;=$T146),$W146,IF(AND($S146&lt;&gt;"",EDATE($D146,Milestones!$AA$108)&gt;=$S146),$V146,$U146)))=Milestones!$AB$108),UPPER(TEXT(EDATE($D146,Milestones!$AA$108),"dd mmm yy"))&amp;" "&amp;Milestones!$AB$108&amp;" "&amp;Milestones!$AC$108&amp;";  ","")&amp;IF(AND(EDATE($D146,Milestones!$AA$109)&lt;=AsOfDate,IF($R146=0,$X146,IF(AND($T146&lt;&gt;"",EDATE($D146,Milestones!$AA$109)&gt;=$T146),$W146,IF(AND($S146&lt;&gt;"",EDATE($D146,Milestones!$AA$109)&gt;=$S146),$V146,$U146)))=Milestones!$AB$109),UPPER(TEXT(EDATE($D146,Milestones!$AA$109),"dd mmm yy"))&amp;" "&amp;Milestones!$AB$109&amp;" "&amp;Milestones!$AC$109&amp;";  ","")&amp;IF(AND(EDATE($D146,Milestones!$AA$110)&lt;=AsOfDate,IF($R146=0,$X146,IF(AND($T146&lt;&gt;"",EDATE($D146,Milestones!$AA$110)&gt;=$T146),$W146,IF(AND($S146&lt;&gt;"",EDATE($D146,Milestones!$AA$110)&gt;=$S146),$V146,$U146)))=Milestones!$AB$110),UPPER(TEXT(EDATE($D146,Milestones!$AA$110),"dd mmm yy"))&amp;" "&amp;Milestones!$AB$110&amp;" "&amp;Milestones!$AC$110&amp;";  ","")&amp;IF(AND(EDATE($D146,Milestones!$AA$111)&lt;=AsOfDate,IF($R146=0,$X146,IF(AND($T146&lt;&gt;"",EDATE($D146,Milestones!$AA$111)&gt;=$T146),$W146,IF(AND($S146&lt;&gt;"",EDATE($D146,Milestones!$AA$111)&gt;=$S146),$V146,$U146)))=Milestones!$AB$111),UPPER(TEXT(EDATE($D146,Milestones!$AA$111),"dd mmm yy"))&amp;" "&amp;Milestones!$AB$111&amp;" "&amp;Milestones!$AC$111&amp;";  ","")&amp;IF(AND(EDATE($D146,Milestones!$AA$112)&lt;=AsOfDate,IF($R146=0,$X146,IF(AND($T146&lt;&gt;"",EDATE($D146,Milestones!$AA$112)&gt;=$T146),$W146,IF(AND($S146&lt;&gt;"",EDATE($D146,Milestones!$AA$112)&gt;=$S146),$V146,$U146)))=Milestones!$AB$112),UPPER(TEXT(EDATE($D146,Milestones!$AA$112),"dd mmm yy"))&amp;" "&amp;Milestones!$AB$112&amp;" "&amp;Milestones!$AC$112&amp;";  ","")&amp;IF(AND(EDATE($D146,Milestones!$AA$113)&lt;=AsOfDate,IF($R146=0,$X146,IF(AND($T146&lt;&gt;"",EDATE($D146,Milestones!$AA$113)&gt;=$T146),$W146,IF(AND($S146&lt;&gt;"",EDATE($D146,Milestones!$AA$113)&gt;=$S146),$V146,$U146)))=Milestones!$AB$113),UPPER(TEXT(EDATE($D146,Milestones!$AA$113),"dd mmm yy"))&amp;" "&amp;Milestones!$AB$113&amp;" "&amp;Milestones!$AC$113&amp;";  ","")&amp;IF(AND(EDATE($D146,Milestones!$AA$114)&lt;=AsOfDate,IF($R146=0,$X146,IF(AND($T146&lt;&gt;"",EDATE($D146,Milestones!$AA$114)&gt;=$T146),$W146,IF(AND($S146&lt;&gt;"",EDATE($D146,Milestones!$AA$114)&gt;=$S146),$V146,$U146)))=Milestones!$AB$114),UPPER(TEXT(EDATE($D146,Milestones!$AA$114),"dd mmm yy"))&amp;" "&amp;Milestones!$AB$114&amp;" "&amp;Milestones!$AC$114&amp;";  ","")&amp;IF(AND(EDATE($D146,Milestones!$AA$115)&lt;=AsOfDate,IF($R146=0,$X146,IF(AND($T146&lt;&gt;"",EDATE($D146,Milestones!$AA$115)&gt;=$T146),$W146,IF(AND($S146&lt;&gt;"",EDATE($D146,Milestones!$AA$115)&gt;=$S146),$V146,$U146)))=Milestones!$AB$115),UPPER(TEXT(EDATE($D146,Milestones!$AA$115),"dd mmm yy"))&amp;" "&amp;Milestones!$AB$115&amp;" "&amp;Milestones!$AC$115&amp;";  ","")&amp;IF(AND(EDATE($D146,Milestones!$AA$116)&lt;=AsOfDate,IF($R146=0,$X146,IF(AND($T146&lt;&gt;"",EDATE($D146,Milestones!$AA$116)&gt;=$T146),$W146,IF(AND($S146&lt;&gt;"",EDATE($D146,Milestones!$AA$116)&gt;=$S146),$V146,$U146)))=Milestones!$AB$116),UPPER(TEXT(EDATE($D146,Milestones!$AA$116),"dd mmm yy"))&amp;" "&amp;Milestones!$AB$116&amp;" "&amp;Milestones!$AC$116&amp;";  ","")&amp;IF(AND(EDATE($D146,Milestones!$AA$117)&lt;=AsOfDate,IF($R146=0,$X146,IF(AND($T146&lt;&gt;"",EDATE($D146,Milestones!$AA$117)&gt;=$T146),$W146,IF(AND($S146&lt;&gt;"",EDATE($D146,Milestones!$AA$117)&gt;=$S146),$V146,$U146)))=Milestones!$AB$117),UPPER(TEXT(EDATE($D146,Milestones!$AA$117),"dd mmm yy"))&amp;" "&amp;Milestones!$AB$117&amp;" "&amp;Milestones!$AC$117&amp;";  ","")&amp;IF(AND(EDATE($D146,Milestones!$AA$118)&lt;=AsOfDate,IF($R146=0,$X146,IF(AND($T146&lt;&gt;"",EDATE($D146,Milestones!$AA$118)&gt;=$T146),$W146,IF(AND($S146&lt;&gt;"",EDATE($D146,Milestones!$AA$118)&gt;=$S146),$V146,$U146)))=Milestones!$AB$118),UPPER(TEXT(EDATE($D146,Milestones!$AA$118),"dd mmm yy"))&amp;" "&amp;Milestones!$AB$118&amp;" "&amp;Milestones!$AC$118&amp;";  ","")&amp;IF(AND(EDATE($D146,Milestones!$AA$119)&lt;=AsOfDate,IF($R146=0,$X146,IF(AND($T146&lt;&gt;"",EDATE($D146,Milestones!$AA$119)&gt;=$T146),$W146,IF(AND($S146&lt;&gt;"",EDATE($D146,Milestones!$AA$119)&gt;=$S146),$V146,$U146)))=Milestones!$AB$119),UPPER(TEXT(EDATE($D146,Milestones!$AA$119),"dd mmm yy"))&amp;" "&amp;Milestones!$AB$119&amp;" "&amp;Milestones!$AC$119&amp;";  ",""))</f>
        <v/>
      </c>
      <c r="N146" s="0" t="str">
        <f aca="false">IF(OR($A146="",$D146=""),"",IF(AND(EDATE($D146,Milestones!$AA$120)&lt;=AsOfDate,IF($R146=0,$X146,IF(AND($T146&lt;&gt;"",EDATE($D146,Milestones!$AA$120)&gt;=$T146),$W146,IF(AND($S146&lt;&gt;"",EDATE($D146,Milestones!$AA$120)&gt;=$S146),$V146,$U146)))=Milestones!$AB$120),UPPER(TEXT(EDATE($D146,Milestones!$AA$120),"dd mmm yy"))&amp;" "&amp;Milestones!$AB$120&amp;" "&amp;Milestones!$AC$120&amp;";  ","")&amp;IF(AND(EDATE($D146,Milestones!$AA$121)&lt;=AsOfDate,IF($R146=0,$X146,IF(AND($T146&lt;&gt;"",EDATE($D146,Milestones!$AA$121)&gt;=$T146),$W146,IF(AND($S146&lt;&gt;"",EDATE($D146,Milestones!$AA$121)&gt;=$S146),$V146,$U146)))=Milestones!$AB$121),UPPER(TEXT(EDATE($D146,Milestones!$AA$121),"dd mmm yy"))&amp;" "&amp;Milestones!$AB$121&amp;" "&amp;Milestones!$AC$121&amp;";  ","")&amp;IF(AND(EDATE($D146,Milestones!$AA$122)&lt;=AsOfDate,IF($R146=0,$X146,IF(AND($T146&lt;&gt;"",EDATE($D146,Milestones!$AA$122)&gt;=$T146),$W146,IF(AND($S146&lt;&gt;"",EDATE($D146,Milestones!$AA$122)&gt;=$S146),$V146,$U146)))=Milestones!$AB$122),UPPER(TEXT(EDATE($D146,Milestones!$AA$122),"dd mmm yy"))&amp;" "&amp;Milestones!$AB$122&amp;" "&amp;Milestones!$AC$122&amp;";  ","")&amp;IF(AND(EDATE($D146,Milestones!$AA$123)&lt;=AsOfDate,IF($R146=0,$X146,IF(AND($T146&lt;&gt;"",EDATE($D146,Milestones!$AA$123)&gt;=$T146),$W146,IF(AND($S146&lt;&gt;"",EDATE($D146,Milestones!$AA$123)&gt;=$S146),$V146,$U146)))=Milestones!$AB$123),UPPER(TEXT(EDATE($D146,Milestones!$AA$123),"dd mmm yy"))&amp;" "&amp;Milestones!$AB$123&amp;" "&amp;Milestones!$AC$123&amp;";  ","")&amp;IF(AND(EDATE($D146,Milestones!$AA$124)&lt;=AsOfDate,IF($R146=0,$X146,IF(AND($T146&lt;&gt;"",EDATE($D146,Milestones!$AA$124)&gt;=$T146),$W146,IF(AND($S146&lt;&gt;"",EDATE($D146,Milestones!$AA$124)&gt;=$S146),$V146,$U146)))=Milestones!$AB$124),UPPER(TEXT(EDATE($D146,Milestones!$AA$124),"dd mmm yy"))&amp;" "&amp;Milestones!$AB$124&amp;" "&amp;Milestones!$AC$124&amp;";  ","")&amp;IF(AND(EDATE($D146,Milestones!$AA$125)&lt;=AsOfDate,IF($R146=0,$X146,IF(AND($T146&lt;&gt;"",EDATE($D146,Milestones!$AA$125)&gt;=$T146),$W146,IF(AND($S146&lt;&gt;"",EDATE($D146,Milestones!$AA$125)&gt;=$S146),$V146,$U146)))=Milestones!$AB$125),UPPER(TEXT(EDATE($D146,Milestones!$AA$125),"dd mmm yy"))&amp;" "&amp;Milestones!$AB$125&amp;" "&amp;Milestones!$AC$125&amp;";  ","")&amp;IF(AND(EDATE($D146,Milestones!$AA$126)&lt;=AsOfDate,IF($R146=0,$X146,IF(AND($T146&lt;&gt;"",EDATE($D146,Milestones!$AA$126)&gt;=$T146),$W146,IF(AND($S146&lt;&gt;"",EDATE($D146,Milestones!$AA$126)&gt;=$S146),$V146,$U146)))=Milestones!$AB$126),UPPER(TEXT(EDATE($D146,Milestones!$AA$126),"dd mmm yy"))&amp;" "&amp;Milestones!$AB$126&amp;" "&amp;Milestones!$AC$126&amp;";  ","")&amp;IF(AND(EDATE($D146,Milestones!$AA$127)&lt;=AsOfDate,IF($R146=0,$X146,IF(AND($T146&lt;&gt;"",EDATE($D146,Milestones!$AA$127)&gt;=$T146),$W146,IF(AND($S146&lt;&gt;"",EDATE($D146,Milestones!$AA$127)&gt;=$S146),$V146,$U146)))=Milestones!$AB$127),UPPER(TEXT(EDATE($D146,Milestones!$AA$127),"dd mmm yy"))&amp;" "&amp;Milestones!$AB$127&amp;" "&amp;Milestones!$AC$127&amp;";  ","")&amp;IF(AND(EDATE($D146,Milestones!$AA$128)&lt;=AsOfDate,IF($R146=0,$X146,IF(AND($T146&lt;&gt;"",EDATE($D146,Milestones!$AA$128)&gt;=$T146),$W146,IF(AND($S146&lt;&gt;"",EDATE($D146,Milestones!$AA$128)&gt;=$S146),$V146,$U146)))=Milestones!$AB$128),UPPER(TEXT(EDATE($D146,Milestones!$AA$128),"dd mmm yy"))&amp;" "&amp;Milestones!$AB$128&amp;" "&amp;Milestones!$AC$128&amp;";  ","")&amp;IF(AND(EDATE($D146,Milestones!$AA$129)&lt;=AsOfDate,IF($R146=0,$X146,IF(AND($T146&lt;&gt;"",EDATE($D146,Milestones!$AA$129)&gt;=$T146),$W146,IF(AND($S146&lt;&gt;"",EDATE($D146,Milestones!$AA$129)&gt;=$S146),$V146,$U146)))=Milestones!$AB$129),UPPER(TEXT(EDATE($D146,Milestones!$AA$129),"dd mmm yy"))&amp;" "&amp;Milestones!$AB$129&amp;" "&amp;Milestones!$AC$129&amp;";  ","")&amp;IF(AND(EDATE($D146,Milestones!$AA$130)&lt;=AsOfDate,IF($R146=0,$X146,IF(AND($T146&lt;&gt;"",EDATE($D146,Milestones!$AA$130)&gt;=$T146),$W146,IF(AND($S146&lt;&gt;"",EDATE($D146,Milestones!$AA$130)&gt;=$S146),$V146,$U146)))=Milestones!$AB$130),UPPER(TEXT(EDATE($D146,Milestones!$AA$130),"dd mmm yy"))&amp;" "&amp;Milestones!$AB$130&amp;" "&amp;Milestones!$AC$130&amp;";  ","")&amp;IF(AND(EDATE($D146,Milestones!$AA$131)&lt;=AsOfDate,IF($R146=0,$X146,IF(AND($T146&lt;&gt;"",EDATE($D146,Milestones!$AA$131)&gt;=$T146),$W146,IF(AND($S146&lt;&gt;"",EDATE($D146,Milestones!$AA$131)&gt;=$S146),$V146,$U146)))=Milestones!$AB$131),UPPER(TEXT(EDATE($D146,Milestones!$AA$131),"dd mmm yy"))&amp;" "&amp;Milestones!$AB$131&amp;" "&amp;Milestones!$AC$131&amp;";  ","")&amp;IF(AND(EDATE($D146,Milestones!$AA$132)&lt;=AsOfDate,IF($R146=0,$X146,IF(AND($T146&lt;&gt;"",EDATE($D146,Milestones!$AA$132)&gt;=$T146),$W146,IF(AND($S146&lt;&gt;"",EDATE($D146,Milestones!$AA$132)&gt;=$S146),$V146,$U146)))=Milestones!$AB$132),UPPER(TEXT(EDATE($D146,Milestones!$AA$132),"dd mmm yy"))&amp;" "&amp;Milestones!$AB$132&amp;" "&amp;Milestones!$AC$132&amp;";  ","")&amp;IF(AND(EDATE($D146,Milestones!$AA$133)&lt;=AsOfDate,IF($R146=0,$X146,IF(AND($T146&lt;&gt;"",EDATE($D146,Milestones!$AA$133)&gt;=$T146),$W146,IF(AND($S146&lt;&gt;"",EDATE($D146,Milestones!$AA$133)&gt;=$S146),$V146,$U146)))=Milestones!$AB$133),UPPER(TEXT(EDATE($D146,Milestones!$AA$133),"dd mmm yy"))&amp;" "&amp;Milestones!$AB$133&amp;" "&amp;Milestones!$AC$133&amp;";  ","")&amp;IF(AND(EDATE($D146,Milestones!$AA$134)&lt;=AsOfDate,IF($R146=0,$X146,IF(AND($T146&lt;&gt;"",EDATE($D146,Milestones!$AA$134)&gt;=$T146),$W146,IF(AND($S146&lt;&gt;"",EDATE($D146,Milestones!$AA$134)&gt;=$S146),$V146,$U146)))=Milestones!$AB$134),UPPER(TEXT(EDATE($D146,Milestones!$AA$134),"dd mmm yy"))&amp;" "&amp;Milestones!$AB$134&amp;" "&amp;Milestones!$AC$134&amp;";  ","")&amp;IF(AND(EDATE($D146,Milestones!$AA$135)&lt;=AsOfDate,IF($R146=0,$X146,IF(AND($T146&lt;&gt;"",EDATE($D146,Milestones!$AA$135)&gt;=$T146),$W146,IF(AND($S146&lt;&gt;"",EDATE($D146,Milestones!$AA$135)&gt;=$S146),$V146,$U146)))=Milestones!$AB$135),UPPER(TEXT(EDATE($D146,Milestones!$AA$135),"dd mmm yy"))&amp;" "&amp;Milestones!$AB$135&amp;" "&amp;Milestones!$AC$135&amp;";  ","")&amp;IF(AND(EDATE($D146,Milestones!$AA$136)&lt;=AsOfDate,IF($R146=0,$X146,IF(AND($T146&lt;&gt;"",EDATE($D146,Milestones!$AA$136)&gt;=$T146),$W146,IF(AND($S146&lt;&gt;"",EDATE($D146,Milestones!$AA$136)&gt;=$S146),$V146,$U146)))=Milestones!$AB$136),UPPER(TEXT(EDATE($D146,Milestones!$AA$136),"dd mmm yy"))&amp;" "&amp;Milestones!$AB$136&amp;" "&amp;Milestones!$AC$136&amp;";  ","")&amp;IF(AND(EDATE($D146,Milestones!$AA$137)&lt;=AsOfDate,IF($R146=0,$X146,IF(AND($T146&lt;&gt;"",EDATE($D146,Milestones!$AA$137)&gt;=$T146),$W146,IF(AND($S146&lt;&gt;"",EDATE($D146,Milestones!$AA$137)&gt;=$S146),$V146,$U146)))=Milestones!$AB$137),UPPER(TEXT(EDATE($D146,Milestones!$AA$137),"dd mmm yy"))&amp;" "&amp;Milestones!$AB$137&amp;" "&amp;Milestones!$AC$137&amp;";  ","")&amp;IF(AND(EDATE($D146,Milestones!$AA$138)&lt;=AsOfDate,IF($R146=0,$X146,IF(AND($T146&lt;&gt;"",EDATE($D146,Milestones!$AA$138)&gt;=$T146),$W146,IF(AND($S146&lt;&gt;"",EDATE($D146,Milestones!$AA$138)&gt;=$S146),$V146,$U146)))=Milestones!$AB$138),UPPER(TEXT(EDATE($D146,Milestones!$AA$138),"dd mmm yy"))&amp;" "&amp;Milestones!$AB$138&amp;" "&amp;Milestones!$AC$138&amp;";  ","")&amp;IF(AND(EDATE($D146,Milestones!$AA$139)&lt;=AsOfDate,IF($R146=0,$X146,IF(AND($T146&lt;&gt;"",EDATE($D146,Milestones!$AA$139)&gt;=$T146),$W146,IF(AND($S146&lt;&gt;"",EDATE($D146,Milestones!$AA$139)&gt;=$S146),$V146,$U146)))=Milestones!$AB$139),UPPER(TEXT(EDATE($D146,Milestones!$AA$139),"dd mmm yy"))&amp;" "&amp;Milestones!$AB$139&amp;" "&amp;Milestones!$AC$139&amp;";  ",""))</f>
        <v/>
      </c>
      <c r="O146" s="0" t="str">
        <f aca="false">IF(OR($A146="",$D146=""),"",IF(AND(EDATE($D146,Milestones!$AA$140)&lt;=AsOfDate,IF($R146=0,$X146,IF(AND($T146&lt;&gt;"",EDATE($D146,Milestones!$AA$140)&gt;=$T146),$W146,IF(AND($S146&lt;&gt;"",EDATE($D146,Milestones!$AA$140)&gt;=$S146),$V146,$U146)))=Milestones!$AB$140),UPPER(TEXT(EDATE($D146,Milestones!$AA$140),"dd mmm yy"))&amp;" "&amp;Milestones!$AB$140&amp;" "&amp;Milestones!$AC$140&amp;";  ","")&amp;IF(AND(EDATE($D146,Milestones!$AA$141)&lt;=AsOfDate,IF($R146=0,$X146,IF(AND($T146&lt;&gt;"",EDATE($D146,Milestones!$AA$141)&gt;=$T146),$W146,IF(AND($S146&lt;&gt;"",EDATE($D146,Milestones!$AA$141)&gt;=$S146),$V146,$U146)))=Milestones!$AB$141),UPPER(TEXT(EDATE($D146,Milestones!$AA$141),"dd mmm yy"))&amp;" "&amp;Milestones!$AB$141&amp;" "&amp;Milestones!$AC$141&amp;";  ","")&amp;IF(AND(EDATE($D146,Milestones!$AA$142)&lt;=AsOfDate,IF($R146=0,$X146,IF(AND($T146&lt;&gt;"",EDATE($D146,Milestones!$AA$142)&gt;=$T146),$W146,IF(AND($S146&lt;&gt;"",EDATE($D146,Milestones!$AA$142)&gt;=$S146),$V146,$U146)))=Milestones!$AB$142),UPPER(TEXT(EDATE($D146,Milestones!$AA$142),"dd mmm yy"))&amp;" "&amp;Milestones!$AB$142&amp;" "&amp;Milestones!$AC$142&amp;";  ","")&amp;IF(AND(EDATE($D146,Milestones!$AA$143)&lt;=AsOfDate,IF($R146=0,$X146,IF(AND($T146&lt;&gt;"",EDATE($D146,Milestones!$AA$143)&gt;=$T146),$W146,IF(AND($S146&lt;&gt;"",EDATE($D146,Milestones!$AA$143)&gt;=$S146),$V146,$U146)))=Milestones!$AB$143),UPPER(TEXT(EDATE($D146,Milestones!$AA$143),"dd mmm yy"))&amp;" "&amp;Milestones!$AB$143&amp;" "&amp;Milestones!$AC$143&amp;";  ","")&amp;IF(AND(EDATE($D146,Milestones!$AA$144)&lt;=AsOfDate,IF($R146=0,$X146,IF(AND($T146&lt;&gt;"",EDATE($D146,Milestones!$AA$144)&gt;=$T146),$W146,IF(AND($S146&lt;&gt;"",EDATE($D146,Milestones!$AA$144)&gt;=$S146),$V146,$U146)))=Milestones!$AB$144),UPPER(TEXT(EDATE($D146,Milestones!$AA$144),"dd mmm yy"))&amp;" "&amp;Milestones!$AB$144&amp;" "&amp;Milestones!$AC$144&amp;";  ","")&amp;IF(AND(EDATE($D146,Milestones!$AA$145)&lt;=AsOfDate,IF($R146=0,$X146,IF(AND($T146&lt;&gt;"",EDATE($D146,Milestones!$AA$145)&gt;=$T146),$W146,IF(AND($S146&lt;&gt;"",EDATE($D146,Milestones!$AA$145)&gt;=$S146),$V146,$U146)))=Milestones!$AB$145),UPPER(TEXT(EDATE($D146,Milestones!$AA$145),"dd mmm yy"))&amp;" "&amp;Milestones!$AB$145&amp;" "&amp;Milestones!$AC$145&amp;";  ","")&amp;IF(AND(EDATE($D146,Milestones!$AA$146)&lt;=AsOfDate,IF($R146=0,$X146,IF(AND($T146&lt;&gt;"",EDATE($D146,Milestones!$AA$146)&gt;=$T146),$W146,IF(AND($S146&lt;&gt;"",EDATE($D146,Milestones!$AA$146)&gt;=$S146),$V146,$U146)))=Milestones!$AB$146),UPPER(TEXT(EDATE($D146,Milestones!$AA$146),"dd mmm yy"))&amp;" "&amp;Milestones!$AB$146&amp;" "&amp;Milestones!$AC$146&amp;";  ","")&amp;IF(AND(EDATE($D146,Milestones!$AA$147)&lt;=AsOfDate,IF($R146=0,$X146,IF(AND($T146&lt;&gt;"",EDATE($D146,Milestones!$AA$147)&gt;=$T146),$W146,IF(AND($S146&lt;&gt;"",EDATE($D146,Milestones!$AA$147)&gt;=$S146),$V146,$U146)))=Milestones!$AB$147),UPPER(TEXT(EDATE($D146,Milestones!$AA$147),"dd mmm yy"))&amp;" "&amp;Milestones!$AB$147&amp;" "&amp;Milestones!$AC$147&amp;";  ","")&amp;IF(AND(EDATE($D146,Milestones!$AA$148)&lt;=AsOfDate,IF($R146=0,$X146,IF(AND($T146&lt;&gt;"",EDATE($D146,Milestones!$AA$148)&gt;=$T146),$W146,IF(AND($S146&lt;&gt;"",EDATE($D146,Milestones!$AA$148)&gt;=$S146),$V146,$U146)))=Milestones!$AB$148),UPPER(TEXT(EDATE($D146,Milestones!$AA$148),"dd mmm yy"))&amp;" "&amp;Milestones!$AB$148&amp;" "&amp;Milestones!$AC$148&amp;";  ","")&amp;IF(AND(EDATE($D146,Milestones!$AA$149)&lt;=AsOfDate,IF($R146=0,$X146,IF(AND($T146&lt;&gt;"",EDATE($D146,Milestones!$AA$149)&gt;=$T146),$W146,IF(AND($S146&lt;&gt;"",EDATE($D146,Milestones!$AA$149)&gt;=$S146),$V146,$U146)))=Milestones!$AB$149),UPPER(TEXT(EDATE($D146,Milestones!$AA$149),"dd mmm yy"))&amp;" "&amp;Milestones!$AB$149&amp;" "&amp;Milestones!$AC$149&amp;";  ","")&amp;IF(AND(EDATE($D146,Milestones!$AA$150)&lt;=AsOfDate,IF($R146=0,$X146,IF(AND($T146&lt;&gt;"",EDATE($D146,Milestones!$AA$150)&gt;=$T146),$W146,IF(AND($S146&lt;&gt;"",EDATE($D146,Milestones!$AA$150)&gt;=$S146),$V146,$U146)))=Milestones!$AB$150),UPPER(TEXT(EDATE($D146,Milestones!$AA$150),"dd mmm yy"))&amp;" "&amp;Milestones!$AB$150&amp;" "&amp;Milestones!$AC$150&amp;";  ","")&amp;IF(AND(EDATE($D146,Milestones!$AA$151)&lt;=AsOfDate,IF($R146=0,$X146,IF(AND($T146&lt;&gt;"",EDATE($D146,Milestones!$AA$151)&gt;=$T146),$W146,IF(AND($S146&lt;&gt;"",EDATE($D146,Milestones!$AA$151)&gt;=$S146),$V146,$U146)))=Milestones!$AB$151),UPPER(TEXT(EDATE($D146,Milestones!$AA$151),"dd mmm yy"))&amp;" "&amp;Milestones!$AB$151&amp;" "&amp;Milestones!$AC$151&amp;";  ","")&amp;IF(AND(EDATE($D146,Milestones!$AA$152)&lt;=AsOfDate,IF($R146=0,$X146,IF(AND($T146&lt;&gt;"",EDATE($D146,Milestones!$AA$152)&gt;=$T146),$W146,IF(AND($S146&lt;&gt;"",EDATE($D146,Milestones!$AA$152)&gt;=$S146),$V146,$U146)))=Milestones!$AB$152),UPPER(TEXT(EDATE($D146,Milestones!$AA$152),"dd mmm yy"))&amp;" "&amp;Milestones!$AB$152&amp;" "&amp;Milestones!$AC$152&amp;";  ","")&amp;IF(AND(EDATE($D146,Milestones!$AA$153)&lt;=AsOfDate,IF($R146=0,$X146,IF(AND($T146&lt;&gt;"",EDATE($D146,Milestones!$AA$153)&gt;=$T146),$W146,IF(AND($S146&lt;&gt;"",EDATE($D146,Milestones!$AA$153)&gt;=$S146),$V146,$U146)))=Milestones!$AB$153),UPPER(TEXT(EDATE($D146,Milestones!$AA$153),"dd mmm yy"))&amp;" "&amp;Milestones!$AB$153&amp;" "&amp;Milestones!$AC$153&amp;";  ","")&amp;IF(AND(EDATE($D146,Milestones!$AA$154)&lt;=AsOfDate,IF($R146=0,$X146,IF(AND($T146&lt;&gt;"",EDATE($D146,Milestones!$AA$154)&gt;=$T146),$W146,IF(AND($S146&lt;&gt;"",EDATE($D146,Milestones!$AA$154)&gt;=$S146),$V146,$U146)))=Milestones!$AB$154),UPPER(TEXT(EDATE($D146,Milestones!$AA$154),"dd mmm yy"))&amp;" "&amp;Milestones!$AB$154&amp;" "&amp;Milestones!$AC$154&amp;";  ","")&amp;IF(AND(EDATE($D146,Milestones!$AA$155)&lt;=AsOfDate,IF($R146=0,$X146,IF(AND($T146&lt;&gt;"",EDATE($D146,Milestones!$AA$155)&gt;=$T146),$W146,IF(AND($S146&lt;&gt;"",EDATE($D146,Milestones!$AA$155)&gt;=$S146),$V146,$U146)))=Milestones!$AB$155),UPPER(TEXT(EDATE($D146,Milestones!$AA$155),"dd mmm yy"))&amp;" "&amp;Milestones!$AB$155&amp;" "&amp;Milestones!$AC$155&amp;";  ","")&amp;IF(AND(EDATE($D146,Milestones!$AA$156)&lt;=AsOfDate,IF($R146=0,$X146,IF(AND($T146&lt;&gt;"",EDATE($D146,Milestones!$AA$156)&gt;=$T146),$W146,IF(AND($S146&lt;&gt;"",EDATE($D146,Milestones!$AA$156)&gt;=$S146),$V146,$U146)))=Milestones!$AB$156),UPPER(TEXT(EDATE($D146,Milestones!$AA$156),"dd mmm yy"))&amp;" "&amp;Milestones!$AB$156&amp;" "&amp;Milestones!$AC$156&amp;";  ","")&amp;IF(AND(EDATE($D146,Milestones!$AA$157)&lt;=AsOfDate,IF($R146=0,$X146,IF(AND($T146&lt;&gt;"",EDATE($D146,Milestones!$AA$157)&gt;=$T146),$W146,IF(AND($S146&lt;&gt;"",EDATE($D146,Milestones!$AA$157)&gt;=$S146),$V146,$U146)))=Milestones!$AB$157),UPPER(TEXT(EDATE($D146,Milestones!$AA$157),"dd mmm yy"))&amp;" "&amp;Milestones!$AB$157&amp;" "&amp;Milestones!$AC$157&amp;";  ","")&amp;IF(AND(EDATE($D146,Milestones!$AA$158)&lt;=AsOfDate,IF($R146=0,$X146,IF(AND($T146&lt;&gt;"",EDATE($D146,Milestones!$AA$158)&gt;=$T146),$W146,IF(AND($S146&lt;&gt;"",EDATE($D146,Milestones!$AA$158)&gt;=$S146),$V146,$U146)))=Milestones!$AB$158),UPPER(TEXT(EDATE($D146,Milestones!$AA$158),"dd mmm yy"))&amp;" "&amp;Milestones!$AB$158&amp;" "&amp;Milestones!$AC$158&amp;";  ","")&amp;IF(AND(EDATE($D146,Milestones!$AA$159)&lt;=AsOfDate,IF($R146=0,$X146,IF(AND($T146&lt;&gt;"",EDATE($D146,Milestones!$AA$159)&gt;=$T146),$W146,IF(AND($S146&lt;&gt;"",EDATE($D146,Milestones!$AA$159)&gt;=$S146),$V146,$U146)))=Milestones!$AB$159),UPPER(TEXT(EDATE($D146,Milestones!$AA$159),"dd mmm yy"))&amp;" "&amp;Milestones!$AB$159&amp;" "&amp;Milestones!$AC$159&amp;";  ",""))</f>
        <v/>
      </c>
      <c r="P146" s="0" t="str">
        <f aca="false">IF(OR($A146="",$D146=""),"",IF(AND(EDATE($D146,Milestones!$AA$160)&lt;=AsOfDate,IF($R146=0,$X146,IF(AND($T146&lt;&gt;"",EDATE($D146,Milestones!$AA$160)&gt;=$T146),$W146,IF(AND($S146&lt;&gt;"",EDATE($D146,Milestones!$AA$160)&gt;=$S146),$V146,$U146)))=Milestones!$AB$160),UPPER(TEXT(EDATE($D146,Milestones!$AA$160),"dd mmm yy"))&amp;" "&amp;Milestones!$AB$160&amp;" "&amp;Milestones!$AC$160&amp;";  ","")&amp;IF(AND(EDATE($D146,Milestones!$AA$161)&lt;=AsOfDate,IF($R146=0,$X146,IF(AND($T146&lt;&gt;"",EDATE($D146,Milestones!$AA$161)&gt;=$T146),$W146,IF(AND($S146&lt;&gt;"",EDATE($D146,Milestones!$AA$161)&gt;=$S146),$V146,$U146)))=Milestones!$AB$161),UPPER(TEXT(EDATE($D146,Milestones!$AA$161),"dd mmm yy"))&amp;" "&amp;Milestones!$AB$161&amp;" "&amp;Milestones!$AC$161&amp;";  ","")&amp;IF(AND(EDATE($D146,Milestones!$AA$162)&lt;=AsOfDate,IF($R146=0,$X146,IF(AND($T146&lt;&gt;"",EDATE($D146,Milestones!$AA$162)&gt;=$T146),$W146,IF(AND($S146&lt;&gt;"",EDATE($D146,Milestones!$AA$162)&gt;=$S146),$V146,$U146)))=Milestones!$AB$162),UPPER(TEXT(EDATE($D146,Milestones!$AA$162),"dd mmm yy"))&amp;" "&amp;Milestones!$AB$162&amp;" "&amp;Milestones!$AC$162&amp;";  ","")&amp;IF(AND(EDATE($D146,Milestones!$AA$163)&lt;=AsOfDate,IF($R146=0,$X146,IF(AND($T146&lt;&gt;"",EDATE($D146,Milestones!$AA$163)&gt;=$T146),$W146,IF(AND($S146&lt;&gt;"",EDATE($D146,Milestones!$AA$163)&gt;=$S146),$V146,$U146)))=Milestones!$AB$163),UPPER(TEXT(EDATE($D146,Milestones!$AA$163),"dd mmm yy"))&amp;" "&amp;Milestones!$AB$163&amp;" "&amp;Milestones!$AC$163&amp;";  ","")&amp;IF(AND(EDATE($D146,Milestones!$AA$164)&lt;=AsOfDate,IF($R146=0,$X146,IF(AND($T146&lt;&gt;"",EDATE($D146,Milestones!$AA$164)&gt;=$T146),$W146,IF(AND($S146&lt;&gt;"",EDATE($D146,Milestones!$AA$164)&gt;=$S146),$V146,$U146)))=Milestones!$AB$164),UPPER(TEXT(EDATE($D146,Milestones!$AA$164),"dd mmm yy"))&amp;" "&amp;Milestones!$AB$164&amp;" "&amp;Milestones!$AC$164&amp;";  ","")&amp;IF(AND(EDATE($D146,Milestones!$AA$165)&lt;=AsOfDate,IF($R146=0,$X146,IF(AND($T146&lt;&gt;"",EDATE($D146,Milestones!$AA$165)&gt;=$T146),$W146,IF(AND($S146&lt;&gt;"",EDATE($D146,Milestones!$AA$165)&gt;=$S146),$V146,$U146)))=Milestones!$AB$165),UPPER(TEXT(EDATE($D146,Milestones!$AA$165),"dd mmm yy"))&amp;" "&amp;Milestones!$AB$165&amp;" "&amp;Milestones!$AC$165&amp;";  ","")&amp;IF(AND(EDATE($D146,Milestones!$AA$166)&lt;=AsOfDate,IF($R146=0,$X146,IF(AND($T146&lt;&gt;"",EDATE($D146,Milestones!$AA$166)&gt;=$T146),$W146,IF(AND($S146&lt;&gt;"",EDATE($D146,Milestones!$AA$166)&gt;=$S146),$V146,$U146)))=Milestones!$AB$166),UPPER(TEXT(EDATE($D146,Milestones!$AA$166),"dd mmm yy"))&amp;" "&amp;Milestones!$AB$166&amp;" "&amp;Milestones!$AC$166&amp;";  ","")&amp;IF(AND(EDATE($D146,Milestones!$AA$167)&lt;=AsOfDate,IF($R146=0,$X146,IF(AND($T146&lt;&gt;"",EDATE($D146,Milestones!$AA$167)&gt;=$T146),$W146,IF(AND($S146&lt;&gt;"",EDATE($D146,Milestones!$AA$167)&gt;=$S146),$V146,$U146)))=Milestones!$AB$167),UPPER(TEXT(EDATE($D146,Milestones!$AA$167),"dd mmm yy"))&amp;" "&amp;Milestones!$AB$167&amp;" "&amp;Milestones!$AC$167&amp;";  ","")&amp;IF(AND(EDATE($D146,Milestones!$AA$168)&lt;=AsOfDate,IF($R146=0,$X146,IF(AND($T146&lt;&gt;"",EDATE($D146,Milestones!$AA$168)&gt;=$T146),$W146,IF(AND($S146&lt;&gt;"",EDATE($D146,Milestones!$AA$168)&gt;=$S146),$V146,$U146)))=Milestones!$AB$168),UPPER(TEXT(EDATE($D146,Milestones!$AA$168),"dd mmm yy"))&amp;" "&amp;Milestones!$AB$168&amp;" "&amp;Milestones!$AC$168&amp;";  ","")&amp;IF(AND(EDATE($D146,Milestones!$AA$169)&lt;=AsOfDate,IF($R146=0,$X146,IF(AND($T146&lt;&gt;"",EDATE($D146,Milestones!$AA$169)&gt;=$T146),$W146,IF(AND($S146&lt;&gt;"",EDATE($D146,Milestones!$AA$169)&gt;=$S146),$V146,$U146)))=Milestones!$AB$169),UPPER(TEXT(EDATE($D146,Milestones!$AA$169),"dd mmm yy"))&amp;" "&amp;Milestones!$AB$169&amp;" "&amp;Milestones!$AC$169&amp;";  ","")&amp;IF(AND(EDATE($D146,Milestones!$AA$170)&lt;=AsOfDate,IF($R146=0,$X146,IF(AND($T146&lt;&gt;"",EDATE($D146,Milestones!$AA$170)&gt;=$T146),$W146,IF(AND($S146&lt;&gt;"",EDATE($D146,Milestones!$AA$170)&gt;=$S146),$V146,$U146)))=Milestones!$AB$170),UPPER(TEXT(EDATE($D146,Milestones!$AA$170),"dd mmm yy"))&amp;" "&amp;Milestones!$AB$170&amp;" "&amp;Milestones!$AC$170&amp;";  ","")&amp;IF(AND(EDATE($D146,Milestones!$AA$171)&lt;=AsOfDate,IF($R146=0,$X146,IF(AND($T146&lt;&gt;"",EDATE($D146,Milestones!$AA$171)&gt;=$T146),$W146,IF(AND($S146&lt;&gt;"",EDATE($D146,Milestones!$AA$171)&gt;=$S146),$V146,$U146)))=Milestones!$AB$171),UPPER(TEXT(EDATE($D146,Milestones!$AA$171),"dd mmm yy"))&amp;" "&amp;Milestones!$AB$171&amp;" "&amp;Milestones!$AC$171&amp;";  ","")&amp;IF(AND(EDATE($D146,Milestones!$AA$172)&lt;=AsOfDate,IF($R146=0,$X146,IF(AND($T146&lt;&gt;"",EDATE($D146,Milestones!$AA$172)&gt;=$T146),$W146,IF(AND($S146&lt;&gt;"",EDATE($D146,Milestones!$AA$172)&gt;=$S146),$V146,$U146)))=Milestones!$AB$172),UPPER(TEXT(EDATE($D146,Milestones!$AA$172),"dd mmm yy"))&amp;" "&amp;Milestones!$AB$172&amp;" "&amp;Milestones!$AC$172&amp;";  ","")&amp;IF(AND(EDATE($D146,Milestones!$AA$173)&lt;=AsOfDate,IF($R146=0,$X146,IF(AND($T146&lt;&gt;"",EDATE($D146,Milestones!$AA$173)&gt;=$T146),$W146,IF(AND($S146&lt;&gt;"",EDATE($D146,Milestones!$AA$173)&gt;=$S146),$V146,$U146)))=Milestones!$AB$173),UPPER(TEXT(EDATE($D146,Milestones!$AA$173),"dd mmm yy"))&amp;" "&amp;Milestones!$AB$173&amp;" "&amp;Milestones!$AC$173&amp;";  ","")&amp;IF(AND(EDATE($D146,Milestones!$AA$174)&lt;=AsOfDate,IF($R146=0,$X146,IF(AND($T146&lt;&gt;"",EDATE($D146,Milestones!$AA$174)&gt;=$T146),$W146,IF(AND($S146&lt;&gt;"",EDATE($D146,Milestones!$AA$174)&gt;=$S146),$V146,$U146)))=Milestones!$AB$174),UPPER(TEXT(EDATE($D146,Milestones!$AA$174),"dd mmm yy"))&amp;" "&amp;Milestones!$AB$174&amp;" "&amp;Milestones!$AC$174&amp;";  ","")&amp;IF(AND(EDATE($D146,Milestones!$AA$175)&lt;=AsOfDate,IF($R146=0,$X146,IF(AND($T146&lt;&gt;"",EDATE($D146,Milestones!$AA$175)&gt;=$T146),$W146,IF(AND($S146&lt;&gt;"",EDATE($D146,Milestones!$AA$175)&gt;=$S146),$V146,$U146)))=Milestones!$AB$175),UPPER(TEXT(EDATE($D146,Milestones!$AA$175),"dd mmm yy"))&amp;" "&amp;Milestones!$AB$175&amp;" "&amp;Milestones!$AC$175&amp;";  ","")&amp;IF(AND(EDATE($D146,Milestones!$AA$176)&lt;=AsOfDate,IF($R146=0,$X146,IF(AND($T146&lt;&gt;"",EDATE($D146,Milestones!$AA$176)&gt;=$T146),$W146,IF(AND($S146&lt;&gt;"",EDATE($D146,Milestones!$AA$176)&gt;=$S146),$V146,$U146)))=Milestones!$AB$176),UPPER(TEXT(EDATE($D146,Milestones!$AA$176),"dd mmm yy"))&amp;" "&amp;Milestones!$AB$176&amp;" "&amp;Milestones!$AC$176&amp;";  ","")&amp;IF(AND(EDATE($D146,Milestones!$AA$177)&lt;=AsOfDate,IF($R146=0,$X146,IF(AND($T146&lt;&gt;"",EDATE($D146,Milestones!$AA$177)&gt;=$T146),$W146,IF(AND($S146&lt;&gt;"",EDATE($D146,Milestones!$AA$177)&gt;=$S146),$V146,$U146)))=Milestones!$AB$177),UPPER(TEXT(EDATE($D146,Milestones!$AA$177),"dd mmm yy"))&amp;" "&amp;Milestones!$AB$177&amp;" "&amp;Milestones!$AC$177&amp;";  ","")&amp;IF(AND(EDATE($D146,Milestones!$AA$178)&lt;=AsOfDate,IF($R146=0,$X146,IF(AND($T146&lt;&gt;"",EDATE($D146,Milestones!$AA$178)&gt;=$T146),$W146,IF(AND($S146&lt;&gt;"",EDATE($D146,Milestones!$AA$178)&gt;=$S146),$V146,$U146)))=Milestones!$AB$178),UPPER(TEXT(EDATE($D146,Milestones!$AA$178),"dd mmm yy"))&amp;" "&amp;Milestones!$AB$178&amp;" "&amp;Milestones!$AC$178&amp;";  ","")&amp;IF(AND(EDATE($D146,Milestones!$AA$179)&lt;=AsOfDate,IF($R146=0,$X146,IF(AND($T146&lt;&gt;"",EDATE($D146,Milestones!$AA$179)&gt;=$T146),$W146,IF(AND($S146&lt;&gt;"",EDATE($D146,Milestones!$AA$179)&gt;=$S146),$V146,$U146)))=Milestones!$AB$179),UPPER(TEXT(EDATE($D146,Milestones!$AA$179),"dd mmm yy"))&amp;" "&amp;Milestones!$AB$179&amp;" "&amp;Milestones!$AC$179&amp;";  ",""))</f>
        <v/>
      </c>
      <c r="Q146" s="0" t="str">
        <f aca="false">IF(OR($A146="",$D146=""),"",IF(AND(EDATE($D146,Milestones!$AA$180)&lt;=AsOfDate,IF($R146=0,$X146,IF(AND($T146&lt;&gt;"",EDATE($D146,Milestones!$AA$180)&gt;=$T146),$W146,IF(AND($S146&lt;&gt;"",EDATE($D146,Milestones!$AA$180)&gt;=$S146),$V146,$U146)))=Milestones!$AB$180),UPPER(TEXT(EDATE($D146,Milestones!$AA$180),"dd mmm yy"))&amp;" "&amp;Milestones!$AB$180&amp;" "&amp;Milestones!$AC$180&amp;";  ","")&amp;IF(AND(EDATE($D146,Milestones!$AA$181)&lt;=AsOfDate,IF($R146=0,$X146,IF(AND($T146&lt;&gt;"",EDATE($D146,Milestones!$AA$181)&gt;=$T146),$W146,IF(AND($S146&lt;&gt;"",EDATE($D146,Milestones!$AA$181)&gt;=$S146),$V146,$U146)))=Milestones!$AB$181),UPPER(TEXT(EDATE($D146,Milestones!$AA$181),"dd mmm yy"))&amp;" "&amp;Milestones!$AB$181&amp;" "&amp;Milestones!$AC$181&amp;";  ","")&amp;IF(AND(EDATE($D146,Milestones!$AA$182)&lt;=AsOfDate,IF($R146=0,$X146,IF(AND($T146&lt;&gt;"",EDATE($D146,Milestones!$AA$182)&gt;=$T146),$W146,IF(AND($S146&lt;&gt;"",EDATE($D146,Milestones!$AA$182)&gt;=$S146),$V146,$U146)))=Milestones!$AB$182),UPPER(TEXT(EDATE($D146,Milestones!$AA$182),"dd mmm yy"))&amp;" "&amp;Milestones!$AB$182&amp;" "&amp;Milestones!$AC$182&amp;";  ","")&amp;IF(AND(EDATE($D146,Milestones!$AA$183)&lt;=AsOfDate,IF($R146=0,$X146,IF(AND($T146&lt;&gt;"",EDATE($D146,Milestones!$AA$183)&gt;=$T146),$W146,IF(AND($S146&lt;&gt;"",EDATE($D146,Milestones!$AA$183)&gt;=$S146),$V146,$U146)))=Milestones!$AB$183),UPPER(TEXT(EDATE($D146,Milestones!$AA$183),"dd mmm yy"))&amp;" "&amp;Milestones!$AB$183&amp;" "&amp;Milestones!$AC$183&amp;";  ","")&amp;IF(AND(EDATE($D146,Milestones!$AA$184)&lt;=AsOfDate,IF($R146=0,$X146,IF(AND($T146&lt;&gt;"",EDATE($D146,Milestones!$AA$184)&gt;=$T146),$W146,IF(AND($S146&lt;&gt;"",EDATE($D146,Milestones!$AA$184)&gt;=$S146),$V146,$U146)))=Milestones!$AB$184),UPPER(TEXT(EDATE($D146,Milestones!$AA$184),"dd mmm yy"))&amp;" "&amp;Milestones!$AB$184&amp;" "&amp;Milestones!$AC$184&amp;";  ","")&amp;IF(AND(EDATE($D146,Milestones!$AA$185)&lt;=AsOfDate,IF($R146=0,$X146,IF(AND($T146&lt;&gt;"",EDATE($D146,Milestones!$AA$185)&gt;=$T146),$W146,IF(AND($S146&lt;&gt;"",EDATE($D146,Milestones!$AA$185)&gt;=$S146),$V146,$U146)))=Milestones!$AB$185),UPPER(TEXT(EDATE($D146,Milestones!$AA$185),"dd mmm yy"))&amp;" "&amp;Milestones!$AB$185&amp;" "&amp;Milestones!$AC$185&amp;";  ","")&amp;IF(AND(EDATE($D146,Milestones!$AA$186)&lt;=AsOfDate,IF($R146=0,$X146,IF(AND($T146&lt;&gt;"",EDATE($D146,Milestones!$AA$186)&gt;=$T146),$W146,IF(AND($S146&lt;&gt;"",EDATE($D146,Milestones!$AA$186)&gt;=$S146),$V146,$U146)))=Milestones!$AB$186),UPPER(TEXT(EDATE($D146,Milestones!$AA$186),"dd mmm yy"))&amp;" "&amp;Milestones!$AB$186&amp;" "&amp;Milestones!$AC$186&amp;";  ","")&amp;IF(AND(EDATE($D146,Milestones!$AA$187)&lt;=AsOfDate,IF($R146=0,$X146,IF(AND($T146&lt;&gt;"",EDATE($D146,Milestones!$AA$187)&gt;=$T146),$W146,IF(AND($S146&lt;&gt;"",EDATE($D146,Milestones!$AA$187)&gt;=$S146),$V146,$U146)))=Milestones!$AB$187),UPPER(TEXT(EDATE($D146,Milestones!$AA$187),"dd mmm yy"))&amp;" "&amp;Milestones!$AB$187&amp;" "&amp;Milestones!$AC$187&amp;";  ","")&amp;IF(AND(EDATE($D146,Milestones!$AA$188)&lt;=AsOfDate,IF($R146=0,$X146,IF(AND($T146&lt;&gt;"",EDATE($D146,Milestones!$AA$188)&gt;=$T146),$W146,IF(AND($S146&lt;&gt;"",EDATE($D146,Milestones!$AA$188)&gt;=$S146),$V146,$U146)))=Milestones!$AB$188),UPPER(TEXT(EDATE($D146,Milestones!$AA$188),"dd mmm yy"))&amp;" "&amp;Milestones!$AB$188&amp;" "&amp;Milestones!$AC$188&amp;";  ","")&amp;IF(AND(EDATE($D146,Milestones!$AA$189)&lt;=AsOfDate,IF($R146=0,$X146,IF(AND($T146&lt;&gt;"",EDATE($D146,Milestones!$AA$189)&gt;=$T146),$W146,IF(AND($S146&lt;&gt;"",EDATE($D146,Milestones!$AA$189)&gt;=$S146),$V146,$U146)))=Milestones!$AB$189),UPPER(TEXT(EDATE($D146,Milestones!$AA$189),"dd mmm yy"))&amp;" "&amp;Milestones!$AB$189&amp;" "&amp;Milestones!$AC$189&amp;";  ","")&amp;IF(AND(EDATE($D146,Milestones!$AA$190)&lt;=AsOfDate,IF($R146=0,$X146,IF(AND($T146&lt;&gt;"",EDATE($D146,Milestones!$AA$190)&gt;=$T146),$W146,IF(AND($S146&lt;&gt;"",EDATE($D146,Milestones!$AA$190)&gt;=$S146),$V146,$U146)))=Milestones!$AB$190),UPPER(TEXT(EDATE($D146,Milestones!$AA$190),"dd mmm yy"))&amp;" "&amp;Milestones!$AB$190&amp;" "&amp;Milestones!$AC$190&amp;";  ","")&amp;IF(AND(EDATE($D146,Milestones!$AA$191)&lt;=AsOfDate,IF($R146=0,$X146,IF(AND($T146&lt;&gt;"",EDATE($D146,Milestones!$AA$191)&gt;=$T146),$W146,IF(AND($S146&lt;&gt;"",EDATE($D146,Milestones!$AA$191)&gt;=$S146),$V146,$U146)))=Milestones!$AB$191),UPPER(TEXT(EDATE($D146,Milestones!$AA$191),"dd mmm yy"))&amp;" "&amp;Milestones!$AB$191&amp;" "&amp;Milestones!$AC$191&amp;";  ","")&amp;IF(AND(EDATE($D146,Milestones!$AA$192)&lt;=AsOfDate,IF($R146=0,$X146,IF(AND($T146&lt;&gt;"",EDATE($D146,Milestones!$AA$192)&gt;=$T146),$W146,IF(AND($S146&lt;&gt;"",EDATE($D146,Milestones!$AA$192)&gt;=$S146),$V146,$U146)))=Milestones!$AB$192),UPPER(TEXT(EDATE($D146,Milestones!$AA$192),"dd mmm yy"))&amp;" "&amp;Milestones!$AB$192&amp;" "&amp;Milestones!$AC$192&amp;";  ","")&amp;IF(AND(EDATE($D146,Milestones!$AA$193)&lt;=AsOfDate,IF($R146=0,$X146,IF(AND($T146&lt;&gt;"",EDATE($D146,Milestones!$AA$193)&gt;=$T146),$W146,IF(AND($S146&lt;&gt;"",EDATE($D146,Milestones!$AA$193)&gt;=$S146),$V146,$U146)))=Milestones!$AB$193),UPPER(TEXT(EDATE($D146,Milestones!$AA$193),"dd mmm yy"))&amp;" "&amp;Milestones!$AB$193&amp;" "&amp;Milestones!$AC$193&amp;";  ","")&amp;IF(AND(EDATE($D146,Milestones!$AA$194)&lt;=AsOfDate,IF($R146=0,$X146,IF(AND($T146&lt;&gt;"",EDATE($D146,Milestones!$AA$194)&gt;=$T146),$W146,IF(AND($S146&lt;&gt;"",EDATE($D146,Milestones!$AA$194)&gt;=$S146),$V146,$U146)))=Milestones!$AB$194),UPPER(TEXT(EDATE($D146,Milestones!$AA$194),"dd mmm yy"))&amp;" "&amp;Milestones!$AB$194&amp;" "&amp;Milestones!$AC$194&amp;";  ","")&amp;IF(AND(EDATE($D146,Milestones!$AA$195)&lt;=AsOfDate,IF($R146=0,$X146,IF(AND($T146&lt;&gt;"",EDATE($D146,Milestones!$AA$195)&gt;=$T146),$W146,IF(AND($S146&lt;&gt;"",EDATE($D146,Milestones!$AA$195)&gt;=$S146),$V146,$U146)))=Milestones!$AB$195),UPPER(TEXT(EDATE($D146,Milestones!$AA$195),"dd mmm yy"))&amp;" "&amp;Milestones!$AB$195&amp;" "&amp;Milestones!$AC$195&amp;";  ","")&amp;IF(AND(EDATE($D146,Milestones!$AA$196)&lt;=AsOfDate,IF($R146=0,$X146,IF(AND($T146&lt;&gt;"",EDATE($D146,Milestones!$AA$196)&gt;=$T146),$W146,IF(AND($S146&lt;&gt;"",EDATE($D146,Milestones!$AA$196)&gt;=$S146),$V146,$U146)))=Milestones!$AB$196),UPPER(TEXT(EDATE($D146,Milestones!$AA$196),"dd mmm yy"))&amp;" "&amp;Milestones!$AB$196&amp;" "&amp;Milestones!$AC$196&amp;";  ","")&amp;IF(AND(EDATE($D146,Milestones!$AA$197)&lt;=AsOfDate,IF($R146=0,$X146,IF(AND($T146&lt;&gt;"",EDATE($D146,Milestones!$AA$197)&gt;=$T146),$W146,IF(AND($S146&lt;&gt;"",EDATE($D146,Milestones!$AA$197)&gt;=$S146),$V146,$U146)))=Milestones!$AB$197),UPPER(TEXT(EDATE($D146,Milestones!$AA$197),"dd mmm yy"))&amp;" "&amp;Milestones!$AB$197&amp;" "&amp;Milestones!$AC$197&amp;";  ","")&amp;IF(AND(EDATE($D146,Milestones!$AA$198)&lt;=AsOfDate,IF($R146=0,$X146,IF(AND($T146&lt;&gt;"",EDATE($D146,Milestones!$AA$198)&gt;=$T146),$W146,IF(AND($S146&lt;&gt;"",EDATE($D146,Milestones!$AA$198)&gt;=$S146),$V146,$U146)))=Milestones!$AB$198),UPPER(TEXT(EDATE($D146,Milestones!$AA$198),"dd mmm yy"))&amp;" "&amp;Milestones!$AB$198&amp;" "&amp;Milestones!$AC$198&amp;";  ","")&amp;IF(AND(EDATE($D146,Milestones!$AA$199)&lt;=AsOfDate,IF($R146=0,$X146,IF(AND($T146&lt;&gt;"",EDATE($D146,Milestones!$AA$199)&gt;=$T146),$W146,IF(AND($S146&lt;&gt;"",EDATE($D146,Milestones!$AA$199)&gt;=$S146),$V146,$U146)))=Milestones!$AB$199),UPPER(TEXT(EDATE($D146,Milestones!$AA$199),"dd mmm yy"))&amp;" "&amp;Milestones!$AB$199&amp;" "&amp;Milestones!$AC$199&amp;";  ",""))</f>
        <v/>
      </c>
      <c r="R146" s="0" t="str">
        <f aca="false">IF(Staff!$A146="","",Staff!$AI146)</f>
        <v/>
      </c>
      <c r="S146" s="0" t="str">
        <f aca="false">IF(Staff!$A146="","",Staff!$AK146)</f>
        <v/>
      </c>
      <c r="T146" s="0" t="str">
        <f aca="false">IF(Staff!$A146="","",Staff!$AL146)</f>
        <v/>
      </c>
      <c r="U146" s="0" t="str">
        <f aca="false">IF(Staff!$A146="","",Staff!$AP146)</f>
        <v/>
      </c>
      <c r="V146" s="0" t="str">
        <f aca="false">IF(Staff!$A146="","",Staff!$AQ146)</f>
        <v/>
      </c>
      <c r="W146" s="0" t="str">
        <f aca="false">IF(Staff!$A146="","",Staff!$AR146)</f>
        <v/>
      </c>
      <c r="X146" s="0" t="str">
        <f aca="false">IF(Staff!$A146="","",Staff!$AS146)</f>
        <v/>
      </c>
    </row>
    <row r="147" customFormat="false" ht="15" hidden="false" customHeight="false" outlineLevel="0" collapsed="false">
      <c r="A147" s="19" t="str">
        <f aca="false">IF(Staff!$A147="","",Staff!$A147)</f>
        <v/>
      </c>
      <c r="B147" s="19" t="str">
        <f aca="false">IF(Staff!$A147="","",Staff!$B147)</f>
        <v/>
      </c>
      <c r="C147" s="19" t="str">
        <f aca="false">IF(Staff!$A147="","",Staff!$C147)</f>
        <v/>
      </c>
      <c r="D147" s="17" t="str">
        <f aca="false">IF(Staff!$A147="","",Staff!$AH147)</f>
        <v/>
      </c>
      <c r="E147" s="19" t="str">
        <f aca="false">IF(Staff!$A147="","",Staff!$O147)</f>
        <v/>
      </c>
      <c r="F147" s="19" t="str">
        <f aca="false">IF(E147="","",E147*HoursPerDay)</f>
        <v/>
      </c>
      <c r="G147" s="19" t="str">
        <f aca="false">IF(Staff!$A147="","",Staff!$AE147)</f>
        <v/>
      </c>
      <c r="H147" s="32" t="str">
        <f aca="false">IF($A147="","",I147&amp;J147&amp;K147&amp;L147&amp;M147&amp;N147&amp;O147&amp;P147&amp;Q147)</f>
        <v/>
      </c>
      <c r="I147" s="0" t="str">
        <f aca="false">IF(OR($A147="",$D147=""),"",IF(AND(EDATE($D147,Milestones!$AA$20)&lt;=AsOfDate,IF($R147=0,$X147,IF(AND($T147&lt;&gt;"",EDATE($D147,Milestones!$AA$20)&gt;=$T147),$W147,IF(AND($S147&lt;&gt;"",EDATE($D147,Milestones!$AA$20)&gt;=$S147),$V147,$U147)))=Milestones!$AB$20),UPPER(TEXT(EDATE($D147,Milestones!$AA$20),"dd mmm yy"))&amp;" "&amp;Milestones!$AB$20&amp;" "&amp;Milestones!$AC$20&amp;";  ","")&amp;IF(AND(EDATE($D147,Milestones!$AA$21)&lt;=AsOfDate,IF($R147=0,$X147,IF(AND($T147&lt;&gt;"",EDATE($D147,Milestones!$AA$21)&gt;=$T147),$W147,IF(AND($S147&lt;&gt;"",EDATE($D147,Milestones!$AA$21)&gt;=$S147),$V147,$U147)))=Milestones!$AB$21),UPPER(TEXT(EDATE($D147,Milestones!$AA$21),"dd mmm yy"))&amp;" "&amp;Milestones!$AB$21&amp;" "&amp;Milestones!$AC$21&amp;";  ","")&amp;IF(AND(EDATE($D147,Milestones!$AA$22)&lt;=AsOfDate,IF($R147=0,$X147,IF(AND($T147&lt;&gt;"",EDATE($D147,Milestones!$AA$22)&gt;=$T147),$W147,IF(AND($S147&lt;&gt;"",EDATE($D147,Milestones!$AA$22)&gt;=$S147),$V147,$U147)))=Milestones!$AB$22),UPPER(TEXT(EDATE($D147,Milestones!$AA$22),"dd mmm yy"))&amp;" "&amp;Milestones!$AB$22&amp;" "&amp;Milestones!$AC$22&amp;";  ","")&amp;IF(AND(EDATE($D147,Milestones!$AA$23)&lt;=AsOfDate,IF($R147=0,$X147,IF(AND($T147&lt;&gt;"",EDATE($D147,Milestones!$AA$23)&gt;=$T147),$W147,IF(AND($S147&lt;&gt;"",EDATE($D147,Milestones!$AA$23)&gt;=$S147),$V147,$U147)))=Milestones!$AB$23),UPPER(TEXT(EDATE($D147,Milestones!$AA$23),"dd mmm yy"))&amp;" "&amp;Milestones!$AB$23&amp;" "&amp;Milestones!$AC$23&amp;";  ","")&amp;IF(AND(EDATE($D147,Milestones!$AA$24)&lt;=AsOfDate,IF($R147=0,$X147,IF(AND($T147&lt;&gt;"",EDATE($D147,Milestones!$AA$24)&gt;=$T147),$W147,IF(AND($S147&lt;&gt;"",EDATE($D147,Milestones!$AA$24)&gt;=$S147),$V147,$U147)))=Milestones!$AB$24),UPPER(TEXT(EDATE($D147,Milestones!$AA$24),"dd mmm yy"))&amp;" "&amp;Milestones!$AB$24&amp;" "&amp;Milestones!$AC$24&amp;";  ","")&amp;IF(AND(EDATE($D147,Milestones!$AA$25)&lt;=AsOfDate,IF($R147=0,$X147,IF(AND($T147&lt;&gt;"",EDATE($D147,Milestones!$AA$25)&gt;=$T147),$W147,IF(AND($S147&lt;&gt;"",EDATE($D147,Milestones!$AA$25)&gt;=$S147),$V147,$U147)))=Milestones!$AB$25),UPPER(TEXT(EDATE($D147,Milestones!$AA$25),"dd mmm yy"))&amp;" "&amp;Milestones!$AB$25&amp;" "&amp;Milestones!$AC$25&amp;";  ","")&amp;IF(AND(EDATE($D147,Milestones!$AA$26)&lt;=AsOfDate,IF($R147=0,$X147,IF(AND($T147&lt;&gt;"",EDATE($D147,Milestones!$AA$26)&gt;=$T147),$W147,IF(AND($S147&lt;&gt;"",EDATE($D147,Milestones!$AA$26)&gt;=$S147),$V147,$U147)))=Milestones!$AB$26),UPPER(TEXT(EDATE($D147,Milestones!$AA$26),"dd mmm yy"))&amp;" "&amp;Milestones!$AB$26&amp;" "&amp;Milestones!$AC$26&amp;";  ","")&amp;IF(AND(EDATE($D147,Milestones!$AA$27)&lt;=AsOfDate,IF($R147=0,$X147,IF(AND($T147&lt;&gt;"",EDATE($D147,Milestones!$AA$27)&gt;=$T147),$W147,IF(AND($S147&lt;&gt;"",EDATE($D147,Milestones!$AA$27)&gt;=$S147),$V147,$U147)))=Milestones!$AB$27),UPPER(TEXT(EDATE($D147,Milestones!$AA$27),"dd mmm yy"))&amp;" "&amp;Milestones!$AB$27&amp;" "&amp;Milestones!$AC$27&amp;";  ","")&amp;IF(AND(EDATE($D147,Milestones!$AA$28)&lt;=AsOfDate,IF($R147=0,$X147,IF(AND($T147&lt;&gt;"",EDATE($D147,Milestones!$AA$28)&gt;=$T147),$W147,IF(AND($S147&lt;&gt;"",EDATE($D147,Milestones!$AA$28)&gt;=$S147),$V147,$U147)))=Milestones!$AB$28),UPPER(TEXT(EDATE($D147,Milestones!$AA$28),"dd mmm yy"))&amp;" "&amp;Milestones!$AB$28&amp;" "&amp;Milestones!$AC$28&amp;";  ","")&amp;IF(AND(EDATE($D147,Milestones!$AA$29)&lt;=AsOfDate,IF($R147=0,$X147,IF(AND($T147&lt;&gt;"",EDATE($D147,Milestones!$AA$29)&gt;=$T147),$W147,IF(AND($S147&lt;&gt;"",EDATE($D147,Milestones!$AA$29)&gt;=$S147),$V147,$U147)))=Milestones!$AB$29),UPPER(TEXT(EDATE($D147,Milestones!$AA$29),"dd mmm yy"))&amp;" "&amp;Milestones!$AB$29&amp;" "&amp;Milestones!$AC$29&amp;";  ","")&amp;IF(AND(EDATE($D147,Milestones!$AA$30)&lt;=AsOfDate,IF($R147=0,$X147,IF(AND($T147&lt;&gt;"",EDATE($D147,Milestones!$AA$30)&gt;=$T147),$W147,IF(AND($S147&lt;&gt;"",EDATE($D147,Milestones!$AA$30)&gt;=$S147),$V147,$U147)))=Milestones!$AB$30),UPPER(TEXT(EDATE($D147,Milestones!$AA$30),"dd mmm yy"))&amp;" "&amp;Milestones!$AB$30&amp;" "&amp;Milestones!$AC$30&amp;";  ","")&amp;IF(AND(EDATE($D147,Milestones!$AA$31)&lt;=AsOfDate,IF($R147=0,$X147,IF(AND($T147&lt;&gt;"",EDATE($D147,Milestones!$AA$31)&gt;=$T147),$W147,IF(AND($S147&lt;&gt;"",EDATE($D147,Milestones!$AA$31)&gt;=$S147),$V147,$U147)))=Milestones!$AB$31),UPPER(TEXT(EDATE($D147,Milestones!$AA$31),"dd mmm yy"))&amp;" "&amp;Milestones!$AB$31&amp;" "&amp;Milestones!$AC$31&amp;";  ","")&amp;IF(AND(EDATE($D147,Milestones!$AA$32)&lt;=AsOfDate,IF($R147=0,$X147,IF(AND($T147&lt;&gt;"",EDATE($D147,Milestones!$AA$32)&gt;=$T147),$W147,IF(AND($S147&lt;&gt;"",EDATE($D147,Milestones!$AA$32)&gt;=$S147),$V147,$U147)))=Milestones!$AB$32),UPPER(TEXT(EDATE($D147,Milestones!$AA$32),"dd mmm yy"))&amp;" "&amp;Milestones!$AB$32&amp;" "&amp;Milestones!$AC$32&amp;";  ","")&amp;IF(AND(EDATE($D147,Milestones!$AA$33)&lt;=AsOfDate,IF($R147=0,$X147,IF(AND($T147&lt;&gt;"",EDATE($D147,Milestones!$AA$33)&gt;=$T147),$W147,IF(AND($S147&lt;&gt;"",EDATE($D147,Milestones!$AA$33)&gt;=$S147),$V147,$U147)))=Milestones!$AB$33),UPPER(TEXT(EDATE($D147,Milestones!$AA$33),"dd mmm yy"))&amp;" "&amp;Milestones!$AB$33&amp;" "&amp;Milestones!$AC$33&amp;";  ","")&amp;IF(AND(EDATE($D147,Milestones!$AA$34)&lt;=AsOfDate,IF($R147=0,$X147,IF(AND($T147&lt;&gt;"",EDATE($D147,Milestones!$AA$34)&gt;=$T147),$W147,IF(AND($S147&lt;&gt;"",EDATE($D147,Milestones!$AA$34)&gt;=$S147),$V147,$U147)))=Milestones!$AB$34),UPPER(TEXT(EDATE($D147,Milestones!$AA$34),"dd mmm yy"))&amp;" "&amp;Milestones!$AB$34&amp;" "&amp;Milestones!$AC$34&amp;";  ","")&amp;IF(AND(EDATE($D147,Milestones!$AA$35)&lt;=AsOfDate,IF($R147=0,$X147,IF(AND($T147&lt;&gt;"",EDATE($D147,Milestones!$AA$35)&gt;=$T147),$W147,IF(AND($S147&lt;&gt;"",EDATE($D147,Milestones!$AA$35)&gt;=$S147),$V147,$U147)))=Milestones!$AB$35),UPPER(TEXT(EDATE($D147,Milestones!$AA$35),"dd mmm yy"))&amp;" "&amp;Milestones!$AB$35&amp;" "&amp;Milestones!$AC$35&amp;";  ","")&amp;IF(AND(EDATE($D147,Milestones!$AA$36)&lt;=AsOfDate,IF($R147=0,$X147,IF(AND($T147&lt;&gt;"",EDATE($D147,Milestones!$AA$36)&gt;=$T147),$W147,IF(AND($S147&lt;&gt;"",EDATE($D147,Milestones!$AA$36)&gt;=$S147),$V147,$U147)))=Milestones!$AB$36),UPPER(TEXT(EDATE($D147,Milestones!$AA$36),"dd mmm yy"))&amp;" "&amp;Milestones!$AB$36&amp;" "&amp;Milestones!$AC$36&amp;";  ","")&amp;IF(AND(EDATE($D147,Milestones!$AA$37)&lt;=AsOfDate,IF($R147=0,$X147,IF(AND($T147&lt;&gt;"",EDATE($D147,Milestones!$AA$37)&gt;=$T147),$W147,IF(AND($S147&lt;&gt;"",EDATE($D147,Milestones!$AA$37)&gt;=$S147),$V147,$U147)))=Milestones!$AB$37),UPPER(TEXT(EDATE($D147,Milestones!$AA$37),"dd mmm yy"))&amp;" "&amp;Milestones!$AB$37&amp;" "&amp;Milestones!$AC$37&amp;";  ","")&amp;IF(AND(EDATE($D147,Milestones!$AA$38)&lt;=AsOfDate,IF($R147=0,$X147,IF(AND($T147&lt;&gt;"",EDATE($D147,Milestones!$AA$38)&gt;=$T147),$W147,IF(AND($S147&lt;&gt;"",EDATE($D147,Milestones!$AA$38)&gt;=$S147),$V147,$U147)))=Milestones!$AB$38),UPPER(TEXT(EDATE($D147,Milestones!$AA$38),"dd mmm yy"))&amp;" "&amp;Milestones!$AB$38&amp;" "&amp;Milestones!$AC$38&amp;";  ","")&amp;IF(AND(EDATE($D147,Milestones!$AA$39)&lt;=AsOfDate,IF($R147=0,$X147,IF(AND($T147&lt;&gt;"",EDATE($D147,Milestones!$AA$39)&gt;=$T147),$W147,IF(AND($S147&lt;&gt;"",EDATE($D147,Milestones!$AA$39)&gt;=$S147),$V147,$U147)))=Milestones!$AB$39),UPPER(TEXT(EDATE($D147,Milestones!$AA$39),"dd mmm yy"))&amp;" "&amp;Milestones!$AB$39&amp;" "&amp;Milestones!$AC$39&amp;";  ",""))</f>
        <v/>
      </c>
      <c r="J147" s="0" t="str">
        <f aca="false">IF(OR($A147="",$D147=""),"",IF(AND(EDATE($D147,Milestones!$AA$40)&lt;=AsOfDate,IF($R147=0,$X147,IF(AND($T147&lt;&gt;"",EDATE($D147,Milestones!$AA$40)&gt;=$T147),$W147,IF(AND($S147&lt;&gt;"",EDATE($D147,Milestones!$AA$40)&gt;=$S147),$V147,$U147)))=Milestones!$AB$40),UPPER(TEXT(EDATE($D147,Milestones!$AA$40),"dd mmm yy"))&amp;" "&amp;Milestones!$AB$40&amp;" "&amp;Milestones!$AC$40&amp;";  ","")&amp;IF(AND(EDATE($D147,Milestones!$AA$41)&lt;=AsOfDate,IF($R147=0,$X147,IF(AND($T147&lt;&gt;"",EDATE($D147,Milestones!$AA$41)&gt;=$T147),$W147,IF(AND($S147&lt;&gt;"",EDATE($D147,Milestones!$AA$41)&gt;=$S147),$V147,$U147)))=Milestones!$AB$41),UPPER(TEXT(EDATE($D147,Milestones!$AA$41),"dd mmm yy"))&amp;" "&amp;Milestones!$AB$41&amp;" "&amp;Milestones!$AC$41&amp;";  ","")&amp;IF(AND(EDATE($D147,Milestones!$AA$42)&lt;=AsOfDate,IF($R147=0,$X147,IF(AND($T147&lt;&gt;"",EDATE($D147,Milestones!$AA$42)&gt;=$T147),$W147,IF(AND($S147&lt;&gt;"",EDATE($D147,Milestones!$AA$42)&gt;=$S147),$V147,$U147)))=Milestones!$AB$42),UPPER(TEXT(EDATE($D147,Milestones!$AA$42),"dd mmm yy"))&amp;" "&amp;Milestones!$AB$42&amp;" "&amp;Milestones!$AC$42&amp;";  ","")&amp;IF(AND(EDATE($D147,Milestones!$AA$43)&lt;=AsOfDate,IF($R147=0,$X147,IF(AND($T147&lt;&gt;"",EDATE($D147,Milestones!$AA$43)&gt;=$T147),$W147,IF(AND($S147&lt;&gt;"",EDATE($D147,Milestones!$AA$43)&gt;=$S147),$V147,$U147)))=Milestones!$AB$43),UPPER(TEXT(EDATE($D147,Milestones!$AA$43),"dd mmm yy"))&amp;" "&amp;Milestones!$AB$43&amp;" "&amp;Milestones!$AC$43&amp;";  ","")&amp;IF(AND(EDATE($D147,Milestones!$AA$44)&lt;=AsOfDate,IF($R147=0,$X147,IF(AND($T147&lt;&gt;"",EDATE($D147,Milestones!$AA$44)&gt;=$T147),$W147,IF(AND($S147&lt;&gt;"",EDATE($D147,Milestones!$AA$44)&gt;=$S147),$V147,$U147)))=Milestones!$AB$44),UPPER(TEXT(EDATE($D147,Milestones!$AA$44),"dd mmm yy"))&amp;" "&amp;Milestones!$AB$44&amp;" "&amp;Milestones!$AC$44&amp;";  ","")&amp;IF(AND(EDATE($D147,Milestones!$AA$45)&lt;=AsOfDate,IF($R147=0,$X147,IF(AND($T147&lt;&gt;"",EDATE($D147,Milestones!$AA$45)&gt;=$T147),$W147,IF(AND($S147&lt;&gt;"",EDATE($D147,Milestones!$AA$45)&gt;=$S147),$V147,$U147)))=Milestones!$AB$45),UPPER(TEXT(EDATE($D147,Milestones!$AA$45),"dd mmm yy"))&amp;" "&amp;Milestones!$AB$45&amp;" "&amp;Milestones!$AC$45&amp;";  ","")&amp;IF(AND(EDATE($D147,Milestones!$AA$46)&lt;=AsOfDate,IF($R147=0,$X147,IF(AND($T147&lt;&gt;"",EDATE($D147,Milestones!$AA$46)&gt;=$T147),$W147,IF(AND($S147&lt;&gt;"",EDATE($D147,Milestones!$AA$46)&gt;=$S147),$V147,$U147)))=Milestones!$AB$46),UPPER(TEXT(EDATE($D147,Milestones!$AA$46),"dd mmm yy"))&amp;" "&amp;Milestones!$AB$46&amp;" "&amp;Milestones!$AC$46&amp;";  ","")&amp;IF(AND(EDATE($D147,Milestones!$AA$47)&lt;=AsOfDate,IF($R147=0,$X147,IF(AND($T147&lt;&gt;"",EDATE($D147,Milestones!$AA$47)&gt;=$T147),$W147,IF(AND($S147&lt;&gt;"",EDATE($D147,Milestones!$AA$47)&gt;=$S147),$V147,$U147)))=Milestones!$AB$47),UPPER(TEXT(EDATE($D147,Milestones!$AA$47),"dd mmm yy"))&amp;" "&amp;Milestones!$AB$47&amp;" "&amp;Milestones!$AC$47&amp;";  ","")&amp;IF(AND(EDATE($D147,Milestones!$AA$48)&lt;=AsOfDate,IF($R147=0,$X147,IF(AND($T147&lt;&gt;"",EDATE($D147,Milestones!$AA$48)&gt;=$T147),$W147,IF(AND($S147&lt;&gt;"",EDATE($D147,Milestones!$AA$48)&gt;=$S147),$V147,$U147)))=Milestones!$AB$48),UPPER(TEXT(EDATE($D147,Milestones!$AA$48),"dd mmm yy"))&amp;" "&amp;Milestones!$AB$48&amp;" "&amp;Milestones!$AC$48&amp;";  ","")&amp;IF(AND(EDATE($D147,Milestones!$AA$49)&lt;=AsOfDate,IF($R147=0,$X147,IF(AND($T147&lt;&gt;"",EDATE($D147,Milestones!$AA$49)&gt;=$T147),$W147,IF(AND($S147&lt;&gt;"",EDATE($D147,Milestones!$AA$49)&gt;=$S147),$V147,$U147)))=Milestones!$AB$49),UPPER(TEXT(EDATE($D147,Milestones!$AA$49),"dd mmm yy"))&amp;" "&amp;Milestones!$AB$49&amp;" "&amp;Milestones!$AC$49&amp;";  ","")&amp;IF(AND(EDATE($D147,Milestones!$AA$50)&lt;=AsOfDate,IF($R147=0,$X147,IF(AND($T147&lt;&gt;"",EDATE($D147,Milestones!$AA$50)&gt;=$T147),$W147,IF(AND($S147&lt;&gt;"",EDATE($D147,Milestones!$AA$50)&gt;=$S147),$V147,$U147)))=Milestones!$AB$50),UPPER(TEXT(EDATE($D147,Milestones!$AA$50),"dd mmm yy"))&amp;" "&amp;Milestones!$AB$50&amp;" "&amp;Milestones!$AC$50&amp;";  ","")&amp;IF(AND(EDATE($D147,Milestones!$AA$51)&lt;=AsOfDate,IF($R147=0,$X147,IF(AND($T147&lt;&gt;"",EDATE($D147,Milestones!$AA$51)&gt;=$T147),$W147,IF(AND($S147&lt;&gt;"",EDATE($D147,Milestones!$AA$51)&gt;=$S147),$V147,$U147)))=Milestones!$AB$51),UPPER(TEXT(EDATE($D147,Milestones!$AA$51),"dd mmm yy"))&amp;" "&amp;Milestones!$AB$51&amp;" "&amp;Milestones!$AC$51&amp;";  ","")&amp;IF(AND(EDATE($D147,Milestones!$AA$52)&lt;=AsOfDate,IF($R147=0,$X147,IF(AND($T147&lt;&gt;"",EDATE($D147,Milestones!$AA$52)&gt;=$T147),$W147,IF(AND($S147&lt;&gt;"",EDATE($D147,Milestones!$AA$52)&gt;=$S147),$V147,$U147)))=Milestones!$AB$52),UPPER(TEXT(EDATE($D147,Milestones!$AA$52),"dd mmm yy"))&amp;" "&amp;Milestones!$AB$52&amp;" "&amp;Milestones!$AC$52&amp;";  ","")&amp;IF(AND(EDATE($D147,Milestones!$AA$53)&lt;=AsOfDate,IF($R147=0,$X147,IF(AND($T147&lt;&gt;"",EDATE($D147,Milestones!$AA$53)&gt;=$T147),$W147,IF(AND($S147&lt;&gt;"",EDATE($D147,Milestones!$AA$53)&gt;=$S147),$V147,$U147)))=Milestones!$AB$53),UPPER(TEXT(EDATE($D147,Milestones!$AA$53),"dd mmm yy"))&amp;" "&amp;Milestones!$AB$53&amp;" "&amp;Milestones!$AC$53&amp;";  ","")&amp;IF(AND(EDATE($D147,Milestones!$AA$54)&lt;=AsOfDate,IF($R147=0,$X147,IF(AND($T147&lt;&gt;"",EDATE($D147,Milestones!$AA$54)&gt;=$T147),$W147,IF(AND($S147&lt;&gt;"",EDATE($D147,Milestones!$AA$54)&gt;=$S147),$V147,$U147)))=Milestones!$AB$54),UPPER(TEXT(EDATE($D147,Milestones!$AA$54),"dd mmm yy"))&amp;" "&amp;Milestones!$AB$54&amp;" "&amp;Milestones!$AC$54&amp;";  ","")&amp;IF(AND(EDATE($D147,Milestones!$AA$55)&lt;=AsOfDate,IF($R147=0,$X147,IF(AND($T147&lt;&gt;"",EDATE($D147,Milestones!$AA$55)&gt;=$T147),$W147,IF(AND($S147&lt;&gt;"",EDATE($D147,Milestones!$AA$55)&gt;=$S147),$V147,$U147)))=Milestones!$AB$55),UPPER(TEXT(EDATE($D147,Milestones!$AA$55),"dd mmm yy"))&amp;" "&amp;Milestones!$AB$55&amp;" "&amp;Milestones!$AC$55&amp;";  ","")&amp;IF(AND(EDATE($D147,Milestones!$AA$56)&lt;=AsOfDate,IF($R147=0,$X147,IF(AND($T147&lt;&gt;"",EDATE($D147,Milestones!$AA$56)&gt;=$T147),$W147,IF(AND($S147&lt;&gt;"",EDATE($D147,Milestones!$AA$56)&gt;=$S147),$V147,$U147)))=Milestones!$AB$56),UPPER(TEXT(EDATE($D147,Milestones!$AA$56),"dd mmm yy"))&amp;" "&amp;Milestones!$AB$56&amp;" "&amp;Milestones!$AC$56&amp;";  ","")&amp;IF(AND(EDATE($D147,Milestones!$AA$57)&lt;=AsOfDate,IF($R147=0,$X147,IF(AND($T147&lt;&gt;"",EDATE($D147,Milestones!$AA$57)&gt;=$T147),$W147,IF(AND($S147&lt;&gt;"",EDATE($D147,Milestones!$AA$57)&gt;=$S147),$V147,$U147)))=Milestones!$AB$57),UPPER(TEXT(EDATE($D147,Milestones!$AA$57),"dd mmm yy"))&amp;" "&amp;Milestones!$AB$57&amp;" "&amp;Milestones!$AC$57&amp;";  ","")&amp;IF(AND(EDATE($D147,Milestones!$AA$58)&lt;=AsOfDate,IF($R147=0,$X147,IF(AND($T147&lt;&gt;"",EDATE($D147,Milestones!$AA$58)&gt;=$T147),$W147,IF(AND($S147&lt;&gt;"",EDATE($D147,Milestones!$AA$58)&gt;=$S147),$V147,$U147)))=Milestones!$AB$58),UPPER(TEXT(EDATE($D147,Milestones!$AA$58),"dd mmm yy"))&amp;" "&amp;Milestones!$AB$58&amp;" "&amp;Milestones!$AC$58&amp;";  ","")&amp;IF(AND(EDATE($D147,Milestones!$AA$59)&lt;=AsOfDate,IF($R147=0,$X147,IF(AND($T147&lt;&gt;"",EDATE($D147,Milestones!$AA$59)&gt;=$T147),$W147,IF(AND($S147&lt;&gt;"",EDATE($D147,Milestones!$AA$59)&gt;=$S147),$V147,$U147)))=Milestones!$AB$59),UPPER(TEXT(EDATE($D147,Milestones!$AA$59),"dd mmm yy"))&amp;" "&amp;Milestones!$AB$59&amp;" "&amp;Milestones!$AC$59&amp;";  ",""))</f>
        <v/>
      </c>
      <c r="K147" s="0" t="str">
        <f aca="false">IF(OR($A147="",$D147=""),"",IF(AND(EDATE($D147,Milestones!$AA$60)&lt;=AsOfDate,IF($R147=0,$X147,IF(AND($T147&lt;&gt;"",EDATE($D147,Milestones!$AA$60)&gt;=$T147),$W147,IF(AND($S147&lt;&gt;"",EDATE($D147,Milestones!$AA$60)&gt;=$S147),$V147,$U147)))=Milestones!$AB$60),UPPER(TEXT(EDATE($D147,Milestones!$AA$60),"dd mmm yy"))&amp;" "&amp;Milestones!$AB$60&amp;" "&amp;Milestones!$AC$60&amp;";  ","")&amp;IF(AND(EDATE($D147,Milestones!$AA$61)&lt;=AsOfDate,IF($R147=0,$X147,IF(AND($T147&lt;&gt;"",EDATE($D147,Milestones!$AA$61)&gt;=$T147),$W147,IF(AND($S147&lt;&gt;"",EDATE($D147,Milestones!$AA$61)&gt;=$S147),$V147,$U147)))=Milestones!$AB$61),UPPER(TEXT(EDATE($D147,Milestones!$AA$61),"dd mmm yy"))&amp;" "&amp;Milestones!$AB$61&amp;" "&amp;Milestones!$AC$61&amp;";  ","")&amp;IF(AND(EDATE($D147,Milestones!$AA$62)&lt;=AsOfDate,IF($R147=0,$X147,IF(AND($T147&lt;&gt;"",EDATE($D147,Milestones!$AA$62)&gt;=$T147),$W147,IF(AND($S147&lt;&gt;"",EDATE($D147,Milestones!$AA$62)&gt;=$S147),$V147,$U147)))=Milestones!$AB$62),UPPER(TEXT(EDATE($D147,Milestones!$AA$62),"dd mmm yy"))&amp;" "&amp;Milestones!$AB$62&amp;" "&amp;Milestones!$AC$62&amp;";  ","")&amp;IF(AND(EDATE($D147,Milestones!$AA$63)&lt;=AsOfDate,IF($R147=0,$X147,IF(AND($T147&lt;&gt;"",EDATE($D147,Milestones!$AA$63)&gt;=$T147),$W147,IF(AND($S147&lt;&gt;"",EDATE($D147,Milestones!$AA$63)&gt;=$S147),$V147,$U147)))=Milestones!$AB$63),UPPER(TEXT(EDATE($D147,Milestones!$AA$63),"dd mmm yy"))&amp;" "&amp;Milestones!$AB$63&amp;" "&amp;Milestones!$AC$63&amp;";  ","")&amp;IF(AND(EDATE($D147,Milestones!$AA$64)&lt;=AsOfDate,IF($R147=0,$X147,IF(AND($T147&lt;&gt;"",EDATE($D147,Milestones!$AA$64)&gt;=$T147),$W147,IF(AND($S147&lt;&gt;"",EDATE($D147,Milestones!$AA$64)&gt;=$S147),$V147,$U147)))=Milestones!$AB$64),UPPER(TEXT(EDATE($D147,Milestones!$AA$64),"dd mmm yy"))&amp;" "&amp;Milestones!$AB$64&amp;" "&amp;Milestones!$AC$64&amp;";  ","")&amp;IF(AND(EDATE($D147,Milestones!$AA$65)&lt;=AsOfDate,IF($R147=0,$X147,IF(AND($T147&lt;&gt;"",EDATE($D147,Milestones!$AA$65)&gt;=$T147),$W147,IF(AND($S147&lt;&gt;"",EDATE($D147,Milestones!$AA$65)&gt;=$S147),$V147,$U147)))=Milestones!$AB$65),UPPER(TEXT(EDATE($D147,Milestones!$AA$65),"dd mmm yy"))&amp;" "&amp;Milestones!$AB$65&amp;" "&amp;Milestones!$AC$65&amp;";  ","")&amp;IF(AND(EDATE($D147,Milestones!$AA$66)&lt;=AsOfDate,IF($R147=0,$X147,IF(AND($T147&lt;&gt;"",EDATE($D147,Milestones!$AA$66)&gt;=$T147),$W147,IF(AND($S147&lt;&gt;"",EDATE($D147,Milestones!$AA$66)&gt;=$S147),$V147,$U147)))=Milestones!$AB$66),UPPER(TEXT(EDATE($D147,Milestones!$AA$66),"dd mmm yy"))&amp;" "&amp;Milestones!$AB$66&amp;" "&amp;Milestones!$AC$66&amp;";  ","")&amp;IF(AND(EDATE($D147,Milestones!$AA$67)&lt;=AsOfDate,IF($R147=0,$X147,IF(AND($T147&lt;&gt;"",EDATE($D147,Milestones!$AA$67)&gt;=$T147),$W147,IF(AND($S147&lt;&gt;"",EDATE($D147,Milestones!$AA$67)&gt;=$S147),$V147,$U147)))=Milestones!$AB$67),UPPER(TEXT(EDATE($D147,Milestones!$AA$67),"dd mmm yy"))&amp;" "&amp;Milestones!$AB$67&amp;" "&amp;Milestones!$AC$67&amp;";  ","")&amp;IF(AND(EDATE($D147,Milestones!$AA$68)&lt;=AsOfDate,IF($R147=0,$X147,IF(AND($T147&lt;&gt;"",EDATE($D147,Milestones!$AA$68)&gt;=$T147),$W147,IF(AND($S147&lt;&gt;"",EDATE($D147,Milestones!$AA$68)&gt;=$S147),$V147,$U147)))=Milestones!$AB$68),UPPER(TEXT(EDATE($D147,Milestones!$AA$68),"dd mmm yy"))&amp;" "&amp;Milestones!$AB$68&amp;" "&amp;Milestones!$AC$68&amp;";  ","")&amp;IF(AND(EDATE($D147,Milestones!$AA$69)&lt;=AsOfDate,IF($R147=0,$X147,IF(AND($T147&lt;&gt;"",EDATE($D147,Milestones!$AA$69)&gt;=$T147),$W147,IF(AND($S147&lt;&gt;"",EDATE($D147,Milestones!$AA$69)&gt;=$S147),$V147,$U147)))=Milestones!$AB$69),UPPER(TEXT(EDATE($D147,Milestones!$AA$69),"dd mmm yy"))&amp;" "&amp;Milestones!$AB$69&amp;" "&amp;Milestones!$AC$69&amp;";  ","")&amp;IF(AND(EDATE($D147,Milestones!$AA$70)&lt;=AsOfDate,IF($R147=0,$X147,IF(AND($T147&lt;&gt;"",EDATE($D147,Milestones!$AA$70)&gt;=$T147),$W147,IF(AND($S147&lt;&gt;"",EDATE($D147,Milestones!$AA$70)&gt;=$S147),$V147,$U147)))=Milestones!$AB$70),UPPER(TEXT(EDATE($D147,Milestones!$AA$70),"dd mmm yy"))&amp;" "&amp;Milestones!$AB$70&amp;" "&amp;Milestones!$AC$70&amp;";  ","")&amp;IF(AND(EDATE($D147,Milestones!$AA$71)&lt;=AsOfDate,IF($R147=0,$X147,IF(AND($T147&lt;&gt;"",EDATE($D147,Milestones!$AA$71)&gt;=$T147),$W147,IF(AND($S147&lt;&gt;"",EDATE($D147,Milestones!$AA$71)&gt;=$S147),$V147,$U147)))=Milestones!$AB$71),UPPER(TEXT(EDATE($D147,Milestones!$AA$71),"dd mmm yy"))&amp;" "&amp;Milestones!$AB$71&amp;" "&amp;Milestones!$AC$71&amp;";  ","")&amp;IF(AND(EDATE($D147,Milestones!$AA$72)&lt;=AsOfDate,IF($R147=0,$X147,IF(AND($T147&lt;&gt;"",EDATE($D147,Milestones!$AA$72)&gt;=$T147),$W147,IF(AND($S147&lt;&gt;"",EDATE($D147,Milestones!$AA$72)&gt;=$S147),$V147,$U147)))=Milestones!$AB$72),UPPER(TEXT(EDATE($D147,Milestones!$AA$72),"dd mmm yy"))&amp;" "&amp;Milestones!$AB$72&amp;" "&amp;Milestones!$AC$72&amp;";  ","")&amp;IF(AND(EDATE($D147,Milestones!$AA$73)&lt;=AsOfDate,IF($R147=0,$X147,IF(AND($T147&lt;&gt;"",EDATE($D147,Milestones!$AA$73)&gt;=$T147),$W147,IF(AND($S147&lt;&gt;"",EDATE($D147,Milestones!$AA$73)&gt;=$S147),$V147,$U147)))=Milestones!$AB$73),UPPER(TEXT(EDATE($D147,Milestones!$AA$73),"dd mmm yy"))&amp;" "&amp;Milestones!$AB$73&amp;" "&amp;Milestones!$AC$73&amp;";  ","")&amp;IF(AND(EDATE($D147,Milestones!$AA$74)&lt;=AsOfDate,IF($R147=0,$X147,IF(AND($T147&lt;&gt;"",EDATE($D147,Milestones!$AA$74)&gt;=$T147),$W147,IF(AND($S147&lt;&gt;"",EDATE($D147,Milestones!$AA$74)&gt;=$S147),$V147,$U147)))=Milestones!$AB$74),UPPER(TEXT(EDATE($D147,Milestones!$AA$74),"dd mmm yy"))&amp;" "&amp;Milestones!$AB$74&amp;" "&amp;Milestones!$AC$74&amp;";  ","")&amp;IF(AND(EDATE($D147,Milestones!$AA$75)&lt;=AsOfDate,IF($R147=0,$X147,IF(AND($T147&lt;&gt;"",EDATE($D147,Milestones!$AA$75)&gt;=$T147),$W147,IF(AND($S147&lt;&gt;"",EDATE($D147,Milestones!$AA$75)&gt;=$S147),$V147,$U147)))=Milestones!$AB$75),UPPER(TEXT(EDATE($D147,Milestones!$AA$75),"dd mmm yy"))&amp;" "&amp;Milestones!$AB$75&amp;" "&amp;Milestones!$AC$75&amp;";  ","")&amp;IF(AND(EDATE($D147,Milestones!$AA$76)&lt;=AsOfDate,IF($R147=0,$X147,IF(AND($T147&lt;&gt;"",EDATE($D147,Milestones!$AA$76)&gt;=$T147),$W147,IF(AND($S147&lt;&gt;"",EDATE($D147,Milestones!$AA$76)&gt;=$S147),$V147,$U147)))=Milestones!$AB$76),UPPER(TEXT(EDATE($D147,Milestones!$AA$76),"dd mmm yy"))&amp;" "&amp;Milestones!$AB$76&amp;" "&amp;Milestones!$AC$76&amp;";  ","")&amp;IF(AND(EDATE($D147,Milestones!$AA$77)&lt;=AsOfDate,IF($R147=0,$X147,IF(AND($T147&lt;&gt;"",EDATE($D147,Milestones!$AA$77)&gt;=$T147),$W147,IF(AND($S147&lt;&gt;"",EDATE($D147,Milestones!$AA$77)&gt;=$S147),$V147,$U147)))=Milestones!$AB$77),UPPER(TEXT(EDATE($D147,Milestones!$AA$77),"dd mmm yy"))&amp;" "&amp;Milestones!$AB$77&amp;" "&amp;Milestones!$AC$77&amp;";  ","")&amp;IF(AND(EDATE($D147,Milestones!$AA$78)&lt;=AsOfDate,IF($R147=0,$X147,IF(AND($T147&lt;&gt;"",EDATE($D147,Milestones!$AA$78)&gt;=$T147),$W147,IF(AND($S147&lt;&gt;"",EDATE($D147,Milestones!$AA$78)&gt;=$S147),$V147,$U147)))=Milestones!$AB$78),UPPER(TEXT(EDATE($D147,Milestones!$AA$78),"dd mmm yy"))&amp;" "&amp;Milestones!$AB$78&amp;" "&amp;Milestones!$AC$78&amp;";  ","")&amp;IF(AND(EDATE($D147,Milestones!$AA$79)&lt;=AsOfDate,IF($R147=0,$X147,IF(AND($T147&lt;&gt;"",EDATE($D147,Milestones!$AA$79)&gt;=$T147),$W147,IF(AND($S147&lt;&gt;"",EDATE($D147,Milestones!$AA$79)&gt;=$S147),$V147,$U147)))=Milestones!$AB$79),UPPER(TEXT(EDATE($D147,Milestones!$AA$79),"dd mmm yy"))&amp;" "&amp;Milestones!$AB$79&amp;" "&amp;Milestones!$AC$79&amp;";  ",""))</f>
        <v/>
      </c>
      <c r="L147" s="0" t="str">
        <f aca="false">IF(OR($A147="",$D147=""),"",IF(AND(EDATE($D147,Milestones!$AA$80)&lt;=AsOfDate,IF($R147=0,$X147,IF(AND($T147&lt;&gt;"",EDATE($D147,Milestones!$AA$80)&gt;=$T147),$W147,IF(AND($S147&lt;&gt;"",EDATE($D147,Milestones!$AA$80)&gt;=$S147),$V147,$U147)))=Milestones!$AB$80),UPPER(TEXT(EDATE($D147,Milestones!$AA$80),"dd mmm yy"))&amp;" "&amp;Milestones!$AB$80&amp;" "&amp;Milestones!$AC$80&amp;";  ","")&amp;IF(AND(EDATE($D147,Milestones!$AA$81)&lt;=AsOfDate,IF($R147=0,$X147,IF(AND($T147&lt;&gt;"",EDATE($D147,Milestones!$AA$81)&gt;=$T147),$W147,IF(AND($S147&lt;&gt;"",EDATE($D147,Milestones!$AA$81)&gt;=$S147),$V147,$U147)))=Milestones!$AB$81),UPPER(TEXT(EDATE($D147,Milestones!$AA$81),"dd mmm yy"))&amp;" "&amp;Milestones!$AB$81&amp;" "&amp;Milestones!$AC$81&amp;";  ","")&amp;IF(AND(EDATE($D147,Milestones!$AA$82)&lt;=AsOfDate,IF($R147=0,$X147,IF(AND($T147&lt;&gt;"",EDATE($D147,Milestones!$AA$82)&gt;=$T147),$W147,IF(AND($S147&lt;&gt;"",EDATE($D147,Milestones!$AA$82)&gt;=$S147),$V147,$U147)))=Milestones!$AB$82),UPPER(TEXT(EDATE($D147,Milestones!$AA$82),"dd mmm yy"))&amp;" "&amp;Milestones!$AB$82&amp;" "&amp;Milestones!$AC$82&amp;";  ","")&amp;IF(AND(EDATE($D147,Milestones!$AA$83)&lt;=AsOfDate,IF($R147=0,$X147,IF(AND($T147&lt;&gt;"",EDATE($D147,Milestones!$AA$83)&gt;=$T147),$W147,IF(AND($S147&lt;&gt;"",EDATE($D147,Milestones!$AA$83)&gt;=$S147),$V147,$U147)))=Milestones!$AB$83),UPPER(TEXT(EDATE($D147,Milestones!$AA$83),"dd mmm yy"))&amp;" "&amp;Milestones!$AB$83&amp;" "&amp;Milestones!$AC$83&amp;";  ","")&amp;IF(AND(EDATE($D147,Milestones!$AA$84)&lt;=AsOfDate,IF($R147=0,$X147,IF(AND($T147&lt;&gt;"",EDATE($D147,Milestones!$AA$84)&gt;=$T147),$W147,IF(AND($S147&lt;&gt;"",EDATE($D147,Milestones!$AA$84)&gt;=$S147),$V147,$U147)))=Milestones!$AB$84),UPPER(TEXT(EDATE($D147,Milestones!$AA$84),"dd mmm yy"))&amp;" "&amp;Milestones!$AB$84&amp;" "&amp;Milestones!$AC$84&amp;";  ","")&amp;IF(AND(EDATE($D147,Milestones!$AA$85)&lt;=AsOfDate,IF($R147=0,$X147,IF(AND($T147&lt;&gt;"",EDATE($D147,Milestones!$AA$85)&gt;=$T147),$W147,IF(AND($S147&lt;&gt;"",EDATE($D147,Milestones!$AA$85)&gt;=$S147),$V147,$U147)))=Milestones!$AB$85),UPPER(TEXT(EDATE($D147,Milestones!$AA$85),"dd mmm yy"))&amp;" "&amp;Milestones!$AB$85&amp;" "&amp;Milestones!$AC$85&amp;";  ","")&amp;IF(AND(EDATE($D147,Milestones!$AA$86)&lt;=AsOfDate,IF($R147=0,$X147,IF(AND($T147&lt;&gt;"",EDATE($D147,Milestones!$AA$86)&gt;=$T147),$W147,IF(AND($S147&lt;&gt;"",EDATE($D147,Milestones!$AA$86)&gt;=$S147),$V147,$U147)))=Milestones!$AB$86),UPPER(TEXT(EDATE($D147,Milestones!$AA$86),"dd mmm yy"))&amp;" "&amp;Milestones!$AB$86&amp;" "&amp;Milestones!$AC$86&amp;";  ","")&amp;IF(AND(EDATE($D147,Milestones!$AA$87)&lt;=AsOfDate,IF($R147=0,$X147,IF(AND($T147&lt;&gt;"",EDATE($D147,Milestones!$AA$87)&gt;=$T147),$W147,IF(AND($S147&lt;&gt;"",EDATE($D147,Milestones!$AA$87)&gt;=$S147),$V147,$U147)))=Milestones!$AB$87),UPPER(TEXT(EDATE($D147,Milestones!$AA$87),"dd mmm yy"))&amp;" "&amp;Milestones!$AB$87&amp;" "&amp;Milestones!$AC$87&amp;";  ","")&amp;IF(AND(EDATE($D147,Milestones!$AA$88)&lt;=AsOfDate,IF($R147=0,$X147,IF(AND($T147&lt;&gt;"",EDATE($D147,Milestones!$AA$88)&gt;=$T147),$W147,IF(AND($S147&lt;&gt;"",EDATE($D147,Milestones!$AA$88)&gt;=$S147),$V147,$U147)))=Milestones!$AB$88),UPPER(TEXT(EDATE($D147,Milestones!$AA$88),"dd mmm yy"))&amp;" "&amp;Milestones!$AB$88&amp;" "&amp;Milestones!$AC$88&amp;";  ","")&amp;IF(AND(EDATE($D147,Milestones!$AA$89)&lt;=AsOfDate,IF($R147=0,$X147,IF(AND($T147&lt;&gt;"",EDATE($D147,Milestones!$AA$89)&gt;=$T147),$W147,IF(AND($S147&lt;&gt;"",EDATE($D147,Milestones!$AA$89)&gt;=$S147),$V147,$U147)))=Milestones!$AB$89),UPPER(TEXT(EDATE($D147,Milestones!$AA$89),"dd mmm yy"))&amp;" "&amp;Milestones!$AB$89&amp;" "&amp;Milestones!$AC$89&amp;";  ","")&amp;IF(AND(EDATE($D147,Milestones!$AA$90)&lt;=AsOfDate,IF($R147=0,$X147,IF(AND($T147&lt;&gt;"",EDATE($D147,Milestones!$AA$90)&gt;=$T147),$W147,IF(AND($S147&lt;&gt;"",EDATE($D147,Milestones!$AA$90)&gt;=$S147),$V147,$U147)))=Milestones!$AB$90),UPPER(TEXT(EDATE($D147,Milestones!$AA$90),"dd mmm yy"))&amp;" "&amp;Milestones!$AB$90&amp;" "&amp;Milestones!$AC$90&amp;";  ","")&amp;IF(AND(EDATE($D147,Milestones!$AA$91)&lt;=AsOfDate,IF($R147=0,$X147,IF(AND($T147&lt;&gt;"",EDATE($D147,Milestones!$AA$91)&gt;=$T147),$W147,IF(AND($S147&lt;&gt;"",EDATE($D147,Milestones!$AA$91)&gt;=$S147),$V147,$U147)))=Milestones!$AB$91),UPPER(TEXT(EDATE($D147,Milestones!$AA$91),"dd mmm yy"))&amp;" "&amp;Milestones!$AB$91&amp;" "&amp;Milestones!$AC$91&amp;";  ","")&amp;IF(AND(EDATE($D147,Milestones!$AA$92)&lt;=AsOfDate,IF($R147=0,$X147,IF(AND($T147&lt;&gt;"",EDATE($D147,Milestones!$AA$92)&gt;=$T147),$W147,IF(AND($S147&lt;&gt;"",EDATE($D147,Milestones!$AA$92)&gt;=$S147),$V147,$U147)))=Milestones!$AB$92),UPPER(TEXT(EDATE($D147,Milestones!$AA$92),"dd mmm yy"))&amp;" "&amp;Milestones!$AB$92&amp;" "&amp;Milestones!$AC$92&amp;";  ","")&amp;IF(AND(EDATE($D147,Milestones!$AA$93)&lt;=AsOfDate,IF($R147=0,$X147,IF(AND($T147&lt;&gt;"",EDATE($D147,Milestones!$AA$93)&gt;=$T147),$W147,IF(AND($S147&lt;&gt;"",EDATE($D147,Milestones!$AA$93)&gt;=$S147),$V147,$U147)))=Milestones!$AB$93),UPPER(TEXT(EDATE($D147,Milestones!$AA$93),"dd mmm yy"))&amp;" "&amp;Milestones!$AB$93&amp;" "&amp;Milestones!$AC$93&amp;";  ","")&amp;IF(AND(EDATE($D147,Milestones!$AA$94)&lt;=AsOfDate,IF($R147=0,$X147,IF(AND($T147&lt;&gt;"",EDATE($D147,Milestones!$AA$94)&gt;=$T147),$W147,IF(AND($S147&lt;&gt;"",EDATE($D147,Milestones!$AA$94)&gt;=$S147),$V147,$U147)))=Milestones!$AB$94),UPPER(TEXT(EDATE($D147,Milestones!$AA$94),"dd mmm yy"))&amp;" "&amp;Milestones!$AB$94&amp;" "&amp;Milestones!$AC$94&amp;";  ","")&amp;IF(AND(EDATE($D147,Milestones!$AA$95)&lt;=AsOfDate,IF($R147=0,$X147,IF(AND($T147&lt;&gt;"",EDATE($D147,Milestones!$AA$95)&gt;=$T147),$W147,IF(AND($S147&lt;&gt;"",EDATE($D147,Milestones!$AA$95)&gt;=$S147),$V147,$U147)))=Milestones!$AB$95),UPPER(TEXT(EDATE($D147,Milestones!$AA$95),"dd mmm yy"))&amp;" "&amp;Milestones!$AB$95&amp;" "&amp;Milestones!$AC$95&amp;";  ","")&amp;IF(AND(EDATE($D147,Milestones!$AA$96)&lt;=AsOfDate,IF($R147=0,$X147,IF(AND($T147&lt;&gt;"",EDATE($D147,Milestones!$AA$96)&gt;=$T147),$W147,IF(AND($S147&lt;&gt;"",EDATE($D147,Milestones!$AA$96)&gt;=$S147),$V147,$U147)))=Milestones!$AB$96),UPPER(TEXT(EDATE($D147,Milestones!$AA$96),"dd mmm yy"))&amp;" "&amp;Milestones!$AB$96&amp;" "&amp;Milestones!$AC$96&amp;";  ","")&amp;IF(AND(EDATE($D147,Milestones!$AA$97)&lt;=AsOfDate,IF($R147=0,$X147,IF(AND($T147&lt;&gt;"",EDATE($D147,Milestones!$AA$97)&gt;=$T147),$W147,IF(AND($S147&lt;&gt;"",EDATE($D147,Milestones!$AA$97)&gt;=$S147),$V147,$U147)))=Milestones!$AB$97),UPPER(TEXT(EDATE($D147,Milestones!$AA$97),"dd mmm yy"))&amp;" "&amp;Milestones!$AB$97&amp;" "&amp;Milestones!$AC$97&amp;";  ","")&amp;IF(AND(EDATE($D147,Milestones!$AA$98)&lt;=AsOfDate,IF($R147=0,$X147,IF(AND($T147&lt;&gt;"",EDATE($D147,Milestones!$AA$98)&gt;=$T147),$W147,IF(AND($S147&lt;&gt;"",EDATE($D147,Milestones!$AA$98)&gt;=$S147),$V147,$U147)))=Milestones!$AB$98),UPPER(TEXT(EDATE($D147,Milestones!$AA$98),"dd mmm yy"))&amp;" "&amp;Milestones!$AB$98&amp;" "&amp;Milestones!$AC$98&amp;";  ","")&amp;IF(AND(EDATE($D147,Milestones!$AA$99)&lt;=AsOfDate,IF($R147=0,$X147,IF(AND($T147&lt;&gt;"",EDATE($D147,Milestones!$AA$99)&gt;=$T147),$W147,IF(AND($S147&lt;&gt;"",EDATE($D147,Milestones!$AA$99)&gt;=$S147),$V147,$U147)))=Milestones!$AB$99),UPPER(TEXT(EDATE($D147,Milestones!$AA$99),"dd mmm yy"))&amp;" "&amp;Milestones!$AB$99&amp;" "&amp;Milestones!$AC$99&amp;";  ",""))</f>
        <v/>
      </c>
      <c r="M147" s="0" t="str">
        <f aca="false">IF(OR($A147="",$D147=""),"",IF(AND(EDATE($D147,Milestones!$AA$100)&lt;=AsOfDate,IF($R147=0,$X147,IF(AND($T147&lt;&gt;"",EDATE($D147,Milestones!$AA$100)&gt;=$T147),$W147,IF(AND($S147&lt;&gt;"",EDATE($D147,Milestones!$AA$100)&gt;=$S147),$V147,$U147)))=Milestones!$AB$100),UPPER(TEXT(EDATE($D147,Milestones!$AA$100),"dd mmm yy"))&amp;" "&amp;Milestones!$AB$100&amp;" "&amp;Milestones!$AC$100&amp;";  ","")&amp;IF(AND(EDATE($D147,Milestones!$AA$101)&lt;=AsOfDate,IF($R147=0,$X147,IF(AND($T147&lt;&gt;"",EDATE($D147,Milestones!$AA$101)&gt;=$T147),$W147,IF(AND($S147&lt;&gt;"",EDATE($D147,Milestones!$AA$101)&gt;=$S147),$V147,$U147)))=Milestones!$AB$101),UPPER(TEXT(EDATE($D147,Milestones!$AA$101),"dd mmm yy"))&amp;" "&amp;Milestones!$AB$101&amp;" "&amp;Milestones!$AC$101&amp;";  ","")&amp;IF(AND(EDATE($D147,Milestones!$AA$102)&lt;=AsOfDate,IF($R147=0,$X147,IF(AND($T147&lt;&gt;"",EDATE($D147,Milestones!$AA$102)&gt;=$T147),$W147,IF(AND($S147&lt;&gt;"",EDATE($D147,Milestones!$AA$102)&gt;=$S147),$V147,$U147)))=Milestones!$AB$102),UPPER(TEXT(EDATE($D147,Milestones!$AA$102),"dd mmm yy"))&amp;" "&amp;Milestones!$AB$102&amp;" "&amp;Milestones!$AC$102&amp;";  ","")&amp;IF(AND(EDATE($D147,Milestones!$AA$103)&lt;=AsOfDate,IF($R147=0,$X147,IF(AND($T147&lt;&gt;"",EDATE($D147,Milestones!$AA$103)&gt;=$T147),$W147,IF(AND($S147&lt;&gt;"",EDATE($D147,Milestones!$AA$103)&gt;=$S147),$V147,$U147)))=Milestones!$AB$103),UPPER(TEXT(EDATE($D147,Milestones!$AA$103),"dd mmm yy"))&amp;" "&amp;Milestones!$AB$103&amp;" "&amp;Milestones!$AC$103&amp;";  ","")&amp;IF(AND(EDATE($D147,Milestones!$AA$104)&lt;=AsOfDate,IF($R147=0,$X147,IF(AND($T147&lt;&gt;"",EDATE($D147,Milestones!$AA$104)&gt;=$T147),$W147,IF(AND($S147&lt;&gt;"",EDATE($D147,Milestones!$AA$104)&gt;=$S147),$V147,$U147)))=Milestones!$AB$104),UPPER(TEXT(EDATE($D147,Milestones!$AA$104),"dd mmm yy"))&amp;" "&amp;Milestones!$AB$104&amp;" "&amp;Milestones!$AC$104&amp;";  ","")&amp;IF(AND(EDATE($D147,Milestones!$AA$105)&lt;=AsOfDate,IF($R147=0,$X147,IF(AND($T147&lt;&gt;"",EDATE($D147,Milestones!$AA$105)&gt;=$T147),$W147,IF(AND($S147&lt;&gt;"",EDATE($D147,Milestones!$AA$105)&gt;=$S147),$V147,$U147)))=Milestones!$AB$105),UPPER(TEXT(EDATE($D147,Milestones!$AA$105),"dd mmm yy"))&amp;" "&amp;Milestones!$AB$105&amp;" "&amp;Milestones!$AC$105&amp;";  ","")&amp;IF(AND(EDATE($D147,Milestones!$AA$106)&lt;=AsOfDate,IF($R147=0,$X147,IF(AND($T147&lt;&gt;"",EDATE($D147,Milestones!$AA$106)&gt;=$T147),$W147,IF(AND($S147&lt;&gt;"",EDATE($D147,Milestones!$AA$106)&gt;=$S147),$V147,$U147)))=Milestones!$AB$106),UPPER(TEXT(EDATE($D147,Milestones!$AA$106),"dd mmm yy"))&amp;" "&amp;Milestones!$AB$106&amp;" "&amp;Milestones!$AC$106&amp;";  ","")&amp;IF(AND(EDATE($D147,Milestones!$AA$107)&lt;=AsOfDate,IF($R147=0,$X147,IF(AND($T147&lt;&gt;"",EDATE($D147,Milestones!$AA$107)&gt;=$T147),$W147,IF(AND($S147&lt;&gt;"",EDATE($D147,Milestones!$AA$107)&gt;=$S147),$V147,$U147)))=Milestones!$AB$107),UPPER(TEXT(EDATE($D147,Milestones!$AA$107),"dd mmm yy"))&amp;" "&amp;Milestones!$AB$107&amp;" "&amp;Milestones!$AC$107&amp;";  ","")&amp;IF(AND(EDATE($D147,Milestones!$AA$108)&lt;=AsOfDate,IF($R147=0,$X147,IF(AND($T147&lt;&gt;"",EDATE($D147,Milestones!$AA$108)&gt;=$T147),$W147,IF(AND($S147&lt;&gt;"",EDATE($D147,Milestones!$AA$108)&gt;=$S147),$V147,$U147)))=Milestones!$AB$108),UPPER(TEXT(EDATE($D147,Milestones!$AA$108),"dd mmm yy"))&amp;" "&amp;Milestones!$AB$108&amp;" "&amp;Milestones!$AC$108&amp;";  ","")&amp;IF(AND(EDATE($D147,Milestones!$AA$109)&lt;=AsOfDate,IF($R147=0,$X147,IF(AND($T147&lt;&gt;"",EDATE($D147,Milestones!$AA$109)&gt;=$T147),$W147,IF(AND($S147&lt;&gt;"",EDATE($D147,Milestones!$AA$109)&gt;=$S147),$V147,$U147)))=Milestones!$AB$109),UPPER(TEXT(EDATE($D147,Milestones!$AA$109),"dd mmm yy"))&amp;" "&amp;Milestones!$AB$109&amp;" "&amp;Milestones!$AC$109&amp;";  ","")&amp;IF(AND(EDATE($D147,Milestones!$AA$110)&lt;=AsOfDate,IF($R147=0,$X147,IF(AND($T147&lt;&gt;"",EDATE($D147,Milestones!$AA$110)&gt;=$T147),$W147,IF(AND($S147&lt;&gt;"",EDATE($D147,Milestones!$AA$110)&gt;=$S147),$V147,$U147)))=Milestones!$AB$110),UPPER(TEXT(EDATE($D147,Milestones!$AA$110),"dd mmm yy"))&amp;" "&amp;Milestones!$AB$110&amp;" "&amp;Milestones!$AC$110&amp;";  ","")&amp;IF(AND(EDATE($D147,Milestones!$AA$111)&lt;=AsOfDate,IF($R147=0,$X147,IF(AND($T147&lt;&gt;"",EDATE($D147,Milestones!$AA$111)&gt;=$T147),$W147,IF(AND($S147&lt;&gt;"",EDATE($D147,Milestones!$AA$111)&gt;=$S147),$V147,$U147)))=Milestones!$AB$111),UPPER(TEXT(EDATE($D147,Milestones!$AA$111),"dd mmm yy"))&amp;" "&amp;Milestones!$AB$111&amp;" "&amp;Milestones!$AC$111&amp;";  ","")&amp;IF(AND(EDATE($D147,Milestones!$AA$112)&lt;=AsOfDate,IF($R147=0,$X147,IF(AND($T147&lt;&gt;"",EDATE($D147,Milestones!$AA$112)&gt;=$T147),$W147,IF(AND($S147&lt;&gt;"",EDATE($D147,Milestones!$AA$112)&gt;=$S147),$V147,$U147)))=Milestones!$AB$112),UPPER(TEXT(EDATE($D147,Milestones!$AA$112),"dd mmm yy"))&amp;" "&amp;Milestones!$AB$112&amp;" "&amp;Milestones!$AC$112&amp;";  ","")&amp;IF(AND(EDATE($D147,Milestones!$AA$113)&lt;=AsOfDate,IF($R147=0,$X147,IF(AND($T147&lt;&gt;"",EDATE($D147,Milestones!$AA$113)&gt;=$T147),$W147,IF(AND($S147&lt;&gt;"",EDATE($D147,Milestones!$AA$113)&gt;=$S147),$V147,$U147)))=Milestones!$AB$113),UPPER(TEXT(EDATE($D147,Milestones!$AA$113),"dd mmm yy"))&amp;" "&amp;Milestones!$AB$113&amp;" "&amp;Milestones!$AC$113&amp;";  ","")&amp;IF(AND(EDATE($D147,Milestones!$AA$114)&lt;=AsOfDate,IF($R147=0,$X147,IF(AND($T147&lt;&gt;"",EDATE($D147,Milestones!$AA$114)&gt;=$T147),$W147,IF(AND($S147&lt;&gt;"",EDATE($D147,Milestones!$AA$114)&gt;=$S147),$V147,$U147)))=Milestones!$AB$114),UPPER(TEXT(EDATE($D147,Milestones!$AA$114),"dd mmm yy"))&amp;" "&amp;Milestones!$AB$114&amp;" "&amp;Milestones!$AC$114&amp;";  ","")&amp;IF(AND(EDATE($D147,Milestones!$AA$115)&lt;=AsOfDate,IF($R147=0,$X147,IF(AND($T147&lt;&gt;"",EDATE($D147,Milestones!$AA$115)&gt;=$T147),$W147,IF(AND($S147&lt;&gt;"",EDATE($D147,Milestones!$AA$115)&gt;=$S147),$V147,$U147)))=Milestones!$AB$115),UPPER(TEXT(EDATE($D147,Milestones!$AA$115),"dd mmm yy"))&amp;" "&amp;Milestones!$AB$115&amp;" "&amp;Milestones!$AC$115&amp;";  ","")&amp;IF(AND(EDATE($D147,Milestones!$AA$116)&lt;=AsOfDate,IF($R147=0,$X147,IF(AND($T147&lt;&gt;"",EDATE($D147,Milestones!$AA$116)&gt;=$T147),$W147,IF(AND($S147&lt;&gt;"",EDATE($D147,Milestones!$AA$116)&gt;=$S147),$V147,$U147)))=Milestones!$AB$116),UPPER(TEXT(EDATE($D147,Milestones!$AA$116),"dd mmm yy"))&amp;" "&amp;Milestones!$AB$116&amp;" "&amp;Milestones!$AC$116&amp;";  ","")&amp;IF(AND(EDATE($D147,Milestones!$AA$117)&lt;=AsOfDate,IF($R147=0,$X147,IF(AND($T147&lt;&gt;"",EDATE($D147,Milestones!$AA$117)&gt;=$T147),$W147,IF(AND($S147&lt;&gt;"",EDATE($D147,Milestones!$AA$117)&gt;=$S147),$V147,$U147)))=Milestones!$AB$117),UPPER(TEXT(EDATE($D147,Milestones!$AA$117),"dd mmm yy"))&amp;" "&amp;Milestones!$AB$117&amp;" "&amp;Milestones!$AC$117&amp;";  ","")&amp;IF(AND(EDATE($D147,Milestones!$AA$118)&lt;=AsOfDate,IF($R147=0,$X147,IF(AND($T147&lt;&gt;"",EDATE($D147,Milestones!$AA$118)&gt;=$T147),$W147,IF(AND($S147&lt;&gt;"",EDATE($D147,Milestones!$AA$118)&gt;=$S147),$V147,$U147)))=Milestones!$AB$118),UPPER(TEXT(EDATE($D147,Milestones!$AA$118),"dd mmm yy"))&amp;" "&amp;Milestones!$AB$118&amp;" "&amp;Milestones!$AC$118&amp;";  ","")&amp;IF(AND(EDATE($D147,Milestones!$AA$119)&lt;=AsOfDate,IF($R147=0,$X147,IF(AND($T147&lt;&gt;"",EDATE($D147,Milestones!$AA$119)&gt;=$T147),$W147,IF(AND($S147&lt;&gt;"",EDATE($D147,Milestones!$AA$119)&gt;=$S147),$V147,$U147)))=Milestones!$AB$119),UPPER(TEXT(EDATE($D147,Milestones!$AA$119),"dd mmm yy"))&amp;" "&amp;Milestones!$AB$119&amp;" "&amp;Milestones!$AC$119&amp;";  ",""))</f>
        <v/>
      </c>
      <c r="N147" s="0" t="str">
        <f aca="false">IF(OR($A147="",$D147=""),"",IF(AND(EDATE($D147,Milestones!$AA$120)&lt;=AsOfDate,IF($R147=0,$X147,IF(AND($T147&lt;&gt;"",EDATE($D147,Milestones!$AA$120)&gt;=$T147),$W147,IF(AND($S147&lt;&gt;"",EDATE($D147,Milestones!$AA$120)&gt;=$S147),$V147,$U147)))=Milestones!$AB$120),UPPER(TEXT(EDATE($D147,Milestones!$AA$120),"dd mmm yy"))&amp;" "&amp;Milestones!$AB$120&amp;" "&amp;Milestones!$AC$120&amp;";  ","")&amp;IF(AND(EDATE($D147,Milestones!$AA$121)&lt;=AsOfDate,IF($R147=0,$X147,IF(AND($T147&lt;&gt;"",EDATE($D147,Milestones!$AA$121)&gt;=$T147),$W147,IF(AND($S147&lt;&gt;"",EDATE($D147,Milestones!$AA$121)&gt;=$S147),$V147,$U147)))=Milestones!$AB$121),UPPER(TEXT(EDATE($D147,Milestones!$AA$121),"dd mmm yy"))&amp;" "&amp;Milestones!$AB$121&amp;" "&amp;Milestones!$AC$121&amp;";  ","")&amp;IF(AND(EDATE($D147,Milestones!$AA$122)&lt;=AsOfDate,IF($R147=0,$X147,IF(AND($T147&lt;&gt;"",EDATE($D147,Milestones!$AA$122)&gt;=$T147),$W147,IF(AND($S147&lt;&gt;"",EDATE($D147,Milestones!$AA$122)&gt;=$S147),$V147,$U147)))=Milestones!$AB$122),UPPER(TEXT(EDATE($D147,Milestones!$AA$122),"dd mmm yy"))&amp;" "&amp;Milestones!$AB$122&amp;" "&amp;Milestones!$AC$122&amp;";  ","")&amp;IF(AND(EDATE($D147,Milestones!$AA$123)&lt;=AsOfDate,IF($R147=0,$X147,IF(AND($T147&lt;&gt;"",EDATE($D147,Milestones!$AA$123)&gt;=$T147),$W147,IF(AND($S147&lt;&gt;"",EDATE($D147,Milestones!$AA$123)&gt;=$S147),$V147,$U147)))=Milestones!$AB$123),UPPER(TEXT(EDATE($D147,Milestones!$AA$123),"dd mmm yy"))&amp;" "&amp;Milestones!$AB$123&amp;" "&amp;Milestones!$AC$123&amp;";  ","")&amp;IF(AND(EDATE($D147,Milestones!$AA$124)&lt;=AsOfDate,IF($R147=0,$X147,IF(AND($T147&lt;&gt;"",EDATE($D147,Milestones!$AA$124)&gt;=$T147),$W147,IF(AND($S147&lt;&gt;"",EDATE($D147,Milestones!$AA$124)&gt;=$S147),$V147,$U147)))=Milestones!$AB$124),UPPER(TEXT(EDATE($D147,Milestones!$AA$124),"dd mmm yy"))&amp;" "&amp;Milestones!$AB$124&amp;" "&amp;Milestones!$AC$124&amp;";  ","")&amp;IF(AND(EDATE($D147,Milestones!$AA$125)&lt;=AsOfDate,IF($R147=0,$X147,IF(AND($T147&lt;&gt;"",EDATE($D147,Milestones!$AA$125)&gt;=$T147),$W147,IF(AND($S147&lt;&gt;"",EDATE($D147,Milestones!$AA$125)&gt;=$S147),$V147,$U147)))=Milestones!$AB$125),UPPER(TEXT(EDATE($D147,Milestones!$AA$125),"dd mmm yy"))&amp;" "&amp;Milestones!$AB$125&amp;" "&amp;Milestones!$AC$125&amp;";  ","")&amp;IF(AND(EDATE($D147,Milestones!$AA$126)&lt;=AsOfDate,IF($R147=0,$X147,IF(AND($T147&lt;&gt;"",EDATE($D147,Milestones!$AA$126)&gt;=$T147),$W147,IF(AND($S147&lt;&gt;"",EDATE($D147,Milestones!$AA$126)&gt;=$S147),$V147,$U147)))=Milestones!$AB$126),UPPER(TEXT(EDATE($D147,Milestones!$AA$126),"dd mmm yy"))&amp;" "&amp;Milestones!$AB$126&amp;" "&amp;Milestones!$AC$126&amp;";  ","")&amp;IF(AND(EDATE($D147,Milestones!$AA$127)&lt;=AsOfDate,IF($R147=0,$X147,IF(AND($T147&lt;&gt;"",EDATE($D147,Milestones!$AA$127)&gt;=$T147),$W147,IF(AND($S147&lt;&gt;"",EDATE($D147,Milestones!$AA$127)&gt;=$S147),$V147,$U147)))=Milestones!$AB$127),UPPER(TEXT(EDATE($D147,Milestones!$AA$127),"dd mmm yy"))&amp;" "&amp;Milestones!$AB$127&amp;" "&amp;Milestones!$AC$127&amp;";  ","")&amp;IF(AND(EDATE($D147,Milestones!$AA$128)&lt;=AsOfDate,IF($R147=0,$X147,IF(AND($T147&lt;&gt;"",EDATE($D147,Milestones!$AA$128)&gt;=$T147),$W147,IF(AND($S147&lt;&gt;"",EDATE($D147,Milestones!$AA$128)&gt;=$S147),$V147,$U147)))=Milestones!$AB$128),UPPER(TEXT(EDATE($D147,Milestones!$AA$128),"dd mmm yy"))&amp;" "&amp;Milestones!$AB$128&amp;" "&amp;Milestones!$AC$128&amp;";  ","")&amp;IF(AND(EDATE($D147,Milestones!$AA$129)&lt;=AsOfDate,IF($R147=0,$X147,IF(AND($T147&lt;&gt;"",EDATE($D147,Milestones!$AA$129)&gt;=$T147),$W147,IF(AND($S147&lt;&gt;"",EDATE($D147,Milestones!$AA$129)&gt;=$S147),$V147,$U147)))=Milestones!$AB$129),UPPER(TEXT(EDATE($D147,Milestones!$AA$129),"dd mmm yy"))&amp;" "&amp;Milestones!$AB$129&amp;" "&amp;Milestones!$AC$129&amp;";  ","")&amp;IF(AND(EDATE($D147,Milestones!$AA$130)&lt;=AsOfDate,IF($R147=0,$X147,IF(AND($T147&lt;&gt;"",EDATE($D147,Milestones!$AA$130)&gt;=$T147),$W147,IF(AND($S147&lt;&gt;"",EDATE($D147,Milestones!$AA$130)&gt;=$S147),$V147,$U147)))=Milestones!$AB$130),UPPER(TEXT(EDATE($D147,Milestones!$AA$130),"dd mmm yy"))&amp;" "&amp;Milestones!$AB$130&amp;" "&amp;Milestones!$AC$130&amp;";  ","")&amp;IF(AND(EDATE($D147,Milestones!$AA$131)&lt;=AsOfDate,IF($R147=0,$X147,IF(AND($T147&lt;&gt;"",EDATE($D147,Milestones!$AA$131)&gt;=$T147),$W147,IF(AND($S147&lt;&gt;"",EDATE($D147,Milestones!$AA$131)&gt;=$S147),$V147,$U147)))=Milestones!$AB$131),UPPER(TEXT(EDATE($D147,Milestones!$AA$131),"dd mmm yy"))&amp;" "&amp;Milestones!$AB$131&amp;" "&amp;Milestones!$AC$131&amp;";  ","")&amp;IF(AND(EDATE($D147,Milestones!$AA$132)&lt;=AsOfDate,IF($R147=0,$X147,IF(AND($T147&lt;&gt;"",EDATE($D147,Milestones!$AA$132)&gt;=$T147),$W147,IF(AND($S147&lt;&gt;"",EDATE($D147,Milestones!$AA$132)&gt;=$S147),$V147,$U147)))=Milestones!$AB$132),UPPER(TEXT(EDATE($D147,Milestones!$AA$132),"dd mmm yy"))&amp;" "&amp;Milestones!$AB$132&amp;" "&amp;Milestones!$AC$132&amp;";  ","")&amp;IF(AND(EDATE($D147,Milestones!$AA$133)&lt;=AsOfDate,IF($R147=0,$X147,IF(AND($T147&lt;&gt;"",EDATE($D147,Milestones!$AA$133)&gt;=$T147),$W147,IF(AND($S147&lt;&gt;"",EDATE($D147,Milestones!$AA$133)&gt;=$S147),$V147,$U147)))=Milestones!$AB$133),UPPER(TEXT(EDATE($D147,Milestones!$AA$133),"dd mmm yy"))&amp;" "&amp;Milestones!$AB$133&amp;" "&amp;Milestones!$AC$133&amp;";  ","")&amp;IF(AND(EDATE($D147,Milestones!$AA$134)&lt;=AsOfDate,IF($R147=0,$X147,IF(AND($T147&lt;&gt;"",EDATE($D147,Milestones!$AA$134)&gt;=$T147),$W147,IF(AND($S147&lt;&gt;"",EDATE($D147,Milestones!$AA$134)&gt;=$S147),$V147,$U147)))=Milestones!$AB$134),UPPER(TEXT(EDATE($D147,Milestones!$AA$134),"dd mmm yy"))&amp;" "&amp;Milestones!$AB$134&amp;" "&amp;Milestones!$AC$134&amp;";  ","")&amp;IF(AND(EDATE($D147,Milestones!$AA$135)&lt;=AsOfDate,IF($R147=0,$X147,IF(AND($T147&lt;&gt;"",EDATE($D147,Milestones!$AA$135)&gt;=$T147),$W147,IF(AND($S147&lt;&gt;"",EDATE($D147,Milestones!$AA$135)&gt;=$S147),$V147,$U147)))=Milestones!$AB$135),UPPER(TEXT(EDATE($D147,Milestones!$AA$135),"dd mmm yy"))&amp;" "&amp;Milestones!$AB$135&amp;" "&amp;Milestones!$AC$135&amp;";  ","")&amp;IF(AND(EDATE($D147,Milestones!$AA$136)&lt;=AsOfDate,IF($R147=0,$X147,IF(AND($T147&lt;&gt;"",EDATE($D147,Milestones!$AA$136)&gt;=$T147),$W147,IF(AND($S147&lt;&gt;"",EDATE($D147,Milestones!$AA$136)&gt;=$S147),$V147,$U147)))=Milestones!$AB$136),UPPER(TEXT(EDATE($D147,Milestones!$AA$136),"dd mmm yy"))&amp;" "&amp;Milestones!$AB$136&amp;" "&amp;Milestones!$AC$136&amp;";  ","")&amp;IF(AND(EDATE($D147,Milestones!$AA$137)&lt;=AsOfDate,IF($R147=0,$X147,IF(AND($T147&lt;&gt;"",EDATE($D147,Milestones!$AA$137)&gt;=$T147),$W147,IF(AND($S147&lt;&gt;"",EDATE($D147,Milestones!$AA$137)&gt;=$S147),$V147,$U147)))=Milestones!$AB$137),UPPER(TEXT(EDATE($D147,Milestones!$AA$137),"dd mmm yy"))&amp;" "&amp;Milestones!$AB$137&amp;" "&amp;Milestones!$AC$137&amp;";  ","")&amp;IF(AND(EDATE($D147,Milestones!$AA$138)&lt;=AsOfDate,IF($R147=0,$X147,IF(AND($T147&lt;&gt;"",EDATE($D147,Milestones!$AA$138)&gt;=$T147),$W147,IF(AND($S147&lt;&gt;"",EDATE($D147,Milestones!$AA$138)&gt;=$S147),$V147,$U147)))=Milestones!$AB$138),UPPER(TEXT(EDATE($D147,Milestones!$AA$138),"dd mmm yy"))&amp;" "&amp;Milestones!$AB$138&amp;" "&amp;Milestones!$AC$138&amp;";  ","")&amp;IF(AND(EDATE($D147,Milestones!$AA$139)&lt;=AsOfDate,IF($R147=0,$X147,IF(AND($T147&lt;&gt;"",EDATE($D147,Milestones!$AA$139)&gt;=$T147),$W147,IF(AND($S147&lt;&gt;"",EDATE($D147,Milestones!$AA$139)&gt;=$S147),$V147,$U147)))=Milestones!$AB$139),UPPER(TEXT(EDATE($D147,Milestones!$AA$139),"dd mmm yy"))&amp;" "&amp;Milestones!$AB$139&amp;" "&amp;Milestones!$AC$139&amp;";  ",""))</f>
        <v/>
      </c>
      <c r="O147" s="0" t="str">
        <f aca="false">IF(OR($A147="",$D147=""),"",IF(AND(EDATE($D147,Milestones!$AA$140)&lt;=AsOfDate,IF($R147=0,$X147,IF(AND($T147&lt;&gt;"",EDATE($D147,Milestones!$AA$140)&gt;=$T147),$W147,IF(AND($S147&lt;&gt;"",EDATE($D147,Milestones!$AA$140)&gt;=$S147),$V147,$U147)))=Milestones!$AB$140),UPPER(TEXT(EDATE($D147,Milestones!$AA$140),"dd mmm yy"))&amp;" "&amp;Milestones!$AB$140&amp;" "&amp;Milestones!$AC$140&amp;";  ","")&amp;IF(AND(EDATE($D147,Milestones!$AA$141)&lt;=AsOfDate,IF($R147=0,$X147,IF(AND($T147&lt;&gt;"",EDATE($D147,Milestones!$AA$141)&gt;=$T147),$W147,IF(AND($S147&lt;&gt;"",EDATE($D147,Milestones!$AA$141)&gt;=$S147),$V147,$U147)))=Milestones!$AB$141),UPPER(TEXT(EDATE($D147,Milestones!$AA$141),"dd mmm yy"))&amp;" "&amp;Milestones!$AB$141&amp;" "&amp;Milestones!$AC$141&amp;";  ","")&amp;IF(AND(EDATE($D147,Milestones!$AA$142)&lt;=AsOfDate,IF($R147=0,$X147,IF(AND($T147&lt;&gt;"",EDATE($D147,Milestones!$AA$142)&gt;=$T147),$W147,IF(AND($S147&lt;&gt;"",EDATE($D147,Milestones!$AA$142)&gt;=$S147),$V147,$U147)))=Milestones!$AB$142),UPPER(TEXT(EDATE($D147,Milestones!$AA$142),"dd mmm yy"))&amp;" "&amp;Milestones!$AB$142&amp;" "&amp;Milestones!$AC$142&amp;";  ","")&amp;IF(AND(EDATE($D147,Milestones!$AA$143)&lt;=AsOfDate,IF($R147=0,$X147,IF(AND($T147&lt;&gt;"",EDATE($D147,Milestones!$AA$143)&gt;=$T147),$W147,IF(AND($S147&lt;&gt;"",EDATE($D147,Milestones!$AA$143)&gt;=$S147),$V147,$U147)))=Milestones!$AB$143),UPPER(TEXT(EDATE($D147,Milestones!$AA$143),"dd mmm yy"))&amp;" "&amp;Milestones!$AB$143&amp;" "&amp;Milestones!$AC$143&amp;";  ","")&amp;IF(AND(EDATE($D147,Milestones!$AA$144)&lt;=AsOfDate,IF($R147=0,$X147,IF(AND($T147&lt;&gt;"",EDATE($D147,Milestones!$AA$144)&gt;=$T147),$W147,IF(AND($S147&lt;&gt;"",EDATE($D147,Milestones!$AA$144)&gt;=$S147),$V147,$U147)))=Milestones!$AB$144),UPPER(TEXT(EDATE($D147,Milestones!$AA$144),"dd mmm yy"))&amp;" "&amp;Milestones!$AB$144&amp;" "&amp;Milestones!$AC$144&amp;";  ","")&amp;IF(AND(EDATE($D147,Milestones!$AA$145)&lt;=AsOfDate,IF($R147=0,$X147,IF(AND($T147&lt;&gt;"",EDATE($D147,Milestones!$AA$145)&gt;=$T147),$W147,IF(AND($S147&lt;&gt;"",EDATE($D147,Milestones!$AA$145)&gt;=$S147),$V147,$U147)))=Milestones!$AB$145),UPPER(TEXT(EDATE($D147,Milestones!$AA$145),"dd mmm yy"))&amp;" "&amp;Milestones!$AB$145&amp;" "&amp;Milestones!$AC$145&amp;";  ","")&amp;IF(AND(EDATE($D147,Milestones!$AA$146)&lt;=AsOfDate,IF($R147=0,$X147,IF(AND($T147&lt;&gt;"",EDATE($D147,Milestones!$AA$146)&gt;=$T147),$W147,IF(AND($S147&lt;&gt;"",EDATE($D147,Milestones!$AA$146)&gt;=$S147),$V147,$U147)))=Milestones!$AB$146),UPPER(TEXT(EDATE($D147,Milestones!$AA$146),"dd mmm yy"))&amp;" "&amp;Milestones!$AB$146&amp;" "&amp;Milestones!$AC$146&amp;";  ","")&amp;IF(AND(EDATE($D147,Milestones!$AA$147)&lt;=AsOfDate,IF($R147=0,$X147,IF(AND($T147&lt;&gt;"",EDATE($D147,Milestones!$AA$147)&gt;=$T147),$W147,IF(AND($S147&lt;&gt;"",EDATE($D147,Milestones!$AA$147)&gt;=$S147),$V147,$U147)))=Milestones!$AB$147),UPPER(TEXT(EDATE($D147,Milestones!$AA$147),"dd mmm yy"))&amp;" "&amp;Milestones!$AB$147&amp;" "&amp;Milestones!$AC$147&amp;";  ","")&amp;IF(AND(EDATE($D147,Milestones!$AA$148)&lt;=AsOfDate,IF($R147=0,$X147,IF(AND($T147&lt;&gt;"",EDATE($D147,Milestones!$AA$148)&gt;=$T147),$W147,IF(AND($S147&lt;&gt;"",EDATE($D147,Milestones!$AA$148)&gt;=$S147),$V147,$U147)))=Milestones!$AB$148),UPPER(TEXT(EDATE($D147,Milestones!$AA$148),"dd mmm yy"))&amp;" "&amp;Milestones!$AB$148&amp;" "&amp;Milestones!$AC$148&amp;";  ","")&amp;IF(AND(EDATE($D147,Milestones!$AA$149)&lt;=AsOfDate,IF($R147=0,$X147,IF(AND($T147&lt;&gt;"",EDATE($D147,Milestones!$AA$149)&gt;=$T147),$W147,IF(AND($S147&lt;&gt;"",EDATE($D147,Milestones!$AA$149)&gt;=$S147),$V147,$U147)))=Milestones!$AB$149),UPPER(TEXT(EDATE($D147,Milestones!$AA$149),"dd mmm yy"))&amp;" "&amp;Milestones!$AB$149&amp;" "&amp;Milestones!$AC$149&amp;";  ","")&amp;IF(AND(EDATE($D147,Milestones!$AA$150)&lt;=AsOfDate,IF($R147=0,$X147,IF(AND($T147&lt;&gt;"",EDATE($D147,Milestones!$AA$150)&gt;=$T147),$W147,IF(AND($S147&lt;&gt;"",EDATE($D147,Milestones!$AA$150)&gt;=$S147),$V147,$U147)))=Milestones!$AB$150),UPPER(TEXT(EDATE($D147,Milestones!$AA$150),"dd mmm yy"))&amp;" "&amp;Milestones!$AB$150&amp;" "&amp;Milestones!$AC$150&amp;";  ","")&amp;IF(AND(EDATE($D147,Milestones!$AA$151)&lt;=AsOfDate,IF($R147=0,$X147,IF(AND($T147&lt;&gt;"",EDATE($D147,Milestones!$AA$151)&gt;=$T147),$W147,IF(AND($S147&lt;&gt;"",EDATE($D147,Milestones!$AA$151)&gt;=$S147),$V147,$U147)))=Milestones!$AB$151),UPPER(TEXT(EDATE($D147,Milestones!$AA$151),"dd mmm yy"))&amp;" "&amp;Milestones!$AB$151&amp;" "&amp;Milestones!$AC$151&amp;";  ","")&amp;IF(AND(EDATE($D147,Milestones!$AA$152)&lt;=AsOfDate,IF($R147=0,$X147,IF(AND($T147&lt;&gt;"",EDATE($D147,Milestones!$AA$152)&gt;=$T147),$W147,IF(AND($S147&lt;&gt;"",EDATE($D147,Milestones!$AA$152)&gt;=$S147),$V147,$U147)))=Milestones!$AB$152),UPPER(TEXT(EDATE($D147,Milestones!$AA$152),"dd mmm yy"))&amp;" "&amp;Milestones!$AB$152&amp;" "&amp;Milestones!$AC$152&amp;";  ","")&amp;IF(AND(EDATE($D147,Milestones!$AA$153)&lt;=AsOfDate,IF($R147=0,$X147,IF(AND($T147&lt;&gt;"",EDATE($D147,Milestones!$AA$153)&gt;=$T147),$W147,IF(AND($S147&lt;&gt;"",EDATE($D147,Milestones!$AA$153)&gt;=$S147),$V147,$U147)))=Milestones!$AB$153),UPPER(TEXT(EDATE($D147,Milestones!$AA$153),"dd mmm yy"))&amp;" "&amp;Milestones!$AB$153&amp;" "&amp;Milestones!$AC$153&amp;";  ","")&amp;IF(AND(EDATE($D147,Milestones!$AA$154)&lt;=AsOfDate,IF($R147=0,$X147,IF(AND($T147&lt;&gt;"",EDATE($D147,Milestones!$AA$154)&gt;=$T147),$W147,IF(AND($S147&lt;&gt;"",EDATE($D147,Milestones!$AA$154)&gt;=$S147),$V147,$U147)))=Milestones!$AB$154),UPPER(TEXT(EDATE($D147,Milestones!$AA$154),"dd mmm yy"))&amp;" "&amp;Milestones!$AB$154&amp;" "&amp;Milestones!$AC$154&amp;";  ","")&amp;IF(AND(EDATE($D147,Milestones!$AA$155)&lt;=AsOfDate,IF($R147=0,$X147,IF(AND($T147&lt;&gt;"",EDATE($D147,Milestones!$AA$155)&gt;=$T147),$W147,IF(AND($S147&lt;&gt;"",EDATE($D147,Milestones!$AA$155)&gt;=$S147),$V147,$U147)))=Milestones!$AB$155),UPPER(TEXT(EDATE($D147,Milestones!$AA$155),"dd mmm yy"))&amp;" "&amp;Milestones!$AB$155&amp;" "&amp;Milestones!$AC$155&amp;";  ","")&amp;IF(AND(EDATE($D147,Milestones!$AA$156)&lt;=AsOfDate,IF($R147=0,$X147,IF(AND($T147&lt;&gt;"",EDATE($D147,Milestones!$AA$156)&gt;=$T147),$W147,IF(AND($S147&lt;&gt;"",EDATE($D147,Milestones!$AA$156)&gt;=$S147),$V147,$U147)))=Milestones!$AB$156),UPPER(TEXT(EDATE($D147,Milestones!$AA$156),"dd mmm yy"))&amp;" "&amp;Milestones!$AB$156&amp;" "&amp;Milestones!$AC$156&amp;";  ","")&amp;IF(AND(EDATE($D147,Milestones!$AA$157)&lt;=AsOfDate,IF($R147=0,$X147,IF(AND($T147&lt;&gt;"",EDATE($D147,Milestones!$AA$157)&gt;=$T147),$W147,IF(AND($S147&lt;&gt;"",EDATE($D147,Milestones!$AA$157)&gt;=$S147),$V147,$U147)))=Milestones!$AB$157),UPPER(TEXT(EDATE($D147,Milestones!$AA$157),"dd mmm yy"))&amp;" "&amp;Milestones!$AB$157&amp;" "&amp;Milestones!$AC$157&amp;";  ","")&amp;IF(AND(EDATE($D147,Milestones!$AA$158)&lt;=AsOfDate,IF($R147=0,$X147,IF(AND($T147&lt;&gt;"",EDATE($D147,Milestones!$AA$158)&gt;=$T147),$W147,IF(AND($S147&lt;&gt;"",EDATE($D147,Milestones!$AA$158)&gt;=$S147),$V147,$U147)))=Milestones!$AB$158),UPPER(TEXT(EDATE($D147,Milestones!$AA$158),"dd mmm yy"))&amp;" "&amp;Milestones!$AB$158&amp;" "&amp;Milestones!$AC$158&amp;";  ","")&amp;IF(AND(EDATE($D147,Milestones!$AA$159)&lt;=AsOfDate,IF($R147=0,$X147,IF(AND($T147&lt;&gt;"",EDATE($D147,Milestones!$AA$159)&gt;=$T147),$W147,IF(AND($S147&lt;&gt;"",EDATE($D147,Milestones!$AA$159)&gt;=$S147),$V147,$U147)))=Milestones!$AB$159),UPPER(TEXT(EDATE($D147,Milestones!$AA$159),"dd mmm yy"))&amp;" "&amp;Milestones!$AB$159&amp;" "&amp;Milestones!$AC$159&amp;";  ",""))</f>
        <v/>
      </c>
      <c r="P147" s="0" t="str">
        <f aca="false">IF(OR($A147="",$D147=""),"",IF(AND(EDATE($D147,Milestones!$AA$160)&lt;=AsOfDate,IF($R147=0,$X147,IF(AND($T147&lt;&gt;"",EDATE($D147,Milestones!$AA$160)&gt;=$T147),$W147,IF(AND($S147&lt;&gt;"",EDATE($D147,Milestones!$AA$160)&gt;=$S147),$V147,$U147)))=Milestones!$AB$160),UPPER(TEXT(EDATE($D147,Milestones!$AA$160),"dd mmm yy"))&amp;" "&amp;Milestones!$AB$160&amp;" "&amp;Milestones!$AC$160&amp;";  ","")&amp;IF(AND(EDATE($D147,Milestones!$AA$161)&lt;=AsOfDate,IF($R147=0,$X147,IF(AND($T147&lt;&gt;"",EDATE($D147,Milestones!$AA$161)&gt;=$T147),$W147,IF(AND($S147&lt;&gt;"",EDATE($D147,Milestones!$AA$161)&gt;=$S147),$V147,$U147)))=Milestones!$AB$161),UPPER(TEXT(EDATE($D147,Milestones!$AA$161),"dd mmm yy"))&amp;" "&amp;Milestones!$AB$161&amp;" "&amp;Milestones!$AC$161&amp;";  ","")&amp;IF(AND(EDATE($D147,Milestones!$AA$162)&lt;=AsOfDate,IF($R147=0,$X147,IF(AND($T147&lt;&gt;"",EDATE($D147,Milestones!$AA$162)&gt;=$T147),$W147,IF(AND($S147&lt;&gt;"",EDATE($D147,Milestones!$AA$162)&gt;=$S147),$V147,$U147)))=Milestones!$AB$162),UPPER(TEXT(EDATE($D147,Milestones!$AA$162),"dd mmm yy"))&amp;" "&amp;Milestones!$AB$162&amp;" "&amp;Milestones!$AC$162&amp;";  ","")&amp;IF(AND(EDATE($D147,Milestones!$AA$163)&lt;=AsOfDate,IF($R147=0,$X147,IF(AND($T147&lt;&gt;"",EDATE($D147,Milestones!$AA$163)&gt;=$T147),$W147,IF(AND($S147&lt;&gt;"",EDATE($D147,Milestones!$AA$163)&gt;=$S147),$V147,$U147)))=Milestones!$AB$163),UPPER(TEXT(EDATE($D147,Milestones!$AA$163),"dd mmm yy"))&amp;" "&amp;Milestones!$AB$163&amp;" "&amp;Milestones!$AC$163&amp;";  ","")&amp;IF(AND(EDATE($D147,Milestones!$AA$164)&lt;=AsOfDate,IF($R147=0,$X147,IF(AND($T147&lt;&gt;"",EDATE($D147,Milestones!$AA$164)&gt;=$T147),$W147,IF(AND($S147&lt;&gt;"",EDATE($D147,Milestones!$AA$164)&gt;=$S147),$V147,$U147)))=Milestones!$AB$164),UPPER(TEXT(EDATE($D147,Milestones!$AA$164),"dd mmm yy"))&amp;" "&amp;Milestones!$AB$164&amp;" "&amp;Milestones!$AC$164&amp;";  ","")&amp;IF(AND(EDATE($D147,Milestones!$AA$165)&lt;=AsOfDate,IF($R147=0,$X147,IF(AND($T147&lt;&gt;"",EDATE($D147,Milestones!$AA$165)&gt;=$T147),$W147,IF(AND($S147&lt;&gt;"",EDATE($D147,Milestones!$AA$165)&gt;=$S147),$V147,$U147)))=Milestones!$AB$165),UPPER(TEXT(EDATE($D147,Milestones!$AA$165),"dd mmm yy"))&amp;" "&amp;Milestones!$AB$165&amp;" "&amp;Milestones!$AC$165&amp;";  ","")&amp;IF(AND(EDATE($D147,Milestones!$AA$166)&lt;=AsOfDate,IF($R147=0,$X147,IF(AND($T147&lt;&gt;"",EDATE($D147,Milestones!$AA$166)&gt;=$T147),$W147,IF(AND($S147&lt;&gt;"",EDATE($D147,Milestones!$AA$166)&gt;=$S147),$V147,$U147)))=Milestones!$AB$166),UPPER(TEXT(EDATE($D147,Milestones!$AA$166),"dd mmm yy"))&amp;" "&amp;Milestones!$AB$166&amp;" "&amp;Milestones!$AC$166&amp;";  ","")&amp;IF(AND(EDATE($D147,Milestones!$AA$167)&lt;=AsOfDate,IF($R147=0,$X147,IF(AND($T147&lt;&gt;"",EDATE($D147,Milestones!$AA$167)&gt;=$T147),$W147,IF(AND($S147&lt;&gt;"",EDATE($D147,Milestones!$AA$167)&gt;=$S147),$V147,$U147)))=Milestones!$AB$167),UPPER(TEXT(EDATE($D147,Milestones!$AA$167),"dd mmm yy"))&amp;" "&amp;Milestones!$AB$167&amp;" "&amp;Milestones!$AC$167&amp;";  ","")&amp;IF(AND(EDATE($D147,Milestones!$AA$168)&lt;=AsOfDate,IF($R147=0,$X147,IF(AND($T147&lt;&gt;"",EDATE($D147,Milestones!$AA$168)&gt;=$T147),$W147,IF(AND($S147&lt;&gt;"",EDATE($D147,Milestones!$AA$168)&gt;=$S147),$V147,$U147)))=Milestones!$AB$168),UPPER(TEXT(EDATE($D147,Milestones!$AA$168),"dd mmm yy"))&amp;" "&amp;Milestones!$AB$168&amp;" "&amp;Milestones!$AC$168&amp;";  ","")&amp;IF(AND(EDATE($D147,Milestones!$AA$169)&lt;=AsOfDate,IF($R147=0,$X147,IF(AND($T147&lt;&gt;"",EDATE($D147,Milestones!$AA$169)&gt;=$T147),$W147,IF(AND($S147&lt;&gt;"",EDATE($D147,Milestones!$AA$169)&gt;=$S147),$V147,$U147)))=Milestones!$AB$169),UPPER(TEXT(EDATE($D147,Milestones!$AA$169),"dd mmm yy"))&amp;" "&amp;Milestones!$AB$169&amp;" "&amp;Milestones!$AC$169&amp;";  ","")&amp;IF(AND(EDATE($D147,Milestones!$AA$170)&lt;=AsOfDate,IF($R147=0,$X147,IF(AND($T147&lt;&gt;"",EDATE($D147,Milestones!$AA$170)&gt;=$T147),$W147,IF(AND($S147&lt;&gt;"",EDATE($D147,Milestones!$AA$170)&gt;=$S147),$V147,$U147)))=Milestones!$AB$170),UPPER(TEXT(EDATE($D147,Milestones!$AA$170),"dd mmm yy"))&amp;" "&amp;Milestones!$AB$170&amp;" "&amp;Milestones!$AC$170&amp;";  ","")&amp;IF(AND(EDATE($D147,Milestones!$AA$171)&lt;=AsOfDate,IF($R147=0,$X147,IF(AND($T147&lt;&gt;"",EDATE($D147,Milestones!$AA$171)&gt;=$T147),$W147,IF(AND($S147&lt;&gt;"",EDATE($D147,Milestones!$AA$171)&gt;=$S147),$V147,$U147)))=Milestones!$AB$171),UPPER(TEXT(EDATE($D147,Milestones!$AA$171),"dd mmm yy"))&amp;" "&amp;Milestones!$AB$171&amp;" "&amp;Milestones!$AC$171&amp;";  ","")&amp;IF(AND(EDATE($D147,Milestones!$AA$172)&lt;=AsOfDate,IF($R147=0,$X147,IF(AND($T147&lt;&gt;"",EDATE($D147,Milestones!$AA$172)&gt;=$T147),$W147,IF(AND($S147&lt;&gt;"",EDATE($D147,Milestones!$AA$172)&gt;=$S147),$V147,$U147)))=Milestones!$AB$172),UPPER(TEXT(EDATE($D147,Milestones!$AA$172),"dd mmm yy"))&amp;" "&amp;Milestones!$AB$172&amp;" "&amp;Milestones!$AC$172&amp;";  ","")&amp;IF(AND(EDATE($D147,Milestones!$AA$173)&lt;=AsOfDate,IF($R147=0,$X147,IF(AND($T147&lt;&gt;"",EDATE($D147,Milestones!$AA$173)&gt;=$T147),$W147,IF(AND($S147&lt;&gt;"",EDATE($D147,Milestones!$AA$173)&gt;=$S147),$V147,$U147)))=Milestones!$AB$173),UPPER(TEXT(EDATE($D147,Milestones!$AA$173),"dd mmm yy"))&amp;" "&amp;Milestones!$AB$173&amp;" "&amp;Milestones!$AC$173&amp;";  ","")&amp;IF(AND(EDATE($D147,Milestones!$AA$174)&lt;=AsOfDate,IF($R147=0,$X147,IF(AND($T147&lt;&gt;"",EDATE($D147,Milestones!$AA$174)&gt;=$T147),$W147,IF(AND($S147&lt;&gt;"",EDATE($D147,Milestones!$AA$174)&gt;=$S147),$V147,$U147)))=Milestones!$AB$174),UPPER(TEXT(EDATE($D147,Milestones!$AA$174),"dd mmm yy"))&amp;" "&amp;Milestones!$AB$174&amp;" "&amp;Milestones!$AC$174&amp;";  ","")&amp;IF(AND(EDATE($D147,Milestones!$AA$175)&lt;=AsOfDate,IF($R147=0,$X147,IF(AND($T147&lt;&gt;"",EDATE($D147,Milestones!$AA$175)&gt;=$T147),$W147,IF(AND($S147&lt;&gt;"",EDATE($D147,Milestones!$AA$175)&gt;=$S147),$V147,$U147)))=Milestones!$AB$175),UPPER(TEXT(EDATE($D147,Milestones!$AA$175),"dd mmm yy"))&amp;" "&amp;Milestones!$AB$175&amp;" "&amp;Milestones!$AC$175&amp;";  ","")&amp;IF(AND(EDATE($D147,Milestones!$AA$176)&lt;=AsOfDate,IF($R147=0,$X147,IF(AND($T147&lt;&gt;"",EDATE($D147,Milestones!$AA$176)&gt;=$T147),$W147,IF(AND($S147&lt;&gt;"",EDATE($D147,Milestones!$AA$176)&gt;=$S147),$V147,$U147)))=Milestones!$AB$176),UPPER(TEXT(EDATE($D147,Milestones!$AA$176),"dd mmm yy"))&amp;" "&amp;Milestones!$AB$176&amp;" "&amp;Milestones!$AC$176&amp;";  ","")&amp;IF(AND(EDATE($D147,Milestones!$AA$177)&lt;=AsOfDate,IF($R147=0,$X147,IF(AND($T147&lt;&gt;"",EDATE($D147,Milestones!$AA$177)&gt;=$T147),$W147,IF(AND($S147&lt;&gt;"",EDATE($D147,Milestones!$AA$177)&gt;=$S147),$V147,$U147)))=Milestones!$AB$177),UPPER(TEXT(EDATE($D147,Milestones!$AA$177),"dd mmm yy"))&amp;" "&amp;Milestones!$AB$177&amp;" "&amp;Milestones!$AC$177&amp;";  ","")&amp;IF(AND(EDATE($D147,Milestones!$AA$178)&lt;=AsOfDate,IF($R147=0,$X147,IF(AND($T147&lt;&gt;"",EDATE($D147,Milestones!$AA$178)&gt;=$T147),$W147,IF(AND($S147&lt;&gt;"",EDATE($D147,Milestones!$AA$178)&gt;=$S147),$V147,$U147)))=Milestones!$AB$178),UPPER(TEXT(EDATE($D147,Milestones!$AA$178),"dd mmm yy"))&amp;" "&amp;Milestones!$AB$178&amp;" "&amp;Milestones!$AC$178&amp;";  ","")&amp;IF(AND(EDATE($D147,Milestones!$AA$179)&lt;=AsOfDate,IF($R147=0,$X147,IF(AND($T147&lt;&gt;"",EDATE($D147,Milestones!$AA$179)&gt;=$T147),$W147,IF(AND($S147&lt;&gt;"",EDATE($D147,Milestones!$AA$179)&gt;=$S147),$V147,$U147)))=Milestones!$AB$179),UPPER(TEXT(EDATE($D147,Milestones!$AA$179),"dd mmm yy"))&amp;" "&amp;Milestones!$AB$179&amp;" "&amp;Milestones!$AC$179&amp;";  ",""))</f>
        <v/>
      </c>
      <c r="Q147" s="0" t="str">
        <f aca="false">IF(OR($A147="",$D147=""),"",IF(AND(EDATE($D147,Milestones!$AA$180)&lt;=AsOfDate,IF($R147=0,$X147,IF(AND($T147&lt;&gt;"",EDATE($D147,Milestones!$AA$180)&gt;=$T147),$W147,IF(AND($S147&lt;&gt;"",EDATE($D147,Milestones!$AA$180)&gt;=$S147),$V147,$U147)))=Milestones!$AB$180),UPPER(TEXT(EDATE($D147,Milestones!$AA$180),"dd mmm yy"))&amp;" "&amp;Milestones!$AB$180&amp;" "&amp;Milestones!$AC$180&amp;";  ","")&amp;IF(AND(EDATE($D147,Milestones!$AA$181)&lt;=AsOfDate,IF($R147=0,$X147,IF(AND($T147&lt;&gt;"",EDATE($D147,Milestones!$AA$181)&gt;=$T147),$W147,IF(AND($S147&lt;&gt;"",EDATE($D147,Milestones!$AA$181)&gt;=$S147),$V147,$U147)))=Milestones!$AB$181),UPPER(TEXT(EDATE($D147,Milestones!$AA$181),"dd mmm yy"))&amp;" "&amp;Milestones!$AB$181&amp;" "&amp;Milestones!$AC$181&amp;";  ","")&amp;IF(AND(EDATE($D147,Milestones!$AA$182)&lt;=AsOfDate,IF($R147=0,$X147,IF(AND($T147&lt;&gt;"",EDATE($D147,Milestones!$AA$182)&gt;=$T147),$W147,IF(AND($S147&lt;&gt;"",EDATE($D147,Milestones!$AA$182)&gt;=$S147),$V147,$U147)))=Milestones!$AB$182),UPPER(TEXT(EDATE($D147,Milestones!$AA$182),"dd mmm yy"))&amp;" "&amp;Milestones!$AB$182&amp;" "&amp;Milestones!$AC$182&amp;";  ","")&amp;IF(AND(EDATE($D147,Milestones!$AA$183)&lt;=AsOfDate,IF($R147=0,$X147,IF(AND($T147&lt;&gt;"",EDATE($D147,Milestones!$AA$183)&gt;=$T147),$W147,IF(AND($S147&lt;&gt;"",EDATE($D147,Milestones!$AA$183)&gt;=$S147),$V147,$U147)))=Milestones!$AB$183),UPPER(TEXT(EDATE($D147,Milestones!$AA$183),"dd mmm yy"))&amp;" "&amp;Milestones!$AB$183&amp;" "&amp;Milestones!$AC$183&amp;";  ","")&amp;IF(AND(EDATE($D147,Milestones!$AA$184)&lt;=AsOfDate,IF($R147=0,$X147,IF(AND($T147&lt;&gt;"",EDATE($D147,Milestones!$AA$184)&gt;=$T147),$W147,IF(AND($S147&lt;&gt;"",EDATE($D147,Milestones!$AA$184)&gt;=$S147),$V147,$U147)))=Milestones!$AB$184),UPPER(TEXT(EDATE($D147,Milestones!$AA$184),"dd mmm yy"))&amp;" "&amp;Milestones!$AB$184&amp;" "&amp;Milestones!$AC$184&amp;";  ","")&amp;IF(AND(EDATE($D147,Milestones!$AA$185)&lt;=AsOfDate,IF($R147=0,$X147,IF(AND($T147&lt;&gt;"",EDATE($D147,Milestones!$AA$185)&gt;=$T147),$W147,IF(AND($S147&lt;&gt;"",EDATE($D147,Milestones!$AA$185)&gt;=$S147),$V147,$U147)))=Milestones!$AB$185),UPPER(TEXT(EDATE($D147,Milestones!$AA$185),"dd mmm yy"))&amp;" "&amp;Milestones!$AB$185&amp;" "&amp;Milestones!$AC$185&amp;";  ","")&amp;IF(AND(EDATE($D147,Milestones!$AA$186)&lt;=AsOfDate,IF($R147=0,$X147,IF(AND($T147&lt;&gt;"",EDATE($D147,Milestones!$AA$186)&gt;=$T147),$W147,IF(AND($S147&lt;&gt;"",EDATE($D147,Milestones!$AA$186)&gt;=$S147),$V147,$U147)))=Milestones!$AB$186),UPPER(TEXT(EDATE($D147,Milestones!$AA$186),"dd mmm yy"))&amp;" "&amp;Milestones!$AB$186&amp;" "&amp;Milestones!$AC$186&amp;";  ","")&amp;IF(AND(EDATE($D147,Milestones!$AA$187)&lt;=AsOfDate,IF($R147=0,$X147,IF(AND($T147&lt;&gt;"",EDATE($D147,Milestones!$AA$187)&gt;=$T147),$W147,IF(AND($S147&lt;&gt;"",EDATE($D147,Milestones!$AA$187)&gt;=$S147),$V147,$U147)))=Milestones!$AB$187),UPPER(TEXT(EDATE($D147,Milestones!$AA$187),"dd mmm yy"))&amp;" "&amp;Milestones!$AB$187&amp;" "&amp;Milestones!$AC$187&amp;";  ","")&amp;IF(AND(EDATE($D147,Milestones!$AA$188)&lt;=AsOfDate,IF($R147=0,$X147,IF(AND($T147&lt;&gt;"",EDATE($D147,Milestones!$AA$188)&gt;=$T147),$W147,IF(AND($S147&lt;&gt;"",EDATE($D147,Milestones!$AA$188)&gt;=$S147),$V147,$U147)))=Milestones!$AB$188),UPPER(TEXT(EDATE($D147,Milestones!$AA$188),"dd mmm yy"))&amp;" "&amp;Milestones!$AB$188&amp;" "&amp;Milestones!$AC$188&amp;";  ","")&amp;IF(AND(EDATE($D147,Milestones!$AA$189)&lt;=AsOfDate,IF($R147=0,$X147,IF(AND($T147&lt;&gt;"",EDATE($D147,Milestones!$AA$189)&gt;=$T147),$W147,IF(AND($S147&lt;&gt;"",EDATE($D147,Milestones!$AA$189)&gt;=$S147),$V147,$U147)))=Milestones!$AB$189),UPPER(TEXT(EDATE($D147,Milestones!$AA$189),"dd mmm yy"))&amp;" "&amp;Milestones!$AB$189&amp;" "&amp;Milestones!$AC$189&amp;";  ","")&amp;IF(AND(EDATE($D147,Milestones!$AA$190)&lt;=AsOfDate,IF($R147=0,$X147,IF(AND($T147&lt;&gt;"",EDATE($D147,Milestones!$AA$190)&gt;=$T147),$W147,IF(AND($S147&lt;&gt;"",EDATE($D147,Milestones!$AA$190)&gt;=$S147),$V147,$U147)))=Milestones!$AB$190),UPPER(TEXT(EDATE($D147,Milestones!$AA$190),"dd mmm yy"))&amp;" "&amp;Milestones!$AB$190&amp;" "&amp;Milestones!$AC$190&amp;";  ","")&amp;IF(AND(EDATE($D147,Milestones!$AA$191)&lt;=AsOfDate,IF($R147=0,$X147,IF(AND($T147&lt;&gt;"",EDATE($D147,Milestones!$AA$191)&gt;=$T147),$W147,IF(AND($S147&lt;&gt;"",EDATE($D147,Milestones!$AA$191)&gt;=$S147),$V147,$U147)))=Milestones!$AB$191),UPPER(TEXT(EDATE($D147,Milestones!$AA$191),"dd mmm yy"))&amp;" "&amp;Milestones!$AB$191&amp;" "&amp;Milestones!$AC$191&amp;";  ","")&amp;IF(AND(EDATE($D147,Milestones!$AA$192)&lt;=AsOfDate,IF($R147=0,$X147,IF(AND($T147&lt;&gt;"",EDATE($D147,Milestones!$AA$192)&gt;=$T147),$W147,IF(AND($S147&lt;&gt;"",EDATE($D147,Milestones!$AA$192)&gt;=$S147),$V147,$U147)))=Milestones!$AB$192),UPPER(TEXT(EDATE($D147,Milestones!$AA$192),"dd mmm yy"))&amp;" "&amp;Milestones!$AB$192&amp;" "&amp;Milestones!$AC$192&amp;";  ","")&amp;IF(AND(EDATE($D147,Milestones!$AA$193)&lt;=AsOfDate,IF($R147=0,$X147,IF(AND($T147&lt;&gt;"",EDATE($D147,Milestones!$AA$193)&gt;=$T147),$W147,IF(AND($S147&lt;&gt;"",EDATE($D147,Milestones!$AA$193)&gt;=$S147),$V147,$U147)))=Milestones!$AB$193),UPPER(TEXT(EDATE($D147,Milestones!$AA$193),"dd mmm yy"))&amp;" "&amp;Milestones!$AB$193&amp;" "&amp;Milestones!$AC$193&amp;";  ","")&amp;IF(AND(EDATE($D147,Milestones!$AA$194)&lt;=AsOfDate,IF($R147=0,$X147,IF(AND($T147&lt;&gt;"",EDATE($D147,Milestones!$AA$194)&gt;=$T147),$W147,IF(AND($S147&lt;&gt;"",EDATE($D147,Milestones!$AA$194)&gt;=$S147),$V147,$U147)))=Milestones!$AB$194),UPPER(TEXT(EDATE($D147,Milestones!$AA$194),"dd mmm yy"))&amp;" "&amp;Milestones!$AB$194&amp;" "&amp;Milestones!$AC$194&amp;";  ","")&amp;IF(AND(EDATE($D147,Milestones!$AA$195)&lt;=AsOfDate,IF($R147=0,$X147,IF(AND($T147&lt;&gt;"",EDATE($D147,Milestones!$AA$195)&gt;=$T147),$W147,IF(AND($S147&lt;&gt;"",EDATE($D147,Milestones!$AA$195)&gt;=$S147),$V147,$U147)))=Milestones!$AB$195),UPPER(TEXT(EDATE($D147,Milestones!$AA$195),"dd mmm yy"))&amp;" "&amp;Milestones!$AB$195&amp;" "&amp;Milestones!$AC$195&amp;";  ","")&amp;IF(AND(EDATE($D147,Milestones!$AA$196)&lt;=AsOfDate,IF($R147=0,$X147,IF(AND($T147&lt;&gt;"",EDATE($D147,Milestones!$AA$196)&gt;=$T147),$W147,IF(AND($S147&lt;&gt;"",EDATE($D147,Milestones!$AA$196)&gt;=$S147),$V147,$U147)))=Milestones!$AB$196),UPPER(TEXT(EDATE($D147,Milestones!$AA$196),"dd mmm yy"))&amp;" "&amp;Milestones!$AB$196&amp;" "&amp;Milestones!$AC$196&amp;";  ","")&amp;IF(AND(EDATE($D147,Milestones!$AA$197)&lt;=AsOfDate,IF($R147=0,$X147,IF(AND($T147&lt;&gt;"",EDATE($D147,Milestones!$AA$197)&gt;=$T147),$W147,IF(AND($S147&lt;&gt;"",EDATE($D147,Milestones!$AA$197)&gt;=$S147),$V147,$U147)))=Milestones!$AB$197),UPPER(TEXT(EDATE($D147,Milestones!$AA$197),"dd mmm yy"))&amp;" "&amp;Milestones!$AB$197&amp;" "&amp;Milestones!$AC$197&amp;";  ","")&amp;IF(AND(EDATE($D147,Milestones!$AA$198)&lt;=AsOfDate,IF($R147=0,$X147,IF(AND($T147&lt;&gt;"",EDATE($D147,Milestones!$AA$198)&gt;=$T147),$W147,IF(AND($S147&lt;&gt;"",EDATE($D147,Milestones!$AA$198)&gt;=$S147),$V147,$U147)))=Milestones!$AB$198),UPPER(TEXT(EDATE($D147,Milestones!$AA$198),"dd mmm yy"))&amp;" "&amp;Milestones!$AB$198&amp;" "&amp;Milestones!$AC$198&amp;";  ","")&amp;IF(AND(EDATE($D147,Milestones!$AA$199)&lt;=AsOfDate,IF($R147=0,$X147,IF(AND($T147&lt;&gt;"",EDATE($D147,Milestones!$AA$199)&gt;=$T147),$W147,IF(AND($S147&lt;&gt;"",EDATE($D147,Milestones!$AA$199)&gt;=$S147),$V147,$U147)))=Milestones!$AB$199),UPPER(TEXT(EDATE($D147,Milestones!$AA$199),"dd mmm yy"))&amp;" "&amp;Milestones!$AB$199&amp;" "&amp;Milestones!$AC$199&amp;";  ",""))</f>
        <v/>
      </c>
      <c r="R147" s="0" t="str">
        <f aca="false">IF(Staff!$A147="","",Staff!$AI147)</f>
        <v/>
      </c>
      <c r="S147" s="0" t="str">
        <f aca="false">IF(Staff!$A147="","",Staff!$AK147)</f>
        <v/>
      </c>
      <c r="T147" s="0" t="str">
        <f aca="false">IF(Staff!$A147="","",Staff!$AL147)</f>
        <v/>
      </c>
      <c r="U147" s="0" t="str">
        <f aca="false">IF(Staff!$A147="","",Staff!$AP147)</f>
        <v/>
      </c>
      <c r="V147" s="0" t="str">
        <f aca="false">IF(Staff!$A147="","",Staff!$AQ147)</f>
        <v/>
      </c>
      <c r="W147" s="0" t="str">
        <f aca="false">IF(Staff!$A147="","",Staff!$AR147)</f>
        <v/>
      </c>
      <c r="X147" s="0" t="str">
        <f aca="false">IF(Staff!$A147="","",Staff!$AS147)</f>
        <v/>
      </c>
    </row>
    <row r="148" customFormat="false" ht="15" hidden="false" customHeight="false" outlineLevel="0" collapsed="false">
      <c r="A148" s="19" t="str">
        <f aca="false">IF(Staff!$A148="","",Staff!$A148)</f>
        <v/>
      </c>
      <c r="B148" s="19" t="str">
        <f aca="false">IF(Staff!$A148="","",Staff!$B148)</f>
        <v/>
      </c>
      <c r="C148" s="19" t="str">
        <f aca="false">IF(Staff!$A148="","",Staff!$C148)</f>
        <v/>
      </c>
      <c r="D148" s="17" t="str">
        <f aca="false">IF(Staff!$A148="","",Staff!$AH148)</f>
        <v/>
      </c>
      <c r="E148" s="19" t="str">
        <f aca="false">IF(Staff!$A148="","",Staff!$O148)</f>
        <v/>
      </c>
      <c r="F148" s="19" t="str">
        <f aca="false">IF(E148="","",E148*HoursPerDay)</f>
        <v/>
      </c>
      <c r="G148" s="19" t="str">
        <f aca="false">IF(Staff!$A148="","",Staff!$AE148)</f>
        <v/>
      </c>
      <c r="H148" s="32" t="str">
        <f aca="false">IF($A148="","",I148&amp;J148&amp;K148&amp;L148&amp;M148&amp;N148&amp;O148&amp;P148&amp;Q148)</f>
        <v/>
      </c>
      <c r="I148" s="0" t="str">
        <f aca="false">IF(OR($A148="",$D148=""),"",IF(AND(EDATE($D148,Milestones!$AA$20)&lt;=AsOfDate,IF($R148=0,$X148,IF(AND($T148&lt;&gt;"",EDATE($D148,Milestones!$AA$20)&gt;=$T148),$W148,IF(AND($S148&lt;&gt;"",EDATE($D148,Milestones!$AA$20)&gt;=$S148),$V148,$U148)))=Milestones!$AB$20),UPPER(TEXT(EDATE($D148,Milestones!$AA$20),"dd mmm yy"))&amp;" "&amp;Milestones!$AB$20&amp;" "&amp;Milestones!$AC$20&amp;";  ","")&amp;IF(AND(EDATE($D148,Milestones!$AA$21)&lt;=AsOfDate,IF($R148=0,$X148,IF(AND($T148&lt;&gt;"",EDATE($D148,Milestones!$AA$21)&gt;=$T148),$W148,IF(AND($S148&lt;&gt;"",EDATE($D148,Milestones!$AA$21)&gt;=$S148),$V148,$U148)))=Milestones!$AB$21),UPPER(TEXT(EDATE($D148,Milestones!$AA$21),"dd mmm yy"))&amp;" "&amp;Milestones!$AB$21&amp;" "&amp;Milestones!$AC$21&amp;";  ","")&amp;IF(AND(EDATE($D148,Milestones!$AA$22)&lt;=AsOfDate,IF($R148=0,$X148,IF(AND($T148&lt;&gt;"",EDATE($D148,Milestones!$AA$22)&gt;=$T148),$W148,IF(AND($S148&lt;&gt;"",EDATE($D148,Milestones!$AA$22)&gt;=$S148),$V148,$U148)))=Milestones!$AB$22),UPPER(TEXT(EDATE($D148,Milestones!$AA$22),"dd mmm yy"))&amp;" "&amp;Milestones!$AB$22&amp;" "&amp;Milestones!$AC$22&amp;";  ","")&amp;IF(AND(EDATE($D148,Milestones!$AA$23)&lt;=AsOfDate,IF($R148=0,$X148,IF(AND($T148&lt;&gt;"",EDATE($D148,Milestones!$AA$23)&gt;=$T148),$W148,IF(AND($S148&lt;&gt;"",EDATE($D148,Milestones!$AA$23)&gt;=$S148),$V148,$U148)))=Milestones!$AB$23),UPPER(TEXT(EDATE($D148,Milestones!$AA$23),"dd mmm yy"))&amp;" "&amp;Milestones!$AB$23&amp;" "&amp;Milestones!$AC$23&amp;";  ","")&amp;IF(AND(EDATE($D148,Milestones!$AA$24)&lt;=AsOfDate,IF($R148=0,$X148,IF(AND($T148&lt;&gt;"",EDATE($D148,Milestones!$AA$24)&gt;=$T148),$W148,IF(AND($S148&lt;&gt;"",EDATE($D148,Milestones!$AA$24)&gt;=$S148),$V148,$U148)))=Milestones!$AB$24),UPPER(TEXT(EDATE($D148,Milestones!$AA$24),"dd mmm yy"))&amp;" "&amp;Milestones!$AB$24&amp;" "&amp;Milestones!$AC$24&amp;";  ","")&amp;IF(AND(EDATE($D148,Milestones!$AA$25)&lt;=AsOfDate,IF($R148=0,$X148,IF(AND($T148&lt;&gt;"",EDATE($D148,Milestones!$AA$25)&gt;=$T148),$W148,IF(AND($S148&lt;&gt;"",EDATE($D148,Milestones!$AA$25)&gt;=$S148),$V148,$U148)))=Milestones!$AB$25),UPPER(TEXT(EDATE($D148,Milestones!$AA$25),"dd mmm yy"))&amp;" "&amp;Milestones!$AB$25&amp;" "&amp;Milestones!$AC$25&amp;";  ","")&amp;IF(AND(EDATE($D148,Milestones!$AA$26)&lt;=AsOfDate,IF($R148=0,$X148,IF(AND($T148&lt;&gt;"",EDATE($D148,Milestones!$AA$26)&gt;=$T148),$W148,IF(AND($S148&lt;&gt;"",EDATE($D148,Milestones!$AA$26)&gt;=$S148),$V148,$U148)))=Milestones!$AB$26),UPPER(TEXT(EDATE($D148,Milestones!$AA$26),"dd mmm yy"))&amp;" "&amp;Milestones!$AB$26&amp;" "&amp;Milestones!$AC$26&amp;";  ","")&amp;IF(AND(EDATE($D148,Milestones!$AA$27)&lt;=AsOfDate,IF($R148=0,$X148,IF(AND($T148&lt;&gt;"",EDATE($D148,Milestones!$AA$27)&gt;=$T148),$W148,IF(AND($S148&lt;&gt;"",EDATE($D148,Milestones!$AA$27)&gt;=$S148),$V148,$U148)))=Milestones!$AB$27),UPPER(TEXT(EDATE($D148,Milestones!$AA$27),"dd mmm yy"))&amp;" "&amp;Milestones!$AB$27&amp;" "&amp;Milestones!$AC$27&amp;";  ","")&amp;IF(AND(EDATE($D148,Milestones!$AA$28)&lt;=AsOfDate,IF($R148=0,$X148,IF(AND($T148&lt;&gt;"",EDATE($D148,Milestones!$AA$28)&gt;=$T148),$W148,IF(AND($S148&lt;&gt;"",EDATE($D148,Milestones!$AA$28)&gt;=$S148),$V148,$U148)))=Milestones!$AB$28),UPPER(TEXT(EDATE($D148,Milestones!$AA$28),"dd mmm yy"))&amp;" "&amp;Milestones!$AB$28&amp;" "&amp;Milestones!$AC$28&amp;";  ","")&amp;IF(AND(EDATE($D148,Milestones!$AA$29)&lt;=AsOfDate,IF($R148=0,$X148,IF(AND($T148&lt;&gt;"",EDATE($D148,Milestones!$AA$29)&gt;=$T148),$W148,IF(AND($S148&lt;&gt;"",EDATE($D148,Milestones!$AA$29)&gt;=$S148),$V148,$U148)))=Milestones!$AB$29),UPPER(TEXT(EDATE($D148,Milestones!$AA$29),"dd mmm yy"))&amp;" "&amp;Milestones!$AB$29&amp;" "&amp;Milestones!$AC$29&amp;";  ","")&amp;IF(AND(EDATE($D148,Milestones!$AA$30)&lt;=AsOfDate,IF($R148=0,$X148,IF(AND($T148&lt;&gt;"",EDATE($D148,Milestones!$AA$30)&gt;=$T148),$W148,IF(AND($S148&lt;&gt;"",EDATE($D148,Milestones!$AA$30)&gt;=$S148),$V148,$U148)))=Milestones!$AB$30),UPPER(TEXT(EDATE($D148,Milestones!$AA$30),"dd mmm yy"))&amp;" "&amp;Milestones!$AB$30&amp;" "&amp;Milestones!$AC$30&amp;";  ","")&amp;IF(AND(EDATE($D148,Milestones!$AA$31)&lt;=AsOfDate,IF($R148=0,$X148,IF(AND($T148&lt;&gt;"",EDATE($D148,Milestones!$AA$31)&gt;=$T148),$W148,IF(AND($S148&lt;&gt;"",EDATE($D148,Milestones!$AA$31)&gt;=$S148),$V148,$U148)))=Milestones!$AB$31),UPPER(TEXT(EDATE($D148,Milestones!$AA$31),"dd mmm yy"))&amp;" "&amp;Milestones!$AB$31&amp;" "&amp;Milestones!$AC$31&amp;";  ","")&amp;IF(AND(EDATE($D148,Milestones!$AA$32)&lt;=AsOfDate,IF($R148=0,$X148,IF(AND($T148&lt;&gt;"",EDATE($D148,Milestones!$AA$32)&gt;=$T148),$W148,IF(AND($S148&lt;&gt;"",EDATE($D148,Milestones!$AA$32)&gt;=$S148),$V148,$U148)))=Milestones!$AB$32),UPPER(TEXT(EDATE($D148,Milestones!$AA$32),"dd mmm yy"))&amp;" "&amp;Milestones!$AB$32&amp;" "&amp;Milestones!$AC$32&amp;";  ","")&amp;IF(AND(EDATE($D148,Milestones!$AA$33)&lt;=AsOfDate,IF($R148=0,$X148,IF(AND($T148&lt;&gt;"",EDATE($D148,Milestones!$AA$33)&gt;=$T148),$W148,IF(AND($S148&lt;&gt;"",EDATE($D148,Milestones!$AA$33)&gt;=$S148),$V148,$U148)))=Milestones!$AB$33),UPPER(TEXT(EDATE($D148,Milestones!$AA$33),"dd mmm yy"))&amp;" "&amp;Milestones!$AB$33&amp;" "&amp;Milestones!$AC$33&amp;";  ","")&amp;IF(AND(EDATE($D148,Milestones!$AA$34)&lt;=AsOfDate,IF($R148=0,$X148,IF(AND($T148&lt;&gt;"",EDATE($D148,Milestones!$AA$34)&gt;=$T148),$W148,IF(AND($S148&lt;&gt;"",EDATE($D148,Milestones!$AA$34)&gt;=$S148),$V148,$U148)))=Milestones!$AB$34),UPPER(TEXT(EDATE($D148,Milestones!$AA$34),"dd mmm yy"))&amp;" "&amp;Milestones!$AB$34&amp;" "&amp;Milestones!$AC$34&amp;";  ","")&amp;IF(AND(EDATE($D148,Milestones!$AA$35)&lt;=AsOfDate,IF($R148=0,$X148,IF(AND($T148&lt;&gt;"",EDATE($D148,Milestones!$AA$35)&gt;=$T148),$W148,IF(AND($S148&lt;&gt;"",EDATE($D148,Milestones!$AA$35)&gt;=$S148),$V148,$U148)))=Milestones!$AB$35),UPPER(TEXT(EDATE($D148,Milestones!$AA$35),"dd mmm yy"))&amp;" "&amp;Milestones!$AB$35&amp;" "&amp;Milestones!$AC$35&amp;";  ","")&amp;IF(AND(EDATE($D148,Milestones!$AA$36)&lt;=AsOfDate,IF($R148=0,$X148,IF(AND($T148&lt;&gt;"",EDATE($D148,Milestones!$AA$36)&gt;=$T148),$W148,IF(AND($S148&lt;&gt;"",EDATE($D148,Milestones!$AA$36)&gt;=$S148),$V148,$U148)))=Milestones!$AB$36),UPPER(TEXT(EDATE($D148,Milestones!$AA$36),"dd mmm yy"))&amp;" "&amp;Milestones!$AB$36&amp;" "&amp;Milestones!$AC$36&amp;";  ","")&amp;IF(AND(EDATE($D148,Milestones!$AA$37)&lt;=AsOfDate,IF($R148=0,$X148,IF(AND($T148&lt;&gt;"",EDATE($D148,Milestones!$AA$37)&gt;=$T148),$W148,IF(AND($S148&lt;&gt;"",EDATE($D148,Milestones!$AA$37)&gt;=$S148),$V148,$U148)))=Milestones!$AB$37),UPPER(TEXT(EDATE($D148,Milestones!$AA$37),"dd mmm yy"))&amp;" "&amp;Milestones!$AB$37&amp;" "&amp;Milestones!$AC$37&amp;";  ","")&amp;IF(AND(EDATE($D148,Milestones!$AA$38)&lt;=AsOfDate,IF($R148=0,$X148,IF(AND($T148&lt;&gt;"",EDATE($D148,Milestones!$AA$38)&gt;=$T148),$W148,IF(AND($S148&lt;&gt;"",EDATE($D148,Milestones!$AA$38)&gt;=$S148),$V148,$U148)))=Milestones!$AB$38),UPPER(TEXT(EDATE($D148,Milestones!$AA$38),"dd mmm yy"))&amp;" "&amp;Milestones!$AB$38&amp;" "&amp;Milestones!$AC$38&amp;";  ","")&amp;IF(AND(EDATE($D148,Milestones!$AA$39)&lt;=AsOfDate,IF($R148=0,$X148,IF(AND($T148&lt;&gt;"",EDATE($D148,Milestones!$AA$39)&gt;=$T148),$W148,IF(AND($S148&lt;&gt;"",EDATE($D148,Milestones!$AA$39)&gt;=$S148),$V148,$U148)))=Milestones!$AB$39),UPPER(TEXT(EDATE($D148,Milestones!$AA$39),"dd mmm yy"))&amp;" "&amp;Milestones!$AB$39&amp;" "&amp;Milestones!$AC$39&amp;";  ",""))</f>
        <v/>
      </c>
      <c r="J148" s="0" t="str">
        <f aca="false">IF(OR($A148="",$D148=""),"",IF(AND(EDATE($D148,Milestones!$AA$40)&lt;=AsOfDate,IF($R148=0,$X148,IF(AND($T148&lt;&gt;"",EDATE($D148,Milestones!$AA$40)&gt;=$T148),$W148,IF(AND($S148&lt;&gt;"",EDATE($D148,Milestones!$AA$40)&gt;=$S148),$V148,$U148)))=Milestones!$AB$40),UPPER(TEXT(EDATE($D148,Milestones!$AA$40),"dd mmm yy"))&amp;" "&amp;Milestones!$AB$40&amp;" "&amp;Milestones!$AC$40&amp;";  ","")&amp;IF(AND(EDATE($D148,Milestones!$AA$41)&lt;=AsOfDate,IF($R148=0,$X148,IF(AND($T148&lt;&gt;"",EDATE($D148,Milestones!$AA$41)&gt;=$T148),$W148,IF(AND($S148&lt;&gt;"",EDATE($D148,Milestones!$AA$41)&gt;=$S148),$V148,$U148)))=Milestones!$AB$41),UPPER(TEXT(EDATE($D148,Milestones!$AA$41),"dd mmm yy"))&amp;" "&amp;Milestones!$AB$41&amp;" "&amp;Milestones!$AC$41&amp;";  ","")&amp;IF(AND(EDATE($D148,Milestones!$AA$42)&lt;=AsOfDate,IF($R148=0,$X148,IF(AND($T148&lt;&gt;"",EDATE($D148,Milestones!$AA$42)&gt;=$T148),$W148,IF(AND($S148&lt;&gt;"",EDATE($D148,Milestones!$AA$42)&gt;=$S148),$V148,$U148)))=Milestones!$AB$42),UPPER(TEXT(EDATE($D148,Milestones!$AA$42),"dd mmm yy"))&amp;" "&amp;Milestones!$AB$42&amp;" "&amp;Milestones!$AC$42&amp;";  ","")&amp;IF(AND(EDATE($D148,Milestones!$AA$43)&lt;=AsOfDate,IF($R148=0,$X148,IF(AND($T148&lt;&gt;"",EDATE($D148,Milestones!$AA$43)&gt;=$T148),$W148,IF(AND($S148&lt;&gt;"",EDATE($D148,Milestones!$AA$43)&gt;=$S148),$V148,$U148)))=Milestones!$AB$43),UPPER(TEXT(EDATE($D148,Milestones!$AA$43),"dd mmm yy"))&amp;" "&amp;Milestones!$AB$43&amp;" "&amp;Milestones!$AC$43&amp;";  ","")&amp;IF(AND(EDATE($D148,Milestones!$AA$44)&lt;=AsOfDate,IF($R148=0,$X148,IF(AND($T148&lt;&gt;"",EDATE($D148,Milestones!$AA$44)&gt;=$T148),$W148,IF(AND($S148&lt;&gt;"",EDATE($D148,Milestones!$AA$44)&gt;=$S148),$V148,$U148)))=Milestones!$AB$44),UPPER(TEXT(EDATE($D148,Milestones!$AA$44),"dd mmm yy"))&amp;" "&amp;Milestones!$AB$44&amp;" "&amp;Milestones!$AC$44&amp;";  ","")&amp;IF(AND(EDATE($D148,Milestones!$AA$45)&lt;=AsOfDate,IF($R148=0,$X148,IF(AND($T148&lt;&gt;"",EDATE($D148,Milestones!$AA$45)&gt;=$T148),$W148,IF(AND($S148&lt;&gt;"",EDATE($D148,Milestones!$AA$45)&gt;=$S148),$V148,$U148)))=Milestones!$AB$45),UPPER(TEXT(EDATE($D148,Milestones!$AA$45),"dd mmm yy"))&amp;" "&amp;Milestones!$AB$45&amp;" "&amp;Milestones!$AC$45&amp;";  ","")&amp;IF(AND(EDATE($D148,Milestones!$AA$46)&lt;=AsOfDate,IF($R148=0,$X148,IF(AND($T148&lt;&gt;"",EDATE($D148,Milestones!$AA$46)&gt;=$T148),$W148,IF(AND($S148&lt;&gt;"",EDATE($D148,Milestones!$AA$46)&gt;=$S148),$V148,$U148)))=Milestones!$AB$46),UPPER(TEXT(EDATE($D148,Milestones!$AA$46),"dd mmm yy"))&amp;" "&amp;Milestones!$AB$46&amp;" "&amp;Milestones!$AC$46&amp;";  ","")&amp;IF(AND(EDATE($D148,Milestones!$AA$47)&lt;=AsOfDate,IF($R148=0,$X148,IF(AND($T148&lt;&gt;"",EDATE($D148,Milestones!$AA$47)&gt;=$T148),$W148,IF(AND($S148&lt;&gt;"",EDATE($D148,Milestones!$AA$47)&gt;=$S148),$V148,$U148)))=Milestones!$AB$47),UPPER(TEXT(EDATE($D148,Milestones!$AA$47),"dd mmm yy"))&amp;" "&amp;Milestones!$AB$47&amp;" "&amp;Milestones!$AC$47&amp;";  ","")&amp;IF(AND(EDATE($D148,Milestones!$AA$48)&lt;=AsOfDate,IF($R148=0,$X148,IF(AND($T148&lt;&gt;"",EDATE($D148,Milestones!$AA$48)&gt;=$T148),$W148,IF(AND($S148&lt;&gt;"",EDATE($D148,Milestones!$AA$48)&gt;=$S148),$V148,$U148)))=Milestones!$AB$48),UPPER(TEXT(EDATE($D148,Milestones!$AA$48),"dd mmm yy"))&amp;" "&amp;Milestones!$AB$48&amp;" "&amp;Milestones!$AC$48&amp;";  ","")&amp;IF(AND(EDATE($D148,Milestones!$AA$49)&lt;=AsOfDate,IF($R148=0,$X148,IF(AND($T148&lt;&gt;"",EDATE($D148,Milestones!$AA$49)&gt;=$T148),$W148,IF(AND($S148&lt;&gt;"",EDATE($D148,Milestones!$AA$49)&gt;=$S148),$V148,$U148)))=Milestones!$AB$49),UPPER(TEXT(EDATE($D148,Milestones!$AA$49),"dd mmm yy"))&amp;" "&amp;Milestones!$AB$49&amp;" "&amp;Milestones!$AC$49&amp;";  ","")&amp;IF(AND(EDATE($D148,Milestones!$AA$50)&lt;=AsOfDate,IF($R148=0,$X148,IF(AND($T148&lt;&gt;"",EDATE($D148,Milestones!$AA$50)&gt;=$T148),$W148,IF(AND($S148&lt;&gt;"",EDATE($D148,Milestones!$AA$50)&gt;=$S148),$V148,$U148)))=Milestones!$AB$50),UPPER(TEXT(EDATE($D148,Milestones!$AA$50),"dd mmm yy"))&amp;" "&amp;Milestones!$AB$50&amp;" "&amp;Milestones!$AC$50&amp;";  ","")&amp;IF(AND(EDATE($D148,Milestones!$AA$51)&lt;=AsOfDate,IF($R148=0,$X148,IF(AND($T148&lt;&gt;"",EDATE($D148,Milestones!$AA$51)&gt;=$T148),$W148,IF(AND($S148&lt;&gt;"",EDATE($D148,Milestones!$AA$51)&gt;=$S148),$V148,$U148)))=Milestones!$AB$51),UPPER(TEXT(EDATE($D148,Milestones!$AA$51),"dd mmm yy"))&amp;" "&amp;Milestones!$AB$51&amp;" "&amp;Milestones!$AC$51&amp;";  ","")&amp;IF(AND(EDATE($D148,Milestones!$AA$52)&lt;=AsOfDate,IF($R148=0,$X148,IF(AND($T148&lt;&gt;"",EDATE($D148,Milestones!$AA$52)&gt;=$T148),$W148,IF(AND($S148&lt;&gt;"",EDATE($D148,Milestones!$AA$52)&gt;=$S148),$V148,$U148)))=Milestones!$AB$52),UPPER(TEXT(EDATE($D148,Milestones!$AA$52),"dd mmm yy"))&amp;" "&amp;Milestones!$AB$52&amp;" "&amp;Milestones!$AC$52&amp;";  ","")&amp;IF(AND(EDATE($D148,Milestones!$AA$53)&lt;=AsOfDate,IF($R148=0,$X148,IF(AND($T148&lt;&gt;"",EDATE($D148,Milestones!$AA$53)&gt;=$T148),$W148,IF(AND($S148&lt;&gt;"",EDATE($D148,Milestones!$AA$53)&gt;=$S148),$V148,$U148)))=Milestones!$AB$53),UPPER(TEXT(EDATE($D148,Milestones!$AA$53),"dd mmm yy"))&amp;" "&amp;Milestones!$AB$53&amp;" "&amp;Milestones!$AC$53&amp;";  ","")&amp;IF(AND(EDATE($D148,Milestones!$AA$54)&lt;=AsOfDate,IF($R148=0,$X148,IF(AND($T148&lt;&gt;"",EDATE($D148,Milestones!$AA$54)&gt;=$T148),$W148,IF(AND($S148&lt;&gt;"",EDATE($D148,Milestones!$AA$54)&gt;=$S148),$V148,$U148)))=Milestones!$AB$54),UPPER(TEXT(EDATE($D148,Milestones!$AA$54),"dd mmm yy"))&amp;" "&amp;Milestones!$AB$54&amp;" "&amp;Milestones!$AC$54&amp;";  ","")&amp;IF(AND(EDATE($D148,Milestones!$AA$55)&lt;=AsOfDate,IF($R148=0,$X148,IF(AND($T148&lt;&gt;"",EDATE($D148,Milestones!$AA$55)&gt;=$T148),$W148,IF(AND($S148&lt;&gt;"",EDATE($D148,Milestones!$AA$55)&gt;=$S148),$V148,$U148)))=Milestones!$AB$55),UPPER(TEXT(EDATE($D148,Milestones!$AA$55),"dd mmm yy"))&amp;" "&amp;Milestones!$AB$55&amp;" "&amp;Milestones!$AC$55&amp;";  ","")&amp;IF(AND(EDATE($D148,Milestones!$AA$56)&lt;=AsOfDate,IF($R148=0,$X148,IF(AND($T148&lt;&gt;"",EDATE($D148,Milestones!$AA$56)&gt;=$T148),$W148,IF(AND($S148&lt;&gt;"",EDATE($D148,Milestones!$AA$56)&gt;=$S148),$V148,$U148)))=Milestones!$AB$56),UPPER(TEXT(EDATE($D148,Milestones!$AA$56),"dd mmm yy"))&amp;" "&amp;Milestones!$AB$56&amp;" "&amp;Milestones!$AC$56&amp;";  ","")&amp;IF(AND(EDATE($D148,Milestones!$AA$57)&lt;=AsOfDate,IF($R148=0,$X148,IF(AND($T148&lt;&gt;"",EDATE($D148,Milestones!$AA$57)&gt;=$T148),$W148,IF(AND($S148&lt;&gt;"",EDATE($D148,Milestones!$AA$57)&gt;=$S148),$V148,$U148)))=Milestones!$AB$57),UPPER(TEXT(EDATE($D148,Milestones!$AA$57),"dd mmm yy"))&amp;" "&amp;Milestones!$AB$57&amp;" "&amp;Milestones!$AC$57&amp;";  ","")&amp;IF(AND(EDATE($D148,Milestones!$AA$58)&lt;=AsOfDate,IF($R148=0,$X148,IF(AND($T148&lt;&gt;"",EDATE($D148,Milestones!$AA$58)&gt;=$T148),$W148,IF(AND($S148&lt;&gt;"",EDATE($D148,Milestones!$AA$58)&gt;=$S148),$V148,$U148)))=Milestones!$AB$58),UPPER(TEXT(EDATE($D148,Milestones!$AA$58),"dd mmm yy"))&amp;" "&amp;Milestones!$AB$58&amp;" "&amp;Milestones!$AC$58&amp;";  ","")&amp;IF(AND(EDATE($D148,Milestones!$AA$59)&lt;=AsOfDate,IF($R148=0,$X148,IF(AND($T148&lt;&gt;"",EDATE($D148,Milestones!$AA$59)&gt;=$T148),$W148,IF(AND($S148&lt;&gt;"",EDATE($D148,Milestones!$AA$59)&gt;=$S148),$V148,$U148)))=Milestones!$AB$59),UPPER(TEXT(EDATE($D148,Milestones!$AA$59),"dd mmm yy"))&amp;" "&amp;Milestones!$AB$59&amp;" "&amp;Milestones!$AC$59&amp;";  ",""))</f>
        <v/>
      </c>
      <c r="K148" s="0" t="str">
        <f aca="false">IF(OR($A148="",$D148=""),"",IF(AND(EDATE($D148,Milestones!$AA$60)&lt;=AsOfDate,IF($R148=0,$X148,IF(AND($T148&lt;&gt;"",EDATE($D148,Milestones!$AA$60)&gt;=$T148),$W148,IF(AND($S148&lt;&gt;"",EDATE($D148,Milestones!$AA$60)&gt;=$S148),$V148,$U148)))=Milestones!$AB$60),UPPER(TEXT(EDATE($D148,Milestones!$AA$60),"dd mmm yy"))&amp;" "&amp;Milestones!$AB$60&amp;" "&amp;Milestones!$AC$60&amp;";  ","")&amp;IF(AND(EDATE($D148,Milestones!$AA$61)&lt;=AsOfDate,IF($R148=0,$X148,IF(AND($T148&lt;&gt;"",EDATE($D148,Milestones!$AA$61)&gt;=$T148),$W148,IF(AND($S148&lt;&gt;"",EDATE($D148,Milestones!$AA$61)&gt;=$S148),$V148,$U148)))=Milestones!$AB$61),UPPER(TEXT(EDATE($D148,Milestones!$AA$61),"dd mmm yy"))&amp;" "&amp;Milestones!$AB$61&amp;" "&amp;Milestones!$AC$61&amp;";  ","")&amp;IF(AND(EDATE($D148,Milestones!$AA$62)&lt;=AsOfDate,IF($R148=0,$X148,IF(AND($T148&lt;&gt;"",EDATE($D148,Milestones!$AA$62)&gt;=$T148),$W148,IF(AND($S148&lt;&gt;"",EDATE($D148,Milestones!$AA$62)&gt;=$S148),$V148,$U148)))=Milestones!$AB$62),UPPER(TEXT(EDATE($D148,Milestones!$AA$62),"dd mmm yy"))&amp;" "&amp;Milestones!$AB$62&amp;" "&amp;Milestones!$AC$62&amp;";  ","")&amp;IF(AND(EDATE($D148,Milestones!$AA$63)&lt;=AsOfDate,IF($R148=0,$X148,IF(AND($T148&lt;&gt;"",EDATE($D148,Milestones!$AA$63)&gt;=$T148),$W148,IF(AND($S148&lt;&gt;"",EDATE($D148,Milestones!$AA$63)&gt;=$S148),$V148,$U148)))=Milestones!$AB$63),UPPER(TEXT(EDATE($D148,Milestones!$AA$63),"dd mmm yy"))&amp;" "&amp;Milestones!$AB$63&amp;" "&amp;Milestones!$AC$63&amp;";  ","")&amp;IF(AND(EDATE($D148,Milestones!$AA$64)&lt;=AsOfDate,IF($R148=0,$X148,IF(AND($T148&lt;&gt;"",EDATE($D148,Milestones!$AA$64)&gt;=$T148),$W148,IF(AND($S148&lt;&gt;"",EDATE($D148,Milestones!$AA$64)&gt;=$S148),$V148,$U148)))=Milestones!$AB$64),UPPER(TEXT(EDATE($D148,Milestones!$AA$64),"dd mmm yy"))&amp;" "&amp;Milestones!$AB$64&amp;" "&amp;Milestones!$AC$64&amp;";  ","")&amp;IF(AND(EDATE($D148,Milestones!$AA$65)&lt;=AsOfDate,IF($R148=0,$X148,IF(AND($T148&lt;&gt;"",EDATE($D148,Milestones!$AA$65)&gt;=$T148),$W148,IF(AND($S148&lt;&gt;"",EDATE($D148,Milestones!$AA$65)&gt;=$S148),$V148,$U148)))=Milestones!$AB$65),UPPER(TEXT(EDATE($D148,Milestones!$AA$65),"dd mmm yy"))&amp;" "&amp;Milestones!$AB$65&amp;" "&amp;Milestones!$AC$65&amp;";  ","")&amp;IF(AND(EDATE($D148,Milestones!$AA$66)&lt;=AsOfDate,IF($R148=0,$X148,IF(AND($T148&lt;&gt;"",EDATE($D148,Milestones!$AA$66)&gt;=$T148),$W148,IF(AND($S148&lt;&gt;"",EDATE($D148,Milestones!$AA$66)&gt;=$S148),$V148,$U148)))=Milestones!$AB$66),UPPER(TEXT(EDATE($D148,Milestones!$AA$66),"dd mmm yy"))&amp;" "&amp;Milestones!$AB$66&amp;" "&amp;Milestones!$AC$66&amp;";  ","")&amp;IF(AND(EDATE($D148,Milestones!$AA$67)&lt;=AsOfDate,IF($R148=0,$X148,IF(AND($T148&lt;&gt;"",EDATE($D148,Milestones!$AA$67)&gt;=$T148),$W148,IF(AND($S148&lt;&gt;"",EDATE($D148,Milestones!$AA$67)&gt;=$S148),$V148,$U148)))=Milestones!$AB$67),UPPER(TEXT(EDATE($D148,Milestones!$AA$67),"dd mmm yy"))&amp;" "&amp;Milestones!$AB$67&amp;" "&amp;Milestones!$AC$67&amp;";  ","")&amp;IF(AND(EDATE($D148,Milestones!$AA$68)&lt;=AsOfDate,IF($R148=0,$X148,IF(AND($T148&lt;&gt;"",EDATE($D148,Milestones!$AA$68)&gt;=$T148),$W148,IF(AND($S148&lt;&gt;"",EDATE($D148,Milestones!$AA$68)&gt;=$S148),$V148,$U148)))=Milestones!$AB$68),UPPER(TEXT(EDATE($D148,Milestones!$AA$68),"dd mmm yy"))&amp;" "&amp;Milestones!$AB$68&amp;" "&amp;Milestones!$AC$68&amp;";  ","")&amp;IF(AND(EDATE($D148,Milestones!$AA$69)&lt;=AsOfDate,IF($R148=0,$X148,IF(AND($T148&lt;&gt;"",EDATE($D148,Milestones!$AA$69)&gt;=$T148),$W148,IF(AND($S148&lt;&gt;"",EDATE($D148,Milestones!$AA$69)&gt;=$S148),$V148,$U148)))=Milestones!$AB$69),UPPER(TEXT(EDATE($D148,Milestones!$AA$69),"dd mmm yy"))&amp;" "&amp;Milestones!$AB$69&amp;" "&amp;Milestones!$AC$69&amp;";  ","")&amp;IF(AND(EDATE($D148,Milestones!$AA$70)&lt;=AsOfDate,IF($R148=0,$X148,IF(AND($T148&lt;&gt;"",EDATE($D148,Milestones!$AA$70)&gt;=$T148),$W148,IF(AND($S148&lt;&gt;"",EDATE($D148,Milestones!$AA$70)&gt;=$S148),$V148,$U148)))=Milestones!$AB$70),UPPER(TEXT(EDATE($D148,Milestones!$AA$70),"dd mmm yy"))&amp;" "&amp;Milestones!$AB$70&amp;" "&amp;Milestones!$AC$70&amp;";  ","")&amp;IF(AND(EDATE($D148,Milestones!$AA$71)&lt;=AsOfDate,IF($R148=0,$X148,IF(AND($T148&lt;&gt;"",EDATE($D148,Milestones!$AA$71)&gt;=$T148),$W148,IF(AND($S148&lt;&gt;"",EDATE($D148,Milestones!$AA$71)&gt;=$S148),$V148,$U148)))=Milestones!$AB$71),UPPER(TEXT(EDATE($D148,Milestones!$AA$71),"dd mmm yy"))&amp;" "&amp;Milestones!$AB$71&amp;" "&amp;Milestones!$AC$71&amp;";  ","")&amp;IF(AND(EDATE($D148,Milestones!$AA$72)&lt;=AsOfDate,IF($R148=0,$X148,IF(AND($T148&lt;&gt;"",EDATE($D148,Milestones!$AA$72)&gt;=$T148),$W148,IF(AND($S148&lt;&gt;"",EDATE($D148,Milestones!$AA$72)&gt;=$S148),$V148,$U148)))=Milestones!$AB$72),UPPER(TEXT(EDATE($D148,Milestones!$AA$72),"dd mmm yy"))&amp;" "&amp;Milestones!$AB$72&amp;" "&amp;Milestones!$AC$72&amp;";  ","")&amp;IF(AND(EDATE($D148,Milestones!$AA$73)&lt;=AsOfDate,IF($R148=0,$X148,IF(AND($T148&lt;&gt;"",EDATE($D148,Milestones!$AA$73)&gt;=$T148),$W148,IF(AND($S148&lt;&gt;"",EDATE($D148,Milestones!$AA$73)&gt;=$S148),$V148,$U148)))=Milestones!$AB$73),UPPER(TEXT(EDATE($D148,Milestones!$AA$73),"dd mmm yy"))&amp;" "&amp;Milestones!$AB$73&amp;" "&amp;Milestones!$AC$73&amp;";  ","")&amp;IF(AND(EDATE($D148,Milestones!$AA$74)&lt;=AsOfDate,IF($R148=0,$X148,IF(AND($T148&lt;&gt;"",EDATE($D148,Milestones!$AA$74)&gt;=$T148),$W148,IF(AND($S148&lt;&gt;"",EDATE($D148,Milestones!$AA$74)&gt;=$S148),$V148,$U148)))=Milestones!$AB$74),UPPER(TEXT(EDATE($D148,Milestones!$AA$74),"dd mmm yy"))&amp;" "&amp;Milestones!$AB$74&amp;" "&amp;Milestones!$AC$74&amp;";  ","")&amp;IF(AND(EDATE($D148,Milestones!$AA$75)&lt;=AsOfDate,IF($R148=0,$X148,IF(AND($T148&lt;&gt;"",EDATE($D148,Milestones!$AA$75)&gt;=$T148),$W148,IF(AND($S148&lt;&gt;"",EDATE($D148,Milestones!$AA$75)&gt;=$S148),$V148,$U148)))=Milestones!$AB$75),UPPER(TEXT(EDATE($D148,Milestones!$AA$75),"dd mmm yy"))&amp;" "&amp;Milestones!$AB$75&amp;" "&amp;Milestones!$AC$75&amp;";  ","")&amp;IF(AND(EDATE($D148,Milestones!$AA$76)&lt;=AsOfDate,IF($R148=0,$X148,IF(AND($T148&lt;&gt;"",EDATE($D148,Milestones!$AA$76)&gt;=$T148),$W148,IF(AND($S148&lt;&gt;"",EDATE($D148,Milestones!$AA$76)&gt;=$S148),$V148,$U148)))=Milestones!$AB$76),UPPER(TEXT(EDATE($D148,Milestones!$AA$76),"dd mmm yy"))&amp;" "&amp;Milestones!$AB$76&amp;" "&amp;Milestones!$AC$76&amp;";  ","")&amp;IF(AND(EDATE($D148,Milestones!$AA$77)&lt;=AsOfDate,IF($R148=0,$X148,IF(AND($T148&lt;&gt;"",EDATE($D148,Milestones!$AA$77)&gt;=$T148),$W148,IF(AND($S148&lt;&gt;"",EDATE($D148,Milestones!$AA$77)&gt;=$S148),$V148,$U148)))=Milestones!$AB$77),UPPER(TEXT(EDATE($D148,Milestones!$AA$77),"dd mmm yy"))&amp;" "&amp;Milestones!$AB$77&amp;" "&amp;Milestones!$AC$77&amp;";  ","")&amp;IF(AND(EDATE($D148,Milestones!$AA$78)&lt;=AsOfDate,IF($R148=0,$X148,IF(AND($T148&lt;&gt;"",EDATE($D148,Milestones!$AA$78)&gt;=$T148),$W148,IF(AND($S148&lt;&gt;"",EDATE($D148,Milestones!$AA$78)&gt;=$S148),$V148,$U148)))=Milestones!$AB$78),UPPER(TEXT(EDATE($D148,Milestones!$AA$78),"dd mmm yy"))&amp;" "&amp;Milestones!$AB$78&amp;" "&amp;Milestones!$AC$78&amp;";  ","")&amp;IF(AND(EDATE($D148,Milestones!$AA$79)&lt;=AsOfDate,IF($R148=0,$X148,IF(AND($T148&lt;&gt;"",EDATE($D148,Milestones!$AA$79)&gt;=$T148),$W148,IF(AND($S148&lt;&gt;"",EDATE($D148,Milestones!$AA$79)&gt;=$S148),$V148,$U148)))=Milestones!$AB$79),UPPER(TEXT(EDATE($D148,Milestones!$AA$79),"dd mmm yy"))&amp;" "&amp;Milestones!$AB$79&amp;" "&amp;Milestones!$AC$79&amp;";  ",""))</f>
        <v/>
      </c>
      <c r="L148" s="0" t="str">
        <f aca="false">IF(OR($A148="",$D148=""),"",IF(AND(EDATE($D148,Milestones!$AA$80)&lt;=AsOfDate,IF($R148=0,$X148,IF(AND($T148&lt;&gt;"",EDATE($D148,Milestones!$AA$80)&gt;=$T148),$W148,IF(AND($S148&lt;&gt;"",EDATE($D148,Milestones!$AA$80)&gt;=$S148),$V148,$U148)))=Milestones!$AB$80),UPPER(TEXT(EDATE($D148,Milestones!$AA$80),"dd mmm yy"))&amp;" "&amp;Milestones!$AB$80&amp;" "&amp;Milestones!$AC$80&amp;";  ","")&amp;IF(AND(EDATE($D148,Milestones!$AA$81)&lt;=AsOfDate,IF($R148=0,$X148,IF(AND($T148&lt;&gt;"",EDATE($D148,Milestones!$AA$81)&gt;=$T148),$W148,IF(AND($S148&lt;&gt;"",EDATE($D148,Milestones!$AA$81)&gt;=$S148),$V148,$U148)))=Milestones!$AB$81),UPPER(TEXT(EDATE($D148,Milestones!$AA$81),"dd mmm yy"))&amp;" "&amp;Milestones!$AB$81&amp;" "&amp;Milestones!$AC$81&amp;";  ","")&amp;IF(AND(EDATE($D148,Milestones!$AA$82)&lt;=AsOfDate,IF($R148=0,$X148,IF(AND($T148&lt;&gt;"",EDATE($D148,Milestones!$AA$82)&gt;=$T148),$W148,IF(AND($S148&lt;&gt;"",EDATE($D148,Milestones!$AA$82)&gt;=$S148),$V148,$U148)))=Milestones!$AB$82),UPPER(TEXT(EDATE($D148,Milestones!$AA$82),"dd mmm yy"))&amp;" "&amp;Milestones!$AB$82&amp;" "&amp;Milestones!$AC$82&amp;";  ","")&amp;IF(AND(EDATE($D148,Milestones!$AA$83)&lt;=AsOfDate,IF($R148=0,$X148,IF(AND($T148&lt;&gt;"",EDATE($D148,Milestones!$AA$83)&gt;=$T148),$W148,IF(AND($S148&lt;&gt;"",EDATE($D148,Milestones!$AA$83)&gt;=$S148),$V148,$U148)))=Milestones!$AB$83),UPPER(TEXT(EDATE($D148,Milestones!$AA$83),"dd mmm yy"))&amp;" "&amp;Milestones!$AB$83&amp;" "&amp;Milestones!$AC$83&amp;";  ","")&amp;IF(AND(EDATE($D148,Milestones!$AA$84)&lt;=AsOfDate,IF($R148=0,$X148,IF(AND($T148&lt;&gt;"",EDATE($D148,Milestones!$AA$84)&gt;=$T148),$W148,IF(AND($S148&lt;&gt;"",EDATE($D148,Milestones!$AA$84)&gt;=$S148),$V148,$U148)))=Milestones!$AB$84),UPPER(TEXT(EDATE($D148,Milestones!$AA$84),"dd mmm yy"))&amp;" "&amp;Milestones!$AB$84&amp;" "&amp;Milestones!$AC$84&amp;";  ","")&amp;IF(AND(EDATE($D148,Milestones!$AA$85)&lt;=AsOfDate,IF($R148=0,$X148,IF(AND($T148&lt;&gt;"",EDATE($D148,Milestones!$AA$85)&gt;=$T148),$W148,IF(AND($S148&lt;&gt;"",EDATE($D148,Milestones!$AA$85)&gt;=$S148),$V148,$U148)))=Milestones!$AB$85),UPPER(TEXT(EDATE($D148,Milestones!$AA$85),"dd mmm yy"))&amp;" "&amp;Milestones!$AB$85&amp;" "&amp;Milestones!$AC$85&amp;";  ","")&amp;IF(AND(EDATE($D148,Milestones!$AA$86)&lt;=AsOfDate,IF($R148=0,$X148,IF(AND($T148&lt;&gt;"",EDATE($D148,Milestones!$AA$86)&gt;=$T148),$W148,IF(AND($S148&lt;&gt;"",EDATE($D148,Milestones!$AA$86)&gt;=$S148),$V148,$U148)))=Milestones!$AB$86),UPPER(TEXT(EDATE($D148,Milestones!$AA$86),"dd mmm yy"))&amp;" "&amp;Milestones!$AB$86&amp;" "&amp;Milestones!$AC$86&amp;";  ","")&amp;IF(AND(EDATE($D148,Milestones!$AA$87)&lt;=AsOfDate,IF($R148=0,$X148,IF(AND($T148&lt;&gt;"",EDATE($D148,Milestones!$AA$87)&gt;=$T148),$W148,IF(AND($S148&lt;&gt;"",EDATE($D148,Milestones!$AA$87)&gt;=$S148),$V148,$U148)))=Milestones!$AB$87),UPPER(TEXT(EDATE($D148,Milestones!$AA$87),"dd mmm yy"))&amp;" "&amp;Milestones!$AB$87&amp;" "&amp;Milestones!$AC$87&amp;";  ","")&amp;IF(AND(EDATE($D148,Milestones!$AA$88)&lt;=AsOfDate,IF($R148=0,$X148,IF(AND($T148&lt;&gt;"",EDATE($D148,Milestones!$AA$88)&gt;=$T148),$W148,IF(AND($S148&lt;&gt;"",EDATE($D148,Milestones!$AA$88)&gt;=$S148),$V148,$U148)))=Milestones!$AB$88),UPPER(TEXT(EDATE($D148,Milestones!$AA$88),"dd mmm yy"))&amp;" "&amp;Milestones!$AB$88&amp;" "&amp;Milestones!$AC$88&amp;";  ","")&amp;IF(AND(EDATE($D148,Milestones!$AA$89)&lt;=AsOfDate,IF($R148=0,$X148,IF(AND($T148&lt;&gt;"",EDATE($D148,Milestones!$AA$89)&gt;=$T148),$W148,IF(AND($S148&lt;&gt;"",EDATE($D148,Milestones!$AA$89)&gt;=$S148),$V148,$U148)))=Milestones!$AB$89),UPPER(TEXT(EDATE($D148,Milestones!$AA$89),"dd mmm yy"))&amp;" "&amp;Milestones!$AB$89&amp;" "&amp;Milestones!$AC$89&amp;";  ","")&amp;IF(AND(EDATE($D148,Milestones!$AA$90)&lt;=AsOfDate,IF($R148=0,$X148,IF(AND($T148&lt;&gt;"",EDATE($D148,Milestones!$AA$90)&gt;=$T148),$W148,IF(AND($S148&lt;&gt;"",EDATE($D148,Milestones!$AA$90)&gt;=$S148),$V148,$U148)))=Milestones!$AB$90),UPPER(TEXT(EDATE($D148,Milestones!$AA$90),"dd mmm yy"))&amp;" "&amp;Milestones!$AB$90&amp;" "&amp;Milestones!$AC$90&amp;";  ","")&amp;IF(AND(EDATE($D148,Milestones!$AA$91)&lt;=AsOfDate,IF($R148=0,$X148,IF(AND($T148&lt;&gt;"",EDATE($D148,Milestones!$AA$91)&gt;=$T148),$W148,IF(AND($S148&lt;&gt;"",EDATE($D148,Milestones!$AA$91)&gt;=$S148),$V148,$U148)))=Milestones!$AB$91),UPPER(TEXT(EDATE($D148,Milestones!$AA$91),"dd mmm yy"))&amp;" "&amp;Milestones!$AB$91&amp;" "&amp;Milestones!$AC$91&amp;";  ","")&amp;IF(AND(EDATE($D148,Milestones!$AA$92)&lt;=AsOfDate,IF($R148=0,$X148,IF(AND($T148&lt;&gt;"",EDATE($D148,Milestones!$AA$92)&gt;=$T148),$W148,IF(AND($S148&lt;&gt;"",EDATE($D148,Milestones!$AA$92)&gt;=$S148),$V148,$U148)))=Milestones!$AB$92),UPPER(TEXT(EDATE($D148,Milestones!$AA$92),"dd mmm yy"))&amp;" "&amp;Milestones!$AB$92&amp;" "&amp;Milestones!$AC$92&amp;";  ","")&amp;IF(AND(EDATE($D148,Milestones!$AA$93)&lt;=AsOfDate,IF($R148=0,$X148,IF(AND($T148&lt;&gt;"",EDATE($D148,Milestones!$AA$93)&gt;=$T148),$W148,IF(AND($S148&lt;&gt;"",EDATE($D148,Milestones!$AA$93)&gt;=$S148),$V148,$U148)))=Milestones!$AB$93),UPPER(TEXT(EDATE($D148,Milestones!$AA$93),"dd mmm yy"))&amp;" "&amp;Milestones!$AB$93&amp;" "&amp;Milestones!$AC$93&amp;";  ","")&amp;IF(AND(EDATE($D148,Milestones!$AA$94)&lt;=AsOfDate,IF($R148=0,$X148,IF(AND($T148&lt;&gt;"",EDATE($D148,Milestones!$AA$94)&gt;=$T148),$W148,IF(AND($S148&lt;&gt;"",EDATE($D148,Milestones!$AA$94)&gt;=$S148),$V148,$U148)))=Milestones!$AB$94),UPPER(TEXT(EDATE($D148,Milestones!$AA$94),"dd mmm yy"))&amp;" "&amp;Milestones!$AB$94&amp;" "&amp;Milestones!$AC$94&amp;";  ","")&amp;IF(AND(EDATE($D148,Milestones!$AA$95)&lt;=AsOfDate,IF($R148=0,$X148,IF(AND($T148&lt;&gt;"",EDATE($D148,Milestones!$AA$95)&gt;=$T148),$W148,IF(AND($S148&lt;&gt;"",EDATE($D148,Milestones!$AA$95)&gt;=$S148),$V148,$U148)))=Milestones!$AB$95),UPPER(TEXT(EDATE($D148,Milestones!$AA$95),"dd mmm yy"))&amp;" "&amp;Milestones!$AB$95&amp;" "&amp;Milestones!$AC$95&amp;";  ","")&amp;IF(AND(EDATE($D148,Milestones!$AA$96)&lt;=AsOfDate,IF($R148=0,$X148,IF(AND($T148&lt;&gt;"",EDATE($D148,Milestones!$AA$96)&gt;=$T148),$W148,IF(AND($S148&lt;&gt;"",EDATE($D148,Milestones!$AA$96)&gt;=$S148),$V148,$U148)))=Milestones!$AB$96),UPPER(TEXT(EDATE($D148,Milestones!$AA$96),"dd mmm yy"))&amp;" "&amp;Milestones!$AB$96&amp;" "&amp;Milestones!$AC$96&amp;";  ","")&amp;IF(AND(EDATE($D148,Milestones!$AA$97)&lt;=AsOfDate,IF($R148=0,$X148,IF(AND($T148&lt;&gt;"",EDATE($D148,Milestones!$AA$97)&gt;=$T148),$W148,IF(AND($S148&lt;&gt;"",EDATE($D148,Milestones!$AA$97)&gt;=$S148),$V148,$U148)))=Milestones!$AB$97),UPPER(TEXT(EDATE($D148,Milestones!$AA$97),"dd mmm yy"))&amp;" "&amp;Milestones!$AB$97&amp;" "&amp;Milestones!$AC$97&amp;";  ","")&amp;IF(AND(EDATE($D148,Milestones!$AA$98)&lt;=AsOfDate,IF($R148=0,$X148,IF(AND($T148&lt;&gt;"",EDATE($D148,Milestones!$AA$98)&gt;=$T148),$W148,IF(AND($S148&lt;&gt;"",EDATE($D148,Milestones!$AA$98)&gt;=$S148),$V148,$U148)))=Milestones!$AB$98),UPPER(TEXT(EDATE($D148,Milestones!$AA$98),"dd mmm yy"))&amp;" "&amp;Milestones!$AB$98&amp;" "&amp;Milestones!$AC$98&amp;";  ","")&amp;IF(AND(EDATE($D148,Milestones!$AA$99)&lt;=AsOfDate,IF($R148=0,$X148,IF(AND($T148&lt;&gt;"",EDATE($D148,Milestones!$AA$99)&gt;=$T148),$W148,IF(AND($S148&lt;&gt;"",EDATE($D148,Milestones!$AA$99)&gt;=$S148),$V148,$U148)))=Milestones!$AB$99),UPPER(TEXT(EDATE($D148,Milestones!$AA$99),"dd mmm yy"))&amp;" "&amp;Milestones!$AB$99&amp;" "&amp;Milestones!$AC$99&amp;";  ",""))</f>
        <v/>
      </c>
      <c r="M148" s="0" t="str">
        <f aca="false">IF(OR($A148="",$D148=""),"",IF(AND(EDATE($D148,Milestones!$AA$100)&lt;=AsOfDate,IF($R148=0,$X148,IF(AND($T148&lt;&gt;"",EDATE($D148,Milestones!$AA$100)&gt;=$T148),$W148,IF(AND($S148&lt;&gt;"",EDATE($D148,Milestones!$AA$100)&gt;=$S148),$V148,$U148)))=Milestones!$AB$100),UPPER(TEXT(EDATE($D148,Milestones!$AA$100),"dd mmm yy"))&amp;" "&amp;Milestones!$AB$100&amp;" "&amp;Milestones!$AC$100&amp;";  ","")&amp;IF(AND(EDATE($D148,Milestones!$AA$101)&lt;=AsOfDate,IF($R148=0,$X148,IF(AND($T148&lt;&gt;"",EDATE($D148,Milestones!$AA$101)&gt;=$T148),$W148,IF(AND($S148&lt;&gt;"",EDATE($D148,Milestones!$AA$101)&gt;=$S148),$V148,$U148)))=Milestones!$AB$101),UPPER(TEXT(EDATE($D148,Milestones!$AA$101),"dd mmm yy"))&amp;" "&amp;Milestones!$AB$101&amp;" "&amp;Milestones!$AC$101&amp;";  ","")&amp;IF(AND(EDATE($D148,Milestones!$AA$102)&lt;=AsOfDate,IF($R148=0,$X148,IF(AND($T148&lt;&gt;"",EDATE($D148,Milestones!$AA$102)&gt;=$T148),$W148,IF(AND($S148&lt;&gt;"",EDATE($D148,Milestones!$AA$102)&gt;=$S148),$V148,$U148)))=Milestones!$AB$102),UPPER(TEXT(EDATE($D148,Milestones!$AA$102),"dd mmm yy"))&amp;" "&amp;Milestones!$AB$102&amp;" "&amp;Milestones!$AC$102&amp;";  ","")&amp;IF(AND(EDATE($D148,Milestones!$AA$103)&lt;=AsOfDate,IF($R148=0,$X148,IF(AND($T148&lt;&gt;"",EDATE($D148,Milestones!$AA$103)&gt;=$T148),$W148,IF(AND($S148&lt;&gt;"",EDATE($D148,Milestones!$AA$103)&gt;=$S148),$V148,$U148)))=Milestones!$AB$103),UPPER(TEXT(EDATE($D148,Milestones!$AA$103),"dd mmm yy"))&amp;" "&amp;Milestones!$AB$103&amp;" "&amp;Milestones!$AC$103&amp;";  ","")&amp;IF(AND(EDATE($D148,Milestones!$AA$104)&lt;=AsOfDate,IF($R148=0,$X148,IF(AND($T148&lt;&gt;"",EDATE($D148,Milestones!$AA$104)&gt;=$T148),$W148,IF(AND($S148&lt;&gt;"",EDATE($D148,Milestones!$AA$104)&gt;=$S148),$V148,$U148)))=Milestones!$AB$104),UPPER(TEXT(EDATE($D148,Milestones!$AA$104),"dd mmm yy"))&amp;" "&amp;Milestones!$AB$104&amp;" "&amp;Milestones!$AC$104&amp;";  ","")&amp;IF(AND(EDATE($D148,Milestones!$AA$105)&lt;=AsOfDate,IF($R148=0,$X148,IF(AND($T148&lt;&gt;"",EDATE($D148,Milestones!$AA$105)&gt;=$T148),$W148,IF(AND($S148&lt;&gt;"",EDATE($D148,Milestones!$AA$105)&gt;=$S148),$V148,$U148)))=Milestones!$AB$105),UPPER(TEXT(EDATE($D148,Milestones!$AA$105),"dd mmm yy"))&amp;" "&amp;Milestones!$AB$105&amp;" "&amp;Milestones!$AC$105&amp;";  ","")&amp;IF(AND(EDATE($D148,Milestones!$AA$106)&lt;=AsOfDate,IF($R148=0,$X148,IF(AND($T148&lt;&gt;"",EDATE($D148,Milestones!$AA$106)&gt;=$T148),$W148,IF(AND($S148&lt;&gt;"",EDATE($D148,Milestones!$AA$106)&gt;=$S148),$V148,$U148)))=Milestones!$AB$106),UPPER(TEXT(EDATE($D148,Milestones!$AA$106),"dd mmm yy"))&amp;" "&amp;Milestones!$AB$106&amp;" "&amp;Milestones!$AC$106&amp;";  ","")&amp;IF(AND(EDATE($D148,Milestones!$AA$107)&lt;=AsOfDate,IF($R148=0,$X148,IF(AND($T148&lt;&gt;"",EDATE($D148,Milestones!$AA$107)&gt;=$T148),$W148,IF(AND($S148&lt;&gt;"",EDATE($D148,Milestones!$AA$107)&gt;=$S148),$V148,$U148)))=Milestones!$AB$107),UPPER(TEXT(EDATE($D148,Milestones!$AA$107),"dd mmm yy"))&amp;" "&amp;Milestones!$AB$107&amp;" "&amp;Milestones!$AC$107&amp;";  ","")&amp;IF(AND(EDATE($D148,Milestones!$AA$108)&lt;=AsOfDate,IF($R148=0,$X148,IF(AND($T148&lt;&gt;"",EDATE($D148,Milestones!$AA$108)&gt;=$T148),$W148,IF(AND($S148&lt;&gt;"",EDATE($D148,Milestones!$AA$108)&gt;=$S148),$V148,$U148)))=Milestones!$AB$108),UPPER(TEXT(EDATE($D148,Milestones!$AA$108),"dd mmm yy"))&amp;" "&amp;Milestones!$AB$108&amp;" "&amp;Milestones!$AC$108&amp;";  ","")&amp;IF(AND(EDATE($D148,Milestones!$AA$109)&lt;=AsOfDate,IF($R148=0,$X148,IF(AND($T148&lt;&gt;"",EDATE($D148,Milestones!$AA$109)&gt;=$T148),$W148,IF(AND($S148&lt;&gt;"",EDATE($D148,Milestones!$AA$109)&gt;=$S148),$V148,$U148)))=Milestones!$AB$109),UPPER(TEXT(EDATE($D148,Milestones!$AA$109),"dd mmm yy"))&amp;" "&amp;Milestones!$AB$109&amp;" "&amp;Milestones!$AC$109&amp;";  ","")&amp;IF(AND(EDATE($D148,Milestones!$AA$110)&lt;=AsOfDate,IF($R148=0,$X148,IF(AND($T148&lt;&gt;"",EDATE($D148,Milestones!$AA$110)&gt;=$T148),$W148,IF(AND($S148&lt;&gt;"",EDATE($D148,Milestones!$AA$110)&gt;=$S148),$V148,$U148)))=Milestones!$AB$110),UPPER(TEXT(EDATE($D148,Milestones!$AA$110),"dd mmm yy"))&amp;" "&amp;Milestones!$AB$110&amp;" "&amp;Milestones!$AC$110&amp;";  ","")&amp;IF(AND(EDATE($D148,Milestones!$AA$111)&lt;=AsOfDate,IF($R148=0,$X148,IF(AND($T148&lt;&gt;"",EDATE($D148,Milestones!$AA$111)&gt;=$T148),$W148,IF(AND($S148&lt;&gt;"",EDATE($D148,Milestones!$AA$111)&gt;=$S148),$V148,$U148)))=Milestones!$AB$111),UPPER(TEXT(EDATE($D148,Milestones!$AA$111),"dd mmm yy"))&amp;" "&amp;Milestones!$AB$111&amp;" "&amp;Milestones!$AC$111&amp;";  ","")&amp;IF(AND(EDATE($D148,Milestones!$AA$112)&lt;=AsOfDate,IF($R148=0,$X148,IF(AND($T148&lt;&gt;"",EDATE($D148,Milestones!$AA$112)&gt;=$T148),$W148,IF(AND($S148&lt;&gt;"",EDATE($D148,Milestones!$AA$112)&gt;=$S148),$V148,$U148)))=Milestones!$AB$112),UPPER(TEXT(EDATE($D148,Milestones!$AA$112),"dd mmm yy"))&amp;" "&amp;Milestones!$AB$112&amp;" "&amp;Milestones!$AC$112&amp;";  ","")&amp;IF(AND(EDATE($D148,Milestones!$AA$113)&lt;=AsOfDate,IF($R148=0,$X148,IF(AND($T148&lt;&gt;"",EDATE($D148,Milestones!$AA$113)&gt;=$T148),$W148,IF(AND($S148&lt;&gt;"",EDATE($D148,Milestones!$AA$113)&gt;=$S148),$V148,$U148)))=Milestones!$AB$113),UPPER(TEXT(EDATE($D148,Milestones!$AA$113),"dd mmm yy"))&amp;" "&amp;Milestones!$AB$113&amp;" "&amp;Milestones!$AC$113&amp;";  ","")&amp;IF(AND(EDATE($D148,Milestones!$AA$114)&lt;=AsOfDate,IF($R148=0,$X148,IF(AND($T148&lt;&gt;"",EDATE($D148,Milestones!$AA$114)&gt;=$T148),$W148,IF(AND($S148&lt;&gt;"",EDATE($D148,Milestones!$AA$114)&gt;=$S148),$V148,$U148)))=Milestones!$AB$114),UPPER(TEXT(EDATE($D148,Milestones!$AA$114),"dd mmm yy"))&amp;" "&amp;Milestones!$AB$114&amp;" "&amp;Milestones!$AC$114&amp;";  ","")&amp;IF(AND(EDATE($D148,Milestones!$AA$115)&lt;=AsOfDate,IF($R148=0,$X148,IF(AND($T148&lt;&gt;"",EDATE($D148,Milestones!$AA$115)&gt;=$T148),$W148,IF(AND($S148&lt;&gt;"",EDATE($D148,Milestones!$AA$115)&gt;=$S148),$V148,$U148)))=Milestones!$AB$115),UPPER(TEXT(EDATE($D148,Milestones!$AA$115),"dd mmm yy"))&amp;" "&amp;Milestones!$AB$115&amp;" "&amp;Milestones!$AC$115&amp;";  ","")&amp;IF(AND(EDATE($D148,Milestones!$AA$116)&lt;=AsOfDate,IF($R148=0,$X148,IF(AND($T148&lt;&gt;"",EDATE($D148,Milestones!$AA$116)&gt;=$T148),$W148,IF(AND($S148&lt;&gt;"",EDATE($D148,Milestones!$AA$116)&gt;=$S148),$V148,$U148)))=Milestones!$AB$116),UPPER(TEXT(EDATE($D148,Milestones!$AA$116),"dd mmm yy"))&amp;" "&amp;Milestones!$AB$116&amp;" "&amp;Milestones!$AC$116&amp;";  ","")&amp;IF(AND(EDATE($D148,Milestones!$AA$117)&lt;=AsOfDate,IF($R148=0,$X148,IF(AND($T148&lt;&gt;"",EDATE($D148,Milestones!$AA$117)&gt;=$T148),$W148,IF(AND($S148&lt;&gt;"",EDATE($D148,Milestones!$AA$117)&gt;=$S148),$V148,$U148)))=Milestones!$AB$117),UPPER(TEXT(EDATE($D148,Milestones!$AA$117),"dd mmm yy"))&amp;" "&amp;Milestones!$AB$117&amp;" "&amp;Milestones!$AC$117&amp;";  ","")&amp;IF(AND(EDATE($D148,Milestones!$AA$118)&lt;=AsOfDate,IF($R148=0,$X148,IF(AND($T148&lt;&gt;"",EDATE($D148,Milestones!$AA$118)&gt;=$T148),$W148,IF(AND($S148&lt;&gt;"",EDATE($D148,Milestones!$AA$118)&gt;=$S148),$V148,$U148)))=Milestones!$AB$118),UPPER(TEXT(EDATE($D148,Milestones!$AA$118),"dd mmm yy"))&amp;" "&amp;Milestones!$AB$118&amp;" "&amp;Milestones!$AC$118&amp;";  ","")&amp;IF(AND(EDATE($D148,Milestones!$AA$119)&lt;=AsOfDate,IF($R148=0,$X148,IF(AND($T148&lt;&gt;"",EDATE($D148,Milestones!$AA$119)&gt;=$T148),$W148,IF(AND($S148&lt;&gt;"",EDATE($D148,Milestones!$AA$119)&gt;=$S148),$V148,$U148)))=Milestones!$AB$119),UPPER(TEXT(EDATE($D148,Milestones!$AA$119),"dd mmm yy"))&amp;" "&amp;Milestones!$AB$119&amp;" "&amp;Milestones!$AC$119&amp;";  ",""))</f>
        <v/>
      </c>
      <c r="N148" s="0" t="str">
        <f aca="false">IF(OR($A148="",$D148=""),"",IF(AND(EDATE($D148,Milestones!$AA$120)&lt;=AsOfDate,IF($R148=0,$X148,IF(AND($T148&lt;&gt;"",EDATE($D148,Milestones!$AA$120)&gt;=$T148),$W148,IF(AND($S148&lt;&gt;"",EDATE($D148,Milestones!$AA$120)&gt;=$S148),$V148,$U148)))=Milestones!$AB$120),UPPER(TEXT(EDATE($D148,Milestones!$AA$120),"dd mmm yy"))&amp;" "&amp;Milestones!$AB$120&amp;" "&amp;Milestones!$AC$120&amp;";  ","")&amp;IF(AND(EDATE($D148,Milestones!$AA$121)&lt;=AsOfDate,IF($R148=0,$X148,IF(AND($T148&lt;&gt;"",EDATE($D148,Milestones!$AA$121)&gt;=$T148),$W148,IF(AND($S148&lt;&gt;"",EDATE($D148,Milestones!$AA$121)&gt;=$S148),$V148,$U148)))=Milestones!$AB$121),UPPER(TEXT(EDATE($D148,Milestones!$AA$121),"dd mmm yy"))&amp;" "&amp;Milestones!$AB$121&amp;" "&amp;Milestones!$AC$121&amp;";  ","")&amp;IF(AND(EDATE($D148,Milestones!$AA$122)&lt;=AsOfDate,IF($R148=0,$X148,IF(AND($T148&lt;&gt;"",EDATE($D148,Milestones!$AA$122)&gt;=$T148),$W148,IF(AND($S148&lt;&gt;"",EDATE($D148,Milestones!$AA$122)&gt;=$S148),$V148,$U148)))=Milestones!$AB$122),UPPER(TEXT(EDATE($D148,Milestones!$AA$122),"dd mmm yy"))&amp;" "&amp;Milestones!$AB$122&amp;" "&amp;Milestones!$AC$122&amp;";  ","")&amp;IF(AND(EDATE($D148,Milestones!$AA$123)&lt;=AsOfDate,IF($R148=0,$X148,IF(AND($T148&lt;&gt;"",EDATE($D148,Milestones!$AA$123)&gt;=$T148),$W148,IF(AND($S148&lt;&gt;"",EDATE($D148,Milestones!$AA$123)&gt;=$S148),$V148,$U148)))=Milestones!$AB$123),UPPER(TEXT(EDATE($D148,Milestones!$AA$123),"dd mmm yy"))&amp;" "&amp;Milestones!$AB$123&amp;" "&amp;Milestones!$AC$123&amp;";  ","")&amp;IF(AND(EDATE($D148,Milestones!$AA$124)&lt;=AsOfDate,IF($R148=0,$X148,IF(AND($T148&lt;&gt;"",EDATE($D148,Milestones!$AA$124)&gt;=$T148),$W148,IF(AND($S148&lt;&gt;"",EDATE($D148,Milestones!$AA$124)&gt;=$S148),$V148,$U148)))=Milestones!$AB$124),UPPER(TEXT(EDATE($D148,Milestones!$AA$124),"dd mmm yy"))&amp;" "&amp;Milestones!$AB$124&amp;" "&amp;Milestones!$AC$124&amp;";  ","")&amp;IF(AND(EDATE($D148,Milestones!$AA$125)&lt;=AsOfDate,IF($R148=0,$X148,IF(AND($T148&lt;&gt;"",EDATE($D148,Milestones!$AA$125)&gt;=$T148),$W148,IF(AND($S148&lt;&gt;"",EDATE($D148,Milestones!$AA$125)&gt;=$S148),$V148,$U148)))=Milestones!$AB$125),UPPER(TEXT(EDATE($D148,Milestones!$AA$125),"dd mmm yy"))&amp;" "&amp;Milestones!$AB$125&amp;" "&amp;Milestones!$AC$125&amp;";  ","")&amp;IF(AND(EDATE($D148,Milestones!$AA$126)&lt;=AsOfDate,IF($R148=0,$X148,IF(AND($T148&lt;&gt;"",EDATE($D148,Milestones!$AA$126)&gt;=$T148),$W148,IF(AND($S148&lt;&gt;"",EDATE($D148,Milestones!$AA$126)&gt;=$S148),$V148,$U148)))=Milestones!$AB$126),UPPER(TEXT(EDATE($D148,Milestones!$AA$126),"dd mmm yy"))&amp;" "&amp;Milestones!$AB$126&amp;" "&amp;Milestones!$AC$126&amp;";  ","")&amp;IF(AND(EDATE($D148,Milestones!$AA$127)&lt;=AsOfDate,IF($R148=0,$X148,IF(AND($T148&lt;&gt;"",EDATE($D148,Milestones!$AA$127)&gt;=$T148),$W148,IF(AND($S148&lt;&gt;"",EDATE($D148,Milestones!$AA$127)&gt;=$S148),$V148,$U148)))=Milestones!$AB$127),UPPER(TEXT(EDATE($D148,Milestones!$AA$127),"dd mmm yy"))&amp;" "&amp;Milestones!$AB$127&amp;" "&amp;Milestones!$AC$127&amp;";  ","")&amp;IF(AND(EDATE($D148,Milestones!$AA$128)&lt;=AsOfDate,IF($R148=0,$X148,IF(AND($T148&lt;&gt;"",EDATE($D148,Milestones!$AA$128)&gt;=$T148),$W148,IF(AND($S148&lt;&gt;"",EDATE($D148,Milestones!$AA$128)&gt;=$S148),$V148,$U148)))=Milestones!$AB$128),UPPER(TEXT(EDATE($D148,Milestones!$AA$128),"dd mmm yy"))&amp;" "&amp;Milestones!$AB$128&amp;" "&amp;Milestones!$AC$128&amp;";  ","")&amp;IF(AND(EDATE($D148,Milestones!$AA$129)&lt;=AsOfDate,IF($R148=0,$X148,IF(AND($T148&lt;&gt;"",EDATE($D148,Milestones!$AA$129)&gt;=$T148),$W148,IF(AND($S148&lt;&gt;"",EDATE($D148,Milestones!$AA$129)&gt;=$S148),$V148,$U148)))=Milestones!$AB$129),UPPER(TEXT(EDATE($D148,Milestones!$AA$129),"dd mmm yy"))&amp;" "&amp;Milestones!$AB$129&amp;" "&amp;Milestones!$AC$129&amp;";  ","")&amp;IF(AND(EDATE($D148,Milestones!$AA$130)&lt;=AsOfDate,IF($R148=0,$X148,IF(AND($T148&lt;&gt;"",EDATE($D148,Milestones!$AA$130)&gt;=$T148),$W148,IF(AND($S148&lt;&gt;"",EDATE($D148,Milestones!$AA$130)&gt;=$S148),$V148,$U148)))=Milestones!$AB$130),UPPER(TEXT(EDATE($D148,Milestones!$AA$130),"dd mmm yy"))&amp;" "&amp;Milestones!$AB$130&amp;" "&amp;Milestones!$AC$130&amp;";  ","")&amp;IF(AND(EDATE($D148,Milestones!$AA$131)&lt;=AsOfDate,IF($R148=0,$X148,IF(AND($T148&lt;&gt;"",EDATE($D148,Milestones!$AA$131)&gt;=$T148),$W148,IF(AND($S148&lt;&gt;"",EDATE($D148,Milestones!$AA$131)&gt;=$S148),$V148,$U148)))=Milestones!$AB$131),UPPER(TEXT(EDATE($D148,Milestones!$AA$131),"dd mmm yy"))&amp;" "&amp;Milestones!$AB$131&amp;" "&amp;Milestones!$AC$131&amp;";  ","")&amp;IF(AND(EDATE($D148,Milestones!$AA$132)&lt;=AsOfDate,IF($R148=0,$X148,IF(AND($T148&lt;&gt;"",EDATE($D148,Milestones!$AA$132)&gt;=$T148),$W148,IF(AND($S148&lt;&gt;"",EDATE($D148,Milestones!$AA$132)&gt;=$S148),$V148,$U148)))=Milestones!$AB$132),UPPER(TEXT(EDATE($D148,Milestones!$AA$132),"dd mmm yy"))&amp;" "&amp;Milestones!$AB$132&amp;" "&amp;Milestones!$AC$132&amp;";  ","")&amp;IF(AND(EDATE($D148,Milestones!$AA$133)&lt;=AsOfDate,IF($R148=0,$X148,IF(AND($T148&lt;&gt;"",EDATE($D148,Milestones!$AA$133)&gt;=$T148),$W148,IF(AND($S148&lt;&gt;"",EDATE($D148,Milestones!$AA$133)&gt;=$S148),$V148,$U148)))=Milestones!$AB$133),UPPER(TEXT(EDATE($D148,Milestones!$AA$133),"dd mmm yy"))&amp;" "&amp;Milestones!$AB$133&amp;" "&amp;Milestones!$AC$133&amp;";  ","")&amp;IF(AND(EDATE($D148,Milestones!$AA$134)&lt;=AsOfDate,IF($R148=0,$X148,IF(AND($T148&lt;&gt;"",EDATE($D148,Milestones!$AA$134)&gt;=$T148),$W148,IF(AND($S148&lt;&gt;"",EDATE($D148,Milestones!$AA$134)&gt;=$S148),$V148,$U148)))=Milestones!$AB$134),UPPER(TEXT(EDATE($D148,Milestones!$AA$134),"dd mmm yy"))&amp;" "&amp;Milestones!$AB$134&amp;" "&amp;Milestones!$AC$134&amp;";  ","")&amp;IF(AND(EDATE($D148,Milestones!$AA$135)&lt;=AsOfDate,IF($R148=0,$X148,IF(AND($T148&lt;&gt;"",EDATE($D148,Milestones!$AA$135)&gt;=$T148),$W148,IF(AND($S148&lt;&gt;"",EDATE($D148,Milestones!$AA$135)&gt;=$S148),$V148,$U148)))=Milestones!$AB$135),UPPER(TEXT(EDATE($D148,Milestones!$AA$135),"dd mmm yy"))&amp;" "&amp;Milestones!$AB$135&amp;" "&amp;Milestones!$AC$135&amp;";  ","")&amp;IF(AND(EDATE($D148,Milestones!$AA$136)&lt;=AsOfDate,IF($R148=0,$X148,IF(AND($T148&lt;&gt;"",EDATE($D148,Milestones!$AA$136)&gt;=$T148),$W148,IF(AND($S148&lt;&gt;"",EDATE($D148,Milestones!$AA$136)&gt;=$S148),$V148,$U148)))=Milestones!$AB$136),UPPER(TEXT(EDATE($D148,Milestones!$AA$136),"dd mmm yy"))&amp;" "&amp;Milestones!$AB$136&amp;" "&amp;Milestones!$AC$136&amp;";  ","")&amp;IF(AND(EDATE($D148,Milestones!$AA$137)&lt;=AsOfDate,IF($R148=0,$X148,IF(AND($T148&lt;&gt;"",EDATE($D148,Milestones!$AA$137)&gt;=$T148),$W148,IF(AND($S148&lt;&gt;"",EDATE($D148,Milestones!$AA$137)&gt;=$S148),$V148,$U148)))=Milestones!$AB$137),UPPER(TEXT(EDATE($D148,Milestones!$AA$137),"dd mmm yy"))&amp;" "&amp;Milestones!$AB$137&amp;" "&amp;Milestones!$AC$137&amp;";  ","")&amp;IF(AND(EDATE($D148,Milestones!$AA$138)&lt;=AsOfDate,IF($R148=0,$X148,IF(AND($T148&lt;&gt;"",EDATE($D148,Milestones!$AA$138)&gt;=$T148),$W148,IF(AND($S148&lt;&gt;"",EDATE($D148,Milestones!$AA$138)&gt;=$S148),$V148,$U148)))=Milestones!$AB$138),UPPER(TEXT(EDATE($D148,Milestones!$AA$138),"dd mmm yy"))&amp;" "&amp;Milestones!$AB$138&amp;" "&amp;Milestones!$AC$138&amp;";  ","")&amp;IF(AND(EDATE($D148,Milestones!$AA$139)&lt;=AsOfDate,IF($R148=0,$X148,IF(AND($T148&lt;&gt;"",EDATE($D148,Milestones!$AA$139)&gt;=$T148),$W148,IF(AND($S148&lt;&gt;"",EDATE($D148,Milestones!$AA$139)&gt;=$S148),$V148,$U148)))=Milestones!$AB$139),UPPER(TEXT(EDATE($D148,Milestones!$AA$139),"dd mmm yy"))&amp;" "&amp;Milestones!$AB$139&amp;" "&amp;Milestones!$AC$139&amp;";  ",""))</f>
        <v/>
      </c>
      <c r="O148" s="0" t="str">
        <f aca="false">IF(OR($A148="",$D148=""),"",IF(AND(EDATE($D148,Milestones!$AA$140)&lt;=AsOfDate,IF($R148=0,$X148,IF(AND($T148&lt;&gt;"",EDATE($D148,Milestones!$AA$140)&gt;=$T148),$W148,IF(AND($S148&lt;&gt;"",EDATE($D148,Milestones!$AA$140)&gt;=$S148),$V148,$U148)))=Milestones!$AB$140),UPPER(TEXT(EDATE($D148,Milestones!$AA$140),"dd mmm yy"))&amp;" "&amp;Milestones!$AB$140&amp;" "&amp;Milestones!$AC$140&amp;";  ","")&amp;IF(AND(EDATE($D148,Milestones!$AA$141)&lt;=AsOfDate,IF($R148=0,$X148,IF(AND($T148&lt;&gt;"",EDATE($D148,Milestones!$AA$141)&gt;=$T148),$W148,IF(AND($S148&lt;&gt;"",EDATE($D148,Milestones!$AA$141)&gt;=$S148),$V148,$U148)))=Milestones!$AB$141),UPPER(TEXT(EDATE($D148,Milestones!$AA$141),"dd mmm yy"))&amp;" "&amp;Milestones!$AB$141&amp;" "&amp;Milestones!$AC$141&amp;";  ","")&amp;IF(AND(EDATE($D148,Milestones!$AA$142)&lt;=AsOfDate,IF($R148=0,$X148,IF(AND($T148&lt;&gt;"",EDATE($D148,Milestones!$AA$142)&gt;=$T148),$W148,IF(AND($S148&lt;&gt;"",EDATE($D148,Milestones!$AA$142)&gt;=$S148),$V148,$U148)))=Milestones!$AB$142),UPPER(TEXT(EDATE($D148,Milestones!$AA$142),"dd mmm yy"))&amp;" "&amp;Milestones!$AB$142&amp;" "&amp;Milestones!$AC$142&amp;";  ","")&amp;IF(AND(EDATE($D148,Milestones!$AA$143)&lt;=AsOfDate,IF($R148=0,$X148,IF(AND($T148&lt;&gt;"",EDATE($D148,Milestones!$AA$143)&gt;=$T148),$W148,IF(AND($S148&lt;&gt;"",EDATE($D148,Milestones!$AA$143)&gt;=$S148),$V148,$U148)))=Milestones!$AB$143),UPPER(TEXT(EDATE($D148,Milestones!$AA$143),"dd mmm yy"))&amp;" "&amp;Milestones!$AB$143&amp;" "&amp;Milestones!$AC$143&amp;";  ","")&amp;IF(AND(EDATE($D148,Milestones!$AA$144)&lt;=AsOfDate,IF($R148=0,$X148,IF(AND($T148&lt;&gt;"",EDATE($D148,Milestones!$AA$144)&gt;=$T148),$W148,IF(AND($S148&lt;&gt;"",EDATE($D148,Milestones!$AA$144)&gt;=$S148),$V148,$U148)))=Milestones!$AB$144),UPPER(TEXT(EDATE($D148,Milestones!$AA$144),"dd mmm yy"))&amp;" "&amp;Milestones!$AB$144&amp;" "&amp;Milestones!$AC$144&amp;";  ","")&amp;IF(AND(EDATE($D148,Milestones!$AA$145)&lt;=AsOfDate,IF($R148=0,$X148,IF(AND($T148&lt;&gt;"",EDATE($D148,Milestones!$AA$145)&gt;=$T148),$W148,IF(AND($S148&lt;&gt;"",EDATE($D148,Milestones!$AA$145)&gt;=$S148),$V148,$U148)))=Milestones!$AB$145),UPPER(TEXT(EDATE($D148,Milestones!$AA$145),"dd mmm yy"))&amp;" "&amp;Milestones!$AB$145&amp;" "&amp;Milestones!$AC$145&amp;";  ","")&amp;IF(AND(EDATE($D148,Milestones!$AA$146)&lt;=AsOfDate,IF($R148=0,$X148,IF(AND($T148&lt;&gt;"",EDATE($D148,Milestones!$AA$146)&gt;=$T148),$W148,IF(AND($S148&lt;&gt;"",EDATE($D148,Milestones!$AA$146)&gt;=$S148),$V148,$U148)))=Milestones!$AB$146),UPPER(TEXT(EDATE($D148,Milestones!$AA$146),"dd mmm yy"))&amp;" "&amp;Milestones!$AB$146&amp;" "&amp;Milestones!$AC$146&amp;";  ","")&amp;IF(AND(EDATE($D148,Milestones!$AA$147)&lt;=AsOfDate,IF($R148=0,$X148,IF(AND($T148&lt;&gt;"",EDATE($D148,Milestones!$AA$147)&gt;=$T148),$W148,IF(AND($S148&lt;&gt;"",EDATE($D148,Milestones!$AA$147)&gt;=$S148),$V148,$U148)))=Milestones!$AB$147),UPPER(TEXT(EDATE($D148,Milestones!$AA$147),"dd mmm yy"))&amp;" "&amp;Milestones!$AB$147&amp;" "&amp;Milestones!$AC$147&amp;";  ","")&amp;IF(AND(EDATE($D148,Milestones!$AA$148)&lt;=AsOfDate,IF($R148=0,$X148,IF(AND($T148&lt;&gt;"",EDATE($D148,Milestones!$AA$148)&gt;=$T148),$W148,IF(AND($S148&lt;&gt;"",EDATE($D148,Milestones!$AA$148)&gt;=$S148),$V148,$U148)))=Milestones!$AB$148),UPPER(TEXT(EDATE($D148,Milestones!$AA$148),"dd mmm yy"))&amp;" "&amp;Milestones!$AB$148&amp;" "&amp;Milestones!$AC$148&amp;";  ","")&amp;IF(AND(EDATE($D148,Milestones!$AA$149)&lt;=AsOfDate,IF($R148=0,$X148,IF(AND($T148&lt;&gt;"",EDATE($D148,Milestones!$AA$149)&gt;=$T148),$W148,IF(AND($S148&lt;&gt;"",EDATE($D148,Milestones!$AA$149)&gt;=$S148),$V148,$U148)))=Milestones!$AB$149),UPPER(TEXT(EDATE($D148,Milestones!$AA$149),"dd mmm yy"))&amp;" "&amp;Milestones!$AB$149&amp;" "&amp;Milestones!$AC$149&amp;";  ","")&amp;IF(AND(EDATE($D148,Milestones!$AA$150)&lt;=AsOfDate,IF($R148=0,$X148,IF(AND($T148&lt;&gt;"",EDATE($D148,Milestones!$AA$150)&gt;=$T148),$W148,IF(AND($S148&lt;&gt;"",EDATE($D148,Milestones!$AA$150)&gt;=$S148),$V148,$U148)))=Milestones!$AB$150),UPPER(TEXT(EDATE($D148,Milestones!$AA$150),"dd mmm yy"))&amp;" "&amp;Milestones!$AB$150&amp;" "&amp;Milestones!$AC$150&amp;";  ","")&amp;IF(AND(EDATE($D148,Milestones!$AA$151)&lt;=AsOfDate,IF($R148=0,$X148,IF(AND($T148&lt;&gt;"",EDATE($D148,Milestones!$AA$151)&gt;=$T148),$W148,IF(AND($S148&lt;&gt;"",EDATE($D148,Milestones!$AA$151)&gt;=$S148),$V148,$U148)))=Milestones!$AB$151),UPPER(TEXT(EDATE($D148,Milestones!$AA$151),"dd mmm yy"))&amp;" "&amp;Milestones!$AB$151&amp;" "&amp;Milestones!$AC$151&amp;";  ","")&amp;IF(AND(EDATE($D148,Milestones!$AA$152)&lt;=AsOfDate,IF($R148=0,$X148,IF(AND($T148&lt;&gt;"",EDATE($D148,Milestones!$AA$152)&gt;=$T148),$W148,IF(AND($S148&lt;&gt;"",EDATE($D148,Milestones!$AA$152)&gt;=$S148),$V148,$U148)))=Milestones!$AB$152),UPPER(TEXT(EDATE($D148,Milestones!$AA$152),"dd mmm yy"))&amp;" "&amp;Milestones!$AB$152&amp;" "&amp;Milestones!$AC$152&amp;";  ","")&amp;IF(AND(EDATE($D148,Milestones!$AA$153)&lt;=AsOfDate,IF($R148=0,$X148,IF(AND($T148&lt;&gt;"",EDATE($D148,Milestones!$AA$153)&gt;=$T148),$W148,IF(AND($S148&lt;&gt;"",EDATE($D148,Milestones!$AA$153)&gt;=$S148),$V148,$U148)))=Milestones!$AB$153),UPPER(TEXT(EDATE($D148,Milestones!$AA$153),"dd mmm yy"))&amp;" "&amp;Milestones!$AB$153&amp;" "&amp;Milestones!$AC$153&amp;";  ","")&amp;IF(AND(EDATE($D148,Milestones!$AA$154)&lt;=AsOfDate,IF($R148=0,$X148,IF(AND($T148&lt;&gt;"",EDATE($D148,Milestones!$AA$154)&gt;=$T148),$W148,IF(AND($S148&lt;&gt;"",EDATE($D148,Milestones!$AA$154)&gt;=$S148),$V148,$U148)))=Milestones!$AB$154),UPPER(TEXT(EDATE($D148,Milestones!$AA$154),"dd mmm yy"))&amp;" "&amp;Milestones!$AB$154&amp;" "&amp;Milestones!$AC$154&amp;";  ","")&amp;IF(AND(EDATE($D148,Milestones!$AA$155)&lt;=AsOfDate,IF($R148=0,$X148,IF(AND($T148&lt;&gt;"",EDATE($D148,Milestones!$AA$155)&gt;=$T148),$W148,IF(AND($S148&lt;&gt;"",EDATE($D148,Milestones!$AA$155)&gt;=$S148),$V148,$U148)))=Milestones!$AB$155),UPPER(TEXT(EDATE($D148,Milestones!$AA$155),"dd mmm yy"))&amp;" "&amp;Milestones!$AB$155&amp;" "&amp;Milestones!$AC$155&amp;";  ","")&amp;IF(AND(EDATE($D148,Milestones!$AA$156)&lt;=AsOfDate,IF($R148=0,$X148,IF(AND($T148&lt;&gt;"",EDATE($D148,Milestones!$AA$156)&gt;=$T148),$W148,IF(AND($S148&lt;&gt;"",EDATE($D148,Milestones!$AA$156)&gt;=$S148),$V148,$U148)))=Milestones!$AB$156),UPPER(TEXT(EDATE($D148,Milestones!$AA$156),"dd mmm yy"))&amp;" "&amp;Milestones!$AB$156&amp;" "&amp;Milestones!$AC$156&amp;";  ","")&amp;IF(AND(EDATE($D148,Milestones!$AA$157)&lt;=AsOfDate,IF($R148=0,$X148,IF(AND($T148&lt;&gt;"",EDATE($D148,Milestones!$AA$157)&gt;=$T148),$W148,IF(AND($S148&lt;&gt;"",EDATE($D148,Milestones!$AA$157)&gt;=$S148),$V148,$U148)))=Milestones!$AB$157),UPPER(TEXT(EDATE($D148,Milestones!$AA$157),"dd mmm yy"))&amp;" "&amp;Milestones!$AB$157&amp;" "&amp;Milestones!$AC$157&amp;";  ","")&amp;IF(AND(EDATE($D148,Milestones!$AA$158)&lt;=AsOfDate,IF($R148=0,$X148,IF(AND($T148&lt;&gt;"",EDATE($D148,Milestones!$AA$158)&gt;=$T148),$W148,IF(AND($S148&lt;&gt;"",EDATE($D148,Milestones!$AA$158)&gt;=$S148),$V148,$U148)))=Milestones!$AB$158),UPPER(TEXT(EDATE($D148,Milestones!$AA$158),"dd mmm yy"))&amp;" "&amp;Milestones!$AB$158&amp;" "&amp;Milestones!$AC$158&amp;";  ","")&amp;IF(AND(EDATE($D148,Milestones!$AA$159)&lt;=AsOfDate,IF($R148=0,$X148,IF(AND($T148&lt;&gt;"",EDATE($D148,Milestones!$AA$159)&gt;=$T148),$W148,IF(AND($S148&lt;&gt;"",EDATE($D148,Milestones!$AA$159)&gt;=$S148),$V148,$U148)))=Milestones!$AB$159),UPPER(TEXT(EDATE($D148,Milestones!$AA$159),"dd mmm yy"))&amp;" "&amp;Milestones!$AB$159&amp;" "&amp;Milestones!$AC$159&amp;";  ",""))</f>
        <v/>
      </c>
      <c r="P148" s="0" t="str">
        <f aca="false">IF(OR($A148="",$D148=""),"",IF(AND(EDATE($D148,Milestones!$AA$160)&lt;=AsOfDate,IF($R148=0,$X148,IF(AND($T148&lt;&gt;"",EDATE($D148,Milestones!$AA$160)&gt;=$T148),$W148,IF(AND($S148&lt;&gt;"",EDATE($D148,Milestones!$AA$160)&gt;=$S148),$V148,$U148)))=Milestones!$AB$160),UPPER(TEXT(EDATE($D148,Milestones!$AA$160),"dd mmm yy"))&amp;" "&amp;Milestones!$AB$160&amp;" "&amp;Milestones!$AC$160&amp;";  ","")&amp;IF(AND(EDATE($D148,Milestones!$AA$161)&lt;=AsOfDate,IF($R148=0,$X148,IF(AND($T148&lt;&gt;"",EDATE($D148,Milestones!$AA$161)&gt;=$T148),$W148,IF(AND($S148&lt;&gt;"",EDATE($D148,Milestones!$AA$161)&gt;=$S148),$V148,$U148)))=Milestones!$AB$161),UPPER(TEXT(EDATE($D148,Milestones!$AA$161),"dd mmm yy"))&amp;" "&amp;Milestones!$AB$161&amp;" "&amp;Milestones!$AC$161&amp;";  ","")&amp;IF(AND(EDATE($D148,Milestones!$AA$162)&lt;=AsOfDate,IF($R148=0,$X148,IF(AND($T148&lt;&gt;"",EDATE($D148,Milestones!$AA$162)&gt;=$T148),$W148,IF(AND($S148&lt;&gt;"",EDATE($D148,Milestones!$AA$162)&gt;=$S148),$V148,$U148)))=Milestones!$AB$162),UPPER(TEXT(EDATE($D148,Milestones!$AA$162),"dd mmm yy"))&amp;" "&amp;Milestones!$AB$162&amp;" "&amp;Milestones!$AC$162&amp;";  ","")&amp;IF(AND(EDATE($D148,Milestones!$AA$163)&lt;=AsOfDate,IF($R148=0,$X148,IF(AND($T148&lt;&gt;"",EDATE($D148,Milestones!$AA$163)&gt;=$T148),$W148,IF(AND($S148&lt;&gt;"",EDATE($D148,Milestones!$AA$163)&gt;=$S148),$V148,$U148)))=Milestones!$AB$163),UPPER(TEXT(EDATE($D148,Milestones!$AA$163),"dd mmm yy"))&amp;" "&amp;Milestones!$AB$163&amp;" "&amp;Milestones!$AC$163&amp;";  ","")&amp;IF(AND(EDATE($D148,Milestones!$AA$164)&lt;=AsOfDate,IF($R148=0,$X148,IF(AND($T148&lt;&gt;"",EDATE($D148,Milestones!$AA$164)&gt;=$T148),$W148,IF(AND($S148&lt;&gt;"",EDATE($D148,Milestones!$AA$164)&gt;=$S148),$V148,$U148)))=Milestones!$AB$164),UPPER(TEXT(EDATE($D148,Milestones!$AA$164),"dd mmm yy"))&amp;" "&amp;Milestones!$AB$164&amp;" "&amp;Milestones!$AC$164&amp;";  ","")&amp;IF(AND(EDATE($D148,Milestones!$AA$165)&lt;=AsOfDate,IF($R148=0,$X148,IF(AND($T148&lt;&gt;"",EDATE($D148,Milestones!$AA$165)&gt;=$T148),$W148,IF(AND($S148&lt;&gt;"",EDATE($D148,Milestones!$AA$165)&gt;=$S148),$V148,$U148)))=Milestones!$AB$165),UPPER(TEXT(EDATE($D148,Milestones!$AA$165),"dd mmm yy"))&amp;" "&amp;Milestones!$AB$165&amp;" "&amp;Milestones!$AC$165&amp;";  ","")&amp;IF(AND(EDATE($D148,Milestones!$AA$166)&lt;=AsOfDate,IF($R148=0,$X148,IF(AND($T148&lt;&gt;"",EDATE($D148,Milestones!$AA$166)&gt;=$T148),$W148,IF(AND($S148&lt;&gt;"",EDATE($D148,Milestones!$AA$166)&gt;=$S148),$V148,$U148)))=Milestones!$AB$166),UPPER(TEXT(EDATE($D148,Milestones!$AA$166),"dd mmm yy"))&amp;" "&amp;Milestones!$AB$166&amp;" "&amp;Milestones!$AC$166&amp;";  ","")&amp;IF(AND(EDATE($D148,Milestones!$AA$167)&lt;=AsOfDate,IF($R148=0,$X148,IF(AND($T148&lt;&gt;"",EDATE($D148,Milestones!$AA$167)&gt;=$T148),$W148,IF(AND($S148&lt;&gt;"",EDATE($D148,Milestones!$AA$167)&gt;=$S148),$V148,$U148)))=Milestones!$AB$167),UPPER(TEXT(EDATE($D148,Milestones!$AA$167),"dd mmm yy"))&amp;" "&amp;Milestones!$AB$167&amp;" "&amp;Milestones!$AC$167&amp;";  ","")&amp;IF(AND(EDATE($D148,Milestones!$AA$168)&lt;=AsOfDate,IF($R148=0,$X148,IF(AND($T148&lt;&gt;"",EDATE($D148,Milestones!$AA$168)&gt;=$T148),$W148,IF(AND($S148&lt;&gt;"",EDATE($D148,Milestones!$AA$168)&gt;=$S148),$V148,$U148)))=Milestones!$AB$168),UPPER(TEXT(EDATE($D148,Milestones!$AA$168),"dd mmm yy"))&amp;" "&amp;Milestones!$AB$168&amp;" "&amp;Milestones!$AC$168&amp;";  ","")&amp;IF(AND(EDATE($D148,Milestones!$AA$169)&lt;=AsOfDate,IF($R148=0,$X148,IF(AND($T148&lt;&gt;"",EDATE($D148,Milestones!$AA$169)&gt;=$T148),$W148,IF(AND($S148&lt;&gt;"",EDATE($D148,Milestones!$AA$169)&gt;=$S148),$V148,$U148)))=Milestones!$AB$169),UPPER(TEXT(EDATE($D148,Milestones!$AA$169),"dd mmm yy"))&amp;" "&amp;Milestones!$AB$169&amp;" "&amp;Milestones!$AC$169&amp;";  ","")&amp;IF(AND(EDATE($D148,Milestones!$AA$170)&lt;=AsOfDate,IF($R148=0,$X148,IF(AND($T148&lt;&gt;"",EDATE($D148,Milestones!$AA$170)&gt;=$T148),$W148,IF(AND($S148&lt;&gt;"",EDATE($D148,Milestones!$AA$170)&gt;=$S148),$V148,$U148)))=Milestones!$AB$170),UPPER(TEXT(EDATE($D148,Milestones!$AA$170),"dd mmm yy"))&amp;" "&amp;Milestones!$AB$170&amp;" "&amp;Milestones!$AC$170&amp;";  ","")&amp;IF(AND(EDATE($D148,Milestones!$AA$171)&lt;=AsOfDate,IF($R148=0,$X148,IF(AND($T148&lt;&gt;"",EDATE($D148,Milestones!$AA$171)&gt;=$T148),$W148,IF(AND($S148&lt;&gt;"",EDATE($D148,Milestones!$AA$171)&gt;=$S148),$V148,$U148)))=Milestones!$AB$171),UPPER(TEXT(EDATE($D148,Milestones!$AA$171),"dd mmm yy"))&amp;" "&amp;Milestones!$AB$171&amp;" "&amp;Milestones!$AC$171&amp;";  ","")&amp;IF(AND(EDATE($D148,Milestones!$AA$172)&lt;=AsOfDate,IF($R148=0,$X148,IF(AND($T148&lt;&gt;"",EDATE($D148,Milestones!$AA$172)&gt;=$T148),$W148,IF(AND($S148&lt;&gt;"",EDATE($D148,Milestones!$AA$172)&gt;=$S148),$V148,$U148)))=Milestones!$AB$172),UPPER(TEXT(EDATE($D148,Milestones!$AA$172),"dd mmm yy"))&amp;" "&amp;Milestones!$AB$172&amp;" "&amp;Milestones!$AC$172&amp;";  ","")&amp;IF(AND(EDATE($D148,Milestones!$AA$173)&lt;=AsOfDate,IF($R148=0,$X148,IF(AND($T148&lt;&gt;"",EDATE($D148,Milestones!$AA$173)&gt;=$T148),$W148,IF(AND($S148&lt;&gt;"",EDATE($D148,Milestones!$AA$173)&gt;=$S148),$V148,$U148)))=Milestones!$AB$173),UPPER(TEXT(EDATE($D148,Milestones!$AA$173),"dd mmm yy"))&amp;" "&amp;Milestones!$AB$173&amp;" "&amp;Milestones!$AC$173&amp;";  ","")&amp;IF(AND(EDATE($D148,Milestones!$AA$174)&lt;=AsOfDate,IF($R148=0,$X148,IF(AND($T148&lt;&gt;"",EDATE($D148,Milestones!$AA$174)&gt;=$T148),$W148,IF(AND($S148&lt;&gt;"",EDATE($D148,Milestones!$AA$174)&gt;=$S148),$V148,$U148)))=Milestones!$AB$174),UPPER(TEXT(EDATE($D148,Milestones!$AA$174),"dd mmm yy"))&amp;" "&amp;Milestones!$AB$174&amp;" "&amp;Milestones!$AC$174&amp;";  ","")&amp;IF(AND(EDATE($D148,Milestones!$AA$175)&lt;=AsOfDate,IF($R148=0,$X148,IF(AND($T148&lt;&gt;"",EDATE($D148,Milestones!$AA$175)&gt;=$T148),$W148,IF(AND($S148&lt;&gt;"",EDATE($D148,Milestones!$AA$175)&gt;=$S148),$V148,$U148)))=Milestones!$AB$175),UPPER(TEXT(EDATE($D148,Milestones!$AA$175),"dd mmm yy"))&amp;" "&amp;Milestones!$AB$175&amp;" "&amp;Milestones!$AC$175&amp;";  ","")&amp;IF(AND(EDATE($D148,Milestones!$AA$176)&lt;=AsOfDate,IF($R148=0,$X148,IF(AND($T148&lt;&gt;"",EDATE($D148,Milestones!$AA$176)&gt;=$T148),$W148,IF(AND($S148&lt;&gt;"",EDATE($D148,Milestones!$AA$176)&gt;=$S148),$V148,$U148)))=Milestones!$AB$176),UPPER(TEXT(EDATE($D148,Milestones!$AA$176),"dd mmm yy"))&amp;" "&amp;Milestones!$AB$176&amp;" "&amp;Milestones!$AC$176&amp;";  ","")&amp;IF(AND(EDATE($D148,Milestones!$AA$177)&lt;=AsOfDate,IF($R148=0,$X148,IF(AND($T148&lt;&gt;"",EDATE($D148,Milestones!$AA$177)&gt;=$T148),$W148,IF(AND($S148&lt;&gt;"",EDATE($D148,Milestones!$AA$177)&gt;=$S148),$V148,$U148)))=Milestones!$AB$177),UPPER(TEXT(EDATE($D148,Milestones!$AA$177),"dd mmm yy"))&amp;" "&amp;Milestones!$AB$177&amp;" "&amp;Milestones!$AC$177&amp;";  ","")&amp;IF(AND(EDATE($D148,Milestones!$AA$178)&lt;=AsOfDate,IF($R148=0,$X148,IF(AND($T148&lt;&gt;"",EDATE($D148,Milestones!$AA$178)&gt;=$T148),$W148,IF(AND($S148&lt;&gt;"",EDATE($D148,Milestones!$AA$178)&gt;=$S148),$V148,$U148)))=Milestones!$AB$178),UPPER(TEXT(EDATE($D148,Milestones!$AA$178),"dd mmm yy"))&amp;" "&amp;Milestones!$AB$178&amp;" "&amp;Milestones!$AC$178&amp;";  ","")&amp;IF(AND(EDATE($D148,Milestones!$AA$179)&lt;=AsOfDate,IF($R148=0,$X148,IF(AND($T148&lt;&gt;"",EDATE($D148,Milestones!$AA$179)&gt;=$T148),$W148,IF(AND($S148&lt;&gt;"",EDATE($D148,Milestones!$AA$179)&gt;=$S148),$V148,$U148)))=Milestones!$AB$179),UPPER(TEXT(EDATE($D148,Milestones!$AA$179),"dd mmm yy"))&amp;" "&amp;Milestones!$AB$179&amp;" "&amp;Milestones!$AC$179&amp;";  ",""))</f>
        <v/>
      </c>
      <c r="Q148" s="0" t="str">
        <f aca="false">IF(OR($A148="",$D148=""),"",IF(AND(EDATE($D148,Milestones!$AA$180)&lt;=AsOfDate,IF($R148=0,$X148,IF(AND($T148&lt;&gt;"",EDATE($D148,Milestones!$AA$180)&gt;=$T148),$W148,IF(AND($S148&lt;&gt;"",EDATE($D148,Milestones!$AA$180)&gt;=$S148),$V148,$U148)))=Milestones!$AB$180),UPPER(TEXT(EDATE($D148,Milestones!$AA$180),"dd mmm yy"))&amp;" "&amp;Milestones!$AB$180&amp;" "&amp;Milestones!$AC$180&amp;";  ","")&amp;IF(AND(EDATE($D148,Milestones!$AA$181)&lt;=AsOfDate,IF($R148=0,$X148,IF(AND($T148&lt;&gt;"",EDATE($D148,Milestones!$AA$181)&gt;=$T148),$W148,IF(AND($S148&lt;&gt;"",EDATE($D148,Milestones!$AA$181)&gt;=$S148),$V148,$U148)))=Milestones!$AB$181),UPPER(TEXT(EDATE($D148,Milestones!$AA$181),"dd mmm yy"))&amp;" "&amp;Milestones!$AB$181&amp;" "&amp;Milestones!$AC$181&amp;";  ","")&amp;IF(AND(EDATE($D148,Milestones!$AA$182)&lt;=AsOfDate,IF($R148=0,$X148,IF(AND($T148&lt;&gt;"",EDATE($D148,Milestones!$AA$182)&gt;=$T148),$W148,IF(AND($S148&lt;&gt;"",EDATE($D148,Milestones!$AA$182)&gt;=$S148),$V148,$U148)))=Milestones!$AB$182),UPPER(TEXT(EDATE($D148,Milestones!$AA$182),"dd mmm yy"))&amp;" "&amp;Milestones!$AB$182&amp;" "&amp;Milestones!$AC$182&amp;";  ","")&amp;IF(AND(EDATE($D148,Milestones!$AA$183)&lt;=AsOfDate,IF($R148=0,$X148,IF(AND($T148&lt;&gt;"",EDATE($D148,Milestones!$AA$183)&gt;=$T148),$W148,IF(AND($S148&lt;&gt;"",EDATE($D148,Milestones!$AA$183)&gt;=$S148),$V148,$U148)))=Milestones!$AB$183),UPPER(TEXT(EDATE($D148,Milestones!$AA$183),"dd mmm yy"))&amp;" "&amp;Milestones!$AB$183&amp;" "&amp;Milestones!$AC$183&amp;";  ","")&amp;IF(AND(EDATE($D148,Milestones!$AA$184)&lt;=AsOfDate,IF($R148=0,$X148,IF(AND($T148&lt;&gt;"",EDATE($D148,Milestones!$AA$184)&gt;=$T148),$W148,IF(AND($S148&lt;&gt;"",EDATE($D148,Milestones!$AA$184)&gt;=$S148),$V148,$U148)))=Milestones!$AB$184),UPPER(TEXT(EDATE($D148,Milestones!$AA$184),"dd mmm yy"))&amp;" "&amp;Milestones!$AB$184&amp;" "&amp;Milestones!$AC$184&amp;";  ","")&amp;IF(AND(EDATE($D148,Milestones!$AA$185)&lt;=AsOfDate,IF($R148=0,$X148,IF(AND($T148&lt;&gt;"",EDATE($D148,Milestones!$AA$185)&gt;=$T148),$W148,IF(AND($S148&lt;&gt;"",EDATE($D148,Milestones!$AA$185)&gt;=$S148),$V148,$U148)))=Milestones!$AB$185),UPPER(TEXT(EDATE($D148,Milestones!$AA$185),"dd mmm yy"))&amp;" "&amp;Milestones!$AB$185&amp;" "&amp;Milestones!$AC$185&amp;";  ","")&amp;IF(AND(EDATE($D148,Milestones!$AA$186)&lt;=AsOfDate,IF($R148=0,$X148,IF(AND($T148&lt;&gt;"",EDATE($D148,Milestones!$AA$186)&gt;=$T148),$W148,IF(AND($S148&lt;&gt;"",EDATE($D148,Milestones!$AA$186)&gt;=$S148),$V148,$U148)))=Milestones!$AB$186),UPPER(TEXT(EDATE($D148,Milestones!$AA$186),"dd mmm yy"))&amp;" "&amp;Milestones!$AB$186&amp;" "&amp;Milestones!$AC$186&amp;";  ","")&amp;IF(AND(EDATE($D148,Milestones!$AA$187)&lt;=AsOfDate,IF($R148=0,$X148,IF(AND($T148&lt;&gt;"",EDATE($D148,Milestones!$AA$187)&gt;=$T148),$W148,IF(AND($S148&lt;&gt;"",EDATE($D148,Milestones!$AA$187)&gt;=$S148),$V148,$U148)))=Milestones!$AB$187),UPPER(TEXT(EDATE($D148,Milestones!$AA$187),"dd mmm yy"))&amp;" "&amp;Milestones!$AB$187&amp;" "&amp;Milestones!$AC$187&amp;";  ","")&amp;IF(AND(EDATE($D148,Milestones!$AA$188)&lt;=AsOfDate,IF($R148=0,$X148,IF(AND($T148&lt;&gt;"",EDATE($D148,Milestones!$AA$188)&gt;=$T148),$W148,IF(AND($S148&lt;&gt;"",EDATE($D148,Milestones!$AA$188)&gt;=$S148),$V148,$U148)))=Milestones!$AB$188),UPPER(TEXT(EDATE($D148,Milestones!$AA$188),"dd mmm yy"))&amp;" "&amp;Milestones!$AB$188&amp;" "&amp;Milestones!$AC$188&amp;";  ","")&amp;IF(AND(EDATE($D148,Milestones!$AA$189)&lt;=AsOfDate,IF($R148=0,$X148,IF(AND($T148&lt;&gt;"",EDATE($D148,Milestones!$AA$189)&gt;=$T148),$W148,IF(AND($S148&lt;&gt;"",EDATE($D148,Milestones!$AA$189)&gt;=$S148),$V148,$U148)))=Milestones!$AB$189),UPPER(TEXT(EDATE($D148,Milestones!$AA$189),"dd mmm yy"))&amp;" "&amp;Milestones!$AB$189&amp;" "&amp;Milestones!$AC$189&amp;";  ","")&amp;IF(AND(EDATE($D148,Milestones!$AA$190)&lt;=AsOfDate,IF($R148=0,$X148,IF(AND($T148&lt;&gt;"",EDATE($D148,Milestones!$AA$190)&gt;=$T148),$W148,IF(AND($S148&lt;&gt;"",EDATE($D148,Milestones!$AA$190)&gt;=$S148),$V148,$U148)))=Milestones!$AB$190),UPPER(TEXT(EDATE($D148,Milestones!$AA$190),"dd mmm yy"))&amp;" "&amp;Milestones!$AB$190&amp;" "&amp;Milestones!$AC$190&amp;";  ","")&amp;IF(AND(EDATE($D148,Milestones!$AA$191)&lt;=AsOfDate,IF($R148=0,$X148,IF(AND($T148&lt;&gt;"",EDATE($D148,Milestones!$AA$191)&gt;=$T148),$W148,IF(AND($S148&lt;&gt;"",EDATE($D148,Milestones!$AA$191)&gt;=$S148),$V148,$U148)))=Milestones!$AB$191),UPPER(TEXT(EDATE($D148,Milestones!$AA$191),"dd mmm yy"))&amp;" "&amp;Milestones!$AB$191&amp;" "&amp;Milestones!$AC$191&amp;";  ","")&amp;IF(AND(EDATE($D148,Milestones!$AA$192)&lt;=AsOfDate,IF($R148=0,$X148,IF(AND($T148&lt;&gt;"",EDATE($D148,Milestones!$AA$192)&gt;=$T148),$W148,IF(AND($S148&lt;&gt;"",EDATE($D148,Milestones!$AA$192)&gt;=$S148),$V148,$U148)))=Milestones!$AB$192),UPPER(TEXT(EDATE($D148,Milestones!$AA$192),"dd mmm yy"))&amp;" "&amp;Milestones!$AB$192&amp;" "&amp;Milestones!$AC$192&amp;";  ","")&amp;IF(AND(EDATE($D148,Milestones!$AA$193)&lt;=AsOfDate,IF($R148=0,$X148,IF(AND($T148&lt;&gt;"",EDATE($D148,Milestones!$AA$193)&gt;=$T148),$W148,IF(AND($S148&lt;&gt;"",EDATE($D148,Milestones!$AA$193)&gt;=$S148),$V148,$U148)))=Milestones!$AB$193),UPPER(TEXT(EDATE($D148,Milestones!$AA$193),"dd mmm yy"))&amp;" "&amp;Milestones!$AB$193&amp;" "&amp;Milestones!$AC$193&amp;";  ","")&amp;IF(AND(EDATE($D148,Milestones!$AA$194)&lt;=AsOfDate,IF($R148=0,$X148,IF(AND($T148&lt;&gt;"",EDATE($D148,Milestones!$AA$194)&gt;=$T148),$W148,IF(AND($S148&lt;&gt;"",EDATE($D148,Milestones!$AA$194)&gt;=$S148),$V148,$U148)))=Milestones!$AB$194),UPPER(TEXT(EDATE($D148,Milestones!$AA$194),"dd mmm yy"))&amp;" "&amp;Milestones!$AB$194&amp;" "&amp;Milestones!$AC$194&amp;";  ","")&amp;IF(AND(EDATE($D148,Milestones!$AA$195)&lt;=AsOfDate,IF($R148=0,$X148,IF(AND($T148&lt;&gt;"",EDATE($D148,Milestones!$AA$195)&gt;=$T148),$W148,IF(AND($S148&lt;&gt;"",EDATE($D148,Milestones!$AA$195)&gt;=$S148),$V148,$U148)))=Milestones!$AB$195),UPPER(TEXT(EDATE($D148,Milestones!$AA$195),"dd mmm yy"))&amp;" "&amp;Milestones!$AB$195&amp;" "&amp;Milestones!$AC$195&amp;";  ","")&amp;IF(AND(EDATE($D148,Milestones!$AA$196)&lt;=AsOfDate,IF($R148=0,$X148,IF(AND($T148&lt;&gt;"",EDATE($D148,Milestones!$AA$196)&gt;=$T148),$W148,IF(AND($S148&lt;&gt;"",EDATE($D148,Milestones!$AA$196)&gt;=$S148),$V148,$U148)))=Milestones!$AB$196),UPPER(TEXT(EDATE($D148,Milestones!$AA$196),"dd mmm yy"))&amp;" "&amp;Milestones!$AB$196&amp;" "&amp;Milestones!$AC$196&amp;";  ","")&amp;IF(AND(EDATE($D148,Milestones!$AA$197)&lt;=AsOfDate,IF($R148=0,$X148,IF(AND($T148&lt;&gt;"",EDATE($D148,Milestones!$AA$197)&gt;=$T148),$W148,IF(AND($S148&lt;&gt;"",EDATE($D148,Milestones!$AA$197)&gt;=$S148),$V148,$U148)))=Milestones!$AB$197),UPPER(TEXT(EDATE($D148,Milestones!$AA$197),"dd mmm yy"))&amp;" "&amp;Milestones!$AB$197&amp;" "&amp;Milestones!$AC$197&amp;";  ","")&amp;IF(AND(EDATE($D148,Milestones!$AA$198)&lt;=AsOfDate,IF($R148=0,$X148,IF(AND($T148&lt;&gt;"",EDATE($D148,Milestones!$AA$198)&gt;=$T148),$W148,IF(AND($S148&lt;&gt;"",EDATE($D148,Milestones!$AA$198)&gt;=$S148),$V148,$U148)))=Milestones!$AB$198),UPPER(TEXT(EDATE($D148,Milestones!$AA$198),"dd mmm yy"))&amp;" "&amp;Milestones!$AB$198&amp;" "&amp;Milestones!$AC$198&amp;";  ","")&amp;IF(AND(EDATE($D148,Milestones!$AA$199)&lt;=AsOfDate,IF($R148=0,$X148,IF(AND($T148&lt;&gt;"",EDATE($D148,Milestones!$AA$199)&gt;=$T148),$W148,IF(AND($S148&lt;&gt;"",EDATE($D148,Milestones!$AA$199)&gt;=$S148),$V148,$U148)))=Milestones!$AB$199),UPPER(TEXT(EDATE($D148,Milestones!$AA$199),"dd mmm yy"))&amp;" "&amp;Milestones!$AB$199&amp;" "&amp;Milestones!$AC$199&amp;";  ",""))</f>
        <v/>
      </c>
      <c r="R148" s="0" t="str">
        <f aca="false">IF(Staff!$A148="","",Staff!$AI148)</f>
        <v/>
      </c>
      <c r="S148" s="0" t="str">
        <f aca="false">IF(Staff!$A148="","",Staff!$AK148)</f>
        <v/>
      </c>
      <c r="T148" s="0" t="str">
        <f aca="false">IF(Staff!$A148="","",Staff!$AL148)</f>
        <v/>
      </c>
      <c r="U148" s="0" t="str">
        <f aca="false">IF(Staff!$A148="","",Staff!$AP148)</f>
        <v/>
      </c>
      <c r="V148" s="0" t="str">
        <f aca="false">IF(Staff!$A148="","",Staff!$AQ148)</f>
        <v/>
      </c>
      <c r="W148" s="0" t="str">
        <f aca="false">IF(Staff!$A148="","",Staff!$AR148)</f>
        <v/>
      </c>
      <c r="X148" s="0" t="str">
        <f aca="false">IF(Staff!$A148="","",Staff!$AS148)</f>
        <v/>
      </c>
    </row>
    <row r="149" customFormat="false" ht="15" hidden="false" customHeight="false" outlineLevel="0" collapsed="false">
      <c r="A149" s="19" t="str">
        <f aca="false">IF(Staff!$A149="","",Staff!$A149)</f>
        <v/>
      </c>
      <c r="B149" s="19" t="str">
        <f aca="false">IF(Staff!$A149="","",Staff!$B149)</f>
        <v/>
      </c>
      <c r="C149" s="19" t="str">
        <f aca="false">IF(Staff!$A149="","",Staff!$C149)</f>
        <v/>
      </c>
      <c r="D149" s="17" t="str">
        <f aca="false">IF(Staff!$A149="","",Staff!$AH149)</f>
        <v/>
      </c>
      <c r="E149" s="19" t="str">
        <f aca="false">IF(Staff!$A149="","",Staff!$O149)</f>
        <v/>
      </c>
      <c r="F149" s="19" t="str">
        <f aca="false">IF(E149="","",E149*HoursPerDay)</f>
        <v/>
      </c>
      <c r="G149" s="19" t="str">
        <f aca="false">IF(Staff!$A149="","",Staff!$AE149)</f>
        <v/>
      </c>
      <c r="H149" s="32" t="str">
        <f aca="false">IF($A149="","",I149&amp;J149&amp;K149&amp;L149&amp;M149&amp;N149&amp;O149&amp;P149&amp;Q149)</f>
        <v/>
      </c>
      <c r="I149" s="0" t="str">
        <f aca="false">IF(OR($A149="",$D149=""),"",IF(AND(EDATE($D149,Milestones!$AA$20)&lt;=AsOfDate,IF($R149=0,$X149,IF(AND($T149&lt;&gt;"",EDATE($D149,Milestones!$AA$20)&gt;=$T149),$W149,IF(AND($S149&lt;&gt;"",EDATE($D149,Milestones!$AA$20)&gt;=$S149),$V149,$U149)))=Milestones!$AB$20),UPPER(TEXT(EDATE($D149,Milestones!$AA$20),"dd mmm yy"))&amp;" "&amp;Milestones!$AB$20&amp;" "&amp;Milestones!$AC$20&amp;";  ","")&amp;IF(AND(EDATE($D149,Milestones!$AA$21)&lt;=AsOfDate,IF($R149=0,$X149,IF(AND($T149&lt;&gt;"",EDATE($D149,Milestones!$AA$21)&gt;=$T149),$W149,IF(AND($S149&lt;&gt;"",EDATE($D149,Milestones!$AA$21)&gt;=$S149),$V149,$U149)))=Milestones!$AB$21),UPPER(TEXT(EDATE($D149,Milestones!$AA$21),"dd mmm yy"))&amp;" "&amp;Milestones!$AB$21&amp;" "&amp;Milestones!$AC$21&amp;";  ","")&amp;IF(AND(EDATE($D149,Milestones!$AA$22)&lt;=AsOfDate,IF($R149=0,$X149,IF(AND($T149&lt;&gt;"",EDATE($D149,Milestones!$AA$22)&gt;=$T149),$W149,IF(AND($S149&lt;&gt;"",EDATE($D149,Milestones!$AA$22)&gt;=$S149),$V149,$U149)))=Milestones!$AB$22),UPPER(TEXT(EDATE($D149,Milestones!$AA$22),"dd mmm yy"))&amp;" "&amp;Milestones!$AB$22&amp;" "&amp;Milestones!$AC$22&amp;";  ","")&amp;IF(AND(EDATE($D149,Milestones!$AA$23)&lt;=AsOfDate,IF($R149=0,$X149,IF(AND($T149&lt;&gt;"",EDATE($D149,Milestones!$AA$23)&gt;=$T149),$W149,IF(AND($S149&lt;&gt;"",EDATE($D149,Milestones!$AA$23)&gt;=$S149),$V149,$U149)))=Milestones!$AB$23),UPPER(TEXT(EDATE($D149,Milestones!$AA$23),"dd mmm yy"))&amp;" "&amp;Milestones!$AB$23&amp;" "&amp;Milestones!$AC$23&amp;";  ","")&amp;IF(AND(EDATE($D149,Milestones!$AA$24)&lt;=AsOfDate,IF($R149=0,$X149,IF(AND($T149&lt;&gt;"",EDATE($D149,Milestones!$AA$24)&gt;=$T149),$W149,IF(AND($S149&lt;&gt;"",EDATE($D149,Milestones!$AA$24)&gt;=$S149),$V149,$U149)))=Milestones!$AB$24),UPPER(TEXT(EDATE($D149,Milestones!$AA$24),"dd mmm yy"))&amp;" "&amp;Milestones!$AB$24&amp;" "&amp;Milestones!$AC$24&amp;";  ","")&amp;IF(AND(EDATE($D149,Milestones!$AA$25)&lt;=AsOfDate,IF($R149=0,$X149,IF(AND($T149&lt;&gt;"",EDATE($D149,Milestones!$AA$25)&gt;=$T149),$W149,IF(AND($S149&lt;&gt;"",EDATE($D149,Milestones!$AA$25)&gt;=$S149),$V149,$U149)))=Milestones!$AB$25),UPPER(TEXT(EDATE($D149,Milestones!$AA$25),"dd mmm yy"))&amp;" "&amp;Milestones!$AB$25&amp;" "&amp;Milestones!$AC$25&amp;";  ","")&amp;IF(AND(EDATE($D149,Milestones!$AA$26)&lt;=AsOfDate,IF($R149=0,$X149,IF(AND($T149&lt;&gt;"",EDATE($D149,Milestones!$AA$26)&gt;=$T149),$W149,IF(AND($S149&lt;&gt;"",EDATE($D149,Milestones!$AA$26)&gt;=$S149),$V149,$U149)))=Milestones!$AB$26),UPPER(TEXT(EDATE($D149,Milestones!$AA$26),"dd mmm yy"))&amp;" "&amp;Milestones!$AB$26&amp;" "&amp;Milestones!$AC$26&amp;";  ","")&amp;IF(AND(EDATE($D149,Milestones!$AA$27)&lt;=AsOfDate,IF($R149=0,$X149,IF(AND($T149&lt;&gt;"",EDATE($D149,Milestones!$AA$27)&gt;=$T149),$W149,IF(AND($S149&lt;&gt;"",EDATE($D149,Milestones!$AA$27)&gt;=$S149),$V149,$U149)))=Milestones!$AB$27),UPPER(TEXT(EDATE($D149,Milestones!$AA$27),"dd mmm yy"))&amp;" "&amp;Milestones!$AB$27&amp;" "&amp;Milestones!$AC$27&amp;";  ","")&amp;IF(AND(EDATE($D149,Milestones!$AA$28)&lt;=AsOfDate,IF($R149=0,$X149,IF(AND($T149&lt;&gt;"",EDATE($D149,Milestones!$AA$28)&gt;=$T149),$W149,IF(AND($S149&lt;&gt;"",EDATE($D149,Milestones!$AA$28)&gt;=$S149),$V149,$U149)))=Milestones!$AB$28),UPPER(TEXT(EDATE($D149,Milestones!$AA$28),"dd mmm yy"))&amp;" "&amp;Milestones!$AB$28&amp;" "&amp;Milestones!$AC$28&amp;";  ","")&amp;IF(AND(EDATE($D149,Milestones!$AA$29)&lt;=AsOfDate,IF($R149=0,$X149,IF(AND($T149&lt;&gt;"",EDATE($D149,Milestones!$AA$29)&gt;=$T149),$W149,IF(AND($S149&lt;&gt;"",EDATE($D149,Milestones!$AA$29)&gt;=$S149),$V149,$U149)))=Milestones!$AB$29),UPPER(TEXT(EDATE($D149,Milestones!$AA$29),"dd mmm yy"))&amp;" "&amp;Milestones!$AB$29&amp;" "&amp;Milestones!$AC$29&amp;";  ","")&amp;IF(AND(EDATE($D149,Milestones!$AA$30)&lt;=AsOfDate,IF($R149=0,$X149,IF(AND($T149&lt;&gt;"",EDATE($D149,Milestones!$AA$30)&gt;=$T149),$W149,IF(AND($S149&lt;&gt;"",EDATE($D149,Milestones!$AA$30)&gt;=$S149),$V149,$U149)))=Milestones!$AB$30),UPPER(TEXT(EDATE($D149,Milestones!$AA$30),"dd mmm yy"))&amp;" "&amp;Milestones!$AB$30&amp;" "&amp;Milestones!$AC$30&amp;";  ","")&amp;IF(AND(EDATE($D149,Milestones!$AA$31)&lt;=AsOfDate,IF($R149=0,$X149,IF(AND($T149&lt;&gt;"",EDATE($D149,Milestones!$AA$31)&gt;=$T149),$W149,IF(AND($S149&lt;&gt;"",EDATE($D149,Milestones!$AA$31)&gt;=$S149),$V149,$U149)))=Milestones!$AB$31),UPPER(TEXT(EDATE($D149,Milestones!$AA$31),"dd mmm yy"))&amp;" "&amp;Milestones!$AB$31&amp;" "&amp;Milestones!$AC$31&amp;";  ","")&amp;IF(AND(EDATE($D149,Milestones!$AA$32)&lt;=AsOfDate,IF($R149=0,$X149,IF(AND($T149&lt;&gt;"",EDATE($D149,Milestones!$AA$32)&gt;=$T149),$W149,IF(AND($S149&lt;&gt;"",EDATE($D149,Milestones!$AA$32)&gt;=$S149),$V149,$U149)))=Milestones!$AB$32),UPPER(TEXT(EDATE($D149,Milestones!$AA$32),"dd mmm yy"))&amp;" "&amp;Milestones!$AB$32&amp;" "&amp;Milestones!$AC$32&amp;";  ","")&amp;IF(AND(EDATE($D149,Milestones!$AA$33)&lt;=AsOfDate,IF($R149=0,$X149,IF(AND($T149&lt;&gt;"",EDATE($D149,Milestones!$AA$33)&gt;=$T149),$W149,IF(AND($S149&lt;&gt;"",EDATE($D149,Milestones!$AA$33)&gt;=$S149),$V149,$U149)))=Milestones!$AB$33),UPPER(TEXT(EDATE($D149,Milestones!$AA$33),"dd mmm yy"))&amp;" "&amp;Milestones!$AB$33&amp;" "&amp;Milestones!$AC$33&amp;";  ","")&amp;IF(AND(EDATE($D149,Milestones!$AA$34)&lt;=AsOfDate,IF($R149=0,$X149,IF(AND($T149&lt;&gt;"",EDATE($D149,Milestones!$AA$34)&gt;=$T149),$W149,IF(AND($S149&lt;&gt;"",EDATE($D149,Milestones!$AA$34)&gt;=$S149),$V149,$U149)))=Milestones!$AB$34),UPPER(TEXT(EDATE($D149,Milestones!$AA$34),"dd mmm yy"))&amp;" "&amp;Milestones!$AB$34&amp;" "&amp;Milestones!$AC$34&amp;";  ","")&amp;IF(AND(EDATE($D149,Milestones!$AA$35)&lt;=AsOfDate,IF($R149=0,$X149,IF(AND($T149&lt;&gt;"",EDATE($D149,Milestones!$AA$35)&gt;=$T149),$W149,IF(AND($S149&lt;&gt;"",EDATE($D149,Milestones!$AA$35)&gt;=$S149),$V149,$U149)))=Milestones!$AB$35),UPPER(TEXT(EDATE($D149,Milestones!$AA$35),"dd mmm yy"))&amp;" "&amp;Milestones!$AB$35&amp;" "&amp;Milestones!$AC$35&amp;";  ","")&amp;IF(AND(EDATE($D149,Milestones!$AA$36)&lt;=AsOfDate,IF($R149=0,$X149,IF(AND($T149&lt;&gt;"",EDATE($D149,Milestones!$AA$36)&gt;=$T149),$W149,IF(AND($S149&lt;&gt;"",EDATE($D149,Milestones!$AA$36)&gt;=$S149),$V149,$U149)))=Milestones!$AB$36),UPPER(TEXT(EDATE($D149,Milestones!$AA$36),"dd mmm yy"))&amp;" "&amp;Milestones!$AB$36&amp;" "&amp;Milestones!$AC$36&amp;";  ","")&amp;IF(AND(EDATE($D149,Milestones!$AA$37)&lt;=AsOfDate,IF($R149=0,$X149,IF(AND($T149&lt;&gt;"",EDATE($D149,Milestones!$AA$37)&gt;=$T149),$W149,IF(AND($S149&lt;&gt;"",EDATE($D149,Milestones!$AA$37)&gt;=$S149),$V149,$U149)))=Milestones!$AB$37),UPPER(TEXT(EDATE($D149,Milestones!$AA$37),"dd mmm yy"))&amp;" "&amp;Milestones!$AB$37&amp;" "&amp;Milestones!$AC$37&amp;";  ","")&amp;IF(AND(EDATE($D149,Milestones!$AA$38)&lt;=AsOfDate,IF($R149=0,$X149,IF(AND($T149&lt;&gt;"",EDATE($D149,Milestones!$AA$38)&gt;=$T149),$W149,IF(AND($S149&lt;&gt;"",EDATE($D149,Milestones!$AA$38)&gt;=$S149),$V149,$U149)))=Milestones!$AB$38),UPPER(TEXT(EDATE($D149,Milestones!$AA$38),"dd mmm yy"))&amp;" "&amp;Milestones!$AB$38&amp;" "&amp;Milestones!$AC$38&amp;";  ","")&amp;IF(AND(EDATE($D149,Milestones!$AA$39)&lt;=AsOfDate,IF($R149=0,$X149,IF(AND($T149&lt;&gt;"",EDATE($D149,Milestones!$AA$39)&gt;=$T149),$W149,IF(AND($S149&lt;&gt;"",EDATE($D149,Milestones!$AA$39)&gt;=$S149),$V149,$U149)))=Milestones!$AB$39),UPPER(TEXT(EDATE($D149,Milestones!$AA$39),"dd mmm yy"))&amp;" "&amp;Milestones!$AB$39&amp;" "&amp;Milestones!$AC$39&amp;";  ",""))</f>
        <v/>
      </c>
      <c r="J149" s="0" t="str">
        <f aca="false">IF(OR($A149="",$D149=""),"",IF(AND(EDATE($D149,Milestones!$AA$40)&lt;=AsOfDate,IF($R149=0,$X149,IF(AND($T149&lt;&gt;"",EDATE($D149,Milestones!$AA$40)&gt;=$T149),$W149,IF(AND($S149&lt;&gt;"",EDATE($D149,Milestones!$AA$40)&gt;=$S149),$V149,$U149)))=Milestones!$AB$40),UPPER(TEXT(EDATE($D149,Milestones!$AA$40),"dd mmm yy"))&amp;" "&amp;Milestones!$AB$40&amp;" "&amp;Milestones!$AC$40&amp;";  ","")&amp;IF(AND(EDATE($D149,Milestones!$AA$41)&lt;=AsOfDate,IF($R149=0,$X149,IF(AND($T149&lt;&gt;"",EDATE($D149,Milestones!$AA$41)&gt;=$T149),$W149,IF(AND($S149&lt;&gt;"",EDATE($D149,Milestones!$AA$41)&gt;=$S149),$V149,$U149)))=Milestones!$AB$41),UPPER(TEXT(EDATE($D149,Milestones!$AA$41),"dd mmm yy"))&amp;" "&amp;Milestones!$AB$41&amp;" "&amp;Milestones!$AC$41&amp;";  ","")&amp;IF(AND(EDATE($D149,Milestones!$AA$42)&lt;=AsOfDate,IF($R149=0,$X149,IF(AND($T149&lt;&gt;"",EDATE($D149,Milestones!$AA$42)&gt;=$T149),$W149,IF(AND($S149&lt;&gt;"",EDATE($D149,Milestones!$AA$42)&gt;=$S149),$V149,$U149)))=Milestones!$AB$42),UPPER(TEXT(EDATE($D149,Milestones!$AA$42),"dd mmm yy"))&amp;" "&amp;Milestones!$AB$42&amp;" "&amp;Milestones!$AC$42&amp;";  ","")&amp;IF(AND(EDATE($D149,Milestones!$AA$43)&lt;=AsOfDate,IF($R149=0,$X149,IF(AND($T149&lt;&gt;"",EDATE($D149,Milestones!$AA$43)&gt;=$T149),$W149,IF(AND($S149&lt;&gt;"",EDATE($D149,Milestones!$AA$43)&gt;=$S149),$V149,$U149)))=Milestones!$AB$43),UPPER(TEXT(EDATE($D149,Milestones!$AA$43),"dd mmm yy"))&amp;" "&amp;Milestones!$AB$43&amp;" "&amp;Milestones!$AC$43&amp;";  ","")&amp;IF(AND(EDATE($D149,Milestones!$AA$44)&lt;=AsOfDate,IF($R149=0,$X149,IF(AND($T149&lt;&gt;"",EDATE($D149,Milestones!$AA$44)&gt;=$T149),$W149,IF(AND($S149&lt;&gt;"",EDATE($D149,Milestones!$AA$44)&gt;=$S149),$V149,$U149)))=Milestones!$AB$44),UPPER(TEXT(EDATE($D149,Milestones!$AA$44),"dd mmm yy"))&amp;" "&amp;Milestones!$AB$44&amp;" "&amp;Milestones!$AC$44&amp;";  ","")&amp;IF(AND(EDATE($D149,Milestones!$AA$45)&lt;=AsOfDate,IF($R149=0,$X149,IF(AND($T149&lt;&gt;"",EDATE($D149,Milestones!$AA$45)&gt;=$T149),$W149,IF(AND($S149&lt;&gt;"",EDATE($D149,Milestones!$AA$45)&gt;=$S149),$V149,$U149)))=Milestones!$AB$45),UPPER(TEXT(EDATE($D149,Milestones!$AA$45),"dd mmm yy"))&amp;" "&amp;Milestones!$AB$45&amp;" "&amp;Milestones!$AC$45&amp;";  ","")&amp;IF(AND(EDATE($D149,Milestones!$AA$46)&lt;=AsOfDate,IF($R149=0,$X149,IF(AND($T149&lt;&gt;"",EDATE($D149,Milestones!$AA$46)&gt;=$T149),$W149,IF(AND($S149&lt;&gt;"",EDATE($D149,Milestones!$AA$46)&gt;=$S149),$V149,$U149)))=Milestones!$AB$46),UPPER(TEXT(EDATE($D149,Milestones!$AA$46),"dd mmm yy"))&amp;" "&amp;Milestones!$AB$46&amp;" "&amp;Milestones!$AC$46&amp;";  ","")&amp;IF(AND(EDATE($D149,Milestones!$AA$47)&lt;=AsOfDate,IF($R149=0,$X149,IF(AND($T149&lt;&gt;"",EDATE($D149,Milestones!$AA$47)&gt;=$T149),$W149,IF(AND($S149&lt;&gt;"",EDATE($D149,Milestones!$AA$47)&gt;=$S149),$V149,$U149)))=Milestones!$AB$47),UPPER(TEXT(EDATE($D149,Milestones!$AA$47),"dd mmm yy"))&amp;" "&amp;Milestones!$AB$47&amp;" "&amp;Milestones!$AC$47&amp;";  ","")&amp;IF(AND(EDATE($D149,Milestones!$AA$48)&lt;=AsOfDate,IF($R149=0,$X149,IF(AND($T149&lt;&gt;"",EDATE($D149,Milestones!$AA$48)&gt;=$T149),$W149,IF(AND($S149&lt;&gt;"",EDATE($D149,Milestones!$AA$48)&gt;=$S149),$V149,$U149)))=Milestones!$AB$48),UPPER(TEXT(EDATE($D149,Milestones!$AA$48),"dd mmm yy"))&amp;" "&amp;Milestones!$AB$48&amp;" "&amp;Milestones!$AC$48&amp;";  ","")&amp;IF(AND(EDATE($D149,Milestones!$AA$49)&lt;=AsOfDate,IF($R149=0,$X149,IF(AND($T149&lt;&gt;"",EDATE($D149,Milestones!$AA$49)&gt;=$T149),$W149,IF(AND($S149&lt;&gt;"",EDATE($D149,Milestones!$AA$49)&gt;=$S149),$V149,$U149)))=Milestones!$AB$49),UPPER(TEXT(EDATE($D149,Milestones!$AA$49),"dd mmm yy"))&amp;" "&amp;Milestones!$AB$49&amp;" "&amp;Milestones!$AC$49&amp;";  ","")&amp;IF(AND(EDATE($D149,Milestones!$AA$50)&lt;=AsOfDate,IF($R149=0,$X149,IF(AND($T149&lt;&gt;"",EDATE($D149,Milestones!$AA$50)&gt;=$T149),$W149,IF(AND($S149&lt;&gt;"",EDATE($D149,Milestones!$AA$50)&gt;=$S149),$V149,$U149)))=Milestones!$AB$50),UPPER(TEXT(EDATE($D149,Milestones!$AA$50),"dd mmm yy"))&amp;" "&amp;Milestones!$AB$50&amp;" "&amp;Milestones!$AC$50&amp;";  ","")&amp;IF(AND(EDATE($D149,Milestones!$AA$51)&lt;=AsOfDate,IF($R149=0,$X149,IF(AND($T149&lt;&gt;"",EDATE($D149,Milestones!$AA$51)&gt;=$T149),$W149,IF(AND($S149&lt;&gt;"",EDATE($D149,Milestones!$AA$51)&gt;=$S149),$V149,$U149)))=Milestones!$AB$51),UPPER(TEXT(EDATE($D149,Milestones!$AA$51),"dd mmm yy"))&amp;" "&amp;Milestones!$AB$51&amp;" "&amp;Milestones!$AC$51&amp;";  ","")&amp;IF(AND(EDATE($D149,Milestones!$AA$52)&lt;=AsOfDate,IF($R149=0,$X149,IF(AND($T149&lt;&gt;"",EDATE($D149,Milestones!$AA$52)&gt;=$T149),$W149,IF(AND($S149&lt;&gt;"",EDATE($D149,Milestones!$AA$52)&gt;=$S149),$V149,$U149)))=Milestones!$AB$52),UPPER(TEXT(EDATE($D149,Milestones!$AA$52),"dd mmm yy"))&amp;" "&amp;Milestones!$AB$52&amp;" "&amp;Milestones!$AC$52&amp;";  ","")&amp;IF(AND(EDATE($D149,Milestones!$AA$53)&lt;=AsOfDate,IF($R149=0,$X149,IF(AND($T149&lt;&gt;"",EDATE($D149,Milestones!$AA$53)&gt;=$T149),$W149,IF(AND($S149&lt;&gt;"",EDATE($D149,Milestones!$AA$53)&gt;=$S149),$V149,$U149)))=Milestones!$AB$53),UPPER(TEXT(EDATE($D149,Milestones!$AA$53),"dd mmm yy"))&amp;" "&amp;Milestones!$AB$53&amp;" "&amp;Milestones!$AC$53&amp;";  ","")&amp;IF(AND(EDATE($D149,Milestones!$AA$54)&lt;=AsOfDate,IF($R149=0,$X149,IF(AND($T149&lt;&gt;"",EDATE($D149,Milestones!$AA$54)&gt;=$T149),$W149,IF(AND($S149&lt;&gt;"",EDATE($D149,Milestones!$AA$54)&gt;=$S149),$V149,$U149)))=Milestones!$AB$54),UPPER(TEXT(EDATE($D149,Milestones!$AA$54),"dd mmm yy"))&amp;" "&amp;Milestones!$AB$54&amp;" "&amp;Milestones!$AC$54&amp;";  ","")&amp;IF(AND(EDATE($D149,Milestones!$AA$55)&lt;=AsOfDate,IF($R149=0,$X149,IF(AND($T149&lt;&gt;"",EDATE($D149,Milestones!$AA$55)&gt;=$T149),$W149,IF(AND($S149&lt;&gt;"",EDATE($D149,Milestones!$AA$55)&gt;=$S149),$V149,$U149)))=Milestones!$AB$55),UPPER(TEXT(EDATE($D149,Milestones!$AA$55),"dd mmm yy"))&amp;" "&amp;Milestones!$AB$55&amp;" "&amp;Milestones!$AC$55&amp;";  ","")&amp;IF(AND(EDATE($D149,Milestones!$AA$56)&lt;=AsOfDate,IF($R149=0,$X149,IF(AND($T149&lt;&gt;"",EDATE($D149,Milestones!$AA$56)&gt;=$T149),$W149,IF(AND($S149&lt;&gt;"",EDATE($D149,Milestones!$AA$56)&gt;=$S149),$V149,$U149)))=Milestones!$AB$56),UPPER(TEXT(EDATE($D149,Milestones!$AA$56),"dd mmm yy"))&amp;" "&amp;Milestones!$AB$56&amp;" "&amp;Milestones!$AC$56&amp;";  ","")&amp;IF(AND(EDATE($D149,Milestones!$AA$57)&lt;=AsOfDate,IF($R149=0,$X149,IF(AND($T149&lt;&gt;"",EDATE($D149,Milestones!$AA$57)&gt;=$T149),$W149,IF(AND($S149&lt;&gt;"",EDATE($D149,Milestones!$AA$57)&gt;=$S149),$V149,$U149)))=Milestones!$AB$57),UPPER(TEXT(EDATE($D149,Milestones!$AA$57),"dd mmm yy"))&amp;" "&amp;Milestones!$AB$57&amp;" "&amp;Milestones!$AC$57&amp;";  ","")&amp;IF(AND(EDATE($D149,Milestones!$AA$58)&lt;=AsOfDate,IF($R149=0,$X149,IF(AND($T149&lt;&gt;"",EDATE($D149,Milestones!$AA$58)&gt;=$T149),$W149,IF(AND($S149&lt;&gt;"",EDATE($D149,Milestones!$AA$58)&gt;=$S149),$V149,$U149)))=Milestones!$AB$58),UPPER(TEXT(EDATE($D149,Milestones!$AA$58),"dd mmm yy"))&amp;" "&amp;Milestones!$AB$58&amp;" "&amp;Milestones!$AC$58&amp;";  ","")&amp;IF(AND(EDATE($D149,Milestones!$AA$59)&lt;=AsOfDate,IF($R149=0,$X149,IF(AND($T149&lt;&gt;"",EDATE($D149,Milestones!$AA$59)&gt;=$T149),$W149,IF(AND($S149&lt;&gt;"",EDATE($D149,Milestones!$AA$59)&gt;=$S149),$V149,$U149)))=Milestones!$AB$59),UPPER(TEXT(EDATE($D149,Milestones!$AA$59),"dd mmm yy"))&amp;" "&amp;Milestones!$AB$59&amp;" "&amp;Milestones!$AC$59&amp;";  ",""))</f>
        <v/>
      </c>
      <c r="K149" s="0" t="str">
        <f aca="false">IF(OR($A149="",$D149=""),"",IF(AND(EDATE($D149,Milestones!$AA$60)&lt;=AsOfDate,IF($R149=0,$X149,IF(AND($T149&lt;&gt;"",EDATE($D149,Milestones!$AA$60)&gt;=$T149),$W149,IF(AND($S149&lt;&gt;"",EDATE($D149,Milestones!$AA$60)&gt;=$S149),$V149,$U149)))=Milestones!$AB$60),UPPER(TEXT(EDATE($D149,Milestones!$AA$60),"dd mmm yy"))&amp;" "&amp;Milestones!$AB$60&amp;" "&amp;Milestones!$AC$60&amp;";  ","")&amp;IF(AND(EDATE($D149,Milestones!$AA$61)&lt;=AsOfDate,IF($R149=0,$X149,IF(AND($T149&lt;&gt;"",EDATE($D149,Milestones!$AA$61)&gt;=$T149),$W149,IF(AND($S149&lt;&gt;"",EDATE($D149,Milestones!$AA$61)&gt;=$S149),$V149,$U149)))=Milestones!$AB$61),UPPER(TEXT(EDATE($D149,Milestones!$AA$61),"dd mmm yy"))&amp;" "&amp;Milestones!$AB$61&amp;" "&amp;Milestones!$AC$61&amp;";  ","")&amp;IF(AND(EDATE($D149,Milestones!$AA$62)&lt;=AsOfDate,IF($R149=0,$X149,IF(AND($T149&lt;&gt;"",EDATE($D149,Milestones!$AA$62)&gt;=$T149),$W149,IF(AND($S149&lt;&gt;"",EDATE($D149,Milestones!$AA$62)&gt;=$S149),$V149,$U149)))=Milestones!$AB$62),UPPER(TEXT(EDATE($D149,Milestones!$AA$62),"dd mmm yy"))&amp;" "&amp;Milestones!$AB$62&amp;" "&amp;Milestones!$AC$62&amp;";  ","")&amp;IF(AND(EDATE($D149,Milestones!$AA$63)&lt;=AsOfDate,IF($R149=0,$X149,IF(AND($T149&lt;&gt;"",EDATE($D149,Milestones!$AA$63)&gt;=$T149),$W149,IF(AND($S149&lt;&gt;"",EDATE($D149,Milestones!$AA$63)&gt;=$S149),$V149,$U149)))=Milestones!$AB$63),UPPER(TEXT(EDATE($D149,Milestones!$AA$63),"dd mmm yy"))&amp;" "&amp;Milestones!$AB$63&amp;" "&amp;Milestones!$AC$63&amp;";  ","")&amp;IF(AND(EDATE($D149,Milestones!$AA$64)&lt;=AsOfDate,IF($R149=0,$X149,IF(AND($T149&lt;&gt;"",EDATE($D149,Milestones!$AA$64)&gt;=$T149),$W149,IF(AND($S149&lt;&gt;"",EDATE($D149,Milestones!$AA$64)&gt;=$S149),$V149,$U149)))=Milestones!$AB$64),UPPER(TEXT(EDATE($D149,Milestones!$AA$64),"dd mmm yy"))&amp;" "&amp;Milestones!$AB$64&amp;" "&amp;Milestones!$AC$64&amp;";  ","")&amp;IF(AND(EDATE($D149,Milestones!$AA$65)&lt;=AsOfDate,IF($R149=0,$X149,IF(AND($T149&lt;&gt;"",EDATE($D149,Milestones!$AA$65)&gt;=$T149),$W149,IF(AND($S149&lt;&gt;"",EDATE($D149,Milestones!$AA$65)&gt;=$S149),$V149,$U149)))=Milestones!$AB$65),UPPER(TEXT(EDATE($D149,Milestones!$AA$65),"dd mmm yy"))&amp;" "&amp;Milestones!$AB$65&amp;" "&amp;Milestones!$AC$65&amp;";  ","")&amp;IF(AND(EDATE($D149,Milestones!$AA$66)&lt;=AsOfDate,IF($R149=0,$X149,IF(AND($T149&lt;&gt;"",EDATE($D149,Milestones!$AA$66)&gt;=$T149),$W149,IF(AND($S149&lt;&gt;"",EDATE($D149,Milestones!$AA$66)&gt;=$S149),$V149,$U149)))=Milestones!$AB$66),UPPER(TEXT(EDATE($D149,Milestones!$AA$66),"dd mmm yy"))&amp;" "&amp;Milestones!$AB$66&amp;" "&amp;Milestones!$AC$66&amp;";  ","")&amp;IF(AND(EDATE($D149,Milestones!$AA$67)&lt;=AsOfDate,IF($R149=0,$X149,IF(AND($T149&lt;&gt;"",EDATE($D149,Milestones!$AA$67)&gt;=$T149),$W149,IF(AND($S149&lt;&gt;"",EDATE($D149,Milestones!$AA$67)&gt;=$S149),$V149,$U149)))=Milestones!$AB$67),UPPER(TEXT(EDATE($D149,Milestones!$AA$67),"dd mmm yy"))&amp;" "&amp;Milestones!$AB$67&amp;" "&amp;Milestones!$AC$67&amp;";  ","")&amp;IF(AND(EDATE($D149,Milestones!$AA$68)&lt;=AsOfDate,IF($R149=0,$X149,IF(AND($T149&lt;&gt;"",EDATE($D149,Milestones!$AA$68)&gt;=$T149),$W149,IF(AND($S149&lt;&gt;"",EDATE($D149,Milestones!$AA$68)&gt;=$S149),$V149,$U149)))=Milestones!$AB$68),UPPER(TEXT(EDATE($D149,Milestones!$AA$68),"dd mmm yy"))&amp;" "&amp;Milestones!$AB$68&amp;" "&amp;Milestones!$AC$68&amp;";  ","")&amp;IF(AND(EDATE($D149,Milestones!$AA$69)&lt;=AsOfDate,IF($R149=0,$X149,IF(AND($T149&lt;&gt;"",EDATE($D149,Milestones!$AA$69)&gt;=$T149),$W149,IF(AND($S149&lt;&gt;"",EDATE($D149,Milestones!$AA$69)&gt;=$S149),$V149,$U149)))=Milestones!$AB$69),UPPER(TEXT(EDATE($D149,Milestones!$AA$69),"dd mmm yy"))&amp;" "&amp;Milestones!$AB$69&amp;" "&amp;Milestones!$AC$69&amp;";  ","")&amp;IF(AND(EDATE($D149,Milestones!$AA$70)&lt;=AsOfDate,IF($R149=0,$X149,IF(AND($T149&lt;&gt;"",EDATE($D149,Milestones!$AA$70)&gt;=$T149),$W149,IF(AND($S149&lt;&gt;"",EDATE($D149,Milestones!$AA$70)&gt;=$S149),$V149,$U149)))=Milestones!$AB$70),UPPER(TEXT(EDATE($D149,Milestones!$AA$70),"dd mmm yy"))&amp;" "&amp;Milestones!$AB$70&amp;" "&amp;Milestones!$AC$70&amp;";  ","")&amp;IF(AND(EDATE($D149,Milestones!$AA$71)&lt;=AsOfDate,IF($R149=0,$X149,IF(AND($T149&lt;&gt;"",EDATE($D149,Milestones!$AA$71)&gt;=$T149),$W149,IF(AND($S149&lt;&gt;"",EDATE($D149,Milestones!$AA$71)&gt;=$S149),$V149,$U149)))=Milestones!$AB$71),UPPER(TEXT(EDATE($D149,Milestones!$AA$71),"dd mmm yy"))&amp;" "&amp;Milestones!$AB$71&amp;" "&amp;Milestones!$AC$71&amp;";  ","")&amp;IF(AND(EDATE($D149,Milestones!$AA$72)&lt;=AsOfDate,IF($R149=0,$X149,IF(AND($T149&lt;&gt;"",EDATE($D149,Milestones!$AA$72)&gt;=$T149),$W149,IF(AND($S149&lt;&gt;"",EDATE($D149,Milestones!$AA$72)&gt;=$S149),$V149,$U149)))=Milestones!$AB$72),UPPER(TEXT(EDATE($D149,Milestones!$AA$72),"dd mmm yy"))&amp;" "&amp;Milestones!$AB$72&amp;" "&amp;Milestones!$AC$72&amp;";  ","")&amp;IF(AND(EDATE($D149,Milestones!$AA$73)&lt;=AsOfDate,IF($R149=0,$X149,IF(AND($T149&lt;&gt;"",EDATE($D149,Milestones!$AA$73)&gt;=$T149),$W149,IF(AND($S149&lt;&gt;"",EDATE($D149,Milestones!$AA$73)&gt;=$S149),$V149,$U149)))=Milestones!$AB$73),UPPER(TEXT(EDATE($D149,Milestones!$AA$73),"dd mmm yy"))&amp;" "&amp;Milestones!$AB$73&amp;" "&amp;Milestones!$AC$73&amp;";  ","")&amp;IF(AND(EDATE($D149,Milestones!$AA$74)&lt;=AsOfDate,IF($R149=0,$X149,IF(AND($T149&lt;&gt;"",EDATE($D149,Milestones!$AA$74)&gt;=$T149),$W149,IF(AND($S149&lt;&gt;"",EDATE($D149,Milestones!$AA$74)&gt;=$S149),$V149,$U149)))=Milestones!$AB$74),UPPER(TEXT(EDATE($D149,Milestones!$AA$74),"dd mmm yy"))&amp;" "&amp;Milestones!$AB$74&amp;" "&amp;Milestones!$AC$74&amp;";  ","")&amp;IF(AND(EDATE($D149,Milestones!$AA$75)&lt;=AsOfDate,IF($R149=0,$X149,IF(AND($T149&lt;&gt;"",EDATE($D149,Milestones!$AA$75)&gt;=$T149),$W149,IF(AND($S149&lt;&gt;"",EDATE($D149,Milestones!$AA$75)&gt;=$S149),$V149,$U149)))=Milestones!$AB$75),UPPER(TEXT(EDATE($D149,Milestones!$AA$75),"dd mmm yy"))&amp;" "&amp;Milestones!$AB$75&amp;" "&amp;Milestones!$AC$75&amp;";  ","")&amp;IF(AND(EDATE($D149,Milestones!$AA$76)&lt;=AsOfDate,IF($R149=0,$X149,IF(AND($T149&lt;&gt;"",EDATE($D149,Milestones!$AA$76)&gt;=$T149),$W149,IF(AND($S149&lt;&gt;"",EDATE($D149,Milestones!$AA$76)&gt;=$S149),$V149,$U149)))=Milestones!$AB$76),UPPER(TEXT(EDATE($D149,Milestones!$AA$76),"dd mmm yy"))&amp;" "&amp;Milestones!$AB$76&amp;" "&amp;Milestones!$AC$76&amp;";  ","")&amp;IF(AND(EDATE($D149,Milestones!$AA$77)&lt;=AsOfDate,IF($R149=0,$X149,IF(AND($T149&lt;&gt;"",EDATE($D149,Milestones!$AA$77)&gt;=$T149),$W149,IF(AND($S149&lt;&gt;"",EDATE($D149,Milestones!$AA$77)&gt;=$S149),$V149,$U149)))=Milestones!$AB$77),UPPER(TEXT(EDATE($D149,Milestones!$AA$77),"dd mmm yy"))&amp;" "&amp;Milestones!$AB$77&amp;" "&amp;Milestones!$AC$77&amp;";  ","")&amp;IF(AND(EDATE($D149,Milestones!$AA$78)&lt;=AsOfDate,IF($R149=0,$X149,IF(AND($T149&lt;&gt;"",EDATE($D149,Milestones!$AA$78)&gt;=$T149),$W149,IF(AND($S149&lt;&gt;"",EDATE($D149,Milestones!$AA$78)&gt;=$S149),$V149,$U149)))=Milestones!$AB$78),UPPER(TEXT(EDATE($D149,Milestones!$AA$78),"dd mmm yy"))&amp;" "&amp;Milestones!$AB$78&amp;" "&amp;Milestones!$AC$78&amp;";  ","")&amp;IF(AND(EDATE($D149,Milestones!$AA$79)&lt;=AsOfDate,IF($R149=0,$X149,IF(AND($T149&lt;&gt;"",EDATE($D149,Milestones!$AA$79)&gt;=$T149),$W149,IF(AND($S149&lt;&gt;"",EDATE($D149,Milestones!$AA$79)&gt;=$S149),$V149,$U149)))=Milestones!$AB$79),UPPER(TEXT(EDATE($D149,Milestones!$AA$79),"dd mmm yy"))&amp;" "&amp;Milestones!$AB$79&amp;" "&amp;Milestones!$AC$79&amp;";  ",""))</f>
        <v/>
      </c>
      <c r="L149" s="0" t="str">
        <f aca="false">IF(OR($A149="",$D149=""),"",IF(AND(EDATE($D149,Milestones!$AA$80)&lt;=AsOfDate,IF($R149=0,$X149,IF(AND($T149&lt;&gt;"",EDATE($D149,Milestones!$AA$80)&gt;=$T149),$W149,IF(AND($S149&lt;&gt;"",EDATE($D149,Milestones!$AA$80)&gt;=$S149),$V149,$U149)))=Milestones!$AB$80),UPPER(TEXT(EDATE($D149,Milestones!$AA$80),"dd mmm yy"))&amp;" "&amp;Milestones!$AB$80&amp;" "&amp;Milestones!$AC$80&amp;";  ","")&amp;IF(AND(EDATE($D149,Milestones!$AA$81)&lt;=AsOfDate,IF($R149=0,$X149,IF(AND($T149&lt;&gt;"",EDATE($D149,Milestones!$AA$81)&gt;=$T149),$W149,IF(AND($S149&lt;&gt;"",EDATE($D149,Milestones!$AA$81)&gt;=$S149),$V149,$U149)))=Milestones!$AB$81),UPPER(TEXT(EDATE($D149,Milestones!$AA$81),"dd mmm yy"))&amp;" "&amp;Milestones!$AB$81&amp;" "&amp;Milestones!$AC$81&amp;";  ","")&amp;IF(AND(EDATE($D149,Milestones!$AA$82)&lt;=AsOfDate,IF($R149=0,$X149,IF(AND($T149&lt;&gt;"",EDATE($D149,Milestones!$AA$82)&gt;=$T149),$W149,IF(AND($S149&lt;&gt;"",EDATE($D149,Milestones!$AA$82)&gt;=$S149),$V149,$U149)))=Milestones!$AB$82),UPPER(TEXT(EDATE($D149,Milestones!$AA$82),"dd mmm yy"))&amp;" "&amp;Milestones!$AB$82&amp;" "&amp;Milestones!$AC$82&amp;";  ","")&amp;IF(AND(EDATE($D149,Milestones!$AA$83)&lt;=AsOfDate,IF($R149=0,$X149,IF(AND($T149&lt;&gt;"",EDATE($D149,Milestones!$AA$83)&gt;=$T149),$W149,IF(AND($S149&lt;&gt;"",EDATE($D149,Milestones!$AA$83)&gt;=$S149),$V149,$U149)))=Milestones!$AB$83),UPPER(TEXT(EDATE($D149,Milestones!$AA$83),"dd mmm yy"))&amp;" "&amp;Milestones!$AB$83&amp;" "&amp;Milestones!$AC$83&amp;";  ","")&amp;IF(AND(EDATE($D149,Milestones!$AA$84)&lt;=AsOfDate,IF($R149=0,$X149,IF(AND($T149&lt;&gt;"",EDATE($D149,Milestones!$AA$84)&gt;=$T149),$W149,IF(AND($S149&lt;&gt;"",EDATE($D149,Milestones!$AA$84)&gt;=$S149),$V149,$U149)))=Milestones!$AB$84),UPPER(TEXT(EDATE($D149,Milestones!$AA$84),"dd mmm yy"))&amp;" "&amp;Milestones!$AB$84&amp;" "&amp;Milestones!$AC$84&amp;";  ","")&amp;IF(AND(EDATE($D149,Milestones!$AA$85)&lt;=AsOfDate,IF($R149=0,$X149,IF(AND($T149&lt;&gt;"",EDATE($D149,Milestones!$AA$85)&gt;=$T149),$W149,IF(AND($S149&lt;&gt;"",EDATE($D149,Milestones!$AA$85)&gt;=$S149),$V149,$U149)))=Milestones!$AB$85),UPPER(TEXT(EDATE($D149,Milestones!$AA$85),"dd mmm yy"))&amp;" "&amp;Milestones!$AB$85&amp;" "&amp;Milestones!$AC$85&amp;";  ","")&amp;IF(AND(EDATE($D149,Milestones!$AA$86)&lt;=AsOfDate,IF($R149=0,$X149,IF(AND($T149&lt;&gt;"",EDATE($D149,Milestones!$AA$86)&gt;=$T149),$W149,IF(AND($S149&lt;&gt;"",EDATE($D149,Milestones!$AA$86)&gt;=$S149),$V149,$U149)))=Milestones!$AB$86),UPPER(TEXT(EDATE($D149,Milestones!$AA$86),"dd mmm yy"))&amp;" "&amp;Milestones!$AB$86&amp;" "&amp;Milestones!$AC$86&amp;";  ","")&amp;IF(AND(EDATE($D149,Milestones!$AA$87)&lt;=AsOfDate,IF($R149=0,$X149,IF(AND($T149&lt;&gt;"",EDATE($D149,Milestones!$AA$87)&gt;=$T149),$W149,IF(AND($S149&lt;&gt;"",EDATE($D149,Milestones!$AA$87)&gt;=$S149),$V149,$U149)))=Milestones!$AB$87),UPPER(TEXT(EDATE($D149,Milestones!$AA$87),"dd mmm yy"))&amp;" "&amp;Milestones!$AB$87&amp;" "&amp;Milestones!$AC$87&amp;";  ","")&amp;IF(AND(EDATE($D149,Milestones!$AA$88)&lt;=AsOfDate,IF($R149=0,$X149,IF(AND($T149&lt;&gt;"",EDATE($D149,Milestones!$AA$88)&gt;=$T149),$W149,IF(AND($S149&lt;&gt;"",EDATE($D149,Milestones!$AA$88)&gt;=$S149),$V149,$U149)))=Milestones!$AB$88),UPPER(TEXT(EDATE($D149,Milestones!$AA$88),"dd mmm yy"))&amp;" "&amp;Milestones!$AB$88&amp;" "&amp;Milestones!$AC$88&amp;";  ","")&amp;IF(AND(EDATE($D149,Milestones!$AA$89)&lt;=AsOfDate,IF($R149=0,$X149,IF(AND($T149&lt;&gt;"",EDATE($D149,Milestones!$AA$89)&gt;=$T149),$W149,IF(AND($S149&lt;&gt;"",EDATE($D149,Milestones!$AA$89)&gt;=$S149),$V149,$U149)))=Milestones!$AB$89),UPPER(TEXT(EDATE($D149,Milestones!$AA$89),"dd mmm yy"))&amp;" "&amp;Milestones!$AB$89&amp;" "&amp;Milestones!$AC$89&amp;";  ","")&amp;IF(AND(EDATE($D149,Milestones!$AA$90)&lt;=AsOfDate,IF($R149=0,$X149,IF(AND($T149&lt;&gt;"",EDATE($D149,Milestones!$AA$90)&gt;=$T149),$W149,IF(AND($S149&lt;&gt;"",EDATE($D149,Milestones!$AA$90)&gt;=$S149),$V149,$U149)))=Milestones!$AB$90),UPPER(TEXT(EDATE($D149,Milestones!$AA$90),"dd mmm yy"))&amp;" "&amp;Milestones!$AB$90&amp;" "&amp;Milestones!$AC$90&amp;";  ","")&amp;IF(AND(EDATE($D149,Milestones!$AA$91)&lt;=AsOfDate,IF($R149=0,$X149,IF(AND($T149&lt;&gt;"",EDATE($D149,Milestones!$AA$91)&gt;=$T149),$W149,IF(AND($S149&lt;&gt;"",EDATE($D149,Milestones!$AA$91)&gt;=$S149),$V149,$U149)))=Milestones!$AB$91),UPPER(TEXT(EDATE($D149,Milestones!$AA$91),"dd mmm yy"))&amp;" "&amp;Milestones!$AB$91&amp;" "&amp;Milestones!$AC$91&amp;";  ","")&amp;IF(AND(EDATE($D149,Milestones!$AA$92)&lt;=AsOfDate,IF($R149=0,$X149,IF(AND($T149&lt;&gt;"",EDATE($D149,Milestones!$AA$92)&gt;=$T149),$W149,IF(AND($S149&lt;&gt;"",EDATE($D149,Milestones!$AA$92)&gt;=$S149),$V149,$U149)))=Milestones!$AB$92),UPPER(TEXT(EDATE($D149,Milestones!$AA$92),"dd mmm yy"))&amp;" "&amp;Milestones!$AB$92&amp;" "&amp;Milestones!$AC$92&amp;";  ","")&amp;IF(AND(EDATE($D149,Milestones!$AA$93)&lt;=AsOfDate,IF($R149=0,$X149,IF(AND($T149&lt;&gt;"",EDATE($D149,Milestones!$AA$93)&gt;=$T149),$W149,IF(AND($S149&lt;&gt;"",EDATE($D149,Milestones!$AA$93)&gt;=$S149),$V149,$U149)))=Milestones!$AB$93),UPPER(TEXT(EDATE($D149,Milestones!$AA$93),"dd mmm yy"))&amp;" "&amp;Milestones!$AB$93&amp;" "&amp;Milestones!$AC$93&amp;";  ","")&amp;IF(AND(EDATE($D149,Milestones!$AA$94)&lt;=AsOfDate,IF($R149=0,$X149,IF(AND($T149&lt;&gt;"",EDATE($D149,Milestones!$AA$94)&gt;=$T149),$W149,IF(AND($S149&lt;&gt;"",EDATE($D149,Milestones!$AA$94)&gt;=$S149),$V149,$U149)))=Milestones!$AB$94),UPPER(TEXT(EDATE($D149,Milestones!$AA$94),"dd mmm yy"))&amp;" "&amp;Milestones!$AB$94&amp;" "&amp;Milestones!$AC$94&amp;";  ","")&amp;IF(AND(EDATE($D149,Milestones!$AA$95)&lt;=AsOfDate,IF($R149=0,$X149,IF(AND($T149&lt;&gt;"",EDATE($D149,Milestones!$AA$95)&gt;=$T149),$W149,IF(AND($S149&lt;&gt;"",EDATE($D149,Milestones!$AA$95)&gt;=$S149),$V149,$U149)))=Milestones!$AB$95),UPPER(TEXT(EDATE($D149,Milestones!$AA$95),"dd mmm yy"))&amp;" "&amp;Milestones!$AB$95&amp;" "&amp;Milestones!$AC$95&amp;";  ","")&amp;IF(AND(EDATE($D149,Milestones!$AA$96)&lt;=AsOfDate,IF($R149=0,$X149,IF(AND($T149&lt;&gt;"",EDATE($D149,Milestones!$AA$96)&gt;=$T149),$W149,IF(AND($S149&lt;&gt;"",EDATE($D149,Milestones!$AA$96)&gt;=$S149),$V149,$U149)))=Milestones!$AB$96),UPPER(TEXT(EDATE($D149,Milestones!$AA$96),"dd mmm yy"))&amp;" "&amp;Milestones!$AB$96&amp;" "&amp;Milestones!$AC$96&amp;";  ","")&amp;IF(AND(EDATE($D149,Milestones!$AA$97)&lt;=AsOfDate,IF($R149=0,$X149,IF(AND($T149&lt;&gt;"",EDATE($D149,Milestones!$AA$97)&gt;=$T149),$W149,IF(AND($S149&lt;&gt;"",EDATE($D149,Milestones!$AA$97)&gt;=$S149),$V149,$U149)))=Milestones!$AB$97),UPPER(TEXT(EDATE($D149,Milestones!$AA$97),"dd mmm yy"))&amp;" "&amp;Milestones!$AB$97&amp;" "&amp;Milestones!$AC$97&amp;";  ","")&amp;IF(AND(EDATE($D149,Milestones!$AA$98)&lt;=AsOfDate,IF($R149=0,$X149,IF(AND($T149&lt;&gt;"",EDATE($D149,Milestones!$AA$98)&gt;=$T149),$W149,IF(AND($S149&lt;&gt;"",EDATE($D149,Milestones!$AA$98)&gt;=$S149),$V149,$U149)))=Milestones!$AB$98),UPPER(TEXT(EDATE($D149,Milestones!$AA$98),"dd mmm yy"))&amp;" "&amp;Milestones!$AB$98&amp;" "&amp;Milestones!$AC$98&amp;";  ","")&amp;IF(AND(EDATE($D149,Milestones!$AA$99)&lt;=AsOfDate,IF($R149=0,$X149,IF(AND($T149&lt;&gt;"",EDATE($D149,Milestones!$AA$99)&gt;=$T149),$W149,IF(AND($S149&lt;&gt;"",EDATE($D149,Milestones!$AA$99)&gt;=$S149),$V149,$U149)))=Milestones!$AB$99),UPPER(TEXT(EDATE($D149,Milestones!$AA$99),"dd mmm yy"))&amp;" "&amp;Milestones!$AB$99&amp;" "&amp;Milestones!$AC$99&amp;";  ",""))</f>
        <v/>
      </c>
      <c r="M149" s="0" t="str">
        <f aca="false">IF(OR($A149="",$D149=""),"",IF(AND(EDATE($D149,Milestones!$AA$100)&lt;=AsOfDate,IF($R149=0,$X149,IF(AND($T149&lt;&gt;"",EDATE($D149,Milestones!$AA$100)&gt;=$T149),$W149,IF(AND($S149&lt;&gt;"",EDATE($D149,Milestones!$AA$100)&gt;=$S149),$V149,$U149)))=Milestones!$AB$100),UPPER(TEXT(EDATE($D149,Milestones!$AA$100),"dd mmm yy"))&amp;" "&amp;Milestones!$AB$100&amp;" "&amp;Milestones!$AC$100&amp;";  ","")&amp;IF(AND(EDATE($D149,Milestones!$AA$101)&lt;=AsOfDate,IF($R149=0,$X149,IF(AND($T149&lt;&gt;"",EDATE($D149,Milestones!$AA$101)&gt;=$T149),$W149,IF(AND($S149&lt;&gt;"",EDATE($D149,Milestones!$AA$101)&gt;=$S149),$V149,$U149)))=Milestones!$AB$101),UPPER(TEXT(EDATE($D149,Milestones!$AA$101),"dd mmm yy"))&amp;" "&amp;Milestones!$AB$101&amp;" "&amp;Milestones!$AC$101&amp;";  ","")&amp;IF(AND(EDATE($D149,Milestones!$AA$102)&lt;=AsOfDate,IF($R149=0,$X149,IF(AND($T149&lt;&gt;"",EDATE($D149,Milestones!$AA$102)&gt;=$T149),$W149,IF(AND($S149&lt;&gt;"",EDATE($D149,Milestones!$AA$102)&gt;=$S149),$V149,$U149)))=Milestones!$AB$102),UPPER(TEXT(EDATE($D149,Milestones!$AA$102),"dd mmm yy"))&amp;" "&amp;Milestones!$AB$102&amp;" "&amp;Milestones!$AC$102&amp;";  ","")&amp;IF(AND(EDATE($D149,Milestones!$AA$103)&lt;=AsOfDate,IF($R149=0,$X149,IF(AND($T149&lt;&gt;"",EDATE($D149,Milestones!$AA$103)&gt;=$T149),$W149,IF(AND($S149&lt;&gt;"",EDATE($D149,Milestones!$AA$103)&gt;=$S149),$V149,$U149)))=Milestones!$AB$103),UPPER(TEXT(EDATE($D149,Milestones!$AA$103),"dd mmm yy"))&amp;" "&amp;Milestones!$AB$103&amp;" "&amp;Milestones!$AC$103&amp;";  ","")&amp;IF(AND(EDATE($D149,Milestones!$AA$104)&lt;=AsOfDate,IF($R149=0,$X149,IF(AND($T149&lt;&gt;"",EDATE($D149,Milestones!$AA$104)&gt;=$T149),$W149,IF(AND($S149&lt;&gt;"",EDATE($D149,Milestones!$AA$104)&gt;=$S149),$V149,$U149)))=Milestones!$AB$104),UPPER(TEXT(EDATE($D149,Milestones!$AA$104),"dd mmm yy"))&amp;" "&amp;Milestones!$AB$104&amp;" "&amp;Milestones!$AC$104&amp;";  ","")&amp;IF(AND(EDATE($D149,Milestones!$AA$105)&lt;=AsOfDate,IF($R149=0,$X149,IF(AND($T149&lt;&gt;"",EDATE($D149,Milestones!$AA$105)&gt;=$T149),$W149,IF(AND($S149&lt;&gt;"",EDATE($D149,Milestones!$AA$105)&gt;=$S149),$V149,$U149)))=Milestones!$AB$105),UPPER(TEXT(EDATE($D149,Milestones!$AA$105),"dd mmm yy"))&amp;" "&amp;Milestones!$AB$105&amp;" "&amp;Milestones!$AC$105&amp;";  ","")&amp;IF(AND(EDATE($D149,Milestones!$AA$106)&lt;=AsOfDate,IF($R149=0,$X149,IF(AND($T149&lt;&gt;"",EDATE($D149,Milestones!$AA$106)&gt;=$T149),$W149,IF(AND($S149&lt;&gt;"",EDATE($D149,Milestones!$AA$106)&gt;=$S149),$V149,$U149)))=Milestones!$AB$106),UPPER(TEXT(EDATE($D149,Milestones!$AA$106),"dd mmm yy"))&amp;" "&amp;Milestones!$AB$106&amp;" "&amp;Milestones!$AC$106&amp;";  ","")&amp;IF(AND(EDATE($D149,Milestones!$AA$107)&lt;=AsOfDate,IF($R149=0,$X149,IF(AND($T149&lt;&gt;"",EDATE($D149,Milestones!$AA$107)&gt;=$T149),$W149,IF(AND($S149&lt;&gt;"",EDATE($D149,Milestones!$AA$107)&gt;=$S149),$V149,$U149)))=Milestones!$AB$107),UPPER(TEXT(EDATE($D149,Milestones!$AA$107),"dd mmm yy"))&amp;" "&amp;Milestones!$AB$107&amp;" "&amp;Milestones!$AC$107&amp;";  ","")&amp;IF(AND(EDATE($D149,Milestones!$AA$108)&lt;=AsOfDate,IF($R149=0,$X149,IF(AND($T149&lt;&gt;"",EDATE($D149,Milestones!$AA$108)&gt;=$T149),$W149,IF(AND($S149&lt;&gt;"",EDATE($D149,Milestones!$AA$108)&gt;=$S149),$V149,$U149)))=Milestones!$AB$108),UPPER(TEXT(EDATE($D149,Milestones!$AA$108),"dd mmm yy"))&amp;" "&amp;Milestones!$AB$108&amp;" "&amp;Milestones!$AC$108&amp;";  ","")&amp;IF(AND(EDATE($D149,Milestones!$AA$109)&lt;=AsOfDate,IF($R149=0,$X149,IF(AND($T149&lt;&gt;"",EDATE($D149,Milestones!$AA$109)&gt;=$T149),$W149,IF(AND($S149&lt;&gt;"",EDATE($D149,Milestones!$AA$109)&gt;=$S149),$V149,$U149)))=Milestones!$AB$109),UPPER(TEXT(EDATE($D149,Milestones!$AA$109),"dd mmm yy"))&amp;" "&amp;Milestones!$AB$109&amp;" "&amp;Milestones!$AC$109&amp;";  ","")&amp;IF(AND(EDATE($D149,Milestones!$AA$110)&lt;=AsOfDate,IF($R149=0,$X149,IF(AND($T149&lt;&gt;"",EDATE($D149,Milestones!$AA$110)&gt;=$T149),$W149,IF(AND($S149&lt;&gt;"",EDATE($D149,Milestones!$AA$110)&gt;=$S149),$V149,$U149)))=Milestones!$AB$110),UPPER(TEXT(EDATE($D149,Milestones!$AA$110),"dd mmm yy"))&amp;" "&amp;Milestones!$AB$110&amp;" "&amp;Milestones!$AC$110&amp;";  ","")&amp;IF(AND(EDATE($D149,Milestones!$AA$111)&lt;=AsOfDate,IF($R149=0,$X149,IF(AND($T149&lt;&gt;"",EDATE($D149,Milestones!$AA$111)&gt;=$T149),$W149,IF(AND($S149&lt;&gt;"",EDATE($D149,Milestones!$AA$111)&gt;=$S149),$V149,$U149)))=Milestones!$AB$111),UPPER(TEXT(EDATE($D149,Milestones!$AA$111),"dd mmm yy"))&amp;" "&amp;Milestones!$AB$111&amp;" "&amp;Milestones!$AC$111&amp;";  ","")&amp;IF(AND(EDATE($D149,Milestones!$AA$112)&lt;=AsOfDate,IF($R149=0,$X149,IF(AND($T149&lt;&gt;"",EDATE($D149,Milestones!$AA$112)&gt;=$T149),$W149,IF(AND($S149&lt;&gt;"",EDATE($D149,Milestones!$AA$112)&gt;=$S149),$V149,$U149)))=Milestones!$AB$112),UPPER(TEXT(EDATE($D149,Milestones!$AA$112),"dd mmm yy"))&amp;" "&amp;Milestones!$AB$112&amp;" "&amp;Milestones!$AC$112&amp;";  ","")&amp;IF(AND(EDATE($D149,Milestones!$AA$113)&lt;=AsOfDate,IF($R149=0,$X149,IF(AND($T149&lt;&gt;"",EDATE($D149,Milestones!$AA$113)&gt;=$T149),$W149,IF(AND($S149&lt;&gt;"",EDATE($D149,Milestones!$AA$113)&gt;=$S149),$V149,$U149)))=Milestones!$AB$113),UPPER(TEXT(EDATE($D149,Milestones!$AA$113),"dd mmm yy"))&amp;" "&amp;Milestones!$AB$113&amp;" "&amp;Milestones!$AC$113&amp;";  ","")&amp;IF(AND(EDATE($D149,Milestones!$AA$114)&lt;=AsOfDate,IF($R149=0,$X149,IF(AND($T149&lt;&gt;"",EDATE($D149,Milestones!$AA$114)&gt;=$T149),$W149,IF(AND($S149&lt;&gt;"",EDATE($D149,Milestones!$AA$114)&gt;=$S149),$V149,$U149)))=Milestones!$AB$114),UPPER(TEXT(EDATE($D149,Milestones!$AA$114),"dd mmm yy"))&amp;" "&amp;Milestones!$AB$114&amp;" "&amp;Milestones!$AC$114&amp;";  ","")&amp;IF(AND(EDATE($D149,Milestones!$AA$115)&lt;=AsOfDate,IF($R149=0,$X149,IF(AND($T149&lt;&gt;"",EDATE($D149,Milestones!$AA$115)&gt;=$T149),$W149,IF(AND($S149&lt;&gt;"",EDATE($D149,Milestones!$AA$115)&gt;=$S149),$V149,$U149)))=Milestones!$AB$115),UPPER(TEXT(EDATE($D149,Milestones!$AA$115),"dd mmm yy"))&amp;" "&amp;Milestones!$AB$115&amp;" "&amp;Milestones!$AC$115&amp;";  ","")&amp;IF(AND(EDATE($D149,Milestones!$AA$116)&lt;=AsOfDate,IF($R149=0,$X149,IF(AND($T149&lt;&gt;"",EDATE($D149,Milestones!$AA$116)&gt;=$T149),$W149,IF(AND($S149&lt;&gt;"",EDATE($D149,Milestones!$AA$116)&gt;=$S149),$V149,$U149)))=Milestones!$AB$116),UPPER(TEXT(EDATE($D149,Milestones!$AA$116),"dd mmm yy"))&amp;" "&amp;Milestones!$AB$116&amp;" "&amp;Milestones!$AC$116&amp;";  ","")&amp;IF(AND(EDATE($D149,Milestones!$AA$117)&lt;=AsOfDate,IF($R149=0,$X149,IF(AND($T149&lt;&gt;"",EDATE($D149,Milestones!$AA$117)&gt;=$T149),$W149,IF(AND($S149&lt;&gt;"",EDATE($D149,Milestones!$AA$117)&gt;=$S149),$V149,$U149)))=Milestones!$AB$117),UPPER(TEXT(EDATE($D149,Milestones!$AA$117),"dd mmm yy"))&amp;" "&amp;Milestones!$AB$117&amp;" "&amp;Milestones!$AC$117&amp;";  ","")&amp;IF(AND(EDATE($D149,Milestones!$AA$118)&lt;=AsOfDate,IF($R149=0,$X149,IF(AND($T149&lt;&gt;"",EDATE($D149,Milestones!$AA$118)&gt;=$T149),$W149,IF(AND($S149&lt;&gt;"",EDATE($D149,Milestones!$AA$118)&gt;=$S149),$V149,$U149)))=Milestones!$AB$118),UPPER(TEXT(EDATE($D149,Milestones!$AA$118),"dd mmm yy"))&amp;" "&amp;Milestones!$AB$118&amp;" "&amp;Milestones!$AC$118&amp;";  ","")&amp;IF(AND(EDATE($D149,Milestones!$AA$119)&lt;=AsOfDate,IF($R149=0,$X149,IF(AND($T149&lt;&gt;"",EDATE($D149,Milestones!$AA$119)&gt;=$T149),$W149,IF(AND($S149&lt;&gt;"",EDATE($D149,Milestones!$AA$119)&gt;=$S149),$V149,$U149)))=Milestones!$AB$119),UPPER(TEXT(EDATE($D149,Milestones!$AA$119),"dd mmm yy"))&amp;" "&amp;Milestones!$AB$119&amp;" "&amp;Milestones!$AC$119&amp;";  ",""))</f>
        <v/>
      </c>
      <c r="N149" s="0" t="str">
        <f aca="false">IF(OR($A149="",$D149=""),"",IF(AND(EDATE($D149,Milestones!$AA$120)&lt;=AsOfDate,IF($R149=0,$X149,IF(AND($T149&lt;&gt;"",EDATE($D149,Milestones!$AA$120)&gt;=$T149),$W149,IF(AND($S149&lt;&gt;"",EDATE($D149,Milestones!$AA$120)&gt;=$S149),$V149,$U149)))=Milestones!$AB$120),UPPER(TEXT(EDATE($D149,Milestones!$AA$120),"dd mmm yy"))&amp;" "&amp;Milestones!$AB$120&amp;" "&amp;Milestones!$AC$120&amp;";  ","")&amp;IF(AND(EDATE($D149,Milestones!$AA$121)&lt;=AsOfDate,IF($R149=0,$X149,IF(AND($T149&lt;&gt;"",EDATE($D149,Milestones!$AA$121)&gt;=$T149),$W149,IF(AND($S149&lt;&gt;"",EDATE($D149,Milestones!$AA$121)&gt;=$S149),$V149,$U149)))=Milestones!$AB$121),UPPER(TEXT(EDATE($D149,Milestones!$AA$121),"dd mmm yy"))&amp;" "&amp;Milestones!$AB$121&amp;" "&amp;Milestones!$AC$121&amp;";  ","")&amp;IF(AND(EDATE($D149,Milestones!$AA$122)&lt;=AsOfDate,IF($R149=0,$X149,IF(AND($T149&lt;&gt;"",EDATE($D149,Milestones!$AA$122)&gt;=$T149),$W149,IF(AND($S149&lt;&gt;"",EDATE($D149,Milestones!$AA$122)&gt;=$S149),$V149,$U149)))=Milestones!$AB$122),UPPER(TEXT(EDATE($D149,Milestones!$AA$122),"dd mmm yy"))&amp;" "&amp;Milestones!$AB$122&amp;" "&amp;Milestones!$AC$122&amp;";  ","")&amp;IF(AND(EDATE($D149,Milestones!$AA$123)&lt;=AsOfDate,IF($R149=0,$X149,IF(AND($T149&lt;&gt;"",EDATE($D149,Milestones!$AA$123)&gt;=$T149),$W149,IF(AND($S149&lt;&gt;"",EDATE($D149,Milestones!$AA$123)&gt;=$S149),$V149,$U149)))=Milestones!$AB$123),UPPER(TEXT(EDATE($D149,Milestones!$AA$123),"dd mmm yy"))&amp;" "&amp;Milestones!$AB$123&amp;" "&amp;Milestones!$AC$123&amp;";  ","")&amp;IF(AND(EDATE($D149,Milestones!$AA$124)&lt;=AsOfDate,IF($R149=0,$X149,IF(AND($T149&lt;&gt;"",EDATE($D149,Milestones!$AA$124)&gt;=$T149),$W149,IF(AND($S149&lt;&gt;"",EDATE($D149,Milestones!$AA$124)&gt;=$S149),$V149,$U149)))=Milestones!$AB$124),UPPER(TEXT(EDATE($D149,Milestones!$AA$124),"dd mmm yy"))&amp;" "&amp;Milestones!$AB$124&amp;" "&amp;Milestones!$AC$124&amp;";  ","")&amp;IF(AND(EDATE($D149,Milestones!$AA$125)&lt;=AsOfDate,IF($R149=0,$X149,IF(AND($T149&lt;&gt;"",EDATE($D149,Milestones!$AA$125)&gt;=$T149),$W149,IF(AND($S149&lt;&gt;"",EDATE($D149,Milestones!$AA$125)&gt;=$S149),$V149,$U149)))=Milestones!$AB$125),UPPER(TEXT(EDATE($D149,Milestones!$AA$125),"dd mmm yy"))&amp;" "&amp;Milestones!$AB$125&amp;" "&amp;Milestones!$AC$125&amp;";  ","")&amp;IF(AND(EDATE($D149,Milestones!$AA$126)&lt;=AsOfDate,IF($R149=0,$X149,IF(AND($T149&lt;&gt;"",EDATE($D149,Milestones!$AA$126)&gt;=$T149),$W149,IF(AND($S149&lt;&gt;"",EDATE($D149,Milestones!$AA$126)&gt;=$S149),$V149,$U149)))=Milestones!$AB$126),UPPER(TEXT(EDATE($D149,Milestones!$AA$126),"dd mmm yy"))&amp;" "&amp;Milestones!$AB$126&amp;" "&amp;Milestones!$AC$126&amp;";  ","")&amp;IF(AND(EDATE($D149,Milestones!$AA$127)&lt;=AsOfDate,IF($R149=0,$X149,IF(AND($T149&lt;&gt;"",EDATE($D149,Milestones!$AA$127)&gt;=$T149),$W149,IF(AND($S149&lt;&gt;"",EDATE($D149,Milestones!$AA$127)&gt;=$S149),$V149,$U149)))=Milestones!$AB$127),UPPER(TEXT(EDATE($D149,Milestones!$AA$127),"dd mmm yy"))&amp;" "&amp;Milestones!$AB$127&amp;" "&amp;Milestones!$AC$127&amp;";  ","")&amp;IF(AND(EDATE($D149,Milestones!$AA$128)&lt;=AsOfDate,IF($R149=0,$X149,IF(AND($T149&lt;&gt;"",EDATE($D149,Milestones!$AA$128)&gt;=$T149),$W149,IF(AND($S149&lt;&gt;"",EDATE($D149,Milestones!$AA$128)&gt;=$S149),$V149,$U149)))=Milestones!$AB$128),UPPER(TEXT(EDATE($D149,Milestones!$AA$128),"dd mmm yy"))&amp;" "&amp;Milestones!$AB$128&amp;" "&amp;Milestones!$AC$128&amp;";  ","")&amp;IF(AND(EDATE($D149,Milestones!$AA$129)&lt;=AsOfDate,IF($R149=0,$X149,IF(AND($T149&lt;&gt;"",EDATE($D149,Milestones!$AA$129)&gt;=$T149),$W149,IF(AND($S149&lt;&gt;"",EDATE($D149,Milestones!$AA$129)&gt;=$S149),$V149,$U149)))=Milestones!$AB$129),UPPER(TEXT(EDATE($D149,Milestones!$AA$129),"dd mmm yy"))&amp;" "&amp;Milestones!$AB$129&amp;" "&amp;Milestones!$AC$129&amp;";  ","")&amp;IF(AND(EDATE($D149,Milestones!$AA$130)&lt;=AsOfDate,IF($R149=0,$X149,IF(AND($T149&lt;&gt;"",EDATE($D149,Milestones!$AA$130)&gt;=$T149),$W149,IF(AND($S149&lt;&gt;"",EDATE($D149,Milestones!$AA$130)&gt;=$S149),$V149,$U149)))=Milestones!$AB$130),UPPER(TEXT(EDATE($D149,Milestones!$AA$130),"dd mmm yy"))&amp;" "&amp;Milestones!$AB$130&amp;" "&amp;Milestones!$AC$130&amp;";  ","")&amp;IF(AND(EDATE($D149,Milestones!$AA$131)&lt;=AsOfDate,IF($R149=0,$X149,IF(AND($T149&lt;&gt;"",EDATE($D149,Milestones!$AA$131)&gt;=$T149),$W149,IF(AND($S149&lt;&gt;"",EDATE($D149,Milestones!$AA$131)&gt;=$S149),$V149,$U149)))=Milestones!$AB$131),UPPER(TEXT(EDATE($D149,Milestones!$AA$131),"dd mmm yy"))&amp;" "&amp;Milestones!$AB$131&amp;" "&amp;Milestones!$AC$131&amp;";  ","")&amp;IF(AND(EDATE($D149,Milestones!$AA$132)&lt;=AsOfDate,IF($R149=0,$X149,IF(AND($T149&lt;&gt;"",EDATE($D149,Milestones!$AA$132)&gt;=$T149),$W149,IF(AND($S149&lt;&gt;"",EDATE($D149,Milestones!$AA$132)&gt;=$S149),$V149,$U149)))=Milestones!$AB$132),UPPER(TEXT(EDATE($D149,Milestones!$AA$132),"dd mmm yy"))&amp;" "&amp;Milestones!$AB$132&amp;" "&amp;Milestones!$AC$132&amp;";  ","")&amp;IF(AND(EDATE($D149,Milestones!$AA$133)&lt;=AsOfDate,IF($R149=0,$X149,IF(AND($T149&lt;&gt;"",EDATE($D149,Milestones!$AA$133)&gt;=$T149),$W149,IF(AND($S149&lt;&gt;"",EDATE($D149,Milestones!$AA$133)&gt;=$S149),$V149,$U149)))=Milestones!$AB$133),UPPER(TEXT(EDATE($D149,Milestones!$AA$133),"dd mmm yy"))&amp;" "&amp;Milestones!$AB$133&amp;" "&amp;Milestones!$AC$133&amp;";  ","")&amp;IF(AND(EDATE($D149,Milestones!$AA$134)&lt;=AsOfDate,IF($R149=0,$X149,IF(AND($T149&lt;&gt;"",EDATE($D149,Milestones!$AA$134)&gt;=$T149),$W149,IF(AND($S149&lt;&gt;"",EDATE($D149,Milestones!$AA$134)&gt;=$S149),$V149,$U149)))=Milestones!$AB$134),UPPER(TEXT(EDATE($D149,Milestones!$AA$134),"dd mmm yy"))&amp;" "&amp;Milestones!$AB$134&amp;" "&amp;Milestones!$AC$134&amp;";  ","")&amp;IF(AND(EDATE($D149,Milestones!$AA$135)&lt;=AsOfDate,IF($R149=0,$X149,IF(AND($T149&lt;&gt;"",EDATE($D149,Milestones!$AA$135)&gt;=$T149),$W149,IF(AND($S149&lt;&gt;"",EDATE($D149,Milestones!$AA$135)&gt;=$S149),$V149,$U149)))=Milestones!$AB$135),UPPER(TEXT(EDATE($D149,Milestones!$AA$135),"dd mmm yy"))&amp;" "&amp;Milestones!$AB$135&amp;" "&amp;Milestones!$AC$135&amp;";  ","")&amp;IF(AND(EDATE($D149,Milestones!$AA$136)&lt;=AsOfDate,IF($R149=0,$X149,IF(AND($T149&lt;&gt;"",EDATE($D149,Milestones!$AA$136)&gt;=$T149),$W149,IF(AND($S149&lt;&gt;"",EDATE($D149,Milestones!$AA$136)&gt;=$S149),$V149,$U149)))=Milestones!$AB$136),UPPER(TEXT(EDATE($D149,Milestones!$AA$136),"dd mmm yy"))&amp;" "&amp;Milestones!$AB$136&amp;" "&amp;Milestones!$AC$136&amp;";  ","")&amp;IF(AND(EDATE($D149,Milestones!$AA$137)&lt;=AsOfDate,IF($R149=0,$X149,IF(AND($T149&lt;&gt;"",EDATE($D149,Milestones!$AA$137)&gt;=$T149),$W149,IF(AND($S149&lt;&gt;"",EDATE($D149,Milestones!$AA$137)&gt;=$S149),$V149,$U149)))=Milestones!$AB$137),UPPER(TEXT(EDATE($D149,Milestones!$AA$137),"dd mmm yy"))&amp;" "&amp;Milestones!$AB$137&amp;" "&amp;Milestones!$AC$137&amp;";  ","")&amp;IF(AND(EDATE($D149,Milestones!$AA$138)&lt;=AsOfDate,IF($R149=0,$X149,IF(AND($T149&lt;&gt;"",EDATE($D149,Milestones!$AA$138)&gt;=$T149),$W149,IF(AND($S149&lt;&gt;"",EDATE($D149,Milestones!$AA$138)&gt;=$S149),$V149,$U149)))=Milestones!$AB$138),UPPER(TEXT(EDATE($D149,Milestones!$AA$138),"dd mmm yy"))&amp;" "&amp;Milestones!$AB$138&amp;" "&amp;Milestones!$AC$138&amp;";  ","")&amp;IF(AND(EDATE($D149,Milestones!$AA$139)&lt;=AsOfDate,IF($R149=0,$X149,IF(AND($T149&lt;&gt;"",EDATE($D149,Milestones!$AA$139)&gt;=$T149),$W149,IF(AND($S149&lt;&gt;"",EDATE($D149,Milestones!$AA$139)&gt;=$S149),$V149,$U149)))=Milestones!$AB$139),UPPER(TEXT(EDATE($D149,Milestones!$AA$139),"dd mmm yy"))&amp;" "&amp;Milestones!$AB$139&amp;" "&amp;Milestones!$AC$139&amp;";  ",""))</f>
        <v/>
      </c>
      <c r="O149" s="0" t="str">
        <f aca="false">IF(OR($A149="",$D149=""),"",IF(AND(EDATE($D149,Milestones!$AA$140)&lt;=AsOfDate,IF($R149=0,$X149,IF(AND($T149&lt;&gt;"",EDATE($D149,Milestones!$AA$140)&gt;=$T149),$W149,IF(AND($S149&lt;&gt;"",EDATE($D149,Milestones!$AA$140)&gt;=$S149),$V149,$U149)))=Milestones!$AB$140),UPPER(TEXT(EDATE($D149,Milestones!$AA$140),"dd mmm yy"))&amp;" "&amp;Milestones!$AB$140&amp;" "&amp;Milestones!$AC$140&amp;";  ","")&amp;IF(AND(EDATE($D149,Milestones!$AA$141)&lt;=AsOfDate,IF($R149=0,$X149,IF(AND($T149&lt;&gt;"",EDATE($D149,Milestones!$AA$141)&gt;=$T149),$W149,IF(AND($S149&lt;&gt;"",EDATE($D149,Milestones!$AA$141)&gt;=$S149),$V149,$U149)))=Milestones!$AB$141),UPPER(TEXT(EDATE($D149,Milestones!$AA$141),"dd mmm yy"))&amp;" "&amp;Milestones!$AB$141&amp;" "&amp;Milestones!$AC$141&amp;";  ","")&amp;IF(AND(EDATE($D149,Milestones!$AA$142)&lt;=AsOfDate,IF($R149=0,$X149,IF(AND($T149&lt;&gt;"",EDATE($D149,Milestones!$AA$142)&gt;=$T149),$W149,IF(AND($S149&lt;&gt;"",EDATE($D149,Milestones!$AA$142)&gt;=$S149),$V149,$U149)))=Milestones!$AB$142),UPPER(TEXT(EDATE($D149,Milestones!$AA$142),"dd mmm yy"))&amp;" "&amp;Milestones!$AB$142&amp;" "&amp;Milestones!$AC$142&amp;";  ","")&amp;IF(AND(EDATE($D149,Milestones!$AA$143)&lt;=AsOfDate,IF($R149=0,$X149,IF(AND($T149&lt;&gt;"",EDATE($D149,Milestones!$AA$143)&gt;=$T149),$W149,IF(AND($S149&lt;&gt;"",EDATE($D149,Milestones!$AA$143)&gt;=$S149),$V149,$U149)))=Milestones!$AB$143),UPPER(TEXT(EDATE($D149,Milestones!$AA$143),"dd mmm yy"))&amp;" "&amp;Milestones!$AB$143&amp;" "&amp;Milestones!$AC$143&amp;";  ","")&amp;IF(AND(EDATE($D149,Milestones!$AA$144)&lt;=AsOfDate,IF($R149=0,$X149,IF(AND($T149&lt;&gt;"",EDATE($D149,Milestones!$AA$144)&gt;=$T149),$W149,IF(AND($S149&lt;&gt;"",EDATE($D149,Milestones!$AA$144)&gt;=$S149),$V149,$U149)))=Milestones!$AB$144),UPPER(TEXT(EDATE($D149,Milestones!$AA$144),"dd mmm yy"))&amp;" "&amp;Milestones!$AB$144&amp;" "&amp;Milestones!$AC$144&amp;";  ","")&amp;IF(AND(EDATE($D149,Milestones!$AA$145)&lt;=AsOfDate,IF($R149=0,$X149,IF(AND($T149&lt;&gt;"",EDATE($D149,Milestones!$AA$145)&gt;=$T149),$W149,IF(AND($S149&lt;&gt;"",EDATE($D149,Milestones!$AA$145)&gt;=$S149),$V149,$U149)))=Milestones!$AB$145),UPPER(TEXT(EDATE($D149,Milestones!$AA$145),"dd mmm yy"))&amp;" "&amp;Milestones!$AB$145&amp;" "&amp;Milestones!$AC$145&amp;";  ","")&amp;IF(AND(EDATE($D149,Milestones!$AA$146)&lt;=AsOfDate,IF($R149=0,$X149,IF(AND($T149&lt;&gt;"",EDATE($D149,Milestones!$AA$146)&gt;=$T149),$W149,IF(AND($S149&lt;&gt;"",EDATE($D149,Milestones!$AA$146)&gt;=$S149),$V149,$U149)))=Milestones!$AB$146),UPPER(TEXT(EDATE($D149,Milestones!$AA$146),"dd mmm yy"))&amp;" "&amp;Milestones!$AB$146&amp;" "&amp;Milestones!$AC$146&amp;";  ","")&amp;IF(AND(EDATE($D149,Milestones!$AA$147)&lt;=AsOfDate,IF($R149=0,$X149,IF(AND($T149&lt;&gt;"",EDATE($D149,Milestones!$AA$147)&gt;=$T149),$W149,IF(AND($S149&lt;&gt;"",EDATE($D149,Milestones!$AA$147)&gt;=$S149),$V149,$U149)))=Milestones!$AB$147),UPPER(TEXT(EDATE($D149,Milestones!$AA$147),"dd mmm yy"))&amp;" "&amp;Milestones!$AB$147&amp;" "&amp;Milestones!$AC$147&amp;";  ","")&amp;IF(AND(EDATE($D149,Milestones!$AA$148)&lt;=AsOfDate,IF($R149=0,$X149,IF(AND($T149&lt;&gt;"",EDATE($D149,Milestones!$AA$148)&gt;=$T149),$W149,IF(AND($S149&lt;&gt;"",EDATE($D149,Milestones!$AA$148)&gt;=$S149),$V149,$U149)))=Milestones!$AB$148),UPPER(TEXT(EDATE($D149,Milestones!$AA$148),"dd mmm yy"))&amp;" "&amp;Milestones!$AB$148&amp;" "&amp;Milestones!$AC$148&amp;";  ","")&amp;IF(AND(EDATE($D149,Milestones!$AA$149)&lt;=AsOfDate,IF($R149=0,$X149,IF(AND($T149&lt;&gt;"",EDATE($D149,Milestones!$AA$149)&gt;=$T149),$W149,IF(AND($S149&lt;&gt;"",EDATE($D149,Milestones!$AA$149)&gt;=$S149),$V149,$U149)))=Milestones!$AB$149),UPPER(TEXT(EDATE($D149,Milestones!$AA$149),"dd mmm yy"))&amp;" "&amp;Milestones!$AB$149&amp;" "&amp;Milestones!$AC$149&amp;";  ","")&amp;IF(AND(EDATE($D149,Milestones!$AA$150)&lt;=AsOfDate,IF($R149=0,$X149,IF(AND($T149&lt;&gt;"",EDATE($D149,Milestones!$AA$150)&gt;=$T149),$W149,IF(AND($S149&lt;&gt;"",EDATE($D149,Milestones!$AA$150)&gt;=$S149),$V149,$U149)))=Milestones!$AB$150),UPPER(TEXT(EDATE($D149,Milestones!$AA$150),"dd mmm yy"))&amp;" "&amp;Milestones!$AB$150&amp;" "&amp;Milestones!$AC$150&amp;";  ","")&amp;IF(AND(EDATE($D149,Milestones!$AA$151)&lt;=AsOfDate,IF($R149=0,$X149,IF(AND($T149&lt;&gt;"",EDATE($D149,Milestones!$AA$151)&gt;=$T149),$W149,IF(AND($S149&lt;&gt;"",EDATE($D149,Milestones!$AA$151)&gt;=$S149),$V149,$U149)))=Milestones!$AB$151),UPPER(TEXT(EDATE($D149,Milestones!$AA$151),"dd mmm yy"))&amp;" "&amp;Milestones!$AB$151&amp;" "&amp;Milestones!$AC$151&amp;";  ","")&amp;IF(AND(EDATE($D149,Milestones!$AA$152)&lt;=AsOfDate,IF($R149=0,$X149,IF(AND($T149&lt;&gt;"",EDATE($D149,Milestones!$AA$152)&gt;=$T149),$W149,IF(AND($S149&lt;&gt;"",EDATE($D149,Milestones!$AA$152)&gt;=$S149),$V149,$U149)))=Milestones!$AB$152),UPPER(TEXT(EDATE($D149,Milestones!$AA$152),"dd mmm yy"))&amp;" "&amp;Milestones!$AB$152&amp;" "&amp;Milestones!$AC$152&amp;";  ","")&amp;IF(AND(EDATE($D149,Milestones!$AA$153)&lt;=AsOfDate,IF($R149=0,$X149,IF(AND($T149&lt;&gt;"",EDATE($D149,Milestones!$AA$153)&gt;=$T149),$W149,IF(AND($S149&lt;&gt;"",EDATE($D149,Milestones!$AA$153)&gt;=$S149),$V149,$U149)))=Milestones!$AB$153),UPPER(TEXT(EDATE($D149,Milestones!$AA$153),"dd mmm yy"))&amp;" "&amp;Milestones!$AB$153&amp;" "&amp;Milestones!$AC$153&amp;";  ","")&amp;IF(AND(EDATE($D149,Milestones!$AA$154)&lt;=AsOfDate,IF($R149=0,$X149,IF(AND($T149&lt;&gt;"",EDATE($D149,Milestones!$AA$154)&gt;=$T149),$W149,IF(AND($S149&lt;&gt;"",EDATE($D149,Milestones!$AA$154)&gt;=$S149),$V149,$U149)))=Milestones!$AB$154),UPPER(TEXT(EDATE($D149,Milestones!$AA$154),"dd mmm yy"))&amp;" "&amp;Milestones!$AB$154&amp;" "&amp;Milestones!$AC$154&amp;";  ","")&amp;IF(AND(EDATE($D149,Milestones!$AA$155)&lt;=AsOfDate,IF($R149=0,$X149,IF(AND($T149&lt;&gt;"",EDATE($D149,Milestones!$AA$155)&gt;=$T149),$W149,IF(AND($S149&lt;&gt;"",EDATE($D149,Milestones!$AA$155)&gt;=$S149),$V149,$U149)))=Milestones!$AB$155),UPPER(TEXT(EDATE($D149,Milestones!$AA$155),"dd mmm yy"))&amp;" "&amp;Milestones!$AB$155&amp;" "&amp;Milestones!$AC$155&amp;";  ","")&amp;IF(AND(EDATE($D149,Milestones!$AA$156)&lt;=AsOfDate,IF($R149=0,$X149,IF(AND($T149&lt;&gt;"",EDATE($D149,Milestones!$AA$156)&gt;=$T149),$W149,IF(AND($S149&lt;&gt;"",EDATE($D149,Milestones!$AA$156)&gt;=$S149),$V149,$U149)))=Milestones!$AB$156),UPPER(TEXT(EDATE($D149,Milestones!$AA$156),"dd mmm yy"))&amp;" "&amp;Milestones!$AB$156&amp;" "&amp;Milestones!$AC$156&amp;";  ","")&amp;IF(AND(EDATE($D149,Milestones!$AA$157)&lt;=AsOfDate,IF($R149=0,$X149,IF(AND($T149&lt;&gt;"",EDATE($D149,Milestones!$AA$157)&gt;=$T149),$W149,IF(AND($S149&lt;&gt;"",EDATE($D149,Milestones!$AA$157)&gt;=$S149),$V149,$U149)))=Milestones!$AB$157),UPPER(TEXT(EDATE($D149,Milestones!$AA$157),"dd mmm yy"))&amp;" "&amp;Milestones!$AB$157&amp;" "&amp;Milestones!$AC$157&amp;";  ","")&amp;IF(AND(EDATE($D149,Milestones!$AA$158)&lt;=AsOfDate,IF($R149=0,$X149,IF(AND($T149&lt;&gt;"",EDATE($D149,Milestones!$AA$158)&gt;=$T149),$W149,IF(AND($S149&lt;&gt;"",EDATE($D149,Milestones!$AA$158)&gt;=$S149),$V149,$U149)))=Milestones!$AB$158),UPPER(TEXT(EDATE($D149,Milestones!$AA$158),"dd mmm yy"))&amp;" "&amp;Milestones!$AB$158&amp;" "&amp;Milestones!$AC$158&amp;";  ","")&amp;IF(AND(EDATE($D149,Milestones!$AA$159)&lt;=AsOfDate,IF($R149=0,$X149,IF(AND($T149&lt;&gt;"",EDATE($D149,Milestones!$AA$159)&gt;=$T149),$W149,IF(AND($S149&lt;&gt;"",EDATE($D149,Milestones!$AA$159)&gt;=$S149),$V149,$U149)))=Milestones!$AB$159),UPPER(TEXT(EDATE($D149,Milestones!$AA$159),"dd mmm yy"))&amp;" "&amp;Milestones!$AB$159&amp;" "&amp;Milestones!$AC$159&amp;";  ",""))</f>
        <v/>
      </c>
      <c r="P149" s="0" t="str">
        <f aca="false">IF(OR($A149="",$D149=""),"",IF(AND(EDATE($D149,Milestones!$AA$160)&lt;=AsOfDate,IF($R149=0,$X149,IF(AND($T149&lt;&gt;"",EDATE($D149,Milestones!$AA$160)&gt;=$T149),$W149,IF(AND($S149&lt;&gt;"",EDATE($D149,Milestones!$AA$160)&gt;=$S149),$V149,$U149)))=Milestones!$AB$160),UPPER(TEXT(EDATE($D149,Milestones!$AA$160),"dd mmm yy"))&amp;" "&amp;Milestones!$AB$160&amp;" "&amp;Milestones!$AC$160&amp;";  ","")&amp;IF(AND(EDATE($D149,Milestones!$AA$161)&lt;=AsOfDate,IF($R149=0,$X149,IF(AND($T149&lt;&gt;"",EDATE($D149,Milestones!$AA$161)&gt;=$T149),$W149,IF(AND($S149&lt;&gt;"",EDATE($D149,Milestones!$AA$161)&gt;=$S149),$V149,$U149)))=Milestones!$AB$161),UPPER(TEXT(EDATE($D149,Milestones!$AA$161),"dd mmm yy"))&amp;" "&amp;Milestones!$AB$161&amp;" "&amp;Milestones!$AC$161&amp;";  ","")&amp;IF(AND(EDATE($D149,Milestones!$AA$162)&lt;=AsOfDate,IF($R149=0,$X149,IF(AND($T149&lt;&gt;"",EDATE($D149,Milestones!$AA$162)&gt;=$T149),$W149,IF(AND($S149&lt;&gt;"",EDATE($D149,Milestones!$AA$162)&gt;=$S149),$V149,$U149)))=Milestones!$AB$162),UPPER(TEXT(EDATE($D149,Milestones!$AA$162),"dd mmm yy"))&amp;" "&amp;Milestones!$AB$162&amp;" "&amp;Milestones!$AC$162&amp;";  ","")&amp;IF(AND(EDATE($D149,Milestones!$AA$163)&lt;=AsOfDate,IF($R149=0,$X149,IF(AND($T149&lt;&gt;"",EDATE($D149,Milestones!$AA$163)&gt;=$T149),$W149,IF(AND($S149&lt;&gt;"",EDATE($D149,Milestones!$AA$163)&gt;=$S149),$V149,$U149)))=Milestones!$AB$163),UPPER(TEXT(EDATE($D149,Milestones!$AA$163),"dd mmm yy"))&amp;" "&amp;Milestones!$AB$163&amp;" "&amp;Milestones!$AC$163&amp;";  ","")&amp;IF(AND(EDATE($D149,Milestones!$AA$164)&lt;=AsOfDate,IF($R149=0,$X149,IF(AND($T149&lt;&gt;"",EDATE($D149,Milestones!$AA$164)&gt;=$T149),$W149,IF(AND($S149&lt;&gt;"",EDATE($D149,Milestones!$AA$164)&gt;=$S149),$V149,$U149)))=Milestones!$AB$164),UPPER(TEXT(EDATE($D149,Milestones!$AA$164),"dd mmm yy"))&amp;" "&amp;Milestones!$AB$164&amp;" "&amp;Milestones!$AC$164&amp;";  ","")&amp;IF(AND(EDATE($D149,Milestones!$AA$165)&lt;=AsOfDate,IF($R149=0,$X149,IF(AND($T149&lt;&gt;"",EDATE($D149,Milestones!$AA$165)&gt;=$T149),$W149,IF(AND($S149&lt;&gt;"",EDATE($D149,Milestones!$AA$165)&gt;=$S149),$V149,$U149)))=Milestones!$AB$165),UPPER(TEXT(EDATE($D149,Milestones!$AA$165),"dd mmm yy"))&amp;" "&amp;Milestones!$AB$165&amp;" "&amp;Milestones!$AC$165&amp;";  ","")&amp;IF(AND(EDATE($D149,Milestones!$AA$166)&lt;=AsOfDate,IF($R149=0,$X149,IF(AND($T149&lt;&gt;"",EDATE($D149,Milestones!$AA$166)&gt;=$T149),$W149,IF(AND($S149&lt;&gt;"",EDATE($D149,Milestones!$AA$166)&gt;=$S149),$V149,$U149)))=Milestones!$AB$166),UPPER(TEXT(EDATE($D149,Milestones!$AA$166),"dd mmm yy"))&amp;" "&amp;Milestones!$AB$166&amp;" "&amp;Milestones!$AC$166&amp;";  ","")&amp;IF(AND(EDATE($D149,Milestones!$AA$167)&lt;=AsOfDate,IF($R149=0,$X149,IF(AND($T149&lt;&gt;"",EDATE($D149,Milestones!$AA$167)&gt;=$T149),$W149,IF(AND($S149&lt;&gt;"",EDATE($D149,Milestones!$AA$167)&gt;=$S149),$V149,$U149)))=Milestones!$AB$167),UPPER(TEXT(EDATE($D149,Milestones!$AA$167),"dd mmm yy"))&amp;" "&amp;Milestones!$AB$167&amp;" "&amp;Milestones!$AC$167&amp;";  ","")&amp;IF(AND(EDATE($D149,Milestones!$AA$168)&lt;=AsOfDate,IF($R149=0,$X149,IF(AND($T149&lt;&gt;"",EDATE($D149,Milestones!$AA$168)&gt;=$T149),$W149,IF(AND($S149&lt;&gt;"",EDATE($D149,Milestones!$AA$168)&gt;=$S149),$V149,$U149)))=Milestones!$AB$168),UPPER(TEXT(EDATE($D149,Milestones!$AA$168),"dd mmm yy"))&amp;" "&amp;Milestones!$AB$168&amp;" "&amp;Milestones!$AC$168&amp;";  ","")&amp;IF(AND(EDATE($D149,Milestones!$AA$169)&lt;=AsOfDate,IF($R149=0,$X149,IF(AND($T149&lt;&gt;"",EDATE($D149,Milestones!$AA$169)&gt;=$T149),$W149,IF(AND($S149&lt;&gt;"",EDATE($D149,Milestones!$AA$169)&gt;=$S149),$V149,$U149)))=Milestones!$AB$169),UPPER(TEXT(EDATE($D149,Milestones!$AA$169),"dd mmm yy"))&amp;" "&amp;Milestones!$AB$169&amp;" "&amp;Milestones!$AC$169&amp;";  ","")&amp;IF(AND(EDATE($D149,Milestones!$AA$170)&lt;=AsOfDate,IF($R149=0,$X149,IF(AND($T149&lt;&gt;"",EDATE($D149,Milestones!$AA$170)&gt;=$T149),$W149,IF(AND($S149&lt;&gt;"",EDATE($D149,Milestones!$AA$170)&gt;=$S149),$V149,$U149)))=Milestones!$AB$170),UPPER(TEXT(EDATE($D149,Milestones!$AA$170),"dd mmm yy"))&amp;" "&amp;Milestones!$AB$170&amp;" "&amp;Milestones!$AC$170&amp;";  ","")&amp;IF(AND(EDATE($D149,Milestones!$AA$171)&lt;=AsOfDate,IF($R149=0,$X149,IF(AND($T149&lt;&gt;"",EDATE($D149,Milestones!$AA$171)&gt;=$T149),$W149,IF(AND($S149&lt;&gt;"",EDATE($D149,Milestones!$AA$171)&gt;=$S149),$V149,$U149)))=Milestones!$AB$171),UPPER(TEXT(EDATE($D149,Milestones!$AA$171),"dd mmm yy"))&amp;" "&amp;Milestones!$AB$171&amp;" "&amp;Milestones!$AC$171&amp;";  ","")&amp;IF(AND(EDATE($D149,Milestones!$AA$172)&lt;=AsOfDate,IF($R149=0,$X149,IF(AND($T149&lt;&gt;"",EDATE($D149,Milestones!$AA$172)&gt;=$T149),$W149,IF(AND($S149&lt;&gt;"",EDATE($D149,Milestones!$AA$172)&gt;=$S149),$V149,$U149)))=Milestones!$AB$172),UPPER(TEXT(EDATE($D149,Milestones!$AA$172),"dd mmm yy"))&amp;" "&amp;Milestones!$AB$172&amp;" "&amp;Milestones!$AC$172&amp;";  ","")&amp;IF(AND(EDATE($D149,Milestones!$AA$173)&lt;=AsOfDate,IF($R149=0,$X149,IF(AND($T149&lt;&gt;"",EDATE($D149,Milestones!$AA$173)&gt;=$T149),$W149,IF(AND($S149&lt;&gt;"",EDATE($D149,Milestones!$AA$173)&gt;=$S149),$V149,$U149)))=Milestones!$AB$173),UPPER(TEXT(EDATE($D149,Milestones!$AA$173),"dd mmm yy"))&amp;" "&amp;Milestones!$AB$173&amp;" "&amp;Milestones!$AC$173&amp;";  ","")&amp;IF(AND(EDATE($D149,Milestones!$AA$174)&lt;=AsOfDate,IF($R149=0,$X149,IF(AND($T149&lt;&gt;"",EDATE($D149,Milestones!$AA$174)&gt;=$T149),$W149,IF(AND($S149&lt;&gt;"",EDATE($D149,Milestones!$AA$174)&gt;=$S149),$V149,$U149)))=Milestones!$AB$174),UPPER(TEXT(EDATE($D149,Milestones!$AA$174),"dd mmm yy"))&amp;" "&amp;Milestones!$AB$174&amp;" "&amp;Milestones!$AC$174&amp;";  ","")&amp;IF(AND(EDATE($D149,Milestones!$AA$175)&lt;=AsOfDate,IF($R149=0,$X149,IF(AND($T149&lt;&gt;"",EDATE($D149,Milestones!$AA$175)&gt;=$T149),$W149,IF(AND($S149&lt;&gt;"",EDATE($D149,Milestones!$AA$175)&gt;=$S149),$V149,$U149)))=Milestones!$AB$175),UPPER(TEXT(EDATE($D149,Milestones!$AA$175),"dd mmm yy"))&amp;" "&amp;Milestones!$AB$175&amp;" "&amp;Milestones!$AC$175&amp;";  ","")&amp;IF(AND(EDATE($D149,Milestones!$AA$176)&lt;=AsOfDate,IF($R149=0,$X149,IF(AND($T149&lt;&gt;"",EDATE($D149,Milestones!$AA$176)&gt;=$T149),$W149,IF(AND($S149&lt;&gt;"",EDATE($D149,Milestones!$AA$176)&gt;=$S149),$V149,$U149)))=Milestones!$AB$176),UPPER(TEXT(EDATE($D149,Milestones!$AA$176),"dd mmm yy"))&amp;" "&amp;Milestones!$AB$176&amp;" "&amp;Milestones!$AC$176&amp;";  ","")&amp;IF(AND(EDATE($D149,Milestones!$AA$177)&lt;=AsOfDate,IF($R149=0,$X149,IF(AND($T149&lt;&gt;"",EDATE($D149,Milestones!$AA$177)&gt;=$T149),$W149,IF(AND($S149&lt;&gt;"",EDATE($D149,Milestones!$AA$177)&gt;=$S149),$V149,$U149)))=Milestones!$AB$177),UPPER(TEXT(EDATE($D149,Milestones!$AA$177),"dd mmm yy"))&amp;" "&amp;Milestones!$AB$177&amp;" "&amp;Milestones!$AC$177&amp;";  ","")&amp;IF(AND(EDATE($D149,Milestones!$AA$178)&lt;=AsOfDate,IF($R149=0,$X149,IF(AND($T149&lt;&gt;"",EDATE($D149,Milestones!$AA$178)&gt;=$T149),$W149,IF(AND($S149&lt;&gt;"",EDATE($D149,Milestones!$AA$178)&gt;=$S149),$V149,$U149)))=Milestones!$AB$178),UPPER(TEXT(EDATE($D149,Milestones!$AA$178),"dd mmm yy"))&amp;" "&amp;Milestones!$AB$178&amp;" "&amp;Milestones!$AC$178&amp;";  ","")&amp;IF(AND(EDATE($D149,Milestones!$AA$179)&lt;=AsOfDate,IF($R149=0,$X149,IF(AND($T149&lt;&gt;"",EDATE($D149,Milestones!$AA$179)&gt;=$T149),$W149,IF(AND($S149&lt;&gt;"",EDATE($D149,Milestones!$AA$179)&gt;=$S149),$V149,$U149)))=Milestones!$AB$179),UPPER(TEXT(EDATE($D149,Milestones!$AA$179),"dd mmm yy"))&amp;" "&amp;Milestones!$AB$179&amp;" "&amp;Milestones!$AC$179&amp;";  ",""))</f>
        <v/>
      </c>
      <c r="Q149" s="0" t="str">
        <f aca="false">IF(OR($A149="",$D149=""),"",IF(AND(EDATE($D149,Milestones!$AA$180)&lt;=AsOfDate,IF($R149=0,$X149,IF(AND($T149&lt;&gt;"",EDATE($D149,Milestones!$AA$180)&gt;=$T149),$W149,IF(AND($S149&lt;&gt;"",EDATE($D149,Milestones!$AA$180)&gt;=$S149),$V149,$U149)))=Milestones!$AB$180),UPPER(TEXT(EDATE($D149,Milestones!$AA$180),"dd mmm yy"))&amp;" "&amp;Milestones!$AB$180&amp;" "&amp;Milestones!$AC$180&amp;";  ","")&amp;IF(AND(EDATE($D149,Milestones!$AA$181)&lt;=AsOfDate,IF($R149=0,$X149,IF(AND($T149&lt;&gt;"",EDATE($D149,Milestones!$AA$181)&gt;=$T149),$W149,IF(AND($S149&lt;&gt;"",EDATE($D149,Milestones!$AA$181)&gt;=$S149),$V149,$U149)))=Milestones!$AB$181),UPPER(TEXT(EDATE($D149,Milestones!$AA$181),"dd mmm yy"))&amp;" "&amp;Milestones!$AB$181&amp;" "&amp;Milestones!$AC$181&amp;";  ","")&amp;IF(AND(EDATE($D149,Milestones!$AA$182)&lt;=AsOfDate,IF($R149=0,$X149,IF(AND($T149&lt;&gt;"",EDATE($D149,Milestones!$AA$182)&gt;=$T149),$W149,IF(AND($S149&lt;&gt;"",EDATE($D149,Milestones!$AA$182)&gt;=$S149),$V149,$U149)))=Milestones!$AB$182),UPPER(TEXT(EDATE($D149,Milestones!$AA$182),"dd mmm yy"))&amp;" "&amp;Milestones!$AB$182&amp;" "&amp;Milestones!$AC$182&amp;";  ","")&amp;IF(AND(EDATE($D149,Milestones!$AA$183)&lt;=AsOfDate,IF($R149=0,$X149,IF(AND($T149&lt;&gt;"",EDATE($D149,Milestones!$AA$183)&gt;=$T149),$W149,IF(AND($S149&lt;&gt;"",EDATE($D149,Milestones!$AA$183)&gt;=$S149),$V149,$U149)))=Milestones!$AB$183),UPPER(TEXT(EDATE($D149,Milestones!$AA$183),"dd mmm yy"))&amp;" "&amp;Milestones!$AB$183&amp;" "&amp;Milestones!$AC$183&amp;";  ","")&amp;IF(AND(EDATE($D149,Milestones!$AA$184)&lt;=AsOfDate,IF($R149=0,$X149,IF(AND($T149&lt;&gt;"",EDATE($D149,Milestones!$AA$184)&gt;=$T149),$W149,IF(AND($S149&lt;&gt;"",EDATE($D149,Milestones!$AA$184)&gt;=$S149),$V149,$U149)))=Milestones!$AB$184),UPPER(TEXT(EDATE($D149,Milestones!$AA$184),"dd mmm yy"))&amp;" "&amp;Milestones!$AB$184&amp;" "&amp;Milestones!$AC$184&amp;";  ","")&amp;IF(AND(EDATE($D149,Milestones!$AA$185)&lt;=AsOfDate,IF($R149=0,$X149,IF(AND($T149&lt;&gt;"",EDATE($D149,Milestones!$AA$185)&gt;=$T149),$W149,IF(AND($S149&lt;&gt;"",EDATE($D149,Milestones!$AA$185)&gt;=$S149),$V149,$U149)))=Milestones!$AB$185),UPPER(TEXT(EDATE($D149,Milestones!$AA$185),"dd mmm yy"))&amp;" "&amp;Milestones!$AB$185&amp;" "&amp;Milestones!$AC$185&amp;";  ","")&amp;IF(AND(EDATE($D149,Milestones!$AA$186)&lt;=AsOfDate,IF($R149=0,$X149,IF(AND($T149&lt;&gt;"",EDATE($D149,Milestones!$AA$186)&gt;=$T149),$W149,IF(AND($S149&lt;&gt;"",EDATE($D149,Milestones!$AA$186)&gt;=$S149),$V149,$U149)))=Milestones!$AB$186),UPPER(TEXT(EDATE($D149,Milestones!$AA$186),"dd mmm yy"))&amp;" "&amp;Milestones!$AB$186&amp;" "&amp;Milestones!$AC$186&amp;";  ","")&amp;IF(AND(EDATE($D149,Milestones!$AA$187)&lt;=AsOfDate,IF($R149=0,$X149,IF(AND($T149&lt;&gt;"",EDATE($D149,Milestones!$AA$187)&gt;=$T149),$W149,IF(AND($S149&lt;&gt;"",EDATE($D149,Milestones!$AA$187)&gt;=$S149),$V149,$U149)))=Milestones!$AB$187),UPPER(TEXT(EDATE($D149,Milestones!$AA$187),"dd mmm yy"))&amp;" "&amp;Milestones!$AB$187&amp;" "&amp;Milestones!$AC$187&amp;";  ","")&amp;IF(AND(EDATE($D149,Milestones!$AA$188)&lt;=AsOfDate,IF($R149=0,$X149,IF(AND($T149&lt;&gt;"",EDATE($D149,Milestones!$AA$188)&gt;=$T149),$W149,IF(AND($S149&lt;&gt;"",EDATE($D149,Milestones!$AA$188)&gt;=$S149),$V149,$U149)))=Milestones!$AB$188),UPPER(TEXT(EDATE($D149,Milestones!$AA$188),"dd mmm yy"))&amp;" "&amp;Milestones!$AB$188&amp;" "&amp;Milestones!$AC$188&amp;";  ","")&amp;IF(AND(EDATE($D149,Milestones!$AA$189)&lt;=AsOfDate,IF($R149=0,$X149,IF(AND($T149&lt;&gt;"",EDATE($D149,Milestones!$AA$189)&gt;=$T149),$W149,IF(AND($S149&lt;&gt;"",EDATE($D149,Milestones!$AA$189)&gt;=$S149),$V149,$U149)))=Milestones!$AB$189),UPPER(TEXT(EDATE($D149,Milestones!$AA$189),"dd mmm yy"))&amp;" "&amp;Milestones!$AB$189&amp;" "&amp;Milestones!$AC$189&amp;";  ","")&amp;IF(AND(EDATE($D149,Milestones!$AA$190)&lt;=AsOfDate,IF($R149=0,$X149,IF(AND($T149&lt;&gt;"",EDATE($D149,Milestones!$AA$190)&gt;=$T149),$W149,IF(AND($S149&lt;&gt;"",EDATE($D149,Milestones!$AA$190)&gt;=$S149),$V149,$U149)))=Milestones!$AB$190),UPPER(TEXT(EDATE($D149,Milestones!$AA$190),"dd mmm yy"))&amp;" "&amp;Milestones!$AB$190&amp;" "&amp;Milestones!$AC$190&amp;";  ","")&amp;IF(AND(EDATE($D149,Milestones!$AA$191)&lt;=AsOfDate,IF($R149=0,$X149,IF(AND($T149&lt;&gt;"",EDATE($D149,Milestones!$AA$191)&gt;=$T149),$W149,IF(AND($S149&lt;&gt;"",EDATE($D149,Milestones!$AA$191)&gt;=$S149),$V149,$U149)))=Milestones!$AB$191),UPPER(TEXT(EDATE($D149,Milestones!$AA$191),"dd mmm yy"))&amp;" "&amp;Milestones!$AB$191&amp;" "&amp;Milestones!$AC$191&amp;";  ","")&amp;IF(AND(EDATE($D149,Milestones!$AA$192)&lt;=AsOfDate,IF($R149=0,$X149,IF(AND($T149&lt;&gt;"",EDATE($D149,Milestones!$AA$192)&gt;=$T149),$W149,IF(AND($S149&lt;&gt;"",EDATE($D149,Milestones!$AA$192)&gt;=$S149),$V149,$U149)))=Milestones!$AB$192),UPPER(TEXT(EDATE($D149,Milestones!$AA$192),"dd mmm yy"))&amp;" "&amp;Milestones!$AB$192&amp;" "&amp;Milestones!$AC$192&amp;";  ","")&amp;IF(AND(EDATE($D149,Milestones!$AA$193)&lt;=AsOfDate,IF($R149=0,$X149,IF(AND($T149&lt;&gt;"",EDATE($D149,Milestones!$AA$193)&gt;=$T149),$W149,IF(AND($S149&lt;&gt;"",EDATE($D149,Milestones!$AA$193)&gt;=$S149),$V149,$U149)))=Milestones!$AB$193),UPPER(TEXT(EDATE($D149,Milestones!$AA$193),"dd mmm yy"))&amp;" "&amp;Milestones!$AB$193&amp;" "&amp;Milestones!$AC$193&amp;";  ","")&amp;IF(AND(EDATE($D149,Milestones!$AA$194)&lt;=AsOfDate,IF($R149=0,$X149,IF(AND($T149&lt;&gt;"",EDATE($D149,Milestones!$AA$194)&gt;=$T149),$W149,IF(AND($S149&lt;&gt;"",EDATE($D149,Milestones!$AA$194)&gt;=$S149),$V149,$U149)))=Milestones!$AB$194),UPPER(TEXT(EDATE($D149,Milestones!$AA$194),"dd mmm yy"))&amp;" "&amp;Milestones!$AB$194&amp;" "&amp;Milestones!$AC$194&amp;";  ","")&amp;IF(AND(EDATE($D149,Milestones!$AA$195)&lt;=AsOfDate,IF($R149=0,$X149,IF(AND($T149&lt;&gt;"",EDATE($D149,Milestones!$AA$195)&gt;=$T149),$W149,IF(AND($S149&lt;&gt;"",EDATE($D149,Milestones!$AA$195)&gt;=$S149),$V149,$U149)))=Milestones!$AB$195),UPPER(TEXT(EDATE($D149,Milestones!$AA$195),"dd mmm yy"))&amp;" "&amp;Milestones!$AB$195&amp;" "&amp;Milestones!$AC$195&amp;";  ","")&amp;IF(AND(EDATE($D149,Milestones!$AA$196)&lt;=AsOfDate,IF($R149=0,$X149,IF(AND($T149&lt;&gt;"",EDATE($D149,Milestones!$AA$196)&gt;=$T149),$W149,IF(AND($S149&lt;&gt;"",EDATE($D149,Milestones!$AA$196)&gt;=$S149),$V149,$U149)))=Milestones!$AB$196),UPPER(TEXT(EDATE($D149,Milestones!$AA$196),"dd mmm yy"))&amp;" "&amp;Milestones!$AB$196&amp;" "&amp;Milestones!$AC$196&amp;";  ","")&amp;IF(AND(EDATE($D149,Milestones!$AA$197)&lt;=AsOfDate,IF($R149=0,$X149,IF(AND($T149&lt;&gt;"",EDATE($D149,Milestones!$AA$197)&gt;=$T149),$W149,IF(AND($S149&lt;&gt;"",EDATE($D149,Milestones!$AA$197)&gt;=$S149),$V149,$U149)))=Milestones!$AB$197),UPPER(TEXT(EDATE($D149,Milestones!$AA$197),"dd mmm yy"))&amp;" "&amp;Milestones!$AB$197&amp;" "&amp;Milestones!$AC$197&amp;";  ","")&amp;IF(AND(EDATE($D149,Milestones!$AA$198)&lt;=AsOfDate,IF($R149=0,$X149,IF(AND($T149&lt;&gt;"",EDATE($D149,Milestones!$AA$198)&gt;=$T149),$W149,IF(AND($S149&lt;&gt;"",EDATE($D149,Milestones!$AA$198)&gt;=$S149),$V149,$U149)))=Milestones!$AB$198),UPPER(TEXT(EDATE($D149,Milestones!$AA$198),"dd mmm yy"))&amp;" "&amp;Milestones!$AB$198&amp;" "&amp;Milestones!$AC$198&amp;";  ","")&amp;IF(AND(EDATE($D149,Milestones!$AA$199)&lt;=AsOfDate,IF($R149=0,$X149,IF(AND($T149&lt;&gt;"",EDATE($D149,Milestones!$AA$199)&gt;=$T149),$W149,IF(AND($S149&lt;&gt;"",EDATE($D149,Milestones!$AA$199)&gt;=$S149),$V149,$U149)))=Milestones!$AB$199),UPPER(TEXT(EDATE($D149,Milestones!$AA$199),"dd mmm yy"))&amp;" "&amp;Milestones!$AB$199&amp;" "&amp;Milestones!$AC$199&amp;";  ",""))</f>
        <v/>
      </c>
      <c r="R149" s="0" t="str">
        <f aca="false">IF(Staff!$A149="","",Staff!$AI149)</f>
        <v/>
      </c>
      <c r="S149" s="0" t="str">
        <f aca="false">IF(Staff!$A149="","",Staff!$AK149)</f>
        <v/>
      </c>
      <c r="T149" s="0" t="str">
        <f aca="false">IF(Staff!$A149="","",Staff!$AL149)</f>
        <v/>
      </c>
      <c r="U149" s="0" t="str">
        <f aca="false">IF(Staff!$A149="","",Staff!$AP149)</f>
        <v/>
      </c>
      <c r="V149" s="0" t="str">
        <f aca="false">IF(Staff!$A149="","",Staff!$AQ149)</f>
        <v/>
      </c>
      <c r="W149" s="0" t="str">
        <f aca="false">IF(Staff!$A149="","",Staff!$AR149)</f>
        <v/>
      </c>
      <c r="X149" s="0" t="str">
        <f aca="false">IF(Staff!$A149="","",Staff!$AS149)</f>
        <v/>
      </c>
    </row>
    <row r="150" customFormat="false" ht="15" hidden="false" customHeight="false" outlineLevel="0" collapsed="false">
      <c r="A150" s="19" t="str">
        <f aca="false">IF(Staff!$A150="","",Staff!$A150)</f>
        <v/>
      </c>
      <c r="B150" s="19" t="str">
        <f aca="false">IF(Staff!$A150="","",Staff!$B150)</f>
        <v/>
      </c>
      <c r="C150" s="19" t="str">
        <f aca="false">IF(Staff!$A150="","",Staff!$C150)</f>
        <v/>
      </c>
      <c r="D150" s="17" t="str">
        <f aca="false">IF(Staff!$A150="","",Staff!$AH150)</f>
        <v/>
      </c>
      <c r="E150" s="19" t="str">
        <f aca="false">IF(Staff!$A150="","",Staff!$O150)</f>
        <v/>
      </c>
      <c r="F150" s="19" t="str">
        <f aca="false">IF(E150="","",E150*HoursPerDay)</f>
        <v/>
      </c>
      <c r="G150" s="19" t="str">
        <f aca="false">IF(Staff!$A150="","",Staff!$AE150)</f>
        <v/>
      </c>
      <c r="H150" s="32" t="str">
        <f aca="false">IF($A150="","",I150&amp;J150&amp;K150&amp;L150&amp;M150&amp;N150&amp;O150&amp;P150&amp;Q150)</f>
        <v/>
      </c>
      <c r="I150" s="0" t="str">
        <f aca="false">IF(OR($A150="",$D150=""),"",IF(AND(EDATE($D150,Milestones!$AA$20)&lt;=AsOfDate,IF($R150=0,$X150,IF(AND($T150&lt;&gt;"",EDATE($D150,Milestones!$AA$20)&gt;=$T150),$W150,IF(AND($S150&lt;&gt;"",EDATE($D150,Milestones!$AA$20)&gt;=$S150),$V150,$U150)))=Milestones!$AB$20),UPPER(TEXT(EDATE($D150,Milestones!$AA$20),"dd mmm yy"))&amp;" "&amp;Milestones!$AB$20&amp;" "&amp;Milestones!$AC$20&amp;";  ","")&amp;IF(AND(EDATE($D150,Milestones!$AA$21)&lt;=AsOfDate,IF($R150=0,$X150,IF(AND($T150&lt;&gt;"",EDATE($D150,Milestones!$AA$21)&gt;=$T150),$W150,IF(AND($S150&lt;&gt;"",EDATE($D150,Milestones!$AA$21)&gt;=$S150),$V150,$U150)))=Milestones!$AB$21),UPPER(TEXT(EDATE($D150,Milestones!$AA$21),"dd mmm yy"))&amp;" "&amp;Milestones!$AB$21&amp;" "&amp;Milestones!$AC$21&amp;";  ","")&amp;IF(AND(EDATE($D150,Milestones!$AA$22)&lt;=AsOfDate,IF($R150=0,$X150,IF(AND($T150&lt;&gt;"",EDATE($D150,Milestones!$AA$22)&gt;=$T150),$W150,IF(AND($S150&lt;&gt;"",EDATE($D150,Milestones!$AA$22)&gt;=$S150),$V150,$U150)))=Milestones!$AB$22),UPPER(TEXT(EDATE($D150,Milestones!$AA$22),"dd mmm yy"))&amp;" "&amp;Milestones!$AB$22&amp;" "&amp;Milestones!$AC$22&amp;";  ","")&amp;IF(AND(EDATE($D150,Milestones!$AA$23)&lt;=AsOfDate,IF($R150=0,$X150,IF(AND($T150&lt;&gt;"",EDATE($D150,Milestones!$AA$23)&gt;=$T150),$W150,IF(AND($S150&lt;&gt;"",EDATE($D150,Milestones!$AA$23)&gt;=$S150),$V150,$U150)))=Milestones!$AB$23),UPPER(TEXT(EDATE($D150,Milestones!$AA$23),"dd mmm yy"))&amp;" "&amp;Milestones!$AB$23&amp;" "&amp;Milestones!$AC$23&amp;";  ","")&amp;IF(AND(EDATE($D150,Milestones!$AA$24)&lt;=AsOfDate,IF($R150=0,$X150,IF(AND($T150&lt;&gt;"",EDATE($D150,Milestones!$AA$24)&gt;=$T150),$W150,IF(AND($S150&lt;&gt;"",EDATE($D150,Milestones!$AA$24)&gt;=$S150),$V150,$U150)))=Milestones!$AB$24),UPPER(TEXT(EDATE($D150,Milestones!$AA$24),"dd mmm yy"))&amp;" "&amp;Milestones!$AB$24&amp;" "&amp;Milestones!$AC$24&amp;";  ","")&amp;IF(AND(EDATE($D150,Milestones!$AA$25)&lt;=AsOfDate,IF($R150=0,$X150,IF(AND($T150&lt;&gt;"",EDATE($D150,Milestones!$AA$25)&gt;=$T150),$W150,IF(AND($S150&lt;&gt;"",EDATE($D150,Milestones!$AA$25)&gt;=$S150),$V150,$U150)))=Milestones!$AB$25),UPPER(TEXT(EDATE($D150,Milestones!$AA$25),"dd mmm yy"))&amp;" "&amp;Milestones!$AB$25&amp;" "&amp;Milestones!$AC$25&amp;";  ","")&amp;IF(AND(EDATE($D150,Milestones!$AA$26)&lt;=AsOfDate,IF($R150=0,$X150,IF(AND($T150&lt;&gt;"",EDATE($D150,Milestones!$AA$26)&gt;=$T150),$W150,IF(AND($S150&lt;&gt;"",EDATE($D150,Milestones!$AA$26)&gt;=$S150),$V150,$U150)))=Milestones!$AB$26),UPPER(TEXT(EDATE($D150,Milestones!$AA$26),"dd mmm yy"))&amp;" "&amp;Milestones!$AB$26&amp;" "&amp;Milestones!$AC$26&amp;";  ","")&amp;IF(AND(EDATE($D150,Milestones!$AA$27)&lt;=AsOfDate,IF($R150=0,$X150,IF(AND($T150&lt;&gt;"",EDATE($D150,Milestones!$AA$27)&gt;=$T150),$W150,IF(AND($S150&lt;&gt;"",EDATE($D150,Milestones!$AA$27)&gt;=$S150),$V150,$U150)))=Milestones!$AB$27),UPPER(TEXT(EDATE($D150,Milestones!$AA$27),"dd mmm yy"))&amp;" "&amp;Milestones!$AB$27&amp;" "&amp;Milestones!$AC$27&amp;";  ","")&amp;IF(AND(EDATE($D150,Milestones!$AA$28)&lt;=AsOfDate,IF($R150=0,$X150,IF(AND($T150&lt;&gt;"",EDATE($D150,Milestones!$AA$28)&gt;=$T150),$W150,IF(AND($S150&lt;&gt;"",EDATE($D150,Milestones!$AA$28)&gt;=$S150),$V150,$U150)))=Milestones!$AB$28),UPPER(TEXT(EDATE($D150,Milestones!$AA$28),"dd mmm yy"))&amp;" "&amp;Milestones!$AB$28&amp;" "&amp;Milestones!$AC$28&amp;";  ","")&amp;IF(AND(EDATE($D150,Milestones!$AA$29)&lt;=AsOfDate,IF($R150=0,$X150,IF(AND($T150&lt;&gt;"",EDATE($D150,Milestones!$AA$29)&gt;=$T150),$W150,IF(AND($S150&lt;&gt;"",EDATE($D150,Milestones!$AA$29)&gt;=$S150),$V150,$U150)))=Milestones!$AB$29),UPPER(TEXT(EDATE($D150,Milestones!$AA$29),"dd mmm yy"))&amp;" "&amp;Milestones!$AB$29&amp;" "&amp;Milestones!$AC$29&amp;";  ","")&amp;IF(AND(EDATE($D150,Milestones!$AA$30)&lt;=AsOfDate,IF($R150=0,$X150,IF(AND($T150&lt;&gt;"",EDATE($D150,Milestones!$AA$30)&gt;=$T150),$W150,IF(AND($S150&lt;&gt;"",EDATE($D150,Milestones!$AA$30)&gt;=$S150),$V150,$U150)))=Milestones!$AB$30),UPPER(TEXT(EDATE($D150,Milestones!$AA$30),"dd mmm yy"))&amp;" "&amp;Milestones!$AB$30&amp;" "&amp;Milestones!$AC$30&amp;";  ","")&amp;IF(AND(EDATE($D150,Milestones!$AA$31)&lt;=AsOfDate,IF($R150=0,$X150,IF(AND($T150&lt;&gt;"",EDATE($D150,Milestones!$AA$31)&gt;=$T150),$W150,IF(AND($S150&lt;&gt;"",EDATE($D150,Milestones!$AA$31)&gt;=$S150),$V150,$U150)))=Milestones!$AB$31),UPPER(TEXT(EDATE($D150,Milestones!$AA$31),"dd mmm yy"))&amp;" "&amp;Milestones!$AB$31&amp;" "&amp;Milestones!$AC$31&amp;";  ","")&amp;IF(AND(EDATE($D150,Milestones!$AA$32)&lt;=AsOfDate,IF($R150=0,$X150,IF(AND($T150&lt;&gt;"",EDATE($D150,Milestones!$AA$32)&gt;=$T150),$W150,IF(AND($S150&lt;&gt;"",EDATE($D150,Milestones!$AA$32)&gt;=$S150),$V150,$U150)))=Milestones!$AB$32),UPPER(TEXT(EDATE($D150,Milestones!$AA$32),"dd mmm yy"))&amp;" "&amp;Milestones!$AB$32&amp;" "&amp;Milestones!$AC$32&amp;";  ","")&amp;IF(AND(EDATE($D150,Milestones!$AA$33)&lt;=AsOfDate,IF($R150=0,$X150,IF(AND($T150&lt;&gt;"",EDATE($D150,Milestones!$AA$33)&gt;=$T150),$W150,IF(AND($S150&lt;&gt;"",EDATE($D150,Milestones!$AA$33)&gt;=$S150),$V150,$U150)))=Milestones!$AB$33),UPPER(TEXT(EDATE($D150,Milestones!$AA$33),"dd mmm yy"))&amp;" "&amp;Milestones!$AB$33&amp;" "&amp;Milestones!$AC$33&amp;";  ","")&amp;IF(AND(EDATE($D150,Milestones!$AA$34)&lt;=AsOfDate,IF($R150=0,$X150,IF(AND($T150&lt;&gt;"",EDATE($D150,Milestones!$AA$34)&gt;=$T150),$W150,IF(AND($S150&lt;&gt;"",EDATE($D150,Milestones!$AA$34)&gt;=$S150),$V150,$U150)))=Milestones!$AB$34),UPPER(TEXT(EDATE($D150,Milestones!$AA$34),"dd mmm yy"))&amp;" "&amp;Milestones!$AB$34&amp;" "&amp;Milestones!$AC$34&amp;";  ","")&amp;IF(AND(EDATE($D150,Milestones!$AA$35)&lt;=AsOfDate,IF($R150=0,$X150,IF(AND($T150&lt;&gt;"",EDATE($D150,Milestones!$AA$35)&gt;=$T150),$W150,IF(AND($S150&lt;&gt;"",EDATE($D150,Milestones!$AA$35)&gt;=$S150),$V150,$U150)))=Milestones!$AB$35),UPPER(TEXT(EDATE($D150,Milestones!$AA$35),"dd mmm yy"))&amp;" "&amp;Milestones!$AB$35&amp;" "&amp;Milestones!$AC$35&amp;";  ","")&amp;IF(AND(EDATE($D150,Milestones!$AA$36)&lt;=AsOfDate,IF($R150=0,$X150,IF(AND($T150&lt;&gt;"",EDATE($D150,Milestones!$AA$36)&gt;=$T150),$W150,IF(AND($S150&lt;&gt;"",EDATE($D150,Milestones!$AA$36)&gt;=$S150),$V150,$U150)))=Milestones!$AB$36),UPPER(TEXT(EDATE($D150,Milestones!$AA$36),"dd mmm yy"))&amp;" "&amp;Milestones!$AB$36&amp;" "&amp;Milestones!$AC$36&amp;";  ","")&amp;IF(AND(EDATE($D150,Milestones!$AA$37)&lt;=AsOfDate,IF($R150=0,$X150,IF(AND($T150&lt;&gt;"",EDATE($D150,Milestones!$AA$37)&gt;=$T150),$W150,IF(AND($S150&lt;&gt;"",EDATE($D150,Milestones!$AA$37)&gt;=$S150),$V150,$U150)))=Milestones!$AB$37),UPPER(TEXT(EDATE($D150,Milestones!$AA$37),"dd mmm yy"))&amp;" "&amp;Milestones!$AB$37&amp;" "&amp;Milestones!$AC$37&amp;";  ","")&amp;IF(AND(EDATE($D150,Milestones!$AA$38)&lt;=AsOfDate,IF($R150=0,$X150,IF(AND($T150&lt;&gt;"",EDATE($D150,Milestones!$AA$38)&gt;=$T150),$W150,IF(AND($S150&lt;&gt;"",EDATE($D150,Milestones!$AA$38)&gt;=$S150),$V150,$U150)))=Milestones!$AB$38),UPPER(TEXT(EDATE($D150,Milestones!$AA$38),"dd mmm yy"))&amp;" "&amp;Milestones!$AB$38&amp;" "&amp;Milestones!$AC$38&amp;";  ","")&amp;IF(AND(EDATE($D150,Milestones!$AA$39)&lt;=AsOfDate,IF($R150=0,$X150,IF(AND($T150&lt;&gt;"",EDATE($D150,Milestones!$AA$39)&gt;=$T150),$W150,IF(AND($S150&lt;&gt;"",EDATE($D150,Milestones!$AA$39)&gt;=$S150),$V150,$U150)))=Milestones!$AB$39),UPPER(TEXT(EDATE($D150,Milestones!$AA$39),"dd mmm yy"))&amp;" "&amp;Milestones!$AB$39&amp;" "&amp;Milestones!$AC$39&amp;";  ",""))</f>
        <v/>
      </c>
      <c r="J150" s="0" t="str">
        <f aca="false">IF(OR($A150="",$D150=""),"",IF(AND(EDATE($D150,Milestones!$AA$40)&lt;=AsOfDate,IF($R150=0,$X150,IF(AND($T150&lt;&gt;"",EDATE($D150,Milestones!$AA$40)&gt;=$T150),$W150,IF(AND($S150&lt;&gt;"",EDATE($D150,Milestones!$AA$40)&gt;=$S150),$V150,$U150)))=Milestones!$AB$40),UPPER(TEXT(EDATE($D150,Milestones!$AA$40),"dd mmm yy"))&amp;" "&amp;Milestones!$AB$40&amp;" "&amp;Milestones!$AC$40&amp;";  ","")&amp;IF(AND(EDATE($D150,Milestones!$AA$41)&lt;=AsOfDate,IF($R150=0,$X150,IF(AND($T150&lt;&gt;"",EDATE($D150,Milestones!$AA$41)&gt;=$T150),$W150,IF(AND($S150&lt;&gt;"",EDATE($D150,Milestones!$AA$41)&gt;=$S150),$V150,$U150)))=Milestones!$AB$41),UPPER(TEXT(EDATE($D150,Milestones!$AA$41),"dd mmm yy"))&amp;" "&amp;Milestones!$AB$41&amp;" "&amp;Milestones!$AC$41&amp;";  ","")&amp;IF(AND(EDATE($D150,Milestones!$AA$42)&lt;=AsOfDate,IF($R150=0,$X150,IF(AND($T150&lt;&gt;"",EDATE($D150,Milestones!$AA$42)&gt;=$T150),$W150,IF(AND($S150&lt;&gt;"",EDATE($D150,Milestones!$AA$42)&gt;=$S150),$V150,$U150)))=Milestones!$AB$42),UPPER(TEXT(EDATE($D150,Milestones!$AA$42),"dd mmm yy"))&amp;" "&amp;Milestones!$AB$42&amp;" "&amp;Milestones!$AC$42&amp;";  ","")&amp;IF(AND(EDATE($D150,Milestones!$AA$43)&lt;=AsOfDate,IF($R150=0,$X150,IF(AND($T150&lt;&gt;"",EDATE($D150,Milestones!$AA$43)&gt;=$T150),$W150,IF(AND($S150&lt;&gt;"",EDATE($D150,Milestones!$AA$43)&gt;=$S150),$V150,$U150)))=Milestones!$AB$43),UPPER(TEXT(EDATE($D150,Milestones!$AA$43),"dd mmm yy"))&amp;" "&amp;Milestones!$AB$43&amp;" "&amp;Milestones!$AC$43&amp;";  ","")&amp;IF(AND(EDATE($D150,Milestones!$AA$44)&lt;=AsOfDate,IF($R150=0,$X150,IF(AND($T150&lt;&gt;"",EDATE($D150,Milestones!$AA$44)&gt;=$T150),$W150,IF(AND($S150&lt;&gt;"",EDATE($D150,Milestones!$AA$44)&gt;=$S150),$V150,$U150)))=Milestones!$AB$44),UPPER(TEXT(EDATE($D150,Milestones!$AA$44),"dd mmm yy"))&amp;" "&amp;Milestones!$AB$44&amp;" "&amp;Milestones!$AC$44&amp;";  ","")&amp;IF(AND(EDATE($D150,Milestones!$AA$45)&lt;=AsOfDate,IF($R150=0,$X150,IF(AND($T150&lt;&gt;"",EDATE($D150,Milestones!$AA$45)&gt;=$T150),$W150,IF(AND($S150&lt;&gt;"",EDATE($D150,Milestones!$AA$45)&gt;=$S150),$V150,$U150)))=Milestones!$AB$45),UPPER(TEXT(EDATE($D150,Milestones!$AA$45),"dd mmm yy"))&amp;" "&amp;Milestones!$AB$45&amp;" "&amp;Milestones!$AC$45&amp;";  ","")&amp;IF(AND(EDATE($D150,Milestones!$AA$46)&lt;=AsOfDate,IF($R150=0,$X150,IF(AND($T150&lt;&gt;"",EDATE($D150,Milestones!$AA$46)&gt;=$T150),$W150,IF(AND($S150&lt;&gt;"",EDATE($D150,Milestones!$AA$46)&gt;=$S150),$V150,$U150)))=Milestones!$AB$46),UPPER(TEXT(EDATE($D150,Milestones!$AA$46),"dd mmm yy"))&amp;" "&amp;Milestones!$AB$46&amp;" "&amp;Milestones!$AC$46&amp;";  ","")&amp;IF(AND(EDATE($D150,Milestones!$AA$47)&lt;=AsOfDate,IF($R150=0,$X150,IF(AND($T150&lt;&gt;"",EDATE($D150,Milestones!$AA$47)&gt;=$T150),$W150,IF(AND($S150&lt;&gt;"",EDATE($D150,Milestones!$AA$47)&gt;=$S150),$V150,$U150)))=Milestones!$AB$47),UPPER(TEXT(EDATE($D150,Milestones!$AA$47),"dd mmm yy"))&amp;" "&amp;Milestones!$AB$47&amp;" "&amp;Milestones!$AC$47&amp;";  ","")&amp;IF(AND(EDATE($D150,Milestones!$AA$48)&lt;=AsOfDate,IF($R150=0,$X150,IF(AND($T150&lt;&gt;"",EDATE($D150,Milestones!$AA$48)&gt;=$T150),$W150,IF(AND($S150&lt;&gt;"",EDATE($D150,Milestones!$AA$48)&gt;=$S150),$V150,$U150)))=Milestones!$AB$48),UPPER(TEXT(EDATE($D150,Milestones!$AA$48),"dd mmm yy"))&amp;" "&amp;Milestones!$AB$48&amp;" "&amp;Milestones!$AC$48&amp;";  ","")&amp;IF(AND(EDATE($D150,Milestones!$AA$49)&lt;=AsOfDate,IF($R150=0,$X150,IF(AND($T150&lt;&gt;"",EDATE($D150,Milestones!$AA$49)&gt;=$T150),$W150,IF(AND($S150&lt;&gt;"",EDATE($D150,Milestones!$AA$49)&gt;=$S150),$V150,$U150)))=Milestones!$AB$49),UPPER(TEXT(EDATE($D150,Milestones!$AA$49),"dd mmm yy"))&amp;" "&amp;Milestones!$AB$49&amp;" "&amp;Milestones!$AC$49&amp;";  ","")&amp;IF(AND(EDATE($D150,Milestones!$AA$50)&lt;=AsOfDate,IF($R150=0,$X150,IF(AND($T150&lt;&gt;"",EDATE($D150,Milestones!$AA$50)&gt;=$T150),$W150,IF(AND($S150&lt;&gt;"",EDATE($D150,Milestones!$AA$50)&gt;=$S150),$V150,$U150)))=Milestones!$AB$50),UPPER(TEXT(EDATE($D150,Milestones!$AA$50),"dd mmm yy"))&amp;" "&amp;Milestones!$AB$50&amp;" "&amp;Milestones!$AC$50&amp;";  ","")&amp;IF(AND(EDATE($D150,Milestones!$AA$51)&lt;=AsOfDate,IF($R150=0,$X150,IF(AND($T150&lt;&gt;"",EDATE($D150,Milestones!$AA$51)&gt;=$T150),$W150,IF(AND($S150&lt;&gt;"",EDATE($D150,Milestones!$AA$51)&gt;=$S150),$V150,$U150)))=Milestones!$AB$51),UPPER(TEXT(EDATE($D150,Milestones!$AA$51),"dd mmm yy"))&amp;" "&amp;Milestones!$AB$51&amp;" "&amp;Milestones!$AC$51&amp;";  ","")&amp;IF(AND(EDATE($D150,Milestones!$AA$52)&lt;=AsOfDate,IF($R150=0,$X150,IF(AND($T150&lt;&gt;"",EDATE($D150,Milestones!$AA$52)&gt;=$T150),$W150,IF(AND($S150&lt;&gt;"",EDATE($D150,Milestones!$AA$52)&gt;=$S150),$V150,$U150)))=Milestones!$AB$52),UPPER(TEXT(EDATE($D150,Milestones!$AA$52),"dd mmm yy"))&amp;" "&amp;Milestones!$AB$52&amp;" "&amp;Milestones!$AC$52&amp;";  ","")&amp;IF(AND(EDATE($D150,Milestones!$AA$53)&lt;=AsOfDate,IF($R150=0,$X150,IF(AND($T150&lt;&gt;"",EDATE($D150,Milestones!$AA$53)&gt;=$T150),$W150,IF(AND($S150&lt;&gt;"",EDATE($D150,Milestones!$AA$53)&gt;=$S150),$V150,$U150)))=Milestones!$AB$53),UPPER(TEXT(EDATE($D150,Milestones!$AA$53),"dd mmm yy"))&amp;" "&amp;Milestones!$AB$53&amp;" "&amp;Milestones!$AC$53&amp;";  ","")&amp;IF(AND(EDATE($D150,Milestones!$AA$54)&lt;=AsOfDate,IF($R150=0,$X150,IF(AND($T150&lt;&gt;"",EDATE($D150,Milestones!$AA$54)&gt;=$T150),$W150,IF(AND($S150&lt;&gt;"",EDATE($D150,Milestones!$AA$54)&gt;=$S150),$V150,$U150)))=Milestones!$AB$54),UPPER(TEXT(EDATE($D150,Milestones!$AA$54),"dd mmm yy"))&amp;" "&amp;Milestones!$AB$54&amp;" "&amp;Milestones!$AC$54&amp;";  ","")&amp;IF(AND(EDATE($D150,Milestones!$AA$55)&lt;=AsOfDate,IF($R150=0,$X150,IF(AND($T150&lt;&gt;"",EDATE($D150,Milestones!$AA$55)&gt;=$T150),$W150,IF(AND($S150&lt;&gt;"",EDATE($D150,Milestones!$AA$55)&gt;=$S150),$V150,$U150)))=Milestones!$AB$55),UPPER(TEXT(EDATE($D150,Milestones!$AA$55),"dd mmm yy"))&amp;" "&amp;Milestones!$AB$55&amp;" "&amp;Milestones!$AC$55&amp;";  ","")&amp;IF(AND(EDATE($D150,Milestones!$AA$56)&lt;=AsOfDate,IF($R150=0,$X150,IF(AND($T150&lt;&gt;"",EDATE($D150,Milestones!$AA$56)&gt;=$T150),$W150,IF(AND($S150&lt;&gt;"",EDATE($D150,Milestones!$AA$56)&gt;=$S150),$V150,$U150)))=Milestones!$AB$56),UPPER(TEXT(EDATE($D150,Milestones!$AA$56),"dd mmm yy"))&amp;" "&amp;Milestones!$AB$56&amp;" "&amp;Milestones!$AC$56&amp;";  ","")&amp;IF(AND(EDATE($D150,Milestones!$AA$57)&lt;=AsOfDate,IF($R150=0,$X150,IF(AND($T150&lt;&gt;"",EDATE($D150,Milestones!$AA$57)&gt;=$T150),$W150,IF(AND($S150&lt;&gt;"",EDATE($D150,Milestones!$AA$57)&gt;=$S150),$V150,$U150)))=Milestones!$AB$57),UPPER(TEXT(EDATE($D150,Milestones!$AA$57),"dd mmm yy"))&amp;" "&amp;Milestones!$AB$57&amp;" "&amp;Milestones!$AC$57&amp;";  ","")&amp;IF(AND(EDATE($D150,Milestones!$AA$58)&lt;=AsOfDate,IF($R150=0,$X150,IF(AND($T150&lt;&gt;"",EDATE($D150,Milestones!$AA$58)&gt;=$T150),$W150,IF(AND($S150&lt;&gt;"",EDATE($D150,Milestones!$AA$58)&gt;=$S150),$V150,$U150)))=Milestones!$AB$58),UPPER(TEXT(EDATE($D150,Milestones!$AA$58),"dd mmm yy"))&amp;" "&amp;Milestones!$AB$58&amp;" "&amp;Milestones!$AC$58&amp;";  ","")&amp;IF(AND(EDATE($D150,Milestones!$AA$59)&lt;=AsOfDate,IF($R150=0,$X150,IF(AND($T150&lt;&gt;"",EDATE($D150,Milestones!$AA$59)&gt;=$T150),$W150,IF(AND($S150&lt;&gt;"",EDATE($D150,Milestones!$AA$59)&gt;=$S150),$V150,$U150)))=Milestones!$AB$59),UPPER(TEXT(EDATE($D150,Milestones!$AA$59),"dd mmm yy"))&amp;" "&amp;Milestones!$AB$59&amp;" "&amp;Milestones!$AC$59&amp;";  ",""))</f>
        <v/>
      </c>
      <c r="K150" s="0" t="str">
        <f aca="false">IF(OR($A150="",$D150=""),"",IF(AND(EDATE($D150,Milestones!$AA$60)&lt;=AsOfDate,IF($R150=0,$X150,IF(AND($T150&lt;&gt;"",EDATE($D150,Milestones!$AA$60)&gt;=$T150),$W150,IF(AND($S150&lt;&gt;"",EDATE($D150,Milestones!$AA$60)&gt;=$S150),$V150,$U150)))=Milestones!$AB$60),UPPER(TEXT(EDATE($D150,Milestones!$AA$60),"dd mmm yy"))&amp;" "&amp;Milestones!$AB$60&amp;" "&amp;Milestones!$AC$60&amp;";  ","")&amp;IF(AND(EDATE($D150,Milestones!$AA$61)&lt;=AsOfDate,IF($R150=0,$X150,IF(AND($T150&lt;&gt;"",EDATE($D150,Milestones!$AA$61)&gt;=$T150),$W150,IF(AND($S150&lt;&gt;"",EDATE($D150,Milestones!$AA$61)&gt;=$S150),$V150,$U150)))=Milestones!$AB$61),UPPER(TEXT(EDATE($D150,Milestones!$AA$61),"dd mmm yy"))&amp;" "&amp;Milestones!$AB$61&amp;" "&amp;Milestones!$AC$61&amp;";  ","")&amp;IF(AND(EDATE($D150,Milestones!$AA$62)&lt;=AsOfDate,IF($R150=0,$X150,IF(AND($T150&lt;&gt;"",EDATE($D150,Milestones!$AA$62)&gt;=$T150),$W150,IF(AND($S150&lt;&gt;"",EDATE($D150,Milestones!$AA$62)&gt;=$S150),$V150,$U150)))=Milestones!$AB$62),UPPER(TEXT(EDATE($D150,Milestones!$AA$62),"dd mmm yy"))&amp;" "&amp;Milestones!$AB$62&amp;" "&amp;Milestones!$AC$62&amp;";  ","")&amp;IF(AND(EDATE($D150,Milestones!$AA$63)&lt;=AsOfDate,IF($R150=0,$X150,IF(AND($T150&lt;&gt;"",EDATE($D150,Milestones!$AA$63)&gt;=$T150),$W150,IF(AND($S150&lt;&gt;"",EDATE($D150,Milestones!$AA$63)&gt;=$S150),$V150,$U150)))=Milestones!$AB$63),UPPER(TEXT(EDATE($D150,Milestones!$AA$63),"dd mmm yy"))&amp;" "&amp;Milestones!$AB$63&amp;" "&amp;Milestones!$AC$63&amp;";  ","")&amp;IF(AND(EDATE($D150,Milestones!$AA$64)&lt;=AsOfDate,IF($R150=0,$X150,IF(AND($T150&lt;&gt;"",EDATE($D150,Milestones!$AA$64)&gt;=$T150),$W150,IF(AND($S150&lt;&gt;"",EDATE($D150,Milestones!$AA$64)&gt;=$S150),$V150,$U150)))=Milestones!$AB$64),UPPER(TEXT(EDATE($D150,Milestones!$AA$64),"dd mmm yy"))&amp;" "&amp;Milestones!$AB$64&amp;" "&amp;Milestones!$AC$64&amp;";  ","")&amp;IF(AND(EDATE($D150,Milestones!$AA$65)&lt;=AsOfDate,IF($R150=0,$X150,IF(AND($T150&lt;&gt;"",EDATE($D150,Milestones!$AA$65)&gt;=$T150),$W150,IF(AND($S150&lt;&gt;"",EDATE($D150,Milestones!$AA$65)&gt;=$S150),$V150,$U150)))=Milestones!$AB$65),UPPER(TEXT(EDATE($D150,Milestones!$AA$65),"dd mmm yy"))&amp;" "&amp;Milestones!$AB$65&amp;" "&amp;Milestones!$AC$65&amp;";  ","")&amp;IF(AND(EDATE($D150,Milestones!$AA$66)&lt;=AsOfDate,IF($R150=0,$X150,IF(AND($T150&lt;&gt;"",EDATE($D150,Milestones!$AA$66)&gt;=$T150),$W150,IF(AND($S150&lt;&gt;"",EDATE($D150,Milestones!$AA$66)&gt;=$S150),$V150,$U150)))=Milestones!$AB$66),UPPER(TEXT(EDATE($D150,Milestones!$AA$66),"dd mmm yy"))&amp;" "&amp;Milestones!$AB$66&amp;" "&amp;Milestones!$AC$66&amp;";  ","")&amp;IF(AND(EDATE($D150,Milestones!$AA$67)&lt;=AsOfDate,IF($R150=0,$X150,IF(AND($T150&lt;&gt;"",EDATE($D150,Milestones!$AA$67)&gt;=$T150),$W150,IF(AND($S150&lt;&gt;"",EDATE($D150,Milestones!$AA$67)&gt;=$S150),$V150,$U150)))=Milestones!$AB$67),UPPER(TEXT(EDATE($D150,Milestones!$AA$67),"dd mmm yy"))&amp;" "&amp;Milestones!$AB$67&amp;" "&amp;Milestones!$AC$67&amp;";  ","")&amp;IF(AND(EDATE($D150,Milestones!$AA$68)&lt;=AsOfDate,IF($R150=0,$X150,IF(AND($T150&lt;&gt;"",EDATE($D150,Milestones!$AA$68)&gt;=$T150),$W150,IF(AND($S150&lt;&gt;"",EDATE($D150,Milestones!$AA$68)&gt;=$S150),$V150,$U150)))=Milestones!$AB$68),UPPER(TEXT(EDATE($D150,Milestones!$AA$68),"dd mmm yy"))&amp;" "&amp;Milestones!$AB$68&amp;" "&amp;Milestones!$AC$68&amp;";  ","")&amp;IF(AND(EDATE($D150,Milestones!$AA$69)&lt;=AsOfDate,IF($R150=0,$X150,IF(AND($T150&lt;&gt;"",EDATE($D150,Milestones!$AA$69)&gt;=$T150),$W150,IF(AND($S150&lt;&gt;"",EDATE($D150,Milestones!$AA$69)&gt;=$S150),$V150,$U150)))=Milestones!$AB$69),UPPER(TEXT(EDATE($D150,Milestones!$AA$69),"dd mmm yy"))&amp;" "&amp;Milestones!$AB$69&amp;" "&amp;Milestones!$AC$69&amp;";  ","")&amp;IF(AND(EDATE($D150,Milestones!$AA$70)&lt;=AsOfDate,IF($R150=0,$X150,IF(AND($T150&lt;&gt;"",EDATE($D150,Milestones!$AA$70)&gt;=$T150),$W150,IF(AND($S150&lt;&gt;"",EDATE($D150,Milestones!$AA$70)&gt;=$S150),$V150,$U150)))=Milestones!$AB$70),UPPER(TEXT(EDATE($D150,Milestones!$AA$70),"dd mmm yy"))&amp;" "&amp;Milestones!$AB$70&amp;" "&amp;Milestones!$AC$70&amp;";  ","")&amp;IF(AND(EDATE($D150,Milestones!$AA$71)&lt;=AsOfDate,IF($R150=0,$X150,IF(AND($T150&lt;&gt;"",EDATE($D150,Milestones!$AA$71)&gt;=$T150),$W150,IF(AND($S150&lt;&gt;"",EDATE($D150,Milestones!$AA$71)&gt;=$S150),$V150,$U150)))=Milestones!$AB$71),UPPER(TEXT(EDATE($D150,Milestones!$AA$71),"dd mmm yy"))&amp;" "&amp;Milestones!$AB$71&amp;" "&amp;Milestones!$AC$71&amp;";  ","")&amp;IF(AND(EDATE($D150,Milestones!$AA$72)&lt;=AsOfDate,IF($R150=0,$X150,IF(AND($T150&lt;&gt;"",EDATE($D150,Milestones!$AA$72)&gt;=$T150),$W150,IF(AND($S150&lt;&gt;"",EDATE($D150,Milestones!$AA$72)&gt;=$S150),$V150,$U150)))=Milestones!$AB$72),UPPER(TEXT(EDATE($D150,Milestones!$AA$72),"dd mmm yy"))&amp;" "&amp;Milestones!$AB$72&amp;" "&amp;Milestones!$AC$72&amp;";  ","")&amp;IF(AND(EDATE($D150,Milestones!$AA$73)&lt;=AsOfDate,IF($R150=0,$X150,IF(AND($T150&lt;&gt;"",EDATE($D150,Milestones!$AA$73)&gt;=$T150),$W150,IF(AND($S150&lt;&gt;"",EDATE($D150,Milestones!$AA$73)&gt;=$S150),$V150,$U150)))=Milestones!$AB$73),UPPER(TEXT(EDATE($D150,Milestones!$AA$73),"dd mmm yy"))&amp;" "&amp;Milestones!$AB$73&amp;" "&amp;Milestones!$AC$73&amp;";  ","")&amp;IF(AND(EDATE($D150,Milestones!$AA$74)&lt;=AsOfDate,IF($R150=0,$X150,IF(AND($T150&lt;&gt;"",EDATE($D150,Milestones!$AA$74)&gt;=$T150),$W150,IF(AND($S150&lt;&gt;"",EDATE($D150,Milestones!$AA$74)&gt;=$S150),$V150,$U150)))=Milestones!$AB$74),UPPER(TEXT(EDATE($D150,Milestones!$AA$74),"dd mmm yy"))&amp;" "&amp;Milestones!$AB$74&amp;" "&amp;Milestones!$AC$74&amp;";  ","")&amp;IF(AND(EDATE($D150,Milestones!$AA$75)&lt;=AsOfDate,IF($R150=0,$X150,IF(AND($T150&lt;&gt;"",EDATE($D150,Milestones!$AA$75)&gt;=$T150),$W150,IF(AND($S150&lt;&gt;"",EDATE($D150,Milestones!$AA$75)&gt;=$S150),$V150,$U150)))=Milestones!$AB$75),UPPER(TEXT(EDATE($D150,Milestones!$AA$75),"dd mmm yy"))&amp;" "&amp;Milestones!$AB$75&amp;" "&amp;Milestones!$AC$75&amp;";  ","")&amp;IF(AND(EDATE($D150,Milestones!$AA$76)&lt;=AsOfDate,IF($R150=0,$X150,IF(AND($T150&lt;&gt;"",EDATE($D150,Milestones!$AA$76)&gt;=$T150),$W150,IF(AND($S150&lt;&gt;"",EDATE($D150,Milestones!$AA$76)&gt;=$S150),$V150,$U150)))=Milestones!$AB$76),UPPER(TEXT(EDATE($D150,Milestones!$AA$76),"dd mmm yy"))&amp;" "&amp;Milestones!$AB$76&amp;" "&amp;Milestones!$AC$76&amp;";  ","")&amp;IF(AND(EDATE($D150,Milestones!$AA$77)&lt;=AsOfDate,IF($R150=0,$X150,IF(AND($T150&lt;&gt;"",EDATE($D150,Milestones!$AA$77)&gt;=$T150),$W150,IF(AND($S150&lt;&gt;"",EDATE($D150,Milestones!$AA$77)&gt;=$S150),$V150,$U150)))=Milestones!$AB$77),UPPER(TEXT(EDATE($D150,Milestones!$AA$77),"dd mmm yy"))&amp;" "&amp;Milestones!$AB$77&amp;" "&amp;Milestones!$AC$77&amp;";  ","")&amp;IF(AND(EDATE($D150,Milestones!$AA$78)&lt;=AsOfDate,IF($R150=0,$X150,IF(AND($T150&lt;&gt;"",EDATE($D150,Milestones!$AA$78)&gt;=$T150),$W150,IF(AND($S150&lt;&gt;"",EDATE($D150,Milestones!$AA$78)&gt;=$S150),$V150,$U150)))=Milestones!$AB$78),UPPER(TEXT(EDATE($D150,Milestones!$AA$78),"dd mmm yy"))&amp;" "&amp;Milestones!$AB$78&amp;" "&amp;Milestones!$AC$78&amp;";  ","")&amp;IF(AND(EDATE($D150,Milestones!$AA$79)&lt;=AsOfDate,IF($R150=0,$X150,IF(AND($T150&lt;&gt;"",EDATE($D150,Milestones!$AA$79)&gt;=$T150),$W150,IF(AND($S150&lt;&gt;"",EDATE($D150,Milestones!$AA$79)&gt;=$S150),$V150,$U150)))=Milestones!$AB$79),UPPER(TEXT(EDATE($D150,Milestones!$AA$79),"dd mmm yy"))&amp;" "&amp;Milestones!$AB$79&amp;" "&amp;Milestones!$AC$79&amp;";  ",""))</f>
        <v/>
      </c>
      <c r="L150" s="0" t="str">
        <f aca="false">IF(OR($A150="",$D150=""),"",IF(AND(EDATE($D150,Milestones!$AA$80)&lt;=AsOfDate,IF($R150=0,$X150,IF(AND($T150&lt;&gt;"",EDATE($D150,Milestones!$AA$80)&gt;=$T150),$W150,IF(AND($S150&lt;&gt;"",EDATE($D150,Milestones!$AA$80)&gt;=$S150),$V150,$U150)))=Milestones!$AB$80),UPPER(TEXT(EDATE($D150,Milestones!$AA$80),"dd mmm yy"))&amp;" "&amp;Milestones!$AB$80&amp;" "&amp;Milestones!$AC$80&amp;";  ","")&amp;IF(AND(EDATE($D150,Milestones!$AA$81)&lt;=AsOfDate,IF($R150=0,$X150,IF(AND($T150&lt;&gt;"",EDATE($D150,Milestones!$AA$81)&gt;=$T150),$W150,IF(AND($S150&lt;&gt;"",EDATE($D150,Milestones!$AA$81)&gt;=$S150),$V150,$U150)))=Milestones!$AB$81),UPPER(TEXT(EDATE($D150,Milestones!$AA$81),"dd mmm yy"))&amp;" "&amp;Milestones!$AB$81&amp;" "&amp;Milestones!$AC$81&amp;";  ","")&amp;IF(AND(EDATE($D150,Milestones!$AA$82)&lt;=AsOfDate,IF($R150=0,$X150,IF(AND($T150&lt;&gt;"",EDATE($D150,Milestones!$AA$82)&gt;=$T150),$W150,IF(AND($S150&lt;&gt;"",EDATE($D150,Milestones!$AA$82)&gt;=$S150),$V150,$U150)))=Milestones!$AB$82),UPPER(TEXT(EDATE($D150,Milestones!$AA$82),"dd mmm yy"))&amp;" "&amp;Milestones!$AB$82&amp;" "&amp;Milestones!$AC$82&amp;";  ","")&amp;IF(AND(EDATE($D150,Milestones!$AA$83)&lt;=AsOfDate,IF($R150=0,$X150,IF(AND($T150&lt;&gt;"",EDATE($D150,Milestones!$AA$83)&gt;=$T150),$W150,IF(AND($S150&lt;&gt;"",EDATE($D150,Milestones!$AA$83)&gt;=$S150),$V150,$U150)))=Milestones!$AB$83),UPPER(TEXT(EDATE($D150,Milestones!$AA$83),"dd mmm yy"))&amp;" "&amp;Milestones!$AB$83&amp;" "&amp;Milestones!$AC$83&amp;";  ","")&amp;IF(AND(EDATE($D150,Milestones!$AA$84)&lt;=AsOfDate,IF($R150=0,$X150,IF(AND($T150&lt;&gt;"",EDATE($D150,Milestones!$AA$84)&gt;=$T150),$W150,IF(AND($S150&lt;&gt;"",EDATE($D150,Milestones!$AA$84)&gt;=$S150),$V150,$U150)))=Milestones!$AB$84),UPPER(TEXT(EDATE($D150,Milestones!$AA$84),"dd mmm yy"))&amp;" "&amp;Milestones!$AB$84&amp;" "&amp;Milestones!$AC$84&amp;";  ","")&amp;IF(AND(EDATE($D150,Milestones!$AA$85)&lt;=AsOfDate,IF($R150=0,$X150,IF(AND($T150&lt;&gt;"",EDATE($D150,Milestones!$AA$85)&gt;=$T150),$W150,IF(AND($S150&lt;&gt;"",EDATE($D150,Milestones!$AA$85)&gt;=$S150),$V150,$U150)))=Milestones!$AB$85),UPPER(TEXT(EDATE($D150,Milestones!$AA$85),"dd mmm yy"))&amp;" "&amp;Milestones!$AB$85&amp;" "&amp;Milestones!$AC$85&amp;";  ","")&amp;IF(AND(EDATE($D150,Milestones!$AA$86)&lt;=AsOfDate,IF($R150=0,$X150,IF(AND($T150&lt;&gt;"",EDATE($D150,Milestones!$AA$86)&gt;=$T150),$W150,IF(AND($S150&lt;&gt;"",EDATE($D150,Milestones!$AA$86)&gt;=$S150),$V150,$U150)))=Milestones!$AB$86),UPPER(TEXT(EDATE($D150,Milestones!$AA$86),"dd mmm yy"))&amp;" "&amp;Milestones!$AB$86&amp;" "&amp;Milestones!$AC$86&amp;";  ","")&amp;IF(AND(EDATE($D150,Milestones!$AA$87)&lt;=AsOfDate,IF($R150=0,$X150,IF(AND($T150&lt;&gt;"",EDATE($D150,Milestones!$AA$87)&gt;=$T150),$W150,IF(AND($S150&lt;&gt;"",EDATE($D150,Milestones!$AA$87)&gt;=$S150),$V150,$U150)))=Milestones!$AB$87),UPPER(TEXT(EDATE($D150,Milestones!$AA$87),"dd mmm yy"))&amp;" "&amp;Milestones!$AB$87&amp;" "&amp;Milestones!$AC$87&amp;";  ","")&amp;IF(AND(EDATE($D150,Milestones!$AA$88)&lt;=AsOfDate,IF($R150=0,$X150,IF(AND($T150&lt;&gt;"",EDATE($D150,Milestones!$AA$88)&gt;=$T150),$W150,IF(AND($S150&lt;&gt;"",EDATE($D150,Milestones!$AA$88)&gt;=$S150),$V150,$U150)))=Milestones!$AB$88),UPPER(TEXT(EDATE($D150,Milestones!$AA$88),"dd mmm yy"))&amp;" "&amp;Milestones!$AB$88&amp;" "&amp;Milestones!$AC$88&amp;";  ","")&amp;IF(AND(EDATE($D150,Milestones!$AA$89)&lt;=AsOfDate,IF($R150=0,$X150,IF(AND($T150&lt;&gt;"",EDATE($D150,Milestones!$AA$89)&gt;=$T150),$W150,IF(AND($S150&lt;&gt;"",EDATE($D150,Milestones!$AA$89)&gt;=$S150),$V150,$U150)))=Milestones!$AB$89),UPPER(TEXT(EDATE($D150,Milestones!$AA$89),"dd mmm yy"))&amp;" "&amp;Milestones!$AB$89&amp;" "&amp;Milestones!$AC$89&amp;";  ","")&amp;IF(AND(EDATE($D150,Milestones!$AA$90)&lt;=AsOfDate,IF($R150=0,$X150,IF(AND($T150&lt;&gt;"",EDATE($D150,Milestones!$AA$90)&gt;=$T150),$W150,IF(AND($S150&lt;&gt;"",EDATE($D150,Milestones!$AA$90)&gt;=$S150),$V150,$U150)))=Milestones!$AB$90),UPPER(TEXT(EDATE($D150,Milestones!$AA$90),"dd mmm yy"))&amp;" "&amp;Milestones!$AB$90&amp;" "&amp;Milestones!$AC$90&amp;";  ","")&amp;IF(AND(EDATE($D150,Milestones!$AA$91)&lt;=AsOfDate,IF($R150=0,$X150,IF(AND($T150&lt;&gt;"",EDATE($D150,Milestones!$AA$91)&gt;=$T150),$W150,IF(AND($S150&lt;&gt;"",EDATE($D150,Milestones!$AA$91)&gt;=$S150),$V150,$U150)))=Milestones!$AB$91),UPPER(TEXT(EDATE($D150,Milestones!$AA$91),"dd mmm yy"))&amp;" "&amp;Milestones!$AB$91&amp;" "&amp;Milestones!$AC$91&amp;";  ","")&amp;IF(AND(EDATE($D150,Milestones!$AA$92)&lt;=AsOfDate,IF($R150=0,$X150,IF(AND($T150&lt;&gt;"",EDATE($D150,Milestones!$AA$92)&gt;=$T150),$W150,IF(AND($S150&lt;&gt;"",EDATE($D150,Milestones!$AA$92)&gt;=$S150),$V150,$U150)))=Milestones!$AB$92),UPPER(TEXT(EDATE($D150,Milestones!$AA$92),"dd mmm yy"))&amp;" "&amp;Milestones!$AB$92&amp;" "&amp;Milestones!$AC$92&amp;";  ","")&amp;IF(AND(EDATE($D150,Milestones!$AA$93)&lt;=AsOfDate,IF($R150=0,$X150,IF(AND($T150&lt;&gt;"",EDATE($D150,Milestones!$AA$93)&gt;=$T150),$W150,IF(AND($S150&lt;&gt;"",EDATE($D150,Milestones!$AA$93)&gt;=$S150),$V150,$U150)))=Milestones!$AB$93),UPPER(TEXT(EDATE($D150,Milestones!$AA$93),"dd mmm yy"))&amp;" "&amp;Milestones!$AB$93&amp;" "&amp;Milestones!$AC$93&amp;";  ","")&amp;IF(AND(EDATE($D150,Milestones!$AA$94)&lt;=AsOfDate,IF($R150=0,$X150,IF(AND($T150&lt;&gt;"",EDATE($D150,Milestones!$AA$94)&gt;=$T150),$W150,IF(AND($S150&lt;&gt;"",EDATE($D150,Milestones!$AA$94)&gt;=$S150),$V150,$U150)))=Milestones!$AB$94),UPPER(TEXT(EDATE($D150,Milestones!$AA$94),"dd mmm yy"))&amp;" "&amp;Milestones!$AB$94&amp;" "&amp;Milestones!$AC$94&amp;";  ","")&amp;IF(AND(EDATE($D150,Milestones!$AA$95)&lt;=AsOfDate,IF($R150=0,$X150,IF(AND($T150&lt;&gt;"",EDATE($D150,Milestones!$AA$95)&gt;=$T150),$W150,IF(AND($S150&lt;&gt;"",EDATE($D150,Milestones!$AA$95)&gt;=$S150),$V150,$U150)))=Milestones!$AB$95),UPPER(TEXT(EDATE($D150,Milestones!$AA$95),"dd mmm yy"))&amp;" "&amp;Milestones!$AB$95&amp;" "&amp;Milestones!$AC$95&amp;";  ","")&amp;IF(AND(EDATE($D150,Milestones!$AA$96)&lt;=AsOfDate,IF($R150=0,$X150,IF(AND($T150&lt;&gt;"",EDATE($D150,Milestones!$AA$96)&gt;=$T150),$W150,IF(AND($S150&lt;&gt;"",EDATE($D150,Milestones!$AA$96)&gt;=$S150),$V150,$U150)))=Milestones!$AB$96),UPPER(TEXT(EDATE($D150,Milestones!$AA$96),"dd mmm yy"))&amp;" "&amp;Milestones!$AB$96&amp;" "&amp;Milestones!$AC$96&amp;";  ","")&amp;IF(AND(EDATE($D150,Milestones!$AA$97)&lt;=AsOfDate,IF($R150=0,$X150,IF(AND($T150&lt;&gt;"",EDATE($D150,Milestones!$AA$97)&gt;=$T150),$W150,IF(AND($S150&lt;&gt;"",EDATE($D150,Milestones!$AA$97)&gt;=$S150),$V150,$U150)))=Milestones!$AB$97),UPPER(TEXT(EDATE($D150,Milestones!$AA$97),"dd mmm yy"))&amp;" "&amp;Milestones!$AB$97&amp;" "&amp;Milestones!$AC$97&amp;";  ","")&amp;IF(AND(EDATE($D150,Milestones!$AA$98)&lt;=AsOfDate,IF($R150=0,$X150,IF(AND($T150&lt;&gt;"",EDATE($D150,Milestones!$AA$98)&gt;=$T150),$W150,IF(AND($S150&lt;&gt;"",EDATE($D150,Milestones!$AA$98)&gt;=$S150),$V150,$U150)))=Milestones!$AB$98),UPPER(TEXT(EDATE($D150,Milestones!$AA$98),"dd mmm yy"))&amp;" "&amp;Milestones!$AB$98&amp;" "&amp;Milestones!$AC$98&amp;";  ","")&amp;IF(AND(EDATE($D150,Milestones!$AA$99)&lt;=AsOfDate,IF($R150=0,$X150,IF(AND($T150&lt;&gt;"",EDATE($D150,Milestones!$AA$99)&gt;=$T150),$W150,IF(AND($S150&lt;&gt;"",EDATE($D150,Milestones!$AA$99)&gt;=$S150),$V150,$U150)))=Milestones!$AB$99),UPPER(TEXT(EDATE($D150,Milestones!$AA$99),"dd mmm yy"))&amp;" "&amp;Milestones!$AB$99&amp;" "&amp;Milestones!$AC$99&amp;";  ",""))</f>
        <v/>
      </c>
      <c r="M150" s="0" t="str">
        <f aca="false">IF(OR($A150="",$D150=""),"",IF(AND(EDATE($D150,Milestones!$AA$100)&lt;=AsOfDate,IF($R150=0,$X150,IF(AND($T150&lt;&gt;"",EDATE($D150,Milestones!$AA$100)&gt;=$T150),$W150,IF(AND($S150&lt;&gt;"",EDATE($D150,Milestones!$AA$100)&gt;=$S150),$V150,$U150)))=Milestones!$AB$100),UPPER(TEXT(EDATE($D150,Milestones!$AA$100),"dd mmm yy"))&amp;" "&amp;Milestones!$AB$100&amp;" "&amp;Milestones!$AC$100&amp;";  ","")&amp;IF(AND(EDATE($D150,Milestones!$AA$101)&lt;=AsOfDate,IF($R150=0,$X150,IF(AND($T150&lt;&gt;"",EDATE($D150,Milestones!$AA$101)&gt;=$T150),$W150,IF(AND($S150&lt;&gt;"",EDATE($D150,Milestones!$AA$101)&gt;=$S150),$V150,$U150)))=Milestones!$AB$101),UPPER(TEXT(EDATE($D150,Milestones!$AA$101),"dd mmm yy"))&amp;" "&amp;Milestones!$AB$101&amp;" "&amp;Milestones!$AC$101&amp;";  ","")&amp;IF(AND(EDATE($D150,Milestones!$AA$102)&lt;=AsOfDate,IF($R150=0,$X150,IF(AND($T150&lt;&gt;"",EDATE($D150,Milestones!$AA$102)&gt;=$T150),$W150,IF(AND($S150&lt;&gt;"",EDATE($D150,Milestones!$AA$102)&gt;=$S150),$V150,$U150)))=Milestones!$AB$102),UPPER(TEXT(EDATE($D150,Milestones!$AA$102),"dd mmm yy"))&amp;" "&amp;Milestones!$AB$102&amp;" "&amp;Milestones!$AC$102&amp;";  ","")&amp;IF(AND(EDATE($D150,Milestones!$AA$103)&lt;=AsOfDate,IF($R150=0,$X150,IF(AND($T150&lt;&gt;"",EDATE($D150,Milestones!$AA$103)&gt;=$T150),$W150,IF(AND($S150&lt;&gt;"",EDATE($D150,Milestones!$AA$103)&gt;=$S150),$V150,$U150)))=Milestones!$AB$103),UPPER(TEXT(EDATE($D150,Milestones!$AA$103),"dd mmm yy"))&amp;" "&amp;Milestones!$AB$103&amp;" "&amp;Milestones!$AC$103&amp;";  ","")&amp;IF(AND(EDATE($D150,Milestones!$AA$104)&lt;=AsOfDate,IF($R150=0,$X150,IF(AND($T150&lt;&gt;"",EDATE($D150,Milestones!$AA$104)&gt;=$T150),$W150,IF(AND($S150&lt;&gt;"",EDATE($D150,Milestones!$AA$104)&gt;=$S150),$V150,$U150)))=Milestones!$AB$104),UPPER(TEXT(EDATE($D150,Milestones!$AA$104),"dd mmm yy"))&amp;" "&amp;Milestones!$AB$104&amp;" "&amp;Milestones!$AC$104&amp;";  ","")&amp;IF(AND(EDATE($D150,Milestones!$AA$105)&lt;=AsOfDate,IF($R150=0,$X150,IF(AND($T150&lt;&gt;"",EDATE($D150,Milestones!$AA$105)&gt;=$T150),$W150,IF(AND($S150&lt;&gt;"",EDATE($D150,Milestones!$AA$105)&gt;=$S150),$V150,$U150)))=Milestones!$AB$105),UPPER(TEXT(EDATE($D150,Milestones!$AA$105),"dd mmm yy"))&amp;" "&amp;Milestones!$AB$105&amp;" "&amp;Milestones!$AC$105&amp;";  ","")&amp;IF(AND(EDATE($D150,Milestones!$AA$106)&lt;=AsOfDate,IF($R150=0,$X150,IF(AND($T150&lt;&gt;"",EDATE($D150,Milestones!$AA$106)&gt;=$T150),$W150,IF(AND($S150&lt;&gt;"",EDATE($D150,Milestones!$AA$106)&gt;=$S150),$V150,$U150)))=Milestones!$AB$106),UPPER(TEXT(EDATE($D150,Milestones!$AA$106),"dd mmm yy"))&amp;" "&amp;Milestones!$AB$106&amp;" "&amp;Milestones!$AC$106&amp;";  ","")&amp;IF(AND(EDATE($D150,Milestones!$AA$107)&lt;=AsOfDate,IF($R150=0,$X150,IF(AND($T150&lt;&gt;"",EDATE($D150,Milestones!$AA$107)&gt;=$T150),$W150,IF(AND($S150&lt;&gt;"",EDATE($D150,Milestones!$AA$107)&gt;=$S150),$V150,$U150)))=Milestones!$AB$107),UPPER(TEXT(EDATE($D150,Milestones!$AA$107),"dd mmm yy"))&amp;" "&amp;Milestones!$AB$107&amp;" "&amp;Milestones!$AC$107&amp;";  ","")&amp;IF(AND(EDATE($D150,Milestones!$AA$108)&lt;=AsOfDate,IF($R150=0,$X150,IF(AND($T150&lt;&gt;"",EDATE($D150,Milestones!$AA$108)&gt;=$T150),$W150,IF(AND($S150&lt;&gt;"",EDATE($D150,Milestones!$AA$108)&gt;=$S150),$V150,$U150)))=Milestones!$AB$108),UPPER(TEXT(EDATE($D150,Milestones!$AA$108),"dd mmm yy"))&amp;" "&amp;Milestones!$AB$108&amp;" "&amp;Milestones!$AC$108&amp;";  ","")&amp;IF(AND(EDATE($D150,Milestones!$AA$109)&lt;=AsOfDate,IF($R150=0,$X150,IF(AND($T150&lt;&gt;"",EDATE($D150,Milestones!$AA$109)&gt;=$T150),$W150,IF(AND($S150&lt;&gt;"",EDATE($D150,Milestones!$AA$109)&gt;=$S150),$V150,$U150)))=Milestones!$AB$109),UPPER(TEXT(EDATE($D150,Milestones!$AA$109),"dd mmm yy"))&amp;" "&amp;Milestones!$AB$109&amp;" "&amp;Milestones!$AC$109&amp;";  ","")&amp;IF(AND(EDATE($D150,Milestones!$AA$110)&lt;=AsOfDate,IF($R150=0,$X150,IF(AND($T150&lt;&gt;"",EDATE($D150,Milestones!$AA$110)&gt;=$T150),$W150,IF(AND($S150&lt;&gt;"",EDATE($D150,Milestones!$AA$110)&gt;=$S150),$V150,$U150)))=Milestones!$AB$110),UPPER(TEXT(EDATE($D150,Milestones!$AA$110),"dd mmm yy"))&amp;" "&amp;Milestones!$AB$110&amp;" "&amp;Milestones!$AC$110&amp;";  ","")&amp;IF(AND(EDATE($D150,Milestones!$AA$111)&lt;=AsOfDate,IF($R150=0,$X150,IF(AND($T150&lt;&gt;"",EDATE($D150,Milestones!$AA$111)&gt;=$T150),$W150,IF(AND($S150&lt;&gt;"",EDATE($D150,Milestones!$AA$111)&gt;=$S150),$V150,$U150)))=Milestones!$AB$111),UPPER(TEXT(EDATE($D150,Milestones!$AA$111),"dd mmm yy"))&amp;" "&amp;Milestones!$AB$111&amp;" "&amp;Milestones!$AC$111&amp;";  ","")&amp;IF(AND(EDATE($D150,Milestones!$AA$112)&lt;=AsOfDate,IF($R150=0,$X150,IF(AND($T150&lt;&gt;"",EDATE($D150,Milestones!$AA$112)&gt;=$T150),$W150,IF(AND($S150&lt;&gt;"",EDATE($D150,Milestones!$AA$112)&gt;=$S150),$V150,$U150)))=Milestones!$AB$112),UPPER(TEXT(EDATE($D150,Milestones!$AA$112),"dd mmm yy"))&amp;" "&amp;Milestones!$AB$112&amp;" "&amp;Milestones!$AC$112&amp;";  ","")&amp;IF(AND(EDATE($D150,Milestones!$AA$113)&lt;=AsOfDate,IF($R150=0,$X150,IF(AND($T150&lt;&gt;"",EDATE($D150,Milestones!$AA$113)&gt;=$T150),$W150,IF(AND($S150&lt;&gt;"",EDATE($D150,Milestones!$AA$113)&gt;=$S150),$V150,$U150)))=Milestones!$AB$113),UPPER(TEXT(EDATE($D150,Milestones!$AA$113),"dd mmm yy"))&amp;" "&amp;Milestones!$AB$113&amp;" "&amp;Milestones!$AC$113&amp;";  ","")&amp;IF(AND(EDATE($D150,Milestones!$AA$114)&lt;=AsOfDate,IF($R150=0,$X150,IF(AND($T150&lt;&gt;"",EDATE($D150,Milestones!$AA$114)&gt;=$T150),$W150,IF(AND($S150&lt;&gt;"",EDATE($D150,Milestones!$AA$114)&gt;=$S150),$V150,$U150)))=Milestones!$AB$114),UPPER(TEXT(EDATE($D150,Milestones!$AA$114),"dd mmm yy"))&amp;" "&amp;Milestones!$AB$114&amp;" "&amp;Milestones!$AC$114&amp;";  ","")&amp;IF(AND(EDATE($D150,Milestones!$AA$115)&lt;=AsOfDate,IF($R150=0,$X150,IF(AND($T150&lt;&gt;"",EDATE($D150,Milestones!$AA$115)&gt;=$T150),$W150,IF(AND($S150&lt;&gt;"",EDATE($D150,Milestones!$AA$115)&gt;=$S150),$V150,$U150)))=Milestones!$AB$115),UPPER(TEXT(EDATE($D150,Milestones!$AA$115),"dd mmm yy"))&amp;" "&amp;Milestones!$AB$115&amp;" "&amp;Milestones!$AC$115&amp;";  ","")&amp;IF(AND(EDATE($D150,Milestones!$AA$116)&lt;=AsOfDate,IF($R150=0,$X150,IF(AND($T150&lt;&gt;"",EDATE($D150,Milestones!$AA$116)&gt;=$T150),$W150,IF(AND($S150&lt;&gt;"",EDATE($D150,Milestones!$AA$116)&gt;=$S150),$V150,$U150)))=Milestones!$AB$116),UPPER(TEXT(EDATE($D150,Milestones!$AA$116),"dd mmm yy"))&amp;" "&amp;Milestones!$AB$116&amp;" "&amp;Milestones!$AC$116&amp;";  ","")&amp;IF(AND(EDATE($D150,Milestones!$AA$117)&lt;=AsOfDate,IF($R150=0,$X150,IF(AND($T150&lt;&gt;"",EDATE($D150,Milestones!$AA$117)&gt;=$T150),$W150,IF(AND($S150&lt;&gt;"",EDATE($D150,Milestones!$AA$117)&gt;=$S150),$V150,$U150)))=Milestones!$AB$117),UPPER(TEXT(EDATE($D150,Milestones!$AA$117),"dd mmm yy"))&amp;" "&amp;Milestones!$AB$117&amp;" "&amp;Milestones!$AC$117&amp;";  ","")&amp;IF(AND(EDATE($D150,Milestones!$AA$118)&lt;=AsOfDate,IF($R150=0,$X150,IF(AND($T150&lt;&gt;"",EDATE($D150,Milestones!$AA$118)&gt;=$T150),$W150,IF(AND($S150&lt;&gt;"",EDATE($D150,Milestones!$AA$118)&gt;=$S150),$V150,$U150)))=Milestones!$AB$118),UPPER(TEXT(EDATE($D150,Milestones!$AA$118),"dd mmm yy"))&amp;" "&amp;Milestones!$AB$118&amp;" "&amp;Milestones!$AC$118&amp;";  ","")&amp;IF(AND(EDATE($D150,Milestones!$AA$119)&lt;=AsOfDate,IF($R150=0,$X150,IF(AND($T150&lt;&gt;"",EDATE($D150,Milestones!$AA$119)&gt;=$T150),$W150,IF(AND($S150&lt;&gt;"",EDATE($D150,Milestones!$AA$119)&gt;=$S150),$V150,$U150)))=Milestones!$AB$119),UPPER(TEXT(EDATE($D150,Milestones!$AA$119),"dd mmm yy"))&amp;" "&amp;Milestones!$AB$119&amp;" "&amp;Milestones!$AC$119&amp;";  ",""))</f>
        <v/>
      </c>
      <c r="N150" s="0" t="str">
        <f aca="false">IF(OR($A150="",$D150=""),"",IF(AND(EDATE($D150,Milestones!$AA$120)&lt;=AsOfDate,IF($R150=0,$X150,IF(AND($T150&lt;&gt;"",EDATE($D150,Milestones!$AA$120)&gt;=$T150),$W150,IF(AND($S150&lt;&gt;"",EDATE($D150,Milestones!$AA$120)&gt;=$S150),$V150,$U150)))=Milestones!$AB$120),UPPER(TEXT(EDATE($D150,Milestones!$AA$120),"dd mmm yy"))&amp;" "&amp;Milestones!$AB$120&amp;" "&amp;Milestones!$AC$120&amp;";  ","")&amp;IF(AND(EDATE($D150,Milestones!$AA$121)&lt;=AsOfDate,IF($R150=0,$X150,IF(AND($T150&lt;&gt;"",EDATE($D150,Milestones!$AA$121)&gt;=$T150),$W150,IF(AND($S150&lt;&gt;"",EDATE($D150,Milestones!$AA$121)&gt;=$S150),$V150,$U150)))=Milestones!$AB$121),UPPER(TEXT(EDATE($D150,Milestones!$AA$121),"dd mmm yy"))&amp;" "&amp;Milestones!$AB$121&amp;" "&amp;Milestones!$AC$121&amp;";  ","")&amp;IF(AND(EDATE($D150,Milestones!$AA$122)&lt;=AsOfDate,IF($R150=0,$X150,IF(AND($T150&lt;&gt;"",EDATE($D150,Milestones!$AA$122)&gt;=$T150),$W150,IF(AND($S150&lt;&gt;"",EDATE($D150,Milestones!$AA$122)&gt;=$S150),$V150,$U150)))=Milestones!$AB$122),UPPER(TEXT(EDATE($D150,Milestones!$AA$122),"dd mmm yy"))&amp;" "&amp;Milestones!$AB$122&amp;" "&amp;Milestones!$AC$122&amp;";  ","")&amp;IF(AND(EDATE($D150,Milestones!$AA$123)&lt;=AsOfDate,IF($R150=0,$X150,IF(AND($T150&lt;&gt;"",EDATE($D150,Milestones!$AA$123)&gt;=$T150),$W150,IF(AND($S150&lt;&gt;"",EDATE($D150,Milestones!$AA$123)&gt;=$S150),$V150,$U150)))=Milestones!$AB$123),UPPER(TEXT(EDATE($D150,Milestones!$AA$123),"dd mmm yy"))&amp;" "&amp;Milestones!$AB$123&amp;" "&amp;Milestones!$AC$123&amp;";  ","")&amp;IF(AND(EDATE($D150,Milestones!$AA$124)&lt;=AsOfDate,IF($R150=0,$X150,IF(AND($T150&lt;&gt;"",EDATE($D150,Milestones!$AA$124)&gt;=$T150),$W150,IF(AND($S150&lt;&gt;"",EDATE($D150,Milestones!$AA$124)&gt;=$S150),$V150,$U150)))=Milestones!$AB$124),UPPER(TEXT(EDATE($D150,Milestones!$AA$124),"dd mmm yy"))&amp;" "&amp;Milestones!$AB$124&amp;" "&amp;Milestones!$AC$124&amp;";  ","")&amp;IF(AND(EDATE($D150,Milestones!$AA$125)&lt;=AsOfDate,IF($R150=0,$X150,IF(AND($T150&lt;&gt;"",EDATE($D150,Milestones!$AA$125)&gt;=$T150),$W150,IF(AND($S150&lt;&gt;"",EDATE($D150,Milestones!$AA$125)&gt;=$S150),$V150,$U150)))=Milestones!$AB$125),UPPER(TEXT(EDATE($D150,Milestones!$AA$125),"dd mmm yy"))&amp;" "&amp;Milestones!$AB$125&amp;" "&amp;Milestones!$AC$125&amp;";  ","")&amp;IF(AND(EDATE($D150,Milestones!$AA$126)&lt;=AsOfDate,IF($R150=0,$X150,IF(AND($T150&lt;&gt;"",EDATE($D150,Milestones!$AA$126)&gt;=$T150),$W150,IF(AND($S150&lt;&gt;"",EDATE($D150,Milestones!$AA$126)&gt;=$S150),$V150,$U150)))=Milestones!$AB$126),UPPER(TEXT(EDATE($D150,Milestones!$AA$126),"dd mmm yy"))&amp;" "&amp;Milestones!$AB$126&amp;" "&amp;Milestones!$AC$126&amp;";  ","")&amp;IF(AND(EDATE($D150,Milestones!$AA$127)&lt;=AsOfDate,IF($R150=0,$X150,IF(AND($T150&lt;&gt;"",EDATE($D150,Milestones!$AA$127)&gt;=$T150),$W150,IF(AND($S150&lt;&gt;"",EDATE($D150,Milestones!$AA$127)&gt;=$S150),$V150,$U150)))=Milestones!$AB$127),UPPER(TEXT(EDATE($D150,Milestones!$AA$127),"dd mmm yy"))&amp;" "&amp;Milestones!$AB$127&amp;" "&amp;Milestones!$AC$127&amp;";  ","")&amp;IF(AND(EDATE($D150,Milestones!$AA$128)&lt;=AsOfDate,IF($R150=0,$X150,IF(AND($T150&lt;&gt;"",EDATE($D150,Milestones!$AA$128)&gt;=$T150),$W150,IF(AND($S150&lt;&gt;"",EDATE($D150,Milestones!$AA$128)&gt;=$S150),$V150,$U150)))=Milestones!$AB$128),UPPER(TEXT(EDATE($D150,Milestones!$AA$128),"dd mmm yy"))&amp;" "&amp;Milestones!$AB$128&amp;" "&amp;Milestones!$AC$128&amp;";  ","")&amp;IF(AND(EDATE($D150,Milestones!$AA$129)&lt;=AsOfDate,IF($R150=0,$X150,IF(AND($T150&lt;&gt;"",EDATE($D150,Milestones!$AA$129)&gt;=$T150),$W150,IF(AND($S150&lt;&gt;"",EDATE($D150,Milestones!$AA$129)&gt;=$S150),$V150,$U150)))=Milestones!$AB$129),UPPER(TEXT(EDATE($D150,Milestones!$AA$129),"dd mmm yy"))&amp;" "&amp;Milestones!$AB$129&amp;" "&amp;Milestones!$AC$129&amp;";  ","")&amp;IF(AND(EDATE($D150,Milestones!$AA$130)&lt;=AsOfDate,IF($R150=0,$X150,IF(AND($T150&lt;&gt;"",EDATE($D150,Milestones!$AA$130)&gt;=$T150),$W150,IF(AND($S150&lt;&gt;"",EDATE($D150,Milestones!$AA$130)&gt;=$S150),$V150,$U150)))=Milestones!$AB$130),UPPER(TEXT(EDATE($D150,Milestones!$AA$130),"dd mmm yy"))&amp;" "&amp;Milestones!$AB$130&amp;" "&amp;Milestones!$AC$130&amp;";  ","")&amp;IF(AND(EDATE($D150,Milestones!$AA$131)&lt;=AsOfDate,IF($R150=0,$X150,IF(AND($T150&lt;&gt;"",EDATE($D150,Milestones!$AA$131)&gt;=$T150),$W150,IF(AND($S150&lt;&gt;"",EDATE($D150,Milestones!$AA$131)&gt;=$S150),$V150,$U150)))=Milestones!$AB$131),UPPER(TEXT(EDATE($D150,Milestones!$AA$131),"dd mmm yy"))&amp;" "&amp;Milestones!$AB$131&amp;" "&amp;Milestones!$AC$131&amp;";  ","")&amp;IF(AND(EDATE($D150,Milestones!$AA$132)&lt;=AsOfDate,IF($R150=0,$X150,IF(AND($T150&lt;&gt;"",EDATE($D150,Milestones!$AA$132)&gt;=$T150),$W150,IF(AND($S150&lt;&gt;"",EDATE($D150,Milestones!$AA$132)&gt;=$S150),$V150,$U150)))=Milestones!$AB$132),UPPER(TEXT(EDATE($D150,Milestones!$AA$132),"dd mmm yy"))&amp;" "&amp;Milestones!$AB$132&amp;" "&amp;Milestones!$AC$132&amp;";  ","")&amp;IF(AND(EDATE($D150,Milestones!$AA$133)&lt;=AsOfDate,IF($R150=0,$X150,IF(AND($T150&lt;&gt;"",EDATE($D150,Milestones!$AA$133)&gt;=$T150),$W150,IF(AND($S150&lt;&gt;"",EDATE($D150,Milestones!$AA$133)&gt;=$S150),$V150,$U150)))=Milestones!$AB$133),UPPER(TEXT(EDATE($D150,Milestones!$AA$133),"dd mmm yy"))&amp;" "&amp;Milestones!$AB$133&amp;" "&amp;Milestones!$AC$133&amp;";  ","")&amp;IF(AND(EDATE($D150,Milestones!$AA$134)&lt;=AsOfDate,IF($R150=0,$X150,IF(AND($T150&lt;&gt;"",EDATE($D150,Milestones!$AA$134)&gt;=$T150),$W150,IF(AND($S150&lt;&gt;"",EDATE($D150,Milestones!$AA$134)&gt;=$S150),$V150,$U150)))=Milestones!$AB$134),UPPER(TEXT(EDATE($D150,Milestones!$AA$134),"dd mmm yy"))&amp;" "&amp;Milestones!$AB$134&amp;" "&amp;Milestones!$AC$134&amp;";  ","")&amp;IF(AND(EDATE($D150,Milestones!$AA$135)&lt;=AsOfDate,IF($R150=0,$X150,IF(AND($T150&lt;&gt;"",EDATE($D150,Milestones!$AA$135)&gt;=$T150),$W150,IF(AND($S150&lt;&gt;"",EDATE($D150,Milestones!$AA$135)&gt;=$S150),$V150,$U150)))=Milestones!$AB$135),UPPER(TEXT(EDATE($D150,Milestones!$AA$135),"dd mmm yy"))&amp;" "&amp;Milestones!$AB$135&amp;" "&amp;Milestones!$AC$135&amp;";  ","")&amp;IF(AND(EDATE($D150,Milestones!$AA$136)&lt;=AsOfDate,IF($R150=0,$X150,IF(AND($T150&lt;&gt;"",EDATE($D150,Milestones!$AA$136)&gt;=$T150),$W150,IF(AND($S150&lt;&gt;"",EDATE($D150,Milestones!$AA$136)&gt;=$S150),$V150,$U150)))=Milestones!$AB$136),UPPER(TEXT(EDATE($D150,Milestones!$AA$136),"dd mmm yy"))&amp;" "&amp;Milestones!$AB$136&amp;" "&amp;Milestones!$AC$136&amp;";  ","")&amp;IF(AND(EDATE($D150,Milestones!$AA$137)&lt;=AsOfDate,IF($R150=0,$X150,IF(AND($T150&lt;&gt;"",EDATE($D150,Milestones!$AA$137)&gt;=$T150),$W150,IF(AND($S150&lt;&gt;"",EDATE($D150,Milestones!$AA$137)&gt;=$S150),$V150,$U150)))=Milestones!$AB$137),UPPER(TEXT(EDATE($D150,Milestones!$AA$137),"dd mmm yy"))&amp;" "&amp;Milestones!$AB$137&amp;" "&amp;Milestones!$AC$137&amp;";  ","")&amp;IF(AND(EDATE($D150,Milestones!$AA$138)&lt;=AsOfDate,IF($R150=0,$X150,IF(AND($T150&lt;&gt;"",EDATE($D150,Milestones!$AA$138)&gt;=$T150),$W150,IF(AND($S150&lt;&gt;"",EDATE($D150,Milestones!$AA$138)&gt;=$S150),$V150,$U150)))=Milestones!$AB$138),UPPER(TEXT(EDATE($D150,Milestones!$AA$138),"dd mmm yy"))&amp;" "&amp;Milestones!$AB$138&amp;" "&amp;Milestones!$AC$138&amp;";  ","")&amp;IF(AND(EDATE($D150,Milestones!$AA$139)&lt;=AsOfDate,IF($R150=0,$X150,IF(AND($T150&lt;&gt;"",EDATE($D150,Milestones!$AA$139)&gt;=$T150),$W150,IF(AND($S150&lt;&gt;"",EDATE($D150,Milestones!$AA$139)&gt;=$S150),$V150,$U150)))=Milestones!$AB$139),UPPER(TEXT(EDATE($D150,Milestones!$AA$139),"dd mmm yy"))&amp;" "&amp;Milestones!$AB$139&amp;" "&amp;Milestones!$AC$139&amp;";  ",""))</f>
        <v/>
      </c>
      <c r="O150" s="0" t="str">
        <f aca="false">IF(OR($A150="",$D150=""),"",IF(AND(EDATE($D150,Milestones!$AA$140)&lt;=AsOfDate,IF($R150=0,$X150,IF(AND($T150&lt;&gt;"",EDATE($D150,Milestones!$AA$140)&gt;=$T150),$W150,IF(AND($S150&lt;&gt;"",EDATE($D150,Milestones!$AA$140)&gt;=$S150),$V150,$U150)))=Milestones!$AB$140),UPPER(TEXT(EDATE($D150,Milestones!$AA$140),"dd mmm yy"))&amp;" "&amp;Milestones!$AB$140&amp;" "&amp;Milestones!$AC$140&amp;";  ","")&amp;IF(AND(EDATE($D150,Milestones!$AA$141)&lt;=AsOfDate,IF($R150=0,$X150,IF(AND($T150&lt;&gt;"",EDATE($D150,Milestones!$AA$141)&gt;=$T150),$W150,IF(AND($S150&lt;&gt;"",EDATE($D150,Milestones!$AA$141)&gt;=$S150),$V150,$U150)))=Milestones!$AB$141),UPPER(TEXT(EDATE($D150,Milestones!$AA$141),"dd mmm yy"))&amp;" "&amp;Milestones!$AB$141&amp;" "&amp;Milestones!$AC$141&amp;";  ","")&amp;IF(AND(EDATE($D150,Milestones!$AA$142)&lt;=AsOfDate,IF($R150=0,$X150,IF(AND($T150&lt;&gt;"",EDATE($D150,Milestones!$AA$142)&gt;=$T150),$W150,IF(AND($S150&lt;&gt;"",EDATE($D150,Milestones!$AA$142)&gt;=$S150),$V150,$U150)))=Milestones!$AB$142),UPPER(TEXT(EDATE($D150,Milestones!$AA$142),"dd mmm yy"))&amp;" "&amp;Milestones!$AB$142&amp;" "&amp;Milestones!$AC$142&amp;";  ","")&amp;IF(AND(EDATE($D150,Milestones!$AA$143)&lt;=AsOfDate,IF($R150=0,$X150,IF(AND($T150&lt;&gt;"",EDATE($D150,Milestones!$AA$143)&gt;=$T150),$W150,IF(AND($S150&lt;&gt;"",EDATE($D150,Milestones!$AA$143)&gt;=$S150),$V150,$U150)))=Milestones!$AB$143),UPPER(TEXT(EDATE($D150,Milestones!$AA$143),"dd mmm yy"))&amp;" "&amp;Milestones!$AB$143&amp;" "&amp;Milestones!$AC$143&amp;";  ","")&amp;IF(AND(EDATE($D150,Milestones!$AA$144)&lt;=AsOfDate,IF($R150=0,$X150,IF(AND($T150&lt;&gt;"",EDATE($D150,Milestones!$AA$144)&gt;=$T150),$W150,IF(AND($S150&lt;&gt;"",EDATE($D150,Milestones!$AA$144)&gt;=$S150),$V150,$U150)))=Milestones!$AB$144),UPPER(TEXT(EDATE($D150,Milestones!$AA$144),"dd mmm yy"))&amp;" "&amp;Milestones!$AB$144&amp;" "&amp;Milestones!$AC$144&amp;";  ","")&amp;IF(AND(EDATE($D150,Milestones!$AA$145)&lt;=AsOfDate,IF($R150=0,$X150,IF(AND($T150&lt;&gt;"",EDATE($D150,Milestones!$AA$145)&gt;=$T150),$W150,IF(AND($S150&lt;&gt;"",EDATE($D150,Milestones!$AA$145)&gt;=$S150),$V150,$U150)))=Milestones!$AB$145),UPPER(TEXT(EDATE($D150,Milestones!$AA$145),"dd mmm yy"))&amp;" "&amp;Milestones!$AB$145&amp;" "&amp;Milestones!$AC$145&amp;";  ","")&amp;IF(AND(EDATE($D150,Milestones!$AA$146)&lt;=AsOfDate,IF($R150=0,$X150,IF(AND($T150&lt;&gt;"",EDATE($D150,Milestones!$AA$146)&gt;=$T150),$W150,IF(AND($S150&lt;&gt;"",EDATE($D150,Milestones!$AA$146)&gt;=$S150),$V150,$U150)))=Milestones!$AB$146),UPPER(TEXT(EDATE($D150,Milestones!$AA$146),"dd mmm yy"))&amp;" "&amp;Milestones!$AB$146&amp;" "&amp;Milestones!$AC$146&amp;";  ","")&amp;IF(AND(EDATE($D150,Milestones!$AA$147)&lt;=AsOfDate,IF($R150=0,$X150,IF(AND($T150&lt;&gt;"",EDATE($D150,Milestones!$AA$147)&gt;=$T150),$W150,IF(AND($S150&lt;&gt;"",EDATE($D150,Milestones!$AA$147)&gt;=$S150),$V150,$U150)))=Milestones!$AB$147),UPPER(TEXT(EDATE($D150,Milestones!$AA$147),"dd mmm yy"))&amp;" "&amp;Milestones!$AB$147&amp;" "&amp;Milestones!$AC$147&amp;";  ","")&amp;IF(AND(EDATE($D150,Milestones!$AA$148)&lt;=AsOfDate,IF($R150=0,$X150,IF(AND($T150&lt;&gt;"",EDATE($D150,Milestones!$AA$148)&gt;=$T150),$W150,IF(AND($S150&lt;&gt;"",EDATE($D150,Milestones!$AA$148)&gt;=$S150),$V150,$U150)))=Milestones!$AB$148),UPPER(TEXT(EDATE($D150,Milestones!$AA$148),"dd mmm yy"))&amp;" "&amp;Milestones!$AB$148&amp;" "&amp;Milestones!$AC$148&amp;";  ","")&amp;IF(AND(EDATE($D150,Milestones!$AA$149)&lt;=AsOfDate,IF($R150=0,$X150,IF(AND($T150&lt;&gt;"",EDATE($D150,Milestones!$AA$149)&gt;=$T150),$W150,IF(AND($S150&lt;&gt;"",EDATE($D150,Milestones!$AA$149)&gt;=$S150),$V150,$U150)))=Milestones!$AB$149),UPPER(TEXT(EDATE($D150,Milestones!$AA$149),"dd mmm yy"))&amp;" "&amp;Milestones!$AB$149&amp;" "&amp;Milestones!$AC$149&amp;";  ","")&amp;IF(AND(EDATE($D150,Milestones!$AA$150)&lt;=AsOfDate,IF($R150=0,$X150,IF(AND($T150&lt;&gt;"",EDATE($D150,Milestones!$AA$150)&gt;=$T150),$W150,IF(AND($S150&lt;&gt;"",EDATE($D150,Milestones!$AA$150)&gt;=$S150),$V150,$U150)))=Milestones!$AB$150),UPPER(TEXT(EDATE($D150,Milestones!$AA$150),"dd mmm yy"))&amp;" "&amp;Milestones!$AB$150&amp;" "&amp;Milestones!$AC$150&amp;";  ","")&amp;IF(AND(EDATE($D150,Milestones!$AA$151)&lt;=AsOfDate,IF($R150=0,$X150,IF(AND($T150&lt;&gt;"",EDATE($D150,Milestones!$AA$151)&gt;=$T150),$W150,IF(AND($S150&lt;&gt;"",EDATE($D150,Milestones!$AA$151)&gt;=$S150),$V150,$U150)))=Milestones!$AB$151),UPPER(TEXT(EDATE($D150,Milestones!$AA$151),"dd mmm yy"))&amp;" "&amp;Milestones!$AB$151&amp;" "&amp;Milestones!$AC$151&amp;";  ","")&amp;IF(AND(EDATE($D150,Milestones!$AA$152)&lt;=AsOfDate,IF($R150=0,$X150,IF(AND($T150&lt;&gt;"",EDATE($D150,Milestones!$AA$152)&gt;=$T150),$W150,IF(AND($S150&lt;&gt;"",EDATE($D150,Milestones!$AA$152)&gt;=$S150),$V150,$U150)))=Milestones!$AB$152),UPPER(TEXT(EDATE($D150,Milestones!$AA$152),"dd mmm yy"))&amp;" "&amp;Milestones!$AB$152&amp;" "&amp;Milestones!$AC$152&amp;";  ","")&amp;IF(AND(EDATE($D150,Milestones!$AA$153)&lt;=AsOfDate,IF($R150=0,$X150,IF(AND($T150&lt;&gt;"",EDATE($D150,Milestones!$AA$153)&gt;=$T150),$W150,IF(AND($S150&lt;&gt;"",EDATE($D150,Milestones!$AA$153)&gt;=$S150),$V150,$U150)))=Milestones!$AB$153),UPPER(TEXT(EDATE($D150,Milestones!$AA$153),"dd mmm yy"))&amp;" "&amp;Milestones!$AB$153&amp;" "&amp;Milestones!$AC$153&amp;";  ","")&amp;IF(AND(EDATE($D150,Milestones!$AA$154)&lt;=AsOfDate,IF($R150=0,$X150,IF(AND($T150&lt;&gt;"",EDATE($D150,Milestones!$AA$154)&gt;=$T150),$W150,IF(AND($S150&lt;&gt;"",EDATE($D150,Milestones!$AA$154)&gt;=$S150),$V150,$U150)))=Milestones!$AB$154),UPPER(TEXT(EDATE($D150,Milestones!$AA$154),"dd mmm yy"))&amp;" "&amp;Milestones!$AB$154&amp;" "&amp;Milestones!$AC$154&amp;";  ","")&amp;IF(AND(EDATE($D150,Milestones!$AA$155)&lt;=AsOfDate,IF($R150=0,$X150,IF(AND($T150&lt;&gt;"",EDATE($D150,Milestones!$AA$155)&gt;=$T150),$W150,IF(AND($S150&lt;&gt;"",EDATE($D150,Milestones!$AA$155)&gt;=$S150),$V150,$U150)))=Milestones!$AB$155),UPPER(TEXT(EDATE($D150,Milestones!$AA$155),"dd mmm yy"))&amp;" "&amp;Milestones!$AB$155&amp;" "&amp;Milestones!$AC$155&amp;";  ","")&amp;IF(AND(EDATE($D150,Milestones!$AA$156)&lt;=AsOfDate,IF($R150=0,$X150,IF(AND($T150&lt;&gt;"",EDATE($D150,Milestones!$AA$156)&gt;=$T150),$W150,IF(AND($S150&lt;&gt;"",EDATE($D150,Milestones!$AA$156)&gt;=$S150),$V150,$U150)))=Milestones!$AB$156),UPPER(TEXT(EDATE($D150,Milestones!$AA$156),"dd mmm yy"))&amp;" "&amp;Milestones!$AB$156&amp;" "&amp;Milestones!$AC$156&amp;";  ","")&amp;IF(AND(EDATE($D150,Milestones!$AA$157)&lt;=AsOfDate,IF($R150=0,$X150,IF(AND($T150&lt;&gt;"",EDATE($D150,Milestones!$AA$157)&gt;=$T150),$W150,IF(AND($S150&lt;&gt;"",EDATE($D150,Milestones!$AA$157)&gt;=$S150),$V150,$U150)))=Milestones!$AB$157),UPPER(TEXT(EDATE($D150,Milestones!$AA$157),"dd mmm yy"))&amp;" "&amp;Milestones!$AB$157&amp;" "&amp;Milestones!$AC$157&amp;";  ","")&amp;IF(AND(EDATE($D150,Milestones!$AA$158)&lt;=AsOfDate,IF($R150=0,$X150,IF(AND($T150&lt;&gt;"",EDATE($D150,Milestones!$AA$158)&gt;=$T150),$W150,IF(AND($S150&lt;&gt;"",EDATE($D150,Milestones!$AA$158)&gt;=$S150),$V150,$U150)))=Milestones!$AB$158),UPPER(TEXT(EDATE($D150,Milestones!$AA$158),"dd mmm yy"))&amp;" "&amp;Milestones!$AB$158&amp;" "&amp;Milestones!$AC$158&amp;";  ","")&amp;IF(AND(EDATE($D150,Milestones!$AA$159)&lt;=AsOfDate,IF($R150=0,$X150,IF(AND($T150&lt;&gt;"",EDATE($D150,Milestones!$AA$159)&gt;=$T150),$W150,IF(AND($S150&lt;&gt;"",EDATE($D150,Milestones!$AA$159)&gt;=$S150),$V150,$U150)))=Milestones!$AB$159),UPPER(TEXT(EDATE($D150,Milestones!$AA$159),"dd mmm yy"))&amp;" "&amp;Milestones!$AB$159&amp;" "&amp;Milestones!$AC$159&amp;";  ",""))</f>
        <v/>
      </c>
      <c r="P150" s="0" t="str">
        <f aca="false">IF(OR($A150="",$D150=""),"",IF(AND(EDATE($D150,Milestones!$AA$160)&lt;=AsOfDate,IF($R150=0,$X150,IF(AND($T150&lt;&gt;"",EDATE($D150,Milestones!$AA$160)&gt;=$T150),$W150,IF(AND($S150&lt;&gt;"",EDATE($D150,Milestones!$AA$160)&gt;=$S150),$V150,$U150)))=Milestones!$AB$160),UPPER(TEXT(EDATE($D150,Milestones!$AA$160),"dd mmm yy"))&amp;" "&amp;Milestones!$AB$160&amp;" "&amp;Milestones!$AC$160&amp;";  ","")&amp;IF(AND(EDATE($D150,Milestones!$AA$161)&lt;=AsOfDate,IF($R150=0,$X150,IF(AND($T150&lt;&gt;"",EDATE($D150,Milestones!$AA$161)&gt;=$T150),$W150,IF(AND($S150&lt;&gt;"",EDATE($D150,Milestones!$AA$161)&gt;=$S150),$V150,$U150)))=Milestones!$AB$161),UPPER(TEXT(EDATE($D150,Milestones!$AA$161),"dd mmm yy"))&amp;" "&amp;Milestones!$AB$161&amp;" "&amp;Milestones!$AC$161&amp;";  ","")&amp;IF(AND(EDATE($D150,Milestones!$AA$162)&lt;=AsOfDate,IF($R150=0,$X150,IF(AND($T150&lt;&gt;"",EDATE($D150,Milestones!$AA$162)&gt;=$T150),$W150,IF(AND($S150&lt;&gt;"",EDATE($D150,Milestones!$AA$162)&gt;=$S150),$V150,$U150)))=Milestones!$AB$162),UPPER(TEXT(EDATE($D150,Milestones!$AA$162),"dd mmm yy"))&amp;" "&amp;Milestones!$AB$162&amp;" "&amp;Milestones!$AC$162&amp;";  ","")&amp;IF(AND(EDATE($D150,Milestones!$AA$163)&lt;=AsOfDate,IF($R150=0,$X150,IF(AND($T150&lt;&gt;"",EDATE($D150,Milestones!$AA$163)&gt;=$T150),$W150,IF(AND($S150&lt;&gt;"",EDATE($D150,Milestones!$AA$163)&gt;=$S150),$V150,$U150)))=Milestones!$AB$163),UPPER(TEXT(EDATE($D150,Milestones!$AA$163),"dd mmm yy"))&amp;" "&amp;Milestones!$AB$163&amp;" "&amp;Milestones!$AC$163&amp;";  ","")&amp;IF(AND(EDATE($D150,Milestones!$AA$164)&lt;=AsOfDate,IF($R150=0,$X150,IF(AND($T150&lt;&gt;"",EDATE($D150,Milestones!$AA$164)&gt;=$T150),$W150,IF(AND($S150&lt;&gt;"",EDATE($D150,Milestones!$AA$164)&gt;=$S150),$V150,$U150)))=Milestones!$AB$164),UPPER(TEXT(EDATE($D150,Milestones!$AA$164),"dd mmm yy"))&amp;" "&amp;Milestones!$AB$164&amp;" "&amp;Milestones!$AC$164&amp;";  ","")&amp;IF(AND(EDATE($D150,Milestones!$AA$165)&lt;=AsOfDate,IF($R150=0,$X150,IF(AND($T150&lt;&gt;"",EDATE($D150,Milestones!$AA$165)&gt;=$T150),$W150,IF(AND($S150&lt;&gt;"",EDATE($D150,Milestones!$AA$165)&gt;=$S150),$V150,$U150)))=Milestones!$AB$165),UPPER(TEXT(EDATE($D150,Milestones!$AA$165),"dd mmm yy"))&amp;" "&amp;Milestones!$AB$165&amp;" "&amp;Milestones!$AC$165&amp;";  ","")&amp;IF(AND(EDATE($D150,Milestones!$AA$166)&lt;=AsOfDate,IF($R150=0,$X150,IF(AND($T150&lt;&gt;"",EDATE($D150,Milestones!$AA$166)&gt;=$T150),$W150,IF(AND($S150&lt;&gt;"",EDATE($D150,Milestones!$AA$166)&gt;=$S150),$V150,$U150)))=Milestones!$AB$166),UPPER(TEXT(EDATE($D150,Milestones!$AA$166),"dd mmm yy"))&amp;" "&amp;Milestones!$AB$166&amp;" "&amp;Milestones!$AC$166&amp;";  ","")&amp;IF(AND(EDATE($D150,Milestones!$AA$167)&lt;=AsOfDate,IF($R150=0,$X150,IF(AND($T150&lt;&gt;"",EDATE($D150,Milestones!$AA$167)&gt;=$T150),$W150,IF(AND($S150&lt;&gt;"",EDATE($D150,Milestones!$AA$167)&gt;=$S150),$V150,$U150)))=Milestones!$AB$167),UPPER(TEXT(EDATE($D150,Milestones!$AA$167),"dd mmm yy"))&amp;" "&amp;Milestones!$AB$167&amp;" "&amp;Milestones!$AC$167&amp;";  ","")&amp;IF(AND(EDATE($D150,Milestones!$AA$168)&lt;=AsOfDate,IF($R150=0,$X150,IF(AND($T150&lt;&gt;"",EDATE($D150,Milestones!$AA$168)&gt;=$T150),$W150,IF(AND($S150&lt;&gt;"",EDATE($D150,Milestones!$AA$168)&gt;=$S150),$V150,$U150)))=Milestones!$AB$168),UPPER(TEXT(EDATE($D150,Milestones!$AA$168),"dd mmm yy"))&amp;" "&amp;Milestones!$AB$168&amp;" "&amp;Milestones!$AC$168&amp;";  ","")&amp;IF(AND(EDATE($D150,Milestones!$AA$169)&lt;=AsOfDate,IF($R150=0,$X150,IF(AND($T150&lt;&gt;"",EDATE($D150,Milestones!$AA$169)&gt;=$T150),$W150,IF(AND($S150&lt;&gt;"",EDATE($D150,Milestones!$AA$169)&gt;=$S150),$V150,$U150)))=Milestones!$AB$169),UPPER(TEXT(EDATE($D150,Milestones!$AA$169),"dd mmm yy"))&amp;" "&amp;Milestones!$AB$169&amp;" "&amp;Milestones!$AC$169&amp;";  ","")&amp;IF(AND(EDATE($D150,Milestones!$AA$170)&lt;=AsOfDate,IF($R150=0,$X150,IF(AND($T150&lt;&gt;"",EDATE($D150,Milestones!$AA$170)&gt;=$T150),$W150,IF(AND($S150&lt;&gt;"",EDATE($D150,Milestones!$AA$170)&gt;=$S150),$V150,$U150)))=Milestones!$AB$170),UPPER(TEXT(EDATE($D150,Milestones!$AA$170),"dd mmm yy"))&amp;" "&amp;Milestones!$AB$170&amp;" "&amp;Milestones!$AC$170&amp;";  ","")&amp;IF(AND(EDATE($D150,Milestones!$AA$171)&lt;=AsOfDate,IF($R150=0,$X150,IF(AND($T150&lt;&gt;"",EDATE($D150,Milestones!$AA$171)&gt;=$T150),$W150,IF(AND($S150&lt;&gt;"",EDATE($D150,Milestones!$AA$171)&gt;=$S150),$V150,$U150)))=Milestones!$AB$171),UPPER(TEXT(EDATE($D150,Milestones!$AA$171),"dd mmm yy"))&amp;" "&amp;Milestones!$AB$171&amp;" "&amp;Milestones!$AC$171&amp;";  ","")&amp;IF(AND(EDATE($D150,Milestones!$AA$172)&lt;=AsOfDate,IF($R150=0,$X150,IF(AND($T150&lt;&gt;"",EDATE($D150,Milestones!$AA$172)&gt;=$T150),$W150,IF(AND($S150&lt;&gt;"",EDATE($D150,Milestones!$AA$172)&gt;=$S150),$V150,$U150)))=Milestones!$AB$172),UPPER(TEXT(EDATE($D150,Milestones!$AA$172),"dd mmm yy"))&amp;" "&amp;Milestones!$AB$172&amp;" "&amp;Milestones!$AC$172&amp;";  ","")&amp;IF(AND(EDATE($D150,Milestones!$AA$173)&lt;=AsOfDate,IF($R150=0,$X150,IF(AND($T150&lt;&gt;"",EDATE($D150,Milestones!$AA$173)&gt;=$T150),$W150,IF(AND($S150&lt;&gt;"",EDATE($D150,Milestones!$AA$173)&gt;=$S150),$V150,$U150)))=Milestones!$AB$173),UPPER(TEXT(EDATE($D150,Milestones!$AA$173),"dd mmm yy"))&amp;" "&amp;Milestones!$AB$173&amp;" "&amp;Milestones!$AC$173&amp;";  ","")&amp;IF(AND(EDATE($D150,Milestones!$AA$174)&lt;=AsOfDate,IF($R150=0,$X150,IF(AND($T150&lt;&gt;"",EDATE($D150,Milestones!$AA$174)&gt;=$T150),$W150,IF(AND($S150&lt;&gt;"",EDATE($D150,Milestones!$AA$174)&gt;=$S150),$V150,$U150)))=Milestones!$AB$174),UPPER(TEXT(EDATE($D150,Milestones!$AA$174),"dd mmm yy"))&amp;" "&amp;Milestones!$AB$174&amp;" "&amp;Milestones!$AC$174&amp;";  ","")&amp;IF(AND(EDATE($D150,Milestones!$AA$175)&lt;=AsOfDate,IF($R150=0,$X150,IF(AND($T150&lt;&gt;"",EDATE($D150,Milestones!$AA$175)&gt;=$T150),$W150,IF(AND($S150&lt;&gt;"",EDATE($D150,Milestones!$AA$175)&gt;=$S150),$V150,$U150)))=Milestones!$AB$175),UPPER(TEXT(EDATE($D150,Milestones!$AA$175),"dd mmm yy"))&amp;" "&amp;Milestones!$AB$175&amp;" "&amp;Milestones!$AC$175&amp;";  ","")&amp;IF(AND(EDATE($D150,Milestones!$AA$176)&lt;=AsOfDate,IF($R150=0,$X150,IF(AND($T150&lt;&gt;"",EDATE($D150,Milestones!$AA$176)&gt;=$T150),$W150,IF(AND($S150&lt;&gt;"",EDATE($D150,Milestones!$AA$176)&gt;=$S150),$V150,$U150)))=Milestones!$AB$176),UPPER(TEXT(EDATE($D150,Milestones!$AA$176),"dd mmm yy"))&amp;" "&amp;Milestones!$AB$176&amp;" "&amp;Milestones!$AC$176&amp;";  ","")&amp;IF(AND(EDATE($D150,Milestones!$AA$177)&lt;=AsOfDate,IF($R150=0,$X150,IF(AND($T150&lt;&gt;"",EDATE($D150,Milestones!$AA$177)&gt;=$T150),$W150,IF(AND($S150&lt;&gt;"",EDATE($D150,Milestones!$AA$177)&gt;=$S150),$V150,$U150)))=Milestones!$AB$177),UPPER(TEXT(EDATE($D150,Milestones!$AA$177),"dd mmm yy"))&amp;" "&amp;Milestones!$AB$177&amp;" "&amp;Milestones!$AC$177&amp;";  ","")&amp;IF(AND(EDATE($D150,Milestones!$AA$178)&lt;=AsOfDate,IF($R150=0,$X150,IF(AND($T150&lt;&gt;"",EDATE($D150,Milestones!$AA$178)&gt;=$T150),$W150,IF(AND($S150&lt;&gt;"",EDATE($D150,Milestones!$AA$178)&gt;=$S150),$V150,$U150)))=Milestones!$AB$178),UPPER(TEXT(EDATE($D150,Milestones!$AA$178),"dd mmm yy"))&amp;" "&amp;Milestones!$AB$178&amp;" "&amp;Milestones!$AC$178&amp;";  ","")&amp;IF(AND(EDATE($D150,Milestones!$AA$179)&lt;=AsOfDate,IF($R150=0,$X150,IF(AND($T150&lt;&gt;"",EDATE($D150,Milestones!$AA$179)&gt;=$T150),$W150,IF(AND($S150&lt;&gt;"",EDATE($D150,Milestones!$AA$179)&gt;=$S150),$V150,$U150)))=Milestones!$AB$179),UPPER(TEXT(EDATE($D150,Milestones!$AA$179),"dd mmm yy"))&amp;" "&amp;Milestones!$AB$179&amp;" "&amp;Milestones!$AC$179&amp;";  ",""))</f>
        <v/>
      </c>
      <c r="Q150" s="0" t="str">
        <f aca="false">IF(OR($A150="",$D150=""),"",IF(AND(EDATE($D150,Milestones!$AA$180)&lt;=AsOfDate,IF($R150=0,$X150,IF(AND($T150&lt;&gt;"",EDATE($D150,Milestones!$AA$180)&gt;=$T150),$W150,IF(AND($S150&lt;&gt;"",EDATE($D150,Milestones!$AA$180)&gt;=$S150),$V150,$U150)))=Milestones!$AB$180),UPPER(TEXT(EDATE($D150,Milestones!$AA$180),"dd mmm yy"))&amp;" "&amp;Milestones!$AB$180&amp;" "&amp;Milestones!$AC$180&amp;";  ","")&amp;IF(AND(EDATE($D150,Milestones!$AA$181)&lt;=AsOfDate,IF($R150=0,$X150,IF(AND($T150&lt;&gt;"",EDATE($D150,Milestones!$AA$181)&gt;=$T150),$W150,IF(AND($S150&lt;&gt;"",EDATE($D150,Milestones!$AA$181)&gt;=$S150),$V150,$U150)))=Milestones!$AB$181),UPPER(TEXT(EDATE($D150,Milestones!$AA$181),"dd mmm yy"))&amp;" "&amp;Milestones!$AB$181&amp;" "&amp;Milestones!$AC$181&amp;";  ","")&amp;IF(AND(EDATE($D150,Milestones!$AA$182)&lt;=AsOfDate,IF($R150=0,$X150,IF(AND($T150&lt;&gt;"",EDATE($D150,Milestones!$AA$182)&gt;=$T150),$W150,IF(AND($S150&lt;&gt;"",EDATE($D150,Milestones!$AA$182)&gt;=$S150),$V150,$U150)))=Milestones!$AB$182),UPPER(TEXT(EDATE($D150,Milestones!$AA$182),"dd mmm yy"))&amp;" "&amp;Milestones!$AB$182&amp;" "&amp;Milestones!$AC$182&amp;";  ","")&amp;IF(AND(EDATE($D150,Milestones!$AA$183)&lt;=AsOfDate,IF($R150=0,$X150,IF(AND($T150&lt;&gt;"",EDATE($D150,Milestones!$AA$183)&gt;=$T150),$W150,IF(AND($S150&lt;&gt;"",EDATE($D150,Milestones!$AA$183)&gt;=$S150),$V150,$U150)))=Milestones!$AB$183),UPPER(TEXT(EDATE($D150,Milestones!$AA$183),"dd mmm yy"))&amp;" "&amp;Milestones!$AB$183&amp;" "&amp;Milestones!$AC$183&amp;";  ","")&amp;IF(AND(EDATE($D150,Milestones!$AA$184)&lt;=AsOfDate,IF($R150=0,$X150,IF(AND($T150&lt;&gt;"",EDATE($D150,Milestones!$AA$184)&gt;=$T150),$W150,IF(AND($S150&lt;&gt;"",EDATE($D150,Milestones!$AA$184)&gt;=$S150),$V150,$U150)))=Milestones!$AB$184),UPPER(TEXT(EDATE($D150,Milestones!$AA$184),"dd mmm yy"))&amp;" "&amp;Milestones!$AB$184&amp;" "&amp;Milestones!$AC$184&amp;";  ","")&amp;IF(AND(EDATE($D150,Milestones!$AA$185)&lt;=AsOfDate,IF($R150=0,$X150,IF(AND($T150&lt;&gt;"",EDATE($D150,Milestones!$AA$185)&gt;=$T150),$W150,IF(AND($S150&lt;&gt;"",EDATE($D150,Milestones!$AA$185)&gt;=$S150),$V150,$U150)))=Milestones!$AB$185),UPPER(TEXT(EDATE($D150,Milestones!$AA$185),"dd mmm yy"))&amp;" "&amp;Milestones!$AB$185&amp;" "&amp;Milestones!$AC$185&amp;";  ","")&amp;IF(AND(EDATE($D150,Milestones!$AA$186)&lt;=AsOfDate,IF($R150=0,$X150,IF(AND($T150&lt;&gt;"",EDATE($D150,Milestones!$AA$186)&gt;=$T150),$W150,IF(AND($S150&lt;&gt;"",EDATE($D150,Milestones!$AA$186)&gt;=$S150),$V150,$U150)))=Milestones!$AB$186),UPPER(TEXT(EDATE($D150,Milestones!$AA$186),"dd mmm yy"))&amp;" "&amp;Milestones!$AB$186&amp;" "&amp;Milestones!$AC$186&amp;";  ","")&amp;IF(AND(EDATE($D150,Milestones!$AA$187)&lt;=AsOfDate,IF($R150=0,$X150,IF(AND($T150&lt;&gt;"",EDATE($D150,Milestones!$AA$187)&gt;=$T150),$W150,IF(AND($S150&lt;&gt;"",EDATE($D150,Milestones!$AA$187)&gt;=$S150),$V150,$U150)))=Milestones!$AB$187),UPPER(TEXT(EDATE($D150,Milestones!$AA$187),"dd mmm yy"))&amp;" "&amp;Milestones!$AB$187&amp;" "&amp;Milestones!$AC$187&amp;";  ","")&amp;IF(AND(EDATE($D150,Milestones!$AA$188)&lt;=AsOfDate,IF($R150=0,$X150,IF(AND($T150&lt;&gt;"",EDATE($D150,Milestones!$AA$188)&gt;=$T150),$W150,IF(AND($S150&lt;&gt;"",EDATE($D150,Milestones!$AA$188)&gt;=$S150),$V150,$U150)))=Milestones!$AB$188),UPPER(TEXT(EDATE($D150,Milestones!$AA$188),"dd mmm yy"))&amp;" "&amp;Milestones!$AB$188&amp;" "&amp;Milestones!$AC$188&amp;";  ","")&amp;IF(AND(EDATE($D150,Milestones!$AA$189)&lt;=AsOfDate,IF($R150=0,$X150,IF(AND($T150&lt;&gt;"",EDATE($D150,Milestones!$AA$189)&gt;=$T150),$W150,IF(AND($S150&lt;&gt;"",EDATE($D150,Milestones!$AA$189)&gt;=$S150),$V150,$U150)))=Milestones!$AB$189),UPPER(TEXT(EDATE($D150,Milestones!$AA$189),"dd mmm yy"))&amp;" "&amp;Milestones!$AB$189&amp;" "&amp;Milestones!$AC$189&amp;";  ","")&amp;IF(AND(EDATE($D150,Milestones!$AA$190)&lt;=AsOfDate,IF($R150=0,$X150,IF(AND($T150&lt;&gt;"",EDATE($D150,Milestones!$AA$190)&gt;=$T150),$W150,IF(AND($S150&lt;&gt;"",EDATE($D150,Milestones!$AA$190)&gt;=$S150),$V150,$U150)))=Milestones!$AB$190),UPPER(TEXT(EDATE($D150,Milestones!$AA$190),"dd mmm yy"))&amp;" "&amp;Milestones!$AB$190&amp;" "&amp;Milestones!$AC$190&amp;";  ","")&amp;IF(AND(EDATE($D150,Milestones!$AA$191)&lt;=AsOfDate,IF($R150=0,$X150,IF(AND($T150&lt;&gt;"",EDATE($D150,Milestones!$AA$191)&gt;=$T150),$W150,IF(AND($S150&lt;&gt;"",EDATE($D150,Milestones!$AA$191)&gt;=$S150),$V150,$U150)))=Milestones!$AB$191),UPPER(TEXT(EDATE($D150,Milestones!$AA$191),"dd mmm yy"))&amp;" "&amp;Milestones!$AB$191&amp;" "&amp;Milestones!$AC$191&amp;";  ","")&amp;IF(AND(EDATE($D150,Milestones!$AA$192)&lt;=AsOfDate,IF($R150=0,$X150,IF(AND($T150&lt;&gt;"",EDATE($D150,Milestones!$AA$192)&gt;=$T150),$W150,IF(AND($S150&lt;&gt;"",EDATE($D150,Milestones!$AA$192)&gt;=$S150),$V150,$U150)))=Milestones!$AB$192),UPPER(TEXT(EDATE($D150,Milestones!$AA$192),"dd mmm yy"))&amp;" "&amp;Milestones!$AB$192&amp;" "&amp;Milestones!$AC$192&amp;";  ","")&amp;IF(AND(EDATE($D150,Milestones!$AA$193)&lt;=AsOfDate,IF($R150=0,$X150,IF(AND($T150&lt;&gt;"",EDATE($D150,Milestones!$AA$193)&gt;=$T150),$W150,IF(AND($S150&lt;&gt;"",EDATE($D150,Milestones!$AA$193)&gt;=$S150),$V150,$U150)))=Milestones!$AB$193),UPPER(TEXT(EDATE($D150,Milestones!$AA$193),"dd mmm yy"))&amp;" "&amp;Milestones!$AB$193&amp;" "&amp;Milestones!$AC$193&amp;";  ","")&amp;IF(AND(EDATE($D150,Milestones!$AA$194)&lt;=AsOfDate,IF($R150=0,$X150,IF(AND($T150&lt;&gt;"",EDATE($D150,Milestones!$AA$194)&gt;=$T150),$W150,IF(AND($S150&lt;&gt;"",EDATE($D150,Milestones!$AA$194)&gt;=$S150),$V150,$U150)))=Milestones!$AB$194),UPPER(TEXT(EDATE($D150,Milestones!$AA$194),"dd mmm yy"))&amp;" "&amp;Milestones!$AB$194&amp;" "&amp;Milestones!$AC$194&amp;";  ","")&amp;IF(AND(EDATE($D150,Milestones!$AA$195)&lt;=AsOfDate,IF($R150=0,$X150,IF(AND($T150&lt;&gt;"",EDATE($D150,Milestones!$AA$195)&gt;=$T150),$W150,IF(AND($S150&lt;&gt;"",EDATE($D150,Milestones!$AA$195)&gt;=$S150),$V150,$U150)))=Milestones!$AB$195),UPPER(TEXT(EDATE($D150,Milestones!$AA$195),"dd mmm yy"))&amp;" "&amp;Milestones!$AB$195&amp;" "&amp;Milestones!$AC$195&amp;";  ","")&amp;IF(AND(EDATE($D150,Milestones!$AA$196)&lt;=AsOfDate,IF($R150=0,$X150,IF(AND($T150&lt;&gt;"",EDATE($D150,Milestones!$AA$196)&gt;=$T150),$W150,IF(AND($S150&lt;&gt;"",EDATE($D150,Milestones!$AA$196)&gt;=$S150),$V150,$U150)))=Milestones!$AB$196),UPPER(TEXT(EDATE($D150,Milestones!$AA$196),"dd mmm yy"))&amp;" "&amp;Milestones!$AB$196&amp;" "&amp;Milestones!$AC$196&amp;";  ","")&amp;IF(AND(EDATE($D150,Milestones!$AA$197)&lt;=AsOfDate,IF($R150=0,$X150,IF(AND($T150&lt;&gt;"",EDATE($D150,Milestones!$AA$197)&gt;=$T150),$W150,IF(AND($S150&lt;&gt;"",EDATE($D150,Milestones!$AA$197)&gt;=$S150),$V150,$U150)))=Milestones!$AB$197),UPPER(TEXT(EDATE($D150,Milestones!$AA$197),"dd mmm yy"))&amp;" "&amp;Milestones!$AB$197&amp;" "&amp;Milestones!$AC$197&amp;";  ","")&amp;IF(AND(EDATE($D150,Milestones!$AA$198)&lt;=AsOfDate,IF($R150=0,$X150,IF(AND($T150&lt;&gt;"",EDATE($D150,Milestones!$AA$198)&gt;=$T150),$W150,IF(AND($S150&lt;&gt;"",EDATE($D150,Milestones!$AA$198)&gt;=$S150),$V150,$U150)))=Milestones!$AB$198),UPPER(TEXT(EDATE($D150,Milestones!$AA$198),"dd mmm yy"))&amp;" "&amp;Milestones!$AB$198&amp;" "&amp;Milestones!$AC$198&amp;";  ","")&amp;IF(AND(EDATE($D150,Milestones!$AA$199)&lt;=AsOfDate,IF($R150=0,$X150,IF(AND($T150&lt;&gt;"",EDATE($D150,Milestones!$AA$199)&gt;=$T150),$W150,IF(AND($S150&lt;&gt;"",EDATE($D150,Milestones!$AA$199)&gt;=$S150),$V150,$U150)))=Milestones!$AB$199),UPPER(TEXT(EDATE($D150,Milestones!$AA$199),"dd mmm yy"))&amp;" "&amp;Milestones!$AB$199&amp;" "&amp;Milestones!$AC$199&amp;";  ",""))</f>
        <v/>
      </c>
      <c r="R150" s="0" t="str">
        <f aca="false">IF(Staff!$A150="","",Staff!$AI150)</f>
        <v/>
      </c>
      <c r="S150" s="0" t="str">
        <f aca="false">IF(Staff!$A150="","",Staff!$AK150)</f>
        <v/>
      </c>
      <c r="T150" s="0" t="str">
        <f aca="false">IF(Staff!$A150="","",Staff!$AL150)</f>
        <v/>
      </c>
      <c r="U150" s="0" t="str">
        <f aca="false">IF(Staff!$A150="","",Staff!$AP150)</f>
        <v/>
      </c>
      <c r="V150" s="0" t="str">
        <f aca="false">IF(Staff!$A150="","",Staff!$AQ150)</f>
        <v/>
      </c>
      <c r="W150" s="0" t="str">
        <f aca="false">IF(Staff!$A150="","",Staff!$AR150)</f>
        <v/>
      </c>
      <c r="X150" s="0" t="str">
        <f aca="false">IF(Staff!$A150="","",Staff!$AS150)</f>
        <v/>
      </c>
    </row>
    <row r="151" customFormat="false" ht="15" hidden="false" customHeight="false" outlineLevel="0" collapsed="false">
      <c r="A151" s="19" t="str">
        <f aca="false">IF(Staff!$A151="","",Staff!$A151)</f>
        <v/>
      </c>
      <c r="B151" s="19" t="str">
        <f aca="false">IF(Staff!$A151="","",Staff!$B151)</f>
        <v/>
      </c>
      <c r="C151" s="19" t="str">
        <f aca="false">IF(Staff!$A151="","",Staff!$C151)</f>
        <v/>
      </c>
      <c r="D151" s="17" t="str">
        <f aca="false">IF(Staff!$A151="","",Staff!$AH151)</f>
        <v/>
      </c>
      <c r="E151" s="19" t="str">
        <f aca="false">IF(Staff!$A151="","",Staff!$O151)</f>
        <v/>
      </c>
      <c r="F151" s="19" t="str">
        <f aca="false">IF(E151="","",E151*HoursPerDay)</f>
        <v/>
      </c>
      <c r="G151" s="19" t="str">
        <f aca="false">IF(Staff!$A151="","",Staff!$AE151)</f>
        <v/>
      </c>
      <c r="H151" s="32" t="str">
        <f aca="false">IF($A151="","",I151&amp;J151&amp;K151&amp;L151&amp;M151&amp;N151&amp;O151&amp;P151&amp;Q151)</f>
        <v/>
      </c>
      <c r="I151" s="0" t="str">
        <f aca="false">IF(OR($A151="",$D151=""),"",IF(AND(EDATE($D151,Milestones!$AA$20)&lt;=AsOfDate,IF($R151=0,$X151,IF(AND($T151&lt;&gt;"",EDATE($D151,Milestones!$AA$20)&gt;=$T151),$W151,IF(AND($S151&lt;&gt;"",EDATE($D151,Milestones!$AA$20)&gt;=$S151),$V151,$U151)))=Milestones!$AB$20),UPPER(TEXT(EDATE($D151,Milestones!$AA$20),"dd mmm yy"))&amp;" "&amp;Milestones!$AB$20&amp;" "&amp;Milestones!$AC$20&amp;";  ","")&amp;IF(AND(EDATE($D151,Milestones!$AA$21)&lt;=AsOfDate,IF($R151=0,$X151,IF(AND($T151&lt;&gt;"",EDATE($D151,Milestones!$AA$21)&gt;=$T151),$W151,IF(AND($S151&lt;&gt;"",EDATE($D151,Milestones!$AA$21)&gt;=$S151),$V151,$U151)))=Milestones!$AB$21),UPPER(TEXT(EDATE($D151,Milestones!$AA$21),"dd mmm yy"))&amp;" "&amp;Milestones!$AB$21&amp;" "&amp;Milestones!$AC$21&amp;";  ","")&amp;IF(AND(EDATE($D151,Milestones!$AA$22)&lt;=AsOfDate,IF($R151=0,$X151,IF(AND($T151&lt;&gt;"",EDATE($D151,Milestones!$AA$22)&gt;=$T151),$W151,IF(AND($S151&lt;&gt;"",EDATE($D151,Milestones!$AA$22)&gt;=$S151),$V151,$U151)))=Milestones!$AB$22),UPPER(TEXT(EDATE($D151,Milestones!$AA$22),"dd mmm yy"))&amp;" "&amp;Milestones!$AB$22&amp;" "&amp;Milestones!$AC$22&amp;";  ","")&amp;IF(AND(EDATE($D151,Milestones!$AA$23)&lt;=AsOfDate,IF($R151=0,$X151,IF(AND($T151&lt;&gt;"",EDATE($D151,Milestones!$AA$23)&gt;=$T151),$W151,IF(AND($S151&lt;&gt;"",EDATE($D151,Milestones!$AA$23)&gt;=$S151),$V151,$U151)))=Milestones!$AB$23),UPPER(TEXT(EDATE($D151,Milestones!$AA$23),"dd mmm yy"))&amp;" "&amp;Milestones!$AB$23&amp;" "&amp;Milestones!$AC$23&amp;";  ","")&amp;IF(AND(EDATE($D151,Milestones!$AA$24)&lt;=AsOfDate,IF($R151=0,$X151,IF(AND($T151&lt;&gt;"",EDATE($D151,Milestones!$AA$24)&gt;=$T151),$W151,IF(AND($S151&lt;&gt;"",EDATE($D151,Milestones!$AA$24)&gt;=$S151),$V151,$U151)))=Milestones!$AB$24),UPPER(TEXT(EDATE($D151,Milestones!$AA$24),"dd mmm yy"))&amp;" "&amp;Milestones!$AB$24&amp;" "&amp;Milestones!$AC$24&amp;";  ","")&amp;IF(AND(EDATE($D151,Milestones!$AA$25)&lt;=AsOfDate,IF($R151=0,$X151,IF(AND($T151&lt;&gt;"",EDATE($D151,Milestones!$AA$25)&gt;=$T151),$W151,IF(AND($S151&lt;&gt;"",EDATE($D151,Milestones!$AA$25)&gt;=$S151),$V151,$U151)))=Milestones!$AB$25),UPPER(TEXT(EDATE($D151,Milestones!$AA$25),"dd mmm yy"))&amp;" "&amp;Milestones!$AB$25&amp;" "&amp;Milestones!$AC$25&amp;";  ","")&amp;IF(AND(EDATE($D151,Milestones!$AA$26)&lt;=AsOfDate,IF($R151=0,$X151,IF(AND($T151&lt;&gt;"",EDATE($D151,Milestones!$AA$26)&gt;=$T151),$W151,IF(AND($S151&lt;&gt;"",EDATE($D151,Milestones!$AA$26)&gt;=$S151),$V151,$U151)))=Milestones!$AB$26),UPPER(TEXT(EDATE($D151,Milestones!$AA$26),"dd mmm yy"))&amp;" "&amp;Milestones!$AB$26&amp;" "&amp;Milestones!$AC$26&amp;";  ","")&amp;IF(AND(EDATE($D151,Milestones!$AA$27)&lt;=AsOfDate,IF($R151=0,$X151,IF(AND($T151&lt;&gt;"",EDATE($D151,Milestones!$AA$27)&gt;=$T151),$W151,IF(AND($S151&lt;&gt;"",EDATE($D151,Milestones!$AA$27)&gt;=$S151),$V151,$U151)))=Milestones!$AB$27),UPPER(TEXT(EDATE($D151,Milestones!$AA$27),"dd mmm yy"))&amp;" "&amp;Milestones!$AB$27&amp;" "&amp;Milestones!$AC$27&amp;";  ","")&amp;IF(AND(EDATE($D151,Milestones!$AA$28)&lt;=AsOfDate,IF($R151=0,$X151,IF(AND($T151&lt;&gt;"",EDATE($D151,Milestones!$AA$28)&gt;=$T151),$W151,IF(AND($S151&lt;&gt;"",EDATE($D151,Milestones!$AA$28)&gt;=$S151),$V151,$U151)))=Milestones!$AB$28),UPPER(TEXT(EDATE($D151,Milestones!$AA$28),"dd mmm yy"))&amp;" "&amp;Milestones!$AB$28&amp;" "&amp;Milestones!$AC$28&amp;";  ","")&amp;IF(AND(EDATE($D151,Milestones!$AA$29)&lt;=AsOfDate,IF($R151=0,$X151,IF(AND($T151&lt;&gt;"",EDATE($D151,Milestones!$AA$29)&gt;=$T151),$W151,IF(AND($S151&lt;&gt;"",EDATE($D151,Milestones!$AA$29)&gt;=$S151),$V151,$U151)))=Milestones!$AB$29),UPPER(TEXT(EDATE($D151,Milestones!$AA$29),"dd mmm yy"))&amp;" "&amp;Milestones!$AB$29&amp;" "&amp;Milestones!$AC$29&amp;";  ","")&amp;IF(AND(EDATE($D151,Milestones!$AA$30)&lt;=AsOfDate,IF($R151=0,$X151,IF(AND($T151&lt;&gt;"",EDATE($D151,Milestones!$AA$30)&gt;=$T151),$W151,IF(AND($S151&lt;&gt;"",EDATE($D151,Milestones!$AA$30)&gt;=$S151),$V151,$U151)))=Milestones!$AB$30),UPPER(TEXT(EDATE($D151,Milestones!$AA$30),"dd mmm yy"))&amp;" "&amp;Milestones!$AB$30&amp;" "&amp;Milestones!$AC$30&amp;";  ","")&amp;IF(AND(EDATE($D151,Milestones!$AA$31)&lt;=AsOfDate,IF($R151=0,$X151,IF(AND($T151&lt;&gt;"",EDATE($D151,Milestones!$AA$31)&gt;=$T151),$W151,IF(AND($S151&lt;&gt;"",EDATE($D151,Milestones!$AA$31)&gt;=$S151),$V151,$U151)))=Milestones!$AB$31),UPPER(TEXT(EDATE($D151,Milestones!$AA$31),"dd mmm yy"))&amp;" "&amp;Milestones!$AB$31&amp;" "&amp;Milestones!$AC$31&amp;";  ","")&amp;IF(AND(EDATE($D151,Milestones!$AA$32)&lt;=AsOfDate,IF($R151=0,$X151,IF(AND($T151&lt;&gt;"",EDATE($D151,Milestones!$AA$32)&gt;=$T151),$W151,IF(AND($S151&lt;&gt;"",EDATE($D151,Milestones!$AA$32)&gt;=$S151),$V151,$U151)))=Milestones!$AB$32),UPPER(TEXT(EDATE($D151,Milestones!$AA$32),"dd mmm yy"))&amp;" "&amp;Milestones!$AB$32&amp;" "&amp;Milestones!$AC$32&amp;";  ","")&amp;IF(AND(EDATE($D151,Milestones!$AA$33)&lt;=AsOfDate,IF($R151=0,$X151,IF(AND($T151&lt;&gt;"",EDATE($D151,Milestones!$AA$33)&gt;=$T151),$W151,IF(AND($S151&lt;&gt;"",EDATE($D151,Milestones!$AA$33)&gt;=$S151),$V151,$U151)))=Milestones!$AB$33),UPPER(TEXT(EDATE($D151,Milestones!$AA$33),"dd mmm yy"))&amp;" "&amp;Milestones!$AB$33&amp;" "&amp;Milestones!$AC$33&amp;";  ","")&amp;IF(AND(EDATE($D151,Milestones!$AA$34)&lt;=AsOfDate,IF($R151=0,$X151,IF(AND($T151&lt;&gt;"",EDATE($D151,Milestones!$AA$34)&gt;=$T151),$W151,IF(AND($S151&lt;&gt;"",EDATE($D151,Milestones!$AA$34)&gt;=$S151),$V151,$U151)))=Milestones!$AB$34),UPPER(TEXT(EDATE($D151,Milestones!$AA$34),"dd mmm yy"))&amp;" "&amp;Milestones!$AB$34&amp;" "&amp;Milestones!$AC$34&amp;";  ","")&amp;IF(AND(EDATE($D151,Milestones!$AA$35)&lt;=AsOfDate,IF($R151=0,$X151,IF(AND($T151&lt;&gt;"",EDATE($D151,Milestones!$AA$35)&gt;=$T151),$W151,IF(AND($S151&lt;&gt;"",EDATE($D151,Milestones!$AA$35)&gt;=$S151),$V151,$U151)))=Milestones!$AB$35),UPPER(TEXT(EDATE($D151,Milestones!$AA$35),"dd mmm yy"))&amp;" "&amp;Milestones!$AB$35&amp;" "&amp;Milestones!$AC$35&amp;";  ","")&amp;IF(AND(EDATE($D151,Milestones!$AA$36)&lt;=AsOfDate,IF($R151=0,$X151,IF(AND($T151&lt;&gt;"",EDATE($D151,Milestones!$AA$36)&gt;=$T151),$W151,IF(AND($S151&lt;&gt;"",EDATE($D151,Milestones!$AA$36)&gt;=$S151),$V151,$U151)))=Milestones!$AB$36),UPPER(TEXT(EDATE($D151,Milestones!$AA$36),"dd mmm yy"))&amp;" "&amp;Milestones!$AB$36&amp;" "&amp;Milestones!$AC$36&amp;";  ","")&amp;IF(AND(EDATE($D151,Milestones!$AA$37)&lt;=AsOfDate,IF($R151=0,$X151,IF(AND($T151&lt;&gt;"",EDATE($D151,Milestones!$AA$37)&gt;=$T151),$W151,IF(AND($S151&lt;&gt;"",EDATE($D151,Milestones!$AA$37)&gt;=$S151),$V151,$U151)))=Milestones!$AB$37),UPPER(TEXT(EDATE($D151,Milestones!$AA$37),"dd mmm yy"))&amp;" "&amp;Milestones!$AB$37&amp;" "&amp;Milestones!$AC$37&amp;";  ","")&amp;IF(AND(EDATE($D151,Milestones!$AA$38)&lt;=AsOfDate,IF($R151=0,$X151,IF(AND($T151&lt;&gt;"",EDATE($D151,Milestones!$AA$38)&gt;=$T151),$W151,IF(AND($S151&lt;&gt;"",EDATE($D151,Milestones!$AA$38)&gt;=$S151),$V151,$U151)))=Milestones!$AB$38),UPPER(TEXT(EDATE($D151,Milestones!$AA$38),"dd mmm yy"))&amp;" "&amp;Milestones!$AB$38&amp;" "&amp;Milestones!$AC$38&amp;";  ","")&amp;IF(AND(EDATE($D151,Milestones!$AA$39)&lt;=AsOfDate,IF($R151=0,$X151,IF(AND($T151&lt;&gt;"",EDATE($D151,Milestones!$AA$39)&gt;=$T151),$W151,IF(AND($S151&lt;&gt;"",EDATE($D151,Milestones!$AA$39)&gt;=$S151),$V151,$U151)))=Milestones!$AB$39),UPPER(TEXT(EDATE($D151,Milestones!$AA$39),"dd mmm yy"))&amp;" "&amp;Milestones!$AB$39&amp;" "&amp;Milestones!$AC$39&amp;";  ",""))</f>
        <v/>
      </c>
      <c r="J151" s="0" t="str">
        <f aca="false">IF(OR($A151="",$D151=""),"",IF(AND(EDATE($D151,Milestones!$AA$40)&lt;=AsOfDate,IF($R151=0,$X151,IF(AND($T151&lt;&gt;"",EDATE($D151,Milestones!$AA$40)&gt;=$T151),$W151,IF(AND($S151&lt;&gt;"",EDATE($D151,Milestones!$AA$40)&gt;=$S151),$V151,$U151)))=Milestones!$AB$40),UPPER(TEXT(EDATE($D151,Milestones!$AA$40),"dd mmm yy"))&amp;" "&amp;Milestones!$AB$40&amp;" "&amp;Milestones!$AC$40&amp;";  ","")&amp;IF(AND(EDATE($D151,Milestones!$AA$41)&lt;=AsOfDate,IF($R151=0,$X151,IF(AND($T151&lt;&gt;"",EDATE($D151,Milestones!$AA$41)&gt;=$T151),$W151,IF(AND($S151&lt;&gt;"",EDATE($D151,Milestones!$AA$41)&gt;=$S151),$V151,$U151)))=Milestones!$AB$41),UPPER(TEXT(EDATE($D151,Milestones!$AA$41),"dd mmm yy"))&amp;" "&amp;Milestones!$AB$41&amp;" "&amp;Milestones!$AC$41&amp;";  ","")&amp;IF(AND(EDATE($D151,Milestones!$AA$42)&lt;=AsOfDate,IF($R151=0,$X151,IF(AND($T151&lt;&gt;"",EDATE($D151,Milestones!$AA$42)&gt;=$T151),$W151,IF(AND($S151&lt;&gt;"",EDATE($D151,Milestones!$AA$42)&gt;=$S151),$V151,$U151)))=Milestones!$AB$42),UPPER(TEXT(EDATE($D151,Milestones!$AA$42),"dd mmm yy"))&amp;" "&amp;Milestones!$AB$42&amp;" "&amp;Milestones!$AC$42&amp;";  ","")&amp;IF(AND(EDATE($D151,Milestones!$AA$43)&lt;=AsOfDate,IF($R151=0,$X151,IF(AND($T151&lt;&gt;"",EDATE($D151,Milestones!$AA$43)&gt;=$T151),$W151,IF(AND($S151&lt;&gt;"",EDATE($D151,Milestones!$AA$43)&gt;=$S151),$V151,$U151)))=Milestones!$AB$43),UPPER(TEXT(EDATE($D151,Milestones!$AA$43),"dd mmm yy"))&amp;" "&amp;Milestones!$AB$43&amp;" "&amp;Milestones!$AC$43&amp;";  ","")&amp;IF(AND(EDATE($D151,Milestones!$AA$44)&lt;=AsOfDate,IF($R151=0,$X151,IF(AND($T151&lt;&gt;"",EDATE($D151,Milestones!$AA$44)&gt;=$T151),$W151,IF(AND($S151&lt;&gt;"",EDATE($D151,Milestones!$AA$44)&gt;=$S151),$V151,$U151)))=Milestones!$AB$44),UPPER(TEXT(EDATE($D151,Milestones!$AA$44),"dd mmm yy"))&amp;" "&amp;Milestones!$AB$44&amp;" "&amp;Milestones!$AC$44&amp;";  ","")&amp;IF(AND(EDATE($D151,Milestones!$AA$45)&lt;=AsOfDate,IF($R151=0,$X151,IF(AND($T151&lt;&gt;"",EDATE($D151,Milestones!$AA$45)&gt;=$T151),$W151,IF(AND($S151&lt;&gt;"",EDATE($D151,Milestones!$AA$45)&gt;=$S151),$V151,$U151)))=Milestones!$AB$45),UPPER(TEXT(EDATE($D151,Milestones!$AA$45),"dd mmm yy"))&amp;" "&amp;Milestones!$AB$45&amp;" "&amp;Milestones!$AC$45&amp;";  ","")&amp;IF(AND(EDATE($D151,Milestones!$AA$46)&lt;=AsOfDate,IF($R151=0,$X151,IF(AND($T151&lt;&gt;"",EDATE($D151,Milestones!$AA$46)&gt;=$T151),$W151,IF(AND($S151&lt;&gt;"",EDATE($D151,Milestones!$AA$46)&gt;=$S151),$V151,$U151)))=Milestones!$AB$46),UPPER(TEXT(EDATE($D151,Milestones!$AA$46),"dd mmm yy"))&amp;" "&amp;Milestones!$AB$46&amp;" "&amp;Milestones!$AC$46&amp;";  ","")&amp;IF(AND(EDATE($D151,Milestones!$AA$47)&lt;=AsOfDate,IF($R151=0,$X151,IF(AND($T151&lt;&gt;"",EDATE($D151,Milestones!$AA$47)&gt;=$T151),$W151,IF(AND($S151&lt;&gt;"",EDATE($D151,Milestones!$AA$47)&gt;=$S151),$V151,$U151)))=Milestones!$AB$47),UPPER(TEXT(EDATE($D151,Milestones!$AA$47),"dd mmm yy"))&amp;" "&amp;Milestones!$AB$47&amp;" "&amp;Milestones!$AC$47&amp;";  ","")&amp;IF(AND(EDATE($D151,Milestones!$AA$48)&lt;=AsOfDate,IF($R151=0,$X151,IF(AND($T151&lt;&gt;"",EDATE($D151,Milestones!$AA$48)&gt;=$T151),$W151,IF(AND($S151&lt;&gt;"",EDATE($D151,Milestones!$AA$48)&gt;=$S151),$V151,$U151)))=Milestones!$AB$48),UPPER(TEXT(EDATE($D151,Milestones!$AA$48),"dd mmm yy"))&amp;" "&amp;Milestones!$AB$48&amp;" "&amp;Milestones!$AC$48&amp;";  ","")&amp;IF(AND(EDATE($D151,Milestones!$AA$49)&lt;=AsOfDate,IF($R151=0,$X151,IF(AND($T151&lt;&gt;"",EDATE($D151,Milestones!$AA$49)&gt;=$T151),$W151,IF(AND($S151&lt;&gt;"",EDATE($D151,Milestones!$AA$49)&gt;=$S151),$V151,$U151)))=Milestones!$AB$49),UPPER(TEXT(EDATE($D151,Milestones!$AA$49),"dd mmm yy"))&amp;" "&amp;Milestones!$AB$49&amp;" "&amp;Milestones!$AC$49&amp;";  ","")&amp;IF(AND(EDATE($D151,Milestones!$AA$50)&lt;=AsOfDate,IF($R151=0,$X151,IF(AND($T151&lt;&gt;"",EDATE($D151,Milestones!$AA$50)&gt;=$T151),$W151,IF(AND($S151&lt;&gt;"",EDATE($D151,Milestones!$AA$50)&gt;=$S151),$V151,$U151)))=Milestones!$AB$50),UPPER(TEXT(EDATE($D151,Milestones!$AA$50),"dd mmm yy"))&amp;" "&amp;Milestones!$AB$50&amp;" "&amp;Milestones!$AC$50&amp;";  ","")&amp;IF(AND(EDATE($D151,Milestones!$AA$51)&lt;=AsOfDate,IF($R151=0,$X151,IF(AND($T151&lt;&gt;"",EDATE($D151,Milestones!$AA$51)&gt;=$T151),$W151,IF(AND($S151&lt;&gt;"",EDATE($D151,Milestones!$AA$51)&gt;=$S151),$V151,$U151)))=Milestones!$AB$51),UPPER(TEXT(EDATE($D151,Milestones!$AA$51),"dd mmm yy"))&amp;" "&amp;Milestones!$AB$51&amp;" "&amp;Milestones!$AC$51&amp;";  ","")&amp;IF(AND(EDATE($D151,Milestones!$AA$52)&lt;=AsOfDate,IF($R151=0,$X151,IF(AND($T151&lt;&gt;"",EDATE($D151,Milestones!$AA$52)&gt;=$T151),$W151,IF(AND($S151&lt;&gt;"",EDATE($D151,Milestones!$AA$52)&gt;=$S151),$V151,$U151)))=Milestones!$AB$52),UPPER(TEXT(EDATE($D151,Milestones!$AA$52),"dd mmm yy"))&amp;" "&amp;Milestones!$AB$52&amp;" "&amp;Milestones!$AC$52&amp;";  ","")&amp;IF(AND(EDATE($D151,Milestones!$AA$53)&lt;=AsOfDate,IF($R151=0,$X151,IF(AND($T151&lt;&gt;"",EDATE($D151,Milestones!$AA$53)&gt;=$T151),$W151,IF(AND($S151&lt;&gt;"",EDATE($D151,Milestones!$AA$53)&gt;=$S151),$V151,$U151)))=Milestones!$AB$53),UPPER(TEXT(EDATE($D151,Milestones!$AA$53),"dd mmm yy"))&amp;" "&amp;Milestones!$AB$53&amp;" "&amp;Milestones!$AC$53&amp;";  ","")&amp;IF(AND(EDATE($D151,Milestones!$AA$54)&lt;=AsOfDate,IF($R151=0,$X151,IF(AND($T151&lt;&gt;"",EDATE($D151,Milestones!$AA$54)&gt;=$T151),$W151,IF(AND($S151&lt;&gt;"",EDATE($D151,Milestones!$AA$54)&gt;=$S151),$V151,$U151)))=Milestones!$AB$54),UPPER(TEXT(EDATE($D151,Milestones!$AA$54),"dd mmm yy"))&amp;" "&amp;Milestones!$AB$54&amp;" "&amp;Milestones!$AC$54&amp;";  ","")&amp;IF(AND(EDATE($D151,Milestones!$AA$55)&lt;=AsOfDate,IF($R151=0,$X151,IF(AND($T151&lt;&gt;"",EDATE($D151,Milestones!$AA$55)&gt;=$T151),$W151,IF(AND($S151&lt;&gt;"",EDATE($D151,Milestones!$AA$55)&gt;=$S151),$V151,$U151)))=Milestones!$AB$55),UPPER(TEXT(EDATE($D151,Milestones!$AA$55),"dd mmm yy"))&amp;" "&amp;Milestones!$AB$55&amp;" "&amp;Milestones!$AC$55&amp;";  ","")&amp;IF(AND(EDATE($D151,Milestones!$AA$56)&lt;=AsOfDate,IF($R151=0,$X151,IF(AND($T151&lt;&gt;"",EDATE($D151,Milestones!$AA$56)&gt;=$T151),$W151,IF(AND($S151&lt;&gt;"",EDATE($D151,Milestones!$AA$56)&gt;=$S151),$V151,$U151)))=Milestones!$AB$56),UPPER(TEXT(EDATE($D151,Milestones!$AA$56),"dd mmm yy"))&amp;" "&amp;Milestones!$AB$56&amp;" "&amp;Milestones!$AC$56&amp;";  ","")&amp;IF(AND(EDATE($D151,Milestones!$AA$57)&lt;=AsOfDate,IF($R151=0,$X151,IF(AND($T151&lt;&gt;"",EDATE($D151,Milestones!$AA$57)&gt;=$T151),$W151,IF(AND($S151&lt;&gt;"",EDATE($D151,Milestones!$AA$57)&gt;=$S151),$V151,$U151)))=Milestones!$AB$57),UPPER(TEXT(EDATE($D151,Milestones!$AA$57),"dd mmm yy"))&amp;" "&amp;Milestones!$AB$57&amp;" "&amp;Milestones!$AC$57&amp;";  ","")&amp;IF(AND(EDATE($D151,Milestones!$AA$58)&lt;=AsOfDate,IF($R151=0,$X151,IF(AND($T151&lt;&gt;"",EDATE($D151,Milestones!$AA$58)&gt;=$T151),$W151,IF(AND($S151&lt;&gt;"",EDATE($D151,Milestones!$AA$58)&gt;=$S151),$V151,$U151)))=Milestones!$AB$58),UPPER(TEXT(EDATE($D151,Milestones!$AA$58),"dd mmm yy"))&amp;" "&amp;Milestones!$AB$58&amp;" "&amp;Milestones!$AC$58&amp;";  ","")&amp;IF(AND(EDATE($D151,Milestones!$AA$59)&lt;=AsOfDate,IF($R151=0,$X151,IF(AND($T151&lt;&gt;"",EDATE($D151,Milestones!$AA$59)&gt;=$T151),$W151,IF(AND($S151&lt;&gt;"",EDATE($D151,Milestones!$AA$59)&gt;=$S151),$V151,$U151)))=Milestones!$AB$59),UPPER(TEXT(EDATE($D151,Milestones!$AA$59),"dd mmm yy"))&amp;" "&amp;Milestones!$AB$59&amp;" "&amp;Milestones!$AC$59&amp;";  ",""))</f>
        <v/>
      </c>
      <c r="K151" s="0" t="str">
        <f aca="false">IF(OR($A151="",$D151=""),"",IF(AND(EDATE($D151,Milestones!$AA$60)&lt;=AsOfDate,IF($R151=0,$X151,IF(AND($T151&lt;&gt;"",EDATE($D151,Milestones!$AA$60)&gt;=$T151),$W151,IF(AND($S151&lt;&gt;"",EDATE($D151,Milestones!$AA$60)&gt;=$S151),$V151,$U151)))=Milestones!$AB$60),UPPER(TEXT(EDATE($D151,Milestones!$AA$60),"dd mmm yy"))&amp;" "&amp;Milestones!$AB$60&amp;" "&amp;Milestones!$AC$60&amp;";  ","")&amp;IF(AND(EDATE($D151,Milestones!$AA$61)&lt;=AsOfDate,IF($R151=0,$X151,IF(AND($T151&lt;&gt;"",EDATE($D151,Milestones!$AA$61)&gt;=$T151),$W151,IF(AND($S151&lt;&gt;"",EDATE($D151,Milestones!$AA$61)&gt;=$S151),$V151,$U151)))=Milestones!$AB$61),UPPER(TEXT(EDATE($D151,Milestones!$AA$61),"dd mmm yy"))&amp;" "&amp;Milestones!$AB$61&amp;" "&amp;Milestones!$AC$61&amp;";  ","")&amp;IF(AND(EDATE($D151,Milestones!$AA$62)&lt;=AsOfDate,IF($R151=0,$X151,IF(AND($T151&lt;&gt;"",EDATE($D151,Milestones!$AA$62)&gt;=$T151),$W151,IF(AND($S151&lt;&gt;"",EDATE($D151,Milestones!$AA$62)&gt;=$S151),$V151,$U151)))=Milestones!$AB$62),UPPER(TEXT(EDATE($D151,Milestones!$AA$62),"dd mmm yy"))&amp;" "&amp;Milestones!$AB$62&amp;" "&amp;Milestones!$AC$62&amp;";  ","")&amp;IF(AND(EDATE($D151,Milestones!$AA$63)&lt;=AsOfDate,IF($R151=0,$X151,IF(AND($T151&lt;&gt;"",EDATE($D151,Milestones!$AA$63)&gt;=$T151),$W151,IF(AND($S151&lt;&gt;"",EDATE($D151,Milestones!$AA$63)&gt;=$S151),$V151,$U151)))=Milestones!$AB$63),UPPER(TEXT(EDATE($D151,Milestones!$AA$63),"dd mmm yy"))&amp;" "&amp;Milestones!$AB$63&amp;" "&amp;Milestones!$AC$63&amp;";  ","")&amp;IF(AND(EDATE($D151,Milestones!$AA$64)&lt;=AsOfDate,IF($R151=0,$X151,IF(AND($T151&lt;&gt;"",EDATE($D151,Milestones!$AA$64)&gt;=$T151),$W151,IF(AND($S151&lt;&gt;"",EDATE($D151,Milestones!$AA$64)&gt;=$S151),$V151,$U151)))=Milestones!$AB$64),UPPER(TEXT(EDATE($D151,Milestones!$AA$64),"dd mmm yy"))&amp;" "&amp;Milestones!$AB$64&amp;" "&amp;Milestones!$AC$64&amp;";  ","")&amp;IF(AND(EDATE($D151,Milestones!$AA$65)&lt;=AsOfDate,IF($R151=0,$X151,IF(AND($T151&lt;&gt;"",EDATE($D151,Milestones!$AA$65)&gt;=$T151),$W151,IF(AND($S151&lt;&gt;"",EDATE($D151,Milestones!$AA$65)&gt;=$S151),$V151,$U151)))=Milestones!$AB$65),UPPER(TEXT(EDATE($D151,Milestones!$AA$65),"dd mmm yy"))&amp;" "&amp;Milestones!$AB$65&amp;" "&amp;Milestones!$AC$65&amp;";  ","")&amp;IF(AND(EDATE($D151,Milestones!$AA$66)&lt;=AsOfDate,IF($R151=0,$X151,IF(AND($T151&lt;&gt;"",EDATE($D151,Milestones!$AA$66)&gt;=$T151),$W151,IF(AND($S151&lt;&gt;"",EDATE($D151,Milestones!$AA$66)&gt;=$S151),$V151,$U151)))=Milestones!$AB$66),UPPER(TEXT(EDATE($D151,Milestones!$AA$66),"dd mmm yy"))&amp;" "&amp;Milestones!$AB$66&amp;" "&amp;Milestones!$AC$66&amp;";  ","")&amp;IF(AND(EDATE($D151,Milestones!$AA$67)&lt;=AsOfDate,IF($R151=0,$X151,IF(AND($T151&lt;&gt;"",EDATE($D151,Milestones!$AA$67)&gt;=$T151),$W151,IF(AND($S151&lt;&gt;"",EDATE($D151,Milestones!$AA$67)&gt;=$S151),$V151,$U151)))=Milestones!$AB$67),UPPER(TEXT(EDATE($D151,Milestones!$AA$67),"dd mmm yy"))&amp;" "&amp;Milestones!$AB$67&amp;" "&amp;Milestones!$AC$67&amp;";  ","")&amp;IF(AND(EDATE($D151,Milestones!$AA$68)&lt;=AsOfDate,IF($R151=0,$X151,IF(AND($T151&lt;&gt;"",EDATE($D151,Milestones!$AA$68)&gt;=$T151),$W151,IF(AND($S151&lt;&gt;"",EDATE($D151,Milestones!$AA$68)&gt;=$S151),$V151,$U151)))=Milestones!$AB$68),UPPER(TEXT(EDATE($D151,Milestones!$AA$68),"dd mmm yy"))&amp;" "&amp;Milestones!$AB$68&amp;" "&amp;Milestones!$AC$68&amp;";  ","")&amp;IF(AND(EDATE($D151,Milestones!$AA$69)&lt;=AsOfDate,IF($R151=0,$X151,IF(AND($T151&lt;&gt;"",EDATE($D151,Milestones!$AA$69)&gt;=$T151),$W151,IF(AND($S151&lt;&gt;"",EDATE($D151,Milestones!$AA$69)&gt;=$S151),$V151,$U151)))=Milestones!$AB$69),UPPER(TEXT(EDATE($D151,Milestones!$AA$69),"dd mmm yy"))&amp;" "&amp;Milestones!$AB$69&amp;" "&amp;Milestones!$AC$69&amp;";  ","")&amp;IF(AND(EDATE($D151,Milestones!$AA$70)&lt;=AsOfDate,IF($R151=0,$X151,IF(AND($T151&lt;&gt;"",EDATE($D151,Milestones!$AA$70)&gt;=$T151),$W151,IF(AND($S151&lt;&gt;"",EDATE($D151,Milestones!$AA$70)&gt;=$S151),$V151,$U151)))=Milestones!$AB$70),UPPER(TEXT(EDATE($D151,Milestones!$AA$70),"dd mmm yy"))&amp;" "&amp;Milestones!$AB$70&amp;" "&amp;Milestones!$AC$70&amp;";  ","")&amp;IF(AND(EDATE($D151,Milestones!$AA$71)&lt;=AsOfDate,IF($R151=0,$X151,IF(AND($T151&lt;&gt;"",EDATE($D151,Milestones!$AA$71)&gt;=$T151),$W151,IF(AND($S151&lt;&gt;"",EDATE($D151,Milestones!$AA$71)&gt;=$S151),$V151,$U151)))=Milestones!$AB$71),UPPER(TEXT(EDATE($D151,Milestones!$AA$71),"dd mmm yy"))&amp;" "&amp;Milestones!$AB$71&amp;" "&amp;Milestones!$AC$71&amp;";  ","")&amp;IF(AND(EDATE($D151,Milestones!$AA$72)&lt;=AsOfDate,IF($R151=0,$X151,IF(AND($T151&lt;&gt;"",EDATE($D151,Milestones!$AA$72)&gt;=$T151),$W151,IF(AND($S151&lt;&gt;"",EDATE($D151,Milestones!$AA$72)&gt;=$S151),$V151,$U151)))=Milestones!$AB$72),UPPER(TEXT(EDATE($D151,Milestones!$AA$72),"dd mmm yy"))&amp;" "&amp;Milestones!$AB$72&amp;" "&amp;Milestones!$AC$72&amp;";  ","")&amp;IF(AND(EDATE($D151,Milestones!$AA$73)&lt;=AsOfDate,IF($R151=0,$X151,IF(AND($T151&lt;&gt;"",EDATE($D151,Milestones!$AA$73)&gt;=$T151),$W151,IF(AND($S151&lt;&gt;"",EDATE($D151,Milestones!$AA$73)&gt;=$S151),$V151,$U151)))=Milestones!$AB$73),UPPER(TEXT(EDATE($D151,Milestones!$AA$73),"dd mmm yy"))&amp;" "&amp;Milestones!$AB$73&amp;" "&amp;Milestones!$AC$73&amp;";  ","")&amp;IF(AND(EDATE($D151,Milestones!$AA$74)&lt;=AsOfDate,IF($R151=0,$X151,IF(AND($T151&lt;&gt;"",EDATE($D151,Milestones!$AA$74)&gt;=$T151),$W151,IF(AND($S151&lt;&gt;"",EDATE($D151,Milestones!$AA$74)&gt;=$S151),$V151,$U151)))=Milestones!$AB$74),UPPER(TEXT(EDATE($D151,Milestones!$AA$74),"dd mmm yy"))&amp;" "&amp;Milestones!$AB$74&amp;" "&amp;Milestones!$AC$74&amp;";  ","")&amp;IF(AND(EDATE($D151,Milestones!$AA$75)&lt;=AsOfDate,IF($R151=0,$X151,IF(AND($T151&lt;&gt;"",EDATE($D151,Milestones!$AA$75)&gt;=$T151),$W151,IF(AND($S151&lt;&gt;"",EDATE($D151,Milestones!$AA$75)&gt;=$S151),$V151,$U151)))=Milestones!$AB$75),UPPER(TEXT(EDATE($D151,Milestones!$AA$75),"dd mmm yy"))&amp;" "&amp;Milestones!$AB$75&amp;" "&amp;Milestones!$AC$75&amp;";  ","")&amp;IF(AND(EDATE($D151,Milestones!$AA$76)&lt;=AsOfDate,IF($R151=0,$X151,IF(AND($T151&lt;&gt;"",EDATE($D151,Milestones!$AA$76)&gt;=$T151),$W151,IF(AND($S151&lt;&gt;"",EDATE($D151,Milestones!$AA$76)&gt;=$S151),$V151,$U151)))=Milestones!$AB$76),UPPER(TEXT(EDATE($D151,Milestones!$AA$76),"dd mmm yy"))&amp;" "&amp;Milestones!$AB$76&amp;" "&amp;Milestones!$AC$76&amp;";  ","")&amp;IF(AND(EDATE($D151,Milestones!$AA$77)&lt;=AsOfDate,IF($R151=0,$X151,IF(AND($T151&lt;&gt;"",EDATE($D151,Milestones!$AA$77)&gt;=$T151),$W151,IF(AND($S151&lt;&gt;"",EDATE($D151,Milestones!$AA$77)&gt;=$S151),$V151,$U151)))=Milestones!$AB$77),UPPER(TEXT(EDATE($D151,Milestones!$AA$77),"dd mmm yy"))&amp;" "&amp;Milestones!$AB$77&amp;" "&amp;Milestones!$AC$77&amp;";  ","")&amp;IF(AND(EDATE($D151,Milestones!$AA$78)&lt;=AsOfDate,IF($R151=0,$X151,IF(AND($T151&lt;&gt;"",EDATE($D151,Milestones!$AA$78)&gt;=$T151),$W151,IF(AND($S151&lt;&gt;"",EDATE($D151,Milestones!$AA$78)&gt;=$S151),$V151,$U151)))=Milestones!$AB$78),UPPER(TEXT(EDATE($D151,Milestones!$AA$78),"dd mmm yy"))&amp;" "&amp;Milestones!$AB$78&amp;" "&amp;Milestones!$AC$78&amp;";  ","")&amp;IF(AND(EDATE($D151,Milestones!$AA$79)&lt;=AsOfDate,IF($R151=0,$X151,IF(AND($T151&lt;&gt;"",EDATE($D151,Milestones!$AA$79)&gt;=$T151),$W151,IF(AND($S151&lt;&gt;"",EDATE($D151,Milestones!$AA$79)&gt;=$S151),$V151,$U151)))=Milestones!$AB$79),UPPER(TEXT(EDATE($D151,Milestones!$AA$79),"dd mmm yy"))&amp;" "&amp;Milestones!$AB$79&amp;" "&amp;Milestones!$AC$79&amp;";  ",""))</f>
        <v/>
      </c>
      <c r="L151" s="0" t="str">
        <f aca="false">IF(OR($A151="",$D151=""),"",IF(AND(EDATE($D151,Milestones!$AA$80)&lt;=AsOfDate,IF($R151=0,$X151,IF(AND($T151&lt;&gt;"",EDATE($D151,Milestones!$AA$80)&gt;=$T151),$W151,IF(AND($S151&lt;&gt;"",EDATE($D151,Milestones!$AA$80)&gt;=$S151),$V151,$U151)))=Milestones!$AB$80),UPPER(TEXT(EDATE($D151,Milestones!$AA$80),"dd mmm yy"))&amp;" "&amp;Milestones!$AB$80&amp;" "&amp;Milestones!$AC$80&amp;";  ","")&amp;IF(AND(EDATE($D151,Milestones!$AA$81)&lt;=AsOfDate,IF($R151=0,$X151,IF(AND($T151&lt;&gt;"",EDATE($D151,Milestones!$AA$81)&gt;=$T151),$W151,IF(AND($S151&lt;&gt;"",EDATE($D151,Milestones!$AA$81)&gt;=$S151),$V151,$U151)))=Milestones!$AB$81),UPPER(TEXT(EDATE($D151,Milestones!$AA$81),"dd mmm yy"))&amp;" "&amp;Milestones!$AB$81&amp;" "&amp;Milestones!$AC$81&amp;";  ","")&amp;IF(AND(EDATE($D151,Milestones!$AA$82)&lt;=AsOfDate,IF($R151=0,$X151,IF(AND($T151&lt;&gt;"",EDATE($D151,Milestones!$AA$82)&gt;=$T151),$W151,IF(AND($S151&lt;&gt;"",EDATE($D151,Milestones!$AA$82)&gt;=$S151),$V151,$U151)))=Milestones!$AB$82),UPPER(TEXT(EDATE($D151,Milestones!$AA$82),"dd mmm yy"))&amp;" "&amp;Milestones!$AB$82&amp;" "&amp;Milestones!$AC$82&amp;";  ","")&amp;IF(AND(EDATE($D151,Milestones!$AA$83)&lt;=AsOfDate,IF($R151=0,$X151,IF(AND($T151&lt;&gt;"",EDATE($D151,Milestones!$AA$83)&gt;=$T151),$W151,IF(AND($S151&lt;&gt;"",EDATE($D151,Milestones!$AA$83)&gt;=$S151),$V151,$U151)))=Milestones!$AB$83),UPPER(TEXT(EDATE($D151,Milestones!$AA$83),"dd mmm yy"))&amp;" "&amp;Milestones!$AB$83&amp;" "&amp;Milestones!$AC$83&amp;";  ","")&amp;IF(AND(EDATE($D151,Milestones!$AA$84)&lt;=AsOfDate,IF($R151=0,$X151,IF(AND($T151&lt;&gt;"",EDATE($D151,Milestones!$AA$84)&gt;=$T151),$W151,IF(AND($S151&lt;&gt;"",EDATE($D151,Milestones!$AA$84)&gt;=$S151),$V151,$U151)))=Milestones!$AB$84),UPPER(TEXT(EDATE($D151,Milestones!$AA$84),"dd mmm yy"))&amp;" "&amp;Milestones!$AB$84&amp;" "&amp;Milestones!$AC$84&amp;";  ","")&amp;IF(AND(EDATE($D151,Milestones!$AA$85)&lt;=AsOfDate,IF($R151=0,$X151,IF(AND($T151&lt;&gt;"",EDATE($D151,Milestones!$AA$85)&gt;=$T151),$W151,IF(AND($S151&lt;&gt;"",EDATE($D151,Milestones!$AA$85)&gt;=$S151),$V151,$U151)))=Milestones!$AB$85),UPPER(TEXT(EDATE($D151,Milestones!$AA$85),"dd mmm yy"))&amp;" "&amp;Milestones!$AB$85&amp;" "&amp;Milestones!$AC$85&amp;";  ","")&amp;IF(AND(EDATE($D151,Milestones!$AA$86)&lt;=AsOfDate,IF($R151=0,$X151,IF(AND($T151&lt;&gt;"",EDATE($D151,Milestones!$AA$86)&gt;=$T151),$W151,IF(AND($S151&lt;&gt;"",EDATE($D151,Milestones!$AA$86)&gt;=$S151),$V151,$U151)))=Milestones!$AB$86),UPPER(TEXT(EDATE($D151,Milestones!$AA$86),"dd mmm yy"))&amp;" "&amp;Milestones!$AB$86&amp;" "&amp;Milestones!$AC$86&amp;";  ","")&amp;IF(AND(EDATE($D151,Milestones!$AA$87)&lt;=AsOfDate,IF($R151=0,$X151,IF(AND($T151&lt;&gt;"",EDATE($D151,Milestones!$AA$87)&gt;=$T151),$W151,IF(AND($S151&lt;&gt;"",EDATE($D151,Milestones!$AA$87)&gt;=$S151),$V151,$U151)))=Milestones!$AB$87),UPPER(TEXT(EDATE($D151,Milestones!$AA$87),"dd mmm yy"))&amp;" "&amp;Milestones!$AB$87&amp;" "&amp;Milestones!$AC$87&amp;";  ","")&amp;IF(AND(EDATE($D151,Milestones!$AA$88)&lt;=AsOfDate,IF($R151=0,$X151,IF(AND($T151&lt;&gt;"",EDATE($D151,Milestones!$AA$88)&gt;=$T151),$W151,IF(AND($S151&lt;&gt;"",EDATE($D151,Milestones!$AA$88)&gt;=$S151),$V151,$U151)))=Milestones!$AB$88),UPPER(TEXT(EDATE($D151,Milestones!$AA$88),"dd mmm yy"))&amp;" "&amp;Milestones!$AB$88&amp;" "&amp;Milestones!$AC$88&amp;";  ","")&amp;IF(AND(EDATE($D151,Milestones!$AA$89)&lt;=AsOfDate,IF($R151=0,$X151,IF(AND($T151&lt;&gt;"",EDATE($D151,Milestones!$AA$89)&gt;=$T151),$W151,IF(AND($S151&lt;&gt;"",EDATE($D151,Milestones!$AA$89)&gt;=$S151),$V151,$U151)))=Milestones!$AB$89),UPPER(TEXT(EDATE($D151,Milestones!$AA$89),"dd mmm yy"))&amp;" "&amp;Milestones!$AB$89&amp;" "&amp;Milestones!$AC$89&amp;";  ","")&amp;IF(AND(EDATE($D151,Milestones!$AA$90)&lt;=AsOfDate,IF($R151=0,$X151,IF(AND($T151&lt;&gt;"",EDATE($D151,Milestones!$AA$90)&gt;=$T151),$W151,IF(AND($S151&lt;&gt;"",EDATE($D151,Milestones!$AA$90)&gt;=$S151),$V151,$U151)))=Milestones!$AB$90),UPPER(TEXT(EDATE($D151,Milestones!$AA$90),"dd mmm yy"))&amp;" "&amp;Milestones!$AB$90&amp;" "&amp;Milestones!$AC$90&amp;";  ","")&amp;IF(AND(EDATE($D151,Milestones!$AA$91)&lt;=AsOfDate,IF($R151=0,$X151,IF(AND($T151&lt;&gt;"",EDATE($D151,Milestones!$AA$91)&gt;=$T151),$W151,IF(AND($S151&lt;&gt;"",EDATE($D151,Milestones!$AA$91)&gt;=$S151),$V151,$U151)))=Milestones!$AB$91),UPPER(TEXT(EDATE($D151,Milestones!$AA$91),"dd mmm yy"))&amp;" "&amp;Milestones!$AB$91&amp;" "&amp;Milestones!$AC$91&amp;";  ","")&amp;IF(AND(EDATE($D151,Milestones!$AA$92)&lt;=AsOfDate,IF($R151=0,$X151,IF(AND($T151&lt;&gt;"",EDATE($D151,Milestones!$AA$92)&gt;=$T151),$W151,IF(AND($S151&lt;&gt;"",EDATE($D151,Milestones!$AA$92)&gt;=$S151),$V151,$U151)))=Milestones!$AB$92),UPPER(TEXT(EDATE($D151,Milestones!$AA$92),"dd mmm yy"))&amp;" "&amp;Milestones!$AB$92&amp;" "&amp;Milestones!$AC$92&amp;";  ","")&amp;IF(AND(EDATE($D151,Milestones!$AA$93)&lt;=AsOfDate,IF($R151=0,$X151,IF(AND($T151&lt;&gt;"",EDATE($D151,Milestones!$AA$93)&gt;=$T151),$W151,IF(AND($S151&lt;&gt;"",EDATE($D151,Milestones!$AA$93)&gt;=$S151),$V151,$U151)))=Milestones!$AB$93),UPPER(TEXT(EDATE($D151,Milestones!$AA$93),"dd mmm yy"))&amp;" "&amp;Milestones!$AB$93&amp;" "&amp;Milestones!$AC$93&amp;";  ","")&amp;IF(AND(EDATE($D151,Milestones!$AA$94)&lt;=AsOfDate,IF($R151=0,$X151,IF(AND($T151&lt;&gt;"",EDATE($D151,Milestones!$AA$94)&gt;=$T151),$W151,IF(AND($S151&lt;&gt;"",EDATE($D151,Milestones!$AA$94)&gt;=$S151),$V151,$U151)))=Milestones!$AB$94),UPPER(TEXT(EDATE($D151,Milestones!$AA$94),"dd mmm yy"))&amp;" "&amp;Milestones!$AB$94&amp;" "&amp;Milestones!$AC$94&amp;";  ","")&amp;IF(AND(EDATE($D151,Milestones!$AA$95)&lt;=AsOfDate,IF($R151=0,$X151,IF(AND($T151&lt;&gt;"",EDATE($D151,Milestones!$AA$95)&gt;=$T151),$W151,IF(AND($S151&lt;&gt;"",EDATE($D151,Milestones!$AA$95)&gt;=$S151),$V151,$U151)))=Milestones!$AB$95),UPPER(TEXT(EDATE($D151,Milestones!$AA$95),"dd mmm yy"))&amp;" "&amp;Milestones!$AB$95&amp;" "&amp;Milestones!$AC$95&amp;";  ","")&amp;IF(AND(EDATE($D151,Milestones!$AA$96)&lt;=AsOfDate,IF($R151=0,$X151,IF(AND($T151&lt;&gt;"",EDATE($D151,Milestones!$AA$96)&gt;=$T151),$W151,IF(AND($S151&lt;&gt;"",EDATE($D151,Milestones!$AA$96)&gt;=$S151),$V151,$U151)))=Milestones!$AB$96),UPPER(TEXT(EDATE($D151,Milestones!$AA$96),"dd mmm yy"))&amp;" "&amp;Milestones!$AB$96&amp;" "&amp;Milestones!$AC$96&amp;";  ","")&amp;IF(AND(EDATE($D151,Milestones!$AA$97)&lt;=AsOfDate,IF($R151=0,$X151,IF(AND($T151&lt;&gt;"",EDATE($D151,Milestones!$AA$97)&gt;=$T151),$W151,IF(AND($S151&lt;&gt;"",EDATE($D151,Milestones!$AA$97)&gt;=$S151),$V151,$U151)))=Milestones!$AB$97),UPPER(TEXT(EDATE($D151,Milestones!$AA$97),"dd mmm yy"))&amp;" "&amp;Milestones!$AB$97&amp;" "&amp;Milestones!$AC$97&amp;";  ","")&amp;IF(AND(EDATE($D151,Milestones!$AA$98)&lt;=AsOfDate,IF($R151=0,$X151,IF(AND($T151&lt;&gt;"",EDATE($D151,Milestones!$AA$98)&gt;=$T151),$W151,IF(AND($S151&lt;&gt;"",EDATE($D151,Milestones!$AA$98)&gt;=$S151),$V151,$U151)))=Milestones!$AB$98),UPPER(TEXT(EDATE($D151,Milestones!$AA$98),"dd mmm yy"))&amp;" "&amp;Milestones!$AB$98&amp;" "&amp;Milestones!$AC$98&amp;";  ","")&amp;IF(AND(EDATE($D151,Milestones!$AA$99)&lt;=AsOfDate,IF($R151=0,$X151,IF(AND($T151&lt;&gt;"",EDATE($D151,Milestones!$AA$99)&gt;=$T151),$W151,IF(AND($S151&lt;&gt;"",EDATE($D151,Milestones!$AA$99)&gt;=$S151),$V151,$U151)))=Milestones!$AB$99),UPPER(TEXT(EDATE($D151,Milestones!$AA$99),"dd mmm yy"))&amp;" "&amp;Milestones!$AB$99&amp;" "&amp;Milestones!$AC$99&amp;";  ",""))</f>
        <v/>
      </c>
      <c r="M151" s="0" t="str">
        <f aca="false">IF(OR($A151="",$D151=""),"",IF(AND(EDATE($D151,Milestones!$AA$100)&lt;=AsOfDate,IF($R151=0,$X151,IF(AND($T151&lt;&gt;"",EDATE($D151,Milestones!$AA$100)&gt;=$T151),$W151,IF(AND($S151&lt;&gt;"",EDATE($D151,Milestones!$AA$100)&gt;=$S151),$V151,$U151)))=Milestones!$AB$100),UPPER(TEXT(EDATE($D151,Milestones!$AA$100),"dd mmm yy"))&amp;" "&amp;Milestones!$AB$100&amp;" "&amp;Milestones!$AC$100&amp;";  ","")&amp;IF(AND(EDATE($D151,Milestones!$AA$101)&lt;=AsOfDate,IF($R151=0,$X151,IF(AND($T151&lt;&gt;"",EDATE($D151,Milestones!$AA$101)&gt;=$T151),$W151,IF(AND($S151&lt;&gt;"",EDATE($D151,Milestones!$AA$101)&gt;=$S151),$V151,$U151)))=Milestones!$AB$101),UPPER(TEXT(EDATE($D151,Milestones!$AA$101),"dd mmm yy"))&amp;" "&amp;Milestones!$AB$101&amp;" "&amp;Milestones!$AC$101&amp;";  ","")&amp;IF(AND(EDATE($D151,Milestones!$AA$102)&lt;=AsOfDate,IF($R151=0,$X151,IF(AND($T151&lt;&gt;"",EDATE($D151,Milestones!$AA$102)&gt;=$T151),$W151,IF(AND($S151&lt;&gt;"",EDATE($D151,Milestones!$AA$102)&gt;=$S151),$V151,$U151)))=Milestones!$AB$102),UPPER(TEXT(EDATE($D151,Milestones!$AA$102),"dd mmm yy"))&amp;" "&amp;Milestones!$AB$102&amp;" "&amp;Milestones!$AC$102&amp;";  ","")&amp;IF(AND(EDATE($D151,Milestones!$AA$103)&lt;=AsOfDate,IF($R151=0,$X151,IF(AND($T151&lt;&gt;"",EDATE($D151,Milestones!$AA$103)&gt;=$T151),$W151,IF(AND($S151&lt;&gt;"",EDATE($D151,Milestones!$AA$103)&gt;=$S151),$V151,$U151)))=Milestones!$AB$103),UPPER(TEXT(EDATE($D151,Milestones!$AA$103),"dd mmm yy"))&amp;" "&amp;Milestones!$AB$103&amp;" "&amp;Milestones!$AC$103&amp;";  ","")&amp;IF(AND(EDATE($D151,Milestones!$AA$104)&lt;=AsOfDate,IF($R151=0,$X151,IF(AND($T151&lt;&gt;"",EDATE($D151,Milestones!$AA$104)&gt;=$T151),$W151,IF(AND($S151&lt;&gt;"",EDATE($D151,Milestones!$AA$104)&gt;=$S151),$V151,$U151)))=Milestones!$AB$104),UPPER(TEXT(EDATE($D151,Milestones!$AA$104),"dd mmm yy"))&amp;" "&amp;Milestones!$AB$104&amp;" "&amp;Milestones!$AC$104&amp;";  ","")&amp;IF(AND(EDATE($D151,Milestones!$AA$105)&lt;=AsOfDate,IF($R151=0,$X151,IF(AND($T151&lt;&gt;"",EDATE($D151,Milestones!$AA$105)&gt;=$T151),$W151,IF(AND($S151&lt;&gt;"",EDATE($D151,Milestones!$AA$105)&gt;=$S151),$V151,$U151)))=Milestones!$AB$105),UPPER(TEXT(EDATE($D151,Milestones!$AA$105),"dd mmm yy"))&amp;" "&amp;Milestones!$AB$105&amp;" "&amp;Milestones!$AC$105&amp;";  ","")&amp;IF(AND(EDATE($D151,Milestones!$AA$106)&lt;=AsOfDate,IF($R151=0,$X151,IF(AND($T151&lt;&gt;"",EDATE($D151,Milestones!$AA$106)&gt;=$T151),$W151,IF(AND($S151&lt;&gt;"",EDATE($D151,Milestones!$AA$106)&gt;=$S151),$V151,$U151)))=Milestones!$AB$106),UPPER(TEXT(EDATE($D151,Milestones!$AA$106),"dd mmm yy"))&amp;" "&amp;Milestones!$AB$106&amp;" "&amp;Milestones!$AC$106&amp;";  ","")&amp;IF(AND(EDATE($D151,Milestones!$AA$107)&lt;=AsOfDate,IF($R151=0,$X151,IF(AND($T151&lt;&gt;"",EDATE($D151,Milestones!$AA$107)&gt;=$T151),$W151,IF(AND($S151&lt;&gt;"",EDATE($D151,Milestones!$AA$107)&gt;=$S151),$V151,$U151)))=Milestones!$AB$107),UPPER(TEXT(EDATE($D151,Milestones!$AA$107),"dd mmm yy"))&amp;" "&amp;Milestones!$AB$107&amp;" "&amp;Milestones!$AC$107&amp;";  ","")&amp;IF(AND(EDATE($D151,Milestones!$AA$108)&lt;=AsOfDate,IF($R151=0,$X151,IF(AND($T151&lt;&gt;"",EDATE($D151,Milestones!$AA$108)&gt;=$T151),$W151,IF(AND($S151&lt;&gt;"",EDATE($D151,Milestones!$AA$108)&gt;=$S151),$V151,$U151)))=Milestones!$AB$108),UPPER(TEXT(EDATE($D151,Milestones!$AA$108),"dd mmm yy"))&amp;" "&amp;Milestones!$AB$108&amp;" "&amp;Milestones!$AC$108&amp;";  ","")&amp;IF(AND(EDATE($D151,Milestones!$AA$109)&lt;=AsOfDate,IF($R151=0,$X151,IF(AND($T151&lt;&gt;"",EDATE($D151,Milestones!$AA$109)&gt;=$T151),$W151,IF(AND($S151&lt;&gt;"",EDATE($D151,Milestones!$AA$109)&gt;=$S151),$V151,$U151)))=Milestones!$AB$109),UPPER(TEXT(EDATE($D151,Milestones!$AA$109),"dd mmm yy"))&amp;" "&amp;Milestones!$AB$109&amp;" "&amp;Milestones!$AC$109&amp;";  ","")&amp;IF(AND(EDATE($D151,Milestones!$AA$110)&lt;=AsOfDate,IF($R151=0,$X151,IF(AND($T151&lt;&gt;"",EDATE($D151,Milestones!$AA$110)&gt;=$T151),$W151,IF(AND($S151&lt;&gt;"",EDATE($D151,Milestones!$AA$110)&gt;=$S151),$V151,$U151)))=Milestones!$AB$110),UPPER(TEXT(EDATE($D151,Milestones!$AA$110),"dd mmm yy"))&amp;" "&amp;Milestones!$AB$110&amp;" "&amp;Milestones!$AC$110&amp;";  ","")&amp;IF(AND(EDATE($D151,Milestones!$AA$111)&lt;=AsOfDate,IF($R151=0,$X151,IF(AND($T151&lt;&gt;"",EDATE($D151,Milestones!$AA$111)&gt;=$T151),$W151,IF(AND($S151&lt;&gt;"",EDATE($D151,Milestones!$AA$111)&gt;=$S151),$V151,$U151)))=Milestones!$AB$111),UPPER(TEXT(EDATE($D151,Milestones!$AA$111),"dd mmm yy"))&amp;" "&amp;Milestones!$AB$111&amp;" "&amp;Milestones!$AC$111&amp;";  ","")&amp;IF(AND(EDATE($D151,Milestones!$AA$112)&lt;=AsOfDate,IF($R151=0,$X151,IF(AND($T151&lt;&gt;"",EDATE($D151,Milestones!$AA$112)&gt;=$T151),$W151,IF(AND($S151&lt;&gt;"",EDATE($D151,Milestones!$AA$112)&gt;=$S151),$V151,$U151)))=Milestones!$AB$112),UPPER(TEXT(EDATE($D151,Milestones!$AA$112),"dd mmm yy"))&amp;" "&amp;Milestones!$AB$112&amp;" "&amp;Milestones!$AC$112&amp;";  ","")&amp;IF(AND(EDATE($D151,Milestones!$AA$113)&lt;=AsOfDate,IF($R151=0,$X151,IF(AND($T151&lt;&gt;"",EDATE($D151,Milestones!$AA$113)&gt;=$T151),$W151,IF(AND($S151&lt;&gt;"",EDATE($D151,Milestones!$AA$113)&gt;=$S151),$V151,$U151)))=Milestones!$AB$113),UPPER(TEXT(EDATE($D151,Milestones!$AA$113),"dd mmm yy"))&amp;" "&amp;Milestones!$AB$113&amp;" "&amp;Milestones!$AC$113&amp;";  ","")&amp;IF(AND(EDATE($D151,Milestones!$AA$114)&lt;=AsOfDate,IF($R151=0,$X151,IF(AND($T151&lt;&gt;"",EDATE($D151,Milestones!$AA$114)&gt;=$T151),$W151,IF(AND($S151&lt;&gt;"",EDATE($D151,Milestones!$AA$114)&gt;=$S151),$V151,$U151)))=Milestones!$AB$114),UPPER(TEXT(EDATE($D151,Milestones!$AA$114),"dd mmm yy"))&amp;" "&amp;Milestones!$AB$114&amp;" "&amp;Milestones!$AC$114&amp;";  ","")&amp;IF(AND(EDATE($D151,Milestones!$AA$115)&lt;=AsOfDate,IF($R151=0,$X151,IF(AND($T151&lt;&gt;"",EDATE($D151,Milestones!$AA$115)&gt;=$T151),$W151,IF(AND($S151&lt;&gt;"",EDATE($D151,Milestones!$AA$115)&gt;=$S151),$V151,$U151)))=Milestones!$AB$115),UPPER(TEXT(EDATE($D151,Milestones!$AA$115),"dd mmm yy"))&amp;" "&amp;Milestones!$AB$115&amp;" "&amp;Milestones!$AC$115&amp;";  ","")&amp;IF(AND(EDATE($D151,Milestones!$AA$116)&lt;=AsOfDate,IF($R151=0,$X151,IF(AND($T151&lt;&gt;"",EDATE($D151,Milestones!$AA$116)&gt;=$T151),$W151,IF(AND($S151&lt;&gt;"",EDATE($D151,Milestones!$AA$116)&gt;=$S151),$V151,$U151)))=Milestones!$AB$116),UPPER(TEXT(EDATE($D151,Milestones!$AA$116),"dd mmm yy"))&amp;" "&amp;Milestones!$AB$116&amp;" "&amp;Milestones!$AC$116&amp;";  ","")&amp;IF(AND(EDATE($D151,Milestones!$AA$117)&lt;=AsOfDate,IF($R151=0,$X151,IF(AND($T151&lt;&gt;"",EDATE($D151,Milestones!$AA$117)&gt;=$T151),$W151,IF(AND($S151&lt;&gt;"",EDATE($D151,Milestones!$AA$117)&gt;=$S151),$V151,$U151)))=Milestones!$AB$117),UPPER(TEXT(EDATE($D151,Milestones!$AA$117),"dd mmm yy"))&amp;" "&amp;Milestones!$AB$117&amp;" "&amp;Milestones!$AC$117&amp;";  ","")&amp;IF(AND(EDATE($D151,Milestones!$AA$118)&lt;=AsOfDate,IF($R151=0,$X151,IF(AND($T151&lt;&gt;"",EDATE($D151,Milestones!$AA$118)&gt;=$T151),$W151,IF(AND($S151&lt;&gt;"",EDATE($D151,Milestones!$AA$118)&gt;=$S151),$V151,$U151)))=Milestones!$AB$118),UPPER(TEXT(EDATE($D151,Milestones!$AA$118),"dd mmm yy"))&amp;" "&amp;Milestones!$AB$118&amp;" "&amp;Milestones!$AC$118&amp;";  ","")&amp;IF(AND(EDATE($D151,Milestones!$AA$119)&lt;=AsOfDate,IF($R151=0,$X151,IF(AND($T151&lt;&gt;"",EDATE($D151,Milestones!$AA$119)&gt;=$T151),$W151,IF(AND($S151&lt;&gt;"",EDATE($D151,Milestones!$AA$119)&gt;=$S151),$V151,$U151)))=Milestones!$AB$119),UPPER(TEXT(EDATE($D151,Milestones!$AA$119),"dd mmm yy"))&amp;" "&amp;Milestones!$AB$119&amp;" "&amp;Milestones!$AC$119&amp;";  ",""))</f>
        <v/>
      </c>
      <c r="N151" s="0" t="str">
        <f aca="false">IF(OR($A151="",$D151=""),"",IF(AND(EDATE($D151,Milestones!$AA$120)&lt;=AsOfDate,IF($R151=0,$X151,IF(AND($T151&lt;&gt;"",EDATE($D151,Milestones!$AA$120)&gt;=$T151),$W151,IF(AND($S151&lt;&gt;"",EDATE($D151,Milestones!$AA$120)&gt;=$S151),$V151,$U151)))=Milestones!$AB$120),UPPER(TEXT(EDATE($D151,Milestones!$AA$120),"dd mmm yy"))&amp;" "&amp;Milestones!$AB$120&amp;" "&amp;Milestones!$AC$120&amp;";  ","")&amp;IF(AND(EDATE($D151,Milestones!$AA$121)&lt;=AsOfDate,IF($R151=0,$X151,IF(AND($T151&lt;&gt;"",EDATE($D151,Milestones!$AA$121)&gt;=$T151),$W151,IF(AND($S151&lt;&gt;"",EDATE($D151,Milestones!$AA$121)&gt;=$S151),$V151,$U151)))=Milestones!$AB$121),UPPER(TEXT(EDATE($D151,Milestones!$AA$121),"dd mmm yy"))&amp;" "&amp;Milestones!$AB$121&amp;" "&amp;Milestones!$AC$121&amp;";  ","")&amp;IF(AND(EDATE($D151,Milestones!$AA$122)&lt;=AsOfDate,IF($R151=0,$X151,IF(AND($T151&lt;&gt;"",EDATE($D151,Milestones!$AA$122)&gt;=$T151),$W151,IF(AND($S151&lt;&gt;"",EDATE($D151,Milestones!$AA$122)&gt;=$S151),$V151,$U151)))=Milestones!$AB$122),UPPER(TEXT(EDATE($D151,Milestones!$AA$122),"dd mmm yy"))&amp;" "&amp;Milestones!$AB$122&amp;" "&amp;Milestones!$AC$122&amp;";  ","")&amp;IF(AND(EDATE($D151,Milestones!$AA$123)&lt;=AsOfDate,IF($R151=0,$X151,IF(AND($T151&lt;&gt;"",EDATE($D151,Milestones!$AA$123)&gt;=$T151),$W151,IF(AND($S151&lt;&gt;"",EDATE($D151,Milestones!$AA$123)&gt;=$S151),$V151,$U151)))=Milestones!$AB$123),UPPER(TEXT(EDATE($D151,Milestones!$AA$123),"dd mmm yy"))&amp;" "&amp;Milestones!$AB$123&amp;" "&amp;Milestones!$AC$123&amp;";  ","")&amp;IF(AND(EDATE($D151,Milestones!$AA$124)&lt;=AsOfDate,IF($R151=0,$X151,IF(AND($T151&lt;&gt;"",EDATE($D151,Milestones!$AA$124)&gt;=$T151),$W151,IF(AND($S151&lt;&gt;"",EDATE($D151,Milestones!$AA$124)&gt;=$S151),$V151,$U151)))=Milestones!$AB$124),UPPER(TEXT(EDATE($D151,Milestones!$AA$124),"dd mmm yy"))&amp;" "&amp;Milestones!$AB$124&amp;" "&amp;Milestones!$AC$124&amp;";  ","")&amp;IF(AND(EDATE($D151,Milestones!$AA$125)&lt;=AsOfDate,IF($R151=0,$X151,IF(AND($T151&lt;&gt;"",EDATE($D151,Milestones!$AA$125)&gt;=$T151),$W151,IF(AND($S151&lt;&gt;"",EDATE($D151,Milestones!$AA$125)&gt;=$S151),$V151,$U151)))=Milestones!$AB$125),UPPER(TEXT(EDATE($D151,Milestones!$AA$125),"dd mmm yy"))&amp;" "&amp;Milestones!$AB$125&amp;" "&amp;Milestones!$AC$125&amp;";  ","")&amp;IF(AND(EDATE($D151,Milestones!$AA$126)&lt;=AsOfDate,IF($R151=0,$X151,IF(AND($T151&lt;&gt;"",EDATE($D151,Milestones!$AA$126)&gt;=$T151),$W151,IF(AND($S151&lt;&gt;"",EDATE($D151,Milestones!$AA$126)&gt;=$S151),$V151,$U151)))=Milestones!$AB$126),UPPER(TEXT(EDATE($D151,Milestones!$AA$126),"dd mmm yy"))&amp;" "&amp;Milestones!$AB$126&amp;" "&amp;Milestones!$AC$126&amp;";  ","")&amp;IF(AND(EDATE($D151,Milestones!$AA$127)&lt;=AsOfDate,IF($R151=0,$X151,IF(AND($T151&lt;&gt;"",EDATE($D151,Milestones!$AA$127)&gt;=$T151),$W151,IF(AND($S151&lt;&gt;"",EDATE($D151,Milestones!$AA$127)&gt;=$S151),$V151,$U151)))=Milestones!$AB$127),UPPER(TEXT(EDATE($D151,Milestones!$AA$127),"dd mmm yy"))&amp;" "&amp;Milestones!$AB$127&amp;" "&amp;Milestones!$AC$127&amp;";  ","")&amp;IF(AND(EDATE($D151,Milestones!$AA$128)&lt;=AsOfDate,IF($R151=0,$X151,IF(AND($T151&lt;&gt;"",EDATE($D151,Milestones!$AA$128)&gt;=$T151),$W151,IF(AND($S151&lt;&gt;"",EDATE($D151,Milestones!$AA$128)&gt;=$S151),$V151,$U151)))=Milestones!$AB$128),UPPER(TEXT(EDATE($D151,Milestones!$AA$128),"dd mmm yy"))&amp;" "&amp;Milestones!$AB$128&amp;" "&amp;Milestones!$AC$128&amp;";  ","")&amp;IF(AND(EDATE($D151,Milestones!$AA$129)&lt;=AsOfDate,IF($R151=0,$X151,IF(AND($T151&lt;&gt;"",EDATE($D151,Milestones!$AA$129)&gt;=$T151),$W151,IF(AND($S151&lt;&gt;"",EDATE($D151,Milestones!$AA$129)&gt;=$S151),$V151,$U151)))=Milestones!$AB$129),UPPER(TEXT(EDATE($D151,Milestones!$AA$129),"dd mmm yy"))&amp;" "&amp;Milestones!$AB$129&amp;" "&amp;Milestones!$AC$129&amp;";  ","")&amp;IF(AND(EDATE($D151,Milestones!$AA$130)&lt;=AsOfDate,IF($R151=0,$X151,IF(AND($T151&lt;&gt;"",EDATE($D151,Milestones!$AA$130)&gt;=$T151),$W151,IF(AND($S151&lt;&gt;"",EDATE($D151,Milestones!$AA$130)&gt;=$S151),$V151,$U151)))=Milestones!$AB$130),UPPER(TEXT(EDATE($D151,Milestones!$AA$130),"dd mmm yy"))&amp;" "&amp;Milestones!$AB$130&amp;" "&amp;Milestones!$AC$130&amp;";  ","")&amp;IF(AND(EDATE($D151,Milestones!$AA$131)&lt;=AsOfDate,IF($R151=0,$X151,IF(AND($T151&lt;&gt;"",EDATE($D151,Milestones!$AA$131)&gt;=$T151),$W151,IF(AND($S151&lt;&gt;"",EDATE($D151,Milestones!$AA$131)&gt;=$S151),$V151,$U151)))=Milestones!$AB$131),UPPER(TEXT(EDATE($D151,Milestones!$AA$131),"dd mmm yy"))&amp;" "&amp;Milestones!$AB$131&amp;" "&amp;Milestones!$AC$131&amp;";  ","")&amp;IF(AND(EDATE($D151,Milestones!$AA$132)&lt;=AsOfDate,IF($R151=0,$X151,IF(AND($T151&lt;&gt;"",EDATE($D151,Milestones!$AA$132)&gt;=$T151),$W151,IF(AND($S151&lt;&gt;"",EDATE($D151,Milestones!$AA$132)&gt;=$S151),$V151,$U151)))=Milestones!$AB$132),UPPER(TEXT(EDATE($D151,Milestones!$AA$132),"dd mmm yy"))&amp;" "&amp;Milestones!$AB$132&amp;" "&amp;Milestones!$AC$132&amp;";  ","")&amp;IF(AND(EDATE($D151,Milestones!$AA$133)&lt;=AsOfDate,IF($R151=0,$X151,IF(AND($T151&lt;&gt;"",EDATE($D151,Milestones!$AA$133)&gt;=$T151),$W151,IF(AND($S151&lt;&gt;"",EDATE($D151,Milestones!$AA$133)&gt;=$S151),$V151,$U151)))=Milestones!$AB$133),UPPER(TEXT(EDATE($D151,Milestones!$AA$133),"dd mmm yy"))&amp;" "&amp;Milestones!$AB$133&amp;" "&amp;Milestones!$AC$133&amp;";  ","")&amp;IF(AND(EDATE($D151,Milestones!$AA$134)&lt;=AsOfDate,IF($R151=0,$X151,IF(AND($T151&lt;&gt;"",EDATE($D151,Milestones!$AA$134)&gt;=$T151),$W151,IF(AND($S151&lt;&gt;"",EDATE($D151,Milestones!$AA$134)&gt;=$S151),$V151,$U151)))=Milestones!$AB$134),UPPER(TEXT(EDATE($D151,Milestones!$AA$134),"dd mmm yy"))&amp;" "&amp;Milestones!$AB$134&amp;" "&amp;Milestones!$AC$134&amp;";  ","")&amp;IF(AND(EDATE($D151,Milestones!$AA$135)&lt;=AsOfDate,IF($R151=0,$X151,IF(AND($T151&lt;&gt;"",EDATE($D151,Milestones!$AA$135)&gt;=$T151),$W151,IF(AND($S151&lt;&gt;"",EDATE($D151,Milestones!$AA$135)&gt;=$S151),$V151,$U151)))=Milestones!$AB$135),UPPER(TEXT(EDATE($D151,Milestones!$AA$135),"dd mmm yy"))&amp;" "&amp;Milestones!$AB$135&amp;" "&amp;Milestones!$AC$135&amp;";  ","")&amp;IF(AND(EDATE($D151,Milestones!$AA$136)&lt;=AsOfDate,IF($R151=0,$X151,IF(AND($T151&lt;&gt;"",EDATE($D151,Milestones!$AA$136)&gt;=$T151),$W151,IF(AND($S151&lt;&gt;"",EDATE($D151,Milestones!$AA$136)&gt;=$S151),$V151,$U151)))=Milestones!$AB$136),UPPER(TEXT(EDATE($D151,Milestones!$AA$136),"dd mmm yy"))&amp;" "&amp;Milestones!$AB$136&amp;" "&amp;Milestones!$AC$136&amp;";  ","")&amp;IF(AND(EDATE($D151,Milestones!$AA$137)&lt;=AsOfDate,IF($R151=0,$X151,IF(AND($T151&lt;&gt;"",EDATE($D151,Milestones!$AA$137)&gt;=$T151),$W151,IF(AND($S151&lt;&gt;"",EDATE($D151,Milestones!$AA$137)&gt;=$S151),$V151,$U151)))=Milestones!$AB$137),UPPER(TEXT(EDATE($D151,Milestones!$AA$137),"dd mmm yy"))&amp;" "&amp;Milestones!$AB$137&amp;" "&amp;Milestones!$AC$137&amp;";  ","")&amp;IF(AND(EDATE($D151,Milestones!$AA$138)&lt;=AsOfDate,IF($R151=0,$X151,IF(AND($T151&lt;&gt;"",EDATE($D151,Milestones!$AA$138)&gt;=$T151),$W151,IF(AND($S151&lt;&gt;"",EDATE($D151,Milestones!$AA$138)&gt;=$S151),$V151,$U151)))=Milestones!$AB$138),UPPER(TEXT(EDATE($D151,Milestones!$AA$138),"dd mmm yy"))&amp;" "&amp;Milestones!$AB$138&amp;" "&amp;Milestones!$AC$138&amp;";  ","")&amp;IF(AND(EDATE($D151,Milestones!$AA$139)&lt;=AsOfDate,IF($R151=0,$X151,IF(AND($T151&lt;&gt;"",EDATE($D151,Milestones!$AA$139)&gt;=$T151),$W151,IF(AND($S151&lt;&gt;"",EDATE($D151,Milestones!$AA$139)&gt;=$S151),$V151,$U151)))=Milestones!$AB$139),UPPER(TEXT(EDATE($D151,Milestones!$AA$139),"dd mmm yy"))&amp;" "&amp;Milestones!$AB$139&amp;" "&amp;Milestones!$AC$139&amp;";  ",""))</f>
        <v/>
      </c>
      <c r="O151" s="0" t="str">
        <f aca="false">IF(OR($A151="",$D151=""),"",IF(AND(EDATE($D151,Milestones!$AA$140)&lt;=AsOfDate,IF($R151=0,$X151,IF(AND($T151&lt;&gt;"",EDATE($D151,Milestones!$AA$140)&gt;=$T151),$W151,IF(AND($S151&lt;&gt;"",EDATE($D151,Milestones!$AA$140)&gt;=$S151),$V151,$U151)))=Milestones!$AB$140),UPPER(TEXT(EDATE($D151,Milestones!$AA$140),"dd mmm yy"))&amp;" "&amp;Milestones!$AB$140&amp;" "&amp;Milestones!$AC$140&amp;";  ","")&amp;IF(AND(EDATE($D151,Milestones!$AA$141)&lt;=AsOfDate,IF($R151=0,$X151,IF(AND($T151&lt;&gt;"",EDATE($D151,Milestones!$AA$141)&gt;=$T151),$W151,IF(AND($S151&lt;&gt;"",EDATE($D151,Milestones!$AA$141)&gt;=$S151),$V151,$U151)))=Milestones!$AB$141),UPPER(TEXT(EDATE($D151,Milestones!$AA$141),"dd mmm yy"))&amp;" "&amp;Milestones!$AB$141&amp;" "&amp;Milestones!$AC$141&amp;";  ","")&amp;IF(AND(EDATE($D151,Milestones!$AA$142)&lt;=AsOfDate,IF($R151=0,$X151,IF(AND($T151&lt;&gt;"",EDATE($D151,Milestones!$AA$142)&gt;=$T151),$W151,IF(AND($S151&lt;&gt;"",EDATE($D151,Milestones!$AA$142)&gt;=$S151),$V151,$U151)))=Milestones!$AB$142),UPPER(TEXT(EDATE($D151,Milestones!$AA$142),"dd mmm yy"))&amp;" "&amp;Milestones!$AB$142&amp;" "&amp;Milestones!$AC$142&amp;";  ","")&amp;IF(AND(EDATE($D151,Milestones!$AA$143)&lt;=AsOfDate,IF($R151=0,$X151,IF(AND($T151&lt;&gt;"",EDATE($D151,Milestones!$AA$143)&gt;=$T151),$W151,IF(AND($S151&lt;&gt;"",EDATE($D151,Milestones!$AA$143)&gt;=$S151),$V151,$U151)))=Milestones!$AB$143),UPPER(TEXT(EDATE($D151,Milestones!$AA$143),"dd mmm yy"))&amp;" "&amp;Milestones!$AB$143&amp;" "&amp;Milestones!$AC$143&amp;";  ","")&amp;IF(AND(EDATE($D151,Milestones!$AA$144)&lt;=AsOfDate,IF($R151=0,$X151,IF(AND($T151&lt;&gt;"",EDATE($D151,Milestones!$AA$144)&gt;=$T151),$W151,IF(AND($S151&lt;&gt;"",EDATE($D151,Milestones!$AA$144)&gt;=$S151),$V151,$U151)))=Milestones!$AB$144),UPPER(TEXT(EDATE($D151,Milestones!$AA$144),"dd mmm yy"))&amp;" "&amp;Milestones!$AB$144&amp;" "&amp;Milestones!$AC$144&amp;";  ","")&amp;IF(AND(EDATE($D151,Milestones!$AA$145)&lt;=AsOfDate,IF($R151=0,$X151,IF(AND($T151&lt;&gt;"",EDATE($D151,Milestones!$AA$145)&gt;=$T151),$W151,IF(AND($S151&lt;&gt;"",EDATE($D151,Milestones!$AA$145)&gt;=$S151),$V151,$U151)))=Milestones!$AB$145),UPPER(TEXT(EDATE($D151,Milestones!$AA$145),"dd mmm yy"))&amp;" "&amp;Milestones!$AB$145&amp;" "&amp;Milestones!$AC$145&amp;";  ","")&amp;IF(AND(EDATE($D151,Milestones!$AA$146)&lt;=AsOfDate,IF($R151=0,$X151,IF(AND($T151&lt;&gt;"",EDATE($D151,Milestones!$AA$146)&gt;=$T151),$W151,IF(AND($S151&lt;&gt;"",EDATE($D151,Milestones!$AA$146)&gt;=$S151),$V151,$U151)))=Milestones!$AB$146),UPPER(TEXT(EDATE($D151,Milestones!$AA$146),"dd mmm yy"))&amp;" "&amp;Milestones!$AB$146&amp;" "&amp;Milestones!$AC$146&amp;";  ","")&amp;IF(AND(EDATE($D151,Milestones!$AA$147)&lt;=AsOfDate,IF($R151=0,$X151,IF(AND($T151&lt;&gt;"",EDATE($D151,Milestones!$AA$147)&gt;=$T151),$W151,IF(AND($S151&lt;&gt;"",EDATE($D151,Milestones!$AA$147)&gt;=$S151),$V151,$U151)))=Milestones!$AB$147),UPPER(TEXT(EDATE($D151,Milestones!$AA$147),"dd mmm yy"))&amp;" "&amp;Milestones!$AB$147&amp;" "&amp;Milestones!$AC$147&amp;";  ","")&amp;IF(AND(EDATE($D151,Milestones!$AA$148)&lt;=AsOfDate,IF($R151=0,$X151,IF(AND($T151&lt;&gt;"",EDATE($D151,Milestones!$AA$148)&gt;=$T151),$W151,IF(AND($S151&lt;&gt;"",EDATE($D151,Milestones!$AA$148)&gt;=$S151),$V151,$U151)))=Milestones!$AB$148),UPPER(TEXT(EDATE($D151,Milestones!$AA$148),"dd mmm yy"))&amp;" "&amp;Milestones!$AB$148&amp;" "&amp;Milestones!$AC$148&amp;";  ","")&amp;IF(AND(EDATE($D151,Milestones!$AA$149)&lt;=AsOfDate,IF($R151=0,$X151,IF(AND($T151&lt;&gt;"",EDATE($D151,Milestones!$AA$149)&gt;=$T151),$W151,IF(AND($S151&lt;&gt;"",EDATE($D151,Milestones!$AA$149)&gt;=$S151),$V151,$U151)))=Milestones!$AB$149),UPPER(TEXT(EDATE($D151,Milestones!$AA$149),"dd mmm yy"))&amp;" "&amp;Milestones!$AB$149&amp;" "&amp;Milestones!$AC$149&amp;";  ","")&amp;IF(AND(EDATE($D151,Milestones!$AA$150)&lt;=AsOfDate,IF($R151=0,$X151,IF(AND($T151&lt;&gt;"",EDATE($D151,Milestones!$AA$150)&gt;=$T151),$W151,IF(AND($S151&lt;&gt;"",EDATE($D151,Milestones!$AA$150)&gt;=$S151),$V151,$U151)))=Milestones!$AB$150),UPPER(TEXT(EDATE($D151,Milestones!$AA$150),"dd mmm yy"))&amp;" "&amp;Milestones!$AB$150&amp;" "&amp;Milestones!$AC$150&amp;";  ","")&amp;IF(AND(EDATE($D151,Milestones!$AA$151)&lt;=AsOfDate,IF($R151=0,$X151,IF(AND($T151&lt;&gt;"",EDATE($D151,Milestones!$AA$151)&gt;=$T151),$W151,IF(AND($S151&lt;&gt;"",EDATE($D151,Milestones!$AA$151)&gt;=$S151),$V151,$U151)))=Milestones!$AB$151),UPPER(TEXT(EDATE($D151,Milestones!$AA$151),"dd mmm yy"))&amp;" "&amp;Milestones!$AB$151&amp;" "&amp;Milestones!$AC$151&amp;";  ","")&amp;IF(AND(EDATE($D151,Milestones!$AA$152)&lt;=AsOfDate,IF($R151=0,$X151,IF(AND($T151&lt;&gt;"",EDATE($D151,Milestones!$AA$152)&gt;=$T151),$W151,IF(AND($S151&lt;&gt;"",EDATE($D151,Milestones!$AA$152)&gt;=$S151),$V151,$U151)))=Milestones!$AB$152),UPPER(TEXT(EDATE($D151,Milestones!$AA$152),"dd mmm yy"))&amp;" "&amp;Milestones!$AB$152&amp;" "&amp;Milestones!$AC$152&amp;";  ","")&amp;IF(AND(EDATE($D151,Milestones!$AA$153)&lt;=AsOfDate,IF($R151=0,$X151,IF(AND($T151&lt;&gt;"",EDATE($D151,Milestones!$AA$153)&gt;=$T151),$W151,IF(AND($S151&lt;&gt;"",EDATE($D151,Milestones!$AA$153)&gt;=$S151),$V151,$U151)))=Milestones!$AB$153),UPPER(TEXT(EDATE($D151,Milestones!$AA$153),"dd mmm yy"))&amp;" "&amp;Milestones!$AB$153&amp;" "&amp;Milestones!$AC$153&amp;";  ","")&amp;IF(AND(EDATE($D151,Milestones!$AA$154)&lt;=AsOfDate,IF($R151=0,$X151,IF(AND($T151&lt;&gt;"",EDATE($D151,Milestones!$AA$154)&gt;=$T151),$W151,IF(AND($S151&lt;&gt;"",EDATE($D151,Milestones!$AA$154)&gt;=$S151),$V151,$U151)))=Milestones!$AB$154),UPPER(TEXT(EDATE($D151,Milestones!$AA$154),"dd mmm yy"))&amp;" "&amp;Milestones!$AB$154&amp;" "&amp;Milestones!$AC$154&amp;";  ","")&amp;IF(AND(EDATE($D151,Milestones!$AA$155)&lt;=AsOfDate,IF($R151=0,$X151,IF(AND($T151&lt;&gt;"",EDATE($D151,Milestones!$AA$155)&gt;=$T151),$W151,IF(AND($S151&lt;&gt;"",EDATE($D151,Milestones!$AA$155)&gt;=$S151),$V151,$U151)))=Milestones!$AB$155),UPPER(TEXT(EDATE($D151,Milestones!$AA$155),"dd mmm yy"))&amp;" "&amp;Milestones!$AB$155&amp;" "&amp;Milestones!$AC$155&amp;";  ","")&amp;IF(AND(EDATE($D151,Milestones!$AA$156)&lt;=AsOfDate,IF($R151=0,$X151,IF(AND($T151&lt;&gt;"",EDATE($D151,Milestones!$AA$156)&gt;=$T151),$W151,IF(AND($S151&lt;&gt;"",EDATE($D151,Milestones!$AA$156)&gt;=$S151),$V151,$U151)))=Milestones!$AB$156),UPPER(TEXT(EDATE($D151,Milestones!$AA$156),"dd mmm yy"))&amp;" "&amp;Milestones!$AB$156&amp;" "&amp;Milestones!$AC$156&amp;";  ","")&amp;IF(AND(EDATE($D151,Milestones!$AA$157)&lt;=AsOfDate,IF($R151=0,$X151,IF(AND($T151&lt;&gt;"",EDATE($D151,Milestones!$AA$157)&gt;=$T151),$W151,IF(AND($S151&lt;&gt;"",EDATE($D151,Milestones!$AA$157)&gt;=$S151),$V151,$U151)))=Milestones!$AB$157),UPPER(TEXT(EDATE($D151,Milestones!$AA$157),"dd mmm yy"))&amp;" "&amp;Milestones!$AB$157&amp;" "&amp;Milestones!$AC$157&amp;";  ","")&amp;IF(AND(EDATE($D151,Milestones!$AA$158)&lt;=AsOfDate,IF($R151=0,$X151,IF(AND($T151&lt;&gt;"",EDATE($D151,Milestones!$AA$158)&gt;=$T151),$W151,IF(AND($S151&lt;&gt;"",EDATE($D151,Milestones!$AA$158)&gt;=$S151),$V151,$U151)))=Milestones!$AB$158),UPPER(TEXT(EDATE($D151,Milestones!$AA$158),"dd mmm yy"))&amp;" "&amp;Milestones!$AB$158&amp;" "&amp;Milestones!$AC$158&amp;";  ","")&amp;IF(AND(EDATE($D151,Milestones!$AA$159)&lt;=AsOfDate,IF($R151=0,$X151,IF(AND($T151&lt;&gt;"",EDATE($D151,Milestones!$AA$159)&gt;=$T151),$W151,IF(AND($S151&lt;&gt;"",EDATE($D151,Milestones!$AA$159)&gt;=$S151),$V151,$U151)))=Milestones!$AB$159),UPPER(TEXT(EDATE($D151,Milestones!$AA$159),"dd mmm yy"))&amp;" "&amp;Milestones!$AB$159&amp;" "&amp;Milestones!$AC$159&amp;";  ",""))</f>
        <v/>
      </c>
      <c r="P151" s="0" t="str">
        <f aca="false">IF(OR($A151="",$D151=""),"",IF(AND(EDATE($D151,Milestones!$AA$160)&lt;=AsOfDate,IF($R151=0,$X151,IF(AND($T151&lt;&gt;"",EDATE($D151,Milestones!$AA$160)&gt;=$T151),$W151,IF(AND($S151&lt;&gt;"",EDATE($D151,Milestones!$AA$160)&gt;=$S151),$V151,$U151)))=Milestones!$AB$160),UPPER(TEXT(EDATE($D151,Milestones!$AA$160),"dd mmm yy"))&amp;" "&amp;Milestones!$AB$160&amp;" "&amp;Milestones!$AC$160&amp;";  ","")&amp;IF(AND(EDATE($D151,Milestones!$AA$161)&lt;=AsOfDate,IF($R151=0,$X151,IF(AND($T151&lt;&gt;"",EDATE($D151,Milestones!$AA$161)&gt;=$T151),$W151,IF(AND($S151&lt;&gt;"",EDATE($D151,Milestones!$AA$161)&gt;=$S151),$V151,$U151)))=Milestones!$AB$161),UPPER(TEXT(EDATE($D151,Milestones!$AA$161),"dd mmm yy"))&amp;" "&amp;Milestones!$AB$161&amp;" "&amp;Milestones!$AC$161&amp;";  ","")&amp;IF(AND(EDATE($D151,Milestones!$AA$162)&lt;=AsOfDate,IF($R151=0,$X151,IF(AND($T151&lt;&gt;"",EDATE($D151,Milestones!$AA$162)&gt;=$T151),$W151,IF(AND($S151&lt;&gt;"",EDATE($D151,Milestones!$AA$162)&gt;=$S151),$V151,$U151)))=Milestones!$AB$162),UPPER(TEXT(EDATE($D151,Milestones!$AA$162),"dd mmm yy"))&amp;" "&amp;Milestones!$AB$162&amp;" "&amp;Milestones!$AC$162&amp;";  ","")&amp;IF(AND(EDATE($D151,Milestones!$AA$163)&lt;=AsOfDate,IF($R151=0,$X151,IF(AND($T151&lt;&gt;"",EDATE($D151,Milestones!$AA$163)&gt;=$T151),$W151,IF(AND($S151&lt;&gt;"",EDATE($D151,Milestones!$AA$163)&gt;=$S151),$V151,$U151)))=Milestones!$AB$163),UPPER(TEXT(EDATE($D151,Milestones!$AA$163),"dd mmm yy"))&amp;" "&amp;Milestones!$AB$163&amp;" "&amp;Milestones!$AC$163&amp;";  ","")&amp;IF(AND(EDATE($D151,Milestones!$AA$164)&lt;=AsOfDate,IF($R151=0,$X151,IF(AND($T151&lt;&gt;"",EDATE($D151,Milestones!$AA$164)&gt;=$T151),$W151,IF(AND($S151&lt;&gt;"",EDATE($D151,Milestones!$AA$164)&gt;=$S151),$V151,$U151)))=Milestones!$AB$164),UPPER(TEXT(EDATE($D151,Milestones!$AA$164),"dd mmm yy"))&amp;" "&amp;Milestones!$AB$164&amp;" "&amp;Milestones!$AC$164&amp;";  ","")&amp;IF(AND(EDATE($D151,Milestones!$AA$165)&lt;=AsOfDate,IF($R151=0,$X151,IF(AND($T151&lt;&gt;"",EDATE($D151,Milestones!$AA$165)&gt;=$T151),$W151,IF(AND($S151&lt;&gt;"",EDATE($D151,Milestones!$AA$165)&gt;=$S151),$V151,$U151)))=Milestones!$AB$165),UPPER(TEXT(EDATE($D151,Milestones!$AA$165),"dd mmm yy"))&amp;" "&amp;Milestones!$AB$165&amp;" "&amp;Milestones!$AC$165&amp;";  ","")&amp;IF(AND(EDATE($D151,Milestones!$AA$166)&lt;=AsOfDate,IF($R151=0,$X151,IF(AND($T151&lt;&gt;"",EDATE($D151,Milestones!$AA$166)&gt;=$T151),$W151,IF(AND($S151&lt;&gt;"",EDATE($D151,Milestones!$AA$166)&gt;=$S151),$V151,$U151)))=Milestones!$AB$166),UPPER(TEXT(EDATE($D151,Milestones!$AA$166),"dd mmm yy"))&amp;" "&amp;Milestones!$AB$166&amp;" "&amp;Milestones!$AC$166&amp;";  ","")&amp;IF(AND(EDATE($D151,Milestones!$AA$167)&lt;=AsOfDate,IF($R151=0,$X151,IF(AND($T151&lt;&gt;"",EDATE($D151,Milestones!$AA$167)&gt;=$T151),$W151,IF(AND($S151&lt;&gt;"",EDATE($D151,Milestones!$AA$167)&gt;=$S151),$V151,$U151)))=Milestones!$AB$167),UPPER(TEXT(EDATE($D151,Milestones!$AA$167),"dd mmm yy"))&amp;" "&amp;Milestones!$AB$167&amp;" "&amp;Milestones!$AC$167&amp;";  ","")&amp;IF(AND(EDATE($D151,Milestones!$AA$168)&lt;=AsOfDate,IF($R151=0,$X151,IF(AND($T151&lt;&gt;"",EDATE($D151,Milestones!$AA$168)&gt;=$T151),$W151,IF(AND($S151&lt;&gt;"",EDATE($D151,Milestones!$AA$168)&gt;=$S151),$V151,$U151)))=Milestones!$AB$168),UPPER(TEXT(EDATE($D151,Milestones!$AA$168),"dd mmm yy"))&amp;" "&amp;Milestones!$AB$168&amp;" "&amp;Milestones!$AC$168&amp;";  ","")&amp;IF(AND(EDATE($D151,Milestones!$AA$169)&lt;=AsOfDate,IF($R151=0,$X151,IF(AND($T151&lt;&gt;"",EDATE($D151,Milestones!$AA$169)&gt;=$T151),$W151,IF(AND($S151&lt;&gt;"",EDATE($D151,Milestones!$AA$169)&gt;=$S151),$V151,$U151)))=Milestones!$AB$169),UPPER(TEXT(EDATE($D151,Milestones!$AA$169),"dd mmm yy"))&amp;" "&amp;Milestones!$AB$169&amp;" "&amp;Milestones!$AC$169&amp;";  ","")&amp;IF(AND(EDATE($D151,Milestones!$AA$170)&lt;=AsOfDate,IF($R151=0,$X151,IF(AND($T151&lt;&gt;"",EDATE($D151,Milestones!$AA$170)&gt;=$T151),$W151,IF(AND($S151&lt;&gt;"",EDATE($D151,Milestones!$AA$170)&gt;=$S151),$V151,$U151)))=Milestones!$AB$170),UPPER(TEXT(EDATE($D151,Milestones!$AA$170),"dd mmm yy"))&amp;" "&amp;Milestones!$AB$170&amp;" "&amp;Milestones!$AC$170&amp;";  ","")&amp;IF(AND(EDATE($D151,Milestones!$AA$171)&lt;=AsOfDate,IF($R151=0,$X151,IF(AND($T151&lt;&gt;"",EDATE($D151,Milestones!$AA$171)&gt;=$T151),$W151,IF(AND($S151&lt;&gt;"",EDATE($D151,Milestones!$AA$171)&gt;=$S151),$V151,$U151)))=Milestones!$AB$171),UPPER(TEXT(EDATE($D151,Milestones!$AA$171),"dd mmm yy"))&amp;" "&amp;Milestones!$AB$171&amp;" "&amp;Milestones!$AC$171&amp;";  ","")&amp;IF(AND(EDATE($D151,Milestones!$AA$172)&lt;=AsOfDate,IF($R151=0,$X151,IF(AND($T151&lt;&gt;"",EDATE($D151,Milestones!$AA$172)&gt;=$T151),$W151,IF(AND($S151&lt;&gt;"",EDATE($D151,Milestones!$AA$172)&gt;=$S151),$V151,$U151)))=Milestones!$AB$172),UPPER(TEXT(EDATE($D151,Milestones!$AA$172),"dd mmm yy"))&amp;" "&amp;Milestones!$AB$172&amp;" "&amp;Milestones!$AC$172&amp;";  ","")&amp;IF(AND(EDATE($D151,Milestones!$AA$173)&lt;=AsOfDate,IF($R151=0,$X151,IF(AND($T151&lt;&gt;"",EDATE($D151,Milestones!$AA$173)&gt;=$T151),$W151,IF(AND($S151&lt;&gt;"",EDATE($D151,Milestones!$AA$173)&gt;=$S151),$V151,$U151)))=Milestones!$AB$173),UPPER(TEXT(EDATE($D151,Milestones!$AA$173),"dd mmm yy"))&amp;" "&amp;Milestones!$AB$173&amp;" "&amp;Milestones!$AC$173&amp;";  ","")&amp;IF(AND(EDATE($D151,Milestones!$AA$174)&lt;=AsOfDate,IF($R151=0,$X151,IF(AND($T151&lt;&gt;"",EDATE($D151,Milestones!$AA$174)&gt;=$T151),$W151,IF(AND($S151&lt;&gt;"",EDATE($D151,Milestones!$AA$174)&gt;=$S151),$V151,$U151)))=Milestones!$AB$174),UPPER(TEXT(EDATE($D151,Milestones!$AA$174),"dd mmm yy"))&amp;" "&amp;Milestones!$AB$174&amp;" "&amp;Milestones!$AC$174&amp;";  ","")&amp;IF(AND(EDATE($D151,Milestones!$AA$175)&lt;=AsOfDate,IF($R151=0,$X151,IF(AND($T151&lt;&gt;"",EDATE($D151,Milestones!$AA$175)&gt;=$T151),$W151,IF(AND($S151&lt;&gt;"",EDATE($D151,Milestones!$AA$175)&gt;=$S151),$V151,$U151)))=Milestones!$AB$175),UPPER(TEXT(EDATE($D151,Milestones!$AA$175),"dd mmm yy"))&amp;" "&amp;Milestones!$AB$175&amp;" "&amp;Milestones!$AC$175&amp;";  ","")&amp;IF(AND(EDATE($D151,Milestones!$AA$176)&lt;=AsOfDate,IF($R151=0,$X151,IF(AND($T151&lt;&gt;"",EDATE($D151,Milestones!$AA$176)&gt;=$T151),$W151,IF(AND($S151&lt;&gt;"",EDATE($D151,Milestones!$AA$176)&gt;=$S151),$V151,$U151)))=Milestones!$AB$176),UPPER(TEXT(EDATE($D151,Milestones!$AA$176),"dd mmm yy"))&amp;" "&amp;Milestones!$AB$176&amp;" "&amp;Milestones!$AC$176&amp;";  ","")&amp;IF(AND(EDATE($D151,Milestones!$AA$177)&lt;=AsOfDate,IF($R151=0,$X151,IF(AND($T151&lt;&gt;"",EDATE($D151,Milestones!$AA$177)&gt;=$T151),$W151,IF(AND($S151&lt;&gt;"",EDATE($D151,Milestones!$AA$177)&gt;=$S151),$V151,$U151)))=Milestones!$AB$177),UPPER(TEXT(EDATE($D151,Milestones!$AA$177),"dd mmm yy"))&amp;" "&amp;Milestones!$AB$177&amp;" "&amp;Milestones!$AC$177&amp;";  ","")&amp;IF(AND(EDATE($D151,Milestones!$AA$178)&lt;=AsOfDate,IF($R151=0,$X151,IF(AND($T151&lt;&gt;"",EDATE($D151,Milestones!$AA$178)&gt;=$T151),$W151,IF(AND($S151&lt;&gt;"",EDATE($D151,Milestones!$AA$178)&gt;=$S151),$V151,$U151)))=Milestones!$AB$178),UPPER(TEXT(EDATE($D151,Milestones!$AA$178),"dd mmm yy"))&amp;" "&amp;Milestones!$AB$178&amp;" "&amp;Milestones!$AC$178&amp;";  ","")&amp;IF(AND(EDATE($D151,Milestones!$AA$179)&lt;=AsOfDate,IF($R151=0,$X151,IF(AND($T151&lt;&gt;"",EDATE($D151,Milestones!$AA$179)&gt;=$T151),$W151,IF(AND($S151&lt;&gt;"",EDATE($D151,Milestones!$AA$179)&gt;=$S151),$V151,$U151)))=Milestones!$AB$179),UPPER(TEXT(EDATE($D151,Milestones!$AA$179),"dd mmm yy"))&amp;" "&amp;Milestones!$AB$179&amp;" "&amp;Milestones!$AC$179&amp;";  ",""))</f>
        <v/>
      </c>
      <c r="Q151" s="0" t="str">
        <f aca="false">IF(OR($A151="",$D151=""),"",IF(AND(EDATE($D151,Milestones!$AA$180)&lt;=AsOfDate,IF($R151=0,$X151,IF(AND($T151&lt;&gt;"",EDATE($D151,Milestones!$AA$180)&gt;=$T151),$W151,IF(AND($S151&lt;&gt;"",EDATE($D151,Milestones!$AA$180)&gt;=$S151),$V151,$U151)))=Milestones!$AB$180),UPPER(TEXT(EDATE($D151,Milestones!$AA$180),"dd mmm yy"))&amp;" "&amp;Milestones!$AB$180&amp;" "&amp;Milestones!$AC$180&amp;";  ","")&amp;IF(AND(EDATE($D151,Milestones!$AA$181)&lt;=AsOfDate,IF($R151=0,$X151,IF(AND($T151&lt;&gt;"",EDATE($D151,Milestones!$AA$181)&gt;=$T151),$W151,IF(AND($S151&lt;&gt;"",EDATE($D151,Milestones!$AA$181)&gt;=$S151),$V151,$U151)))=Milestones!$AB$181),UPPER(TEXT(EDATE($D151,Milestones!$AA$181),"dd mmm yy"))&amp;" "&amp;Milestones!$AB$181&amp;" "&amp;Milestones!$AC$181&amp;";  ","")&amp;IF(AND(EDATE($D151,Milestones!$AA$182)&lt;=AsOfDate,IF($R151=0,$X151,IF(AND($T151&lt;&gt;"",EDATE($D151,Milestones!$AA$182)&gt;=$T151),$W151,IF(AND($S151&lt;&gt;"",EDATE($D151,Milestones!$AA$182)&gt;=$S151),$V151,$U151)))=Milestones!$AB$182),UPPER(TEXT(EDATE($D151,Milestones!$AA$182),"dd mmm yy"))&amp;" "&amp;Milestones!$AB$182&amp;" "&amp;Milestones!$AC$182&amp;";  ","")&amp;IF(AND(EDATE($D151,Milestones!$AA$183)&lt;=AsOfDate,IF($R151=0,$X151,IF(AND($T151&lt;&gt;"",EDATE($D151,Milestones!$AA$183)&gt;=$T151),$W151,IF(AND($S151&lt;&gt;"",EDATE($D151,Milestones!$AA$183)&gt;=$S151),$V151,$U151)))=Milestones!$AB$183),UPPER(TEXT(EDATE($D151,Milestones!$AA$183),"dd mmm yy"))&amp;" "&amp;Milestones!$AB$183&amp;" "&amp;Milestones!$AC$183&amp;";  ","")&amp;IF(AND(EDATE($D151,Milestones!$AA$184)&lt;=AsOfDate,IF($R151=0,$X151,IF(AND($T151&lt;&gt;"",EDATE($D151,Milestones!$AA$184)&gt;=$T151),$W151,IF(AND($S151&lt;&gt;"",EDATE($D151,Milestones!$AA$184)&gt;=$S151),$V151,$U151)))=Milestones!$AB$184),UPPER(TEXT(EDATE($D151,Milestones!$AA$184),"dd mmm yy"))&amp;" "&amp;Milestones!$AB$184&amp;" "&amp;Milestones!$AC$184&amp;";  ","")&amp;IF(AND(EDATE($D151,Milestones!$AA$185)&lt;=AsOfDate,IF($R151=0,$X151,IF(AND($T151&lt;&gt;"",EDATE($D151,Milestones!$AA$185)&gt;=$T151),$W151,IF(AND($S151&lt;&gt;"",EDATE($D151,Milestones!$AA$185)&gt;=$S151),$V151,$U151)))=Milestones!$AB$185),UPPER(TEXT(EDATE($D151,Milestones!$AA$185),"dd mmm yy"))&amp;" "&amp;Milestones!$AB$185&amp;" "&amp;Milestones!$AC$185&amp;";  ","")&amp;IF(AND(EDATE($D151,Milestones!$AA$186)&lt;=AsOfDate,IF($R151=0,$X151,IF(AND($T151&lt;&gt;"",EDATE($D151,Milestones!$AA$186)&gt;=$T151),$W151,IF(AND($S151&lt;&gt;"",EDATE($D151,Milestones!$AA$186)&gt;=$S151),$V151,$U151)))=Milestones!$AB$186),UPPER(TEXT(EDATE($D151,Milestones!$AA$186),"dd mmm yy"))&amp;" "&amp;Milestones!$AB$186&amp;" "&amp;Milestones!$AC$186&amp;";  ","")&amp;IF(AND(EDATE($D151,Milestones!$AA$187)&lt;=AsOfDate,IF($R151=0,$X151,IF(AND($T151&lt;&gt;"",EDATE($D151,Milestones!$AA$187)&gt;=$T151),$W151,IF(AND($S151&lt;&gt;"",EDATE($D151,Milestones!$AA$187)&gt;=$S151),$V151,$U151)))=Milestones!$AB$187),UPPER(TEXT(EDATE($D151,Milestones!$AA$187),"dd mmm yy"))&amp;" "&amp;Milestones!$AB$187&amp;" "&amp;Milestones!$AC$187&amp;";  ","")&amp;IF(AND(EDATE($D151,Milestones!$AA$188)&lt;=AsOfDate,IF($R151=0,$X151,IF(AND($T151&lt;&gt;"",EDATE($D151,Milestones!$AA$188)&gt;=$T151),$W151,IF(AND($S151&lt;&gt;"",EDATE($D151,Milestones!$AA$188)&gt;=$S151),$V151,$U151)))=Milestones!$AB$188),UPPER(TEXT(EDATE($D151,Milestones!$AA$188),"dd mmm yy"))&amp;" "&amp;Milestones!$AB$188&amp;" "&amp;Milestones!$AC$188&amp;";  ","")&amp;IF(AND(EDATE($D151,Milestones!$AA$189)&lt;=AsOfDate,IF($R151=0,$X151,IF(AND($T151&lt;&gt;"",EDATE($D151,Milestones!$AA$189)&gt;=$T151),$W151,IF(AND($S151&lt;&gt;"",EDATE($D151,Milestones!$AA$189)&gt;=$S151),$V151,$U151)))=Milestones!$AB$189),UPPER(TEXT(EDATE($D151,Milestones!$AA$189),"dd mmm yy"))&amp;" "&amp;Milestones!$AB$189&amp;" "&amp;Milestones!$AC$189&amp;";  ","")&amp;IF(AND(EDATE($D151,Milestones!$AA$190)&lt;=AsOfDate,IF($R151=0,$X151,IF(AND($T151&lt;&gt;"",EDATE($D151,Milestones!$AA$190)&gt;=$T151),$W151,IF(AND($S151&lt;&gt;"",EDATE($D151,Milestones!$AA$190)&gt;=$S151),$V151,$U151)))=Milestones!$AB$190),UPPER(TEXT(EDATE($D151,Milestones!$AA$190),"dd mmm yy"))&amp;" "&amp;Milestones!$AB$190&amp;" "&amp;Milestones!$AC$190&amp;";  ","")&amp;IF(AND(EDATE($D151,Milestones!$AA$191)&lt;=AsOfDate,IF($R151=0,$X151,IF(AND($T151&lt;&gt;"",EDATE($D151,Milestones!$AA$191)&gt;=$T151),$W151,IF(AND($S151&lt;&gt;"",EDATE($D151,Milestones!$AA$191)&gt;=$S151),$V151,$U151)))=Milestones!$AB$191),UPPER(TEXT(EDATE($D151,Milestones!$AA$191),"dd mmm yy"))&amp;" "&amp;Milestones!$AB$191&amp;" "&amp;Milestones!$AC$191&amp;";  ","")&amp;IF(AND(EDATE($D151,Milestones!$AA$192)&lt;=AsOfDate,IF($R151=0,$X151,IF(AND($T151&lt;&gt;"",EDATE($D151,Milestones!$AA$192)&gt;=$T151),$W151,IF(AND($S151&lt;&gt;"",EDATE($D151,Milestones!$AA$192)&gt;=$S151),$V151,$U151)))=Milestones!$AB$192),UPPER(TEXT(EDATE($D151,Milestones!$AA$192),"dd mmm yy"))&amp;" "&amp;Milestones!$AB$192&amp;" "&amp;Milestones!$AC$192&amp;";  ","")&amp;IF(AND(EDATE($D151,Milestones!$AA$193)&lt;=AsOfDate,IF($R151=0,$X151,IF(AND($T151&lt;&gt;"",EDATE($D151,Milestones!$AA$193)&gt;=$T151),$W151,IF(AND($S151&lt;&gt;"",EDATE($D151,Milestones!$AA$193)&gt;=$S151),$V151,$U151)))=Milestones!$AB$193),UPPER(TEXT(EDATE($D151,Milestones!$AA$193),"dd mmm yy"))&amp;" "&amp;Milestones!$AB$193&amp;" "&amp;Milestones!$AC$193&amp;";  ","")&amp;IF(AND(EDATE($D151,Milestones!$AA$194)&lt;=AsOfDate,IF($R151=0,$X151,IF(AND($T151&lt;&gt;"",EDATE($D151,Milestones!$AA$194)&gt;=$T151),$W151,IF(AND($S151&lt;&gt;"",EDATE($D151,Milestones!$AA$194)&gt;=$S151),$V151,$U151)))=Milestones!$AB$194),UPPER(TEXT(EDATE($D151,Milestones!$AA$194),"dd mmm yy"))&amp;" "&amp;Milestones!$AB$194&amp;" "&amp;Milestones!$AC$194&amp;";  ","")&amp;IF(AND(EDATE($D151,Milestones!$AA$195)&lt;=AsOfDate,IF($R151=0,$X151,IF(AND($T151&lt;&gt;"",EDATE($D151,Milestones!$AA$195)&gt;=$T151),$W151,IF(AND($S151&lt;&gt;"",EDATE($D151,Milestones!$AA$195)&gt;=$S151),$V151,$U151)))=Milestones!$AB$195),UPPER(TEXT(EDATE($D151,Milestones!$AA$195),"dd mmm yy"))&amp;" "&amp;Milestones!$AB$195&amp;" "&amp;Milestones!$AC$195&amp;";  ","")&amp;IF(AND(EDATE($D151,Milestones!$AA$196)&lt;=AsOfDate,IF($R151=0,$X151,IF(AND($T151&lt;&gt;"",EDATE($D151,Milestones!$AA$196)&gt;=$T151),$W151,IF(AND($S151&lt;&gt;"",EDATE($D151,Milestones!$AA$196)&gt;=$S151),$V151,$U151)))=Milestones!$AB$196),UPPER(TEXT(EDATE($D151,Milestones!$AA$196),"dd mmm yy"))&amp;" "&amp;Milestones!$AB$196&amp;" "&amp;Milestones!$AC$196&amp;";  ","")&amp;IF(AND(EDATE($D151,Milestones!$AA$197)&lt;=AsOfDate,IF($R151=0,$X151,IF(AND($T151&lt;&gt;"",EDATE($D151,Milestones!$AA$197)&gt;=$T151),$W151,IF(AND($S151&lt;&gt;"",EDATE($D151,Milestones!$AA$197)&gt;=$S151),$V151,$U151)))=Milestones!$AB$197),UPPER(TEXT(EDATE($D151,Milestones!$AA$197),"dd mmm yy"))&amp;" "&amp;Milestones!$AB$197&amp;" "&amp;Milestones!$AC$197&amp;";  ","")&amp;IF(AND(EDATE($D151,Milestones!$AA$198)&lt;=AsOfDate,IF($R151=0,$X151,IF(AND($T151&lt;&gt;"",EDATE($D151,Milestones!$AA$198)&gt;=$T151),$W151,IF(AND($S151&lt;&gt;"",EDATE($D151,Milestones!$AA$198)&gt;=$S151),$V151,$U151)))=Milestones!$AB$198),UPPER(TEXT(EDATE($D151,Milestones!$AA$198),"dd mmm yy"))&amp;" "&amp;Milestones!$AB$198&amp;" "&amp;Milestones!$AC$198&amp;";  ","")&amp;IF(AND(EDATE($D151,Milestones!$AA$199)&lt;=AsOfDate,IF($R151=0,$X151,IF(AND($T151&lt;&gt;"",EDATE($D151,Milestones!$AA$199)&gt;=$T151),$W151,IF(AND($S151&lt;&gt;"",EDATE($D151,Milestones!$AA$199)&gt;=$S151),$V151,$U151)))=Milestones!$AB$199),UPPER(TEXT(EDATE($D151,Milestones!$AA$199),"dd mmm yy"))&amp;" "&amp;Milestones!$AB$199&amp;" "&amp;Milestones!$AC$199&amp;";  ",""))</f>
        <v/>
      </c>
      <c r="R151" s="0" t="str">
        <f aca="false">IF(Staff!$A151="","",Staff!$AI151)</f>
        <v/>
      </c>
      <c r="S151" s="0" t="str">
        <f aca="false">IF(Staff!$A151="","",Staff!$AK151)</f>
        <v/>
      </c>
      <c r="T151" s="0" t="str">
        <f aca="false">IF(Staff!$A151="","",Staff!$AL151)</f>
        <v/>
      </c>
      <c r="U151" s="0" t="str">
        <f aca="false">IF(Staff!$A151="","",Staff!$AP151)</f>
        <v/>
      </c>
      <c r="V151" s="0" t="str">
        <f aca="false">IF(Staff!$A151="","",Staff!$AQ151)</f>
        <v/>
      </c>
      <c r="W151" s="0" t="str">
        <f aca="false">IF(Staff!$A151="","",Staff!$AR151)</f>
        <v/>
      </c>
      <c r="X151" s="0" t="str">
        <f aca="false">IF(Staff!$A151="","",Staff!$AS151)</f>
        <v/>
      </c>
    </row>
    <row r="152" customFormat="false" ht="15" hidden="false" customHeight="false" outlineLevel="0" collapsed="false">
      <c r="A152" s="19" t="str">
        <f aca="false">IF(Staff!$A152="","",Staff!$A152)</f>
        <v/>
      </c>
      <c r="B152" s="19" t="str">
        <f aca="false">IF(Staff!$A152="","",Staff!$B152)</f>
        <v/>
      </c>
      <c r="C152" s="19" t="str">
        <f aca="false">IF(Staff!$A152="","",Staff!$C152)</f>
        <v/>
      </c>
      <c r="D152" s="17" t="str">
        <f aca="false">IF(Staff!$A152="","",Staff!$AH152)</f>
        <v/>
      </c>
      <c r="E152" s="19" t="str">
        <f aca="false">IF(Staff!$A152="","",Staff!$O152)</f>
        <v/>
      </c>
      <c r="F152" s="19" t="str">
        <f aca="false">IF(E152="","",E152*HoursPerDay)</f>
        <v/>
      </c>
      <c r="G152" s="19" t="str">
        <f aca="false">IF(Staff!$A152="","",Staff!$AE152)</f>
        <v/>
      </c>
      <c r="H152" s="32" t="str">
        <f aca="false">IF($A152="","",I152&amp;J152&amp;K152&amp;L152&amp;M152&amp;N152&amp;O152&amp;P152&amp;Q152)</f>
        <v/>
      </c>
      <c r="I152" s="0" t="str">
        <f aca="false">IF(OR($A152="",$D152=""),"",IF(AND(EDATE($D152,Milestones!$AA$20)&lt;=AsOfDate,IF($R152=0,$X152,IF(AND($T152&lt;&gt;"",EDATE($D152,Milestones!$AA$20)&gt;=$T152),$W152,IF(AND($S152&lt;&gt;"",EDATE($D152,Milestones!$AA$20)&gt;=$S152),$V152,$U152)))=Milestones!$AB$20),UPPER(TEXT(EDATE($D152,Milestones!$AA$20),"dd mmm yy"))&amp;" "&amp;Milestones!$AB$20&amp;" "&amp;Milestones!$AC$20&amp;";  ","")&amp;IF(AND(EDATE($D152,Milestones!$AA$21)&lt;=AsOfDate,IF($R152=0,$X152,IF(AND($T152&lt;&gt;"",EDATE($D152,Milestones!$AA$21)&gt;=$T152),$W152,IF(AND($S152&lt;&gt;"",EDATE($D152,Milestones!$AA$21)&gt;=$S152),$V152,$U152)))=Milestones!$AB$21),UPPER(TEXT(EDATE($D152,Milestones!$AA$21),"dd mmm yy"))&amp;" "&amp;Milestones!$AB$21&amp;" "&amp;Milestones!$AC$21&amp;";  ","")&amp;IF(AND(EDATE($D152,Milestones!$AA$22)&lt;=AsOfDate,IF($R152=0,$X152,IF(AND($T152&lt;&gt;"",EDATE($D152,Milestones!$AA$22)&gt;=$T152),$W152,IF(AND($S152&lt;&gt;"",EDATE($D152,Milestones!$AA$22)&gt;=$S152),$V152,$U152)))=Milestones!$AB$22),UPPER(TEXT(EDATE($D152,Milestones!$AA$22),"dd mmm yy"))&amp;" "&amp;Milestones!$AB$22&amp;" "&amp;Milestones!$AC$22&amp;";  ","")&amp;IF(AND(EDATE($D152,Milestones!$AA$23)&lt;=AsOfDate,IF($R152=0,$X152,IF(AND($T152&lt;&gt;"",EDATE($D152,Milestones!$AA$23)&gt;=$T152),$W152,IF(AND($S152&lt;&gt;"",EDATE($D152,Milestones!$AA$23)&gt;=$S152),$V152,$U152)))=Milestones!$AB$23),UPPER(TEXT(EDATE($D152,Milestones!$AA$23),"dd mmm yy"))&amp;" "&amp;Milestones!$AB$23&amp;" "&amp;Milestones!$AC$23&amp;";  ","")&amp;IF(AND(EDATE($D152,Milestones!$AA$24)&lt;=AsOfDate,IF($R152=0,$X152,IF(AND($T152&lt;&gt;"",EDATE($D152,Milestones!$AA$24)&gt;=$T152),$W152,IF(AND($S152&lt;&gt;"",EDATE($D152,Milestones!$AA$24)&gt;=$S152),$V152,$U152)))=Milestones!$AB$24),UPPER(TEXT(EDATE($D152,Milestones!$AA$24),"dd mmm yy"))&amp;" "&amp;Milestones!$AB$24&amp;" "&amp;Milestones!$AC$24&amp;";  ","")&amp;IF(AND(EDATE($D152,Milestones!$AA$25)&lt;=AsOfDate,IF($R152=0,$X152,IF(AND($T152&lt;&gt;"",EDATE($D152,Milestones!$AA$25)&gt;=$T152),$W152,IF(AND($S152&lt;&gt;"",EDATE($D152,Milestones!$AA$25)&gt;=$S152),$V152,$U152)))=Milestones!$AB$25),UPPER(TEXT(EDATE($D152,Milestones!$AA$25),"dd mmm yy"))&amp;" "&amp;Milestones!$AB$25&amp;" "&amp;Milestones!$AC$25&amp;";  ","")&amp;IF(AND(EDATE($D152,Milestones!$AA$26)&lt;=AsOfDate,IF($R152=0,$X152,IF(AND($T152&lt;&gt;"",EDATE($D152,Milestones!$AA$26)&gt;=$T152),$W152,IF(AND($S152&lt;&gt;"",EDATE($D152,Milestones!$AA$26)&gt;=$S152),$V152,$U152)))=Milestones!$AB$26),UPPER(TEXT(EDATE($D152,Milestones!$AA$26),"dd mmm yy"))&amp;" "&amp;Milestones!$AB$26&amp;" "&amp;Milestones!$AC$26&amp;";  ","")&amp;IF(AND(EDATE($D152,Milestones!$AA$27)&lt;=AsOfDate,IF($R152=0,$X152,IF(AND($T152&lt;&gt;"",EDATE($D152,Milestones!$AA$27)&gt;=$T152),$W152,IF(AND($S152&lt;&gt;"",EDATE($D152,Milestones!$AA$27)&gt;=$S152),$V152,$U152)))=Milestones!$AB$27),UPPER(TEXT(EDATE($D152,Milestones!$AA$27),"dd mmm yy"))&amp;" "&amp;Milestones!$AB$27&amp;" "&amp;Milestones!$AC$27&amp;";  ","")&amp;IF(AND(EDATE($D152,Milestones!$AA$28)&lt;=AsOfDate,IF($R152=0,$X152,IF(AND($T152&lt;&gt;"",EDATE($D152,Milestones!$AA$28)&gt;=$T152),$W152,IF(AND($S152&lt;&gt;"",EDATE($D152,Milestones!$AA$28)&gt;=$S152),$V152,$U152)))=Milestones!$AB$28),UPPER(TEXT(EDATE($D152,Milestones!$AA$28),"dd mmm yy"))&amp;" "&amp;Milestones!$AB$28&amp;" "&amp;Milestones!$AC$28&amp;";  ","")&amp;IF(AND(EDATE($D152,Milestones!$AA$29)&lt;=AsOfDate,IF($R152=0,$X152,IF(AND($T152&lt;&gt;"",EDATE($D152,Milestones!$AA$29)&gt;=$T152),$W152,IF(AND($S152&lt;&gt;"",EDATE($D152,Milestones!$AA$29)&gt;=$S152),$V152,$U152)))=Milestones!$AB$29),UPPER(TEXT(EDATE($D152,Milestones!$AA$29),"dd mmm yy"))&amp;" "&amp;Milestones!$AB$29&amp;" "&amp;Milestones!$AC$29&amp;";  ","")&amp;IF(AND(EDATE($D152,Milestones!$AA$30)&lt;=AsOfDate,IF($R152=0,$X152,IF(AND($T152&lt;&gt;"",EDATE($D152,Milestones!$AA$30)&gt;=$T152),$W152,IF(AND($S152&lt;&gt;"",EDATE($D152,Milestones!$AA$30)&gt;=$S152),$V152,$U152)))=Milestones!$AB$30),UPPER(TEXT(EDATE($D152,Milestones!$AA$30),"dd mmm yy"))&amp;" "&amp;Milestones!$AB$30&amp;" "&amp;Milestones!$AC$30&amp;";  ","")&amp;IF(AND(EDATE($D152,Milestones!$AA$31)&lt;=AsOfDate,IF($R152=0,$X152,IF(AND($T152&lt;&gt;"",EDATE($D152,Milestones!$AA$31)&gt;=$T152),$W152,IF(AND($S152&lt;&gt;"",EDATE($D152,Milestones!$AA$31)&gt;=$S152),$V152,$U152)))=Milestones!$AB$31),UPPER(TEXT(EDATE($D152,Milestones!$AA$31),"dd mmm yy"))&amp;" "&amp;Milestones!$AB$31&amp;" "&amp;Milestones!$AC$31&amp;";  ","")&amp;IF(AND(EDATE($D152,Milestones!$AA$32)&lt;=AsOfDate,IF($R152=0,$X152,IF(AND($T152&lt;&gt;"",EDATE($D152,Milestones!$AA$32)&gt;=$T152),$W152,IF(AND($S152&lt;&gt;"",EDATE($D152,Milestones!$AA$32)&gt;=$S152),$V152,$U152)))=Milestones!$AB$32),UPPER(TEXT(EDATE($D152,Milestones!$AA$32),"dd mmm yy"))&amp;" "&amp;Milestones!$AB$32&amp;" "&amp;Milestones!$AC$32&amp;";  ","")&amp;IF(AND(EDATE($D152,Milestones!$AA$33)&lt;=AsOfDate,IF($R152=0,$X152,IF(AND($T152&lt;&gt;"",EDATE($D152,Milestones!$AA$33)&gt;=$T152),$W152,IF(AND($S152&lt;&gt;"",EDATE($D152,Milestones!$AA$33)&gt;=$S152),$V152,$U152)))=Milestones!$AB$33),UPPER(TEXT(EDATE($D152,Milestones!$AA$33),"dd mmm yy"))&amp;" "&amp;Milestones!$AB$33&amp;" "&amp;Milestones!$AC$33&amp;";  ","")&amp;IF(AND(EDATE($D152,Milestones!$AA$34)&lt;=AsOfDate,IF($R152=0,$X152,IF(AND($T152&lt;&gt;"",EDATE($D152,Milestones!$AA$34)&gt;=$T152),$W152,IF(AND($S152&lt;&gt;"",EDATE($D152,Milestones!$AA$34)&gt;=$S152),$V152,$U152)))=Milestones!$AB$34),UPPER(TEXT(EDATE($D152,Milestones!$AA$34),"dd mmm yy"))&amp;" "&amp;Milestones!$AB$34&amp;" "&amp;Milestones!$AC$34&amp;";  ","")&amp;IF(AND(EDATE($D152,Milestones!$AA$35)&lt;=AsOfDate,IF($R152=0,$X152,IF(AND($T152&lt;&gt;"",EDATE($D152,Milestones!$AA$35)&gt;=$T152),$W152,IF(AND($S152&lt;&gt;"",EDATE($D152,Milestones!$AA$35)&gt;=$S152),$V152,$U152)))=Milestones!$AB$35),UPPER(TEXT(EDATE($D152,Milestones!$AA$35),"dd mmm yy"))&amp;" "&amp;Milestones!$AB$35&amp;" "&amp;Milestones!$AC$35&amp;";  ","")&amp;IF(AND(EDATE($D152,Milestones!$AA$36)&lt;=AsOfDate,IF($R152=0,$X152,IF(AND($T152&lt;&gt;"",EDATE($D152,Milestones!$AA$36)&gt;=$T152),$W152,IF(AND($S152&lt;&gt;"",EDATE($D152,Milestones!$AA$36)&gt;=$S152),$V152,$U152)))=Milestones!$AB$36),UPPER(TEXT(EDATE($D152,Milestones!$AA$36),"dd mmm yy"))&amp;" "&amp;Milestones!$AB$36&amp;" "&amp;Milestones!$AC$36&amp;";  ","")&amp;IF(AND(EDATE($D152,Milestones!$AA$37)&lt;=AsOfDate,IF($R152=0,$X152,IF(AND($T152&lt;&gt;"",EDATE($D152,Milestones!$AA$37)&gt;=$T152),$W152,IF(AND($S152&lt;&gt;"",EDATE($D152,Milestones!$AA$37)&gt;=$S152),$V152,$U152)))=Milestones!$AB$37),UPPER(TEXT(EDATE($D152,Milestones!$AA$37),"dd mmm yy"))&amp;" "&amp;Milestones!$AB$37&amp;" "&amp;Milestones!$AC$37&amp;";  ","")&amp;IF(AND(EDATE($D152,Milestones!$AA$38)&lt;=AsOfDate,IF($R152=0,$X152,IF(AND($T152&lt;&gt;"",EDATE($D152,Milestones!$AA$38)&gt;=$T152),$W152,IF(AND($S152&lt;&gt;"",EDATE($D152,Milestones!$AA$38)&gt;=$S152),$V152,$U152)))=Milestones!$AB$38),UPPER(TEXT(EDATE($D152,Milestones!$AA$38),"dd mmm yy"))&amp;" "&amp;Milestones!$AB$38&amp;" "&amp;Milestones!$AC$38&amp;";  ","")&amp;IF(AND(EDATE($D152,Milestones!$AA$39)&lt;=AsOfDate,IF($R152=0,$X152,IF(AND($T152&lt;&gt;"",EDATE($D152,Milestones!$AA$39)&gt;=$T152),$W152,IF(AND($S152&lt;&gt;"",EDATE($D152,Milestones!$AA$39)&gt;=$S152),$V152,$U152)))=Milestones!$AB$39),UPPER(TEXT(EDATE($D152,Milestones!$AA$39),"dd mmm yy"))&amp;" "&amp;Milestones!$AB$39&amp;" "&amp;Milestones!$AC$39&amp;";  ",""))</f>
        <v/>
      </c>
      <c r="J152" s="0" t="str">
        <f aca="false">IF(OR($A152="",$D152=""),"",IF(AND(EDATE($D152,Milestones!$AA$40)&lt;=AsOfDate,IF($R152=0,$X152,IF(AND($T152&lt;&gt;"",EDATE($D152,Milestones!$AA$40)&gt;=$T152),$W152,IF(AND($S152&lt;&gt;"",EDATE($D152,Milestones!$AA$40)&gt;=$S152),$V152,$U152)))=Milestones!$AB$40),UPPER(TEXT(EDATE($D152,Milestones!$AA$40),"dd mmm yy"))&amp;" "&amp;Milestones!$AB$40&amp;" "&amp;Milestones!$AC$40&amp;";  ","")&amp;IF(AND(EDATE($D152,Milestones!$AA$41)&lt;=AsOfDate,IF($R152=0,$X152,IF(AND($T152&lt;&gt;"",EDATE($D152,Milestones!$AA$41)&gt;=$T152),$W152,IF(AND($S152&lt;&gt;"",EDATE($D152,Milestones!$AA$41)&gt;=$S152),$V152,$U152)))=Milestones!$AB$41),UPPER(TEXT(EDATE($D152,Milestones!$AA$41),"dd mmm yy"))&amp;" "&amp;Milestones!$AB$41&amp;" "&amp;Milestones!$AC$41&amp;";  ","")&amp;IF(AND(EDATE($D152,Milestones!$AA$42)&lt;=AsOfDate,IF($R152=0,$X152,IF(AND($T152&lt;&gt;"",EDATE($D152,Milestones!$AA$42)&gt;=$T152),$W152,IF(AND($S152&lt;&gt;"",EDATE($D152,Milestones!$AA$42)&gt;=$S152),$V152,$U152)))=Milestones!$AB$42),UPPER(TEXT(EDATE($D152,Milestones!$AA$42),"dd mmm yy"))&amp;" "&amp;Milestones!$AB$42&amp;" "&amp;Milestones!$AC$42&amp;";  ","")&amp;IF(AND(EDATE($D152,Milestones!$AA$43)&lt;=AsOfDate,IF($R152=0,$X152,IF(AND($T152&lt;&gt;"",EDATE($D152,Milestones!$AA$43)&gt;=$T152),$W152,IF(AND($S152&lt;&gt;"",EDATE($D152,Milestones!$AA$43)&gt;=$S152),$V152,$U152)))=Milestones!$AB$43),UPPER(TEXT(EDATE($D152,Milestones!$AA$43),"dd mmm yy"))&amp;" "&amp;Milestones!$AB$43&amp;" "&amp;Milestones!$AC$43&amp;";  ","")&amp;IF(AND(EDATE($D152,Milestones!$AA$44)&lt;=AsOfDate,IF($R152=0,$X152,IF(AND($T152&lt;&gt;"",EDATE($D152,Milestones!$AA$44)&gt;=$T152),$W152,IF(AND($S152&lt;&gt;"",EDATE($D152,Milestones!$AA$44)&gt;=$S152),$V152,$U152)))=Milestones!$AB$44),UPPER(TEXT(EDATE($D152,Milestones!$AA$44),"dd mmm yy"))&amp;" "&amp;Milestones!$AB$44&amp;" "&amp;Milestones!$AC$44&amp;";  ","")&amp;IF(AND(EDATE($D152,Milestones!$AA$45)&lt;=AsOfDate,IF($R152=0,$X152,IF(AND($T152&lt;&gt;"",EDATE($D152,Milestones!$AA$45)&gt;=$T152),$W152,IF(AND($S152&lt;&gt;"",EDATE($D152,Milestones!$AA$45)&gt;=$S152),$V152,$U152)))=Milestones!$AB$45),UPPER(TEXT(EDATE($D152,Milestones!$AA$45),"dd mmm yy"))&amp;" "&amp;Milestones!$AB$45&amp;" "&amp;Milestones!$AC$45&amp;";  ","")&amp;IF(AND(EDATE($D152,Milestones!$AA$46)&lt;=AsOfDate,IF($R152=0,$X152,IF(AND($T152&lt;&gt;"",EDATE($D152,Milestones!$AA$46)&gt;=$T152),$W152,IF(AND($S152&lt;&gt;"",EDATE($D152,Milestones!$AA$46)&gt;=$S152),$V152,$U152)))=Milestones!$AB$46),UPPER(TEXT(EDATE($D152,Milestones!$AA$46),"dd mmm yy"))&amp;" "&amp;Milestones!$AB$46&amp;" "&amp;Milestones!$AC$46&amp;";  ","")&amp;IF(AND(EDATE($D152,Milestones!$AA$47)&lt;=AsOfDate,IF($R152=0,$X152,IF(AND($T152&lt;&gt;"",EDATE($D152,Milestones!$AA$47)&gt;=$T152),$W152,IF(AND($S152&lt;&gt;"",EDATE($D152,Milestones!$AA$47)&gt;=$S152),$V152,$U152)))=Milestones!$AB$47),UPPER(TEXT(EDATE($D152,Milestones!$AA$47),"dd mmm yy"))&amp;" "&amp;Milestones!$AB$47&amp;" "&amp;Milestones!$AC$47&amp;";  ","")&amp;IF(AND(EDATE($D152,Milestones!$AA$48)&lt;=AsOfDate,IF($R152=0,$X152,IF(AND($T152&lt;&gt;"",EDATE($D152,Milestones!$AA$48)&gt;=$T152),$W152,IF(AND($S152&lt;&gt;"",EDATE($D152,Milestones!$AA$48)&gt;=$S152),$V152,$U152)))=Milestones!$AB$48),UPPER(TEXT(EDATE($D152,Milestones!$AA$48),"dd mmm yy"))&amp;" "&amp;Milestones!$AB$48&amp;" "&amp;Milestones!$AC$48&amp;";  ","")&amp;IF(AND(EDATE($D152,Milestones!$AA$49)&lt;=AsOfDate,IF($R152=0,$X152,IF(AND($T152&lt;&gt;"",EDATE($D152,Milestones!$AA$49)&gt;=$T152),$W152,IF(AND($S152&lt;&gt;"",EDATE($D152,Milestones!$AA$49)&gt;=$S152),$V152,$U152)))=Milestones!$AB$49),UPPER(TEXT(EDATE($D152,Milestones!$AA$49),"dd mmm yy"))&amp;" "&amp;Milestones!$AB$49&amp;" "&amp;Milestones!$AC$49&amp;";  ","")&amp;IF(AND(EDATE($D152,Milestones!$AA$50)&lt;=AsOfDate,IF($R152=0,$X152,IF(AND($T152&lt;&gt;"",EDATE($D152,Milestones!$AA$50)&gt;=$T152),$W152,IF(AND($S152&lt;&gt;"",EDATE($D152,Milestones!$AA$50)&gt;=$S152),$V152,$U152)))=Milestones!$AB$50),UPPER(TEXT(EDATE($D152,Milestones!$AA$50),"dd mmm yy"))&amp;" "&amp;Milestones!$AB$50&amp;" "&amp;Milestones!$AC$50&amp;";  ","")&amp;IF(AND(EDATE($D152,Milestones!$AA$51)&lt;=AsOfDate,IF($R152=0,$X152,IF(AND($T152&lt;&gt;"",EDATE($D152,Milestones!$AA$51)&gt;=$T152),$W152,IF(AND($S152&lt;&gt;"",EDATE($D152,Milestones!$AA$51)&gt;=$S152),$V152,$U152)))=Milestones!$AB$51),UPPER(TEXT(EDATE($D152,Milestones!$AA$51),"dd mmm yy"))&amp;" "&amp;Milestones!$AB$51&amp;" "&amp;Milestones!$AC$51&amp;";  ","")&amp;IF(AND(EDATE($D152,Milestones!$AA$52)&lt;=AsOfDate,IF($R152=0,$X152,IF(AND($T152&lt;&gt;"",EDATE($D152,Milestones!$AA$52)&gt;=$T152),$W152,IF(AND($S152&lt;&gt;"",EDATE($D152,Milestones!$AA$52)&gt;=$S152),$V152,$U152)))=Milestones!$AB$52),UPPER(TEXT(EDATE($D152,Milestones!$AA$52),"dd mmm yy"))&amp;" "&amp;Milestones!$AB$52&amp;" "&amp;Milestones!$AC$52&amp;";  ","")&amp;IF(AND(EDATE($D152,Milestones!$AA$53)&lt;=AsOfDate,IF($R152=0,$X152,IF(AND($T152&lt;&gt;"",EDATE($D152,Milestones!$AA$53)&gt;=$T152),$W152,IF(AND($S152&lt;&gt;"",EDATE($D152,Milestones!$AA$53)&gt;=$S152),$V152,$U152)))=Milestones!$AB$53),UPPER(TEXT(EDATE($D152,Milestones!$AA$53),"dd mmm yy"))&amp;" "&amp;Milestones!$AB$53&amp;" "&amp;Milestones!$AC$53&amp;";  ","")&amp;IF(AND(EDATE($D152,Milestones!$AA$54)&lt;=AsOfDate,IF($R152=0,$X152,IF(AND($T152&lt;&gt;"",EDATE($D152,Milestones!$AA$54)&gt;=$T152),$W152,IF(AND($S152&lt;&gt;"",EDATE($D152,Milestones!$AA$54)&gt;=$S152),$V152,$U152)))=Milestones!$AB$54),UPPER(TEXT(EDATE($D152,Milestones!$AA$54),"dd mmm yy"))&amp;" "&amp;Milestones!$AB$54&amp;" "&amp;Milestones!$AC$54&amp;";  ","")&amp;IF(AND(EDATE($D152,Milestones!$AA$55)&lt;=AsOfDate,IF($R152=0,$X152,IF(AND($T152&lt;&gt;"",EDATE($D152,Milestones!$AA$55)&gt;=$T152),$W152,IF(AND($S152&lt;&gt;"",EDATE($D152,Milestones!$AA$55)&gt;=$S152),$V152,$U152)))=Milestones!$AB$55),UPPER(TEXT(EDATE($D152,Milestones!$AA$55),"dd mmm yy"))&amp;" "&amp;Milestones!$AB$55&amp;" "&amp;Milestones!$AC$55&amp;";  ","")&amp;IF(AND(EDATE($D152,Milestones!$AA$56)&lt;=AsOfDate,IF($R152=0,$X152,IF(AND($T152&lt;&gt;"",EDATE($D152,Milestones!$AA$56)&gt;=$T152),$W152,IF(AND($S152&lt;&gt;"",EDATE($D152,Milestones!$AA$56)&gt;=$S152),$V152,$U152)))=Milestones!$AB$56),UPPER(TEXT(EDATE($D152,Milestones!$AA$56),"dd mmm yy"))&amp;" "&amp;Milestones!$AB$56&amp;" "&amp;Milestones!$AC$56&amp;";  ","")&amp;IF(AND(EDATE($D152,Milestones!$AA$57)&lt;=AsOfDate,IF($R152=0,$X152,IF(AND($T152&lt;&gt;"",EDATE($D152,Milestones!$AA$57)&gt;=$T152),$W152,IF(AND($S152&lt;&gt;"",EDATE($D152,Milestones!$AA$57)&gt;=$S152),$V152,$U152)))=Milestones!$AB$57),UPPER(TEXT(EDATE($D152,Milestones!$AA$57),"dd mmm yy"))&amp;" "&amp;Milestones!$AB$57&amp;" "&amp;Milestones!$AC$57&amp;";  ","")&amp;IF(AND(EDATE($D152,Milestones!$AA$58)&lt;=AsOfDate,IF($R152=0,$X152,IF(AND($T152&lt;&gt;"",EDATE($D152,Milestones!$AA$58)&gt;=$T152),$W152,IF(AND($S152&lt;&gt;"",EDATE($D152,Milestones!$AA$58)&gt;=$S152),$V152,$U152)))=Milestones!$AB$58),UPPER(TEXT(EDATE($D152,Milestones!$AA$58),"dd mmm yy"))&amp;" "&amp;Milestones!$AB$58&amp;" "&amp;Milestones!$AC$58&amp;";  ","")&amp;IF(AND(EDATE($D152,Milestones!$AA$59)&lt;=AsOfDate,IF($R152=0,$X152,IF(AND($T152&lt;&gt;"",EDATE($D152,Milestones!$AA$59)&gt;=$T152),$W152,IF(AND($S152&lt;&gt;"",EDATE($D152,Milestones!$AA$59)&gt;=$S152),$V152,$U152)))=Milestones!$AB$59),UPPER(TEXT(EDATE($D152,Milestones!$AA$59),"dd mmm yy"))&amp;" "&amp;Milestones!$AB$59&amp;" "&amp;Milestones!$AC$59&amp;";  ",""))</f>
        <v/>
      </c>
      <c r="K152" s="0" t="str">
        <f aca="false">IF(OR($A152="",$D152=""),"",IF(AND(EDATE($D152,Milestones!$AA$60)&lt;=AsOfDate,IF($R152=0,$X152,IF(AND($T152&lt;&gt;"",EDATE($D152,Milestones!$AA$60)&gt;=$T152),$W152,IF(AND($S152&lt;&gt;"",EDATE($D152,Milestones!$AA$60)&gt;=$S152),$V152,$U152)))=Milestones!$AB$60),UPPER(TEXT(EDATE($D152,Milestones!$AA$60),"dd mmm yy"))&amp;" "&amp;Milestones!$AB$60&amp;" "&amp;Milestones!$AC$60&amp;";  ","")&amp;IF(AND(EDATE($D152,Milestones!$AA$61)&lt;=AsOfDate,IF($R152=0,$X152,IF(AND($T152&lt;&gt;"",EDATE($D152,Milestones!$AA$61)&gt;=$T152),$W152,IF(AND($S152&lt;&gt;"",EDATE($D152,Milestones!$AA$61)&gt;=$S152),$V152,$U152)))=Milestones!$AB$61),UPPER(TEXT(EDATE($D152,Milestones!$AA$61),"dd mmm yy"))&amp;" "&amp;Milestones!$AB$61&amp;" "&amp;Milestones!$AC$61&amp;";  ","")&amp;IF(AND(EDATE($D152,Milestones!$AA$62)&lt;=AsOfDate,IF($R152=0,$X152,IF(AND($T152&lt;&gt;"",EDATE($D152,Milestones!$AA$62)&gt;=$T152),$W152,IF(AND($S152&lt;&gt;"",EDATE($D152,Milestones!$AA$62)&gt;=$S152),$V152,$U152)))=Milestones!$AB$62),UPPER(TEXT(EDATE($D152,Milestones!$AA$62),"dd mmm yy"))&amp;" "&amp;Milestones!$AB$62&amp;" "&amp;Milestones!$AC$62&amp;";  ","")&amp;IF(AND(EDATE($D152,Milestones!$AA$63)&lt;=AsOfDate,IF($R152=0,$X152,IF(AND($T152&lt;&gt;"",EDATE($D152,Milestones!$AA$63)&gt;=$T152),$W152,IF(AND($S152&lt;&gt;"",EDATE($D152,Milestones!$AA$63)&gt;=$S152),$V152,$U152)))=Milestones!$AB$63),UPPER(TEXT(EDATE($D152,Milestones!$AA$63),"dd mmm yy"))&amp;" "&amp;Milestones!$AB$63&amp;" "&amp;Milestones!$AC$63&amp;";  ","")&amp;IF(AND(EDATE($D152,Milestones!$AA$64)&lt;=AsOfDate,IF($R152=0,$X152,IF(AND($T152&lt;&gt;"",EDATE($D152,Milestones!$AA$64)&gt;=$T152),$W152,IF(AND($S152&lt;&gt;"",EDATE($D152,Milestones!$AA$64)&gt;=$S152),$V152,$U152)))=Milestones!$AB$64),UPPER(TEXT(EDATE($D152,Milestones!$AA$64),"dd mmm yy"))&amp;" "&amp;Milestones!$AB$64&amp;" "&amp;Milestones!$AC$64&amp;";  ","")&amp;IF(AND(EDATE($D152,Milestones!$AA$65)&lt;=AsOfDate,IF($R152=0,$X152,IF(AND($T152&lt;&gt;"",EDATE($D152,Milestones!$AA$65)&gt;=$T152),$W152,IF(AND($S152&lt;&gt;"",EDATE($D152,Milestones!$AA$65)&gt;=$S152),$V152,$U152)))=Milestones!$AB$65),UPPER(TEXT(EDATE($D152,Milestones!$AA$65),"dd mmm yy"))&amp;" "&amp;Milestones!$AB$65&amp;" "&amp;Milestones!$AC$65&amp;";  ","")&amp;IF(AND(EDATE($D152,Milestones!$AA$66)&lt;=AsOfDate,IF($R152=0,$X152,IF(AND($T152&lt;&gt;"",EDATE($D152,Milestones!$AA$66)&gt;=$T152),$W152,IF(AND($S152&lt;&gt;"",EDATE($D152,Milestones!$AA$66)&gt;=$S152),$V152,$U152)))=Milestones!$AB$66),UPPER(TEXT(EDATE($D152,Milestones!$AA$66),"dd mmm yy"))&amp;" "&amp;Milestones!$AB$66&amp;" "&amp;Milestones!$AC$66&amp;";  ","")&amp;IF(AND(EDATE($D152,Milestones!$AA$67)&lt;=AsOfDate,IF($R152=0,$X152,IF(AND($T152&lt;&gt;"",EDATE($D152,Milestones!$AA$67)&gt;=$T152),$W152,IF(AND($S152&lt;&gt;"",EDATE($D152,Milestones!$AA$67)&gt;=$S152),$V152,$U152)))=Milestones!$AB$67),UPPER(TEXT(EDATE($D152,Milestones!$AA$67),"dd mmm yy"))&amp;" "&amp;Milestones!$AB$67&amp;" "&amp;Milestones!$AC$67&amp;";  ","")&amp;IF(AND(EDATE($D152,Milestones!$AA$68)&lt;=AsOfDate,IF($R152=0,$X152,IF(AND($T152&lt;&gt;"",EDATE($D152,Milestones!$AA$68)&gt;=$T152),$W152,IF(AND($S152&lt;&gt;"",EDATE($D152,Milestones!$AA$68)&gt;=$S152),$V152,$U152)))=Milestones!$AB$68),UPPER(TEXT(EDATE($D152,Milestones!$AA$68),"dd mmm yy"))&amp;" "&amp;Milestones!$AB$68&amp;" "&amp;Milestones!$AC$68&amp;";  ","")&amp;IF(AND(EDATE($D152,Milestones!$AA$69)&lt;=AsOfDate,IF($R152=0,$X152,IF(AND($T152&lt;&gt;"",EDATE($D152,Milestones!$AA$69)&gt;=$T152),$W152,IF(AND($S152&lt;&gt;"",EDATE($D152,Milestones!$AA$69)&gt;=$S152),$V152,$U152)))=Milestones!$AB$69),UPPER(TEXT(EDATE($D152,Milestones!$AA$69),"dd mmm yy"))&amp;" "&amp;Milestones!$AB$69&amp;" "&amp;Milestones!$AC$69&amp;";  ","")&amp;IF(AND(EDATE($D152,Milestones!$AA$70)&lt;=AsOfDate,IF($R152=0,$X152,IF(AND($T152&lt;&gt;"",EDATE($D152,Milestones!$AA$70)&gt;=$T152),$W152,IF(AND($S152&lt;&gt;"",EDATE($D152,Milestones!$AA$70)&gt;=$S152),$V152,$U152)))=Milestones!$AB$70),UPPER(TEXT(EDATE($D152,Milestones!$AA$70),"dd mmm yy"))&amp;" "&amp;Milestones!$AB$70&amp;" "&amp;Milestones!$AC$70&amp;";  ","")&amp;IF(AND(EDATE($D152,Milestones!$AA$71)&lt;=AsOfDate,IF($R152=0,$X152,IF(AND($T152&lt;&gt;"",EDATE($D152,Milestones!$AA$71)&gt;=$T152),$W152,IF(AND($S152&lt;&gt;"",EDATE($D152,Milestones!$AA$71)&gt;=$S152),$V152,$U152)))=Milestones!$AB$71),UPPER(TEXT(EDATE($D152,Milestones!$AA$71),"dd mmm yy"))&amp;" "&amp;Milestones!$AB$71&amp;" "&amp;Milestones!$AC$71&amp;";  ","")&amp;IF(AND(EDATE($D152,Milestones!$AA$72)&lt;=AsOfDate,IF($R152=0,$X152,IF(AND($T152&lt;&gt;"",EDATE($D152,Milestones!$AA$72)&gt;=$T152),$W152,IF(AND($S152&lt;&gt;"",EDATE($D152,Milestones!$AA$72)&gt;=$S152),$V152,$U152)))=Milestones!$AB$72),UPPER(TEXT(EDATE($D152,Milestones!$AA$72),"dd mmm yy"))&amp;" "&amp;Milestones!$AB$72&amp;" "&amp;Milestones!$AC$72&amp;";  ","")&amp;IF(AND(EDATE($D152,Milestones!$AA$73)&lt;=AsOfDate,IF($R152=0,$X152,IF(AND($T152&lt;&gt;"",EDATE($D152,Milestones!$AA$73)&gt;=$T152),$W152,IF(AND($S152&lt;&gt;"",EDATE($D152,Milestones!$AA$73)&gt;=$S152),$V152,$U152)))=Milestones!$AB$73),UPPER(TEXT(EDATE($D152,Milestones!$AA$73),"dd mmm yy"))&amp;" "&amp;Milestones!$AB$73&amp;" "&amp;Milestones!$AC$73&amp;";  ","")&amp;IF(AND(EDATE($D152,Milestones!$AA$74)&lt;=AsOfDate,IF($R152=0,$X152,IF(AND($T152&lt;&gt;"",EDATE($D152,Milestones!$AA$74)&gt;=$T152),$W152,IF(AND($S152&lt;&gt;"",EDATE($D152,Milestones!$AA$74)&gt;=$S152),$V152,$U152)))=Milestones!$AB$74),UPPER(TEXT(EDATE($D152,Milestones!$AA$74),"dd mmm yy"))&amp;" "&amp;Milestones!$AB$74&amp;" "&amp;Milestones!$AC$74&amp;";  ","")&amp;IF(AND(EDATE($D152,Milestones!$AA$75)&lt;=AsOfDate,IF($R152=0,$X152,IF(AND($T152&lt;&gt;"",EDATE($D152,Milestones!$AA$75)&gt;=$T152),$W152,IF(AND($S152&lt;&gt;"",EDATE($D152,Milestones!$AA$75)&gt;=$S152),$V152,$U152)))=Milestones!$AB$75),UPPER(TEXT(EDATE($D152,Milestones!$AA$75),"dd mmm yy"))&amp;" "&amp;Milestones!$AB$75&amp;" "&amp;Milestones!$AC$75&amp;";  ","")&amp;IF(AND(EDATE($D152,Milestones!$AA$76)&lt;=AsOfDate,IF($R152=0,$X152,IF(AND($T152&lt;&gt;"",EDATE($D152,Milestones!$AA$76)&gt;=$T152),$W152,IF(AND($S152&lt;&gt;"",EDATE($D152,Milestones!$AA$76)&gt;=$S152),$V152,$U152)))=Milestones!$AB$76),UPPER(TEXT(EDATE($D152,Milestones!$AA$76),"dd mmm yy"))&amp;" "&amp;Milestones!$AB$76&amp;" "&amp;Milestones!$AC$76&amp;";  ","")&amp;IF(AND(EDATE($D152,Milestones!$AA$77)&lt;=AsOfDate,IF($R152=0,$X152,IF(AND($T152&lt;&gt;"",EDATE($D152,Milestones!$AA$77)&gt;=$T152),$W152,IF(AND($S152&lt;&gt;"",EDATE($D152,Milestones!$AA$77)&gt;=$S152),$V152,$U152)))=Milestones!$AB$77),UPPER(TEXT(EDATE($D152,Milestones!$AA$77),"dd mmm yy"))&amp;" "&amp;Milestones!$AB$77&amp;" "&amp;Milestones!$AC$77&amp;";  ","")&amp;IF(AND(EDATE($D152,Milestones!$AA$78)&lt;=AsOfDate,IF($R152=0,$X152,IF(AND($T152&lt;&gt;"",EDATE($D152,Milestones!$AA$78)&gt;=$T152),$W152,IF(AND($S152&lt;&gt;"",EDATE($D152,Milestones!$AA$78)&gt;=$S152),$V152,$U152)))=Milestones!$AB$78),UPPER(TEXT(EDATE($D152,Milestones!$AA$78),"dd mmm yy"))&amp;" "&amp;Milestones!$AB$78&amp;" "&amp;Milestones!$AC$78&amp;";  ","")&amp;IF(AND(EDATE($D152,Milestones!$AA$79)&lt;=AsOfDate,IF($R152=0,$X152,IF(AND($T152&lt;&gt;"",EDATE($D152,Milestones!$AA$79)&gt;=$T152),$W152,IF(AND($S152&lt;&gt;"",EDATE($D152,Milestones!$AA$79)&gt;=$S152),$V152,$U152)))=Milestones!$AB$79),UPPER(TEXT(EDATE($D152,Milestones!$AA$79),"dd mmm yy"))&amp;" "&amp;Milestones!$AB$79&amp;" "&amp;Milestones!$AC$79&amp;";  ",""))</f>
        <v/>
      </c>
      <c r="L152" s="0" t="str">
        <f aca="false">IF(OR($A152="",$D152=""),"",IF(AND(EDATE($D152,Milestones!$AA$80)&lt;=AsOfDate,IF($R152=0,$X152,IF(AND($T152&lt;&gt;"",EDATE($D152,Milestones!$AA$80)&gt;=$T152),$W152,IF(AND($S152&lt;&gt;"",EDATE($D152,Milestones!$AA$80)&gt;=$S152),$V152,$U152)))=Milestones!$AB$80),UPPER(TEXT(EDATE($D152,Milestones!$AA$80),"dd mmm yy"))&amp;" "&amp;Milestones!$AB$80&amp;" "&amp;Milestones!$AC$80&amp;";  ","")&amp;IF(AND(EDATE($D152,Milestones!$AA$81)&lt;=AsOfDate,IF($R152=0,$X152,IF(AND($T152&lt;&gt;"",EDATE($D152,Milestones!$AA$81)&gt;=$T152),$W152,IF(AND($S152&lt;&gt;"",EDATE($D152,Milestones!$AA$81)&gt;=$S152),$V152,$U152)))=Milestones!$AB$81),UPPER(TEXT(EDATE($D152,Milestones!$AA$81),"dd mmm yy"))&amp;" "&amp;Milestones!$AB$81&amp;" "&amp;Milestones!$AC$81&amp;";  ","")&amp;IF(AND(EDATE($D152,Milestones!$AA$82)&lt;=AsOfDate,IF($R152=0,$X152,IF(AND($T152&lt;&gt;"",EDATE($D152,Milestones!$AA$82)&gt;=$T152),$W152,IF(AND($S152&lt;&gt;"",EDATE($D152,Milestones!$AA$82)&gt;=$S152),$V152,$U152)))=Milestones!$AB$82),UPPER(TEXT(EDATE($D152,Milestones!$AA$82),"dd mmm yy"))&amp;" "&amp;Milestones!$AB$82&amp;" "&amp;Milestones!$AC$82&amp;";  ","")&amp;IF(AND(EDATE($D152,Milestones!$AA$83)&lt;=AsOfDate,IF($R152=0,$X152,IF(AND($T152&lt;&gt;"",EDATE($D152,Milestones!$AA$83)&gt;=$T152),$W152,IF(AND($S152&lt;&gt;"",EDATE($D152,Milestones!$AA$83)&gt;=$S152),$V152,$U152)))=Milestones!$AB$83),UPPER(TEXT(EDATE($D152,Milestones!$AA$83),"dd mmm yy"))&amp;" "&amp;Milestones!$AB$83&amp;" "&amp;Milestones!$AC$83&amp;";  ","")&amp;IF(AND(EDATE($D152,Milestones!$AA$84)&lt;=AsOfDate,IF($R152=0,$X152,IF(AND($T152&lt;&gt;"",EDATE($D152,Milestones!$AA$84)&gt;=$T152),$W152,IF(AND($S152&lt;&gt;"",EDATE($D152,Milestones!$AA$84)&gt;=$S152),$V152,$U152)))=Milestones!$AB$84),UPPER(TEXT(EDATE($D152,Milestones!$AA$84),"dd mmm yy"))&amp;" "&amp;Milestones!$AB$84&amp;" "&amp;Milestones!$AC$84&amp;";  ","")&amp;IF(AND(EDATE($D152,Milestones!$AA$85)&lt;=AsOfDate,IF($R152=0,$X152,IF(AND($T152&lt;&gt;"",EDATE($D152,Milestones!$AA$85)&gt;=$T152),$W152,IF(AND($S152&lt;&gt;"",EDATE($D152,Milestones!$AA$85)&gt;=$S152),$V152,$U152)))=Milestones!$AB$85),UPPER(TEXT(EDATE($D152,Milestones!$AA$85),"dd mmm yy"))&amp;" "&amp;Milestones!$AB$85&amp;" "&amp;Milestones!$AC$85&amp;";  ","")&amp;IF(AND(EDATE($D152,Milestones!$AA$86)&lt;=AsOfDate,IF($R152=0,$X152,IF(AND($T152&lt;&gt;"",EDATE($D152,Milestones!$AA$86)&gt;=$T152),$W152,IF(AND($S152&lt;&gt;"",EDATE($D152,Milestones!$AA$86)&gt;=$S152),$V152,$U152)))=Milestones!$AB$86),UPPER(TEXT(EDATE($D152,Milestones!$AA$86),"dd mmm yy"))&amp;" "&amp;Milestones!$AB$86&amp;" "&amp;Milestones!$AC$86&amp;";  ","")&amp;IF(AND(EDATE($D152,Milestones!$AA$87)&lt;=AsOfDate,IF($R152=0,$X152,IF(AND($T152&lt;&gt;"",EDATE($D152,Milestones!$AA$87)&gt;=$T152),$W152,IF(AND($S152&lt;&gt;"",EDATE($D152,Milestones!$AA$87)&gt;=$S152),$V152,$U152)))=Milestones!$AB$87),UPPER(TEXT(EDATE($D152,Milestones!$AA$87),"dd mmm yy"))&amp;" "&amp;Milestones!$AB$87&amp;" "&amp;Milestones!$AC$87&amp;";  ","")&amp;IF(AND(EDATE($D152,Milestones!$AA$88)&lt;=AsOfDate,IF($R152=0,$X152,IF(AND($T152&lt;&gt;"",EDATE($D152,Milestones!$AA$88)&gt;=$T152),$W152,IF(AND($S152&lt;&gt;"",EDATE($D152,Milestones!$AA$88)&gt;=$S152),$V152,$U152)))=Milestones!$AB$88),UPPER(TEXT(EDATE($D152,Milestones!$AA$88),"dd mmm yy"))&amp;" "&amp;Milestones!$AB$88&amp;" "&amp;Milestones!$AC$88&amp;";  ","")&amp;IF(AND(EDATE($D152,Milestones!$AA$89)&lt;=AsOfDate,IF($R152=0,$X152,IF(AND($T152&lt;&gt;"",EDATE($D152,Milestones!$AA$89)&gt;=$T152),$W152,IF(AND($S152&lt;&gt;"",EDATE($D152,Milestones!$AA$89)&gt;=$S152),$V152,$U152)))=Milestones!$AB$89),UPPER(TEXT(EDATE($D152,Milestones!$AA$89),"dd mmm yy"))&amp;" "&amp;Milestones!$AB$89&amp;" "&amp;Milestones!$AC$89&amp;";  ","")&amp;IF(AND(EDATE($D152,Milestones!$AA$90)&lt;=AsOfDate,IF($R152=0,$X152,IF(AND($T152&lt;&gt;"",EDATE($D152,Milestones!$AA$90)&gt;=$T152),$W152,IF(AND($S152&lt;&gt;"",EDATE($D152,Milestones!$AA$90)&gt;=$S152),$V152,$U152)))=Milestones!$AB$90),UPPER(TEXT(EDATE($D152,Milestones!$AA$90),"dd mmm yy"))&amp;" "&amp;Milestones!$AB$90&amp;" "&amp;Milestones!$AC$90&amp;";  ","")&amp;IF(AND(EDATE($D152,Milestones!$AA$91)&lt;=AsOfDate,IF($R152=0,$X152,IF(AND($T152&lt;&gt;"",EDATE($D152,Milestones!$AA$91)&gt;=$T152),$W152,IF(AND($S152&lt;&gt;"",EDATE($D152,Milestones!$AA$91)&gt;=$S152),$V152,$U152)))=Milestones!$AB$91),UPPER(TEXT(EDATE($D152,Milestones!$AA$91),"dd mmm yy"))&amp;" "&amp;Milestones!$AB$91&amp;" "&amp;Milestones!$AC$91&amp;";  ","")&amp;IF(AND(EDATE($D152,Milestones!$AA$92)&lt;=AsOfDate,IF($R152=0,$X152,IF(AND($T152&lt;&gt;"",EDATE($D152,Milestones!$AA$92)&gt;=$T152),$W152,IF(AND($S152&lt;&gt;"",EDATE($D152,Milestones!$AA$92)&gt;=$S152),$V152,$U152)))=Milestones!$AB$92),UPPER(TEXT(EDATE($D152,Milestones!$AA$92),"dd mmm yy"))&amp;" "&amp;Milestones!$AB$92&amp;" "&amp;Milestones!$AC$92&amp;";  ","")&amp;IF(AND(EDATE($D152,Milestones!$AA$93)&lt;=AsOfDate,IF($R152=0,$X152,IF(AND($T152&lt;&gt;"",EDATE($D152,Milestones!$AA$93)&gt;=$T152),$W152,IF(AND($S152&lt;&gt;"",EDATE($D152,Milestones!$AA$93)&gt;=$S152),$V152,$U152)))=Milestones!$AB$93),UPPER(TEXT(EDATE($D152,Milestones!$AA$93),"dd mmm yy"))&amp;" "&amp;Milestones!$AB$93&amp;" "&amp;Milestones!$AC$93&amp;";  ","")&amp;IF(AND(EDATE($D152,Milestones!$AA$94)&lt;=AsOfDate,IF($R152=0,$X152,IF(AND($T152&lt;&gt;"",EDATE($D152,Milestones!$AA$94)&gt;=$T152),$W152,IF(AND($S152&lt;&gt;"",EDATE($D152,Milestones!$AA$94)&gt;=$S152),$V152,$U152)))=Milestones!$AB$94),UPPER(TEXT(EDATE($D152,Milestones!$AA$94),"dd mmm yy"))&amp;" "&amp;Milestones!$AB$94&amp;" "&amp;Milestones!$AC$94&amp;";  ","")&amp;IF(AND(EDATE($D152,Milestones!$AA$95)&lt;=AsOfDate,IF($R152=0,$X152,IF(AND($T152&lt;&gt;"",EDATE($D152,Milestones!$AA$95)&gt;=$T152),$W152,IF(AND($S152&lt;&gt;"",EDATE($D152,Milestones!$AA$95)&gt;=$S152),$V152,$U152)))=Milestones!$AB$95),UPPER(TEXT(EDATE($D152,Milestones!$AA$95),"dd mmm yy"))&amp;" "&amp;Milestones!$AB$95&amp;" "&amp;Milestones!$AC$95&amp;";  ","")&amp;IF(AND(EDATE($D152,Milestones!$AA$96)&lt;=AsOfDate,IF($R152=0,$X152,IF(AND($T152&lt;&gt;"",EDATE($D152,Milestones!$AA$96)&gt;=$T152),$W152,IF(AND($S152&lt;&gt;"",EDATE($D152,Milestones!$AA$96)&gt;=$S152),$V152,$U152)))=Milestones!$AB$96),UPPER(TEXT(EDATE($D152,Milestones!$AA$96),"dd mmm yy"))&amp;" "&amp;Milestones!$AB$96&amp;" "&amp;Milestones!$AC$96&amp;";  ","")&amp;IF(AND(EDATE($D152,Milestones!$AA$97)&lt;=AsOfDate,IF($R152=0,$X152,IF(AND($T152&lt;&gt;"",EDATE($D152,Milestones!$AA$97)&gt;=$T152),$W152,IF(AND($S152&lt;&gt;"",EDATE($D152,Milestones!$AA$97)&gt;=$S152),$V152,$U152)))=Milestones!$AB$97),UPPER(TEXT(EDATE($D152,Milestones!$AA$97),"dd mmm yy"))&amp;" "&amp;Milestones!$AB$97&amp;" "&amp;Milestones!$AC$97&amp;";  ","")&amp;IF(AND(EDATE($D152,Milestones!$AA$98)&lt;=AsOfDate,IF($R152=0,$X152,IF(AND($T152&lt;&gt;"",EDATE($D152,Milestones!$AA$98)&gt;=$T152),$W152,IF(AND($S152&lt;&gt;"",EDATE($D152,Milestones!$AA$98)&gt;=$S152),$V152,$U152)))=Milestones!$AB$98),UPPER(TEXT(EDATE($D152,Milestones!$AA$98),"dd mmm yy"))&amp;" "&amp;Milestones!$AB$98&amp;" "&amp;Milestones!$AC$98&amp;";  ","")&amp;IF(AND(EDATE($D152,Milestones!$AA$99)&lt;=AsOfDate,IF($R152=0,$X152,IF(AND($T152&lt;&gt;"",EDATE($D152,Milestones!$AA$99)&gt;=$T152),$W152,IF(AND($S152&lt;&gt;"",EDATE($D152,Milestones!$AA$99)&gt;=$S152),$V152,$U152)))=Milestones!$AB$99),UPPER(TEXT(EDATE($D152,Milestones!$AA$99),"dd mmm yy"))&amp;" "&amp;Milestones!$AB$99&amp;" "&amp;Milestones!$AC$99&amp;";  ",""))</f>
        <v/>
      </c>
      <c r="M152" s="0" t="str">
        <f aca="false">IF(OR($A152="",$D152=""),"",IF(AND(EDATE($D152,Milestones!$AA$100)&lt;=AsOfDate,IF($R152=0,$X152,IF(AND($T152&lt;&gt;"",EDATE($D152,Milestones!$AA$100)&gt;=$T152),$W152,IF(AND($S152&lt;&gt;"",EDATE($D152,Milestones!$AA$100)&gt;=$S152),$V152,$U152)))=Milestones!$AB$100),UPPER(TEXT(EDATE($D152,Milestones!$AA$100),"dd mmm yy"))&amp;" "&amp;Milestones!$AB$100&amp;" "&amp;Milestones!$AC$100&amp;";  ","")&amp;IF(AND(EDATE($D152,Milestones!$AA$101)&lt;=AsOfDate,IF($R152=0,$X152,IF(AND($T152&lt;&gt;"",EDATE($D152,Milestones!$AA$101)&gt;=$T152),$W152,IF(AND($S152&lt;&gt;"",EDATE($D152,Milestones!$AA$101)&gt;=$S152),$V152,$U152)))=Milestones!$AB$101),UPPER(TEXT(EDATE($D152,Milestones!$AA$101),"dd mmm yy"))&amp;" "&amp;Milestones!$AB$101&amp;" "&amp;Milestones!$AC$101&amp;";  ","")&amp;IF(AND(EDATE($D152,Milestones!$AA$102)&lt;=AsOfDate,IF($R152=0,$X152,IF(AND($T152&lt;&gt;"",EDATE($D152,Milestones!$AA$102)&gt;=$T152),$W152,IF(AND($S152&lt;&gt;"",EDATE($D152,Milestones!$AA$102)&gt;=$S152),$V152,$U152)))=Milestones!$AB$102),UPPER(TEXT(EDATE($D152,Milestones!$AA$102),"dd mmm yy"))&amp;" "&amp;Milestones!$AB$102&amp;" "&amp;Milestones!$AC$102&amp;";  ","")&amp;IF(AND(EDATE($D152,Milestones!$AA$103)&lt;=AsOfDate,IF($R152=0,$X152,IF(AND($T152&lt;&gt;"",EDATE($D152,Milestones!$AA$103)&gt;=$T152),$W152,IF(AND($S152&lt;&gt;"",EDATE($D152,Milestones!$AA$103)&gt;=$S152),$V152,$U152)))=Milestones!$AB$103),UPPER(TEXT(EDATE($D152,Milestones!$AA$103),"dd mmm yy"))&amp;" "&amp;Milestones!$AB$103&amp;" "&amp;Milestones!$AC$103&amp;";  ","")&amp;IF(AND(EDATE($D152,Milestones!$AA$104)&lt;=AsOfDate,IF($R152=0,$X152,IF(AND($T152&lt;&gt;"",EDATE($D152,Milestones!$AA$104)&gt;=$T152),$W152,IF(AND($S152&lt;&gt;"",EDATE($D152,Milestones!$AA$104)&gt;=$S152),$V152,$U152)))=Milestones!$AB$104),UPPER(TEXT(EDATE($D152,Milestones!$AA$104),"dd mmm yy"))&amp;" "&amp;Milestones!$AB$104&amp;" "&amp;Milestones!$AC$104&amp;";  ","")&amp;IF(AND(EDATE($D152,Milestones!$AA$105)&lt;=AsOfDate,IF($R152=0,$X152,IF(AND($T152&lt;&gt;"",EDATE($D152,Milestones!$AA$105)&gt;=$T152),$W152,IF(AND($S152&lt;&gt;"",EDATE($D152,Milestones!$AA$105)&gt;=$S152),$V152,$U152)))=Milestones!$AB$105),UPPER(TEXT(EDATE($D152,Milestones!$AA$105),"dd mmm yy"))&amp;" "&amp;Milestones!$AB$105&amp;" "&amp;Milestones!$AC$105&amp;";  ","")&amp;IF(AND(EDATE($D152,Milestones!$AA$106)&lt;=AsOfDate,IF($R152=0,$X152,IF(AND($T152&lt;&gt;"",EDATE($D152,Milestones!$AA$106)&gt;=$T152),$W152,IF(AND($S152&lt;&gt;"",EDATE($D152,Milestones!$AA$106)&gt;=$S152),$V152,$U152)))=Milestones!$AB$106),UPPER(TEXT(EDATE($D152,Milestones!$AA$106),"dd mmm yy"))&amp;" "&amp;Milestones!$AB$106&amp;" "&amp;Milestones!$AC$106&amp;";  ","")&amp;IF(AND(EDATE($D152,Milestones!$AA$107)&lt;=AsOfDate,IF($R152=0,$X152,IF(AND($T152&lt;&gt;"",EDATE($D152,Milestones!$AA$107)&gt;=$T152),$W152,IF(AND($S152&lt;&gt;"",EDATE($D152,Milestones!$AA$107)&gt;=$S152),$V152,$U152)))=Milestones!$AB$107),UPPER(TEXT(EDATE($D152,Milestones!$AA$107),"dd mmm yy"))&amp;" "&amp;Milestones!$AB$107&amp;" "&amp;Milestones!$AC$107&amp;";  ","")&amp;IF(AND(EDATE($D152,Milestones!$AA$108)&lt;=AsOfDate,IF($R152=0,$X152,IF(AND($T152&lt;&gt;"",EDATE($D152,Milestones!$AA$108)&gt;=$T152),$W152,IF(AND($S152&lt;&gt;"",EDATE($D152,Milestones!$AA$108)&gt;=$S152),$V152,$U152)))=Milestones!$AB$108),UPPER(TEXT(EDATE($D152,Milestones!$AA$108),"dd mmm yy"))&amp;" "&amp;Milestones!$AB$108&amp;" "&amp;Milestones!$AC$108&amp;";  ","")&amp;IF(AND(EDATE($D152,Milestones!$AA$109)&lt;=AsOfDate,IF($R152=0,$X152,IF(AND($T152&lt;&gt;"",EDATE($D152,Milestones!$AA$109)&gt;=$T152),$W152,IF(AND($S152&lt;&gt;"",EDATE($D152,Milestones!$AA$109)&gt;=$S152),$V152,$U152)))=Milestones!$AB$109),UPPER(TEXT(EDATE($D152,Milestones!$AA$109),"dd mmm yy"))&amp;" "&amp;Milestones!$AB$109&amp;" "&amp;Milestones!$AC$109&amp;";  ","")&amp;IF(AND(EDATE($D152,Milestones!$AA$110)&lt;=AsOfDate,IF($R152=0,$X152,IF(AND($T152&lt;&gt;"",EDATE($D152,Milestones!$AA$110)&gt;=$T152),$W152,IF(AND($S152&lt;&gt;"",EDATE($D152,Milestones!$AA$110)&gt;=$S152),$V152,$U152)))=Milestones!$AB$110),UPPER(TEXT(EDATE($D152,Milestones!$AA$110),"dd mmm yy"))&amp;" "&amp;Milestones!$AB$110&amp;" "&amp;Milestones!$AC$110&amp;";  ","")&amp;IF(AND(EDATE($D152,Milestones!$AA$111)&lt;=AsOfDate,IF($R152=0,$X152,IF(AND($T152&lt;&gt;"",EDATE($D152,Milestones!$AA$111)&gt;=$T152),$W152,IF(AND($S152&lt;&gt;"",EDATE($D152,Milestones!$AA$111)&gt;=$S152),$V152,$U152)))=Milestones!$AB$111),UPPER(TEXT(EDATE($D152,Milestones!$AA$111),"dd mmm yy"))&amp;" "&amp;Milestones!$AB$111&amp;" "&amp;Milestones!$AC$111&amp;";  ","")&amp;IF(AND(EDATE($D152,Milestones!$AA$112)&lt;=AsOfDate,IF($R152=0,$X152,IF(AND($T152&lt;&gt;"",EDATE($D152,Milestones!$AA$112)&gt;=$T152),$W152,IF(AND($S152&lt;&gt;"",EDATE($D152,Milestones!$AA$112)&gt;=$S152),$V152,$U152)))=Milestones!$AB$112),UPPER(TEXT(EDATE($D152,Milestones!$AA$112),"dd mmm yy"))&amp;" "&amp;Milestones!$AB$112&amp;" "&amp;Milestones!$AC$112&amp;";  ","")&amp;IF(AND(EDATE($D152,Milestones!$AA$113)&lt;=AsOfDate,IF($R152=0,$X152,IF(AND($T152&lt;&gt;"",EDATE($D152,Milestones!$AA$113)&gt;=$T152),$W152,IF(AND($S152&lt;&gt;"",EDATE($D152,Milestones!$AA$113)&gt;=$S152),$V152,$U152)))=Milestones!$AB$113),UPPER(TEXT(EDATE($D152,Milestones!$AA$113),"dd mmm yy"))&amp;" "&amp;Milestones!$AB$113&amp;" "&amp;Milestones!$AC$113&amp;";  ","")&amp;IF(AND(EDATE($D152,Milestones!$AA$114)&lt;=AsOfDate,IF($R152=0,$X152,IF(AND($T152&lt;&gt;"",EDATE($D152,Milestones!$AA$114)&gt;=$T152),$W152,IF(AND($S152&lt;&gt;"",EDATE($D152,Milestones!$AA$114)&gt;=$S152),$V152,$U152)))=Milestones!$AB$114),UPPER(TEXT(EDATE($D152,Milestones!$AA$114),"dd mmm yy"))&amp;" "&amp;Milestones!$AB$114&amp;" "&amp;Milestones!$AC$114&amp;";  ","")&amp;IF(AND(EDATE($D152,Milestones!$AA$115)&lt;=AsOfDate,IF($R152=0,$X152,IF(AND($T152&lt;&gt;"",EDATE($D152,Milestones!$AA$115)&gt;=$T152),$W152,IF(AND($S152&lt;&gt;"",EDATE($D152,Milestones!$AA$115)&gt;=$S152),$V152,$U152)))=Milestones!$AB$115),UPPER(TEXT(EDATE($D152,Milestones!$AA$115),"dd mmm yy"))&amp;" "&amp;Milestones!$AB$115&amp;" "&amp;Milestones!$AC$115&amp;";  ","")&amp;IF(AND(EDATE($D152,Milestones!$AA$116)&lt;=AsOfDate,IF($R152=0,$X152,IF(AND($T152&lt;&gt;"",EDATE($D152,Milestones!$AA$116)&gt;=$T152),$W152,IF(AND($S152&lt;&gt;"",EDATE($D152,Milestones!$AA$116)&gt;=$S152),$V152,$U152)))=Milestones!$AB$116),UPPER(TEXT(EDATE($D152,Milestones!$AA$116),"dd mmm yy"))&amp;" "&amp;Milestones!$AB$116&amp;" "&amp;Milestones!$AC$116&amp;";  ","")&amp;IF(AND(EDATE($D152,Milestones!$AA$117)&lt;=AsOfDate,IF($R152=0,$X152,IF(AND($T152&lt;&gt;"",EDATE($D152,Milestones!$AA$117)&gt;=$T152),$W152,IF(AND($S152&lt;&gt;"",EDATE($D152,Milestones!$AA$117)&gt;=$S152),$V152,$U152)))=Milestones!$AB$117),UPPER(TEXT(EDATE($D152,Milestones!$AA$117),"dd mmm yy"))&amp;" "&amp;Milestones!$AB$117&amp;" "&amp;Milestones!$AC$117&amp;";  ","")&amp;IF(AND(EDATE($D152,Milestones!$AA$118)&lt;=AsOfDate,IF($R152=0,$X152,IF(AND($T152&lt;&gt;"",EDATE($D152,Milestones!$AA$118)&gt;=$T152),$W152,IF(AND($S152&lt;&gt;"",EDATE($D152,Milestones!$AA$118)&gt;=$S152),$V152,$U152)))=Milestones!$AB$118),UPPER(TEXT(EDATE($D152,Milestones!$AA$118),"dd mmm yy"))&amp;" "&amp;Milestones!$AB$118&amp;" "&amp;Milestones!$AC$118&amp;";  ","")&amp;IF(AND(EDATE($D152,Milestones!$AA$119)&lt;=AsOfDate,IF($R152=0,$X152,IF(AND($T152&lt;&gt;"",EDATE($D152,Milestones!$AA$119)&gt;=$T152),$W152,IF(AND($S152&lt;&gt;"",EDATE($D152,Milestones!$AA$119)&gt;=$S152),$V152,$U152)))=Milestones!$AB$119),UPPER(TEXT(EDATE($D152,Milestones!$AA$119),"dd mmm yy"))&amp;" "&amp;Milestones!$AB$119&amp;" "&amp;Milestones!$AC$119&amp;";  ",""))</f>
        <v/>
      </c>
      <c r="N152" s="0" t="str">
        <f aca="false">IF(OR($A152="",$D152=""),"",IF(AND(EDATE($D152,Milestones!$AA$120)&lt;=AsOfDate,IF($R152=0,$X152,IF(AND($T152&lt;&gt;"",EDATE($D152,Milestones!$AA$120)&gt;=$T152),$W152,IF(AND($S152&lt;&gt;"",EDATE($D152,Milestones!$AA$120)&gt;=$S152),$V152,$U152)))=Milestones!$AB$120),UPPER(TEXT(EDATE($D152,Milestones!$AA$120),"dd mmm yy"))&amp;" "&amp;Milestones!$AB$120&amp;" "&amp;Milestones!$AC$120&amp;";  ","")&amp;IF(AND(EDATE($D152,Milestones!$AA$121)&lt;=AsOfDate,IF($R152=0,$X152,IF(AND($T152&lt;&gt;"",EDATE($D152,Milestones!$AA$121)&gt;=$T152),$W152,IF(AND($S152&lt;&gt;"",EDATE($D152,Milestones!$AA$121)&gt;=$S152),$V152,$U152)))=Milestones!$AB$121),UPPER(TEXT(EDATE($D152,Milestones!$AA$121),"dd mmm yy"))&amp;" "&amp;Milestones!$AB$121&amp;" "&amp;Milestones!$AC$121&amp;";  ","")&amp;IF(AND(EDATE($D152,Milestones!$AA$122)&lt;=AsOfDate,IF($R152=0,$X152,IF(AND($T152&lt;&gt;"",EDATE($D152,Milestones!$AA$122)&gt;=$T152),$W152,IF(AND($S152&lt;&gt;"",EDATE($D152,Milestones!$AA$122)&gt;=$S152),$V152,$U152)))=Milestones!$AB$122),UPPER(TEXT(EDATE($D152,Milestones!$AA$122),"dd mmm yy"))&amp;" "&amp;Milestones!$AB$122&amp;" "&amp;Milestones!$AC$122&amp;";  ","")&amp;IF(AND(EDATE($D152,Milestones!$AA$123)&lt;=AsOfDate,IF($R152=0,$X152,IF(AND($T152&lt;&gt;"",EDATE($D152,Milestones!$AA$123)&gt;=$T152),$W152,IF(AND($S152&lt;&gt;"",EDATE($D152,Milestones!$AA$123)&gt;=$S152),$V152,$U152)))=Milestones!$AB$123),UPPER(TEXT(EDATE($D152,Milestones!$AA$123),"dd mmm yy"))&amp;" "&amp;Milestones!$AB$123&amp;" "&amp;Milestones!$AC$123&amp;";  ","")&amp;IF(AND(EDATE($D152,Milestones!$AA$124)&lt;=AsOfDate,IF($R152=0,$X152,IF(AND($T152&lt;&gt;"",EDATE($D152,Milestones!$AA$124)&gt;=$T152),$W152,IF(AND($S152&lt;&gt;"",EDATE($D152,Milestones!$AA$124)&gt;=$S152),$V152,$U152)))=Milestones!$AB$124),UPPER(TEXT(EDATE($D152,Milestones!$AA$124),"dd mmm yy"))&amp;" "&amp;Milestones!$AB$124&amp;" "&amp;Milestones!$AC$124&amp;";  ","")&amp;IF(AND(EDATE($D152,Milestones!$AA$125)&lt;=AsOfDate,IF($R152=0,$X152,IF(AND($T152&lt;&gt;"",EDATE($D152,Milestones!$AA$125)&gt;=$T152),$W152,IF(AND($S152&lt;&gt;"",EDATE($D152,Milestones!$AA$125)&gt;=$S152),$V152,$U152)))=Milestones!$AB$125),UPPER(TEXT(EDATE($D152,Milestones!$AA$125),"dd mmm yy"))&amp;" "&amp;Milestones!$AB$125&amp;" "&amp;Milestones!$AC$125&amp;";  ","")&amp;IF(AND(EDATE($D152,Milestones!$AA$126)&lt;=AsOfDate,IF($R152=0,$X152,IF(AND($T152&lt;&gt;"",EDATE($D152,Milestones!$AA$126)&gt;=$T152),$W152,IF(AND($S152&lt;&gt;"",EDATE($D152,Milestones!$AA$126)&gt;=$S152),$V152,$U152)))=Milestones!$AB$126),UPPER(TEXT(EDATE($D152,Milestones!$AA$126),"dd mmm yy"))&amp;" "&amp;Milestones!$AB$126&amp;" "&amp;Milestones!$AC$126&amp;";  ","")&amp;IF(AND(EDATE($D152,Milestones!$AA$127)&lt;=AsOfDate,IF($R152=0,$X152,IF(AND($T152&lt;&gt;"",EDATE($D152,Milestones!$AA$127)&gt;=$T152),$W152,IF(AND($S152&lt;&gt;"",EDATE($D152,Milestones!$AA$127)&gt;=$S152),$V152,$U152)))=Milestones!$AB$127),UPPER(TEXT(EDATE($D152,Milestones!$AA$127),"dd mmm yy"))&amp;" "&amp;Milestones!$AB$127&amp;" "&amp;Milestones!$AC$127&amp;";  ","")&amp;IF(AND(EDATE($D152,Milestones!$AA$128)&lt;=AsOfDate,IF($R152=0,$X152,IF(AND($T152&lt;&gt;"",EDATE($D152,Milestones!$AA$128)&gt;=$T152),$W152,IF(AND($S152&lt;&gt;"",EDATE($D152,Milestones!$AA$128)&gt;=$S152),$V152,$U152)))=Milestones!$AB$128),UPPER(TEXT(EDATE($D152,Milestones!$AA$128),"dd mmm yy"))&amp;" "&amp;Milestones!$AB$128&amp;" "&amp;Milestones!$AC$128&amp;";  ","")&amp;IF(AND(EDATE($D152,Milestones!$AA$129)&lt;=AsOfDate,IF($R152=0,$X152,IF(AND($T152&lt;&gt;"",EDATE($D152,Milestones!$AA$129)&gt;=$T152),$W152,IF(AND($S152&lt;&gt;"",EDATE($D152,Milestones!$AA$129)&gt;=$S152),$V152,$U152)))=Milestones!$AB$129),UPPER(TEXT(EDATE($D152,Milestones!$AA$129),"dd mmm yy"))&amp;" "&amp;Milestones!$AB$129&amp;" "&amp;Milestones!$AC$129&amp;";  ","")&amp;IF(AND(EDATE($D152,Milestones!$AA$130)&lt;=AsOfDate,IF($R152=0,$X152,IF(AND($T152&lt;&gt;"",EDATE($D152,Milestones!$AA$130)&gt;=$T152),$W152,IF(AND($S152&lt;&gt;"",EDATE($D152,Milestones!$AA$130)&gt;=$S152),$V152,$U152)))=Milestones!$AB$130),UPPER(TEXT(EDATE($D152,Milestones!$AA$130),"dd mmm yy"))&amp;" "&amp;Milestones!$AB$130&amp;" "&amp;Milestones!$AC$130&amp;";  ","")&amp;IF(AND(EDATE($D152,Milestones!$AA$131)&lt;=AsOfDate,IF($R152=0,$X152,IF(AND($T152&lt;&gt;"",EDATE($D152,Milestones!$AA$131)&gt;=$T152),$W152,IF(AND($S152&lt;&gt;"",EDATE($D152,Milestones!$AA$131)&gt;=$S152),$V152,$U152)))=Milestones!$AB$131),UPPER(TEXT(EDATE($D152,Milestones!$AA$131),"dd mmm yy"))&amp;" "&amp;Milestones!$AB$131&amp;" "&amp;Milestones!$AC$131&amp;";  ","")&amp;IF(AND(EDATE($D152,Milestones!$AA$132)&lt;=AsOfDate,IF($R152=0,$X152,IF(AND($T152&lt;&gt;"",EDATE($D152,Milestones!$AA$132)&gt;=$T152),$W152,IF(AND($S152&lt;&gt;"",EDATE($D152,Milestones!$AA$132)&gt;=$S152),$V152,$U152)))=Milestones!$AB$132),UPPER(TEXT(EDATE($D152,Milestones!$AA$132),"dd mmm yy"))&amp;" "&amp;Milestones!$AB$132&amp;" "&amp;Milestones!$AC$132&amp;";  ","")&amp;IF(AND(EDATE($D152,Milestones!$AA$133)&lt;=AsOfDate,IF($R152=0,$X152,IF(AND($T152&lt;&gt;"",EDATE($D152,Milestones!$AA$133)&gt;=$T152),$W152,IF(AND($S152&lt;&gt;"",EDATE($D152,Milestones!$AA$133)&gt;=$S152),$V152,$U152)))=Milestones!$AB$133),UPPER(TEXT(EDATE($D152,Milestones!$AA$133),"dd mmm yy"))&amp;" "&amp;Milestones!$AB$133&amp;" "&amp;Milestones!$AC$133&amp;";  ","")&amp;IF(AND(EDATE($D152,Milestones!$AA$134)&lt;=AsOfDate,IF($R152=0,$X152,IF(AND($T152&lt;&gt;"",EDATE($D152,Milestones!$AA$134)&gt;=$T152),$W152,IF(AND($S152&lt;&gt;"",EDATE($D152,Milestones!$AA$134)&gt;=$S152),$V152,$U152)))=Milestones!$AB$134),UPPER(TEXT(EDATE($D152,Milestones!$AA$134),"dd mmm yy"))&amp;" "&amp;Milestones!$AB$134&amp;" "&amp;Milestones!$AC$134&amp;";  ","")&amp;IF(AND(EDATE($D152,Milestones!$AA$135)&lt;=AsOfDate,IF($R152=0,$X152,IF(AND($T152&lt;&gt;"",EDATE($D152,Milestones!$AA$135)&gt;=$T152),$W152,IF(AND($S152&lt;&gt;"",EDATE($D152,Milestones!$AA$135)&gt;=$S152),$V152,$U152)))=Milestones!$AB$135),UPPER(TEXT(EDATE($D152,Milestones!$AA$135),"dd mmm yy"))&amp;" "&amp;Milestones!$AB$135&amp;" "&amp;Milestones!$AC$135&amp;";  ","")&amp;IF(AND(EDATE($D152,Milestones!$AA$136)&lt;=AsOfDate,IF($R152=0,$X152,IF(AND($T152&lt;&gt;"",EDATE($D152,Milestones!$AA$136)&gt;=$T152),$W152,IF(AND($S152&lt;&gt;"",EDATE($D152,Milestones!$AA$136)&gt;=$S152),$V152,$U152)))=Milestones!$AB$136),UPPER(TEXT(EDATE($D152,Milestones!$AA$136),"dd mmm yy"))&amp;" "&amp;Milestones!$AB$136&amp;" "&amp;Milestones!$AC$136&amp;";  ","")&amp;IF(AND(EDATE($D152,Milestones!$AA$137)&lt;=AsOfDate,IF($R152=0,$X152,IF(AND($T152&lt;&gt;"",EDATE($D152,Milestones!$AA$137)&gt;=$T152),$W152,IF(AND($S152&lt;&gt;"",EDATE($D152,Milestones!$AA$137)&gt;=$S152),$V152,$U152)))=Milestones!$AB$137),UPPER(TEXT(EDATE($D152,Milestones!$AA$137),"dd mmm yy"))&amp;" "&amp;Milestones!$AB$137&amp;" "&amp;Milestones!$AC$137&amp;";  ","")&amp;IF(AND(EDATE($D152,Milestones!$AA$138)&lt;=AsOfDate,IF($R152=0,$X152,IF(AND($T152&lt;&gt;"",EDATE($D152,Milestones!$AA$138)&gt;=$T152),$W152,IF(AND($S152&lt;&gt;"",EDATE($D152,Milestones!$AA$138)&gt;=$S152),$V152,$U152)))=Milestones!$AB$138),UPPER(TEXT(EDATE($D152,Milestones!$AA$138),"dd mmm yy"))&amp;" "&amp;Milestones!$AB$138&amp;" "&amp;Milestones!$AC$138&amp;";  ","")&amp;IF(AND(EDATE($D152,Milestones!$AA$139)&lt;=AsOfDate,IF($R152=0,$X152,IF(AND($T152&lt;&gt;"",EDATE($D152,Milestones!$AA$139)&gt;=$T152),$W152,IF(AND($S152&lt;&gt;"",EDATE($D152,Milestones!$AA$139)&gt;=$S152),$V152,$U152)))=Milestones!$AB$139),UPPER(TEXT(EDATE($D152,Milestones!$AA$139),"dd mmm yy"))&amp;" "&amp;Milestones!$AB$139&amp;" "&amp;Milestones!$AC$139&amp;";  ",""))</f>
        <v/>
      </c>
      <c r="O152" s="0" t="str">
        <f aca="false">IF(OR($A152="",$D152=""),"",IF(AND(EDATE($D152,Milestones!$AA$140)&lt;=AsOfDate,IF($R152=0,$X152,IF(AND($T152&lt;&gt;"",EDATE($D152,Milestones!$AA$140)&gt;=$T152),$W152,IF(AND($S152&lt;&gt;"",EDATE($D152,Milestones!$AA$140)&gt;=$S152),$V152,$U152)))=Milestones!$AB$140),UPPER(TEXT(EDATE($D152,Milestones!$AA$140),"dd mmm yy"))&amp;" "&amp;Milestones!$AB$140&amp;" "&amp;Milestones!$AC$140&amp;";  ","")&amp;IF(AND(EDATE($D152,Milestones!$AA$141)&lt;=AsOfDate,IF($R152=0,$X152,IF(AND($T152&lt;&gt;"",EDATE($D152,Milestones!$AA$141)&gt;=$T152),$W152,IF(AND($S152&lt;&gt;"",EDATE($D152,Milestones!$AA$141)&gt;=$S152),$V152,$U152)))=Milestones!$AB$141),UPPER(TEXT(EDATE($D152,Milestones!$AA$141),"dd mmm yy"))&amp;" "&amp;Milestones!$AB$141&amp;" "&amp;Milestones!$AC$141&amp;";  ","")&amp;IF(AND(EDATE($D152,Milestones!$AA$142)&lt;=AsOfDate,IF($R152=0,$X152,IF(AND($T152&lt;&gt;"",EDATE($D152,Milestones!$AA$142)&gt;=$T152),$W152,IF(AND($S152&lt;&gt;"",EDATE($D152,Milestones!$AA$142)&gt;=$S152),$V152,$U152)))=Milestones!$AB$142),UPPER(TEXT(EDATE($D152,Milestones!$AA$142),"dd mmm yy"))&amp;" "&amp;Milestones!$AB$142&amp;" "&amp;Milestones!$AC$142&amp;";  ","")&amp;IF(AND(EDATE($D152,Milestones!$AA$143)&lt;=AsOfDate,IF($R152=0,$X152,IF(AND($T152&lt;&gt;"",EDATE($D152,Milestones!$AA$143)&gt;=$T152),$W152,IF(AND($S152&lt;&gt;"",EDATE($D152,Milestones!$AA$143)&gt;=$S152),$V152,$U152)))=Milestones!$AB$143),UPPER(TEXT(EDATE($D152,Milestones!$AA$143),"dd mmm yy"))&amp;" "&amp;Milestones!$AB$143&amp;" "&amp;Milestones!$AC$143&amp;";  ","")&amp;IF(AND(EDATE($D152,Milestones!$AA$144)&lt;=AsOfDate,IF($R152=0,$X152,IF(AND($T152&lt;&gt;"",EDATE($D152,Milestones!$AA$144)&gt;=$T152),$W152,IF(AND($S152&lt;&gt;"",EDATE($D152,Milestones!$AA$144)&gt;=$S152),$V152,$U152)))=Milestones!$AB$144),UPPER(TEXT(EDATE($D152,Milestones!$AA$144),"dd mmm yy"))&amp;" "&amp;Milestones!$AB$144&amp;" "&amp;Milestones!$AC$144&amp;";  ","")&amp;IF(AND(EDATE($D152,Milestones!$AA$145)&lt;=AsOfDate,IF($R152=0,$X152,IF(AND($T152&lt;&gt;"",EDATE($D152,Milestones!$AA$145)&gt;=$T152),$W152,IF(AND($S152&lt;&gt;"",EDATE($D152,Milestones!$AA$145)&gt;=$S152),$V152,$U152)))=Milestones!$AB$145),UPPER(TEXT(EDATE($D152,Milestones!$AA$145),"dd mmm yy"))&amp;" "&amp;Milestones!$AB$145&amp;" "&amp;Milestones!$AC$145&amp;";  ","")&amp;IF(AND(EDATE($D152,Milestones!$AA$146)&lt;=AsOfDate,IF($R152=0,$X152,IF(AND($T152&lt;&gt;"",EDATE($D152,Milestones!$AA$146)&gt;=$T152),$W152,IF(AND($S152&lt;&gt;"",EDATE($D152,Milestones!$AA$146)&gt;=$S152),$V152,$U152)))=Milestones!$AB$146),UPPER(TEXT(EDATE($D152,Milestones!$AA$146),"dd mmm yy"))&amp;" "&amp;Milestones!$AB$146&amp;" "&amp;Milestones!$AC$146&amp;";  ","")&amp;IF(AND(EDATE($D152,Milestones!$AA$147)&lt;=AsOfDate,IF($R152=0,$X152,IF(AND($T152&lt;&gt;"",EDATE($D152,Milestones!$AA$147)&gt;=$T152),$W152,IF(AND($S152&lt;&gt;"",EDATE($D152,Milestones!$AA$147)&gt;=$S152),$V152,$U152)))=Milestones!$AB$147),UPPER(TEXT(EDATE($D152,Milestones!$AA$147),"dd mmm yy"))&amp;" "&amp;Milestones!$AB$147&amp;" "&amp;Milestones!$AC$147&amp;";  ","")&amp;IF(AND(EDATE($D152,Milestones!$AA$148)&lt;=AsOfDate,IF($R152=0,$X152,IF(AND($T152&lt;&gt;"",EDATE($D152,Milestones!$AA$148)&gt;=$T152),$W152,IF(AND($S152&lt;&gt;"",EDATE($D152,Milestones!$AA$148)&gt;=$S152),$V152,$U152)))=Milestones!$AB$148),UPPER(TEXT(EDATE($D152,Milestones!$AA$148),"dd mmm yy"))&amp;" "&amp;Milestones!$AB$148&amp;" "&amp;Milestones!$AC$148&amp;";  ","")&amp;IF(AND(EDATE($D152,Milestones!$AA$149)&lt;=AsOfDate,IF($R152=0,$X152,IF(AND($T152&lt;&gt;"",EDATE($D152,Milestones!$AA$149)&gt;=$T152),$W152,IF(AND($S152&lt;&gt;"",EDATE($D152,Milestones!$AA$149)&gt;=$S152),$V152,$U152)))=Milestones!$AB$149),UPPER(TEXT(EDATE($D152,Milestones!$AA$149),"dd mmm yy"))&amp;" "&amp;Milestones!$AB$149&amp;" "&amp;Milestones!$AC$149&amp;";  ","")&amp;IF(AND(EDATE($D152,Milestones!$AA$150)&lt;=AsOfDate,IF($R152=0,$X152,IF(AND($T152&lt;&gt;"",EDATE($D152,Milestones!$AA$150)&gt;=$T152),$W152,IF(AND($S152&lt;&gt;"",EDATE($D152,Milestones!$AA$150)&gt;=$S152),$V152,$U152)))=Milestones!$AB$150),UPPER(TEXT(EDATE($D152,Milestones!$AA$150),"dd mmm yy"))&amp;" "&amp;Milestones!$AB$150&amp;" "&amp;Milestones!$AC$150&amp;";  ","")&amp;IF(AND(EDATE($D152,Milestones!$AA$151)&lt;=AsOfDate,IF($R152=0,$X152,IF(AND($T152&lt;&gt;"",EDATE($D152,Milestones!$AA$151)&gt;=$T152),$W152,IF(AND($S152&lt;&gt;"",EDATE($D152,Milestones!$AA$151)&gt;=$S152),$V152,$U152)))=Milestones!$AB$151),UPPER(TEXT(EDATE($D152,Milestones!$AA$151),"dd mmm yy"))&amp;" "&amp;Milestones!$AB$151&amp;" "&amp;Milestones!$AC$151&amp;";  ","")&amp;IF(AND(EDATE($D152,Milestones!$AA$152)&lt;=AsOfDate,IF($R152=0,$X152,IF(AND($T152&lt;&gt;"",EDATE($D152,Milestones!$AA$152)&gt;=$T152),$W152,IF(AND($S152&lt;&gt;"",EDATE($D152,Milestones!$AA$152)&gt;=$S152),$V152,$U152)))=Milestones!$AB$152),UPPER(TEXT(EDATE($D152,Milestones!$AA$152),"dd mmm yy"))&amp;" "&amp;Milestones!$AB$152&amp;" "&amp;Milestones!$AC$152&amp;";  ","")&amp;IF(AND(EDATE($D152,Milestones!$AA$153)&lt;=AsOfDate,IF($R152=0,$X152,IF(AND($T152&lt;&gt;"",EDATE($D152,Milestones!$AA$153)&gt;=$T152),$W152,IF(AND($S152&lt;&gt;"",EDATE($D152,Milestones!$AA$153)&gt;=$S152),$V152,$U152)))=Milestones!$AB$153),UPPER(TEXT(EDATE($D152,Milestones!$AA$153),"dd mmm yy"))&amp;" "&amp;Milestones!$AB$153&amp;" "&amp;Milestones!$AC$153&amp;";  ","")&amp;IF(AND(EDATE($D152,Milestones!$AA$154)&lt;=AsOfDate,IF($R152=0,$X152,IF(AND($T152&lt;&gt;"",EDATE($D152,Milestones!$AA$154)&gt;=$T152),$W152,IF(AND($S152&lt;&gt;"",EDATE($D152,Milestones!$AA$154)&gt;=$S152),$V152,$U152)))=Milestones!$AB$154),UPPER(TEXT(EDATE($D152,Milestones!$AA$154),"dd mmm yy"))&amp;" "&amp;Milestones!$AB$154&amp;" "&amp;Milestones!$AC$154&amp;";  ","")&amp;IF(AND(EDATE($D152,Milestones!$AA$155)&lt;=AsOfDate,IF($R152=0,$X152,IF(AND($T152&lt;&gt;"",EDATE($D152,Milestones!$AA$155)&gt;=$T152),$W152,IF(AND($S152&lt;&gt;"",EDATE($D152,Milestones!$AA$155)&gt;=$S152),$V152,$U152)))=Milestones!$AB$155),UPPER(TEXT(EDATE($D152,Milestones!$AA$155),"dd mmm yy"))&amp;" "&amp;Milestones!$AB$155&amp;" "&amp;Milestones!$AC$155&amp;";  ","")&amp;IF(AND(EDATE($D152,Milestones!$AA$156)&lt;=AsOfDate,IF($R152=0,$X152,IF(AND($T152&lt;&gt;"",EDATE($D152,Milestones!$AA$156)&gt;=$T152),$W152,IF(AND($S152&lt;&gt;"",EDATE($D152,Milestones!$AA$156)&gt;=$S152),$V152,$U152)))=Milestones!$AB$156),UPPER(TEXT(EDATE($D152,Milestones!$AA$156),"dd mmm yy"))&amp;" "&amp;Milestones!$AB$156&amp;" "&amp;Milestones!$AC$156&amp;";  ","")&amp;IF(AND(EDATE($D152,Milestones!$AA$157)&lt;=AsOfDate,IF($R152=0,$X152,IF(AND($T152&lt;&gt;"",EDATE($D152,Milestones!$AA$157)&gt;=$T152),$W152,IF(AND($S152&lt;&gt;"",EDATE($D152,Milestones!$AA$157)&gt;=$S152),$V152,$U152)))=Milestones!$AB$157),UPPER(TEXT(EDATE($D152,Milestones!$AA$157),"dd mmm yy"))&amp;" "&amp;Milestones!$AB$157&amp;" "&amp;Milestones!$AC$157&amp;";  ","")&amp;IF(AND(EDATE($D152,Milestones!$AA$158)&lt;=AsOfDate,IF($R152=0,$X152,IF(AND($T152&lt;&gt;"",EDATE($D152,Milestones!$AA$158)&gt;=$T152),$W152,IF(AND($S152&lt;&gt;"",EDATE($D152,Milestones!$AA$158)&gt;=$S152),$V152,$U152)))=Milestones!$AB$158),UPPER(TEXT(EDATE($D152,Milestones!$AA$158),"dd mmm yy"))&amp;" "&amp;Milestones!$AB$158&amp;" "&amp;Milestones!$AC$158&amp;";  ","")&amp;IF(AND(EDATE($D152,Milestones!$AA$159)&lt;=AsOfDate,IF($R152=0,$X152,IF(AND($T152&lt;&gt;"",EDATE($D152,Milestones!$AA$159)&gt;=$T152),$W152,IF(AND($S152&lt;&gt;"",EDATE($D152,Milestones!$AA$159)&gt;=$S152),$V152,$U152)))=Milestones!$AB$159),UPPER(TEXT(EDATE($D152,Milestones!$AA$159),"dd mmm yy"))&amp;" "&amp;Milestones!$AB$159&amp;" "&amp;Milestones!$AC$159&amp;";  ",""))</f>
        <v/>
      </c>
      <c r="P152" s="0" t="str">
        <f aca="false">IF(OR($A152="",$D152=""),"",IF(AND(EDATE($D152,Milestones!$AA$160)&lt;=AsOfDate,IF($R152=0,$X152,IF(AND($T152&lt;&gt;"",EDATE($D152,Milestones!$AA$160)&gt;=$T152),$W152,IF(AND($S152&lt;&gt;"",EDATE($D152,Milestones!$AA$160)&gt;=$S152),$V152,$U152)))=Milestones!$AB$160),UPPER(TEXT(EDATE($D152,Milestones!$AA$160),"dd mmm yy"))&amp;" "&amp;Milestones!$AB$160&amp;" "&amp;Milestones!$AC$160&amp;";  ","")&amp;IF(AND(EDATE($D152,Milestones!$AA$161)&lt;=AsOfDate,IF($R152=0,$X152,IF(AND($T152&lt;&gt;"",EDATE($D152,Milestones!$AA$161)&gt;=$T152),$W152,IF(AND($S152&lt;&gt;"",EDATE($D152,Milestones!$AA$161)&gt;=$S152),$V152,$U152)))=Milestones!$AB$161),UPPER(TEXT(EDATE($D152,Milestones!$AA$161),"dd mmm yy"))&amp;" "&amp;Milestones!$AB$161&amp;" "&amp;Milestones!$AC$161&amp;";  ","")&amp;IF(AND(EDATE($D152,Milestones!$AA$162)&lt;=AsOfDate,IF($R152=0,$X152,IF(AND($T152&lt;&gt;"",EDATE($D152,Milestones!$AA$162)&gt;=$T152),$W152,IF(AND($S152&lt;&gt;"",EDATE($D152,Milestones!$AA$162)&gt;=$S152),$V152,$U152)))=Milestones!$AB$162),UPPER(TEXT(EDATE($D152,Milestones!$AA$162),"dd mmm yy"))&amp;" "&amp;Milestones!$AB$162&amp;" "&amp;Milestones!$AC$162&amp;";  ","")&amp;IF(AND(EDATE($D152,Milestones!$AA$163)&lt;=AsOfDate,IF($R152=0,$X152,IF(AND($T152&lt;&gt;"",EDATE($D152,Milestones!$AA$163)&gt;=$T152),$W152,IF(AND($S152&lt;&gt;"",EDATE($D152,Milestones!$AA$163)&gt;=$S152),$V152,$U152)))=Milestones!$AB$163),UPPER(TEXT(EDATE($D152,Milestones!$AA$163),"dd mmm yy"))&amp;" "&amp;Milestones!$AB$163&amp;" "&amp;Milestones!$AC$163&amp;";  ","")&amp;IF(AND(EDATE($D152,Milestones!$AA$164)&lt;=AsOfDate,IF($R152=0,$X152,IF(AND($T152&lt;&gt;"",EDATE($D152,Milestones!$AA$164)&gt;=$T152),$W152,IF(AND($S152&lt;&gt;"",EDATE($D152,Milestones!$AA$164)&gt;=$S152),$V152,$U152)))=Milestones!$AB$164),UPPER(TEXT(EDATE($D152,Milestones!$AA$164),"dd mmm yy"))&amp;" "&amp;Milestones!$AB$164&amp;" "&amp;Milestones!$AC$164&amp;";  ","")&amp;IF(AND(EDATE($D152,Milestones!$AA$165)&lt;=AsOfDate,IF($R152=0,$X152,IF(AND($T152&lt;&gt;"",EDATE($D152,Milestones!$AA$165)&gt;=$T152),$W152,IF(AND($S152&lt;&gt;"",EDATE($D152,Milestones!$AA$165)&gt;=$S152),$V152,$U152)))=Milestones!$AB$165),UPPER(TEXT(EDATE($D152,Milestones!$AA$165),"dd mmm yy"))&amp;" "&amp;Milestones!$AB$165&amp;" "&amp;Milestones!$AC$165&amp;";  ","")&amp;IF(AND(EDATE($D152,Milestones!$AA$166)&lt;=AsOfDate,IF($R152=0,$X152,IF(AND($T152&lt;&gt;"",EDATE($D152,Milestones!$AA$166)&gt;=$T152),$W152,IF(AND($S152&lt;&gt;"",EDATE($D152,Milestones!$AA$166)&gt;=$S152),$V152,$U152)))=Milestones!$AB$166),UPPER(TEXT(EDATE($D152,Milestones!$AA$166),"dd mmm yy"))&amp;" "&amp;Milestones!$AB$166&amp;" "&amp;Milestones!$AC$166&amp;";  ","")&amp;IF(AND(EDATE($D152,Milestones!$AA$167)&lt;=AsOfDate,IF($R152=0,$X152,IF(AND($T152&lt;&gt;"",EDATE($D152,Milestones!$AA$167)&gt;=$T152),$W152,IF(AND($S152&lt;&gt;"",EDATE($D152,Milestones!$AA$167)&gt;=$S152),$V152,$U152)))=Milestones!$AB$167),UPPER(TEXT(EDATE($D152,Milestones!$AA$167),"dd mmm yy"))&amp;" "&amp;Milestones!$AB$167&amp;" "&amp;Milestones!$AC$167&amp;";  ","")&amp;IF(AND(EDATE($D152,Milestones!$AA$168)&lt;=AsOfDate,IF($R152=0,$X152,IF(AND($T152&lt;&gt;"",EDATE($D152,Milestones!$AA$168)&gt;=$T152),$W152,IF(AND($S152&lt;&gt;"",EDATE($D152,Milestones!$AA$168)&gt;=$S152),$V152,$U152)))=Milestones!$AB$168),UPPER(TEXT(EDATE($D152,Milestones!$AA$168),"dd mmm yy"))&amp;" "&amp;Milestones!$AB$168&amp;" "&amp;Milestones!$AC$168&amp;";  ","")&amp;IF(AND(EDATE($D152,Milestones!$AA$169)&lt;=AsOfDate,IF($R152=0,$X152,IF(AND($T152&lt;&gt;"",EDATE($D152,Milestones!$AA$169)&gt;=$T152),$W152,IF(AND($S152&lt;&gt;"",EDATE($D152,Milestones!$AA$169)&gt;=$S152),$V152,$U152)))=Milestones!$AB$169),UPPER(TEXT(EDATE($D152,Milestones!$AA$169),"dd mmm yy"))&amp;" "&amp;Milestones!$AB$169&amp;" "&amp;Milestones!$AC$169&amp;";  ","")&amp;IF(AND(EDATE($D152,Milestones!$AA$170)&lt;=AsOfDate,IF($R152=0,$X152,IF(AND($T152&lt;&gt;"",EDATE($D152,Milestones!$AA$170)&gt;=$T152),$W152,IF(AND($S152&lt;&gt;"",EDATE($D152,Milestones!$AA$170)&gt;=$S152),$V152,$U152)))=Milestones!$AB$170),UPPER(TEXT(EDATE($D152,Milestones!$AA$170),"dd mmm yy"))&amp;" "&amp;Milestones!$AB$170&amp;" "&amp;Milestones!$AC$170&amp;";  ","")&amp;IF(AND(EDATE($D152,Milestones!$AA$171)&lt;=AsOfDate,IF($R152=0,$X152,IF(AND($T152&lt;&gt;"",EDATE($D152,Milestones!$AA$171)&gt;=$T152),$W152,IF(AND($S152&lt;&gt;"",EDATE($D152,Milestones!$AA$171)&gt;=$S152),$V152,$U152)))=Milestones!$AB$171),UPPER(TEXT(EDATE($D152,Milestones!$AA$171),"dd mmm yy"))&amp;" "&amp;Milestones!$AB$171&amp;" "&amp;Milestones!$AC$171&amp;";  ","")&amp;IF(AND(EDATE($D152,Milestones!$AA$172)&lt;=AsOfDate,IF($R152=0,$X152,IF(AND($T152&lt;&gt;"",EDATE($D152,Milestones!$AA$172)&gt;=$T152),$W152,IF(AND($S152&lt;&gt;"",EDATE($D152,Milestones!$AA$172)&gt;=$S152),$V152,$U152)))=Milestones!$AB$172),UPPER(TEXT(EDATE($D152,Milestones!$AA$172),"dd mmm yy"))&amp;" "&amp;Milestones!$AB$172&amp;" "&amp;Milestones!$AC$172&amp;";  ","")&amp;IF(AND(EDATE($D152,Milestones!$AA$173)&lt;=AsOfDate,IF($R152=0,$X152,IF(AND($T152&lt;&gt;"",EDATE($D152,Milestones!$AA$173)&gt;=$T152),$W152,IF(AND($S152&lt;&gt;"",EDATE($D152,Milestones!$AA$173)&gt;=$S152),$V152,$U152)))=Milestones!$AB$173),UPPER(TEXT(EDATE($D152,Milestones!$AA$173),"dd mmm yy"))&amp;" "&amp;Milestones!$AB$173&amp;" "&amp;Milestones!$AC$173&amp;";  ","")&amp;IF(AND(EDATE($D152,Milestones!$AA$174)&lt;=AsOfDate,IF($R152=0,$X152,IF(AND($T152&lt;&gt;"",EDATE($D152,Milestones!$AA$174)&gt;=$T152),$W152,IF(AND($S152&lt;&gt;"",EDATE($D152,Milestones!$AA$174)&gt;=$S152),$V152,$U152)))=Milestones!$AB$174),UPPER(TEXT(EDATE($D152,Milestones!$AA$174),"dd mmm yy"))&amp;" "&amp;Milestones!$AB$174&amp;" "&amp;Milestones!$AC$174&amp;";  ","")&amp;IF(AND(EDATE($D152,Milestones!$AA$175)&lt;=AsOfDate,IF($R152=0,$X152,IF(AND($T152&lt;&gt;"",EDATE($D152,Milestones!$AA$175)&gt;=$T152),$W152,IF(AND($S152&lt;&gt;"",EDATE($D152,Milestones!$AA$175)&gt;=$S152),$V152,$U152)))=Milestones!$AB$175),UPPER(TEXT(EDATE($D152,Milestones!$AA$175),"dd mmm yy"))&amp;" "&amp;Milestones!$AB$175&amp;" "&amp;Milestones!$AC$175&amp;";  ","")&amp;IF(AND(EDATE($D152,Milestones!$AA$176)&lt;=AsOfDate,IF($R152=0,$X152,IF(AND($T152&lt;&gt;"",EDATE($D152,Milestones!$AA$176)&gt;=$T152),$W152,IF(AND($S152&lt;&gt;"",EDATE($D152,Milestones!$AA$176)&gt;=$S152),$V152,$U152)))=Milestones!$AB$176),UPPER(TEXT(EDATE($D152,Milestones!$AA$176),"dd mmm yy"))&amp;" "&amp;Milestones!$AB$176&amp;" "&amp;Milestones!$AC$176&amp;";  ","")&amp;IF(AND(EDATE($D152,Milestones!$AA$177)&lt;=AsOfDate,IF($R152=0,$X152,IF(AND($T152&lt;&gt;"",EDATE($D152,Milestones!$AA$177)&gt;=$T152),$W152,IF(AND($S152&lt;&gt;"",EDATE($D152,Milestones!$AA$177)&gt;=$S152),$V152,$U152)))=Milestones!$AB$177),UPPER(TEXT(EDATE($D152,Milestones!$AA$177),"dd mmm yy"))&amp;" "&amp;Milestones!$AB$177&amp;" "&amp;Milestones!$AC$177&amp;";  ","")&amp;IF(AND(EDATE($D152,Milestones!$AA$178)&lt;=AsOfDate,IF($R152=0,$X152,IF(AND($T152&lt;&gt;"",EDATE($D152,Milestones!$AA$178)&gt;=$T152),$W152,IF(AND($S152&lt;&gt;"",EDATE($D152,Milestones!$AA$178)&gt;=$S152),$V152,$U152)))=Milestones!$AB$178),UPPER(TEXT(EDATE($D152,Milestones!$AA$178),"dd mmm yy"))&amp;" "&amp;Milestones!$AB$178&amp;" "&amp;Milestones!$AC$178&amp;";  ","")&amp;IF(AND(EDATE($D152,Milestones!$AA$179)&lt;=AsOfDate,IF($R152=0,$X152,IF(AND($T152&lt;&gt;"",EDATE($D152,Milestones!$AA$179)&gt;=$T152),$W152,IF(AND($S152&lt;&gt;"",EDATE($D152,Milestones!$AA$179)&gt;=$S152),$V152,$U152)))=Milestones!$AB$179),UPPER(TEXT(EDATE($D152,Milestones!$AA$179),"dd mmm yy"))&amp;" "&amp;Milestones!$AB$179&amp;" "&amp;Milestones!$AC$179&amp;";  ",""))</f>
        <v/>
      </c>
      <c r="Q152" s="0" t="str">
        <f aca="false">IF(OR($A152="",$D152=""),"",IF(AND(EDATE($D152,Milestones!$AA$180)&lt;=AsOfDate,IF($R152=0,$X152,IF(AND($T152&lt;&gt;"",EDATE($D152,Milestones!$AA$180)&gt;=$T152),$W152,IF(AND($S152&lt;&gt;"",EDATE($D152,Milestones!$AA$180)&gt;=$S152),$V152,$U152)))=Milestones!$AB$180),UPPER(TEXT(EDATE($D152,Milestones!$AA$180),"dd mmm yy"))&amp;" "&amp;Milestones!$AB$180&amp;" "&amp;Milestones!$AC$180&amp;";  ","")&amp;IF(AND(EDATE($D152,Milestones!$AA$181)&lt;=AsOfDate,IF($R152=0,$X152,IF(AND($T152&lt;&gt;"",EDATE($D152,Milestones!$AA$181)&gt;=$T152),$W152,IF(AND($S152&lt;&gt;"",EDATE($D152,Milestones!$AA$181)&gt;=$S152),$V152,$U152)))=Milestones!$AB$181),UPPER(TEXT(EDATE($D152,Milestones!$AA$181),"dd mmm yy"))&amp;" "&amp;Milestones!$AB$181&amp;" "&amp;Milestones!$AC$181&amp;";  ","")&amp;IF(AND(EDATE($D152,Milestones!$AA$182)&lt;=AsOfDate,IF($R152=0,$X152,IF(AND($T152&lt;&gt;"",EDATE($D152,Milestones!$AA$182)&gt;=$T152),$W152,IF(AND($S152&lt;&gt;"",EDATE($D152,Milestones!$AA$182)&gt;=$S152),$V152,$U152)))=Milestones!$AB$182),UPPER(TEXT(EDATE($D152,Milestones!$AA$182),"dd mmm yy"))&amp;" "&amp;Milestones!$AB$182&amp;" "&amp;Milestones!$AC$182&amp;";  ","")&amp;IF(AND(EDATE($D152,Milestones!$AA$183)&lt;=AsOfDate,IF($R152=0,$X152,IF(AND($T152&lt;&gt;"",EDATE($D152,Milestones!$AA$183)&gt;=$T152),$W152,IF(AND($S152&lt;&gt;"",EDATE($D152,Milestones!$AA$183)&gt;=$S152),$V152,$U152)))=Milestones!$AB$183),UPPER(TEXT(EDATE($D152,Milestones!$AA$183),"dd mmm yy"))&amp;" "&amp;Milestones!$AB$183&amp;" "&amp;Milestones!$AC$183&amp;";  ","")&amp;IF(AND(EDATE($D152,Milestones!$AA$184)&lt;=AsOfDate,IF($R152=0,$X152,IF(AND($T152&lt;&gt;"",EDATE($D152,Milestones!$AA$184)&gt;=$T152),$W152,IF(AND($S152&lt;&gt;"",EDATE($D152,Milestones!$AA$184)&gt;=$S152),$V152,$U152)))=Milestones!$AB$184),UPPER(TEXT(EDATE($D152,Milestones!$AA$184),"dd mmm yy"))&amp;" "&amp;Milestones!$AB$184&amp;" "&amp;Milestones!$AC$184&amp;";  ","")&amp;IF(AND(EDATE($D152,Milestones!$AA$185)&lt;=AsOfDate,IF($R152=0,$X152,IF(AND($T152&lt;&gt;"",EDATE($D152,Milestones!$AA$185)&gt;=$T152),$W152,IF(AND($S152&lt;&gt;"",EDATE($D152,Milestones!$AA$185)&gt;=$S152),$V152,$U152)))=Milestones!$AB$185),UPPER(TEXT(EDATE($D152,Milestones!$AA$185),"dd mmm yy"))&amp;" "&amp;Milestones!$AB$185&amp;" "&amp;Milestones!$AC$185&amp;";  ","")&amp;IF(AND(EDATE($D152,Milestones!$AA$186)&lt;=AsOfDate,IF($R152=0,$X152,IF(AND($T152&lt;&gt;"",EDATE($D152,Milestones!$AA$186)&gt;=$T152),$W152,IF(AND($S152&lt;&gt;"",EDATE($D152,Milestones!$AA$186)&gt;=$S152),$V152,$U152)))=Milestones!$AB$186),UPPER(TEXT(EDATE($D152,Milestones!$AA$186),"dd mmm yy"))&amp;" "&amp;Milestones!$AB$186&amp;" "&amp;Milestones!$AC$186&amp;";  ","")&amp;IF(AND(EDATE($D152,Milestones!$AA$187)&lt;=AsOfDate,IF($R152=0,$X152,IF(AND($T152&lt;&gt;"",EDATE($D152,Milestones!$AA$187)&gt;=$T152),$W152,IF(AND($S152&lt;&gt;"",EDATE($D152,Milestones!$AA$187)&gt;=$S152),$V152,$U152)))=Milestones!$AB$187),UPPER(TEXT(EDATE($D152,Milestones!$AA$187),"dd mmm yy"))&amp;" "&amp;Milestones!$AB$187&amp;" "&amp;Milestones!$AC$187&amp;";  ","")&amp;IF(AND(EDATE($D152,Milestones!$AA$188)&lt;=AsOfDate,IF($R152=0,$X152,IF(AND($T152&lt;&gt;"",EDATE($D152,Milestones!$AA$188)&gt;=$T152),$W152,IF(AND($S152&lt;&gt;"",EDATE($D152,Milestones!$AA$188)&gt;=$S152),$V152,$U152)))=Milestones!$AB$188),UPPER(TEXT(EDATE($D152,Milestones!$AA$188),"dd mmm yy"))&amp;" "&amp;Milestones!$AB$188&amp;" "&amp;Milestones!$AC$188&amp;";  ","")&amp;IF(AND(EDATE($D152,Milestones!$AA$189)&lt;=AsOfDate,IF($R152=0,$X152,IF(AND($T152&lt;&gt;"",EDATE($D152,Milestones!$AA$189)&gt;=$T152),$W152,IF(AND($S152&lt;&gt;"",EDATE($D152,Milestones!$AA$189)&gt;=$S152),$V152,$U152)))=Milestones!$AB$189),UPPER(TEXT(EDATE($D152,Milestones!$AA$189),"dd mmm yy"))&amp;" "&amp;Milestones!$AB$189&amp;" "&amp;Milestones!$AC$189&amp;";  ","")&amp;IF(AND(EDATE($D152,Milestones!$AA$190)&lt;=AsOfDate,IF($R152=0,$X152,IF(AND($T152&lt;&gt;"",EDATE($D152,Milestones!$AA$190)&gt;=$T152),$W152,IF(AND($S152&lt;&gt;"",EDATE($D152,Milestones!$AA$190)&gt;=$S152),$V152,$U152)))=Milestones!$AB$190),UPPER(TEXT(EDATE($D152,Milestones!$AA$190),"dd mmm yy"))&amp;" "&amp;Milestones!$AB$190&amp;" "&amp;Milestones!$AC$190&amp;";  ","")&amp;IF(AND(EDATE($D152,Milestones!$AA$191)&lt;=AsOfDate,IF($R152=0,$X152,IF(AND($T152&lt;&gt;"",EDATE($D152,Milestones!$AA$191)&gt;=$T152),$W152,IF(AND($S152&lt;&gt;"",EDATE($D152,Milestones!$AA$191)&gt;=$S152),$V152,$U152)))=Milestones!$AB$191),UPPER(TEXT(EDATE($D152,Milestones!$AA$191),"dd mmm yy"))&amp;" "&amp;Milestones!$AB$191&amp;" "&amp;Milestones!$AC$191&amp;";  ","")&amp;IF(AND(EDATE($D152,Milestones!$AA$192)&lt;=AsOfDate,IF($R152=0,$X152,IF(AND($T152&lt;&gt;"",EDATE($D152,Milestones!$AA$192)&gt;=$T152),$W152,IF(AND($S152&lt;&gt;"",EDATE($D152,Milestones!$AA$192)&gt;=$S152),$V152,$U152)))=Milestones!$AB$192),UPPER(TEXT(EDATE($D152,Milestones!$AA$192),"dd mmm yy"))&amp;" "&amp;Milestones!$AB$192&amp;" "&amp;Milestones!$AC$192&amp;";  ","")&amp;IF(AND(EDATE($D152,Milestones!$AA$193)&lt;=AsOfDate,IF($R152=0,$X152,IF(AND($T152&lt;&gt;"",EDATE($D152,Milestones!$AA$193)&gt;=$T152),$W152,IF(AND($S152&lt;&gt;"",EDATE($D152,Milestones!$AA$193)&gt;=$S152),$V152,$U152)))=Milestones!$AB$193),UPPER(TEXT(EDATE($D152,Milestones!$AA$193),"dd mmm yy"))&amp;" "&amp;Milestones!$AB$193&amp;" "&amp;Milestones!$AC$193&amp;";  ","")&amp;IF(AND(EDATE($D152,Milestones!$AA$194)&lt;=AsOfDate,IF($R152=0,$X152,IF(AND($T152&lt;&gt;"",EDATE($D152,Milestones!$AA$194)&gt;=$T152),$W152,IF(AND($S152&lt;&gt;"",EDATE($D152,Milestones!$AA$194)&gt;=$S152),$V152,$U152)))=Milestones!$AB$194),UPPER(TEXT(EDATE($D152,Milestones!$AA$194),"dd mmm yy"))&amp;" "&amp;Milestones!$AB$194&amp;" "&amp;Milestones!$AC$194&amp;";  ","")&amp;IF(AND(EDATE($D152,Milestones!$AA$195)&lt;=AsOfDate,IF($R152=0,$X152,IF(AND($T152&lt;&gt;"",EDATE($D152,Milestones!$AA$195)&gt;=$T152),$W152,IF(AND($S152&lt;&gt;"",EDATE($D152,Milestones!$AA$195)&gt;=$S152),$V152,$U152)))=Milestones!$AB$195),UPPER(TEXT(EDATE($D152,Milestones!$AA$195),"dd mmm yy"))&amp;" "&amp;Milestones!$AB$195&amp;" "&amp;Milestones!$AC$195&amp;";  ","")&amp;IF(AND(EDATE($D152,Milestones!$AA$196)&lt;=AsOfDate,IF($R152=0,$X152,IF(AND($T152&lt;&gt;"",EDATE($D152,Milestones!$AA$196)&gt;=$T152),$W152,IF(AND($S152&lt;&gt;"",EDATE($D152,Milestones!$AA$196)&gt;=$S152),$V152,$U152)))=Milestones!$AB$196),UPPER(TEXT(EDATE($D152,Milestones!$AA$196),"dd mmm yy"))&amp;" "&amp;Milestones!$AB$196&amp;" "&amp;Milestones!$AC$196&amp;";  ","")&amp;IF(AND(EDATE($D152,Milestones!$AA$197)&lt;=AsOfDate,IF($R152=0,$X152,IF(AND($T152&lt;&gt;"",EDATE($D152,Milestones!$AA$197)&gt;=$T152),$W152,IF(AND($S152&lt;&gt;"",EDATE($D152,Milestones!$AA$197)&gt;=$S152),$V152,$U152)))=Milestones!$AB$197),UPPER(TEXT(EDATE($D152,Milestones!$AA$197),"dd mmm yy"))&amp;" "&amp;Milestones!$AB$197&amp;" "&amp;Milestones!$AC$197&amp;";  ","")&amp;IF(AND(EDATE($D152,Milestones!$AA$198)&lt;=AsOfDate,IF($R152=0,$X152,IF(AND($T152&lt;&gt;"",EDATE($D152,Milestones!$AA$198)&gt;=$T152),$W152,IF(AND($S152&lt;&gt;"",EDATE($D152,Milestones!$AA$198)&gt;=$S152),$V152,$U152)))=Milestones!$AB$198),UPPER(TEXT(EDATE($D152,Milestones!$AA$198),"dd mmm yy"))&amp;" "&amp;Milestones!$AB$198&amp;" "&amp;Milestones!$AC$198&amp;";  ","")&amp;IF(AND(EDATE($D152,Milestones!$AA$199)&lt;=AsOfDate,IF($R152=0,$X152,IF(AND($T152&lt;&gt;"",EDATE($D152,Milestones!$AA$199)&gt;=$T152),$W152,IF(AND($S152&lt;&gt;"",EDATE($D152,Milestones!$AA$199)&gt;=$S152),$V152,$U152)))=Milestones!$AB$199),UPPER(TEXT(EDATE($D152,Milestones!$AA$199),"dd mmm yy"))&amp;" "&amp;Milestones!$AB$199&amp;" "&amp;Milestones!$AC$199&amp;";  ",""))</f>
        <v/>
      </c>
      <c r="R152" s="0" t="str">
        <f aca="false">IF(Staff!$A152="","",Staff!$AI152)</f>
        <v/>
      </c>
      <c r="S152" s="0" t="str">
        <f aca="false">IF(Staff!$A152="","",Staff!$AK152)</f>
        <v/>
      </c>
      <c r="T152" s="0" t="str">
        <f aca="false">IF(Staff!$A152="","",Staff!$AL152)</f>
        <v/>
      </c>
      <c r="U152" s="0" t="str">
        <f aca="false">IF(Staff!$A152="","",Staff!$AP152)</f>
        <v/>
      </c>
      <c r="V152" s="0" t="str">
        <f aca="false">IF(Staff!$A152="","",Staff!$AQ152)</f>
        <v/>
      </c>
      <c r="W152" s="0" t="str">
        <f aca="false">IF(Staff!$A152="","",Staff!$AR152)</f>
        <v/>
      </c>
      <c r="X152" s="0" t="str">
        <f aca="false">IF(Staff!$A152="","",Staff!$AS152)</f>
        <v/>
      </c>
    </row>
    <row r="153" customFormat="false" ht="15" hidden="false" customHeight="false" outlineLevel="0" collapsed="false">
      <c r="A153" s="19" t="str">
        <f aca="false">IF(Staff!$A153="","",Staff!$A153)</f>
        <v/>
      </c>
      <c r="B153" s="19" t="str">
        <f aca="false">IF(Staff!$A153="","",Staff!$B153)</f>
        <v/>
      </c>
      <c r="C153" s="19" t="str">
        <f aca="false">IF(Staff!$A153="","",Staff!$C153)</f>
        <v/>
      </c>
      <c r="D153" s="17" t="str">
        <f aca="false">IF(Staff!$A153="","",Staff!$AH153)</f>
        <v/>
      </c>
      <c r="E153" s="19" t="str">
        <f aca="false">IF(Staff!$A153="","",Staff!$O153)</f>
        <v/>
      </c>
      <c r="F153" s="19" t="str">
        <f aca="false">IF(E153="","",E153*HoursPerDay)</f>
        <v/>
      </c>
      <c r="G153" s="19" t="str">
        <f aca="false">IF(Staff!$A153="","",Staff!$AE153)</f>
        <v/>
      </c>
      <c r="H153" s="32" t="str">
        <f aca="false">IF($A153="","",I153&amp;J153&amp;K153&amp;L153&amp;M153&amp;N153&amp;O153&amp;P153&amp;Q153)</f>
        <v/>
      </c>
      <c r="I153" s="0" t="str">
        <f aca="false">IF(OR($A153="",$D153=""),"",IF(AND(EDATE($D153,Milestones!$AA$20)&lt;=AsOfDate,IF($R153=0,$X153,IF(AND($T153&lt;&gt;"",EDATE($D153,Milestones!$AA$20)&gt;=$T153),$W153,IF(AND($S153&lt;&gt;"",EDATE($D153,Milestones!$AA$20)&gt;=$S153),$V153,$U153)))=Milestones!$AB$20),UPPER(TEXT(EDATE($D153,Milestones!$AA$20),"dd mmm yy"))&amp;" "&amp;Milestones!$AB$20&amp;" "&amp;Milestones!$AC$20&amp;";  ","")&amp;IF(AND(EDATE($D153,Milestones!$AA$21)&lt;=AsOfDate,IF($R153=0,$X153,IF(AND($T153&lt;&gt;"",EDATE($D153,Milestones!$AA$21)&gt;=$T153),$W153,IF(AND($S153&lt;&gt;"",EDATE($D153,Milestones!$AA$21)&gt;=$S153),$V153,$U153)))=Milestones!$AB$21),UPPER(TEXT(EDATE($D153,Milestones!$AA$21),"dd mmm yy"))&amp;" "&amp;Milestones!$AB$21&amp;" "&amp;Milestones!$AC$21&amp;";  ","")&amp;IF(AND(EDATE($D153,Milestones!$AA$22)&lt;=AsOfDate,IF($R153=0,$X153,IF(AND($T153&lt;&gt;"",EDATE($D153,Milestones!$AA$22)&gt;=$T153),$W153,IF(AND($S153&lt;&gt;"",EDATE($D153,Milestones!$AA$22)&gt;=$S153),$V153,$U153)))=Milestones!$AB$22),UPPER(TEXT(EDATE($D153,Milestones!$AA$22),"dd mmm yy"))&amp;" "&amp;Milestones!$AB$22&amp;" "&amp;Milestones!$AC$22&amp;";  ","")&amp;IF(AND(EDATE($D153,Milestones!$AA$23)&lt;=AsOfDate,IF($R153=0,$X153,IF(AND($T153&lt;&gt;"",EDATE($D153,Milestones!$AA$23)&gt;=$T153),$W153,IF(AND($S153&lt;&gt;"",EDATE($D153,Milestones!$AA$23)&gt;=$S153),$V153,$U153)))=Milestones!$AB$23),UPPER(TEXT(EDATE($D153,Milestones!$AA$23),"dd mmm yy"))&amp;" "&amp;Milestones!$AB$23&amp;" "&amp;Milestones!$AC$23&amp;";  ","")&amp;IF(AND(EDATE($D153,Milestones!$AA$24)&lt;=AsOfDate,IF($R153=0,$X153,IF(AND($T153&lt;&gt;"",EDATE($D153,Milestones!$AA$24)&gt;=$T153),$W153,IF(AND($S153&lt;&gt;"",EDATE($D153,Milestones!$AA$24)&gt;=$S153),$V153,$U153)))=Milestones!$AB$24),UPPER(TEXT(EDATE($D153,Milestones!$AA$24),"dd mmm yy"))&amp;" "&amp;Milestones!$AB$24&amp;" "&amp;Milestones!$AC$24&amp;";  ","")&amp;IF(AND(EDATE($D153,Milestones!$AA$25)&lt;=AsOfDate,IF($R153=0,$X153,IF(AND($T153&lt;&gt;"",EDATE($D153,Milestones!$AA$25)&gt;=$T153),$W153,IF(AND($S153&lt;&gt;"",EDATE($D153,Milestones!$AA$25)&gt;=$S153),$V153,$U153)))=Milestones!$AB$25),UPPER(TEXT(EDATE($D153,Milestones!$AA$25),"dd mmm yy"))&amp;" "&amp;Milestones!$AB$25&amp;" "&amp;Milestones!$AC$25&amp;";  ","")&amp;IF(AND(EDATE($D153,Milestones!$AA$26)&lt;=AsOfDate,IF($R153=0,$X153,IF(AND($T153&lt;&gt;"",EDATE($D153,Milestones!$AA$26)&gt;=$T153),$W153,IF(AND($S153&lt;&gt;"",EDATE($D153,Milestones!$AA$26)&gt;=$S153),$V153,$U153)))=Milestones!$AB$26),UPPER(TEXT(EDATE($D153,Milestones!$AA$26),"dd mmm yy"))&amp;" "&amp;Milestones!$AB$26&amp;" "&amp;Milestones!$AC$26&amp;";  ","")&amp;IF(AND(EDATE($D153,Milestones!$AA$27)&lt;=AsOfDate,IF($R153=0,$X153,IF(AND($T153&lt;&gt;"",EDATE($D153,Milestones!$AA$27)&gt;=$T153),$W153,IF(AND($S153&lt;&gt;"",EDATE($D153,Milestones!$AA$27)&gt;=$S153),$V153,$U153)))=Milestones!$AB$27),UPPER(TEXT(EDATE($D153,Milestones!$AA$27),"dd mmm yy"))&amp;" "&amp;Milestones!$AB$27&amp;" "&amp;Milestones!$AC$27&amp;";  ","")&amp;IF(AND(EDATE($D153,Milestones!$AA$28)&lt;=AsOfDate,IF($R153=0,$X153,IF(AND($T153&lt;&gt;"",EDATE($D153,Milestones!$AA$28)&gt;=$T153),$W153,IF(AND($S153&lt;&gt;"",EDATE($D153,Milestones!$AA$28)&gt;=$S153),$V153,$U153)))=Milestones!$AB$28),UPPER(TEXT(EDATE($D153,Milestones!$AA$28),"dd mmm yy"))&amp;" "&amp;Milestones!$AB$28&amp;" "&amp;Milestones!$AC$28&amp;";  ","")&amp;IF(AND(EDATE($D153,Milestones!$AA$29)&lt;=AsOfDate,IF($R153=0,$X153,IF(AND($T153&lt;&gt;"",EDATE($D153,Milestones!$AA$29)&gt;=$T153),$W153,IF(AND($S153&lt;&gt;"",EDATE($D153,Milestones!$AA$29)&gt;=$S153),$V153,$U153)))=Milestones!$AB$29),UPPER(TEXT(EDATE($D153,Milestones!$AA$29),"dd mmm yy"))&amp;" "&amp;Milestones!$AB$29&amp;" "&amp;Milestones!$AC$29&amp;";  ","")&amp;IF(AND(EDATE($D153,Milestones!$AA$30)&lt;=AsOfDate,IF($R153=0,$X153,IF(AND($T153&lt;&gt;"",EDATE($D153,Milestones!$AA$30)&gt;=$T153),$W153,IF(AND($S153&lt;&gt;"",EDATE($D153,Milestones!$AA$30)&gt;=$S153),$V153,$U153)))=Milestones!$AB$30),UPPER(TEXT(EDATE($D153,Milestones!$AA$30),"dd mmm yy"))&amp;" "&amp;Milestones!$AB$30&amp;" "&amp;Milestones!$AC$30&amp;";  ","")&amp;IF(AND(EDATE($D153,Milestones!$AA$31)&lt;=AsOfDate,IF($R153=0,$X153,IF(AND($T153&lt;&gt;"",EDATE($D153,Milestones!$AA$31)&gt;=$T153),$W153,IF(AND($S153&lt;&gt;"",EDATE($D153,Milestones!$AA$31)&gt;=$S153),$V153,$U153)))=Milestones!$AB$31),UPPER(TEXT(EDATE($D153,Milestones!$AA$31),"dd mmm yy"))&amp;" "&amp;Milestones!$AB$31&amp;" "&amp;Milestones!$AC$31&amp;";  ","")&amp;IF(AND(EDATE($D153,Milestones!$AA$32)&lt;=AsOfDate,IF($R153=0,$X153,IF(AND($T153&lt;&gt;"",EDATE($D153,Milestones!$AA$32)&gt;=$T153),$W153,IF(AND($S153&lt;&gt;"",EDATE($D153,Milestones!$AA$32)&gt;=$S153),$V153,$U153)))=Milestones!$AB$32),UPPER(TEXT(EDATE($D153,Milestones!$AA$32),"dd mmm yy"))&amp;" "&amp;Milestones!$AB$32&amp;" "&amp;Milestones!$AC$32&amp;";  ","")&amp;IF(AND(EDATE($D153,Milestones!$AA$33)&lt;=AsOfDate,IF($R153=0,$X153,IF(AND($T153&lt;&gt;"",EDATE($D153,Milestones!$AA$33)&gt;=$T153),$W153,IF(AND($S153&lt;&gt;"",EDATE($D153,Milestones!$AA$33)&gt;=$S153),$V153,$U153)))=Milestones!$AB$33),UPPER(TEXT(EDATE($D153,Milestones!$AA$33),"dd mmm yy"))&amp;" "&amp;Milestones!$AB$33&amp;" "&amp;Milestones!$AC$33&amp;";  ","")&amp;IF(AND(EDATE($D153,Milestones!$AA$34)&lt;=AsOfDate,IF($R153=0,$X153,IF(AND($T153&lt;&gt;"",EDATE($D153,Milestones!$AA$34)&gt;=$T153),$W153,IF(AND($S153&lt;&gt;"",EDATE($D153,Milestones!$AA$34)&gt;=$S153),$V153,$U153)))=Milestones!$AB$34),UPPER(TEXT(EDATE($D153,Milestones!$AA$34),"dd mmm yy"))&amp;" "&amp;Milestones!$AB$34&amp;" "&amp;Milestones!$AC$34&amp;";  ","")&amp;IF(AND(EDATE($D153,Milestones!$AA$35)&lt;=AsOfDate,IF($R153=0,$X153,IF(AND($T153&lt;&gt;"",EDATE($D153,Milestones!$AA$35)&gt;=$T153),$W153,IF(AND($S153&lt;&gt;"",EDATE($D153,Milestones!$AA$35)&gt;=$S153),$V153,$U153)))=Milestones!$AB$35),UPPER(TEXT(EDATE($D153,Milestones!$AA$35),"dd mmm yy"))&amp;" "&amp;Milestones!$AB$35&amp;" "&amp;Milestones!$AC$35&amp;";  ","")&amp;IF(AND(EDATE($D153,Milestones!$AA$36)&lt;=AsOfDate,IF($R153=0,$X153,IF(AND($T153&lt;&gt;"",EDATE($D153,Milestones!$AA$36)&gt;=$T153),$W153,IF(AND($S153&lt;&gt;"",EDATE($D153,Milestones!$AA$36)&gt;=$S153),$V153,$U153)))=Milestones!$AB$36),UPPER(TEXT(EDATE($D153,Milestones!$AA$36),"dd mmm yy"))&amp;" "&amp;Milestones!$AB$36&amp;" "&amp;Milestones!$AC$36&amp;";  ","")&amp;IF(AND(EDATE($D153,Milestones!$AA$37)&lt;=AsOfDate,IF($R153=0,$X153,IF(AND($T153&lt;&gt;"",EDATE($D153,Milestones!$AA$37)&gt;=$T153),$W153,IF(AND($S153&lt;&gt;"",EDATE($D153,Milestones!$AA$37)&gt;=$S153),$V153,$U153)))=Milestones!$AB$37),UPPER(TEXT(EDATE($D153,Milestones!$AA$37),"dd mmm yy"))&amp;" "&amp;Milestones!$AB$37&amp;" "&amp;Milestones!$AC$37&amp;";  ","")&amp;IF(AND(EDATE($D153,Milestones!$AA$38)&lt;=AsOfDate,IF($R153=0,$X153,IF(AND($T153&lt;&gt;"",EDATE($D153,Milestones!$AA$38)&gt;=$T153),$W153,IF(AND($S153&lt;&gt;"",EDATE($D153,Milestones!$AA$38)&gt;=$S153),$V153,$U153)))=Milestones!$AB$38),UPPER(TEXT(EDATE($D153,Milestones!$AA$38),"dd mmm yy"))&amp;" "&amp;Milestones!$AB$38&amp;" "&amp;Milestones!$AC$38&amp;";  ","")&amp;IF(AND(EDATE($D153,Milestones!$AA$39)&lt;=AsOfDate,IF($R153=0,$X153,IF(AND($T153&lt;&gt;"",EDATE($D153,Milestones!$AA$39)&gt;=$T153),$W153,IF(AND($S153&lt;&gt;"",EDATE($D153,Milestones!$AA$39)&gt;=$S153),$V153,$U153)))=Milestones!$AB$39),UPPER(TEXT(EDATE($D153,Milestones!$AA$39),"dd mmm yy"))&amp;" "&amp;Milestones!$AB$39&amp;" "&amp;Milestones!$AC$39&amp;";  ",""))</f>
        <v/>
      </c>
      <c r="J153" s="0" t="str">
        <f aca="false">IF(OR($A153="",$D153=""),"",IF(AND(EDATE($D153,Milestones!$AA$40)&lt;=AsOfDate,IF($R153=0,$X153,IF(AND($T153&lt;&gt;"",EDATE($D153,Milestones!$AA$40)&gt;=$T153),$W153,IF(AND($S153&lt;&gt;"",EDATE($D153,Milestones!$AA$40)&gt;=$S153),$V153,$U153)))=Milestones!$AB$40),UPPER(TEXT(EDATE($D153,Milestones!$AA$40),"dd mmm yy"))&amp;" "&amp;Milestones!$AB$40&amp;" "&amp;Milestones!$AC$40&amp;";  ","")&amp;IF(AND(EDATE($D153,Milestones!$AA$41)&lt;=AsOfDate,IF($R153=0,$X153,IF(AND($T153&lt;&gt;"",EDATE($D153,Milestones!$AA$41)&gt;=$T153),$W153,IF(AND($S153&lt;&gt;"",EDATE($D153,Milestones!$AA$41)&gt;=$S153),$V153,$U153)))=Milestones!$AB$41),UPPER(TEXT(EDATE($D153,Milestones!$AA$41),"dd mmm yy"))&amp;" "&amp;Milestones!$AB$41&amp;" "&amp;Milestones!$AC$41&amp;";  ","")&amp;IF(AND(EDATE($D153,Milestones!$AA$42)&lt;=AsOfDate,IF($R153=0,$X153,IF(AND($T153&lt;&gt;"",EDATE($D153,Milestones!$AA$42)&gt;=$T153),$W153,IF(AND($S153&lt;&gt;"",EDATE($D153,Milestones!$AA$42)&gt;=$S153),$V153,$U153)))=Milestones!$AB$42),UPPER(TEXT(EDATE($D153,Milestones!$AA$42),"dd mmm yy"))&amp;" "&amp;Milestones!$AB$42&amp;" "&amp;Milestones!$AC$42&amp;";  ","")&amp;IF(AND(EDATE($D153,Milestones!$AA$43)&lt;=AsOfDate,IF($R153=0,$X153,IF(AND($T153&lt;&gt;"",EDATE($D153,Milestones!$AA$43)&gt;=$T153),$W153,IF(AND($S153&lt;&gt;"",EDATE($D153,Milestones!$AA$43)&gt;=$S153),$V153,$U153)))=Milestones!$AB$43),UPPER(TEXT(EDATE($D153,Milestones!$AA$43),"dd mmm yy"))&amp;" "&amp;Milestones!$AB$43&amp;" "&amp;Milestones!$AC$43&amp;";  ","")&amp;IF(AND(EDATE($D153,Milestones!$AA$44)&lt;=AsOfDate,IF($R153=0,$X153,IF(AND($T153&lt;&gt;"",EDATE($D153,Milestones!$AA$44)&gt;=$T153),$W153,IF(AND($S153&lt;&gt;"",EDATE($D153,Milestones!$AA$44)&gt;=$S153),$V153,$U153)))=Milestones!$AB$44),UPPER(TEXT(EDATE($D153,Milestones!$AA$44),"dd mmm yy"))&amp;" "&amp;Milestones!$AB$44&amp;" "&amp;Milestones!$AC$44&amp;";  ","")&amp;IF(AND(EDATE($D153,Milestones!$AA$45)&lt;=AsOfDate,IF($R153=0,$X153,IF(AND($T153&lt;&gt;"",EDATE($D153,Milestones!$AA$45)&gt;=$T153),$W153,IF(AND($S153&lt;&gt;"",EDATE($D153,Milestones!$AA$45)&gt;=$S153),$V153,$U153)))=Milestones!$AB$45),UPPER(TEXT(EDATE($D153,Milestones!$AA$45),"dd mmm yy"))&amp;" "&amp;Milestones!$AB$45&amp;" "&amp;Milestones!$AC$45&amp;";  ","")&amp;IF(AND(EDATE($D153,Milestones!$AA$46)&lt;=AsOfDate,IF($R153=0,$X153,IF(AND($T153&lt;&gt;"",EDATE($D153,Milestones!$AA$46)&gt;=$T153),$W153,IF(AND($S153&lt;&gt;"",EDATE($D153,Milestones!$AA$46)&gt;=$S153),$V153,$U153)))=Milestones!$AB$46),UPPER(TEXT(EDATE($D153,Milestones!$AA$46),"dd mmm yy"))&amp;" "&amp;Milestones!$AB$46&amp;" "&amp;Milestones!$AC$46&amp;";  ","")&amp;IF(AND(EDATE($D153,Milestones!$AA$47)&lt;=AsOfDate,IF($R153=0,$X153,IF(AND($T153&lt;&gt;"",EDATE($D153,Milestones!$AA$47)&gt;=$T153),$W153,IF(AND($S153&lt;&gt;"",EDATE($D153,Milestones!$AA$47)&gt;=$S153),$V153,$U153)))=Milestones!$AB$47),UPPER(TEXT(EDATE($D153,Milestones!$AA$47),"dd mmm yy"))&amp;" "&amp;Milestones!$AB$47&amp;" "&amp;Milestones!$AC$47&amp;";  ","")&amp;IF(AND(EDATE($D153,Milestones!$AA$48)&lt;=AsOfDate,IF($R153=0,$X153,IF(AND($T153&lt;&gt;"",EDATE($D153,Milestones!$AA$48)&gt;=$T153),$W153,IF(AND($S153&lt;&gt;"",EDATE($D153,Milestones!$AA$48)&gt;=$S153),$V153,$U153)))=Milestones!$AB$48),UPPER(TEXT(EDATE($D153,Milestones!$AA$48),"dd mmm yy"))&amp;" "&amp;Milestones!$AB$48&amp;" "&amp;Milestones!$AC$48&amp;";  ","")&amp;IF(AND(EDATE($D153,Milestones!$AA$49)&lt;=AsOfDate,IF($R153=0,$X153,IF(AND($T153&lt;&gt;"",EDATE($D153,Milestones!$AA$49)&gt;=$T153),$W153,IF(AND($S153&lt;&gt;"",EDATE($D153,Milestones!$AA$49)&gt;=$S153),$V153,$U153)))=Milestones!$AB$49),UPPER(TEXT(EDATE($D153,Milestones!$AA$49),"dd mmm yy"))&amp;" "&amp;Milestones!$AB$49&amp;" "&amp;Milestones!$AC$49&amp;";  ","")&amp;IF(AND(EDATE($D153,Milestones!$AA$50)&lt;=AsOfDate,IF($R153=0,$X153,IF(AND($T153&lt;&gt;"",EDATE($D153,Milestones!$AA$50)&gt;=$T153),$W153,IF(AND($S153&lt;&gt;"",EDATE($D153,Milestones!$AA$50)&gt;=$S153),$V153,$U153)))=Milestones!$AB$50),UPPER(TEXT(EDATE($D153,Milestones!$AA$50),"dd mmm yy"))&amp;" "&amp;Milestones!$AB$50&amp;" "&amp;Milestones!$AC$50&amp;";  ","")&amp;IF(AND(EDATE($D153,Milestones!$AA$51)&lt;=AsOfDate,IF($R153=0,$X153,IF(AND($T153&lt;&gt;"",EDATE($D153,Milestones!$AA$51)&gt;=$T153),$W153,IF(AND($S153&lt;&gt;"",EDATE($D153,Milestones!$AA$51)&gt;=$S153),$V153,$U153)))=Milestones!$AB$51),UPPER(TEXT(EDATE($D153,Milestones!$AA$51),"dd mmm yy"))&amp;" "&amp;Milestones!$AB$51&amp;" "&amp;Milestones!$AC$51&amp;";  ","")&amp;IF(AND(EDATE($D153,Milestones!$AA$52)&lt;=AsOfDate,IF($R153=0,$X153,IF(AND($T153&lt;&gt;"",EDATE($D153,Milestones!$AA$52)&gt;=$T153),$W153,IF(AND($S153&lt;&gt;"",EDATE($D153,Milestones!$AA$52)&gt;=$S153),$V153,$U153)))=Milestones!$AB$52),UPPER(TEXT(EDATE($D153,Milestones!$AA$52),"dd mmm yy"))&amp;" "&amp;Milestones!$AB$52&amp;" "&amp;Milestones!$AC$52&amp;";  ","")&amp;IF(AND(EDATE($D153,Milestones!$AA$53)&lt;=AsOfDate,IF($R153=0,$X153,IF(AND($T153&lt;&gt;"",EDATE($D153,Milestones!$AA$53)&gt;=$T153),$W153,IF(AND($S153&lt;&gt;"",EDATE($D153,Milestones!$AA$53)&gt;=$S153),$V153,$U153)))=Milestones!$AB$53),UPPER(TEXT(EDATE($D153,Milestones!$AA$53),"dd mmm yy"))&amp;" "&amp;Milestones!$AB$53&amp;" "&amp;Milestones!$AC$53&amp;";  ","")&amp;IF(AND(EDATE($D153,Milestones!$AA$54)&lt;=AsOfDate,IF($R153=0,$X153,IF(AND($T153&lt;&gt;"",EDATE($D153,Milestones!$AA$54)&gt;=$T153),$W153,IF(AND($S153&lt;&gt;"",EDATE($D153,Milestones!$AA$54)&gt;=$S153),$V153,$U153)))=Milestones!$AB$54),UPPER(TEXT(EDATE($D153,Milestones!$AA$54),"dd mmm yy"))&amp;" "&amp;Milestones!$AB$54&amp;" "&amp;Milestones!$AC$54&amp;";  ","")&amp;IF(AND(EDATE($D153,Milestones!$AA$55)&lt;=AsOfDate,IF($R153=0,$X153,IF(AND($T153&lt;&gt;"",EDATE($D153,Milestones!$AA$55)&gt;=$T153),$W153,IF(AND($S153&lt;&gt;"",EDATE($D153,Milestones!$AA$55)&gt;=$S153),$V153,$U153)))=Milestones!$AB$55),UPPER(TEXT(EDATE($D153,Milestones!$AA$55),"dd mmm yy"))&amp;" "&amp;Milestones!$AB$55&amp;" "&amp;Milestones!$AC$55&amp;";  ","")&amp;IF(AND(EDATE($D153,Milestones!$AA$56)&lt;=AsOfDate,IF($R153=0,$X153,IF(AND($T153&lt;&gt;"",EDATE($D153,Milestones!$AA$56)&gt;=$T153),$W153,IF(AND($S153&lt;&gt;"",EDATE($D153,Milestones!$AA$56)&gt;=$S153),$V153,$U153)))=Milestones!$AB$56),UPPER(TEXT(EDATE($D153,Milestones!$AA$56),"dd mmm yy"))&amp;" "&amp;Milestones!$AB$56&amp;" "&amp;Milestones!$AC$56&amp;";  ","")&amp;IF(AND(EDATE($D153,Milestones!$AA$57)&lt;=AsOfDate,IF($R153=0,$X153,IF(AND($T153&lt;&gt;"",EDATE($D153,Milestones!$AA$57)&gt;=$T153),$W153,IF(AND($S153&lt;&gt;"",EDATE($D153,Milestones!$AA$57)&gt;=$S153),$V153,$U153)))=Milestones!$AB$57),UPPER(TEXT(EDATE($D153,Milestones!$AA$57),"dd mmm yy"))&amp;" "&amp;Milestones!$AB$57&amp;" "&amp;Milestones!$AC$57&amp;";  ","")&amp;IF(AND(EDATE($D153,Milestones!$AA$58)&lt;=AsOfDate,IF($R153=0,$X153,IF(AND($T153&lt;&gt;"",EDATE($D153,Milestones!$AA$58)&gt;=$T153),$W153,IF(AND($S153&lt;&gt;"",EDATE($D153,Milestones!$AA$58)&gt;=$S153),$V153,$U153)))=Milestones!$AB$58),UPPER(TEXT(EDATE($D153,Milestones!$AA$58),"dd mmm yy"))&amp;" "&amp;Milestones!$AB$58&amp;" "&amp;Milestones!$AC$58&amp;";  ","")&amp;IF(AND(EDATE($D153,Milestones!$AA$59)&lt;=AsOfDate,IF($R153=0,$X153,IF(AND($T153&lt;&gt;"",EDATE($D153,Milestones!$AA$59)&gt;=$T153),$W153,IF(AND($S153&lt;&gt;"",EDATE($D153,Milestones!$AA$59)&gt;=$S153),$V153,$U153)))=Milestones!$AB$59),UPPER(TEXT(EDATE($D153,Milestones!$AA$59),"dd mmm yy"))&amp;" "&amp;Milestones!$AB$59&amp;" "&amp;Milestones!$AC$59&amp;";  ",""))</f>
        <v/>
      </c>
      <c r="K153" s="0" t="str">
        <f aca="false">IF(OR($A153="",$D153=""),"",IF(AND(EDATE($D153,Milestones!$AA$60)&lt;=AsOfDate,IF($R153=0,$X153,IF(AND($T153&lt;&gt;"",EDATE($D153,Milestones!$AA$60)&gt;=$T153),$W153,IF(AND($S153&lt;&gt;"",EDATE($D153,Milestones!$AA$60)&gt;=$S153),$V153,$U153)))=Milestones!$AB$60),UPPER(TEXT(EDATE($D153,Milestones!$AA$60),"dd mmm yy"))&amp;" "&amp;Milestones!$AB$60&amp;" "&amp;Milestones!$AC$60&amp;";  ","")&amp;IF(AND(EDATE($D153,Milestones!$AA$61)&lt;=AsOfDate,IF($R153=0,$X153,IF(AND($T153&lt;&gt;"",EDATE($D153,Milestones!$AA$61)&gt;=$T153),$W153,IF(AND($S153&lt;&gt;"",EDATE($D153,Milestones!$AA$61)&gt;=$S153),$V153,$U153)))=Milestones!$AB$61),UPPER(TEXT(EDATE($D153,Milestones!$AA$61),"dd mmm yy"))&amp;" "&amp;Milestones!$AB$61&amp;" "&amp;Milestones!$AC$61&amp;";  ","")&amp;IF(AND(EDATE($D153,Milestones!$AA$62)&lt;=AsOfDate,IF($R153=0,$X153,IF(AND($T153&lt;&gt;"",EDATE($D153,Milestones!$AA$62)&gt;=$T153),$W153,IF(AND($S153&lt;&gt;"",EDATE($D153,Milestones!$AA$62)&gt;=$S153),$V153,$U153)))=Milestones!$AB$62),UPPER(TEXT(EDATE($D153,Milestones!$AA$62),"dd mmm yy"))&amp;" "&amp;Milestones!$AB$62&amp;" "&amp;Milestones!$AC$62&amp;";  ","")&amp;IF(AND(EDATE($D153,Milestones!$AA$63)&lt;=AsOfDate,IF($R153=0,$X153,IF(AND($T153&lt;&gt;"",EDATE($D153,Milestones!$AA$63)&gt;=$T153),$W153,IF(AND($S153&lt;&gt;"",EDATE($D153,Milestones!$AA$63)&gt;=$S153),$V153,$U153)))=Milestones!$AB$63),UPPER(TEXT(EDATE($D153,Milestones!$AA$63),"dd mmm yy"))&amp;" "&amp;Milestones!$AB$63&amp;" "&amp;Milestones!$AC$63&amp;";  ","")&amp;IF(AND(EDATE($D153,Milestones!$AA$64)&lt;=AsOfDate,IF($R153=0,$X153,IF(AND($T153&lt;&gt;"",EDATE($D153,Milestones!$AA$64)&gt;=$T153),$W153,IF(AND($S153&lt;&gt;"",EDATE($D153,Milestones!$AA$64)&gt;=$S153),$V153,$U153)))=Milestones!$AB$64),UPPER(TEXT(EDATE($D153,Milestones!$AA$64),"dd mmm yy"))&amp;" "&amp;Milestones!$AB$64&amp;" "&amp;Milestones!$AC$64&amp;";  ","")&amp;IF(AND(EDATE($D153,Milestones!$AA$65)&lt;=AsOfDate,IF($R153=0,$X153,IF(AND($T153&lt;&gt;"",EDATE($D153,Milestones!$AA$65)&gt;=$T153),$W153,IF(AND($S153&lt;&gt;"",EDATE($D153,Milestones!$AA$65)&gt;=$S153),$V153,$U153)))=Milestones!$AB$65),UPPER(TEXT(EDATE($D153,Milestones!$AA$65),"dd mmm yy"))&amp;" "&amp;Milestones!$AB$65&amp;" "&amp;Milestones!$AC$65&amp;";  ","")&amp;IF(AND(EDATE($D153,Milestones!$AA$66)&lt;=AsOfDate,IF($R153=0,$X153,IF(AND($T153&lt;&gt;"",EDATE($D153,Milestones!$AA$66)&gt;=$T153),$W153,IF(AND($S153&lt;&gt;"",EDATE($D153,Milestones!$AA$66)&gt;=$S153),$V153,$U153)))=Milestones!$AB$66),UPPER(TEXT(EDATE($D153,Milestones!$AA$66),"dd mmm yy"))&amp;" "&amp;Milestones!$AB$66&amp;" "&amp;Milestones!$AC$66&amp;";  ","")&amp;IF(AND(EDATE($D153,Milestones!$AA$67)&lt;=AsOfDate,IF($R153=0,$X153,IF(AND($T153&lt;&gt;"",EDATE($D153,Milestones!$AA$67)&gt;=$T153),$W153,IF(AND($S153&lt;&gt;"",EDATE($D153,Milestones!$AA$67)&gt;=$S153),$V153,$U153)))=Milestones!$AB$67),UPPER(TEXT(EDATE($D153,Milestones!$AA$67),"dd mmm yy"))&amp;" "&amp;Milestones!$AB$67&amp;" "&amp;Milestones!$AC$67&amp;";  ","")&amp;IF(AND(EDATE($D153,Milestones!$AA$68)&lt;=AsOfDate,IF($R153=0,$X153,IF(AND($T153&lt;&gt;"",EDATE($D153,Milestones!$AA$68)&gt;=$T153),$W153,IF(AND($S153&lt;&gt;"",EDATE($D153,Milestones!$AA$68)&gt;=$S153),$V153,$U153)))=Milestones!$AB$68),UPPER(TEXT(EDATE($D153,Milestones!$AA$68),"dd mmm yy"))&amp;" "&amp;Milestones!$AB$68&amp;" "&amp;Milestones!$AC$68&amp;";  ","")&amp;IF(AND(EDATE($D153,Milestones!$AA$69)&lt;=AsOfDate,IF($R153=0,$X153,IF(AND($T153&lt;&gt;"",EDATE($D153,Milestones!$AA$69)&gt;=$T153),$W153,IF(AND($S153&lt;&gt;"",EDATE($D153,Milestones!$AA$69)&gt;=$S153),$V153,$U153)))=Milestones!$AB$69),UPPER(TEXT(EDATE($D153,Milestones!$AA$69),"dd mmm yy"))&amp;" "&amp;Milestones!$AB$69&amp;" "&amp;Milestones!$AC$69&amp;";  ","")&amp;IF(AND(EDATE($D153,Milestones!$AA$70)&lt;=AsOfDate,IF($R153=0,$X153,IF(AND($T153&lt;&gt;"",EDATE($D153,Milestones!$AA$70)&gt;=$T153),$W153,IF(AND($S153&lt;&gt;"",EDATE($D153,Milestones!$AA$70)&gt;=$S153),$V153,$U153)))=Milestones!$AB$70),UPPER(TEXT(EDATE($D153,Milestones!$AA$70),"dd mmm yy"))&amp;" "&amp;Milestones!$AB$70&amp;" "&amp;Milestones!$AC$70&amp;";  ","")&amp;IF(AND(EDATE($D153,Milestones!$AA$71)&lt;=AsOfDate,IF($R153=0,$X153,IF(AND($T153&lt;&gt;"",EDATE($D153,Milestones!$AA$71)&gt;=$T153),$W153,IF(AND($S153&lt;&gt;"",EDATE($D153,Milestones!$AA$71)&gt;=$S153),$V153,$U153)))=Milestones!$AB$71),UPPER(TEXT(EDATE($D153,Milestones!$AA$71),"dd mmm yy"))&amp;" "&amp;Milestones!$AB$71&amp;" "&amp;Milestones!$AC$71&amp;";  ","")&amp;IF(AND(EDATE($D153,Milestones!$AA$72)&lt;=AsOfDate,IF($R153=0,$X153,IF(AND($T153&lt;&gt;"",EDATE($D153,Milestones!$AA$72)&gt;=$T153),$W153,IF(AND($S153&lt;&gt;"",EDATE($D153,Milestones!$AA$72)&gt;=$S153),$V153,$U153)))=Milestones!$AB$72),UPPER(TEXT(EDATE($D153,Milestones!$AA$72),"dd mmm yy"))&amp;" "&amp;Milestones!$AB$72&amp;" "&amp;Milestones!$AC$72&amp;";  ","")&amp;IF(AND(EDATE($D153,Milestones!$AA$73)&lt;=AsOfDate,IF($R153=0,$X153,IF(AND($T153&lt;&gt;"",EDATE($D153,Milestones!$AA$73)&gt;=$T153),$W153,IF(AND($S153&lt;&gt;"",EDATE($D153,Milestones!$AA$73)&gt;=$S153),$V153,$U153)))=Milestones!$AB$73),UPPER(TEXT(EDATE($D153,Milestones!$AA$73),"dd mmm yy"))&amp;" "&amp;Milestones!$AB$73&amp;" "&amp;Milestones!$AC$73&amp;";  ","")&amp;IF(AND(EDATE($D153,Milestones!$AA$74)&lt;=AsOfDate,IF($R153=0,$X153,IF(AND($T153&lt;&gt;"",EDATE($D153,Milestones!$AA$74)&gt;=$T153),$W153,IF(AND($S153&lt;&gt;"",EDATE($D153,Milestones!$AA$74)&gt;=$S153),$V153,$U153)))=Milestones!$AB$74),UPPER(TEXT(EDATE($D153,Milestones!$AA$74),"dd mmm yy"))&amp;" "&amp;Milestones!$AB$74&amp;" "&amp;Milestones!$AC$74&amp;";  ","")&amp;IF(AND(EDATE($D153,Milestones!$AA$75)&lt;=AsOfDate,IF($R153=0,$X153,IF(AND($T153&lt;&gt;"",EDATE($D153,Milestones!$AA$75)&gt;=$T153),$W153,IF(AND($S153&lt;&gt;"",EDATE($D153,Milestones!$AA$75)&gt;=$S153),$V153,$U153)))=Milestones!$AB$75),UPPER(TEXT(EDATE($D153,Milestones!$AA$75),"dd mmm yy"))&amp;" "&amp;Milestones!$AB$75&amp;" "&amp;Milestones!$AC$75&amp;";  ","")&amp;IF(AND(EDATE($D153,Milestones!$AA$76)&lt;=AsOfDate,IF($R153=0,$X153,IF(AND($T153&lt;&gt;"",EDATE($D153,Milestones!$AA$76)&gt;=$T153),$W153,IF(AND($S153&lt;&gt;"",EDATE($D153,Milestones!$AA$76)&gt;=$S153),$V153,$U153)))=Milestones!$AB$76),UPPER(TEXT(EDATE($D153,Milestones!$AA$76),"dd mmm yy"))&amp;" "&amp;Milestones!$AB$76&amp;" "&amp;Milestones!$AC$76&amp;";  ","")&amp;IF(AND(EDATE($D153,Milestones!$AA$77)&lt;=AsOfDate,IF($R153=0,$X153,IF(AND($T153&lt;&gt;"",EDATE($D153,Milestones!$AA$77)&gt;=$T153),$W153,IF(AND($S153&lt;&gt;"",EDATE($D153,Milestones!$AA$77)&gt;=$S153),$V153,$U153)))=Milestones!$AB$77),UPPER(TEXT(EDATE($D153,Milestones!$AA$77),"dd mmm yy"))&amp;" "&amp;Milestones!$AB$77&amp;" "&amp;Milestones!$AC$77&amp;";  ","")&amp;IF(AND(EDATE($D153,Milestones!$AA$78)&lt;=AsOfDate,IF($R153=0,$X153,IF(AND($T153&lt;&gt;"",EDATE($D153,Milestones!$AA$78)&gt;=$T153),$W153,IF(AND($S153&lt;&gt;"",EDATE($D153,Milestones!$AA$78)&gt;=$S153),$V153,$U153)))=Milestones!$AB$78),UPPER(TEXT(EDATE($D153,Milestones!$AA$78),"dd mmm yy"))&amp;" "&amp;Milestones!$AB$78&amp;" "&amp;Milestones!$AC$78&amp;";  ","")&amp;IF(AND(EDATE($D153,Milestones!$AA$79)&lt;=AsOfDate,IF($R153=0,$X153,IF(AND($T153&lt;&gt;"",EDATE($D153,Milestones!$AA$79)&gt;=$T153),$W153,IF(AND($S153&lt;&gt;"",EDATE($D153,Milestones!$AA$79)&gt;=$S153),$V153,$U153)))=Milestones!$AB$79),UPPER(TEXT(EDATE($D153,Milestones!$AA$79),"dd mmm yy"))&amp;" "&amp;Milestones!$AB$79&amp;" "&amp;Milestones!$AC$79&amp;";  ",""))</f>
        <v/>
      </c>
      <c r="L153" s="0" t="str">
        <f aca="false">IF(OR($A153="",$D153=""),"",IF(AND(EDATE($D153,Milestones!$AA$80)&lt;=AsOfDate,IF($R153=0,$X153,IF(AND($T153&lt;&gt;"",EDATE($D153,Milestones!$AA$80)&gt;=$T153),$W153,IF(AND($S153&lt;&gt;"",EDATE($D153,Milestones!$AA$80)&gt;=$S153),$V153,$U153)))=Milestones!$AB$80),UPPER(TEXT(EDATE($D153,Milestones!$AA$80),"dd mmm yy"))&amp;" "&amp;Milestones!$AB$80&amp;" "&amp;Milestones!$AC$80&amp;";  ","")&amp;IF(AND(EDATE($D153,Milestones!$AA$81)&lt;=AsOfDate,IF($R153=0,$X153,IF(AND($T153&lt;&gt;"",EDATE($D153,Milestones!$AA$81)&gt;=$T153),$W153,IF(AND($S153&lt;&gt;"",EDATE($D153,Milestones!$AA$81)&gt;=$S153),$V153,$U153)))=Milestones!$AB$81),UPPER(TEXT(EDATE($D153,Milestones!$AA$81),"dd mmm yy"))&amp;" "&amp;Milestones!$AB$81&amp;" "&amp;Milestones!$AC$81&amp;";  ","")&amp;IF(AND(EDATE($D153,Milestones!$AA$82)&lt;=AsOfDate,IF($R153=0,$X153,IF(AND($T153&lt;&gt;"",EDATE($D153,Milestones!$AA$82)&gt;=$T153),$W153,IF(AND($S153&lt;&gt;"",EDATE($D153,Milestones!$AA$82)&gt;=$S153),$V153,$U153)))=Milestones!$AB$82),UPPER(TEXT(EDATE($D153,Milestones!$AA$82),"dd mmm yy"))&amp;" "&amp;Milestones!$AB$82&amp;" "&amp;Milestones!$AC$82&amp;";  ","")&amp;IF(AND(EDATE($D153,Milestones!$AA$83)&lt;=AsOfDate,IF($R153=0,$X153,IF(AND($T153&lt;&gt;"",EDATE($D153,Milestones!$AA$83)&gt;=$T153),$W153,IF(AND($S153&lt;&gt;"",EDATE($D153,Milestones!$AA$83)&gt;=$S153),$V153,$U153)))=Milestones!$AB$83),UPPER(TEXT(EDATE($D153,Milestones!$AA$83),"dd mmm yy"))&amp;" "&amp;Milestones!$AB$83&amp;" "&amp;Milestones!$AC$83&amp;";  ","")&amp;IF(AND(EDATE($D153,Milestones!$AA$84)&lt;=AsOfDate,IF($R153=0,$X153,IF(AND($T153&lt;&gt;"",EDATE($D153,Milestones!$AA$84)&gt;=$T153),$W153,IF(AND($S153&lt;&gt;"",EDATE($D153,Milestones!$AA$84)&gt;=$S153),$V153,$U153)))=Milestones!$AB$84),UPPER(TEXT(EDATE($D153,Milestones!$AA$84),"dd mmm yy"))&amp;" "&amp;Milestones!$AB$84&amp;" "&amp;Milestones!$AC$84&amp;";  ","")&amp;IF(AND(EDATE($D153,Milestones!$AA$85)&lt;=AsOfDate,IF($R153=0,$X153,IF(AND($T153&lt;&gt;"",EDATE($D153,Milestones!$AA$85)&gt;=$T153),$W153,IF(AND($S153&lt;&gt;"",EDATE($D153,Milestones!$AA$85)&gt;=$S153),$V153,$U153)))=Milestones!$AB$85),UPPER(TEXT(EDATE($D153,Milestones!$AA$85),"dd mmm yy"))&amp;" "&amp;Milestones!$AB$85&amp;" "&amp;Milestones!$AC$85&amp;";  ","")&amp;IF(AND(EDATE($D153,Milestones!$AA$86)&lt;=AsOfDate,IF($R153=0,$X153,IF(AND($T153&lt;&gt;"",EDATE($D153,Milestones!$AA$86)&gt;=$T153),$W153,IF(AND($S153&lt;&gt;"",EDATE($D153,Milestones!$AA$86)&gt;=$S153),$V153,$U153)))=Milestones!$AB$86),UPPER(TEXT(EDATE($D153,Milestones!$AA$86),"dd mmm yy"))&amp;" "&amp;Milestones!$AB$86&amp;" "&amp;Milestones!$AC$86&amp;";  ","")&amp;IF(AND(EDATE($D153,Milestones!$AA$87)&lt;=AsOfDate,IF($R153=0,$X153,IF(AND($T153&lt;&gt;"",EDATE($D153,Milestones!$AA$87)&gt;=$T153),$W153,IF(AND($S153&lt;&gt;"",EDATE($D153,Milestones!$AA$87)&gt;=$S153),$V153,$U153)))=Milestones!$AB$87),UPPER(TEXT(EDATE($D153,Milestones!$AA$87),"dd mmm yy"))&amp;" "&amp;Milestones!$AB$87&amp;" "&amp;Milestones!$AC$87&amp;";  ","")&amp;IF(AND(EDATE($D153,Milestones!$AA$88)&lt;=AsOfDate,IF($R153=0,$X153,IF(AND($T153&lt;&gt;"",EDATE($D153,Milestones!$AA$88)&gt;=$T153),$W153,IF(AND($S153&lt;&gt;"",EDATE($D153,Milestones!$AA$88)&gt;=$S153),$V153,$U153)))=Milestones!$AB$88),UPPER(TEXT(EDATE($D153,Milestones!$AA$88),"dd mmm yy"))&amp;" "&amp;Milestones!$AB$88&amp;" "&amp;Milestones!$AC$88&amp;";  ","")&amp;IF(AND(EDATE($D153,Milestones!$AA$89)&lt;=AsOfDate,IF($R153=0,$X153,IF(AND($T153&lt;&gt;"",EDATE($D153,Milestones!$AA$89)&gt;=$T153),$W153,IF(AND($S153&lt;&gt;"",EDATE($D153,Milestones!$AA$89)&gt;=$S153),$V153,$U153)))=Milestones!$AB$89),UPPER(TEXT(EDATE($D153,Milestones!$AA$89),"dd mmm yy"))&amp;" "&amp;Milestones!$AB$89&amp;" "&amp;Milestones!$AC$89&amp;";  ","")&amp;IF(AND(EDATE($D153,Milestones!$AA$90)&lt;=AsOfDate,IF($R153=0,$X153,IF(AND($T153&lt;&gt;"",EDATE($D153,Milestones!$AA$90)&gt;=$T153),$W153,IF(AND($S153&lt;&gt;"",EDATE($D153,Milestones!$AA$90)&gt;=$S153),$V153,$U153)))=Milestones!$AB$90),UPPER(TEXT(EDATE($D153,Milestones!$AA$90),"dd mmm yy"))&amp;" "&amp;Milestones!$AB$90&amp;" "&amp;Milestones!$AC$90&amp;";  ","")&amp;IF(AND(EDATE($D153,Milestones!$AA$91)&lt;=AsOfDate,IF($R153=0,$X153,IF(AND($T153&lt;&gt;"",EDATE($D153,Milestones!$AA$91)&gt;=$T153),$W153,IF(AND($S153&lt;&gt;"",EDATE($D153,Milestones!$AA$91)&gt;=$S153),$V153,$U153)))=Milestones!$AB$91),UPPER(TEXT(EDATE($D153,Milestones!$AA$91),"dd mmm yy"))&amp;" "&amp;Milestones!$AB$91&amp;" "&amp;Milestones!$AC$91&amp;";  ","")&amp;IF(AND(EDATE($D153,Milestones!$AA$92)&lt;=AsOfDate,IF($R153=0,$X153,IF(AND($T153&lt;&gt;"",EDATE($D153,Milestones!$AA$92)&gt;=$T153),$W153,IF(AND($S153&lt;&gt;"",EDATE($D153,Milestones!$AA$92)&gt;=$S153),$V153,$U153)))=Milestones!$AB$92),UPPER(TEXT(EDATE($D153,Milestones!$AA$92),"dd mmm yy"))&amp;" "&amp;Milestones!$AB$92&amp;" "&amp;Milestones!$AC$92&amp;";  ","")&amp;IF(AND(EDATE($D153,Milestones!$AA$93)&lt;=AsOfDate,IF($R153=0,$X153,IF(AND($T153&lt;&gt;"",EDATE($D153,Milestones!$AA$93)&gt;=$T153),$W153,IF(AND($S153&lt;&gt;"",EDATE($D153,Milestones!$AA$93)&gt;=$S153),$V153,$U153)))=Milestones!$AB$93),UPPER(TEXT(EDATE($D153,Milestones!$AA$93),"dd mmm yy"))&amp;" "&amp;Milestones!$AB$93&amp;" "&amp;Milestones!$AC$93&amp;";  ","")&amp;IF(AND(EDATE($D153,Milestones!$AA$94)&lt;=AsOfDate,IF($R153=0,$X153,IF(AND($T153&lt;&gt;"",EDATE($D153,Milestones!$AA$94)&gt;=$T153),$W153,IF(AND($S153&lt;&gt;"",EDATE($D153,Milestones!$AA$94)&gt;=$S153),$V153,$U153)))=Milestones!$AB$94),UPPER(TEXT(EDATE($D153,Milestones!$AA$94),"dd mmm yy"))&amp;" "&amp;Milestones!$AB$94&amp;" "&amp;Milestones!$AC$94&amp;";  ","")&amp;IF(AND(EDATE($D153,Milestones!$AA$95)&lt;=AsOfDate,IF($R153=0,$X153,IF(AND($T153&lt;&gt;"",EDATE($D153,Milestones!$AA$95)&gt;=$T153),$W153,IF(AND($S153&lt;&gt;"",EDATE($D153,Milestones!$AA$95)&gt;=$S153),$V153,$U153)))=Milestones!$AB$95),UPPER(TEXT(EDATE($D153,Milestones!$AA$95),"dd mmm yy"))&amp;" "&amp;Milestones!$AB$95&amp;" "&amp;Milestones!$AC$95&amp;";  ","")&amp;IF(AND(EDATE($D153,Milestones!$AA$96)&lt;=AsOfDate,IF($R153=0,$X153,IF(AND($T153&lt;&gt;"",EDATE($D153,Milestones!$AA$96)&gt;=$T153),$W153,IF(AND($S153&lt;&gt;"",EDATE($D153,Milestones!$AA$96)&gt;=$S153),$V153,$U153)))=Milestones!$AB$96),UPPER(TEXT(EDATE($D153,Milestones!$AA$96),"dd mmm yy"))&amp;" "&amp;Milestones!$AB$96&amp;" "&amp;Milestones!$AC$96&amp;";  ","")&amp;IF(AND(EDATE($D153,Milestones!$AA$97)&lt;=AsOfDate,IF($R153=0,$X153,IF(AND($T153&lt;&gt;"",EDATE($D153,Milestones!$AA$97)&gt;=$T153),$W153,IF(AND($S153&lt;&gt;"",EDATE($D153,Milestones!$AA$97)&gt;=$S153),$V153,$U153)))=Milestones!$AB$97),UPPER(TEXT(EDATE($D153,Milestones!$AA$97),"dd mmm yy"))&amp;" "&amp;Milestones!$AB$97&amp;" "&amp;Milestones!$AC$97&amp;";  ","")&amp;IF(AND(EDATE($D153,Milestones!$AA$98)&lt;=AsOfDate,IF($R153=0,$X153,IF(AND($T153&lt;&gt;"",EDATE($D153,Milestones!$AA$98)&gt;=$T153),$W153,IF(AND($S153&lt;&gt;"",EDATE($D153,Milestones!$AA$98)&gt;=$S153),$V153,$U153)))=Milestones!$AB$98),UPPER(TEXT(EDATE($D153,Milestones!$AA$98),"dd mmm yy"))&amp;" "&amp;Milestones!$AB$98&amp;" "&amp;Milestones!$AC$98&amp;";  ","")&amp;IF(AND(EDATE($D153,Milestones!$AA$99)&lt;=AsOfDate,IF($R153=0,$X153,IF(AND($T153&lt;&gt;"",EDATE($D153,Milestones!$AA$99)&gt;=$T153),$W153,IF(AND($S153&lt;&gt;"",EDATE($D153,Milestones!$AA$99)&gt;=$S153),$V153,$U153)))=Milestones!$AB$99),UPPER(TEXT(EDATE($D153,Milestones!$AA$99),"dd mmm yy"))&amp;" "&amp;Milestones!$AB$99&amp;" "&amp;Milestones!$AC$99&amp;";  ",""))</f>
        <v/>
      </c>
      <c r="M153" s="0" t="str">
        <f aca="false">IF(OR($A153="",$D153=""),"",IF(AND(EDATE($D153,Milestones!$AA$100)&lt;=AsOfDate,IF($R153=0,$X153,IF(AND($T153&lt;&gt;"",EDATE($D153,Milestones!$AA$100)&gt;=$T153),$W153,IF(AND($S153&lt;&gt;"",EDATE($D153,Milestones!$AA$100)&gt;=$S153),$V153,$U153)))=Milestones!$AB$100),UPPER(TEXT(EDATE($D153,Milestones!$AA$100),"dd mmm yy"))&amp;" "&amp;Milestones!$AB$100&amp;" "&amp;Milestones!$AC$100&amp;";  ","")&amp;IF(AND(EDATE($D153,Milestones!$AA$101)&lt;=AsOfDate,IF($R153=0,$X153,IF(AND($T153&lt;&gt;"",EDATE($D153,Milestones!$AA$101)&gt;=$T153),$W153,IF(AND($S153&lt;&gt;"",EDATE($D153,Milestones!$AA$101)&gt;=$S153),$V153,$U153)))=Milestones!$AB$101),UPPER(TEXT(EDATE($D153,Milestones!$AA$101),"dd mmm yy"))&amp;" "&amp;Milestones!$AB$101&amp;" "&amp;Milestones!$AC$101&amp;";  ","")&amp;IF(AND(EDATE($D153,Milestones!$AA$102)&lt;=AsOfDate,IF($R153=0,$X153,IF(AND($T153&lt;&gt;"",EDATE($D153,Milestones!$AA$102)&gt;=$T153),$W153,IF(AND($S153&lt;&gt;"",EDATE($D153,Milestones!$AA$102)&gt;=$S153),$V153,$U153)))=Milestones!$AB$102),UPPER(TEXT(EDATE($D153,Milestones!$AA$102),"dd mmm yy"))&amp;" "&amp;Milestones!$AB$102&amp;" "&amp;Milestones!$AC$102&amp;";  ","")&amp;IF(AND(EDATE($D153,Milestones!$AA$103)&lt;=AsOfDate,IF($R153=0,$X153,IF(AND($T153&lt;&gt;"",EDATE($D153,Milestones!$AA$103)&gt;=$T153),$W153,IF(AND($S153&lt;&gt;"",EDATE($D153,Milestones!$AA$103)&gt;=$S153),$V153,$U153)))=Milestones!$AB$103),UPPER(TEXT(EDATE($D153,Milestones!$AA$103),"dd mmm yy"))&amp;" "&amp;Milestones!$AB$103&amp;" "&amp;Milestones!$AC$103&amp;";  ","")&amp;IF(AND(EDATE($D153,Milestones!$AA$104)&lt;=AsOfDate,IF($R153=0,$X153,IF(AND($T153&lt;&gt;"",EDATE($D153,Milestones!$AA$104)&gt;=$T153),$W153,IF(AND($S153&lt;&gt;"",EDATE($D153,Milestones!$AA$104)&gt;=$S153),$V153,$U153)))=Milestones!$AB$104),UPPER(TEXT(EDATE($D153,Milestones!$AA$104),"dd mmm yy"))&amp;" "&amp;Milestones!$AB$104&amp;" "&amp;Milestones!$AC$104&amp;";  ","")&amp;IF(AND(EDATE($D153,Milestones!$AA$105)&lt;=AsOfDate,IF($R153=0,$X153,IF(AND($T153&lt;&gt;"",EDATE($D153,Milestones!$AA$105)&gt;=$T153),$W153,IF(AND($S153&lt;&gt;"",EDATE($D153,Milestones!$AA$105)&gt;=$S153),$V153,$U153)))=Milestones!$AB$105),UPPER(TEXT(EDATE($D153,Milestones!$AA$105),"dd mmm yy"))&amp;" "&amp;Milestones!$AB$105&amp;" "&amp;Milestones!$AC$105&amp;";  ","")&amp;IF(AND(EDATE($D153,Milestones!$AA$106)&lt;=AsOfDate,IF($R153=0,$X153,IF(AND($T153&lt;&gt;"",EDATE($D153,Milestones!$AA$106)&gt;=$T153),$W153,IF(AND($S153&lt;&gt;"",EDATE($D153,Milestones!$AA$106)&gt;=$S153),$V153,$U153)))=Milestones!$AB$106),UPPER(TEXT(EDATE($D153,Milestones!$AA$106),"dd mmm yy"))&amp;" "&amp;Milestones!$AB$106&amp;" "&amp;Milestones!$AC$106&amp;";  ","")&amp;IF(AND(EDATE($D153,Milestones!$AA$107)&lt;=AsOfDate,IF($R153=0,$X153,IF(AND($T153&lt;&gt;"",EDATE($D153,Milestones!$AA$107)&gt;=$T153),$W153,IF(AND($S153&lt;&gt;"",EDATE($D153,Milestones!$AA$107)&gt;=$S153),$V153,$U153)))=Milestones!$AB$107),UPPER(TEXT(EDATE($D153,Milestones!$AA$107),"dd mmm yy"))&amp;" "&amp;Milestones!$AB$107&amp;" "&amp;Milestones!$AC$107&amp;";  ","")&amp;IF(AND(EDATE($D153,Milestones!$AA$108)&lt;=AsOfDate,IF($R153=0,$X153,IF(AND($T153&lt;&gt;"",EDATE($D153,Milestones!$AA$108)&gt;=$T153),$W153,IF(AND($S153&lt;&gt;"",EDATE($D153,Milestones!$AA$108)&gt;=$S153),$V153,$U153)))=Milestones!$AB$108),UPPER(TEXT(EDATE($D153,Milestones!$AA$108),"dd mmm yy"))&amp;" "&amp;Milestones!$AB$108&amp;" "&amp;Milestones!$AC$108&amp;";  ","")&amp;IF(AND(EDATE($D153,Milestones!$AA$109)&lt;=AsOfDate,IF($R153=0,$X153,IF(AND($T153&lt;&gt;"",EDATE($D153,Milestones!$AA$109)&gt;=$T153),$W153,IF(AND($S153&lt;&gt;"",EDATE($D153,Milestones!$AA$109)&gt;=$S153),$V153,$U153)))=Milestones!$AB$109),UPPER(TEXT(EDATE($D153,Milestones!$AA$109),"dd mmm yy"))&amp;" "&amp;Milestones!$AB$109&amp;" "&amp;Milestones!$AC$109&amp;";  ","")&amp;IF(AND(EDATE($D153,Milestones!$AA$110)&lt;=AsOfDate,IF($R153=0,$X153,IF(AND($T153&lt;&gt;"",EDATE($D153,Milestones!$AA$110)&gt;=$T153),$W153,IF(AND($S153&lt;&gt;"",EDATE($D153,Milestones!$AA$110)&gt;=$S153),$V153,$U153)))=Milestones!$AB$110),UPPER(TEXT(EDATE($D153,Milestones!$AA$110),"dd mmm yy"))&amp;" "&amp;Milestones!$AB$110&amp;" "&amp;Milestones!$AC$110&amp;";  ","")&amp;IF(AND(EDATE($D153,Milestones!$AA$111)&lt;=AsOfDate,IF($R153=0,$X153,IF(AND($T153&lt;&gt;"",EDATE($D153,Milestones!$AA$111)&gt;=$T153),$W153,IF(AND($S153&lt;&gt;"",EDATE($D153,Milestones!$AA$111)&gt;=$S153),$V153,$U153)))=Milestones!$AB$111),UPPER(TEXT(EDATE($D153,Milestones!$AA$111),"dd mmm yy"))&amp;" "&amp;Milestones!$AB$111&amp;" "&amp;Milestones!$AC$111&amp;";  ","")&amp;IF(AND(EDATE($D153,Milestones!$AA$112)&lt;=AsOfDate,IF($R153=0,$X153,IF(AND($T153&lt;&gt;"",EDATE($D153,Milestones!$AA$112)&gt;=$T153),$W153,IF(AND($S153&lt;&gt;"",EDATE($D153,Milestones!$AA$112)&gt;=$S153),$V153,$U153)))=Milestones!$AB$112),UPPER(TEXT(EDATE($D153,Milestones!$AA$112),"dd mmm yy"))&amp;" "&amp;Milestones!$AB$112&amp;" "&amp;Milestones!$AC$112&amp;";  ","")&amp;IF(AND(EDATE($D153,Milestones!$AA$113)&lt;=AsOfDate,IF($R153=0,$X153,IF(AND($T153&lt;&gt;"",EDATE($D153,Milestones!$AA$113)&gt;=$T153),$W153,IF(AND($S153&lt;&gt;"",EDATE($D153,Milestones!$AA$113)&gt;=$S153),$V153,$U153)))=Milestones!$AB$113),UPPER(TEXT(EDATE($D153,Milestones!$AA$113),"dd mmm yy"))&amp;" "&amp;Milestones!$AB$113&amp;" "&amp;Milestones!$AC$113&amp;";  ","")&amp;IF(AND(EDATE($D153,Milestones!$AA$114)&lt;=AsOfDate,IF($R153=0,$X153,IF(AND($T153&lt;&gt;"",EDATE($D153,Milestones!$AA$114)&gt;=$T153),$W153,IF(AND($S153&lt;&gt;"",EDATE($D153,Milestones!$AA$114)&gt;=$S153),$V153,$U153)))=Milestones!$AB$114),UPPER(TEXT(EDATE($D153,Milestones!$AA$114),"dd mmm yy"))&amp;" "&amp;Milestones!$AB$114&amp;" "&amp;Milestones!$AC$114&amp;";  ","")&amp;IF(AND(EDATE($D153,Milestones!$AA$115)&lt;=AsOfDate,IF($R153=0,$X153,IF(AND($T153&lt;&gt;"",EDATE($D153,Milestones!$AA$115)&gt;=$T153),$W153,IF(AND($S153&lt;&gt;"",EDATE($D153,Milestones!$AA$115)&gt;=$S153),$V153,$U153)))=Milestones!$AB$115),UPPER(TEXT(EDATE($D153,Milestones!$AA$115),"dd mmm yy"))&amp;" "&amp;Milestones!$AB$115&amp;" "&amp;Milestones!$AC$115&amp;";  ","")&amp;IF(AND(EDATE($D153,Milestones!$AA$116)&lt;=AsOfDate,IF($R153=0,$X153,IF(AND($T153&lt;&gt;"",EDATE($D153,Milestones!$AA$116)&gt;=$T153),$W153,IF(AND($S153&lt;&gt;"",EDATE($D153,Milestones!$AA$116)&gt;=$S153),$V153,$U153)))=Milestones!$AB$116),UPPER(TEXT(EDATE($D153,Milestones!$AA$116),"dd mmm yy"))&amp;" "&amp;Milestones!$AB$116&amp;" "&amp;Milestones!$AC$116&amp;";  ","")&amp;IF(AND(EDATE($D153,Milestones!$AA$117)&lt;=AsOfDate,IF($R153=0,$X153,IF(AND($T153&lt;&gt;"",EDATE($D153,Milestones!$AA$117)&gt;=$T153),$W153,IF(AND($S153&lt;&gt;"",EDATE($D153,Milestones!$AA$117)&gt;=$S153),$V153,$U153)))=Milestones!$AB$117),UPPER(TEXT(EDATE($D153,Milestones!$AA$117),"dd mmm yy"))&amp;" "&amp;Milestones!$AB$117&amp;" "&amp;Milestones!$AC$117&amp;";  ","")&amp;IF(AND(EDATE($D153,Milestones!$AA$118)&lt;=AsOfDate,IF($R153=0,$X153,IF(AND($T153&lt;&gt;"",EDATE($D153,Milestones!$AA$118)&gt;=$T153),$W153,IF(AND($S153&lt;&gt;"",EDATE($D153,Milestones!$AA$118)&gt;=$S153),$V153,$U153)))=Milestones!$AB$118),UPPER(TEXT(EDATE($D153,Milestones!$AA$118),"dd mmm yy"))&amp;" "&amp;Milestones!$AB$118&amp;" "&amp;Milestones!$AC$118&amp;";  ","")&amp;IF(AND(EDATE($D153,Milestones!$AA$119)&lt;=AsOfDate,IF($R153=0,$X153,IF(AND($T153&lt;&gt;"",EDATE($D153,Milestones!$AA$119)&gt;=$T153),$W153,IF(AND($S153&lt;&gt;"",EDATE($D153,Milestones!$AA$119)&gt;=$S153),$V153,$U153)))=Milestones!$AB$119),UPPER(TEXT(EDATE($D153,Milestones!$AA$119),"dd mmm yy"))&amp;" "&amp;Milestones!$AB$119&amp;" "&amp;Milestones!$AC$119&amp;";  ",""))</f>
        <v/>
      </c>
      <c r="N153" s="0" t="str">
        <f aca="false">IF(OR($A153="",$D153=""),"",IF(AND(EDATE($D153,Milestones!$AA$120)&lt;=AsOfDate,IF($R153=0,$X153,IF(AND($T153&lt;&gt;"",EDATE($D153,Milestones!$AA$120)&gt;=$T153),$W153,IF(AND($S153&lt;&gt;"",EDATE($D153,Milestones!$AA$120)&gt;=$S153),$V153,$U153)))=Milestones!$AB$120),UPPER(TEXT(EDATE($D153,Milestones!$AA$120),"dd mmm yy"))&amp;" "&amp;Milestones!$AB$120&amp;" "&amp;Milestones!$AC$120&amp;";  ","")&amp;IF(AND(EDATE($D153,Milestones!$AA$121)&lt;=AsOfDate,IF($R153=0,$X153,IF(AND($T153&lt;&gt;"",EDATE($D153,Milestones!$AA$121)&gt;=$T153),$W153,IF(AND($S153&lt;&gt;"",EDATE($D153,Milestones!$AA$121)&gt;=$S153),$V153,$U153)))=Milestones!$AB$121),UPPER(TEXT(EDATE($D153,Milestones!$AA$121),"dd mmm yy"))&amp;" "&amp;Milestones!$AB$121&amp;" "&amp;Milestones!$AC$121&amp;";  ","")&amp;IF(AND(EDATE($D153,Milestones!$AA$122)&lt;=AsOfDate,IF($R153=0,$X153,IF(AND($T153&lt;&gt;"",EDATE($D153,Milestones!$AA$122)&gt;=$T153),$W153,IF(AND($S153&lt;&gt;"",EDATE($D153,Milestones!$AA$122)&gt;=$S153),$V153,$U153)))=Milestones!$AB$122),UPPER(TEXT(EDATE($D153,Milestones!$AA$122),"dd mmm yy"))&amp;" "&amp;Milestones!$AB$122&amp;" "&amp;Milestones!$AC$122&amp;";  ","")&amp;IF(AND(EDATE($D153,Milestones!$AA$123)&lt;=AsOfDate,IF($R153=0,$X153,IF(AND($T153&lt;&gt;"",EDATE($D153,Milestones!$AA$123)&gt;=$T153),$W153,IF(AND($S153&lt;&gt;"",EDATE($D153,Milestones!$AA$123)&gt;=$S153),$V153,$U153)))=Milestones!$AB$123),UPPER(TEXT(EDATE($D153,Milestones!$AA$123),"dd mmm yy"))&amp;" "&amp;Milestones!$AB$123&amp;" "&amp;Milestones!$AC$123&amp;";  ","")&amp;IF(AND(EDATE($D153,Milestones!$AA$124)&lt;=AsOfDate,IF($R153=0,$X153,IF(AND($T153&lt;&gt;"",EDATE($D153,Milestones!$AA$124)&gt;=$T153),$W153,IF(AND($S153&lt;&gt;"",EDATE($D153,Milestones!$AA$124)&gt;=$S153),$V153,$U153)))=Milestones!$AB$124),UPPER(TEXT(EDATE($D153,Milestones!$AA$124),"dd mmm yy"))&amp;" "&amp;Milestones!$AB$124&amp;" "&amp;Milestones!$AC$124&amp;";  ","")&amp;IF(AND(EDATE($D153,Milestones!$AA$125)&lt;=AsOfDate,IF($R153=0,$X153,IF(AND($T153&lt;&gt;"",EDATE($D153,Milestones!$AA$125)&gt;=$T153),$W153,IF(AND($S153&lt;&gt;"",EDATE($D153,Milestones!$AA$125)&gt;=$S153),$V153,$U153)))=Milestones!$AB$125),UPPER(TEXT(EDATE($D153,Milestones!$AA$125),"dd mmm yy"))&amp;" "&amp;Milestones!$AB$125&amp;" "&amp;Milestones!$AC$125&amp;";  ","")&amp;IF(AND(EDATE($D153,Milestones!$AA$126)&lt;=AsOfDate,IF($R153=0,$X153,IF(AND($T153&lt;&gt;"",EDATE($D153,Milestones!$AA$126)&gt;=$T153),$W153,IF(AND($S153&lt;&gt;"",EDATE($D153,Milestones!$AA$126)&gt;=$S153),$V153,$U153)))=Milestones!$AB$126),UPPER(TEXT(EDATE($D153,Milestones!$AA$126),"dd mmm yy"))&amp;" "&amp;Milestones!$AB$126&amp;" "&amp;Milestones!$AC$126&amp;";  ","")&amp;IF(AND(EDATE($D153,Milestones!$AA$127)&lt;=AsOfDate,IF($R153=0,$X153,IF(AND($T153&lt;&gt;"",EDATE($D153,Milestones!$AA$127)&gt;=$T153),$W153,IF(AND($S153&lt;&gt;"",EDATE($D153,Milestones!$AA$127)&gt;=$S153),$V153,$U153)))=Milestones!$AB$127),UPPER(TEXT(EDATE($D153,Milestones!$AA$127),"dd mmm yy"))&amp;" "&amp;Milestones!$AB$127&amp;" "&amp;Milestones!$AC$127&amp;";  ","")&amp;IF(AND(EDATE($D153,Milestones!$AA$128)&lt;=AsOfDate,IF($R153=0,$X153,IF(AND($T153&lt;&gt;"",EDATE($D153,Milestones!$AA$128)&gt;=$T153),$W153,IF(AND($S153&lt;&gt;"",EDATE($D153,Milestones!$AA$128)&gt;=$S153),$V153,$U153)))=Milestones!$AB$128),UPPER(TEXT(EDATE($D153,Milestones!$AA$128),"dd mmm yy"))&amp;" "&amp;Milestones!$AB$128&amp;" "&amp;Milestones!$AC$128&amp;";  ","")&amp;IF(AND(EDATE($D153,Milestones!$AA$129)&lt;=AsOfDate,IF($R153=0,$X153,IF(AND($T153&lt;&gt;"",EDATE($D153,Milestones!$AA$129)&gt;=$T153),$W153,IF(AND($S153&lt;&gt;"",EDATE($D153,Milestones!$AA$129)&gt;=$S153),$V153,$U153)))=Milestones!$AB$129),UPPER(TEXT(EDATE($D153,Milestones!$AA$129),"dd mmm yy"))&amp;" "&amp;Milestones!$AB$129&amp;" "&amp;Milestones!$AC$129&amp;";  ","")&amp;IF(AND(EDATE($D153,Milestones!$AA$130)&lt;=AsOfDate,IF($R153=0,$X153,IF(AND($T153&lt;&gt;"",EDATE($D153,Milestones!$AA$130)&gt;=$T153),$W153,IF(AND($S153&lt;&gt;"",EDATE($D153,Milestones!$AA$130)&gt;=$S153),$V153,$U153)))=Milestones!$AB$130),UPPER(TEXT(EDATE($D153,Milestones!$AA$130),"dd mmm yy"))&amp;" "&amp;Milestones!$AB$130&amp;" "&amp;Milestones!$AC$130&amp;";  ","")&amp;IF(AND(EDATE($D153,Milestones!$AA$131)&lt;=AsOfDate,IF($R153=0,$X153,IF(AND($T153&lt;&gt;"",EDATE($D153,Milestones!$AA$131)&gt;=$T153),$W153,IF(AND($S153&lt;&gt;"",EDATE($D153,Milestones!$AA$131)&gt;=$S153),$V153,$U153)))=Milestones!$AB$131),UPPER(TEXT(EDATE($D153,Milestones!$AA$131),"dd mmm yy"))&amp;" "&amp;Milestones!$AB$131&amp;" "&amp;Milestones!$AC$131&amp;";  ","")&amp;IF(AND(EDATE($D153,Milestones!$AA$132)&lt;=AsOfDate,IF($R153=0,$X153,IF(AND($T153&lt;&gt;"",EDATE($D153,Milestones!$AA$132)&gt;=$T153),$W153,IF(AND($S153&lt;&gt;"",EDATE($D153,Milestones!$AA$132)&gt;=$S153),$V153,$U153)))=Milestones!$AB$132),UPPER(TEXT(EDATE($D153,Milestones!$AA$132),"dd mmm yy"))&amp;" "&amp;Milestones!$AB$132&amp;" "&amp;Milestones!$AC$132&amp;";  ","")&amp;IF(AND(EDATE($D153,Milestones!$AA$133)&lt;=AsOfDate,IF($R153=0,$X153,IF(AND($T153&lt;&gt;"",EDATE($D153,Milestones!$AA$133)&gt;=$T153),$W153,IF(AND($S153&lt;&gt;"",EDATE($D153,Milestones!$AA$133)&gt;=$S153),$V153,$U153)))=Milestones!$AB$133),UPPER(TEXT(EDATE($D153,Milestones!$AA$133),"dd mmm yy"))&amp;" "&amp;Milestones!$AB$133&amp;" "&amp;Milestones!$AC$133&amp;";  ","")&amp;IF(AND(EDATE($D153,Milestones!$AA$134)&lt;=AsOfDate,IF($R153=0,$X153,IF(AND($T153&lt;&gt;"",EDATE($D153,Milestones!$AA$134)&gt;=$T153),$W153,IF(AND($S153&lt;&gt;"",EDATE($D153,Milestones!$AA$134)&gt;=$S153),$V153,$U153)))=Milestones!$AB$134),UPPER(TEXT(EDATE($D153,Milestones!$AA$134),"dd mmm yy"))&amp;" "&amp;Milestones!$AB$134&amp;" "&amp;Milestones!$AC$134&amp;";  ","")&amp;IF(AND(EDATE($D153,Milestones!$AA$135)&lt;=AsOfDate,IF($R153=0,$X153,IF(AND($T153&lt;&gt;"",EDATE($D153,Milestones!$AA$135)&gt;=$T153),$W153,IF(AND($S153&lt;&gt;"",EDATE($D153,Milestones!$AA$135)&gt;=$S153),$V153,$U153)))=Milestones!$AB$135),UPPER(TEXT(EDATE($D153,Milestones!$AA$135),"dd mmm yy"))&amp;" "&amp;Milestones!$AB$135&amp;" "&amp;Milestones!$AC$135&amp;";  ","")&amp;IF(AND(EDATE($D153,Milestones!$AA$136)&lt;=AsOfDate,IF($R153=0,$X153,IF(AND($T153&lt;&gt;"",EDATE($D153,Milestones!$AA$136)&gt;=$T153),$W153,IF(AND($S153&lt;&gt;"",EDATE($D153,Milestones!$AA$136)&gt;=$S153),$V153,$U153)))=Milestones!$AB$136),UPPER(TEXT(EDATE($D153,Milestones!$AA$136),"dd mmm yy"))&amp;" "&amp;Milestones!$AB$136&amp;" "&amp;Milestones!$AC$136&amp;";  ","")&amp;IF(AND(EDATE($D153,Milestones!$AA$137)&lt;=AsOfDate,IF($R153=0,$X153,IF(AND($T153&lt;&gt;"",EDATE($D153,Milestones!$AA$137)&gt;=$T153),$W153,IF(AND($S153&lt;&gt;"",EDATE($D153,Milestones!$AA$137)&gt;=$S153),$V153,$U153)))=Milestones!$AB$137),UPPER(TEXT(EDATE($D153,Milestones!$AA$137),"dd mmm yy"))&amp;" "&amp;Milestones!$AB$137&amp;" "&amp;Milestones!$AC$137&amp;";  ","")&amp;IF(AND(EDATE($D153,Milestones!$AA$138)&lt;=AsOfDate,IF($R153=0,$X153,IF(AND($T153&lt;&gt;"",EDATE($D153,Milestones!$AA$138)&gt;=$T153),$W153,IF(AND($S153&lt;&gt;"",EDATE($D153,Milestones!$AA$138)&gt;=$S153),$V153,$U153)))=Milestones!$AB$138),UPPER(TEXT(EDATE($D153,Milestones!$AA$138),"dd mmm yy"))&amp;" "&amp;Milestones!$AB$138&amp;" "&amp;Milestones!$AC$138&amp;";  ","")&amp;IF(AND(EDATE($D153,Milestones!$AA$139)&lt;=AsOfDate,IF($R153=0,$X153,IF(AND($T153&lt;&gt;"",EDATE($D153,Milestones!$AA$139)&gt;=$T153),$W153,IF(AND($S153&lt;&gt;"",EDATE($D153,Milestones!$AA$139)&gt;=$S153),$V153,$U153)))=Milestones!$AB$139),UPPER(TEXT(EDATE($D153,Milestones!$AA$139),"dd mmm yy"))&amp;" "&amp;Milestones!$AB$139&amp;" "&amp;Milestones!$AC$139&amp;";  ",""))</f>
        <v/>
      </c>
      <c r="O153" s="0" t="str">
        <f aca="false">IF(OR($A153="",$D153=""),"",IF(AND(EDATE($D153,Milestones!$AA$140)&lt;=AsOfDate,IF($R153=0,$X153,IF(AND($T153&lt;&gt;"",EDATE($D153,Milestones!$AA$140)&gt;=$T153),$W153,IF(AND($S153&lt;&gt;"",EDATE($D153,Milestones!$AA$140)&gt;=$S153),$V153,$U153)))=Milestones!$AB$140),UPPER(TEXT(EDATE($D153,Milestones!$AA$140),"dd mmm yy"))&amp;" "&amp;Milestones!$AB$140&amp;" "&amp;Milestones!$AC$140&amp;";  ","")&amp;IF(AND(EDATE($D153,Milestones!$AA$141)&lt;=AsOfDate,IF($R153=0,$X153,IF(AND($T153&lt;&gt;"",EDATE($D153,Milestones!$AA$141)&gt;=$T153),$W153,IF(AND($S153&lt;&gt;"",EDATE($D153,Milestones!$AA$141)&gt;=$S153),$V153,$U153)))=Milestones!$AB$141),UPPER(TEXT(EDATE($D153,Milestones!$AA$141),"dd mmm yy"))&amp;" "&amp;Milestones!$AB$141&amp;" "&amp;Milestones!$AC$141&amp;";  ","")&amp;IF(AND(EDATE($D153,Milestones!$AA$142)&lt;=AsOfDate,IF($R153=0,$X153,IF(AND($T153&lt;&gt;"",EDATE($D153,Milestones!$AA$142)&gt;=$T153),$W153,IF(AND($S153&lt;&gt;"",EDATE($D153,Milestones!$AA$142)&gt;=$S153),$V153,$U153)))=Milestones!$AB$142),UPPER(TEXT(EDATE($D153,Milestones!$AA$142),"dd mmm yy"))&amp;" "&amp;Milestones!$AB$142&amp;" "&amp;Milestones!$AC$142&amp;";  ","")&amp;IF(AND(EDATE($D153,Milestones!$AA$143)&lt;=AsOfDate,IF($R153=0,$X153,IF(AND($T153&lt;&gt;"",EDATE($D153,Milestones!$AA$143)&gt;=$T153),$W153,IF(AND($S153&lt;&gt;"",EDATE($D153,Milestones!$AA$143)&gt;=$S153),$V153,$U153)))=Milestones!$AB$143),UPPER(TEXT(EDATE($D153,Milestones!$AA$143),"dd mmm yy"))&amp;" "&amp;Milestones!$AB$143&amp;" "&amp;Milestones!$AC$143&amp;";  ","")&amp;IF(AND(EDATE($D153,Milestones!$AA$144)&lt;=AsOfDate,IF($R153=0,$X153,IF(AND($T153&lt;&gt;"",EDATE($D153,Milestones!$AA$144)&gt;=$T153),$W153,IF(AND($S153&lt;&gt;"",EDATE($D153,Milestones!$AA$144)&gt;=$S153),$V153,$U153)))=Milestones!$AB$144),UPPER(TEXT(EDATE($D153,Milestones!$AA$144),"dd mmm yy"))&amp;" "&amp;Milestones!$AB$144&amp;" "&amp;Milestones!$AC$144&amp;";  ","")&amp;IF(AND(EDATE($D153,Milestones!$AA$145)&lt;=AsOfDate,IF($R153=0,$X153,IF(AND($T153&lt;&gt;"",EDATE($D153,Milestones!$AA$145)&gt;=$T153),$W153,IF(AND($S153&lt;&gt;"",EDATE($D153,Milestones!$AA$145)&gt;=$S153),$V153,$U153)))=Milestones!$AB$145),UPPER(TEXT(EDATE($D153,Milestones!$AA$145),"dd mmm yy"))&amp;" "&amp;Milestones!$AB$145&amp;" "&amp;Milestones!$AC$145&amp;";  ","")&amp;IF(AND(EDATE($D153,Milestones!$AA$146)&lt;=AsOfDate,IF($R153=0,$X153,IF(AND($T153&lt;&gt;"",EDATE($D153,Milestones!$AA$146)&gt;=$T153),$W153,IF(AND($S153&lt;&gt;"",EDATE($D153,Milestones!$AA$146)&gt;=$S153),$V153,$U153)))=Milestones!$AB$146),UPPER(TEXT(EDATE($D153,Milestones!$AA$146),"dd mmm yy"))&amp;" "&amp;Milestones!$AB$146&amp;" "&amp;Milestones!$AC$146&amp;";  ","")&amp;IF(AND(EDATE($D153,Milestones!$AA$147)&lt;=AsOfDate,IF($R153=0,$X153,IF(AND($T153&lt;&gt;"",EDATE($D153,Milestones!$AA$147)&gt;=$T153),$W153,IF(AND($S153&lt;&gt;"",EDATE($D153,Milestones!$AA$147)&gt;=$S153),$V153,$U153)))=Milestones!$AB$147),UPPER(TEXT(EDATE($D153,Milestones!$AA$147),"dd mmm yy"))&amp;" "&amp;Milestones!$AB$147&amp;" "&amp;Milestones!$AC$147&amp;";  ","")&amp;IF(AND(EDATE($D153,Milestones!$AA$148)&lt;=AsOfDate,IF($R153=0,$X153,IF(AND($T153&lt;&gt;"",EDATE($D153,Milestones!$AA$148)&gt;=$T153),$W153,IF(AND($S153&lt;&gt;"",EDATE($D153,Milestones!$AA$148)&gt;=$S153),$V153,$U153)))=Milestones!$AB$148),UPPER(TEXT(EDATE($D153,Milestones!$AA$148),"dd mmm yy"))&amp;" "&amp;Milestones!$AB$148&amp;" "&amp;Milestones!$AC$148&amp;";  ","")&amp;IF(AND(EDATE($D153,Milestones!$AA$149)&lt;=AsOfDate,IF($R153=0,$X153,IF(AND($T153&lt;&gt;"",EDATE($D153,Milestones!$AA$149)&gt;=$T153),$W153,IF(AND($S153&lt;&gt;"",EDATE($D153,Milestones!$AA$149)&gt;=$S153),$V153,$U153)))=Milestones!$AB$149),UPPER(TEXT(EDATE($D153,Milestones!$AA$149),"dd mmm yy"))&amp;" "&amp;Milestones!$AB$149&amp;" "&amp;Milestones!$AC$149&amp;";  ","")&amp;IF(AND(EDATE($D153,Milestones!$AA$150)&lt;=AsOfDate,IF($R153=0,$X153,IF(AND($T153&lt;&gt;"",EDATE($D153,Milestones!$AA$150)&gt;=$T153),$W153,IF(AND($S153&lt;&gt;"",EDATE($D153,Milestones!$AA$150)&gt;=$S153),$V153,$U153)))=Milestones!$AB$150),UPPER(TEXT(EDATE($D153,Milestones!$AA$150),"dd mmm yy"))&amp;" "&amp;Milestones!$AB$150&amp;" "&amp;Milestones!$AC$150&amp;";  ","")&amp;IF(AND(EDATE($D153,Milestones!$AA$151)&lt;=AsOfDate,IF($R153=0,$X153,IF(AND($T153&lt;&gt;"",EDATE($D153,Milestones!$AA$151)&gt;=$T153),$W153,IF(AND($S153&lt;&gt;"",EDATE($D153,Milestones!$AA$151)&gt;=$S153),$V153,$U153)))=Milestones!$AB$151),UPPER(TEXT(EDATE($D153,Milestones!$AA$151),"dd mmm yy"))&amp;" "&amp;Milestones!$AB$151&amp;" "&amp;Milestones!$AC$151&amp;";  ","")&amp;IF(AND(EDATE($D153,Milestones!$AA$152)&lt;=AsOfDate,IF($R153=0,$X153,IF(AND($T153&lt;&gt;"",EDATE($D153,Milestones!$AA$152)&gt;=$T153),$W153,IF(AND($S153&lt;&gt;"",EDATE($D153,Milestones!$AA$152)&gt;=$S153),$V153,$U153)))=Milestones!$AB$152),UPPER(TEXT(EDATE($D153,Milestones!$AA$152),"dd mmm yy"))&amp;" "&amp;Milestones!$AB$152&amp;" "&amp;Milestones!$AC$152&amp;";  ","")&amp;IF(AND(EDATE($D153,Milestones!$AA$153)&lt;=AsOfDate,IF($R153=0,$X153,IF(AND($T153&lt;&gt;"",EDATE($D153,Milestones!$AA$153)&gt;=$T153),$W153,IF(AND($S153&lt;&gt;"",EDATE($D153,Milestones!$AA$153)&gt;=$S153),$V153,$U153)))=Milestones!$AB$153),UPPER(TEXT(EDATE($D153,Milestones!$AA$153),"dd mmm yy"))&amp;" "&amp;Milestones!$AB$153&amp;" "&amp;Milestones!$AC$153&amp;";  ","")&amp;IF(AND(EDATE($D153,Milestones!$AA$154)&lt;=AsOfDate,IF($R153=0,$X153,IF(AND($T153&lt;&gt;"",EDATE($D153,Milestones!$AA$154)&gt;=$T153),$W153,IF(AND($S153&lt;&gt;"",EDATE($D153,Milestones!$AA$154)&gt;=$S153),$V153,$U153)))=Milestones!$AB$154),UPPER(TEXT(EDATE($D153,Milestones!$AA$154),"dd mmm yy"))&amp;" "&amp;Milestones!$AB$154&amp;" "&amp;Milestones!$AC$154&amp;";  ","")&amp;IF(AND(EDATE($D153,Milestones!$AA$155)&lt;=AsOfDate,IF($R153=0,$X153,IF(AND($T153&lt;&gt;"",EDATE($D153,Milestones!$AA$155)&gt;=$T153),$W153,IF(AND($S153&lt;&gt;"",EDATE($D153,Milestones!$AA$155)&gt;=$S153),$V153,$U153)))=Milestones!$AB$155),UPPER(TEXT(EDATE($D153,Milestones!$AA$155),"dd mmm yy"))&amp;" "&amp;Milestones!$AB$155&amp;" "&amp;Milestones!$AC$155&amp;";  ","")&amp;IF(AND(EDATE($D153,Milestones!$AA$156)&lt;=AsOfDate,IF($R153=0,$X153,IF(AND($T153&lt;&gt;"",EDATE($D153,Milestones!$AA$156)&gt;=$T153),$W153,IF(AND($S153&lt;&gt;"",EDATE($D153,Milestones!$AA$156)&gt;=$S153),$V153,$U153)))=Milestones!$AB$156),UPPER(TEXT(EDATE($D153,Milestones!$AA$156),"dd mmm yy"))&amp;" "&amp;Milestones!$AB$156&amp;" "&amp;Milestones!$AC$156&amp;";  ","")&amp;IF(AND(EDATE($D153,Milestones!$AA$157)&lt;=AsOfDate,IF($R153=0,$X153,IF(AND($T153&lt;&gt;"",EDATE($D153,Milestones!$AA$157)&gt;=$T153),$W153,IF(AND($S153&lt;&gt;"",EDATE($D153,Milestones!$AA$157)&gt;=$S153),$V153,$U153)))=Milestones!$AB$157),UPPER(TEXT(EDATE($D153,Milestones!$AA$157),"dd mmm yy"))&amp;" "&amp;Milestones!$AB$157&amp;" "&amp;Milestones!$AC$157&amp;";  ","")&amp;IF(AND(EDATE($D153,Milestones!$AA$158)&lt;=AsOfDate,IF($R153=0,$X153,IF(AND($T153&lt;&gt;"",EDATE($D153,Milestones!$AA$158)&gt;=$T153),$W153,IF(AND($S153&lt;&gt;"",EDATE($D153,Milestones!$AA$158)&gt;=$S153),$V153,$U153)))=Milestones!$AB$158),UPPER(TEXT(EDATE($D153,Milestones!$AA$158),"dd mmm yy"))&amp;" "&amp;Milestones!$AB$158&amp;" "&amp;Milestones!$AC$158&amp;";  ","")&amp;IF(AND(EDATE($D153,Milestones!$AA$159)&lt;=AsOfDate,IF($R153=0,$X153,IF(AND($T153&lt;&gt;"",EDATE($D153,Milestones!$AA$159)&gt;=$T153),$W153,IF(AND($S153&lt;&gt;"",EDATE($D153,Milestones!$AA$159)&gt;=$S153),$V153,$U153)))=Milestones!$AB$159),UPPER(TEXT(EDATE($D153,Milestones!$AA$159),"dd mmm yy"))&amp;" "&amp;Milestones!$AB$159&amp;" "&amp;Milestones!$AC$159&amp;";  ",""))</f>
        <v/>
      </c>
      <c r="P153" s="0" t="str">
        <f aca="false">IF(OR($A153="",$D153=""),"",IF(AND(EDATE($D153,Milestones!$AA$160)&lt;=AsOfDate,IF($R153=0,$X153,IF(AND($T153&lt;&gt;"",EDATE($D153,Milestones!$AA$160)&gt;=$T153),$W153,IF(AND($S153&lt;&gt;"",EDATE($D153,Milestones!$AA$160)&gt;=$S153),$V153,$U153)))=Milestones!$AB$160),UPPER(TEXT(EDATE($D153,Milestones!$AA$160),"dd mmm yy"))&amp;" "&amp;Milestones!$AB$160&amp;" "&amp;Milestones!$AC$160&amp;";  ","")&amp;IF(AND(EDATE($D153,Milestones!$AA$161)&lt;=AsOfDate,IF($R153=0,$X153,IF(AND($T153&lt;&gt;"",EDATE($D153,Milestones!$AA$161)&gt;=$T153),$W153,IF(AND($S153&lt;&gt;"",EDATE($D153,Milestones!$AA$161)&gt;=$S153),$V153,$U153)))=Milestones!$AB$161),UPPER(TEXT(EDATE($D153,Milestones!$AA$161),"dd mmm yy"))&amp;" "&amp;Milestones!$AB$161&amp;" "&amp;Milestones!$AC$161&amp;";  ","")&amp;IF(AND(EDATE($D153,Milestones!$AA$162)&lt;=AsOfDate,IF($R153=0,$X153,IF(AND($T153&lt;&gt;"",EDATE($D153,Milestones!$AA$162)&gt;=$T153),$W153,IF(AND($S153&lt;&gt;"",EDATE($D153,Milestones!$AA$162)&gt;=$S153),$V153,$U153)))=Milestones!$AB$162),UPPER(TEXT(EDATE($D153,Milestones!$AA$162),"dd mmm yy"))&amp;" "&amp;Milestones!$AB$162&amp;" "&amp;Milestones!$AC$162&amp;";  ","")&amp;IF(AND(EDATE($D153,Milestones!$AA$163)&lt;=AsOfDate,IF($R153=0,$X153,IF(AND($T153&lt;&gt;"",EDATE($D153,Milestones!$AA$163)&gt;=$T153),$W153,IF(AND($S153&lt;&gt;"",EDATE($D153,Milestones!$AA$163)&gt;=$S153),$V153,$U153)))=Milestones!$AB$163),UPPER(TEXT(EDATE($D153,Milestones!$AA$163),"dd mmm yy"))&amp;" "&amp;Milestones!$AB$163&amp;" "&amp;Milestones!$AC$163&amp;";  ","")&amp;IF(AND(EDATE($D153,Milestones!$AA$164)&lt;=AsOfDate,IF($R153=0,$X153,IF(AND($T153&lt;&gt;"",EDATE($D153,Milestones!$AA$164)&gt;=$T153),$W153,IF(AND($S153&lt;&gt;"",EDATE($D153,Milestones!$AA$164)&gt;=$S153),$V153,$U153)))=Milestones!$AB$164),UPPER(TEXT(EDATE($D153,Milestones!$AA$164),"dd mmm yy"))&amp;" "&amp;Milestones!$AB$164&amp;" "&amp;Milestones!$AC$164&amp;";  ","")&amp;IF(AND(EDATE($D153,Milestones!$AA$165)&lt;=AsOfDate,IF($R153=0,$X153,IF(AND($T153&lt;&gt;"",EDATE($D153,Milestones!$AA$165)&gt;=$T153),$W153,IF(AND($S153&lt;&gt;"",EDATE($D153,Milestones!$AA$165)&gt;=$S153),$V153,$U153)))=Milestones!$AB$165),UPPER(TEXT(EDATE($D153,Milestones!$AA$165),"dd mmm yy"))&amp;" "&amp;Milestones!$AB$165&amp;" "&amp;Milestones!$AC$165&amp;";  ","")&amp;IF(AND(EDATE($D153,Milestones!$AA$166)&lt;=AsOfDate,IF($R153=0,$X153,IF(AND($T153&lt;&gt;"",EDATE($D153,Milestones!$AA$166)&gt;=$T153),$W153,IF(AND($S153&lt;&gt;"",EDATE($D153,Milestones!$AA$166)&gt;=$S153),$V153,$U153)))=Milestones!$AB$166),UPPER(TEXT(EDATE($D153,Milestones!$AA$166),"dd mmm yy"))&amp;" "&amp;Milestones!$AB$166&amp;" "&amp;Milestones!$AC$166&amp;";  ","")&amp;IF(AND(EDATE($D153,Milestones!$AA$167)&lt;=AsOfDate,IF($R153=0,$X153,IF(AND($T153&lt;&gt;"",EDATE($D153,Milestones!$AA$167)&gt;=$T153),$W153,IF(AND($S153&lt;&gt;"",EDATE($D153,Milestones!$AA$167)&gt;=$S153),$V153,$U153)))=Milestones!$AB$167),UPPER(TEXT(EDATE($D153,Milestones!$AA$167),"dd mmm yy"))&amp;" "&amp;Milestones!$AB$167&amp;" "&amp;Milestones!$AC$167&amp;";  ","")&amp;IF(AND(EDATE($D153,Milestones!$AA$168)&lt;=AsOfDate,IF($R153=0,$X153,IF(AND($T153&lt;&gt;"",EDATE($D153,Milestones!$AA$168)&gt;=$T153),$W153,IF(AND($S153&lt;&gt;"",EDATE($D153,Milestones!$AA$168)&gt;=$S153),$V153,$U153)))=Milestones!$AB$168),UPPER(TEXT(EDATE($D153,Milestones!$AA$168),"dd mmm yy"))&amp;" "&amp;Milestones!$AB$168&amp;" "&amp;Milestones!$AC$168&amp;";  ","")&amp;IF(AND(EDATE($D153,Milestones!$AA$169)&lt;=AsOfDate,IF($R153=0,$X153,IF(AND($T153&lt;&gt;"",EDATE($D153,Milestones!$AA$169)&gt;=$T153),$W153,IF(AND($S153&lt;&gt;"",EDATE($D153,Milestones!$AA$169)&gt;=$S153),$V153,$U153)))=Milestones!$AB$169),UPPER(TEXT(EDATE($D153,Milestones!$AA$169),"dd mmm yy"))&amp;" "&amp;Milestones!$AB$169&amp;" "&amp;Milestones!$AC$169&amp;";  ","")&amp;IF(AND(EDATE($D153,Milestones!$AA$170)&lt;=AsOfDate,IF($R153=0,$X153,IF(AND($T153&lt;&gt;"",EDATE($D153,Milestones!$AA$170)&gt;=$T153),$W153,IF(AND($S153&lt;&gt;"",EDATE($D153,Milestones!$AA$170)&gt;=$S153),$V153,$U153)))=Milestones!$AB$170),UPPER(TEXT(EDATE($D153,Milestones!$AA$170),"dd mmm yy"))&amp;" "&amp;Milestones!$AB$170&amp;" "&amp;Milestones!$AC$170&amp;";  ","")&amp;IF(AND(EDATE($D153,Milestones!$AA$171)&lt;=AsOfDate,IF($R153=0,$X153,IF(AND($T153&lt;&gt;"",EDATE($D153,Milestones!$AA$171)&gt;=$T153),$W153,IF(AND($S153&lt;&gt;"",EDATE($D153,Milestones!$AA$171)&gt;=$S153),$V153,$U153)))=Milestones!$AB$171),UPPER(TEXT(EDATE($D153,Milestones!$AA$171),"dd mmm yy"))&amp;" "&amp;Milestones!$AB$171&amp;" "&amp;Milestones!$AC$171&amp;";  ","")&amp;IF(AND(EDATE($D153,Milestones!$AA$172)&lt;=AsOfDate,IF($R153=0,$X153,IF(AND($T153&lt;&gt;"",EDATE($D153,Milestones!$AA$172)&gt;=$T153),$W153,IF(AND($S153&lt;&gt;"",EDATE($D153,Milestones!$AA$172)&gt;=$S153),$V153,$U153)))=Milestones!$AB$172),UPPER(TEXT(EDATE($D153,Milestones!$AA$172),"dd mmm yy"))&amp;" "&amp;Milestones!$AB$172&amp;" "&amp;Milestones!$AC$172&amp;";  ","")&amp;IF(AND(EDATE($D153,Milestones!$AA$173)&lt;=AsOfDate,IF($R153=0,$X153,IF(AND($T153&lt;&gt;"",EDATE($D153,Milestones!$AA$173)&gt;=$T153),$W153,IF(AND($S153&lt;&gt;"",EDATE($D153,Milestones!$AA$173)&gt;=$S153),$V153,$U153)))=Milestones!$AB$173),UPPER(TEXT(EDATE($D153,Milestones!$AA$173),"dd mmm yy"))&amp;" "&amp;Milestones!$AB$173&amp;" "&amp;Milestones!$AC$173&amp;";  ","")&amp;IF(AND(EDATE($D153,Milestones!$AA$174)&lt;=AsOfDate,IF($R153=0,$X153,IF(AND($T153&lt;&gt;"",EDATE($D153,Milestones!$AA$174)&gt;=$T153),$W153,IF(AND($S153&lt;&gt;"",EDATE($D153,Milestones!$AA$174)&gt;=$S153),$V153,$U153)))=Milestones!$AB$174),UPPER(TEXT(EDATE($D153,Milestones!$AA$174),"dd mmm yy"))&amp;" "&amp;Milestones!$AB$174&amp;" "&amp;Milestones!$AC$174&amp;";  ","")&amp;IF(AND(EDATE($D153,Milestones!$AA$175)&lt;=AsOfDate,IF($R153=0,$X153,IF(AND($T153&lt;&gt;"",EDATE($D153,Milestones!$AA$175)&gt;=$T153),$W153,IF(AND($S153&lt;&gt;"",EDATE($D153,Milestones!$AA$175)&gt;=$S153),$V153,$U153)))=Milestones!$AB$175),UPPER(TEXT(EDATE($D153,Milestones!$AA$175),"dd mmm yy"))&amp;" "&amp;Milestones!$AB$175&amp;" "&amp;Milestones!$AC$175&amp;";  ","")&amp;IF(AND(EDATE($D153,Milestones!$AA$176)&lt;=AsOfDate,IF($R153=0,$X153,IF(AND($T153&lt;&gt;"",EDATE($D153,Milestones!$AA$176)&gt;=$T153),$W153,IF(AND($S153&lt;&gt;"",EDATE($D153,Milestones!$AA$176)&gt;=$S153),$V153,$U153)))=Milestones!$AB$176),UPPER(TEXT(EDATE($D153,Milestones!$AA$176),"dd mmm yy"))&amp;" "&amp;Milestones!$AB$176&amp;" "&amp;Milestones!$AC$176&amp;";  ","")&amp;IF(AND(EDATE($D153,Milestones!$AA$177)&lt;=AsOfDate,IF($R153=0,$X153,IF(AND($T153&lt;&gt;"",EDATE($D153,Milestones!$AA$177)&gt;=$T153),$W153,IF(AND($S153&lt;&gt;"",EDATE($D153,Milestones!$AA$177)&gt;=$S153),$V153,$U153)))=Milestones!$AB$177),UPPER(TEXT(EDATE($D153,Milestones!$AA$177),"dd mmm yy"))&amp;" "&amp;Milestones!$AB$177&amp;" "&amp;Milestones!$AC$177&amp;";  ","")&amp;IF(AND(EDATE($D153,Milestones!$AA$178)&lt;=AsOfDate,IF($R153=0,$X153,IF(AND($T153&lt;&gt;"",EDATE($D153,Milestones!$AA$178)&gt;=$T153),$W153,IF(AND($S153&lt;&gt;"",EDATE($D153,Milestones!$AA$178)&gt;=$S153),$V153,$U153)))=Milestones!$AB$178),UPPER(TEXT(EDATE($D153,Milestones!$AA$178),"dd mmm yy"))&amp;" "&amp;Milestones!$AB$178&amp;" "&amp;Milestones!$AC$178&amp;";  ","")&amp;IF(AND(EDATE($D153,Milestones!$AA$179)&lt;=AsOfDate,IF($R153=0,$X153,IF(AND($T153&lt;&gt;"",EDATE($D153,Milestones!$AA$179)&gt;=$T153),$W153,IF(AND($S153&lt;&gt;"",EDATE($D153,Milestones!$AA$179)&gt;=$S153),$V153,$U153)))=Milestones!$AB$179),UPPER(TEXT(EDATE($D153,Milestones!$AA$179),"dd mmm yy"))&amp;" "&amp;Milestones!$AB$179&amp;" "&amp;Milestones!$AC$179&amp;";  ",""))</f>
        <v/>
      </c>
      <c r="Q153" s="0" t="str">
        <f aca="false">IF(OR($A153="",$D153=""),"",IF(AND(EDATE($D153,Milestones!$AA$180)&lt;=AsOfDate,IF($R153=0,$X153,IF(AND($T153&lt;&gt;"",EDATE($D153,Milestones!$AA$180)&gt;=$T153),$W153,IF(AND($S153&lt;&gt;"",EDATE($D153,Milestones!$AA$180)&gt;=$S153),$V153,$U153)))=Milestones!$AB$180),UPPER(TEXT(EDATE($D153,Milestones!$AA$180),"dd mmm yy"))&amp;" "&amp;Milestones!$AB$180&amp;" "&amp;Milestones!$AC$180&amp;";  ","")&amp;IF(AND(EDATE($D153,Milestones!$AA$181)&lt;=AsOfDate,IF($R153=0,$X153,IF(AND($T153&lt;&gt;"",EDATE($D153,Milestones!$AA$181)&gt;=$T153),$W153,IF(AND($S153&lt;&gt;"",EDATE($D153,Milestones!$AA$181)&gt;=$S153),$V153,$U153)))=Milestones!$AB$181),UPPER(TEXT(EDATE($D153,Milestones!$AA$181),"dd mmm yy"))&amp;" "&amp;Milestones!$AB$181&amp;" "&amp;Milestones!$AC$181&amp;";  ","")&amp;IF(AND(EDATE($D153,Milestones!$AA$182)&lt;=AsOfDate,IF($R153=0,$X153,IF(AND($T153&lt;&gt;"",EDATE($D153,Milestones!$AA$182)&gt;=$T153),$W153,IF(AND($S153&lt;&gt;"",EDATE($D153,Milestones!$AA$182)&gt;=$S153),$V153,$U153)))=Milestones!$AB$182),UPPER(TEXT(EDATE($D153,Milestones!$AA$182),"dd mmm yy"))&amp;" "&amp;Milestones!$AB$182&amp;" "&amp;Milestones!$AC$182&amp;";  ","")&amp;IF(AND(EDATE($D153,Milestones!$AA$183)&lt;=AsOfDate,IF($R153=0,$X153,IF(AND($T153&lt;&gt;"",EDATE($D153,Milestones!$AA$183)&gt;=$T153),$W153,IF(AND($S153&lt;&gt;"",EDATE($D153,Milestones!$AA$183)&gt;=$S153),$V153,$U153)))=Milestones!$AB$183),UPPER(TEXT(EDATE($D153,Milestones!$AA$183),"dd mmm yy"))&amp;" "&amp;Milestones!$AB$183&amp;" "&amp;Milestones!$AC$183&amp;";  ","")&amp;IF(AND(EDATE($D153,Milestones!$AA$184)&lt;=AsOfDate,IF($R153=0,$X153,IF(AND($T153&lt;&gt;"",EDATE($D153,Milestones!$AA$184)&gt;=$T153),$W153,IF(AND($S153&lt;&gt;"",EDATE($D153,Milestones!$AA$184)&gt;=$S153),$V153,$U153)))=Milestones!$AB$184),UPPER(TEXT(EDATE($D153,Milestones!$AA$184),"dd mmm yy"))&amp;" "&amp;Milestones!$AB$184&amp;" "&amp;Milestones!$AC$184&amp;";  ","")&amp;IF(AND(EDATE($D153,Milestones!$AA$185)&lt;=AsOfDate,IF($R153=0,$X153,IF(AND($T153&lt;&gt;"",EDATE($D153,Milestones!$AA$185)&gt;=$T153),$W153,IF(AND($S153&lt;&gt;"",EDATE($D153,Milestones!$AA$185)&gt;=$S153),$V153,$U153)))=Milestones!$AB$185),UPPER(TEXT(EDATE($D153,Milestones!$AA$185),"dd mmm yy"))&amp;" "&amp;Milestones!$AB$185&amp;" "&amp;Milestones!$AC$185&amp;";  ","")&amp;IF(AND(EDATE($D153,Milestones!$AA$186)&lt;=AsOfDate,IF($R153=0,$X153,IF(AND($T153&lt;&gt;"",EDATE($D153,Milestones!$AA$186)&gt;=$T153),$W153,IF(AND($S153&lt;&gt;"",EDATE($D153,Milestones!$AA$186)&gt;=$S153),$V153,$U153)))=Milestones!$AB$186),UPPER(TEXT(EDATE($D153,Milestones!$AA$186),"dd mmm yy"))&amp;" "&amp;Milestones!$AB$186&amp;" "&amp;Milestones!$AC$186&amp;";  ","")&amp;IF(AND(EDATE($D153,Milestones!$AA$187)&lt;=AsOfDate,IF($R153=0,$X153,IF(AND($T153&lt;&gt;"",EDATE($D153,Milestones!$AA$187)&gt;=$T153),$W153,IF(AND($S153&lt;&gt;"",EDATE($D153,Milestones!$AA$187)&gt;=$S153),$V153,$U153)))=Milestones!$AB$187),UPPER(TEXT(EDATE($D153,Milestones!$AA$187),"dd mmm yy"))&amp;" "&amp;Milestones!$AB$187&amp;" "&amp;Milestones!$AC$187&amp;";  ","")&amp;IF(AND(EDATE($D153,Milestones!$AA$188)&lt;=AsOfDate,IF($R153=0,$X153,IF(AND($T153&lt;&gt;"",EDATE($D153,Milestones!$AA$188)&gt;=$T153),$W153,IF(AND($S153&lt;&gt;"",EDATE($D153,Milestones!$AA$188)&gt;=$S153),$V153,$U153)))=Milestones!$AB$188),UPPER(TEXT(EDATE($D153,Milestones!$AA$188),"dd mmm yy"))&amp;" "&amp;Milestones!$AB$188&amp;" "&amp;Milestones!$AC$188&amp;";  ","")&amp;IF(AND(EDATE($D153,Milestones!$AA$189)&lt;=AsOfDate,IF($R153=0,$X153,IF(AND($T153&lt;&gt;"",EDATE($D153,Milestones!$AA$189)&gt;=$T153),$W153,IF(AND($S153&lt;&gt;"",EDATE($D153,Milestones!$AA$189)&gt;=$S153),$V153,$U153)))=Milestones!$AB$189),UPPER(TEXT(EDATE($D153,Milestones!$AA$189),"dd mmm yy"))&amp;" "&amp;Milestones!$AB$189&amp;" "&amp;Milestones!$AC$189&amp;";  ","")&amp;IF(AND(EDATE($D153,Milestones!$AA$190)&lt;=AsOfDate,IF($R153=0,$X153,IF(AND($T153&lt;&gt;"",EDATE($D153,Milestones!$AA$190)&gt;=$T153),$W153,IF(AND($S153&lt;&gt;"",EDATE($D153,Milestones!$AA$190)&gt;=$S153),$V153,$U153)))=Milestones!$AB$190),UPPER(TEXT(EDATE($D153,Milestones!$AA$190),"dd mmm yy"))&amp;" "&amp;Milestones!$AB$190&amp;" "&amp;Milestones!$AC$190&amp;";  ","")&amp;IF(AND(EDATE($D153,Milestones!$AA$191)&lt;=AsOfDate,IF($R153=0,$X153,IF(AND($T153&lt;&gt;"",EDATE($D153,Milestones!$AA$191)&gt;=$T153),$W153,IF(AND($S153&lt;&gt;"",EDATE($D153,Milestones!$AA$191)&gt;=$S153),$V153,$U153)))=Milestones!$AB$191),UPPER(TEXT(EDATE($D153,Milestones!$AA$191),"dd mmm yy"))&amp;" "&amp;Milestones!$AB$191&amp;" "&amp;Milestones!$AC$191&amp;";  ","")&amp;IF(AND(EDATE($D153,Milestones!$AA$192)&lt;=AsOfDate,IF($R153=0,$X153,IF(AND($T153&lt;&gt;"",EDATE($D153,Milestones!$AA$192)&gt;=$T153),$W153,IF(AND($S153&lt;&gt;"",EDATE($D153,Milestones!$AA$192)&gt;=$S153),$V153,$U153)))=Milestones!$AB$192),UPPER(TEXT(EDATE($D153,Milestones!$AA$192),"dd mmm yy"))&amp;" "&amp;Milestones!$AB$192&amp;" "&amp;Milestones!$AC$192&amp;";  ","")&amp;IF(AND(EDATE($D153,Milestones!$AA$193)&lt;=AsOfDate,IF($R153=0,$X153,IF(AND($T153&lt;&gt;"",EDATE($D153,Milestones!$AA$193)&gt;=$T153),$W153,IF(AND($S153&lt;&gt;"",EDATE($D153,Milestones!$AA$193)&gt;=$S153),$V153,$U153)))=Milestones!$AB$193),UPPER(TEXT(EDATE($D153,Milestones!$AA$193),"dd mmm yy"))&amp;" "&amp;Milestones!$AB$193&amp;" "&amp;Milestones!$AC$193&amp;";  ","")&amp;IF(AND(EDATE($D153,Milestones!$AA$194)&lt;=AsOfDate,IF($R153=0,$X153,IF(AND($T153&lt;&gt;"",EDATE($D153,Milestones!$AA$194)&gt;=$T153),$W153,IF(AND($S153&lt;&gt;"",EDATE($D153,Milestones!$AA$194)&gt;=$S153),$V153,$U153)))=Milestones!$AB$194),UPPER(TEXT(EDATE($D153,Milestones!$AA$194),"dd mmm yy"))&amp;" "&amp;Milestones!$AB$194&amp;" "&amp;Milestones!$AC$194&amp;";  ","")&amp;IF(AND(EDATE($D153,Milestones!$AA$195)&lt;=AsOfDate,IF($R153=0,$X153,IF(AND($T153&lt;&gt;"",EDATE($D153,Milestones!$AA$195)&gt;=$T153),$W153,IF(AND($S153&lt;&gt;"",EDATE($D153,Milestones!$AA$195)&gt;=$S153),$V153,$U153)))=Milestones!$AB$195),UPPER(TEXT(EDATE($D153,Milestones!$AA$195),"dd mmm yy"))&amp;" "&amp;Milestones!$AB$195&amp;" "&amp;Milestones!$AC$195&amp;";  ","")&amp;IF(AND(EDATE($D153,Milestones!$AA$196)&lt;=AsOfDate,IF($R153=0,$X153,IF(AND($T153&lt;&gt;"",EDATE($D153,Milestones!$AA$196)&gt;=$T153),$W153,IF(AND($S153&lt;&gt;"",EDATE($D153,Milestones!$AA$196)&gt;=$S153),$V153,$U153)))=Milestones!$AB$196),UPPER(TEXT(EDATE($D153,Milestones!$AA$196),"dd mmm yy"))&amp;" "&amp;Milestones!$AB$196&amp;" "&amp;Milestones!$AC$196&amp;";  ","")&amp;IF(AND(EDATE($D153,Milestones!$AA$197)&lt;=AsOfDate,IF($R153=0,$X153,IF(AND($T153&lt;&gt;"",EDATE($D153,Milestones!$AA$197)&gt;=$T153),$W153,IF(AND($S153&lt;&gt;"",EDATE($D153,Milestones!$AA$197)&gt;=$S153),$V153,$U153)))=Milestones!$AB$197),UPPER(TEXT(EDATE($D153,Milestones!$AA$197),"dd mmm yy"))&amp;" "&amp;Milestones!$AB$197&amp;" "&amp;Milestones!$AC$197&amp;";  ","")&amp;IF(AND(EDATE($D153,Milestones!$AA$198)&lt;=AsOfDate,IF($R153=0,$X153,IF(AND($T153&lt;&gt;"",EDATE($D153,Milestones!$AA$198)&gt;=$T153),$W153,IF(AND($S153&lt;&gt;"",EDATE($D153,Milestones!$AA$198)&gt;=$S153),$V153,$U153)))=Milestones!$AB$198),UPPER(TEXT(EDATE($D153,Milestones!$AA$198),"dd mmm yy"))&amp;" "&amp;Milestones!$AB$198&amp;" "&amp;Milestones!$AC$198&amp;";  ","")&amp;IF(AND(EDATE($D153,Milestones!$AA$199)&lt;=AsOfDate,IF($R153=0,$X153,IF(AND($T153&lt;&gt;"",EDATE($D153,Milestones!$AA$199)&gt;=$T153),$W153,IF(AND($S153&lt;&gt;"",EDATE($D153,Milestones!$AA$199)&gt;=$S153),$V153,$U153)))=Milestones!$AB$199),UPPER(TEXT(EDATE($D153,Milestones!$AA$199),"dd mmm yy"))&amp;" "&amp;Milestones!$AB$199&amp;" "&amp;Milestones!$AC$199&amp;";  ",""))</f>
        <v/>
      </c>
      <c r="R153" s="0" t="str">
        <f aca="false">IF(Staff!$A153="","",Staff!$AI153)</f>
        <v/>
      </c>
      <c r="S153" s="0" t="str">
        <f aca="false">IF(Staff!$A153="","",Staff!$AK153)</f>
        <v/>
      </c>
      <c r="T153" s="0" t="str">
        <f aca="false">IF(Staff!$A153="","",Staff!$AL153)</f>
        <v/>
      </c>
      <c r="U153" s="0" t="str">
        <f aca="false">IF(Staff!$A153="","",Staff!$AP153)</f>
        <v/>
      </c>
      <c r="V153" s="0" t="str">
        <f aca="false">IF(Staff!$A153="","",Staff!$AQ153)</f>
        <v/>
      </c>
      <c r="W153" s="0" t="str">
        <f aca="false">IF(Staff!$A153="","",Staff!$AR153)</f>
        <v/>
      </c>
      <c r="X153" s="0" t="str">
        <f aca="false">IF(Staff!$A153="","",Staff!$AS153)</f>
        <v/>
      </c>
    </row>
    <row r="154" customFormat="false" ht="15" hidden="false" customHeight="false" outlineLevel="0" collapsed="false">
      <c r="A154" s="19" t="str">
        <f aca="false">IF(Staff!$A154="","",Staff!$A154)</f>
        <v/>
      </c>
      <c r="B154" s="19" t="str">
        <f aca="false">IF(Staff!$A154="","",Staff!$B154)</f>
        <v/>
      </c>
      <c r="C154" s="19" t="str">
        <f aca="false">IF(Staff!$A154="","",Staff!$C154)</f>
        <v/>
      </c>
      <c r="D154" s="17" t="str">
        <f aca="false">IF(Staff!$A154="","",Staff!$AH154)</f>
        <v/>
      </c>
      <c r="E154" s="19" t="str">
        <f aca="false">IF(Staff!$A154="","",Staff!$O154)</f>
        <v/>
      </c>
      <c r="F154" s="19" t="str">
        <f aca="false">IF(E154="","",E154*HoursPerDay)</f>
        <v/>
      </c>
      <c r="G154" s="19" t="str">
        <f aca="false">IF(Staff!$A154="","",Staff!$AE154)</f>
        <v/>
      </c>
      <c r="H154" s="32" t="str">
        <f aca="false">IF($A154="","",I154&amp;J154&amp;K154&amp;L154&amp;M154&amp;N154&amp;O154&amp;P154&amp;Q154)</f>
        <v/>
      </c>
      <c r="I154" s="0" t="str">
        <f aca="false">IF(OR($A154="",$D154=""),"",IF(AND(EDATE($D154,Milestones!$AA$20)&lt;=AsOfDate,IF($R154=0,$X154,IF(AND($T154&lt;&gt;"",EDATE($D154,Milestones!$AA$20)&gt;=$T154),$W154,IF(AND($S154&lt;&gt;"",EDATE($D154,Milestones!$AA$20)&gt;=$S154),$V154,$U154)))=Milestones!$AB$20),UPPER(TEXT(EDATE($D154,Milestones!$AA$20),"dd mmm yy"))&amp;" "&amp;Milestones!$AB$20&amp;" "&amp;Milestones!$AC$20&amp;";  ","")&amp;IF(AND(EDATE($D154,Milestones!$AA$21)&lt;=AsOfDate,IF($R154=0,$X154,IF(AND($T154&lt;&gt;"",EDATE($D154,Milestones!$AA$21)&gt;=$T154),$W154,IF(AND($S154&lt;&gt;"",EDATE($D154,Milestones!$AA$21)&gt;=$S154),$V154,$U154)))=Milestones!$AB$21),UPPER(TEXT(EDATE($D154,Milestones!$AA$21),"dd mmm yy"))&amp;" "&amp;Milestones!$AB$21&amp;" "&amp;Milestones!$AC$21&amp;";  ","")&amp;IF(AND(EDATE($D154,Milestones!$AA$22)&lt;=AsOfDate,IF($R154=0,$X154,IF(AND($T154&lt;&gt;"",EDATE($D154,Milestones!$AA$22)&gt;=$T154),$W154,IF(AND($S154&lt;&gt;"",EDATE($D154,Milestones!$AA$22)&gt;=$S154),$V154,$U154)))=Milestones!$AB$22),UPPER(TEXT(EDATE($D154,Milestones!$AA$22),"dd mmm yy"))&amp;" "&amp;Milestones!$AB$22&amp;" "&amp;Milestones!$AC$22&amp;";  ","")&amp;IF(AND(EDATE($D154,Milestones!$AA$23)&lt;=AsOfDate,IF($R154=0,$X154,IF(AND($T154&lt;&gt;"",EDATE($D154,Milestones!$AA$23)&gt;=$T154),$W154,IF(AND($S154&lt;&gt;"",EDATE($D154,Milestones!$AA$23)&gt;=$S154),$V154,$U154)))=Milestones!$AB$23),UPPER(TEXT(EDATE($D154,Milestones!$AA$23),"dd mmm yy"))&amp;" "&amp;Milestones!$AB$23&amp;" "&amp;Milestones!$AC$23&amp;";  ","")&amp;IF(AND(EDATE($D154,Milestones!$AA$24)&lt;=AsOfDate,IF($R154=0,$X154,IF(AND($T154&lt;&gt;"",EDATE($D154,Milestones!$AA$24)&gt;=$T154),$W154,IF(AND($S154&lt;&gt;"",EDATE($D154,Milestones!$AA$24)&gt;=$S154),$V154,$U154)))=Milestones!$AB$24),UPPER(TEXT(EDATE($D154,Milestones!$AA$24),"dd mmm yy"))&amp;" "&amp;Milestones!$AB$24&amp;" "&amp;Milestones!$AC$24&amp;";  ","")&amp;IF(AND(EDATE($D154,Milestones!$AA$25)&lt;=AsOfDate,IF($R154=0,$X154,IF(AND($T154&lt;&gt;"",EDATE($D154,Milestones!$AA$25)&gt;=$T154),$W154,IF(AND($S154&lt;&gt;"",EDATE($D154,Milestones!$AA$25)&gt;=$S154),$V154,$U154)))=Milestones!$AB$25),UPPER(TEXT(EDATE($D154,Milestones!$AA$25),"dd mmm yy"))&amp;" "&amp;Milestones!$AB$25&amp;" "&amp;Milestones!$AC$25&amp;";  ","")&amp;IF(AND(EDATE($D154,Milestones!$AA$26)&lt;=AsOfDate,IF($R154=0,$X154,IF(AND($T154&lt;&gt;"",EDATE($D154,Milestones!$AA$26)&gt;=$T154),$W154,IF(AND($S154&lt;&gt;"",EDATE($D154,Milestones!$AA$26)&gt;=$S154),$V154,$U154)))=Milestones!$AB$26),UPPER(TEXT(EDATE($D154,Milestones!$AA$26),"dd mmm yy"))&amp;" "&amp;Milestones!$AB$26&amp;" "&amp;Milestones!$AC$26&amp;";  ","")&amp;IF(AND(EDATE($D154,Milestones!$AA$27)&lt;=AsOfDate,IF($R154=0,$X154,IF(AND($T154&lt;&gt;"",EDATE($D154,Milestones!$AA$27)&gt;=$T154),$W154,IF(AND($S154&lt;&gt;"",EDATE($D154,Milestones!$AA$27)&gt;=$S154),$V154,$U154)))=Milestones!$AB$27),UPPER(TEXT(EDATE($D154,Milestones!$AA$27),"dd mmm yy"))&amp;" "&amp;Milestones!$AB$27&amp;" "&amp;Milestones!$AC$27&amp;";  ","")&amp;IF(AND(EDATE($D154,Milestones!$AA$28)&lt;=AsOfDate,IF($R154=0,$X154,IF(AND($T154&lt;&gt;"",EDATE($D154,Milestones!$AA$28)&gt;=$T154),$W154,IF(AND($S154&lt;&gt;"",EDATE($D154,Milestones!$AA$28)&gt;=$S154),$V154,$U154)))=Milestones!$AB$28),UPPER(TEXT(EDATE($D154,Milestones!$AA$28),"dd mmm yy"))&amp;" "&amp;Milestones!$AB$28&amp;" "&amp;Milestones!$AC$28&amp;";  ","")&amp;IF(AND(EDATE($D154,Milestones!$AA$29)&lt;=AsOfDate,IF($R154=0,$X154,IF(AND($T154&lt;&gt;"",EDATE($D154,Milestones!$AA$29)&gt;=$T154),$W154,IF(AND($S154&lt;&gt;"",EDATE($D154,Milestones!$AA$29)&gt;=$S154),$V154,$U154)))=Milestones!$AB$29),UPPER(TEXT(EDATE($D154,Milestones!$AA$29),"dd mmm yy"))&amp;" "&amp;Milestones!$AB$29&amp;" "&amp;Milestones!$AC$29&amp;";  ","")&amp;IF(AND(EDATE($D154,Milestones!$AA$30)&lt;=AsOfDate,IF($R154=0,$X154,IF(AND($T154&lt;&gt;"",EDATE($D154,Milestones!$AA$30)&gt;=$T154),$W154,IF(AND($S154&lt;&gt;"",EDATE($D154,Milestones!$AA$30)&gt;=$S154),$V154,$U154)))=Milestones!$AB$30),UPPER(TEXT(EDATE($D154,Milestones!$AA$30),"dd mmm yy"))&amp;" "&amp;Milestones!$AB$30&amp;" "&amp;Milestones!$AC$30&amp;";  ","")&amp;IF(AND(EDATE($D154,Milestones!$AA$31)&lt;=AsOfDate,IF($R154=0,$X154,IF(AND($T154&lt;&gt;"",EDATE($D154,Milestones!$AA$31)&gt;=$T154),$W154,IF(AND($S154&lt;&gt;"",EDATE($D154,Milestones!$AA$31)&gt;=$S154),$V154,$U154)))=Milestones!$AB$31),UPPER(TEXT(EDATE($D154,Milestones!$AA$31),"dd mmm yy"))&amp;" "&amp;Milestones!$AB$31&amp;" "&amp;Milestones!$AC$31&amp;";  ","")&amp;IF(AND(EDATE($D154,Milestones!$AA$32)&lt;=AsOfDate,IF($R154=0,$X154,IF(AND($T154&lt;&gt;"",EDATE($D154,Milestones!$AA$32)&gt;=$T154),$W154,IF(AND($S154&lt;&gt;"",EDATE($D154,Milestones!$AA$32)&gt;=$S154),$V154,$U154)))=Milestones!$AB$32),UPPER(TEXT(EDATE($D154,Milestones!$AA$32),"dd mmm yy"))&amp;" "&amp;Milestones!$AB$32&amp;" "&amp;Milestones!$AC$32&amp;";  ","")&amp;IF(AND(EDATE($D154,Milestones!$AA$33)&lt;=AsOfDate,IF($R154=0,$X154,IF(AND($T154&lt;&gt;"",EDATE($D154,Milestones!$AA$33)&gt;=$T154),$W154,IF(AND($S154&lt;&gt;"",EDATE($D154,Milestones!$AA$33)&gt;=$S154),$V154,$U154)))=Milestones!$AB$33),UPPER(TEXT(EDATE($D154,Milestones!$AA$33),"dd mmm yy"))&amp;" "&amp;Milestones!$AB$33&amp;" "&amp;Milestones!$AC$33&amp;";  ","")&amp;IF(AND(EDATE($D154,Milestones!$AA$34)&lt;=AsOfDate,IF($R154=0,$X154,IF(AND($T154&lt;&gt;"",EDATE($D154,Milestones!$AA$34)&gt;=$T154),$W154,IF(AND($S154&lt;&gt;"",EDATE($D154,Milestones!$AA$34)&gt;=$S154),$V154,$U154)))=Milestones!$AB$34),UPPER(TEXT(EDATE($D154,Milestones!$AA$34),"dd mmm yy"))&amp;" "&amp;Milestones!$AB$34&amp;" "&amp;Milestones!$AC$34&amp;";  ","")&amp;IF(AND(EDATE($D154,Milestones!$AA$35)&lt;=AsOfDate,IF($R154=0,$X154,IF(AND($T154&lt;&gt;"",EDATE($D154,Milestones!$AA$35)&gt;=$T154),$W154,IF(AND($S154&lt;&gt;"",EDATE($D154,Milestones!$AA$35)&gt;=$S154),$V154,$U154)))=Milestones!$AB$35),UPPER(TEXT(EDATE($D154,Milestones!$AA$35),"dd mmm yy"))&amp;" "&amp;Milestones!$AB$35&amp;" "&amp;Milestones!$AC$35&amp;";  ","")&amp;IF(AND(EDATE($D154,Milestones!$AA$36)&lt;=AsOfDate,IF($R154=0,$X154,IF(AND($T154&lt;&gt;"",EDATE($D154,Milestones!$AA$36)&gt;=$T154),$W154,IF(AND($S154&lt;&gt;"",EDATE($D154,Milestones!$AA$36)&gt;=$S154),$V154,$U154)))=Milestones!$AB$36),UPPER(TEXT(EDATE($D154,Milestones!$AA$36),"dd mmm yy"))&amp;" "&amp;Milestones!$AB$36&amp;" "&amp;Milestones!$AC$36&amp;";  ","")&amp;IF(AND(EDATE($D154,Milestones!$AA$37)&lt;=AsOfDate,IF($R154=0,$X154,IF(AND($T154&lt;&gt;"",EDATE($D154,Milestones!$AA$37)&gt;=$T154),$W154,IF(AND($S154&lt;&gt;"",EDATE($D154,Milestones!$AA$37)&gt;=$S154),$V154,$U154)))=Milestones!$AB$37),UPPER(TEXT(EDATE($D154,Milestones!$AA$37),"dd mmm yy"))&amp;" "&amp;Milestones!$AB$37&amp;" "&amp;Milestones!$AC$37&amp;";  ","")&amp;IF(AND(EDATE($D154,Milestones!$AA$38)&lt;=AsOfDate,IF($R154=0,$X154,IF(AND($T154&lt;&gt;"",EDATE($D154,Milestones!$AA$38)&gt;=$T154),$W154,IF(AND($S154&lt;&gt;"",EDATE($D154,Milestones!$AA$38)&gt;=$S154),$V154,$U154)))=Milestones!$AB$38),UPPER(TEXT(EDATE($D154,Milestones!$AA$38),"dd mmm yy"))&amp;" "&amp;Milestones!$AB$38&amp;" "&amp;Milestones!$AC$38&amp;";  ","")&amp;IF(AND(EDATE($D154,Milestones!$AA$39)&lt;=AsOfDate,IF($R154=0,$X154,IF(AND($T154&lt;&gt;"",EDATE($D154,Milestones!$AA$39)&gt;=$T154),$W154,IF(AND($S154&lt;&gt;"",EDATE($D154,Milestones!$AA$39)&gt;=$S154),$V154,$U154)))=Milestones!$AB$39),UPPER(TEXT(EDATE($D154,Milestones!$AA$39),"dd mmm yy"))&amp;" "&amp;Milestones!$AB$39&amp;" "&amp;Milestones!$AC$39&amp;";  ",""))</f>
        <v/>
      </c>
      <c r="J154" s="0" t="str">
        <f aca="false">IF(OR($A154="",$D154=""),"",IF(AND(EDATE($D154,Milestones!$AA$40)&lt;=AsOfDate,IF($R154=0,$X154,IF(AND($T154&lt;&gt;"",EDATE($D154,Milestones!$AA$40)&gt;=$T154),$W154,IF(AND($S154&lt;&gt;"",EDATE($D154,Milestones!$AA$40)&gt;=$S154),$V154,$U154)))=Milestones!$AB$40),UPPER(TEXT(EDATE($D154,Milestones!$AA$40),"dd mmm yy"))&amp;" "&amp;Milestones!$AB$40&amp;" "&amp;Milestones!$AC$40&amp;";  ","")&amp;IF(AND(EDATE($D154,Milestones!$AA$41)&lt;=AsOfDate,IF($R154=0,$X154,IF(AND($T154&lt;&gt;"",EDATE($D154,Milestones!$AA$41)&gt;=$T154),$W154,IF(AND($S154&lt;&gt;"",EDATE($D154,Milestones!$AA$41)&gt;=$S154),$V154,$U154)))=Milestones!$AB$41),UPPER(TEXT(EDATE($D154,Milestones!$AA$41),"dd mmm yy"))&amp;" "&amp;Milestones!$AB$41&amp;" "&amp;Milestones!$AC$41&amp;";  ","")&amp;IF(AND(EDATE($D154,Milestones!$AA$42)&lt;=AsOfDate,IF($R154=0,$X154,IF(AND($T154&lt;&gt;"",EDATE($D154,Milestones!$AA$42)&gt;=$T154),$W154,IF(AND($S154&lt;&gt;"",EDATE($D154,Milestones!$AA$42)&gt;=$S154),$V154,$U154)))=Milestones!$AB$42),UPPER(TEXT(EDATE($D154,Milestones!$AA$42),"dd mmm yy"))&amp;" "&amp;Milestones!$AB$42&amp;" "&amp;Milestones!$AC$42&amp;";  ","")&amp;IF(AND(EDATE($D154,Milestones!$AA$43)&lt;=AsOfDate,IF($R154=0,$X154,IF(AND($T154&lt;&gt;"",EDATE($D154,Milestones!$AA$43)&gt;=$T154),$W154,IF(AND($S154&lt;&gt;"",EDATE($D154,Milestones!$AA$43)&gt;=$S154),$V154,$U154)))=Milestones!$AB$43),UPPER(TEXT(EDATE($D154,Milestones!$AA$43),"dd mmm yy"))&amp;" "&amp;Milestones!$AB$43&amp;" "&amp;Milestones!$AC$43&amp;";  ","")&amp;IF(AND(EDATE($D154,Milestones!$AA$44)&lt;=AsOfDate,IF($R154=0,$X154,IF(AND($T154&lt;&gt;"",EDATE($D154,Milestones!$AA$44)&gt;=$T154),$W154,IF(AND($S154&lt;&gt;"",EDATE($D154,Milestones!$AA$44)&gt;=$S154),$V154,$U154)))=Milestones!$AB$44),UPPER(TEXT(EDATE($D154,Milestones!$AA$44),"dd mmm yy"))&amp;" "&amp;Milestones!$AB$44&amp;" "&amp;Milestones!$AC$44&amp;";  ","")&amp;IF(AND(EDATE($D154,Milestones!$AA$45)&lt;=AsOfDate,IF($R154=0,$X154,IF(AND($T154&lt;&gt;"",EDATE($D154,Milestones!$AA$45)&gt;=$T154),$W154,IF(AND($S154&lt;&gt;"",EDATE($D154,Milestones!$AA$45)&gt;=$S154),$V154,$U154)))=Milestones!$AB$45),UPPER(TEXT(EDATE($D154,Milestones!$AA$45),"dd mmm yy"))&amp;" "&amp;Milestones!$AB$45&amp;" "&amp;Milestones!$AC$45&amp;";  ","")&amp;IF(AND(EDATE($D154,Milestones!$AA$46)&lt;=AsOfDate,IF($R154=0,$X154,IF(AND($T154&lt;&gt;"",EDATE($D154,Milestones!$AA$46)&gt;=$T154),$W154,IF(AND($S154&lt;&gt;"",EDATE($D154,Milestones!$AA$46)&gt;=$S154),$V154,$U154)))=Milestones!$AB$46),UPPER(TEXT(EDATE($D154,Milestones!$AA$46),"dd mmm yy"))&amp;" "&amp;Milestones!$AB$46&amp;" "&amp;Milestones!$AC$46&amp;";  ","")&amp;IF(AND(EDATE($D154,Milestones!$AA$47)&lt;=AsOfDate,IF($R154=0,$X154,IF(AND($T154&lt;&gt;"",EDATE($D154,Milestones!$AA$47)&gt;=$T154),$W154,IF(AND($S154&lt;&gt;"",EDATE($D154,Milestones!$AA$47)&gt;=$S154),$V154,$U154)))=Milestones!$AB$47),UPPER(TEXT(EDATE($D154,Milestones!$AA$47),"dd mmm yy"))&amp;" "&amp;Milestones!$AB$47&amp;" "&amp;Milestones!$AC$47&amp;";  ","")&amp;IF(AND(EDATE($D154,Milestones!$AA$48)&lt;=AsOfDate,IF($R154=0,$X154,IF(AND($T154&lt;&gt;"",EDATE($D154,Milestones!$AA$48)&gt;=$T154),$W154,IF(AND($S154&lt;&gt;"",EDATE($D154,Milestones!$AA$48)&gt;=$S154),$V154,$U154)))=Milestones!$AB$48),UPPER(TEXT(EDATE($D154,Milestones!$AA$48),"dd mmm yy"))&amp;" "&amp;Milestones!$AB$48&amp;" "&amp;Milestones!$AC$48&amp;";  ","")&amp;IF(AND(EDATE($D154,Milestones!$AA$49)&lt;=AsOfDate,IF($R154=0,$X154,IF(AND($T154&lt;&gt;"",EDATE($D154,Milestones!$AA$49)&gt;=$T154),$W154,IF(AND($S154&lt;&gt;"",EDATE($D154,Milestones!$AA$49)&gt;=$S154),$V154,$U154)))=Milestones!$AB$49),UPPER(TEXT(EDATE($D154,Milestones!$AA$49),"dd mmm yy"))&amp;" "&amp;Milestones!$AB$49&amp;" "&amp;Milestones!$AC$49&amp;";  ","")&amp;IF(AND(EDATE($D154,Milestones!$AA$50)&lt;=AsOfDate,IF($R154=0,$X154,IF(AND($T154&lt;&gt;"",EDATE($D154,Milestones!$AA$50)&gt;=$T154),$W154,IF(AND($S154&lt;&gt;"",EDATE($D154,Milestones!$AA$50)&gt;=$S154),$V154,$U154)))=Milestones!$AB$50),UPPER(TEXT(EDATE($D154,Milestones!$AA$50),"dd mmm yy"))&amp;" "&amp;Milestones!$AB$50&amp;" "&amp;Milestones!$AC$50&amp;";  ","")&amp;IF(AND(EDATE($D154,Milestones!$AA$51)&lt;=AsOfDate,IF($R154=0,$X154,IF(AND($T154&lt;&gt;"",EDATE($D154,Milestones!$AA$51)&gt;=$T154),$W154,IF(AND($S154&lt;&gt;"",EDATE($D154,Milestones!$AA$51)&gt;=$S154),$V154,$U154)))=Milestones!$AB$51),UPPER(TEXT(EDATE($D154,Milestones!$AA$51),"dd mmm yy"))&amp;" "&amp;Milestones!$AB$51&amp;" "&amp;Milestones!$AC$51&amp;";  ","")&amp;IF(AND(EDATE($D154,Milestones!$AA$52)&lt;=AsOfDate,IF($R154=0,$X154,IF(AND($T154&lt;&gt;"",EDATE($D154,Milestones!$AA$52)&gt;=$T154),$W154,IF(AND($S154&lt;&gt;"",EDATE($D154,Milestones!$AA$52)&gt;=$S154),$V154,$U154)))=Milestones!$AB$52),UPPER(TEXT(EDATE($D154,Milestones!$AA$52),"dd mmm yy"))&amp;" "&amp;Milestones!$AB$52&amp;" "&amp;Milestones!$AC$52&amp;";  ","")&amp;IF(AND(EDATE($D154,Milestones!$AA$53)&lt;=AsOfDate,IF($R154=0,$X154,IF(AND($T154&lt;&gt;"",EDATE($D154,Milestones!$AA$53)&gt;=$T154),$W154,IF(AND($S154&lt;&gt;"",EDATE($D154,Milestones!$AA$53)&gt;=$S154),$V154,$U154)))=Milestones!$AB$53),UPPER(TEXT(EDATE($D154,Milestones!$AA$53),"dd mmm yy"))&amp;" "&amp;Milestones!$AB$53&amp;" "&amp;Milestones!$AC$53&amp;";  ","")&amp;IF(AND(EDATE($D154,Milestones!$AA$54)&lt;=AsOfDate,IF($R154=0,$X154,IF(AND($T154&lt;&gt;"",EDATE($D154,Milestones!$AA$54)&gt;=$T154),$W154,IF(AND($S154&lt;&gt;"",EDATE($D154,Milestones!$AA$54)&gt;=$S154),$V154,$U154)))=Milestones!$AB$54),UPPER(TEXT(EDATE($D154,Milestones!$AA$54),"dd mmm yy"))&amp;" "&amp;Milestones!$AB$54&amp;" "&amp;Milestones!$AC$54&amp;";  ","")&amp;IF(AND(EDATE($D154,Milestones!$AA$55)&lt;=AsOfDate,IF($R154=0,$X154,IF(AND($T154&lt;&gt;"",EDATE($D154,Milestones!$AA$55)&gt;=$T154),$W154,IF(AND($S154&lt;&gt;"",EDATE($D154,Milestones!$AA$55)&gt;=$S154),$V154,$U154)))=Milestones!$AB$55),UPPER(TEXT(EDATE($D154,Milestones!$AA$55),"dd mmm yy"))&amp;" "&amp;Milestones!$AB$55&amp;" "&amp;Milestones!$AC$55&amp;";  ","")&amp;IF(AND(EDATE($D154,Milestones!$AA$56)&lt;=AsOfDate,IF($R154=0,$X154,IF(AND($T154&lt;&gt;"",EDATE($D154,Milestones!$AA$56)&gt;=$T154),$W154,IF(AND($S154&lt;&gt;"",EDATE($D154,Milestones!$AA$56)&gt;=$S154),$V154,$U154)))=Milestones!$AB$56),UPPER(TEXT(EDATE($D154,Milestones!$AA$56),"dd mmm yy"))&amp;" "&amp;Milestones!$AB$56&amp;" "&amp;Milestones!$AC$56&amp;";  ","")&amp;IF(AND(EDATE($D154,Milestones!$AA$57)&lt;=AsOfDate,IF($R154=0,$X154,IF(AND($T154&lt;&gt;"",EDATE($D154,Milestones!$AA$57)&gt;=$T154),$W154,IF(AND($S154&lt;&gt;"",EDATE($D154,Milestones!$AA$57)&gt;=$S154),$V154,$U154)))=Milestones!$AB$57),UPPER(TEXT(EDATE($D154,Milestones!$AA$57),"dd mmm yy"))&amp;" "&amp;Milestones!$AB$57&amp;" "&amp;Milestones!$AC$57&amp;";  ","")&amp;IF(AND(EDATE($D154,Milestones!$AA$58)&lt;=AsOfDate,IF($R154=0,$X154,IF(AND($T154&lt;&gt;"",EDATE($D154,Milestones!$AA$58)&gt;=$T154),$W154,IF(AND($S154&lt;&gt;"",EDATE($D154,Milestones!$AA$58)&gt;=$S154),$V154,$U154)))=Milestones!$AB$58),UPPER(TEXT(EDATE($D154,Milestones!$AA$58),"dd mmm yy"))&amp;" "&amp;Milestones!$AB$58&amp;" "&amp;Milestones!$AC$58&amp;";  ","")&amp;IF(AND(EDATE($D154,Milestones!$AA$59)&lt;=AsOfDate,IF($R154=0,$X154,IF(AND($T154&lt;&gt;"",EDATE($D154,Milestones!$AA$59)&gt;=$T154),$W154,IF(AND($S154&lt;&gt;"",EDATE($D154,Milestones!$AA$59)&gt;=$S154),$V154,$U154)))=Milestones!$AB$59),UPPER(TEXT(EDATE($D154,Milestones!$AA$59),"dd mmm yy"))&amp;" "&amp;Milestones!$AB$59&amp;" "&amp;Milestones!$AC$59&amp;";  ",""))</f>
        <v/>
      </c>
      <c r="K154" s="0" t="str">
        <f aca="false">IF(OR($A154="",$D154=""),"",IF(AND(EDATE($D154,Milestones!$AA$60)&lt;=AsOfDate,IF($R154=0,$X154,IF(AND($T154&lt;&gt;"",EDATE($D154,Milestones!$AA$60)&gt;=$T154),$W154,IF(AND($S154&lt;&gt;"",EDATE($D154,Milestones!$AA$60)&gt;=$S154),$V154,$U154)))=Milestones!$AB$60),UPPER(TEXT(EDATE($D154,Milestones!$AA$60),"dd mmm yy"))&amp;" "&amp;Milestones!$AB$60&amp;" "&amp;Milestones!$AC$60&amp;";  ","")&amp;IF(AND(EDATE($D154,Milestones!$AA$61)&lt;=AsOfDate,IF($R154=0,$X154,IF(AND($T154&lt;&gt;"",EDATE($D154,Milestones!$AA$61)&gt;=$T154),$W154,IF(AND($S154&lt;&gt;"",EDATE($D154,Milestones!$AA$61)&gt;=$S154),$V154,$U154)))=Milestones!$AB$61),UPPER(TEXT(EDATE($D154,Milestones!$AA$61),"dd mmm yy"))&amp;" "&amp;Milestones!$AB$61&amp;" "&amp;Milestones!$AC$61&amp;";  ","")&amp;IF(AND(EDATE($D154,Milestones!$AA$62)&lt;=AsOfDate,IF($R154=0,$X154,IF(AND($T154&lt;&gt;"",EDATE($D154,Milestones!$AA$62)&gt;=$T154),$W154,IF(AND($S154&lt;&gt;"",EDATE($D154,Milestones!$AA$62)&gt;=$S154),$V154,$U154)))=Milestones!$AB$62),UPPER(TEXT(EDATE($D154,Milestones!$AA$62),"dd mmm yy"))&amp;" "&amp;Milestones!$AB$62&amp;" "&amp;Milestones!$AC$62&amp;";  ","")&amp;IF(AND(EDATE($D154,Milestones!$AA$63)&lt;=AsOfDate,IF($R154=0,$X154,IF(AND($T154&lt;&gt;"",EDATE($D154,Milestones!$AA$63)&gt;=$T154),$W154,IF(AND($S154&lt;&gt;"",EDATE($D154,Milestones!$AA$63)&gt;=$S154),$V154,$U154)))=Milestones!$AB$63),UPPER(TEXT(EDATE($D154,Milestones!$AA$63),"dd mmm yy"))&amp;" "&amp;Milestones!$AB$63&amp;" "&amp;Milestones!$AC$63&amp;";  ","")&amp;IF(AND(EDATE($D154,Milestones!$AA$64)&lt;=AsOfDate,IF($R154=0,$X154,IF(AND($T154&lt;&gt;"",EDATE($D154,Milestones!$AA$64)&gt;=$T154),$W154,IF(AND($S154&lt;&gt;"",EDATE($D154,Milestones!$AA$64)&gt;=$S154),$V154,$U154)))=Milestones!$AB$64),UPPER(TEXT(EDATE($D154,Milestones!$AA$64),"dd mmm yy"))&amp;" "&amp;Milestones!$AB$64&amp;" "&amp;Milestones!$AC$64&amp;";  ","")&amp;IF(AND(EDATE($D154,Milestones!$AA$65)&lt;=AsOfDate,IF($R154=0,$X154,IF(AND($T154&lt;&gt;"",EDATE($D154,Milestones!$AA$65)&gt;=$T154),$W154,IF(AND($S154&lt;&gt;"",EDATE($D154,Milestones!$AA$65)&gt;=$S154),$V154,$U154)))=Milestones!$AB$65),UPPER(TEXT(EDATE($D154,Milestones!$AA$65),"dd mmm yy"))&amp;" "&amp;Milestones!$AB$65&amp;" "&amp;Milestones!$AC$65&amp;";  ","")&amp;IF(AND(EDATE($D154,Milestones!$AA$66)&lt;=AsOfDate,IF($R154=0,$X154,IF(AND($T154&lt;&gt;"",EDATE($D154,Milestones!$AA$66)&gt;=$T154),$W154,IF(AND($S154&lt;&gt;"",EDATE($D154,Milestones!$AA$66)&gt;=$S154),$V154,$U154)))=Milestones!$AB$66),UPPER(TEXT(EDATE($D154,Milestones!$AA$66),"dd mmm yy"))&amp;" "&amp;Milestones!$AB$66&amp;" "&amp;Milestones!$AC$66&amp;";  ","")&amp;IF(AND(EDATE($D154,Milestones!$AA$67)&lt;=AsOfDate,IF($R154=0,$X154,IF(AND($T154&lt;&gt;"",EDATE($D154,Milestones!$AA$67)&gt;=$T154),$W154,IF(AND($S154&lt;&gt;"",EDATE($D154,Milestones!$AA$67)&gt;=$S154),$V154,$U154)))=Milestones!$AB$67),UPPER(TEXT(EDATE($D154,Milestones!$AA$67),"dd mmm yy"))&amp;" "&amp;Milestones!$AB$67&amp;" "&amp;Milestones!$AC$67&amp;";  ","")&amp;IF(AND(EDATE($D154,Milestones!$AA$68)&lt;=AsOfDate,IF($R154=0,$X154,IF(AND($T154&lt;&gt;"",EDATE($D154,Milestones!$AA$68)&gt;=$T154),$W154,IF(AND($S154&lt;&gt;"",EDATE($D154,Milestones!$AA$68)&gt;=$S154),$V154,$U154)))=Milestones!$AB$68),UPPER(TEXT(EDATE($D154,Milestones!$AA$68),"dd mmm yy"))&amp;" "&amp;Milestones!$AB$68&amp;" "&amp;Milestones!$AC$68&amp;";  ","")&amp;IF(AND(EDATE($D154,Milestones!$AA$69)&lt;=AsOfDate,IF($R154=0,$X154,IF(AND($T154&lt;&gt;"",EDATE($D154,Milestones!$AA$69)&gt;=$T154),$W154,IF(AND($S154&lt;&gt;"",EDATE($D154,Milestones!$AA$69)&gt;=$S154),$V154,$U154)))=Milestones!$AB$69),UPPER(TEXT(EDATE($D154,Milestones!$AA$69),"dd mmm yy"))&amp;" "&amp;Milestones!$AB$69&amp;" "&amp;Milestones!$AC$69&amp;";  ","")&amp;IF(AND(EDATE($D154,Milestones!$AA$70)&lt;=AsOfDate,IF($R154=0,$X154,IF(AND($T154&lt;&gt;"",EDATE($D154,Milestones!$AA$70)&gt;=$T154),$W154,IF(AND($S154&lt;&gt;"",EDATE($D154,Milestones!$AA$70)&gt;=$S154),$V154,$U154)))=Milestones!$AB$70),UPPER(TEXT(EDATE($D154,Milestones!$AA$70),"dd mmm yy"))&amp;" "&amp;Milestones!$AB$70&amp;" "&amp;Milestones!$AC$70&amp;";  ","")&amp;IF(AND(EDATE($D154,Milestones!$AA$71)&lt;=AsOfDate,IF($R154=0,$X154,IF(AND($T154&lt;&gt;"",EDATE($D154,Milestones!$AA$71)&gt;=$T154),$W154,IF(AND($S154&lt;&gt;"",EDATE($D154,Milestones!$AA$71)&gt;=$S154),$V154,$U154)))=Milestones!$AB$71),UPPER(TEXT(EDATE($D154,Milestones!$AA$71),"dd mmm yy"))&amp;" "&amp;Milestones!$AB$71&amp;" "&amp;Milestones!$AC$71&amp;";  ","")&amp;IF(AND(EDATE($D154,Milestones!$AA$72)&lt;=AsOfDate,IF($R154=0,$X154,IF(AND($T154&lt;&gt;"",EDATE($D154,Milestones!$AA$72)&gt;=$T154),$W154,IF(AND($S154&lt;&gt;"",EDATE($D154,Milestones!$AA$72)&gt;=$S154),$V154,$U154)))=Milestones!$AB$72),UPPER(TEXT(EDATE($D154,Milestones!$AA$72),"dd mmm yy"))&amp;" "&amp;Milestones!$AB$72&amp;" "&amp;Milestones!$AC$72&amp;";  ","")&amp;IF(AND(EDATE($D154,Milestones!$AA$73)&lt;=AsOfDate,IF($R154=0,$X154,IF(AND($T154&lt;&gt;"",EDATE($D154,Milestones!$AA$73)&gt;=$T154),$W154,IF(AND($S154&lt;&gt;"",EDATE($D154,Milestones!$AA$73)&gt;=$S154),$V154,$U154)))=Milestones!$AB$73),UPPER(TEXT(EDATE($D154,Milestones!$AA$73),"dd mmm yy"))&amp;" "&amp;Milestones!$AB$73&amp;" "&amp;Milestones!$AC$73&amp;";  ","")&amp;IF(AND(EDATE($D154,Milestones!$AA$74)&lt;=AsOfDate,IF($R154=0,$X154,IF(AND($T154&lt;&gt;"",EDATE($D154,Milestones!$AA$74)&gt;=$T154),$W154,IF(AND($S154&lt;&gt;"",EDATE($D154,Milestones!$AA$74)&gt;=$S154),$V154,$U154)))=Milestones!$AB$74),UPPER(TEXT(EDATE($D154,Milestones!$AA$74),"dd mmm yy"))&amp;" "&amp;Milestones!$AB$74&amp;" "&amp;Milestones!$AC$74&amp;";  ","")&amp;IF(AND(EDATE($D154,Milestones!$AA$75)&lt;=AsOfDate,IF($R154=0,$X154,IF(AND($T154&lt;&gt;"",EDATE($D154,Milestones!$AA$75)&gt;=$T154),$W154,IF(AND($S154&lt;&gt;"",EDATE($D154,Milestones!$AA$75)&gt;=$S154),$V154,$U154)))=Milestones!$AB$75),UPPER(TEXT(EDATE($D154,Milestones!$AA$75),"dd mmm yy"))&amp;" "&amp;Milestones!$AB$75&amp;" "&amp;Milestones!$AC$75&amp;";  ","")&amp;IF(AND(EDATE($D154,Milestones!$AA$76)&lt;=AsOfDate,IF($R154=0,$X154,IF(AND($T154&lt;&gt;"",EDATE($D154,Milestones!$AA$76)&gt;=$T154),$W154,IF(AND($S154&lt;&gt;"",EDATE($D154,Milestones!$AA$76)&gt;=$S154),$V154,$U154)))=Milestones!$AB$76),UPPER(TEXT(EDATE($D154,Milestones!$AA$76),"dd mmm yy"))&amp;" "&amp;Milestones!$AB$76&amp;" "&amp;Milestones!$AC$76&amp;";  ","")&amp;IF(AND(EDATE($D154,Milestones!$AA$77)&lt;=AsOfDate,IF($R154=0,$X154,IF(AND($T154&lt;&gt;"",EDATE($D154,Milestones!$AA$77)&gt;=$T154),$W154,IF(AND($S154&lt;&gt;"",EDATE($D154,Milestones!$AA$77)&gt;=$S154),$V154,$U154)))=Milestones!$AB$77),UPPER(TEXT(EDATE($D154,Milestones!$AA$77),"dd mmm yy"))&amp;" "&amp;Milestones!$AB$77&amp;" "&amp;Milestones!$AC$77&amp;";  ","")&amp;IF(AND(EDATE($D154,Milestones!$AA$78)&lt;=AsOfDate,IF($R154=0,$X154,IF(AND($T154&lt;&gt;"",EDATE($D154,Milestones!$AA$78)&gt;=$T154),$W154,IF(AND($S154&lt;&gt;"",EDATE($D154,Milestones!$AA$78)&gt;=$S154),$V154,$U154)))=Milestones!$AB$78),UPPER(TEXT(EDATE($D154,Milestones!$AA$78),"dd mmm yy"))&amp;" "&amp;Milestones!$AB$78&amp;" "&amp;Milestones!$AC$78&amp;";  ","")&amp;IF(AND(EDATE($D154,Milestones!$AA$79)&lt;=AsOfDate,IF($R154=0,$X154,IF(AND($T154&lt;&gt;"",EDATE($D154,Milestones!$AA$79)&gt;=$T154),$W154,IF(AND($S154&lt;&gt;"",EDATE($D154,Milestones!$AA$79)&gt;=$S154),$V154,$U154)))=Milestones!$AB$79),UPPER(TEXT(EDATE($D154,Milestones!$AA$79),"dd mmm yy"))&amp;" "&amp;Milestones!$AB$79&amp;" "&amp;Milestones!$AC$79&amp;";  ",""))</f>
        <v/>
      </c>
      <c r="L154" s="0" t="str">
        <f aca="false">IF(OR($A154="",$D154=""),"",IF(AND(EDATE($D154,Milestones!$AA$80)&lt;=AsOfDate,IF($R154=0,$X154,IF(AND($T154&lt;&gt;"",EDATE($D154,Milestones!$AA$80)&gt;=$T154),$W154,IF(AND($S154&lt;&gt;"",EDATE($D154,Milestones!$AA$80)&gt;=$S154),$V154,$U154)))=Milestones!$AB$80),UPPER(TEXT(EDATE($D154,Milestones!$AA$80),"dd mmm yy"))&amp;" "&amp;Milestones!$AB$80&amp;" "&amp;Milestones!$AC$80&amp;";  ","")&amp;IF(AND(EDATE($D154,Milestones!$AA$81)&lt;=AsOfDate,IF($R154=0,$X154,IF(AND($T154&lt;&gt;"",EDATE($D154,Milestones!$AA$81)&gt;=$T154),$W154,IF(AND($S154&lt;&gt;"",EDATE($D154,Milestones!$AA$81)&gt;=$S154),$V154,$U154)))=Milestones!$AB$81),UPPER(TEXT(EDATE($D154,Milestones!$AA$81),"dd mmm yy"))&amp;" "&amp;Milestones!$AB$81&amp;" "&amp;Milestones!$AC$81&amp;";  ","")&amp;IF(AND(EDATE($D154,Milestones!$AA$82)&lt;=AsOfDate,IF($R154=0,$X154,IF(AND($T154&lt;&gt;"",EDATE($D154,Milestones!$AA$82)&gt;=$T154),$W154,IF(AND($S154&lt;&gt;"",EDATE($D154,Milestones!$AA$82)&gt;=$S154),$V154,$U154)))=Milestones!$AB$82),UPPER(TEXT(EDATE($D154,Milestones!$AA$82),"dd mmm yy"))&amp;" "&amp;Milestones!$AB$82&amp;" "&amp;Milestones!$AC$82&amp;";  ","")&amp;IF(AND(EDATE($D154,Milestones!$AA$83)&lt;=AsOfDate,IF($R154=0,$X154,IF(AND($T154&lt;&gt;"",EDATE($D154,Milestones!$AA$83)&gt;=$T154),$W154,IF(AND($S154&lt;&gt;"",EDATE($D154,Milestones!$AA$83)&gt;=$S154),$V154,$U154)))=Milestones!$AB$83),UPPER(TEXT(EDATE($D154,Milestones!$AA$83),"dd mmm yy"))&amp;" "&amp;Milestones!$AB$83&amp;" "&amp;Milestones!$AC$83&amp;";  ","")&amp;IF(AND(EDATE($D154,Milestones!$AA$84)&lt;=AsOfDate,IF($R154=0,$X154,IF(AND($T154&lt;&gt;"",EDATE($D154,Milestones!$AA$84)&gt;=$T154),$W154,IF(AND($S154&lt;&gt;"",EDATE($D154,Milestones!$AA$84)&gt;=$S154),$V154,$U154)))=Milestones!$AB$84),UPPER(TEXT(EDATE($D154,Milestones!$AA$84),"dd mmm yy"))&amp;" "&amp;Milestones!$AB$84&amp;" "&amp;Milestones!$AC$84&amp;";  ","")&amp;IF(AND(EDATE($D154,Milestones!$AA$85)&lt;=AsOfDate,IF($R154=0,$X154,IF(AND($T154&lt;&gt;"",EDATE($D154,Milestones!$AA$85)&gt;=$T154),$W154,IF(AND($S154&lt;&gt;"",EDATE($D154,Milestones!$AA$85)&gt;=$S154),$V154,$U154)))=Milestones!$AB$85),UPPER(TEXT(EDATE($D154,Milestones!$AA$85),"dd mmm yy"))&amp;" "&amp;Milestones!$AB$85&amp;" "&amp;Milestones!$AC$85&amp;";  ","")&amp;IF(AND(EDATE($D154,Milestones!$AA$86)&lt;=AsOfDate,IF($R154=0,$X154,IF(AND($T154&lt;&gt;"",EDATE($D154,Milestones!$AA$86)&gt;=$T154),$W154,IF(AND($S154&lt;&gt;"",EDATE($D154,Milestones!$AA$86)&gt;=$S154),$V154,$U154)))=Milestones!$AB$86),UPPER(TEXT(EDATE($D154,Milestones!$AA$86),"dd mmm yy"))&amp;" "&amp;Milestones!$AB$86&amp;" "&amp;Milestones!$AC$86&amp;";  ","")&amp;IF(AND(EDATE($D154,Milestones!$AA$87)&lt;=AsOfDate,IF($R154=0,$X154,IF(AND($T154&lt;&gt;"",EDATE($D154,Milestones!$AA$87)&gt;=$T154),$W154,IF(AND($S154&lt;&gt;"",EDATE($D154,Milestones!$AA$87)&gt;=$S154),$V154,$U154)))=Milestones!$AB$87),UPPER(TEXT(EDATE($D154,Milestones!$AA$87),"dd mmm yy"))&amp;" "&amp;Milestones!$AB$87&amp;" "&amp;Milestones!$AC$87&amp;";  ","")&amp;IF(AND(EDATE($D154,Milestones!$AA$88)&lt;=AsOfDate,IF($R154=0,$X154,IF(AND($T154&lt;&gt;"",EDATE($D154,Milestones!$AA$88)&gt;=$T154),$W154,IF(AND($S154&lt;&gt;"",EDATE($D154,Milestones!$AA$88)&gt;=$S154),$V154,$U154)))=Milestones!$AB$88),UPPER(TEXT(EDATE($D154,Milestones!$AA$88),"dd mmm yy"))&amp;" "&amp;Milestones!$AB$88&amp;" "&amp;Milestones!$AC$88&amp;";  ","")&amp;IF(AND(EDATE($D154,Milestones!$AA$89)&lt;=AsOfDate,IF($R154=0,$X154,IF(AND($T154&lt;&gt;"",EDATE($D154,Milestones!$AA$89)&gt;=$T154),$W154,IF(AND($S154&lt;&gt;"",EDATE($D154,Milestones!$AA$89)&gt;=$S154),$V154,$U154)))=Milestones!$AB$89),UPPER(TEXT(EDATE($D154,Milestones!$AA$89),"dd mmm yy"))&amp;" "&amp;Milestones!$AB$89&amp;" "&amp;Milestones!$AC$89&amp;";  ","")&amp;IF(AND(EDATE($D154,Milestones!$AA$90)&lt;=AsOfDate,IF($R154=0,$X154,IF(AND($T154&lt;&gt;"",EDATE($D154,Milestones!$AA$90)&gt;=$T154),$W154,IF(AND($S154&lt;&gt;"",EDATE($D154,Milestones!$AA$90)&gt;=$S154),$V154,$U154)))=Milestones!$AB$90),UPPER(TEXT(EDATE($D154,Milestones!$AA$90),"dd mmm yy"))&amp;" "&amp;Milestones!$AB$90&amp;" "&amp;Milestones!$AC$90&amp;";  ","")&amp;IF(AND(EDATE($D154,Milestones!$AA$91)&lt;=AsOfDate,IF($R154=0,$X154,IF(AND($T154&lt;&gt;"",EDATE($D154,Milestones!$AA$91)&gt;=$T154),$W154,IF(AND($S154&lt;&gt;"",EDATE($D154,Milestones!$AA$91)&gt;=$S154),$V154,$U154)))=Milestones!$AB$91),UPPER(TEXT(EDATE($D154,Milestones!$AA$91),"dd mmm yy"))&amp;" "&amp;Milestones!$AB$91&amp;" "&amp;Milestones!$AC$91&amp;";  ","")&amp;IF(AND(EDATE($D154,Milestones!$AA$92)&lt;=AsOfDate,IF($R154=0,$X154,IF(AND($T154&lt;&gt;"",EDATE($D154,Milestones!$AA$92)&gt;=$T154),$W154,IF(AND($S154&lt;&gt;"",EDATE($D154,Milestones!$AA$92)&gt;=$S154),$V154,$U154)))=Milestones!$AB$92),UPPER(TEXT(EDATE($D154,Milestones!$AA$92),"dd mmm yy"))&amp;" "&amp;Milestones!$AB$92&amp;" "&amp;Milestones!$AC$92&amp;";  ","")&amp;IF(AND(EDATE($D154,Milestones!$AA$93)&lt;=AsOfDate,IF($R154=0,$X154,IF(AND($T154&lt;&gt;"",EDATE($D154,Milestones!$AA$93)&gt;=$T154),$W154,IF(AND($S154&lt;&gt;"",EDATE($D154,Milestones!$AA$93)&gt;=$S154),$V154,$U154)))=Milestones!$AB$93),UPPER(TEXT(EDATE($D154,Milestones!$AA$93),"dd mmm yy"))&amp;" "&amp;Milestones!$AB$93&amp;" "&amp;Milestones!$AC$93&amp;";  ","")&amp;IF(AND(EDATE($D154,Milestones!$AA$94)&lt;=AsOfDate,IF($R154=0,$X154,IF(AND($T154&lt;&gt;"",EDATE($D154,Milestones!$AA$94)&gt;=$T154),$W154,IF(AND($S154&lt;&gt;"",EDATE($D154,Milestones!$AA$94)&gt;=$S154),$V154,$U154)))=Milestones!$AB$94),UPPER(TEXT(EDATE($D154,Milestones!$AA$94),"dd mmm yy"))&amp;" "&amp;Milestones!$AB$94&amp;" "&amp;Milestones!$AC$94&amp;";  ","")&amp;IF(AND(EDATE($D154,Milestones!$AA$95)&lt;=AsOfDate,IF($R154=0,$X154,IF(AND($T154&lt;&gt;"",EDATE($D154,Milestones!$AA$95)&gt;=$T154),$W154,IF(AND($S154&lt;&gt;"",EDATE($D154,Milestones!$AA$95)&gt;=$S154),$V154,$U154)))=Milestones!$AB$95),UPPER(TEXT(EDATE($D154,Milestones!$AA$95),"dd mmm yy"))&amp;" "&amp;Milestones!$AB$95&amp;" "&amp;Milestones!$AC$95&amp;";  ","")&amp;IF(AND(EDATE($D154,Milestones!$AA$96)&lt;=AsOfDate,IF($R154=0,$X154,IF(AND($T154&lt;&gt;"",EDATE($D154,Milestones!$AA$96)&gt;=$T154),$W154,IF(AND($S154&lt;&gt;"",EDATE($D154,Milestones!$AA$96)&gt;=$S154),$V154,$U154)))=Milestones!$AB$96),UPPER(TEXT(EDATE($D154,Milestones!$AA$96),"dd mmm yy"))&amp;" "&amp;Milestones!$AB$96&amp;" "&amp;Milestones!$AC$96&amp;";  ","")&amp;IF(AND(EDATE($D154,Milestones!$AA$97)&lt;=AsOfDate,IF($R154=0,$X154,IF(AND($T154&lt;&gt;"",EDATE($D154,Milestones!$AA$97)&gt;=$T154),$W154,IF(AND($S154&lt;&gt;"",EDATE($D154,Milestones!$AA$97)&gt;=$S154),$V154,$U154)))=Milestones!$AB$97),UPPER(TEXT(EDATE($D154,Milestones!$AA$97),"dd mmm yy"))&amp;" "&amp;Milestones!$AB$97&amp;" "&amp;Milestones!$AC$97&amp;";  ","")&amp;IF(AND(EDATE($D154,Milestones!$AA$98)&lt;=AsOfDate,IF($R154=0,$X154,IF(AND($T154&lt;&gt;"",EDATE($D154,Milestones!$AA$98)&gt;=$T154),$W154,IF(AND($S154&lt;&gt;"",EDATE($D154,Milestones!$AA$98)&gt;=$S154),$V154,$U154)))=Milestones!$AB$98),UPPER(TEXT(EDATE($D154,Milestones!$AA$98),"dd mmm yy"))&amp;" "&amp;Milestones!$AB$98&amp;" "&amp;Milestones!$AC$98&amp;";  ","")&amp;IF(AND(EDATE($D154,Milestones!$AA$99)&lt;=AsOfDate,IF($R154=0,$X154,IF(AND($T154&lt;&gt;"",EDATE($D154,Milestones!$AA$99)&gt;=$T154),$W154,IF(AND($S154&lt;&gt;"",EDATE($D154,Milestones!$AA$99)&gt;=$S154),$V154,$U154)))=Milestones!$AB$99),UPPER(TEXT(EDATE($D154,Milestones!$AA$99),"dd mmm yy"))&amp;" "&amp;Milestones!$AB$99&amp;" "&amp;Milestones!$AC$99&amp;";  ",""))</f>
        <v/>
      </c>
      <c r="M154" s="0" t="str">
        <f aca="false">IF(OR($A154="",$D154=""),"",IF(AND(EDATE($D154,Milestones!$AA$100)&lt;=AsOfDate,IF($R154=0,$X154,IF(AND($T154&lt;&gt;"",EDATE($D154,Milestones!$AA$100)&gt;=$T154),$W154,IF(AND($S154&lt;&gt;"",EDATE($D154,Milestones!$AA$100)&gt;=$S154),$V154,$U154)))=Milestones!$AB$100),UPPER(TEXT(EDATE($D154,Milestones!$AA$100),"dd mmm yy"))&amp;" "&amp;Milestones!$AB$100&amp;" "&amp;Milestones!$AC$100&amp;";  ","")&amp;IF(AND(EDATE($D154,Milestones!$AA$101)&lt;=AsOfDate,IF($R154=0,$X154,IF(AND($T154&lt;&gt;"",EDATE($D154,Milestones!$AA$101)&gt;=$T154),$W154,IF(AND($S154&lt;&gt;"",EDATE($D154,Milestones!$AA$101)&gt;=$S154),$V154,$U154)))=Milestones!$AB$101),UPPER(TEXT(EDATE($D154,Milestones!$AA$101),"dd mmm yy"))&amp;" "&amp;Milestones!$AB$101&amp;" "&amp;Milestones!$AC$101&amp;";  ","")&amp;IF(AND(EDATE($D154,Milestones!$AA$102)&lt;=AsOfDate,IF($R154=0,$X154,IF(AND($T154&lt;&gt;"",EDATE($D154,Milestones!$AA$102)&gt;=$T154),$W154,IF(AND($S154&lt;&gt;"",EDATE($D154,Milestones!$AA$102)&gt;=$S154),$V154,$U154)))=Milestones!$AB$102),UPPER(TEXT(EDATE($D154,Milestones!$AA$102),"dd mmm yy"))&amp;" "&amp;Milestones!$AB$102&amp;" "&amp;Milestones!$AC$102&amp;";  ","")&amp;IF(AND(EDATE($D154,Milestones!$AA$103)&lt;=AsOfDate,IF($R154=0,$X154,IF(AND($T154&lt;&gt;"",EDATE($D154,Milestones!$AA$103)&gt;=$T154),$W154,IF(AND($S154&lt;&gt;"",EDATE($D154,Milestones!$AA$103)&gt;=$S154),$V154,$U154)))=Milestones!$AB$103),UPPER(TEXT(EDATE($D154,Milestones!$AA$103),"dd mmm yy"))&amp;" "&amp;Milestones!$AB$103&amp;" "&amp;Milestones!$AC$103&amp;";  ","")&amp;IF(AND(EDATE($D154,Milestones!$AA$104)&lt;=AsOfDate,IF($R154=0,$X154,IF(AND($T154&lt;&gt;"",EDATE($D154,Milestones!$AA$104)&gt;=$T154),$W154,IF(AND($S154&lt;&gt;"",EDATE($D154,Milestones!$AA$104)&gt;=$S154),$V154,$U154)))=Milestones!$AB$104),UPPER(TEXT(EDATE($D154,Milestones!$AA$104),"dd mmm yy"))&amp;" "&amp;Milestones!$AB$104&amp;" "&amp;Milestones!$AC$104&amp;";  ","")&amp;IF(AND(EDATE($D154,Milestones!$AA$105)&lt;=AsOfDate,IF($R154=0,$X154,IF(AND($T154&lt;&gt;"",EDATE($D154,Milestones!$AA$105)&gt;=$T154),$W154,IF(AND($S154&lt;&gt;"",EDATE($D154,Milestones!$AA$105)&gt;=$S154),$V154,$U154)))=Milestones!$AB$105),UPPER(TEXT(EDATE($D154,Milestones!$AA$105),"dd mmm yy"))&amp;" "&amp;Milestones!$AB$105&amp;" "&amp;Milestones!$AC$105&amp;";  ","")&amp;IF(AND(EDATE($D154,Milestones!$AA$106)&lt;=AsOfDate,IF($R154=0,$X154,IF(AND($T154&lt;&gt;"",EDATE($D154,Milestones!$AA$106)&gt;=$T154),$W154,IF(AND($S154&lt;&gt;"",EDATE($D154,Milestones!$AA$106)&gt;=$S154),$V154,$U154)))=Milestones!$AB$106),UPPER(TEXT(EDATE($D154,Milestones!$AA$106),"dd mmm yy"))&amp;" "&amp;Milestones!$AB$106&amp;" "&amp;Milestones!$AC$106&amp;";  ","")&amp;IF(AND(EDATE($D154,Milestones!$AA$107)&lt;=AsOfDate,IF($R154=0,$X154,IF(AND($T154&lt;&gt;"",EDATE($D154,Milestones!$AA$107)&gt;=$T154),$W154,IF(AND($S154&lt;&gt;"",EDATE($D154,Milestones!$AA$107)&gt;=$S154),$V154,$U154)))=Milestones!$AB$107),UPPER(TEXT(EDATE($D154,Milestones!$AA$107),"dd mmm yy"))&amp;" "&amp;Milestones!$AB$107&amp;" "&amp;Milestones!$AC$107&amp;";  ","")&amp;IF(AND(EDATE($D154,Milestones!$AA$108)&lt;=AsOfDate,IF($R154=0,$X154,IF(AND($T154&lt;&gt;"",EDATE($D154,Milestones!$AA$108)&gt;=$T154),$W154,IF(AND($S154&lt;&gt;"",EDATE($D154,Milestones!$AA$108)&gt;=$S154),$V154,$U154)))=Milestones!$AB$108),UPPER(TEXT(EDATE($D154,Milestones!$AA$108),"dd mmm yy"))&amp;" "&amp;Milestones!$AB$108&amp;" "&amp;Milestones!$AC$108&amp;";  ","")&amp;IF(AND(EDATE($D154,Milestones!$AA$109)&lt;=AsOfDate,IF($R154=0,$X154,IF(AND($T154&lt;&gt;"",EDATE($D154,Milestones!$AA$109)&gt;=$T154),$W154,IF(AND($S154&lt;&gt;"",EDATE($D154,Milestones!$AA$109)&gt;=$S154),$V154,$U154)))=Milestones!$AB$109),UPPER(TEXT(EDATE($D154,Milestones!$AA$109),"dd mmm yy"))&amp;" "&amp;Milestones!$AB$109&amp;" "&amp;Milestones!$AC$109&amp;";  ","")&amp;IF(AND(EDATE($D154,Milestones!$AA$110)&lt;=AsOfDate,IF($R154=0,$X154,IF(AND($T154&lt;&gt;"",EDATE($D154,Milestones!$AA$110)&gt;=$T154),$W154,IF(AND($S154&lt;&gt;"",EDATE($D154,Milestones!$AA$110)&gt;=$S154),$V154,$U154)))=Milestones!$AB$110),UPPER(TEXT(EDATE($D154,Milestones!$AA$110),"dd mmm yy"))&amp;" "&amp;Milestones!$AB$110&amp;" "&amp;Milestones!$AC$110&amp;";  ","")&amp;IF(AND(EDATE($D154,Milestones!$AA$111)&lt;=AsOfDate,IF($R154=0,$X154,IF(AND($T154&lt;&gt;"",EDATE($D154,Milestones!$AA$111)&gt;=$T154),$W154,IF(AND($S154&lt;&gt;"",EDATE($D154,Milestones!$AA$111)&gt;=$S154),$V154,$U154)))=Milestones!$AB$111),UPPER(TEXT(EDATE($D154,Milestones!$AA$111),"dd mmm yy"))&amp;" "&amp;Milestones!$AB$111&amp;" "&amp;Milestones!$AC$111&amp;";  ","")&amp;IF(AND(EDATE($D154,Milestones!$AA$112)&lt;=AsOfDate,IF($R154=0,$X154,IF(AND($T154&lt;&gt;"",EDATE($D154,Milestones!$AA$112)&gt;=$T154),$W154,IF(AND($S154&lt;&gt;"",EDATE($D154,Milestones!$AA$112)&gt;=$S154),$V154,$U154)))=Milestones!$AB$112),UPPER(TEXT(EDATE($D154,Milestones!$AA$112),"dd mmm yy"))&amp;" "&amp;Milestones!$AB$112&amp;" "&amp;Milestones!$AC$112&amp;";  ","")&amp;IF(AND(EDATE($D154,Milestones!$AA$113)&lt;=AsOfDate,IF($R154=0,$X154,IF(AND($T154&lt;&gt;"",EDATE($D154,Milestones!$AA$113)&gt;=$T154),$W154,IF(AND($S154&lt;&gt;"",EDATE($D154,Milestones!$AA$113)&gt;=$S154),$V154,$U154)))=Milestones!$AB$113),UPPER(TEXT(EDATE($D154,Milestones!$AA$113),"dd mmm yy"))&amp;" "&amp;Milestones!$AB$113&amp;" "&amp;Milestones!$AC$113&amp;";  ","")&amp;IF(AND(EDATE($D154,Milestones!$AA$114)&lt;=AsOfDate,IF($R154=0,$X154,IF(AND($T154&lt;&gt;"",EDATE($D154,Milestones!$AA$114)&gt;=$T154),$W154,IF(AND($S154&lt;&gt;"",EDATE($D154,Milestones!$AA$114)&gt;=$S154),$V154,$U154)))=Milestones!$AB$114),UPPER(TEXT(EDATE($D154,Milestones!$AA$114),"dd mmm yy"))&amp;" "&amp;Milestones!$AB$114&amp;" "&amp;Milestones!$AC$114&amp;";  ","")&amp;IF(AND(EDATE($D154,Milestones!$AA$115)&lt;=AsOfDate,IF($R154=0,$X154,IF(AND($T154&lt;&gt;"",EDATE($D154,Milestones!$AA$115)&gt;=$T154),$W154,IF(AND($S154&lt;&gt;"",EDATE($D154,Milestones!$AA$115)&gt;=$S154),$V154,$U154)))=Milestones!$AB$115),UPPER(TEXT(EDATE($D154,Milestones!$AA$115),"dd mmm yy"))&amp;" "&amp;Milestones!$AB$115&amp;" "&amp;Milestones!$AC$115&amp;";  ","")&amp;IF(AND(EDATE($D154,Milestones!$AA$116)&lt;=AsOfDate,IF($R154=0,$X154,IF(AND($T154&lt;&gt;"",EDATE($D154,Milestones!$AA$116)&gt;=$T154),$W154,IF(AND($S154&lt;&gt;"",EDATE($D154,Milestones!$AA$116)&gt;=$S154),$V154,$U154)))=Milestones!$AB$116),UPPER(TEXT(EDATE($D154,Milestones!$AA$116),"dd mmm yy"))&amp;" "&amp;Milestones!$AB$116&amp;" "&amp;Milestones!$AC$116&amp;";  ","")&amp;IF(AND(EDATE($D154,Milestones!$AA$117)&lt;=AsOfDate,IF($R154=0,$X154,IF(AND($T154&lt;&gt;"",EDATE($D154,Milestones!$AA$117)&gt;=$T154),$W154,IF(AND($S154&lt;&gt;"",EDATE($D154,Milestones!$AA$117)&gt;=$S154),$V154,$U154)))=Milestones!$AB$117),UPPER(TEXT(EDATE($D154,Milestones!$AA$117),"dd mmm yy"))&amp;" "&amp;Milestones!$AB$117&amp;" "&amp;Milestones!$AC$117&amp;";  ","")&amp;IF(AND(EDATE($D154,Milestones!$AA$118)&lt;=AsOfDate,IF($R154=0,$X154,IF(AND($T154&lt;&gt;"",EDATE($D154,Milestones!$AA$118)&gt;=$T154),$W154,IF(AND($S154&lt;&gt;"",EDATE($D154,Milestones!$AA$118)&gt;=$S154),$V154,$U154)))=Milestones!$AB$118),UPPER(TEXT(EDATE($D154,Milestones!$AA$118),"dd mmm yy"))&amp;" "&amp;Milestones!$AB$118&amp;" "&amp;Milestones!$AC$118&amp;";  ","")&amp;IF(AND(EDATE($D154,Milestones!$AA$119)&lt;=AsOfDate,IF($R154=0,$X154,IF(AND($T154&lt;&gt;"",EDATE($D154,Milestones!$AA$119)&gt;=$T154),$W154,IF(AND($S154&lt;&gt;"",EDATE($D154,Milestones!$AA$119)&gt;=$S154),$V154,$U154)))=Milestones!$AB$119),UPPER(TEXT(EDATE($D154,Milestones!$AA$119),"dd mmm yy"))&amp;" "&amp;Milestones!$AB$119&amp;" "&amp;Milestones!$AC$119&amp;";  ",""))</f>
        <v/>
      </c>
      <c r="N154" s="0" t="str">
        <f aca="false">IF(OR($A154="",$D154=""),"",IF(AND(EDATE($D154,Milestones!$AA$120)&lt;=AsOfDate,IF($R154=0,$X154,IF(AND($T154&lt;&gt;"",EDATE($D154,Milestones!$AA$120)&gt;=$T154),$W154,IF(AND($S154&lt;&gt;"",EDATE($D154,Milestones!$AA$120)&gt;=$S154),$V154,$U154)))=Milestones!$AB$120),UPPER(TEXT(EDATE($D154,Milestones!$AA$120),"dd mmm yy"))&amp;" "&amp;Milestones!$AB$120&amp;" "&amp;Milestones!$AC$120&amp;";  ","")&amp;IF(AND(EDATE($D154,Milestones!$AA$121)&lt;=AsOfDate,IF($R154=0,$X154,IF(AND($T154&lt;&gt;"",EDATE($D154,Milestones!$AA$121)&gt;=$T154),$W154,IF(AND($S154&lt;&gt;"",EDATE($D154,Milestones!$AA$121)&gt;=$S154),$V154,$U154)))=Milestones!$AB$121),UPPER(TEXT(EDATE($D154,Milestones!$AA$121),"dd mmm yy"))&amp;" "&amp;Milestones!$AB$121&amp;" "&amp;Milestones!$AC$121&amp;";  ","")&amp;IF(AND(EDATE($D154,Milestones!$AA$122)&lt;=AsOfDate,IF($R154=0,$X154,IF(AND($T154&lt;&gt;"",EDATE($D154,Milestones!$AA$122)&gt;=$T154),$W154,IF(AND($S154&lt;&gt;"",EDATE($D154,Milestones!$AA$122)&gt;=$S154),$V154,$U154)))=Milestones!$AB$122),UPPER(TEXT(EDATE($D154,Milestones!$AA$122),"dd mmm yy"))&amp;" "&amp;Milestones!$AB$122&amp;" "&amp;Milestones!$AC$122&amp;";  ","")&amp;IF(AND(EDATE($D154,Milestones!$AA$123)&lt;=AsOfDate,IF($R154=0,$X154,IF(AND($T154&lt;&gt;"",EDATE($D154,Milestones!$AA$123)&gt;=$T154),$W154,IF(AND($S154&lt;&gt;"",EDATE($D154,Milestones!$AA$123)&gt;=$S154),$V154,$U154)))=Milestones!$AB$123),UPPER(TEXT(EDATE($D154,Milestones!$AA$123),"dd mmm yy"))&amp;" "&amp;Milestones!$AB$123&amp;" "&amp;Milestones!$AC$123&amp;";  ","")&amp;IF(AND(EDATE($D154,Milestones!$AA$124)&lt;=AsOfDate,IF($R154=0,$X154,IF(AND($T154&lt;&gt;"",EDATE($D154,Milestones!$AA$124)&gt;=$T154),$W154,IF(AND($S154&lt;&gt;"",EDATE($D154,Milestones!$AA$124)&gt;=$S154),$V154,$U154)))=Milestones!$AB$124),UPPER(TEXT(EDATE($D154,Milestones!$AA$124),"dd mmm yy"))&amp;" "&amp;Milestones!$AB$124&amp;" "&amp;Milestones!$AC$124&amp;";  ","")&amp;IF(AND(EDATE($D154,Milestones!$AA$125)&lt;=AsOfDate,IF($R154=0,$X154,IF(AND($T154&lt;&gt;"",EDATE($D154,Milestones!$AA$125)&gt;=$T154),$W154,IF(AND($S154&lt;&gt;"",EDATE($D154,Milestones!$AA$125)&gt;=$S154),$V154,$U154)))=Milestones!$AB$125),UPPER(TEXT(EDATE($D154,Milestones!$AA$125),"dd mmm yy"))&amp;" "&amp;Milestones!$AB$125&amp;" "&amp;Milestones!$AC$125&amp;";  ","")&amp;IF(AND(EDATE($D154,Milestones!$AA$126)&lt;=AsOfDate,IF($R154=0,$X154,IF(AND($T154&lt;&gt;"",EDATE($D154,Milestones!$AA$126)&gt;=$T154),$W154,IF(AND($S154&lt;&gt;"",EDATE($D154,Milestones!$AA$126)&gt;=$S154),$V154,$U154)))=Milestones!$AB$126),UPPER(TEXT(EDATE($D154,Milestones!$AA$126),"dd mmm yy"))&amp;" "&amp;Milestones!$AB$126&amp;" "&amp;Milestones!$AC$126&amp;";  ","")&amp;IF(AND(EDATE($D154,Milestones!$AA$127)&lt;=AsOfDate,IF($R154=0,$X154,IF(AND($T154&lt;&gt;"",EDATE($D154,Milestones!$AA$127)&gt;=$T154),$W154,IF(AND($S154&lt;&gt;"",EDATE($D154,Milestones!$AA$127)&gt;=$S154),$V154,$U154)))=Milestones!$AB$127),UPPER(TEXT(EDATE($D154,Milestones!$AA$127),"dd mmm yy"))&amp;" "&amp;Milestones!$AB$127&amp;" "&amp;Milestones!$AC$127&amp;";  ","")&amp;IF(AND(EDATE($D154,Milestones!$AA$128)&lt;=AsOfDate,IF($R154=0,$X154,IF(AND($T154&lt;&gt;"",EDATE($D154,Milestones!$AA$128)&gt;=$T154),$W154,IF(AND($S154&lt;&gt;"",EDATE($D154,Milestones!$AA$128)&gt;=$S154),$V154,$U154)))=Milestones!$AB$128),UPPER(TEXT(EDATE($D154,Milestones!$AA$128),"dd mmm yy"))&amp;" "&amp;Milestones!$AB$128&amp;" "&amp;Milestones!$AC$128&amp;";  ","")&amp;IF(AND(EDATE($D154,Milestones!$AA$129)&lt;=AsOfDate,IF($R154=0,$X154,IF(AND($T154&lt;&gt;"",EDATE($D154,Milestones!$AA$129)&gt;=$T154),$W154,IF(AND($S154&lt;&gt;"",EDATE($D154,Milestones!$AA$129)&gt;=$S154),$V154,$U154)))=Milestones!$AB$129),UPPER(TEXT(EDATE($D154,Milestones!$AA$129),"dd mmm yy"))&amp;" "&amp;Milestones!$AB$129&amp;" "&amp;Milestones!$AC$129&amp;";  ","")&amp;IF(AND(EDATE($D154,Milestones!$AA$130)&lt;=AsOfDate,IF($R154=0,$X154,IF(AND($T154&lt;&gt;"",EDATE($D154,Milestones!$AA$130)&gt;=$T154),$W154,IF(AND($S154&lt;&gt;"",EDATE($D154,Milestones!$AA$130)&gt;=$S154),$V154,$U154)))=Milestones!$AB$130),UPPER(TEXT(EDATE($D154,Milestones!$AA$130),"dd mmm yy"))&amp;" "&amp;Milestones!$AB$130&amp;" "&amp;Milestones!$AC$130&amp;";  ","")&amp;IF(AND(EDATE($D154,Milestones!$AA$131)&lt;=AsOfDate,IF($R154=0,$X154,IF(AND($T154&lt;&gt;"",EDATE($D154,Milestones!$AA$131)&gt;=$T154),$W154,IF(AND($S154&lt;&gt;"",EDATE($D154,Milestones!$AA$131)&gt;=$S154),$V154,$U154)))=Milestones!$AB$131),UPPER(TEXT(EDATE($D154,Milestones!$AA$131),"dd mmm yy"))&amp;" "&amp;Milestones!$AB$131&amp;" "&amp;Milestones!$AC$131&amp;";  ","")&amp;IF(AND(EDATE($D154,Milestones!$AA$132)&lt;=AsOfDate,IF($R154=0,$X154,IF(AND($T154&lt;&gt;"",EDATE($D154,Milestones!$AA$132)&gt;=$T154),$W154,IF(AND($S154&lt;&gt;"",EDATE($D154,Milestones!$AA$132)&gt;=$S154),$V154,$U154)))=Milestones!$AB$132),UPPER(TEXT(EDATE($D154,Milestones!$AA$132),"dd mmm yy"))&amp;" "&amp;Milestones!$AB$132&amp;" "&amp;Milestones!$AC$132&amp;";  ","")&amp;IF(AND(EDATE($D154,Milestones!$AA$133)&lt;=AsOfDate,IF($R154=0,$X154,IF(AND($T154&lt;&gt;"",EDATE($D154,Milestones!$AA$133)&gt;=$T154),$W154,IF(AND($S154&lt;&gt;"",EDATE($D154,Milestones!$AA$133)&gt;=$S154),$V154,$U154)))=Milestones!$AB$133),UPPER(TEXT(EDATE($D154,Milestones!$AA$133),"dd mmm yy"))&amp;" "&amp;Milestones!$AB$133&amp;" "&amp;Milestones!$AC$133&amp;";  ","")&amp;IF(AND(EDATE($D154,Milestones!$AA$134)&lt;=AsOfDate,IF($R154=0,$X154,IF(AND($T154&lt;&gt;"",EDATE($D154,Milestones!$AA$134)&gt;=$T154),$W154,IF(AND($S154&lt;&gt;"",EDATE($D154,Milestones!$AA$134)&gt;=$S154),$V154,$U154)))=Milestones!$AB$134),UPPER(TEXT(EDATE($D154,Milestones!$AA$134),"dd mmm yy"))&amp;" "&amp;Milestones!$AB$134&amp;" "&amp;Milestones!$AC$134&amp;";  ","")&amp;IF(AND(EDATE($D154,Milestones!$AA$135)&lt;=AsOfDate,IF($R154=0,$X154,IF(AND($T154&lt;&gt;"",EDATE($D154,Milestones!$AA$135)&gt;=$T154),$W154,IF(AND($S154&lt;&gt;"",EDATE($D154,Milestones!$AA$135)&gt;=$S154),$V154,$U154)))=Milestones!$AB$135),UPPER(TEXT(EDATE($D154,Milestones!$AA$135),"dd mmm yy"))&amp;" "&amp;Milestones!$AB$135&amp;" "&amp;Milestones!$AC$135&amp;";  ","")&amp;IF(AND(EDATE($D154,Milestones!$AA$136)&lt;=AsOfDate,IF($R154=0,$X154,IF(AND($T154&lt;&gt;"",EDATE($D154,Milestones!$AA$136)&gt;=$T154),$W154,IF(AND($S154&lt;&gt;"",EDATE($D154,Milestones!$AA$136)&gt;=$S154),$V154,$U154)))=Milestones!$AB$136),UPPER(TEXT(EDATE($D154,Milestones!$AA$136),"dd mmm yy"))&amp;" "&amp;Milestones!$AB$136&amp;" "&amp;Milestones!$AC$136&amp;";  ","")&amp;IF(AND(EDATE($D154,Milestones!$AA$137)&lt;=AsOfDate,IF($R154=0,$X154,IF(AND($T154&lt;&gt;"",EDATE($D154,Milestones!$AA$137)&gt;=$T154),$W154,IF(AND($S154&lt;&gt;"",EDATE($D154,Milestones!$AA$137)&gt;=$S154),$V154,$U154)))=Milestones!$AB$137),UPPER(TEXT(EDATE($D154,Milestones!$AA$137),"dd mmm yy"))&amp;" "&amp;Milestones!$AB$137&amp;" "&amp;Milestones!$AC$137&amp;";  ","")&amp;IF(AND(EDATE($D154,Milestones!$AA$138)&lt;=AsOfDate,IF($R154=0,$X154,IF(AND($T154&lt;&gt;"",EDATE($D154,Milestones!$AA$138)&gt;=$T154),$W154,IF(AND($S154&lt;&gt;"",EDATE($D154,Milestones!$AA$138)&gt;=$S154),$V154,$U154)))=Milestones!$AB$138),UPPER(TEXT(EDATE($D154,Milestones!$AA$138),"dd mmm yy"))&amp;" "&amp;Milestones!$AB$138&amp;" "&amp;Milestones!$AC$138&amp;";  ","")&amp;IF(AND(EDATE($D154,Milestones!$AA$139)&lt;=AsOfDate,IF($R154=0,$X154,IF(AND($T154&lt;&gt;"",EDATE($D154,Milestones!$AA$139)&gt;=$T154),$W154,IF(AND($S154&lt;&gt;"",EDATE($D154,Milestones!$AA$139)&gt;=$S154),$V154,$U154)))=Milestones!$AB$139),UPPER(TEXT(EDATE($D154,Milestones!$AA$139),"dd mmm yy"))&amp;" "&amp;Milestones!$AB$139&amp;" "&amp;Milestones!$AC$139&amp;";  ",""))</f>
        <v/>
      </c>
      <c r="O154" s="0" t="str">
        <f aca="false">IF(OR($A154="",$D154=""),"",IF(AND(EDATE($D154,Milestones!$AA$140)&lt;=AsOfDate,IF($R154=0,$X154,IF(AND($T154&lt;&gt;"",EDATE($D154,Milestones!$AA$140)&gt;=$T154),$W154,IF(AND($S154&lt;&gt;"",EDATE($D154,Milestones!$AA$140)&gt;=$S154),$V154,$U154)))=Milestones!$AB$140),UPPER(TEXT(EDATE($D154,Milestones!$AA$140),"dd mmm yy"))&amp;" "&amp;Milestones!$AB$140&amp;" "&amp;Milestones!$AC$140&amp;";  ","")&amp;IF(AND(EDATE($D154,Milestones!$AA$141)&lt;=AsOfDate,IF($R154=0,$X154,IF(AND($T154&lt;&gt;"",EDATE($D154,Milestones!$AA$141)&gt;=$T154),$W154,IF(AND($S154&lt;&gt;"",EDATE($D154,Milestones!$AA$141)&gt;=$S154),$V154,$U154)))=Milestones!$AB$141),UPPER(TEXT(EDATE($D154,Milestones!$AA$141),"dd mmm yy"))&amp;" "&amp;Milestones!$AB$141&amp;" "&amp;Milestones!$AC$141&amp;";  ","")&amp;IF(AND(EDATE($D154,Milestones!$AA$142)&lt;=AsOfDate,IF($R154=0,$X154,IF(AND($T154&lt;&gt;"",EDATE($D154,Milestones!$AA$142)&gt;=$T154),$W154,IF(AND($S154&lt;&gt;"",EDATE($D154,Milestones!$AA$142)&gt;=$S154),$V154,$U154)))=Milestones!$AB$142),UPPER(TEXT(EDATE($D154,Milestones!$AA$142),"dd mmm yy"))&amp;" "&amp;Milestones!$AB$142&amp;" "&amp;Milestones!$AC$142&amp;";  ","")&amp;IF(AND(EDATE($D154,Milestones!$AA$143)&lt;=AsOfDate,IF($R154=0,$X154,IF(AND($T154&lt;&gt;"",EDATE($D154,Milestones!$AA$143)&gt;=$T154),$W154,IF(AND($S154&lt;&gt;"",EDATE($D154,Milestones!$AA$143)&gt;=$S154),$V154,$U154)))=Milestones!$AB$143),UPPER(TEXT(EDATE($D154,Milestones!$AA$143),"dd mmm yy"))&amp;" "&amp;Milestones!$AB$143&amp;" "&amp;Milestones!$AC$143&amp;";  ","")&amp;IF(AND(EDATE($D154,Milestones!$AA$144)&lt;=AsOfDate,IF($R154=0,$X154,IF(AND($T154&lt;&gt;"",EDATE($D154,Milestones!$AA$144)&gt;=$T154),$W154,IF(AND($S154&lt;&gt;"",EDATE($D154,Milestones!$AA$144)&gt;=$S154),$V154,$U154)))=Milestones!$AB$144),UPPER(TEXT(EDATE($D154,Milestones!$AA$144),"dd mmm yy"))&amp;" "&amp;Milestones!$AB$144&amp;" "&amp;Milestones!$AC$144&amp;";  ","")&amp;IF(AND(EDATE($D154,Milestones!$AA$145)&lt;=AsOfDate,IF($R154=0,$X154,IF(AND($T154&lt;&gt;"",EDATE($D154,Milestones!$AA$145)&gt;=$T154),$W154,IF(AND($S154&lt;&gt;"",EDATE($D154,Milestones!$AA$145)&gt;=$S154),$V154,$U154)))=Milestones!$AB$145),UPPER(TEXT(EDATE($D154,Milestones!$AA$145),"dd mmm yy"))&amp;" "&amp;Milestones!$AB$145&amp;" "&amp;Milestones!$AC$145&amp;";  ","")&amp;IF(AND(EDATE($D154,Milestones!$AA$146)&lt;=AsOfDate,IF($R154=0,$X154,IF(AND($T154&lt;&gt;"",EDATE($D154,Milestones!$AA$146)&gt;=$T154),$W154,IF(AND($S154&lt;&gt;"",EDATE($D154,Milestones!$AA$146)&gt;=$S154),$V154,$U154)))=Milestones!$AB$146),UPPER(TEXT(EDATE($D154,Milestones!$AA$146),"dd mmm yy"))&amp;" "&amp;Milestones!$AB$146&amp;" "&amp;Milestones!$AC$146&amp;";  ","")&amp;IF(AND(EDATE($D154,Milestones!$AA$147)&lt;=AsOfDate,IF($R154=0,$X154,IF(AND($T154&lt;&gt;"",EDATE($D154,Milestones!$AA$147)&gt;=$T154),$W154,IF(AND($S154&lt;&gt;"",EDATE($D154,Milestones!$AA$147)&gt;=$S154),$V154,$U154)))=Milestones!$AB$147),UPPER(TEXT(EDATE($D154,Milestones!$AA$147),"dd mmm yy"))&amp;" "&amp;Milestones!$AB$147&amp;" "&amp;Milestones!$AC$147&amp;";  ","")&amp;IF(AND(EDATE($D154,Milestones!$AA$148)&lt;=AsOfDate,IF($R154=0,$X154,IF(AND($T154&lt;&gt;"",EDATE($D154,Milestones!$AA$148)&gt;=$T154),$W154,IF(AND($S154&lt;&gt;"",EDATE($D154,Milestones!$AA$148)&gt;=$S154),$V154,$U154)))=Milestones!$AB$148),UPPER(TEXT(EDATE($D154,Milestones!$AA$148),"dd mmm yy"))&amp;" "&amp;Milestones!$AB$148&amp;" "&amp;Milestones!$AC$148&amp;";  ","")&amp;IF(AND(EDATE($D154,Milestones!$AA$149)&lt;=AsOfDate,IF($R154=0,$X154,IF(AND($T154&lt;&gt;"",EDATE($D154,Milestones!$AA$149)&gt;=$T154),$W154,IF(AND($S154&lt;&gt;"",EDATE($D154,Milestones!$AA$149)&gt;=$S154),$V154,$U154)))=Milestones!$AB$149),UPPER(TEXT(EDATE($D154,Milestones!$AA$149),"dd mmm yy"))&amp;" "&amp;Milestones!$AB$149&amp;" "&amp;Milestones!$AC$149&amp;";  ","")&amp;IF(AND(EDATE($D154,Milestones!$AA$150)&lt;=AsOfDate,IF($R154=0,$X154,IF(AND($T154&lt;&gt;"",EDATE($D154,Milestones!$AA$150)&gt;=$T154),$W154,IF(AND($S154&lt;&gt;"",EDATE($D154,Milestones!$AA$150)&gt;=$S154),$V154,$U154)))=Milestones!$AB$150),UPPER(TEXT(EDATE($D154,Milestones!$AA$150),"dd mmm yy"))&amp;" "&amp;Milestones!$AB$150&amp;" "&amp;Milestones!$AC$150&amp;";  ","")&amp;IF(AND(EDATE($D154,Milestones!$AA$151)&lt;=AsOfDate,IF($R154=0,$X154,IF(AND($T154&lt;&gt;"",EDATE($D154,Milestones!$AA$151)&gt;=$T154),$W154,IF(AND($S154&lt;&gt;"",EDATE($D154,Milestones!$AA$151)&gt;=$S154),$V154,$U154)))=Milestones!$AB$151),UPPER(TEXT(EDATE($D154,Milestones!$AA$151),"dd mmm yy"))&amp;" "&amp;Milestones!$AB$151&amp;" "&amp;Milestones!$AC$151&amp;";  ","")&amp;IF(AND(EDATE($D154,Milestones!$AA$152)&lt;=AsOfDate,IF($R154=0,$X154,IF(AND($T154&lt;&gt;"",EDATE($D154,Milestones!$AA$152)&gt;=$T154),$W154,IF(AND($S154&lt;&gt;"",EDATE($D154,Milestones!$AA$152)&gt;=$S154),$V154,$U154)))=Milestones!$AB$152),UPPER(TEXT(EDATE($D154,Milestones!$AA$152),"dd mmm yy"))&amp;" "&amp;Milestones!$AB$152&amp;" "&amp;Milestones!$AC$152&amp;";  ","")&amp;IF(AND(EDATE($D154,Milestones!$AA$153)&lt;=AsOfDate,IF($R154=0,$X154,IF(AND($T154&lt;&gt;"",EDATE($D154,Milestones!$AA$153)&gt;=$T154),$W154,IF(AND($S154&lt;&gt;"",EDATE($D154,Milestones!$AA$153)&gt;=$S154),$V154,$U154)))=Milestones!$AB$153),UPPER(TEXT(EDATE($D154,Milestones!$AA$153),"dd mmm yy"))&amp;" "&amp;Milestones!$AB$153&amp;" "&amp;Milestones!$AC$153&amp;";  ","")&amp;IF(AND(EDATE($D154,Milestones!$AA$154)&lt;=AsOfDate,IF($R154=0,$X154,IF(AND($T154&lt;&gt;"",EDATE($D154,Milestones!$AA$154)&gt;=$T154),$W154,IF(AND($S154&lt;&gt;"",EDATE($D154,Milestones!$AA$154)&gt;=$S154),$V154,$U154)))=Milestones!$AB$154),UPPER(TEXT(EDATE($D154,Milestones!$AA$154),"dd mmm yy"))&amp;" "&amp;Milestones!$AB$154&amp;" "&amp;Milestones!$AC$154&amp;";  ","")&amp;IF(AND(EDATE($D154,Milestones!$AA$155)&lt;=AsOfDate,IF($R154=0,$X154,IF(AND($T154&lt;&gt;"",EDATE($D154,Milestones!$AA$155)&gt;=$T154),$W154,IF(AND($S154&lt;&gt;"",EDATE($D154,Milestones!$AA$155)&gt;=$S154),$V154,$U154)))=Milestones!$AB$155),UPPER(TEXT(EDATE($D154,Milestones!$AA$155),"dd mmm yy"))&amp;" "&amp;Milestones!$AB$155&amp;" "&amp;Milestones!$AC$155&amp;";  ","")&amp;IF(AND(EDATE($D154,Milestones!$AA$156)&lt;=AsOfDate,IF($R154=0,$X154,IF(AND($T154&lt;&gt;"",EDATE($D154,Milestones!$AA$156)&gt;=$T154),$W154,IF(AND($S154&lt;&gt;"",EDATE($D154,Milestones!$AA$156)&gt;=$S154),$V154,$U154)))=Milestones!$AB$156),UPPER(TEXT(EDATE($D154,Milestones!$AA$156),"dd mmm yy"))&amp;" "&amp;Milestones!$AB$156&amp;" "&amp;Milestones!$AC$156&amp;";  ","")&amp;IF(AND(EDATE($D154,Milestones!$AA$157)&lt;=AsOfDate,IF($R154=0,$X154,IF(AND($T154&lt;&gt;"",EDATE($D154,Milestones!$AA$157)&gt;=$T154),$W154,IF(AND($S154&lt;&gt;"",EDATE($D154,Milestones!$AA$157)&gt;=$S154),$V154,$U154)))=Milestones!$AB$157),UPPER(TEXT(EDATE($D154,Milestones!$AA$157),"dd mmm yy"))&amp;" "&amp;Milestones!$AB$157&amp;" "&amp;Milestones!$AC$157&amp;";  ","")&amp;IF(AND(EDATE($D154,Milestones!$AA$158)&lt;=AsOfDate,IF($R154=0,$X154,IF(AND($T154&lt;&gt;"",EDATE($D154,Milestones!$AA$158)&gt;=$T154),$W154,IF(AND($S154&lt;&gt;"",EDATE($D154,Milestones!$AA$158)&gt;=$S154),$V154,$U154)))=Milestones!$AB$158),UPPER(TEXT(EDATE($D154,Milestones!$AA$158),"dd mmm yy"))&amp;" "&amp;Milestones!$AB$158&amp;" "&amp;Milestones!$AC$158&amp;";  ","")&amp;IF(AND(EDATE($D154,Milestones!$AA$159)&lt;=AsOfDate,IF($R154=0,$X154,IF(AND($T154&lt;&gt;"",EDATE($D154,Milestones!$AA$159)&gt;=$T154),$W154,IF(AND($S154&lt;&gt;"",EDATE($D154,Milestones!$AA$159)&gt;=$S154),$V154,$U154)))=Milestones!$AB$159),UPPER(TEXT(EDATE($D154,Milestones!$AA$159),"dd mmm yy"))&amp;" "&amp;Milestones!$AB$159&amp;" "&amp;Milestones!$AC$159&amp;";  ",""))</f>
        <v/>
      </c>
      <c r="P154" s="0" t="str">
        <f aca="false">IF(OR($A154="",$D154=""),"",IF(AND(EDATE($D154,Milestones!$AA$160)&lt;=AsOfDate,IF($R154=0,$X154,IF(AND($T154&lt;&gt;"",EDATE($D154,Milestones!$AA$160)&gt;=$T154),$W154,IF(AND($S154&lt;&gt;"",EDATE($D154,Milestones!$AA$160)&gt;=$S154),$V154,$U154)))=Milestones!$AB$160),UPPER(TEXT(EDATE($D154,Milestones!$AA$160),"dd mmm yy"))&amp;" "&amp;Milestones!$AB$160&amp;" "&amp;Milestones!$AC$160&amp;";  ","")&amp;IF(AND(EDATE($D154,Milestones!$AA$161)&lt;=AsOfDate,IF($R154=0,$X154,IF(AND($T154&lt;&gt;"",EDATE($D154,Milestones!$AA$161)&gt;=$T154),$W154,IF(AND($S154&lt;&gt;"",EDATE($D154,Milestones!$AA$161)&gt;=$S154),$V154,$U154)))=Milestones!$AB$161),UPPER(TEXT(EDATE($D154,Milestones!$AA$161),"dd mmm yy"))&amp;" "&amp;Milestones!$AB$161&amp;" "&amp;Milestones!$AC$161&amp;";  ","")&amp;IF(AND(EDATE($D154,Milestones!$AA$162)&lt;=AsOfDate,IF($R154=0,$X154,IF(AND($T154&lt;&gt;"",EDATE($D154,Milestones!$AA$162)&gt;=$T154),$W154,IF(AND($S154&lt;&gt;"",EDATE($D154,Milestones!$AA$162)&gt;=$S154),$V154,$U154)))=Milestones!$AB$162),UPPER(TEXT(EDATE($D154,Milestones!$AA$162),"dd mmm yy"))&amp;" "&amp;Milestones!$AB$162&amp;" "&amp;Milestones!$AC$162&amp;";  ","")&amp;IF(AND(EDATE($D154,Milestones!$AA$163)&lt;=AsOfDate,IF($R154=0,$X154,IF(AND($T154&lt;&gt;"",EDATE($D154,Milestones!$AA$163)&gt;=$T154),$W154,IF(AND($S154&lt;&gt;"",EDATE($D154,Milestones!$AA$163)&gt;=$S154),$V154,$U154)))=Milestones!$AB$163),UPPER(TEXT(EDATE($D154,Milestones!$AA$163),"dd mmm yy"))&amp;" "&amp;Milestones!$AB$163&amp;" "&amp;Milestones!$AC$163&amp;";  ","")&amp;IF(AND(EDATE($D154,Milestones!$AA$164)&lt;=AsOfDate,IF($R154=0,$X154,IF(AND($T154&lt;&gt;"",EDATE($D154,Milestones!$AA$164)&gt;=$T154),$W154,IF(AND($S154&lt;&gt;"",EDATE($D154,Milestones!$AA$164)&gt;=$S154),$V154,$U154)))=Milestones!$AB$164),UPPER(TEXT(EDATE($D154,Milestones!$AA$164),"dd mmm yy"))&amp;" "&amp;Milestones!$AB$164&amp;" "&amp;Milestones!$AC$164&amp;";  ","")&amp;IF(AND(EDATE($D154,Milestones!$AA$165)&lt;=AsOfDate,IF($R154=0,$X154,IF(AND($T154&lt;&gt;"",EDATE($D154,Milestones!$AA$165)&gt;=$T154),$W154,IF(AND($S154&lt;&gt;"",EDATE($D154,Milestones!$AA$165)&gt;=$S154),$V154,$U154)))=Milestones!$AB$165),UPPER(TEXT(EDATE($D154,Milestones!$AA$165),"dd mmm yy"))&amp;" "&amp;Milestones!$AB$165&amp;" "&amp;Milestones!$AC$165&amp;";  ","")&amp;IF(AND(EDATE($D154,Milestones!$AA$166)&lt;=AsOfDate,IF($R154=0,$X154,IF(AND($T154&lt;&gt;"",EDATE($D154,Milestones!$AA$166)&gt;=$T154),$W154,IF(AND($S154&lt;&gt;"",EDATE($D154,Milestones!$AA$166)&gt;=$S154),$V154,$U154)))=Milestones!$AB$166),UPPER(TEXT(EDATE($D154,Milestones!$AA$166),"dd mmm yy"))&amp;" "&amp;Milestones!$AB$166&amp;" "&amp;Milestones!$AC$166&amp;";  ","")&amp;IF(AND(EDATE($D154,Milestones!$AA$167)&lt;=AsOfDate,IF($R154=0,$X154,IF(AND($T154&lt;&gt;"",EDATE($D154,Milestones!$AA$167)&gt;=$T154),$W154,IF(AND($S154&lt;&gt;"",EDATE($D154,Milestones!$AA$167)&gt;=$S154),$V154,$U154)))=Milestones!$AB$167),UPPER(TEXT(EDATE($D154,Milestones!$AA$167),"dd mmm yy"))&amp;" "&amp;Milestones!$AB$167&amp;" "&amp;Milestones!$AC$167&amp;";  ","")&amp;IF(AND(EDATE($D154,Milestones!$AA$168)&lt;=AsOfDate,IF($R154=0,$X154,IF(AND($T154&lt;&gt;"",EDATE($D154,Milestones!$AA$168)&gt;=$T154),$W154,IF(AND($S154&lt;&gt;"",EDATE($D154,Milestones!$AA$168)&gt;=$S154),$V154,$U154)))=Milestones!$AB$168),UPPER(TEXT(EDATE($D154,Milestones!$AA$168),"dd mmm yy"))&amp;" "&amp;Milestones!$AB$168&amp;" "&amp;Milestones!$AC$168&amp;";  ","")&amp;IF(AND(EDATE($D154,Milestones!$AA$169)&lt;=AsOfDate,IF($R154=0,$X154,IF(AND($T154&lt;&gt;"",EDATE($D154,Milestones!$AA$169)&gt;=$T154),$W154,IF(AND($S154&lt;&gt;"",EDATE($D154,Milestones!$AA$169)&gt;=$S154),$V154,$U154)))=Milestones!$AB$169),UPPER(TEXT(EDATE($D154,Milestones!$AA$169),"dd mmm yy"))&amp;" "&amp;Milestones!$AB$169&amp;" "&amp;Milestones!$AC$169&amp;";  ","")&amp;IF(AND(EDATE($D154,Milestones!$AA$170)&lt;=AsOfDate,IF($R154=0,$X154,IF(AND($T154&lt;&gt;"",EDATE($D154,Milestones!$AA$170)&gt;=$T154),$W154,IF(AND($S154&lt;&gt;"",EDATE($D154,Milestones!$AA$170)&gt;=$S154),$V154,$U154)))=Milestones!$AB$170),UPPER(TEXT(EDATE($D154,Milestones!$AA$170),"dd mmm yy"))&amp;" "&amp;Milestones!$AB$170&amp;" "&amp;Milestones!$AC$170&amp;";  ","")&amp;IF(AND(EDATE($D154,Milestones!$AA$171)&lt;=AsOfDate,IF($R154=0,$X154,IF(AND($T154&lt;&gt;"",EDATE($D154,Milestones!$AA$171)&gt;=$T154),$W154,IF(AND($S154&lt;&gt;"",EDATE($D154,Milestones!$AA$171)&gt;=$S154),$V154,$U154)))=Milestones!$AB$171),UPPER(TEXT(EDATE($D154,Milestones!$AA$171),"dd mmm yy"))&amp;" "&amp;Milestones!$AB$171&amp;" "&amp;Milestones!$AC$171&amp;";  ","")&amp;IF(AND(EDATE($D154,Milestones!$AA$172)&lt;=AsOfDate,IF($R154=0,$X154,IF(AND($T154&lt;&gt;"",EDATE($D154,Milestones!$AA$172)&gt;=$T154),$W154,IF(AND($S154&lt;&gt;"",EDATE($D154,Milestones!$AA$172)&gt;=$S154),$V154,$U154)))=Milestones!$AB$172),UPPER(TEXT(EDATE($D154,Milestones!$AA$172),"dd mmm yy"))&amp;" "&amp;Milestones!$AB$172&amp;" "&amp;Milestones!$AC$172&amp;";  ","")&amp;IF(AND(EDATE($D154,Milestones!$AA$173)&lt;=AsOfDate,IF($R154=0,$X154,IF(AND($T154&lt;&gt;"",EDATE($D154,Milestones!$AA$173)&gt;=$T154),$W154,IF(AND($S154&lt;&gt;"",EDATE($D154,Milestones!$AA$173)&gt;=$S154),$V154,$U154)))=Milestones!$AB$173),UPPER(TEXT(EDATE($D154,Milestones!$AA$173),"dd mmm yy"))&amp;" "&amp;Milestones!$AB$173&amp;" "&amp;Milestones!$AC$173&amp;";  ","")&amp;IF(AND(EDATE($D154,Milestones!$AA$174)&lt;=AsOfDate,IF($R154=0,$X154,IF(AND($T154&lt;&gt;"",EDATE($D154,Milestones!$AA$174)&gt;=$T154),$W154,IF(AND($S154&lt;&gt;"",EDATE($D154,Milestones!$AA$174)&gt;=$S154),$V154,$U154)))=Milestones!$AB$174),UPPER(TEXT(EDATE($D154,Milestones!$AA$174),"dd mmm yy"))&amp;" "&amp;Milestones!$AB$174&amp;" "&amp;Milestones!$AC$174&amp;";  ","")&amp;IF(AND(EDATE($D154,Milestones!$AA$175)&lt;=AsOfDate,IF($R154=0,$X154,IF(AND($T154&lt;&gt;"",EDATE($D154,Milestones!$AA$175)&gt;=$T154),$W154,IF(AND($S154&lt;&gt;"",EDATE($D154,Milestones!$AA$175)&gt;=$S154),$V154,$U154)))=Milestones!$AB$175),UPPER(TEXT(EDATE($D154,Milestones!$AA$175),"dd mmm yy"))&amp;" "&amp;Milestones!$AB$175&amp;" "&amp;Milestones!$AC$175&amp;";  ","")&amp;IF(AND(EDATE($D154,Milestones!$AA$176)&lt;=AsOfDate,IF($R154=0,$X154,IF(AND($T154&lt;&gt;"",EDATE($D154,Milestones!$AA$176)&gt;=$T154),$W154,IF(AND($S154&lt;&gt;"",EDATE($D154,Milestones!$AA$176)&gt;=$S154),$V154,$U154)))=Milestones!$AB$176),UPPER(TEXT(EDATE($D154,Milestones!$AA$176),"dd mmm yy"))&amp;" "&amp;Milestones!$AB$176&amp;" "&amp;Milestones!$AC$176&amp;";  ","")&amp;IF(AND(EDATE($D154,Milestones!$AA$177)&lt;=AsOfDate,IF($R154=0,$X154,IF(AND($T154&lt;&gt;"",EDATE($D154,Milestones!$AA$177)&gt;=$T154),$W154,IF(AND($S154&lt;&gt;"",EDATE($D154,Milestones!$AA$177)&gt;=$S154),$V154,$U154)))=Milestones!$AB$177),UPPER(TEXT(EDATE($D154,Milestones!$AA$177),"dd mmm yy"))&amp;" "&amp;Milestones!$AB$177&amp;" "&amp;Milestones!$AC$177&amp;";  ","")&amp;IF(AND(EDATE($D154,Milestones!$AA$178)&lt;=AsOfDate,IF($R154=0,$X154,IF(AND($T154&lt;&gt;"",EDATE($D154,Milestones!$AA$178)&gt;=$T154),$W154,IF(AND($S154&lt;&gt;"",EDATE($D154,Milestones!$AA$178)&gt;=$S154),$V154,$U154)))=Milestones!$AB$178),UPPER(TEXT(EDATE($D154,Milestones!$AA$178),"dd mmm yy"))&amp;" "&amp;Milestones!$AB$178&amp;" "&amp;Milestones!$AC$178&amp;";  ","")&amp;IF(AND(EDATE($D154,Milestones!$AA$179)&lt;=AsOfDate,IF($R154=0,$X154,IF(AND($T154&lt;&gt;"",EDATE($D154,Milestones!$AA$179)&gt;=$T154),$W154,IF(AND($S154&lt;&gt;"",EDATE($D154,Milestones!$AA$179)&gt;=$S154),$V154,$U154)))=Milestones!$AB$179),UPPER(TEXT(EDATE($D154,Milestones!$AA$179),"dd mmm yy"))&amp;" "&amp;Milestones!$AB$179&amp;" "&amp;Milestones!$AC$179&amp;";  ",""))</f>
        <v/>
      </c>
      <c r="Q154" s="0" t="str">
        <f aca="false">IF(OR($A154="",$D154=""),"",IF(AND(EDATE($D154,Milestones!$AA$180)&lt;=AsOfDate,IF($R154=0,$X154,IF(AND($T154&lt;&gt;"",EDATE($D154,Milestones!$AA$180)&gt;=$T154),$W154,IF(AND($S154&lt;&gt;"",EDATE($D154,Milestones!$AA$180)&gt;=$S154),$V154,$U154)))=Milestones!$AB$180),UPPER(TEXT(EDATE($D154,Milestones!$AA$180),"dd mmm yy"))&amp;" "&amp;Milestones!$AB$180&amp;" "&amp;Milestones!$AC$180&amp;";  ","")&amp;IF(AND(EDATE($D154,Milestones!$AA$181)&lt;=AsOfDate,IF($R154=0,$X154,IF(AND($T154&lt;&gt;"",EDATE($D154,Milestones!$AA$181)&gt;=$T154),$W154,IF(AND($S154&lt;&gt;"",EDATE($D154,Milestones!$AA$181)&gt;=$S154),$V154,$U154)))=Milestones!$AB$181),UPPER(TEXT(EDATE($D154,Milestones!$AA$181),"dd mmm yy"))&amp;" "&amp;Milestones!$AB$181&amp;" "&amp;Milestones!$AC$181&amp;";  ","")&amp;IF(AND(EDATE($D154,Milestones!$AA$182)&lt;=AsOfDate,IF($R154=0,$X154,IF(AND($T154&lt;&gt;"",EDATE($D154,Milestones!$AA$182)&gt;=$T154),$W154,IF(AND($S154&lt;&gt;"",EDATE($D154,Milestones!$AA$182)&gt;=$S154),$V154,$U154)))=Milestones!$AB$182),UPPER(TEXT(EDATE($D154,Milestones!$AA$182),"dd mmm yy"))&amp;" "&amp;Milestones!$AB$182&amp;" "&amp;Milestones!$AC$182&amp;";  ","")&amp;IF(AND(EDATE($D154,Milestones!$AA$183)&lt;=AsOfDate,IF($R154=0,$X154,IF(AND($T154&lt;&gt;"",EDATE($D154,Milestones!$AA$183)&gt;=$T154),$W154,IF(AND($S154&lt;&gt;"",EDATE($D154,Milestones!$AA$183)&gt;=$S154),$V154,$U154)))=Milestones!$AB$183),UPPER(TEXT(EDATE($D154,Milestones!$AA$183),"dd mmm yy"))&amp;" "&amp;Milestones!$AB$183&amp;" "&amp;Milestones!$AC$183&amp;";  ","")&amp;IF(AND(EDATE($D154,Milestones!$AA$184)&lt;=AsOfDate,IF($R154=0,$X154,IF(AND($T154&lt;&gt;"",EDATE($D154,Milestones!$AA$184)&gt;=$T154),$W154,IF(AND($S154&lt;&gt;"",EDATE($D154,Milestones!$AA$184)&gt;=$S154),$V154,$U154)))=Milestones!$AB$184),UPPER(TEXT(EDATE($D154,Milestones!$AA$184),"dd mmm yy"))&amp;" "&amp;Milestones!$AB$184&amp;" "&amp;Milestones!$AC$184&amp;";  ","")&amp;IF(AND(EDATE($D154,Milestones!$AA$185)&lt;=AsOfDate,IF($R154=0,$X154,IF(AND($T154&lt;&gt;"",EDATE($D154,Milestones!$AA$185)&gt;=$T154),$W154,IF(AND($S154&lt;&gt;"",EDATE($D154,Milestones!$AA$185)&gt;=$S154),$V154,$U154)))=Milestones!$AB$185),UPPER(TEXT(EDATE($D154,Milestones!$AA$185),"dd mmm yy"))&amp;" "&amp;Milestones!$AB$185&amp;" "&amp;Milestones!$AC$185&amp;";  ","")&amp;IF(AND(EDATE($D154,Milestones!$AA$186)&lt;=AsOfDate,IF($R154=0,$X154,IF(AND($T154&lt;&gt;"",EDATE($D154,Milestones!$AA$186)&gt;=$T154),$W154,IF(AND($S154&lt;&gt;"",EDATE($D154,Milestones!$AA$186)&gt;=$S154),$V154,$U154)))=Milestones!$AB$186),UPPER(TEXT(EDATE($D154,Milestones!$AA$186),"dd mmm yy"))&amp;" "&amp;Milestones!$AB$186&amp;" "&amp;Milestones!$AC$186&amp;";  ","")&amp;IF(AND(EDATE($D154,Milestones!$AA$187)&lt;=AsOfDate,IF($R154=0,$X154,IF(AND($T154&lt;&gt;"",EDATE($D154,Milestones!$AA$187)&gt;=$T154),$W154,IF(AND($S154&lt;&gt;"",EDATE($D154,Milestones!$AA$187)&gt;=$S154),$V154,$U154)))=Milestones!$AB$187),UPPER(TEXT(EDATE($D154,Milestones!$AA$187),"dd mmm yy"))&amp;" "&amp;Milestones!$AB$187&amp;" "&amp;Milestones!$AC$187&amp;";  ","")&amp;IF(AND(EDATE($D154,Milestones!$AA$188)&lt;=AsOfDate,IF($R154=0,$X154,IF(AND($T154&lt;&gt;"",EDATE($D154,Milestones!$AA$188)&gt;=$T154),$W154,IF(AND($S154&lt;&gt;"",EDATE($D154,Milestones!$AA$188)&gt;=$S154),$V154,$U154)))=Milestones!$AB$188),UPPER(TEXT(EDATE($D154,Milestones!$AA$188),"dd mmm yy"))&amp;" "&amp;Milestones!$AB$188&amp;" "&amp;Milestones!$AC$188&amp;";  ","")&amp;IF(AND(EDATE($D154,Milestones!$AA$189)&lt;=AsOfDate,IF($R154=0,$X154,IF(AND($T154&lt;&gt;"",EDATE($D154,Milestones!$AA$189)&gt;=$T154),$W154,IF(AND($S154&lt;&gt;"",EDATE($D154,Milestones!$AA$189)&gt;=$S154),$V154,$U154)))=Milestones!$AB$189),UPPER(TEXT(EDATE($D154,Milestones!$AA$189),"dd mmm yy"))&amp;" "&amp;Milestones!$AB$189&amp;" "&amp;Milestones!$AC$189&amp;";  ","")&amp;IF(AND(EDATE($D154,Milestones!$AA$190)&lt;=AsOfDate,IF($R154=0,$X154,IF(AND($T154&lt;&gt;"",EDATE($D154,Milestones!$AA$190)&gt;=$T154),$W154,IF(AND($S154&lt;&gt;"",EDATE($D154,Milestones!$AA$190)&gt;=$S154),$V154,$U154)))=Milestones!$AB$190),UPPER(TEXT(EDATE($D154,Milestones!$AA$190),"dd mmm yy"))&amp;" "&amp;Milestones!$AB$190&amp;" "&amp;Milestones!$AC$190&amp;";  ","")&amp;IF(AND(EDATE($D154,Milestones!$AA$191)&lt;=AsOfDate,IF($R154=0,$X154,IF(AND($T154&lt;&gt;"",EDATE($D154,Milestones!$AA$191)&gt;=$T154),$W154,IF(AND($S154&lt;&gt;"",EDATE($D154,Milestones!$AA$191)&gt;=$S154),$V154,$U154)))=Milestones!$AB$191),UPPER(TEXT(EDATE($D154,Milestones!$AA$191),"dd mmm yy"))&amp;" "&amp;Milestones!$AB$191&amp;" "&amp;Milestones!$AC$191&amp;";  ","")&amp;IF(AND(EDATE($D154,Milestones!$AA$192)&lt;=AsOfDate,IF($R154=0,$X154,IF(AND($T154&lt;&gt;"",EDATE($D154,Milestones!$AA$192)&gt;=$T154),$W154,IF(AND($S154&lt;&gt;"",EDATE($D154,Milestones!$AA$192)&gt;=$S154),$V154,$U154)))=Milestones!$AB$192),UPPER(TEXT(EDATE($D154,Milestones!$AA$192),"dd mmm yy"))&amp;" "&amp;Milestones!$AB$192&amp;" "&amp;Milestones!$AC$192&amp;";  ","")&amp;IF(AND(EDATE($D154,Milestones!$AA$193)&lt;=AsOfDate,IF($R154=0,$X154,IF(AND($T154&lt;&gt;"",EDATE($D154,Milestones!$AA$193)&gt;=$T154),$W154,IF(AND($S154&lt;&gt;"",EDATE($D154,Milestones!$AA$193)&gt;=$S154),$V154,$U154)))=Milestones!$AB$193),UPPER(TEXT(EDATE($D154,Milestones!$AA$193),"dd mmm yy"))&amp;" "&amp;Milestones!$AB$193&amp;" "&amp;Milestones!$AC$193&amp;";  ","")&amp;IF(AND(EDATE($D154,Milestones!$AA$194)&lt;=AsOfDate,IF($R154=0,$X154,IF(AND($T154&lt;&gt;"",EDATE($D154,Milestones!$AA$194)&gt;=$T154),$W154,IF(AND($S154&lt;&gt;"",EDATE($D154,Milestones!$AA$194)&gt;=$S154),$V154,$U154)))=Milestones!$AB$194),UPPER(TEXT(EDATE($D154,Milestones!$AA$194),"dd mmm yy"))&amp;" "&amp;Milestones!$AB$194&amp;" "&amp;Milestones!$AC$194&amp;";  ","")&amp;IF(AND(EDATE($D154,Milestones!$AA$195)&lt;=AsOfDate,IF($R154=0,$X154,IF(AND($T154&lt;&gt;"",EDATE($D154,Milestones!$AA$195)&gt;=$T154),$W154,IF(AND($S154&lt;&gt;"",EDATE($D154,Milestones!$AA$195)&gt;=$S154),$V154,$U154)))=Milestones!$AB$195),UPPER(TEXT(EDATE($D154,Milestones!$AA$195),"dd mmm yy"))&amp;" "&amp;Milestones!$AB$195&amp;" "&amp;Milestones!$AC$195&amp;";  ","")&amp;IF(AND(EDATE($D154,Milestones!$AA$196)&lt;=AsOfDate,IF($R154=0,$X154,IF(AND($T154&lt;&gt;"",EDATE($D154,Milestones!$AA$196)&gt;=$T154),$W154,IF(AND($S154&lt;&gt;"",EDATE($D154,Milestones!$AA$196)&gt;=$S154),$V154,$U154)))=Milestones!$AB$196),UPPER(TEXT(EDATE($D154,Milestones!$AA$196),"dd mmm yy"))&amp;" "&amp;Milestones!$AB$196&amp;" "&amp;Milestones!$AC$196&amp;";  ","")&amp;IF(AND(EDATE($D154,Milestones!$AA$197)&lt;=AsOfDate,IF($R154=0,$X154,IF(AND($T154&lt;&gt;"",EDATE($D154,Milestones!$AA$197)&gt;=$T154),$W154,IF(AND($S154&lt;&gt;"",EDATE($D154,Milestones!$AA$197)&gt;=$S154),$V154,$U154)))=Milestones!$AB$197),UPPER(TEXT(EDATE($D154,Milestones!$AA$197),"dd mmm yy"))&amp;" "&amp;Milestones!$AB$197&amp;" "&amp;Milestones!$AC$197&amp;";  ","")&amp;IF(AND(EDATE($D154,Milestones!$AA$198)&lt;=AsOfDate,IF($R154=0,$X154,IF(AND($T154&lt;&gt;"",EDATE($D154,Milestones!$AA$198)&gt;=$T154),$W154,IF(AND($S154&lt;&gt;"",EDATE($D154,Milestones!$AA$198)&gt;=$S154),$V154,$U154)))=Milestones!$AB$198),UPPER(TEXT(EDATE($D154,Milestones!$AA$198),"dd mmm yy"))&amp;" "&amp;Milestones!$AB$198&amp;" "&amp;Milestones!$AC$198&amp;";  ","")&amp;IF(AND(EDATE($D154,Milestones!$AA$199)&lt;=AsOfDate,IF($R154=0,$X154,IF(AND($T154&lt;&gt;"",EDATE($D154,Milestones!$AA$199)&gt;=$T154),$W154,IF(AND($S154&lt;&gt;"",EDATE($D154,Milestones!$AA$199)&gt;=$S154),$V154,$U154)))=Milestones!$AB$199),UPPER(TEXT(EDATE($D154,Milestones!$AA$199),"dd mmm yy"))&amp;" "&amp;Milestones!$AB$199&amp;" "&amp;Milestones!$AC$199&amp;";  ",""))</f>
        <v/>
      </c>
      <c r="R154" s="0" t="str">
        <f aca="false">IF(Staff!$A154="","",Staff!$AI154)</f>
        <v/>
      </c>
      <c r="S154" s="0" t="str">
        <f aca="false">IF(Staff!$A154="","",Staff!$AK154)</f>
        <v/>
      </c>
      <c r="T154" s="0" t="str">
        <f aca="false">IF(Staff!$A154="","",Staff!$AL154)</f>
        <v/>
      </c>
      <c r="U154" s="0" t="str">
        <f aca="false">IF(Staff!$A154="","",Staff!$AP154)</f>
        <v/>
      </c>
      <c r="V154" s="0" t="str">
        <f aca="false">IF(Staff!$A154="","",Staff!$AQ154)</f>
        <v/>
      </c>
      <c r="W154" s="0" t="str">
        <f aca="false">IF(Staff!$A154="","",Staff!$AR154)</f>
        <v/>
      </c>
      <c r="X154" s="0"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6" t="s">
        <v>556</v>
      </c>
    </row>
    <row r="4" customFormat="false" ht="15" hidden="false" customHeight="false" outlineLevel="0" collapsed="false">
      <c r="B4" s="11" t="s">
        <v>557</v>
      </c>
      <c r="C4" s="11" t="s">
        <v>558</v>
      </c>
    </row>
    <row r="5" customFormat="false" ht="15" hidden="false" customHeight="false" outlineLevel="0" collapsed="false">
      <c r="B5" s="25" t="s">
        <v>524</v>
      </c>
      <c r="C5" s="16" t="n">
        <f aca="true">TODAY()</f>
        <v>46301</v>
      </c>
      <c r="F5" s="7" t="s">
        <v>559</v>
      </c>
    </row>
    <row r="6" customFormat="false" ht="15" hidden="false" customHeight="false" outlineLevel="0" collapsed="false">
      <c r="B6" s="25" t="s">
        <v>560</v>
      </c>
      <c r="C6" s="16" t="n">
        <v>43646</v>
      </c>
      <c r="F6" s="7" t="s">
        <v>561</v>
      </c>
    </row>
    <row r="7" customFormat="false" ht="15" hidden="false" customHeight="false" outlineLevel="0" collapsed="false">
      <c r="B7" s="25" t="s">
        <v>562</v>
      </c>
      <c r="C7" s="15" t="n">
        <v>8</v>
      </c>
      <c r="F7" s="7" t="s">
        <v>563</v>
      </c>
    </row>
    <row r="8" customFormat="false" ht="15" hidden="false" customHeight="false" outlineLevel="0" collapsed="false">
      <c r="B8" s="25" t="s">
        <v>564</v>
      </c>
      <c r="C8" s="15" t="s">
        <v>294</v>
      </c>
      <c r="F8" s="7" t="s">
        <v>565</v>
      </c>
    </row>
    <row r="9" customFormat="false" ht="15" hidden="false" customHeight="false" outlineLevel="0" collapsed="false">
      <c r="B9" s="25" t="s">
        <v>566</v>
      </c>
      <c r="C9" s="15" t="s">
        <v>296</v>
      </c>
      <c r="F9" s="7" t="s">
        <v>567</v>
      </c>
      <c r="G9" s="7" t="n">
        <f aca="false">IF(LHUnit="Days",HoursPerDay,1)</f>
        <v>1</v>
      </c>
    </row>
    <row r="10" customFormat="false" ht="15" hidden="false" customHeight="false" outlineLevel="0" collapsed="false">
      <c r="B10" s="25" t="s">
        <v>568</v>
      </c>
      <c r="C10" s="15" t="s">
        <v>284</v>
      </c>
      <c r="D10" s="34" t="str">
        <f aca="false">IF(ISNUMBER(MATCH($C10,LH_Hdr,0)),"Yes","NO")</f>
        <v>Yes</v>
      </c>
      <c r="G10" s="7" t="n">
        <f aca="false">IFERROR(MATCH($C10,LH_Hdr,0),0)</f>
        <v>8</v>
      </c>
    </row>
    <row r="11" customFormat="false" ht="15" hidden="false" customHeight="false" outlineLevel="0" collapsed="false">
      <c r="B11" s="11" t="s">
        <v>569</v>
      </c>
      <c r="C11" s="11" t="s">
        <v>570</v>
      </c>
      <c r="D11" s="11" t="s">
        <v>522</v>
      </c>
    </row>
    <row r="12" customFormat="false" ht="15" hidden="false" customHeight="false" outlineLevel="0" collapsed="false">
      <c r="B12" s="25" t="s">
        <v>571</v>
      </c>
      <c r="C12" s="15" t="s">
        <v>280</v>
      </c>
      <c r="D12" s="34" t="str">
        <f aca="false">IF(ISNUMBER(MATCH($C12,LH_Hdr,0)),"Yes","NO")</f>
        <v>Yes</v>
      </c>
      <c r="F12" s="7" t="s">
        <v>572</v>
      </c>
      <c r="G12" s="7" t="n">
        <f aca="false">IFERROR(MATCH($C12,LH_Hdr,0),0)</f>
        <v>3</v>
      </c>
    </row>
    <row r="13" customFormat="false" ht="15" hidden="false" customHeight="false" outlineLevel="0" collapsed="false">
      <c r="B13" s="25" t="s">
        <v>75</v>
      </c>
      <c r="C13" s="15" t="s">
        <v>75</v>
      </c>
      <c r="D13" s="34" t="str">
        <f aca="false">IF(ISNUMBER(MATCH($C13,LH_Hdr,0)),"Yes","NO")</f>
        <v>Yes</v>
      </c>
      <c r="G13" s="7" t="n">
        <f aca="false">IFERROR(MATCH($C13,LH_Hdr,0),0)</f>
        <v>4</v>
      </c>
    </row>
    <row r="14" customFormat="false" ht="15" hidden="false" customHeight="false" outlineLevel="0" collapsed="false">
      <c r="B14" s="25" t="s">
        <v>573</v>
      </c>
      <c r="C14" s="15" t="s">
        <v>281</v>
      </c>
      <c r="D14" s="34" t="str">
        <f aca="false">IF(ISNUMBER(MATCH($C14,LH_Hdr,0)),"Yes","NO")</f>
        <v>Yes</v>
      </c>
      <c r="G14" s="7" t="n">
        <f aca="false">IFERROR(MATCH($C14,LH_Hdr,0),0)</f>
        <v>5</v>
      </c>
    </row>
    <row r="15" customFormat="false" ht="15" hidden="false" customHeight="false" outlineLevel="0" collapsed="false">
      <c r="B15" s="25" t="s">
        <v>574</v>
      </c>
      <c r="C15" s="15" t="s">
        <v>286</v>
      </c>
      <c r="D15" s="34" t="str">
        <f aca="false">IF(ISNUMBER(MATCH($C15,LH_Hdr,0)),"Yes","NO")</f>
        <v>Yes</v>
      </c>
      <c r="G15" s="7" t="n">
        <f aca="false">IFERROR(MATCH($C15,LH_Hdr,0),0)</f>
        <v>10</v>
      </c>
    </row>
    <row r="16" customFormat="false" ht="15" hidden="false" customHeight="false" outlineLevel="0" collapsed="false">
      <c r="B16" s="25" t="s">
        <v>575</v>
      </c>
      <c r="C16" s="15" t="s">
        <v>287</v>
      </c>
      <c r="D16" s="34" t="str">
        <f aca="false">IF(ISNUMBER(MATCH($C16,LH_Hdr,0)),"Yes","NO")</f>
        <v>Yes</v>
      </c>
      <c r="G16" s="7" t="n">
        <f aca="false">IFERROR(MATCH($C16,LH_Hdr,0),0)</f>
        <v>11</v>
      </c>
    </row>
    <row r="17" customFormat="false" ht="15" hidden="false" customHeight="false" outlineLevel="0" collapsed="false">
      <c r="B17" s="25" t="s">
        <v>576</v>
      </c>
      <c r="C17" s="15" t="s">
        <v>283</v>
      </c>
      <c r="D17" s="34" t="str">
        <f aca="false">IF(ISNUMBER(MATCH($C17,LH_Hdr,0)),"Yes","NO")</f>
        <v>Yes</v>
      </c>
      <c r="G17" s="7" t="n">
        <f aca="false">IFERROR(MATCH($C17,LH_Hdr,0),0)</f>
        <v>7</v>
      </c>
    </row>
    <row r="18" customFormat="false" ht="15" hidden="false" customHeight="false" outlineLevel="0" collapsed="false">
      <c r="B18" s="8" t="s">
        <v>577</v>
      </c>
      <c r="D18" s="34" t="str">
        <f aca="false">IF(LH_Ready,"YES","NO")</f>
        <v>YES</v>
      </c>
      <c r="G18" s="35" t="b">
        <f aca="false">AND(LH_ColFirst&gt;0,LH_ColSur&gt;0,LH_ColCat&gt;0,LH_ColAcc&gt;0,LH_ColTaken&gt;0,LH_ColClose&gt;0)</f>
        <v>1</v>
      </c>
    </row>
    <row r="19" customFormat="false" ht="15" hidden="false" customHeight="false" outlineLevel="0" collapsed="false">
      <c r="B19" s="25" t="s">
        <v>578</v>
      </c>
      <c r="C19" s="15" t="s">
        <v>295</v>
      </c>
      <c r="F19" s="7" t="s">
        <v>579</v>
      </c>
    </row>
    <row r="20" customFormat="false" ht="15" hidden="false" customHeight="false" outlineLevel="0" collapsed="false">
      <c r="B20" s="11" t="s">
        <v>580</v>
      </c>
      <c r="C20" s="11" t="s">
        <v>558</v>
      </c>
    </row>
    <row r="21" customFormat="false" ht="15" hidden="false" customHeight="false" outlineLevel="0" collapsed="false">
      <c r="B21" s="25" t="s">
        <v>581</v>
      </c>
      <c r="C21" s="15" t="n">
        <v>36</v>
      </c>
      <c r="F21" s="7" t="s">
        <v>582</v>
      </c>
    </row>
    <row r="22" customFormat="false" ht="15" hidden="false" customHeight="false" outlineLevel="0" collapsed="false">
      <c r="B22" s="25" t="s">
        <v>583</v>
      </c>
      <c r="C22" s="15" t="n">
        <v>4</v>
      </c>
      <c r="F22" s="7" t="s">
        <v>584</v>
      </c>
    </row>
    <row r="23" customFormat="false" ht="15" hidden="false" customHeight="false" outlineLevel="0" collapsed="false">
      <c r="B23" s="25" t="s">
        <v>585</v>
      </c>
      <c r="C23" s="15" t="n">
        <v>60</v>
      </c>
      <c r="F23" s="7" t="s">
        <v>586</v>
      </c>
    </row>
    <row r="24" customFormat="false" ht="15" hidden="false" customHeight="false" outlineLevel="0" collapsed="false">
      <c r="B24" s="25" t="s">
        <v>587</v>
      </c>
      <c r="C24" s="15" t="n">
        <v>2</v>
      </c>
      <c r="F24" s="7" t="s">
        <v>586</v>
      </c>
    </row>
    <row r="25" customFormat="false" ht="15" hidden="false" customHeight="false" outlineLevel="0" collapsed="false">
      <c r="B25" s="25" t="s">
        <v>588</v>
      </c>
      <c r="C25" s="15" t="n">
        <v>3</v>
      </c>
      <c r="F25" s="7" t="s">
        <v>589</v>
      </c>
    </row>
    <row r="26" customFormat="false" ht="15" hidden="false" customHeight="false" outlineLevel="0" collapsed="false">
      <c r="B26" s="25" t="s">
        <v>590</v>
      </c>
      <c r="C26" s="15" t="n">
        <v>60</v>
      </c>
      <c r="F26" s="7" t="s">
        <v>591</v>
      </c>
    </row>
    <row r="27" customFormat="false" ht="15" hidden="false" customHeight="false" outlineLevel="0" collapsed="false">
      <c r="B27" s="25" t="s">
        <v>592</v>
      </c>
      <c r="C27" s="15" t="n">
        <v>4</v>
      </c>
      <c r="F27" s="7" t="s">
        <v>593</v>
      </c>
    </row>
    <row r="28" customFormat="false" ht="15" hidden="false" customHeight="false" outlineLevel="0" collapsed="false">
      <c r="B28" s="25" t="s">
        <v>594</v>
      </c>
      <c r="C28" s="15" t="n">
        <v>24</v>
      </c>
      <c r="F28" s="7" t="s">
        <v>595</v>
      </c>
    </row>
    <row r="29" customFormat="false" ht="15" hidden="false" customHeight="false" outlineLevel="0" collapsed="false">
      <c r="B29" s="25" t="s">
        <v>596</v>
      </c>
      <c r="C29" s="19" t="n">
        <f aca="false">1+INT((FT_Y5-1-FT_First)/FT_Int1)</f>
        <v>6</v>
      </c>
    </row>
    <row r="30" customFormat="false" ht="15" hidden="false" customHeight="false" outlineLevel="0" collapsed="false">
      <c r="B30" s="25" t="s">
        <v>597</v>
      </c>
      <c r="C30" s="19" t="n">
        <f aca="false">FT_AnnivDays+INT(11/FT_Int2)</f>
        <v>5</v>
      </c>
    </row>
    <row r="31" customFormat="false" ht="15" hidden="false" customHeight="false" outlineLevel="0" collapsed="false">
      <c r="B31" s="25" t="s">
        <v>598</v>
      </c>
      <c r="C31" s="15" t="s">
        <v>599</v>
      </c>
      <c r="F31" s="7" t="s">
        <v>600</v>
      </c>
    </row>
    <row r="34" customFormat="false" ht="15" hidden="false" customHeight="true" outlineLevel="0" collapsed="false">
      <c r="B34" s="36" t="s">
        <v>601</v>
      </c>
      <c r="C34" s="36"/>
      <c r="D34" s="36"/>
      <c r="E34" s="36"/>
      <c r="F34" s="36"/>
    </row>
    <row r="35" customFormat="false" ht="15" hidden="false" customHeight="true" outlineLevel="0" collapsed="false">
      <c r="B35" s="37" t="s">
        <v>602</v>
      </c>
      <c r="C35" s="37"/>
      <c r="D35" s="37"/>
      <c r="E35" s="37"/>
      <c r="F35" s="37"/>
    </row>
    <row r="36" customFormat="false" ht="43.5" hidden="false" customHeight="true" outlineLevel="0" collapsed="false">
      <c r="B36" s="37" t="s">
        <v>603</v>
      </c>
      <c r="C36" s="37"/>
      <c r="D36" s="37"/>
      <c r="E36" s="37"/>
      <c r="F36" s="37"/>
    </row>
    <row r="37" customFormat="false" ht="30" hidden="false" customHeight="true" outlineLevel="0" collapsed="false">
      <c r="B37" s="37" t="s">
        <v>604</v>
      </c>
      <c r="C37" s="37"/>
      <c r="D37" s="37"/>
      <c r="E37" s="37"/>
      <c r="F37" s="37"/>
    </row>
    <row r="38" customFormat="false" ht="30" hidden="false" customHeight="true" outlineLevel="0" collapsed="false">
      <c r="B38" s="37" t="s">
        <v>605</v>
      </c>
      <c r="C38" s="37"/>
      <c r="D38" s="37"/>
      <c r="E38" s="37"/>
      <c r="F38" s="37"/>
    </row>
    <row r="39" customFormat="false" ht="43.5" hidden="false" customHeight="true" outlineLevel="0" collapsed="false">
      <c r="B39" s="37" t="s">
        <v>606</v>
      </c>
      <c r="C39" s="37"/>
      <c r="D39" s="37"/>
      <c r="E39" s="37"/>
      <c r="F39" s="37"/>
    </row>
    <row r="40" customFormat="false" ht="43.5" hidden="false" customHeight="true" outlineLevel="0" collapsed="false">
      <c r="B40" s="37" t="s">
        <v>607</v>
      </c>
      <c r="C40" s="37"/>
      <c r="D40" s="37"/>
      <c r="E40" s="37"/>
      <c r="F40" s="37"/>
    </row>
    <row r="41" customFormat="false" ht="43.5" hidden="false" customHeight="true" outlineLevel="0" collapsed="false">
      <c r="B41" s="37" t="s">
        <v>608</v>
      </c>
      <c r="C41" s="37"/>
      <c r="D41" s="37"/>
      <c r="E41" s="37"/>
      <c r="F41" s="37"/>
    </row>
    <row r="42" customFormat="false" ht="30" hidden="false" customHeight="true" outlineLevel="0" collapsed="false">
      <c r="B42" s="37" t="s">
        <v>609</v>
      </c>
      <c r="C42" s="37"/>
      <c r="D42" s="37"/>
      <c r="E42" s="37"/>
      <c r="F42" s="37"/>
    </row>
    <row r="43" customFormat="false" ht="43.5" hidden="false" customHeight="true" outlineLevel="0" collapsed="false">
      <c r="B43" s="37" t="s">
        <v>610</v>
      </c>
      <c r="C43" s="37"/>
      <c r="D43" s="37"/>
      <c r="E43" s="37"/>
      <c r="F43" s="37"/>
    </row>
    <row r="44" customFormat="false" ht="15" hidden="false" customHeight="false" outlineLevel="0" collapsed="false">
      <c r="B44" s="37"/>
      <c r="C44" s="37"/>
      <c r="D44" s="37"/>
      <c r="E44" s="37"/>
      <c r="F44" s="37"/>
    </row>
    <row r="45" customFormat="false" ht="15" hidden="false" customHeight="true" outlineLevel="0" collapsed="false">
      <c r="B45" s="36" t="s">
        <v>611</v>
      </c>
      <c r="C45" s="36"/>
      <c r="D45" s="36"/>
      <c r="E45" s="36"/>
      <c r="F45" s="36"/>
    </row>
    <row r="46" customFormat="false" ht="30" hidden="false" customHeight="true" outlineLevel="0" collapsed="false">
      <c r="B46" s="37" t="s">
        <v>612</v>
      </c>
      <c r="C46" s="37"/>
      <c r="D46" s="37"/>
      <c r="E46" s="37"/>
      <c r="F46" s="37"/>
    </row>
    <row r="47" customFormat="false" ht="15" hidden="false" customHeight="true" outlineLevel="0" collapsed="false">
      <c r="B47" s="37" t="s">
        <v>613</v>
      </c>
      <c r="C47" s="37"/>
      <c r="D47" s="37"/>
      <c r="E47" s="37"/>
      <c r="F47" s="37"/>
    </row>
    <row r="48" customFormat="false" ht="43.5" hidden="false" customHeight="true" outlineLevel="0" collapsed="false">
      <c r="B48" s="37" t="s">
        <v>614</v>
      </c>
      <c r="C48" s="37"/>
      <c r="D48" s="37"/>
      <c r="E48" s="37"/>
      <c r="F48" s="37"/>
    </row>
    <row r="49" customFormat="false" ht="15" hidden="false" customHeight="false" outlineLevel="0" collapsed="false">
      <c r="B49" s="37"/>
      <c r="C49" s="37"/>
      <c r="D49" s="37"/>
      <c r="E49" s="37"/>
      <c r="F49" s="37"/>
    </row>
    <row r="50" customFormat="false" ht="43.5" hidden="false" customHeight="true" outlineLevel="0" collapsed="false">
      <c r="B50" s="36" t="s">
        <v>615</v>
      </c>
      <c r="C50" s="36"/>
      <c r="D50" s="36"/>
      <c r="E50" s="36"/>
      <c r="F50" s="36"/>
    </row>
  </sheetData>
  <mergeCells count="17">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2026-10-06T00:27:29Z</dcterms:created>
  <dc:creator>openpyxl</dc:creator>
  <dc:description/>
  <dc:language>en-US</dc:language>
  <cp:lastModifiedBy/>
  <dcterms:modified xsi:type="dcterms:W3CDTF">2026-10-06T00:27:31Z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